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44.xml" ContentType="application/vnd.openxmlformats-officedocument.spreadsheetml.worksheet+xml"/>
  <Override PartName="/xl/worksheets/sheet53.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42.xml" ContentType="application/vnd.openxmlformats-officedocument.spreadsheetml.worksheet+xml"/>
  <Override PartName="/xl/worksheets/sheet5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worksheets/sheet40.xml" ContentType="application/vnd.openxmlformats-officedocument.spreadsheetml.worksheet+xml"/>
  <Default Extension="rels" ContentType="application/vnd.openxmlformats-package.relationships+xml"/>
  <Default Extension="xml" ContentType="application/xml"/>
  <Override PartName="/xl/worksheets/sheet5.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sharedStrings.xml" ContentType="application/vnd.openxmlformats-officedocument.spreadsheetml.sharedStrings+xml"/>
  <Override PartName="/xl/chartsheets/sheet1.xml" ContentType="application/vnd.openxmlformats-officedocument.spreadsheetml.chart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43.xml" ContentType="application/vnd.openxmlformats-officedocument.spreadsheetml.worksheet+xml"/>
  <Override PartName="/xl/worksheets/sheet52.xml" ContentType="application/vnd.openxmlformats-officedocument.spreadsheetml.worksheet+xml"/>
  <Default Extension="bin" ContentType="application/vnd.openxmlformats-officedocument.spreadsheetml.printerSettings"/>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worksheets/sheet50.xml" ContentType="application/vnd.openxmlformats-officedocument.spreadsheetml.worksheet+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charts/chart1.xml" ContentType="application/vnd.openxmlformats-officedocument.drawingml.chart+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7"/>
  <workbookPr codeName="ThisWorkbook"/>
  <bookViews>
    <workbookView xWindow="-105" yWindow="-105" windowWidth="19425" windowHeight="10425" tabRatio="876"/>
  </bookViews>
  <sheets>
    <sheet name="Mastersheet" sheetId="89" r:id="rId1"/>
    <sheet name="1.SD Facility Based Annex" sheetId="16" r:id="rId2"/>
    <sheet name="2.SD Community Based Annex" sheetId="2" r:id="rId3"/>
    <sheet name="3.Community Intervention Annexn" sheetId="81" r:id="rId4"/>
    <sheet name="3-A. CI Sub-Annex" sheetId="3" r:id="rId5"/>
    <sheet name="4.Untied grants Annex" sheetId="60" r:id="rId6"/>
    <sheet name="5.Infrastructure Annex" sheetId="4" r:id="rId7"/>
    <sheet name="6.Procurement Annex" sheetId="82" r:id="rId8"/>
    <sheet name="6-A. Proc. Sub-Annex" sheetId="15" r:id="rId9"/>
    <sheet name="7.Referral Transport Annex" sheetId="5" r:id="rId10"/>
    <sheet name="8.Human Resources (SD) Annex" sheetId="6" r:id="rId11"/>
    <sheet name="9.Training Annex" sheetId="83" r:id="rId12"/>
    <sheet name="9-A.Training Sub-Annex" sheetId="7" r:id="rId13"/>
    <sheet name="10.Review Research &amp; Surveillen" sheetId="8" r:id="rId14"/>
    <sheet name="11.IEC-BCC Annex" sheetId="85" r:id="rId15"/>
    <sheet name="Chart1" sheetId="88" state="hidden" r:id="rId16"/>
    <sheet name="11-A. IEC Sub-Annex" sheetId="12" r:id="rId17"/>
    <sheet name="12.Printing Annex" sheetId="84" r:id="rId18"/>
    <sheet name="12-A. Print Sub-Annex" sheetId="13" r:id="rId19"/>
    <sheet name="13.Quality Assurance Annex" sheetId="9" r:id="rId20"/>
    <sheet name="14.Drug warehouse &amp;Logistic Anx" sheetId="10" r:id="rId21"/>
    <sheet name="15.PPP Annex" sheetId="11" r:id="rId22"/>
    <sheet name="16.PM Annex" sheetId="47" r:id="rId23"/>
    <sheet name="16-A. PM sub Annex" sheetId="49" r:id="rId24"/>
    <sheet name="17.IT Initiatives_SD" sheetId="58" r:id="rId25"/>
    <sheet name="18.Innovation" sheetId="56" r:id="rId26"/>
    <sheet name="NUHM-Non Metro Abst" sheetId="65" r:id="rId27"/>
    <sheet name="NUHM Metro Abst" sheetId="66" r:id="rId28"/>
    <sheet name="Ab1. RMNCH+A" sheetId="38" r:id="rId29"/>
    <sheet name="Ab2. NIDDCP" sheetId="37" r:id="rId30"/>
    <sheet name="Ab3. ASHA" sheetId="27" r:id="rId31"/>
    <sheet name="Ab4. HMIS-MCTS" sheetId="61" r:id="rId32"/>
    <sheet name="Abs5. Blood services &amp; Disorder" sheetId="45" r:id="rId33"/>
    <sheet name="Abs6. CPHC" sheetId="54" r:id="rId34"/>
    <sheet name="Abs7. AYUSH" sheetId="35" r:id="rId35"/>
    <sheet name="Abs8. IDSP" sheetId="40" r:id="rId36"/>
    <sheet name="Abs9. NVBDCP" sheetId="30" r:id="rId37"/>
    <sheet name="Abs10. NLEP" sheetId="20" r:id="rId38"/>
    <sheet name="Abs11. NTEP" sheetId="41" r:id="rId39"/>
    <sheet name="Abs12. NVHCP" sheetId="68" r:id="rId40"/>
    <sheet name="Abs13. NRCP" sheetId="70" r:id="rId41"/>
    <sheet name="Abs14. PPCL" sheetId="75" r:id="rId42"/>
    <sheet name="Abs17. NPHCE" sheetId="42" r:id="rId43"/>
    <sheet name="Abs18. NTCP" sheetId="32" r:id="rId44"/>
    <sheet name="Abs19. NPCDCS" sheetId="24" r:id="rId45"/>
    <sheet name="Abs20. PMNDP" sheetId="53" r:id="rId46"/>
    <sheet name="Abs21. NPCCHH" sheetId="71" r:id="rId47"/>
    <sheet name="Abs22. NPPCD" sheetId="43" r:id="rId48"/>
    <sheet name="Abs23. NPPCF" sheetId="44" r:id="rId49"/>
    <sheet name="Abs24. NOHP" sheetId="33" r:id="rId50"/>
    <sheet name="Abs25. NPPC" sheetId="26" r:id="rId51"/>
    <sheet name="Abs26. Burns &amp; Injury" sheetId="34" r:id="rId52"/>
    <sheet name="Abs15. NPCB" sheetId="31" r:id="rId53"/>
    <sheet name="Abs16. NMHP" sheetId="23" r:id="rId54"/>
    <sheet name="Capex Expenditure" sheetId="72" r:id="rId55"/>
    <sheet name="Sheet1" sheetId="87" r:id="rId56"/>
  </sheets>
  <externalReferences>
    <externalReference r:id="rId57"/>
  </externalReferences>
  <definedNames>
    <definedName name="_Fill" localSheetId="1" hidden="1">#REF!</definedName>
    <definedName name="_Fill" localSheetId="16" hidden="1">#REF!</definedName>
    <definedName name="_Fill" localSheetId="18" hidden="1">#REF!</definedName>
    <definedName name="_Fill" localSheetId="8" hidden="1">#REF!</definedName>
    <definedName name="_Fill" localSheetId="28" hidden="1">#REF!</definedName>
    <definedName name="_Fill" localSheetId="36" hidden="1">#REF!</definedName>
    <definedName name="_Fill" hidden="1">#REF!</definedName>
    <definedName name="_xlnm._FilterDatabase" localSheetId="1" hidden="1">'1.SD Facility Based Annex'!$A$6:$GR$114</definedName>
    <definedName name="_xlnm._FilterDatabase" localSheetId="13" hidden="1">'10.Review Research &amp; Surveillen'!$A$6:$R$62</definedName>
    <definedName name="_xlnm._FilterDatabase" localSheetId="14" hidden="1">'11.IEC-BCC Annex'!$A$6:$BA$42</definedName>
    <definedName name="_xlnm._FilterDatabase" localSheetId="16" hidden="1">'11-A. IEC Sub-Annex'!$A$4:$BE$106</definedName>
    <definedName name="_xlnm._FilterDatabase" localSheetId="17" hidden="1">'12.Printing Annex'!$A$6:$BA$45</definedName>
    <definedName name="_xlnm._FilterDatabase" localSheetId="18" hidden="1">'12-A. Print Sub-Annex'!$A$4:$BD$109</definedName>
    <definedName name="_xlnm._FilterDatabase" localSheetId="19" hidden="1">'13.Quality Assurance Annex'!$A$6:$R$35</definedName>
    <definedName name="_xlnm._FilterDatabase" localSheetId="20" hidden="1">'14.Drug warehouse &amp;Logistic Anx'!$A$6:$R$32</definedName>
    <definedName name="_xlnm._FilterDatabase" localSheetId="21" hidden="1">'15.PPP Annex'!$A$6:$R$65</definedName>
    <definedName name="_xlnm._FilterDatabase" localSheetId="22" hidden="1">'16.PM Annex'!$A$6:$R$142</definedName>
    <definedName name="_xlnm._FilterDatabase" localSheetId="23" hidden="1">'16-A. PM sub Annex'!$A$5:$BD$178</definedName>
    <definedName name="_xlnm._FilterDatabase" localSheetId="24" hidden="1">'17.IT Initiatives_SD'!$A$6:$R$17</definedName>
    <definedName name="_xlnm._FilterDatabase" localSheetId="25" hidden="1">'18.Innovation'!$A$6:$R$31</definedName>
    <definedName name="_xlnm._FilterDatabase" localSheetId="2" hidden="1">'2.SD Community Based Annex'!$A$6:$R$65</definedName>
    <definedName name="_xlnm._FilterDatabase" localSheetId="3" hidden="1">'3.Community Intervention Annexn'!$7:$56</definedName>
    <definedName name="_xlnm._FilterDatabase" localSheetId="4" hidden="1" xml:space="preserve">    '3-A. CI Sub-Annex'!$A$4:$R$132</definedName>
    <definedName name="_xlnm._FilterDatabase" localSheetId="5" hidden="1">'4.Untied grants Annex'!$A$6:$R$15</definedName>
    <definedName name="_xlnm._FilterDatabase" localSheetId="6" hidden="1">'5.Infrastructure Annex'!$A$6:$R$98</definedName>
    <definedName name="_xlnm._FilterDatabase" localSheetId="7" hidden="1">'6.Procurement Annex'!$A$6:$BA$87</definedName>
    <definedName name="_xlnm._FilterDatabase" localSheetId="8" hidden="1">'6-A. Proc. Sub-Annex'!$A$4:$BC$280</definedName>
    <definedName name="_xlnm._FilterDatabase" localSheetId="9" hidden="1">'7.Referral Transport Annex'!$A$6:$S$29</definedName>
    <definedName name="_xlnm._FilterDatabase" localSheetId="10" hidden="1">'8.Human Resources (SD) Annex'!$A$6:$R$175</definedName>
    <definedName name="_xlnm._FilterDatabase" localSheetId="11" hidden="1">'9.Training Annex'!$A$6:$BA$64</definedName>
    <definedName name="_xlnm._FilterDatabase" localSheetId="12" hidden="1">'9-A.Training Sub-Annex'!$A$4:$BD$283</definedName>
    <definedName name="_xlnm._FilterDatabase" localSheetId="28" hidden="1">'Ab1. RMNCH+A'!$A$5:$M$481</definedName>
    <definedName name="_xlnm._FilterDatabase" localSheetId="29" hidden="1">'Ab2. NIDDCP'!$A$5:$M$20</definedName>
    <definedName name="_xlnm._FilterDatabase" localSheetId="30" hidden="1">'Ab3. ASHA'!$A$5:$M$107</definedName>
    <definedName name="_xlnm._FilterDatabase" localSheetId="31" hidden="1">'Ab4. HMIS-MCTS'!$A$5:$M$28</definedName>
    <definedName name="_xlnm._FilterDatabase" localSheetId="37" hidden="1">'Abs10. NLEP'!$A$5:$M$47</definedName>
    <definedName name="_xlnm._FilterDatabase" localSheetId="38" hidden="1">'Abs11. NTEP'!$A$5:$M$63</definedName>
    <definedName name="_xlnm._FilterDatabase" localSheetId="39" hidden="1">'Abs12. NVHCP'!$A$5:$M$44</definedName>
    <definedName name="_xlnm._FilterDatabase" localSheetId="40" hidden="1">'Abs13. NRCP'!$A$5:$M$16</definedName>
    <definedName name="_xlnm._FilterDatabase" localSheetId="41" hidden="1">'Abs14. PPCL'!$A$5:$M$17</definedName>
    <definedName name="_xlnm._FilterDatabase" localSheetId="52" hidden="1">'Abs15. NPCB'!$A$5:$M$43</definedName>
    <definedName name="_xlnm._FilterDatabase" localSheetId="53" hidden="1">'Abs16. NMHP'!$A$5:$M$33</definedName>
    <definedName name="_xlnm._FilterDatabase" localSheetId="42" hidden="1">'Abs17. NPHCE'!$A$5:$M$33</definedName>
    <definedName name="_xlnm._FilterDatabase" localSheetId="43" hidden="1">'Abs18. NTCP'!$A$5:$M$35</definedName>
    <definedName name="_xlnm._FilterDatabase" localSheetId="44" hidden="1">'Abs19. NPCDCS'!$A$5:$M$73</definedName>
    <definedName name="_xlnm._FilterDatabase" localSheetId="45" hidden="1">'Abs20. PMNDP'!$A$5:$M$23</definedName>
    <definedName name="_xlnm._FilterDatabase" localSheetId="46" hidden="1">'Abs21. NPCCHH'!$A$5:$M$21</definedName>
    <definedName name="_xlnm._FilterDatabase" localSheetId="47" hidden="1">'Abs22. NPPCD'!$A$5:$M$21</definedName>
    <definedName name="_xlnm._FilterDatabase" localSheetId="48" hidden="1">'Abs23. NPPCF'!$A$5:$M$22</definedName>
    <definedName name="_xlnm._FilterDatabase" localSheetId="49" hidden="1">'Abs24. NOHP'!$A$5:$M$14</definedName>
    <definedName name="_xlnm._FilterDatabase" localSheetId="50" hidden="1">'Abs25. NPPC'!$A$5:$M$23</definedName>
    <definedName name="_xlnm._FilterDatabase" localSheetId="51" hidden="1">'Abs26. Burns &amp; Injury'!$A$5:$M$10</definedName>
    <definedName name="_xlnm._FilterDatabase" localSheetId="32" hidden="1">'Abs5. Blood services &amp; Disorder'!$A$5:$M$32</definedName>
    <definedName name="_xlnm._FilterDatabase" localSheetId="33" hidden="1">'Abs6. CPHC'!$A$5:$R$36</definedName>
    <definedName name="_xlnm._FilterDatabase" localSheetId="34" hidden="1">'Abs7. AYUSH'!$A$5:$M$13</definedName>
    <definedName name="_xlnm._FilterDatabase" localSheetId="35" hidden="1">'Abs8. IDSP'!$A$5:$M$35</definedName>
    <definedName name="_xlnm._FilterDatabase" localSheetId="36" hidden="1">'Abs9. NVBDCP'!$A$5:$M$134</definedName>
    <definedName name="_xlnm._FilterDatabase" localSheetId="54" hidden="1">'Capex Expenditure'!$A$4:$R$291</definedName>
    <definedName name="_xlnm._FilterDatabase" localSheetId="0" hidden="1">Mastersheet!$E$1:$E$424</definedName>
    <definedName name="_xlnm._FilterDatabase" localSheetId="27" hidden="1">'NUHM Metro Abst'!$A$6:$Q$281</definedName>
    <definedName name="_xlnm._FilterDatabase" localSheetId="26" hidden="1">'NUHM-Non Metro Abst'!$A$6:$Q$274</definedName>
    <definedName name="_Key1" localSheetId="1" hidden="1">#REF!</definedName>
    <definedName name="_Key1" localSheetId="16" hidden="1">#REF!</definedName>
    <definedName name="_Key1" localSheetId="18" hidden="1">#REF!</definedName>
    <definedName name="_Key1" localSheetId="8" hidden="1">#REF!</definedName>
    <definedName name="_Key1" localSheetId="28" hidden="1">#REF!</definedName>
    <definedName name="_Key1" localSheetId="36" hidden="1">#REF!</definedName>
    <definedName name="_Key1" hidden="1">#REF!</definedName>
    <definedName name="_Sort" localSheetId="1" hidden="1">#REF!</definedName>
    <definedName name="_Sort" localSheetId="16" hidden="1">#REF!</definedName>
    <definedName name="_Sort" localSheetId="18" hidden="1">#REF!</definedName>
    <definedName name="_Sort" localSheetId="8" hidden="1">#REF!</definedName>
    <definedName name="_Sort" localSheetId="28" hidden="1">#REF!</definedName>
    <definedName name="_Sort" localSheetId="36" hidden="1">#REF!</definedName>
    <definedName name="_Sort" hidden="1">#REF!</definedName>
    <definedName name="A96\">'6-A. Proc. Sub-Annex'!$3:$4</definedName>
    <definedName name="data" localSheetId="1">#REF!</definedName>
    <definedName name="data" localSheetId="16">#REF!</definedName>
    <definedName name="data" localSheetId="18">#REF!</definedName>
    <definedName name="data" localSheetId="8">#REF!</definedName>
    <definedName name="data" localSheetId="28">#REF!</definedName>
    <definedName name="data" localSheetId="36">#REF!</definedName>
    <definedName name="data">#REF!</definedName>
    <definedName name="_xlnm.Database" localSheetId="1">#REF!</definedName>
    <definedName name="_xlnm.Database" localSheetId="16">#REF!</definedName>
    <definedName name="_xlnm.Database" localSheetId="18">#REF!</definedName>
    <definedName name="_xlnm.Database" localSheetId="8">#REF!</definedName>
    <definedName name="_xlnm.Database" localSheetId="28">#REF!</definedName>
    <definedName name="_xlnm.Database" localSheetId="36">#REF!</definedName>
    <definedName name="_xlnm.Database">#REF!</definedName>
  </definedNames>
  <calcPr calcId="144525" concurrentCalc="0"/>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X167" i="89"/>
  <c r="BB42" i="6"/>
  <c r="R99" i="13"/>
  <c r="R100"/>
  <c r="R101"/>
  <c r="R102"/>
  <c r="R98"/>
  <c r="R38" i="84"/>
  <c r="BI95" i="89"/>
  <c r="BI96"/>
  <c r="BI97"/>
  <c r="BI98"/>
  <c r="BI160"/>
  <c r="BI161"/>
  <c r="BI169"/>
  <c r="BI170"/>
  <c r="BI171"/>
  <c r="BI173"/>
  <c r="BI174"/>
  <c r="BI175"/>
  <c r="BI183"/>
  <c r="BI274"/>
  <c r="BI279"/>
  <c r="BI281"/>
  <c r="BI297"/>
  <c r="BI346"/>
  <c r="BI350"/>
  <c r="BI351"/>
  <c r="BI352"/>
  <c r="BI353"/>
  <c r="BI357"/>
  <c r="BI358"/>
  <c r="BI361"/>
  <c r="BI362"/>
  <c r="BI363"/>
  <c r="BI364"/>
  <c r="BI367"/>
  <c r="BI368"/>
  <c r="BI371"/>
  <c r="BI388"/>
  <c r="BI389"/>
  <c r="BI405"/>
  <c r="BG95"/>
  <c r="BG96"/>
  <c r="BG97"/>
  <c r="BG98"/>
  <c r="BG161"/>
  <c r="BG169"/>
  <c r="BG170"/>
  <c r="BG171"/>
  <c r="BG173"/>
  <c r="BG174"/>
  <c r="BG175"/>
  <c r="BG183"/>
  <c r="BG274"/>
  <c r="BG279"/>
  <c r="BG281"/>
  <c r="BG297"/>
  <c r="BG346"/>
  <c r="BG350"/>
  <c r="BG351"/>
  <c r="BG352"/>
  <c r="BG353"/>
  <c r="BG357"/>
  <c r="BG358"/>
  <c r="BG361"/>
  <c r="BG362"/>
  <c r="BG363"/>
  <c r="BG364"/>
  <c r="BG367"/>
  <c r="BG368"/>
  <c r="BG371"/>
  <c r="BG388"/>
  <c r="BG389"/>
  <c r="BG405"/>
  <c r="BB95"/>
  <c r="BB96"/>
  <c r="BB97"/>
  <c r="BB98"/>
  <c r="BB107"/>
  <c r="BB161"/>
  <c r="BB169"/>
  <c r="BB170"/>
  <c r="BB173"/>
  <c r="BB174"/>
  <c r="BB175"/>
  <c r="BB183"/>
  <c r="BB187"/>
  <c r="BB274"/>
  <c r="BB279"/>
  <c r="BB281"/>
  <c r="BB297"/>
  <c r="BB346"/>
  <c r="BB350"/>
  <c r="BB351"/>
  <c r="BB352"/>
  <c r="BB353"/>
  <c r="BB357"/>
  <c r="BB358"/>
  <c r="BB361"/>
  <c r="BB362"/>
  <c r="BB363"/>
  <c r="BB364"/>
  <c r="BB367"/>
  <c r="BB368"/>
  <c r="BB371"/>
  <c r="BB388"/>
  <c r="BB389"/>
  <c r="BB405"/>
  <c r="AZ95"/>
  <c r="AZ96"/>
  <c r="AZ97"/>
  <c r="AZ98"/>
  <c r="AZ161"/>
  <c r="AZ169"/>
  <c r="AZ170"/>
  <c r="AZ171"/>
  <c r="AZ173"/>
  <c r="AZ174"/>
  <c r="AZ175"/>
  <c r="AZ183"/>
  <c r="AZ274"/>
  <c r="AZ279"/>
  <c r="AZ281"/>
  <c r="AZ297"/>
  <c r="AZ346"/>
  <c r="AZ350"/>
  <c r="AZ351"/>
  <c r="AZ352"/>
  <c r="AZ353"/>
  <c r="AZ357"/>
  <c r="AZ358"/>
  <c r="AZ361"/>
  <c r="AZ362"/>
  <c r="AZ363"/>
  <c r="AZ364"/>
  <c r="AZ367"/>
  <c r="AZ368"/>
  <c r="AZ371"/>
  <c r="AZ388"/>
  <c r="AZ389"/>
  <c r="AZ405"/>
  <c r="BA95"/>
  <c r="BA96"/>
  <c r="BA97"/>
  <c r="BA98"/>
  <c r="BA159"/>
  <c r="BA161"/>
  <c r="BA169"/>
  <c r="BA170"/>
  <c r="BA171"/>
  <c r="BA173"/>
  <c r="BA174"/>
  <c r="BA175"/>
  <c r="BA183"/>
  <c r="BA274"/>
  <c r="BA279"/>
  <c r="BA281"/>
  <c r="BA297"/>
  <c r="BA346"/>
  <c r="BA350"/>
  <c r="BA351"/>
  <c r="BA352"/>
  <c r="BA353"/>
  <c r="BA357"/>
  <c r="BA358"/>
  <c r="BA361"/>
  <c r="BA362"/>
  <c r="BA363"/>
  <c r="BA364"/>
  <c r="BA367"/>
  <c r="BA368"/>
  <c r="BA371"/>
  <c r="BA388"/>
  <c r="BA389"/>
  <c r="BA405"/>
  <c r="BC95"/>
  <c r="BC96"/>
  <c r="BC97"/>
  <c r="BC98"/>
  <c r="BC107"/>
  <c r="BC159"/>
  <c r="BC161"/>
  <c r="BC169"/>
  <c r="BC170"/>
  <c r="BC173"/>
  <c r="BC174"/>
  <c r="BC175"/>
  <c r="BC183"/>
  <c r="BC187"/>
  <c r="BC274"/>
  <c r="BC279"/>
  <c r="BC281"/>
  <c r="BC297"/>
  <c r="BC346"/>
  <c r="BC350"/>
  <c r="BC351"/>
  <c r="BC352"/>
  <c r="BC353"/>
  <c r="BC357"/>
  <c r="BC361"/>
  <c r="BC362"/>
  <c r="BC363"/>
  <c r="BC364"/>
  <c r="BC367"/>
  <c r="BC368"/>
  <c r="BC371"/>
  <c r="BC388"/>
  <c r="BC389"/>
  <c r="BC405"/>
  <c r="BD95"/>
  <c r="BD96"/>
  <c r="BD97"/>
  <c r="BD98"/>
  <c r="BD159"/>
  <c r="BD160"/>
  <c r="BD161"/>
  <c r="BD169"/>
  <c r="BD170"/>
  <c r="BD171"/>
  <c r="BD173"/>
  <c r="BD174"/>
  <c r="BD175"/>
  <c r="BD183"/>
  <c r="BD274"/>
  <c r="BD279"/>
  <c r="BD281"/>
  <c r="BD297"/>
  <c r="BD346"/>
  <c r="BD350"/>
  <c r="BD351"/>
  <c r="BD352"/>
  <c r="BD353"/>
  <c r="BD357"/>
  <c r="BD358"/>
  <c r="BD361"/>
  <c r="BD362"/>
  <c r="BD363"/>
  <c r="BD364"/>
  <c r="BD367"/>
  <c r="BD368"/>
  <c r="BD371"/>
  <c r="BD388"/>
  <c r="BD389"/>
  <c r="BD405"/>
  <c r="BE95"/>
  <c r="BE96"/>
  <c r="BE97"/>
  <c r="BE98"/>
  <c r="BE161"/>
  <c r="BE171"/>
  <c r="BE173"/>
  <c r="BE174"/>
  <c r="BE175"/>
  <c r="BE183"/>
  <c r="BE274"/>
  <c r="BE279"/>
  <c r="BE281"/>
  <c r="BE297"/>
  <c r="BE346"/>
  <c r="BE353"/>
  <c r="BE357"/>
  <c r="BE361"/>
  <c r="BE362"/>
  <c r="BE363"/>
  <c r="BE364"/>
  <c r="BE367"/>
  <c r="BE368"/>
  <c r="BE371"/>
  <c r="BE388"/>
  <c r="BE389"/>
  <c r="BE405"/>
  <c r="BF95"/>
  <c r="BF96"/>
  <c r="BF97"/>
  <c r="BF98"/>
  <c r="BF159"/>
  <c r="BF160"/>
  <c r="BF161"/>
  <c r="BF169"/>
  <c r="BF170"/>
  <c r="BF171"/>
  <c r="BF173"/>
  <c r="BF174"/>
  <c r="BF175"/>
  <c r="BF183"/>
  <c r="BF187"/>
  <c r="BF274"/>
  <c r="BF279"/>
  <c r="BF281"/>
  <c r="BF297"/>
  <c r="BF346"/>
  <c r="BF350"/>
  <c r="BF351"/>
  <c r="BF352"/>
  <c r="BF353"/>
  <c r="BF357"/>
  <c r="BF361"/>
  <c r="BF362"/>
  <c r="BF363"/>
  <c r="BF364"/>
  <c r="BF367"/>
  <c r="BF368"/>
  <c r="BF371"/>
  <c r="BF388"/>
  <c r="BF389"/>
  <c r="BF405"/>
  <c r="BH80"/>
  <c r="BH95"/>
  <c r="BH96"/>
  <c r="BH97"/>
  <c r="BH98"/>
  <c r="BH107"/>
  <c r="BH159"/>
  <c r="BH161"/>
  <c r="BH169"/>
  <c r="BH170"/>
  <c r="BH171"/>
  <c r="BH173"/>
  <c r="BH174"/>
  <c r="BH175"/>
  <c r="BH183"/>
  <c r="BH274"/>
  <c r="BH279"/>
  <c r="BH281"/>
  <c r="BH297"/>
  <c r="BH346"/>
  <c r="BH350"/>
  <c r="BH351"/>
  <c r="BH352"/>
  <c r="BH353"/>
  <c r="BH357"/>
  <c r="BH358"/>
  <c r="BH361"/>
  <c r="BH362"/>
  <c r="BH363"/>
  <c r="BH364"/>
  <c r="BH367"/>
  <c r="BH368"/>
  <c r="BH371"/>
  <c r="BH388"/>
  <c r="BH389"/>
  <c r="BH405"/>
  <c r="BJ80"/>
  <c r="BJ95"/>
  <c r="BJ96"/>
  <c r="BJ97"/>
  <c r="BJ98"/>
  <c r="BJ159"/>
  <c r="BJ160"/>
  <c r="BJ161"/>
  <c r="BJ169"/>
  <c r="BJ170"/>
  <c r="BJ171"/>
  <c r="BJ173"/>
  <c r="BJ174"/>
  <c r="BJ175"/>
  <c r="BJ183"/>
  <c r="BJ274"/>
  <c r="BJ279"/>
  <c r="BJ281"/>
  <c r="BJ297"/>
  <c r="BJ346"/>
  <c r="BJ350"/>
  <c r="BJ351"/>
  <c r="BJ352"/>
  <c r="BJ353"/>
  <c r="BJ357"/>
  <c r="BJ358"/>
  <c r="BJ361"/>
  <c r="BJ362"/>
  <c r="BJ363"/>
  <c r="BJ364"/>
  <c r="BJ367"/>
  <c r="BJ368"/>
  <c r="BJ371"/>
  <c r="BJ388"/>
  <c r="BJ389"/>
  <c r="BJ405"/>
  <c r="BK405"/>
  <c r="BL405"/>
  <c r="BM405"/>
  <c r="BN405"/>
  <c r="BO405"/>
  <c r="BP405"/>
  <c r="BQ405"/>
  <c r="BR405"/>
  <c r="BS405"/>
  <c r="BT405"/>
  <c r="BU405"/>
  <c r="BV405"/>
  <c r="BW405"/>
  <c r="BX405"/>
  <c r="BY405"/>
  <c r="BZ405"/>
  <c r="CA405"/>
  <c r="CB405"/>
  <c r="CC405"/>
  <c r="CD405"/>
  <c r="AX169"/>
  <c r="AX209"/>
  <c r="AX248"/>
  <c r="AX405"/>
  <c r="AY95"/>
  <c r="AY96"/>
  <c r="AY97"/>
  <c r="AY98"/>
  <c r="AY159"/>
  <c r="AY160"/>
  <c r="AY161"/>
  <c r="AY169"/>
  <c r="AY170"/>
  <c r="AY171"/>
  <c r="AY173"/>
  <c r="AY174"/>
  <c r="AY175"/>
  <c r="AY183"/>
  <c r="AY274"/>
  <c r="AY279"/>
  <c r="AY281"/>
  <c r="AY297"/>
  <c r="AY346"/>
  <c r="AY350"/>
  <c r="AY352"/>
  <c r="AY353"/>
  <c r="AY357"/>
  <c r="AY358"/>
  <c r="AY361"/>
  <c r="AY362"/>
  <c r="AY363"/>
  <c r="AY364"/>
  <c r="AY367"/>
  <c r="AY368"/>
  <c r="AY371"/>
  <c r="AY388"/>
  <c r="AY389"/>
  <c r="AY405"/>
  <c r="CF405"/>
  <c r="AX422"/>
  <c r="AX406"/>
  <c r="AX407"/>
  <c r="AX408"/>
  <c r="AX409"/>
  <c r="AX410"/>
  <c r="AX411"/>
  <c r="AX412"/>
  <c r="AX413"/>
  <c r="AX414"/>
  <c r="AX415"/>
  <c r="AX416"/>
  <c r="AX417"/>
  <c r="AX418"/>
  <c r="AX419"/>
  <c r="AX420"/>
  <c r="AX421"/>
  <c r="AX423"/>
  <c r="AY406"/>
  <c r="AY407"/>
  <c r="AY408"/>
  <c r="AY409"/>
  <c r="AY410"/>
  <c r="AY411"/>
  <c r="AY412"/>
  <c r="AY413"/>
  <c r="AY414"/>
  <c r="AY415"/>
  <c r="AY416"/>
  <c r="AY417"/>
  <c r="AY418"/>
  <c r="AY419"/>
  <c r="AY420"/>
  <c r="AY421"/>
  <c r="AY423"/>
  <c r="AZ406"/>
  <c r="AZ407"/>
  <c r="AZ408"/>
  <c r="AZ409"/>
  <c r="AZ410"/>
  <c r="AZ411"/>
  <c r="AZ412"/>
  <c r="AZ413"/>
  <c r="AZ414"/>
  <c r="AZ415"/>
  <c r="AZ416"/>
  <c r="AZ417"/>
  <c r="AZ418"/>
  <c r="AZ419"/>
  <c r="AZ420"/>
  <c r="AZ421"/>
  <c r="AZ423"/>
  <c r="BA406"/>
  <c r="BA407"/>
  <c r="BA408"/>
  <c r="BA409"/>
  <c r="BA410"/>
  <c r="BA411"/>
  <c r="BA412"/>
  <c r="BA413"/>
  <c r="BA414"/>
  <c r="BA415"/>
  <c r="BA416"/>
  <c r="BA417"/>
  <c r="BA418"/>
  <c r="BA419"/>
  <c r="BA420"/>
  <c r="BA421"/>
  <c r="BA423"/>
  <c r="BB406"/>
  <c r="BB422"/>
  <c r="BB407"/>
  <c r="BB408"/>
  <c r="BB409"/>
  <c r="BB410"/>
  <c r="BB411"/>
  <c r="BB412"/>
  <c r="BB413"/>
  <c r="BB414"/>
  <c r="BB415"/>
  <c r="BB416"/>
  <c r="BB417"/>
  <c r="BB418"/>
  <c r="BB419"/>
  <c r="BB420"/>
  <c r="BB421"/>
  <c r="BB423"/>
  <c r="BC406"/>
  <c r="BC407"/>
  <c r="BC408"/>
  <c r="BC409"/>
  <c r="BC410"/>
  <c r="BC411"/>
  <c r="BC412"/>
  <c r="BC413"/>
  <c r="BC414"/>
  <c r="BC415"/>
  <c r="BC416"/>
  <c r="BC417"/>
  <c r="BC418"/>
  <c r="BC419"/>
  <c r="BC420"/>
  <c r="BC421"/>
  <c r="BC423"/>
  <c r="BD406"/>
  <c r="BD407"/>
  <c r="BD408"/>
  <c r="BD409"/>
  <c r="BD410"/>
  <c r="BD411"/>
  <c r="BD412"/>
  <c r="BD413"/>
  <c r="BD414"/>
  <c r="BD415"/>
  <c r="BD416"/>
  <c r="BD417"/>
  <c r="BD418"/>
  <c r="BD419"/>
  <c r="BD420"/>
  <c r="BD421"/>
  <c r="BD423"/>
  <c r="BE406"/>
  <c r="BE407"/>
  <c r="BE408"/>
  <c r="BE409"/>
  <c r="BE410"/>
  <c r="BE411"/>
  <c r="BE412"/>
  <c r="BE413"/>
  <c r="BE414"/>
  <c r="BE415"/>
  <c r="BE416"/>
  <c r="BE417"/>
  <c r="BE418"/>
  <c r="BE419"/>
  <c r="BE420"/>
  <c r="BE421"/>
  <c r="BE423"/>
  <c r="BF406"/>
  <c r="BF407"/>
  <c r="BF408"/>
  <c r="BF409"/>
  <c r="BF410"/>
  <c r="BF411"/>
  <c r="BF412"/>
  <c r="BF413"/>
  <c r="BF414"/>
  <c r="BF415"/>
  <c r="BF416"/>
  <c r="BF417"/>
  <c r="BF418"/>
  <c r="BF419"/>
  <c r="BF420"/>
  <c r="BF421"/>
  <c r="BF423"/>
  <c r="BG406"/>
  <c r="BG422"/>
  <c r="BG407"/>
  <c r="BG408"/>
  <c r="BG409"/>
  <c r="BG410"/>
  <c r="BG411"/>
  <c r="BG412"/>
  <c r="BG413"/>
  <c r="BG414"/>
  <c r="BG415"/>
  <c r="BG416"/>
  <c r="BG417"/>
  <c r="BG418"/>
  <c r="BG419"/>
  <c r="BG420"/>
  <c r="BG421"/>
  <c r="BG423"/>
  <c r="BH406"/>
  <c r="BH407"/>
  <c r="BH408"/>
  <c r="BH409"/>
  <c r="BH410"/>
  <c r="BH411"/>
  <c r="BH412"/>
  <c r="BH413"/>
  <c r="BH414"/>
  <c r="BH415"/>
  <c r="BH416"/>
  <c r="BH417"/>
  <c r="BH418"/>
  <c r="BH419"/>
  <c r="BH420"/>
  <c r="BH421"/>
  <c r="BH423"/>
  <c r="BI406"/>
  <c r="BI422"/>
  <c r="BI407"/>
  <c r="BI408"/>
  <c r="BI409"/>
  <c r="BI410"/>
  <c r="BI411"/>
  <c r="BI412"/>
  <c r="BI413"/>
  <c r="BI414"/>
  <c r="BI415"/>
  <c r="BI416"/>
  <c r="BI417"/>
  <c r="BI418"/>
  <c r="BI419"/>
  <c r="BI420"/>
  <c r="BI421"/>
  <c r="BI423"/>
  <c r="BJ406"/>
  <c r="BJ407"/>
  <c r="BJ408"/>
  <c r="BJ409"/>
  <c r="BJ410"/>
  <c r="BJ411"/>
  <c r="BJ412"/>
  <c r="BJ413"/>
  <c r="BJ414"/>
  <c r="BJ415"/>
  <c r="BJ416"/>
  <c r="BJ417"/>
  <c r="BJ418"/>
  <c r="BJ419"/>
  <c r="BJ420"/>
  <c r="BJ421"/>
  <c r="BJ423"/>
  <c r="BK406"/>
  <c r="BK407"/>
  <c r="BK408"/>
  <c r="BK409"/>
  <c r="BK410"/>
  <c r="BK411"/>
  <c r="BK412"/>
  <c r="BK413"/>
  <c r="BK414"/>
  <c r="BK415"/>
  <c r="BK416"/>
  <c r="BK417"/>
  <c r="BK418"/>
  <c r="BK419"/>
  <c r="BK420"/>
  <c r="BK421"/>
  <c r="BK423"/>
  <c r="BL406"/>
  <c r="BL407"/>
  <c r="BL408"/>
  <c r="BL409"/>
  <c r="BL410"/>
  <c r="BL411"/>
  <c r="BL412"/>
  <c r="BL413"/>
  <c r="BL414"/>
  <c r="BL415"/>
  <c r="BL416"/>
  <c r="BL417"/>
  <c r="BL418"/>
  <c r="BL419"/>
  <c r="BL420"/>
  <c r="BL421"/>
  <c r="BL423"/>
  <c r="BM406"/>
  <c r="BM407"/>
  <c r="BM408"/>
  <c r="BM409"/>
  <c r="BM410"/>
  <c r="BM411"/>
  <c r="BM412"/>
  <c r="BM413"/>
  <c r="BM414"/>
  <c r="BM415"/>
  <c r="BM416"/>
  <c r="BM417"/>
  <c r="BM418"/>
  <c r="BM419"/>
  <c r="BM420"/>
  <c r="BM421"/>
  <c r="BM423"/>
  <c r="BN406"/>
  <c r="BN407"/>
  <c r="BN408"/>
  <c r="BN409"/>
  <c r="BN410"/>
  <c r="BN411"/>
  <c r="BN412"/>
  <c r="BN413"/>
  <c r="BN414"/>
  <c r="BN415"/>
  <c r="BN416"/>
  <c r="BN417"/>
  <c r="BN418"/>
  <c r="BN419"/>
  <c r="BN420"/>
  <c r="BN421"/>
  <c r="BN423"/>
  <c r="BO406"/>
  <c r="BO407"/>
  <c r="BO408"/>
  <c r="BO409"/>
  <c r="BO410"/>
  <c r="BO411"/>
  <c r="BO412"/>
  <c r="BO413"/>
  <c r="BO414"/>
  <c r="BO415"/>
  <c r="BO416"/>
  <c r="BO417"/>
  <c r="BO418"/>
  <c r="BO419"/>
  <c r="BO420"/>
  <c r="BO421"/>
  <c r="BO423"/>
  <c r="BP406"/>
  <c r="BP407"/>
  <c r="BP408"/>
  <c r="BP409"/>
  <c r="BP410"/>
  <c r="BP411"/>
  <c r="BP412"/>
  <c r="BP413"/>
  <c r="BP414"/>
  <c r="BP415"/>
  <c r="BP416"/>
  <c r="BP417"/>
  <c r="BP418"/>
  <c r="BP419"/>
  <c r="BP420"/>
  <c r="BP421"/>
  <c r="BP423"/>
  <c r="BQ406"/>
  <c r="BQ407"/>
  <c r="BQ408"/>
  <c r="BQ409"/>
  <c r="BQ410"/>
  <c r="BQ411"/>
  <c r="BQ412"/>
  <c r="BQ413"/>
  <c r="BQ414"/>
  <c r="BQ415"/>
  <c r="BQ416"/>
  <c r="BQ417"/>
  <c r="BQ418"/>
  <c r="BQ419"/>
  <c r="BQ420"/>
  <c r="BQ421"/>
  <c r="BQ423"/>
  <c r="BR406"/>
  <c r="BR407"/>
  <c r="BR408"/>
  <c r="BR409"/>
  <c r="BR410"/>
  <c r="BR411"/>
  <c r="BR412"/>
  <c r="BR413"/>
  <c r="BR414"/>
  <c r="BR415"/>
  <c r="BR416"/>
  <c r="BR417"/>
  <c r="BR418"/>
  <c r="BR419"/>
  <c r="BR420"/>
  <c r="BR421"/>
  <c r="BR423"/>
  <c r="BS406"/>
  <c r="BS407"/>
  <c r="BS408"/>
  <c r="BS409"/>
  <c r="BS410"/>
  <c r="BS411"/>
  <c r="BS412"/>
  <c r="BS413"/>
  <c r="BS414"/>
  <c r="BS415"/>
  <c r="BS416"/>
  <c r="BS417"/>
  <c r="BS418"/>
  <c r="BS419"/>
  <c r="BS420"/>
  <c r="BS421"/>
  <c r="BS423"/>
  <c r="BT406"/>
  <c r="BT407"/>
  <c r="BT408"/>
  <c r="BT409"/>
  <c r="BT410"/>
  <c r="BT411"/>
  <c r="BT412"/>
  <c r="BT413"/>
  <c r="BT414"/>
  <c r="BT415"/>
  <c r="BT416"/>
  <c r="BT417"/>
  <c r="BT418"/>
  <c r="BT419"/>
  <c r="BT420"/>
  <c r="BT421"/>
  <c r="BT423"/>
  <c r="BU406"/>
  <c r="BU407"/>
  <c r="BU408"/>
  <c r="BU409"/>
  <c r="BU410"/>
  <c r="BU411"/>
  <c r="BU412"/>
  <c r="BU413"/>
  <c r="BU414"/>
  <c r="BU415"/>
  <c r="BU416"/>
  <c r="BU417"/>
  <c r="BU418"/>
  <c r="BU419"/>
  <c r="BU420"/>
  <c r="BU421"/>
  <c r="BU423"/>
  <c r="BV406"/>
  <c r="BV407"/>
  <c r="BV408"/>
  <c r="BV409"/>
  <c r="BV410"/>
  <c r="BV411"/>
  <c r="BV412"/>
  <c r="BV413"/>
  <c r="BV414"/>
  <c r="BV415"/>
  <c r="BV416"/>
  <c r="BV417"/>
  <c r="BV418"/>
  <c r="BV419"/>
  <c r="BV420"/>
  <c r="BV421"/>
  <c r="BV423"/>
  <c r="BW406"/>
  <c r="BW407"/>
  <c r="BW408"/>
  <c r="BW409"/>
  <c r="BW410"/>
  <c r="BW411"/>
  <c r="BW412"/>
  <c r="BW413"/>
  <c r="BW414"/>
  <c r="BW415"/>
  <c r="BW416"/>
  <c r="BW417"/>
  <c r="BW418"/>
  <c r="BW419"/>
  <c r="BW420"/>
  <c r="BW421"/>
  <c r="BW423"/>
  <c r="BX406"/>
  <c r="BX407"/>
  <c r="BX408"/>
  <c r="BX409"/>
  <c r="BX410"/>
  <c r="BX411"/>
  <c r="BX412"/>
  <c r="BX413"/>
  <c r="BX414"/>
  <c r="BX415"/>
  <c r="BX416"/>
  <c r="BX417"/>
  <c r="BX418"/>
  <c r="BX419"/>
  <c r="BX420"/>
  <c r="BX421"/>
  <c r="BX423"/>
  <c r="BY406"/>
  <c r="BY407"/>
  <c r="BY408"/>
  <c r="BY409"/>
  <c r="BY410"/>
  <c r="BY411"/>
  <c r="BY412"/>
  <c r="BY413"/>
  <c r="BY414"/>
  <c r="BY415"/>
  <c r="BY416"/>
  <c r="BY417"/>
  <c r="BY418"/>
  <c r="BY419"/>
  <c r="BY420"/>
  <c r="BY421"/>
  <c r="BY423"/>
  <c r="BZ406"/>
  <c r="BZ407"/>
  <c r="BZ408"/>
  <c r="BZ409"/>
  <c r="BZ410"/>
  <c r="BZ411"/>
  <c r="BZ412"/>
  <c r="BZ413"/>
  <c r="BZ414"/>
  <c r="BZ415"/>
  <c r="BZ416"/>
  <c r="BZ417"/>
  <c r="BZ418"/>
  <c r="BZ419"/>
  <c r="BZ420"/>
  <c r="BZ421"/>
  <c r="BZ423"/>
  <c r="CA406"/>
  <c r="CA407"/>
  <c r="CA408"/>
  <c r="CA409"/>
  <c r="CA410"/>
  <c r="CA411"/>
  <c r="CA412"/>
  <c r="CA413"/>
  <c r="CA414"/>
  <c r="CA415"/>
  <c r="CA416"/>
  <c r="CA417"/>
  <c r="CA418"/>
  <c r="CA419"/>
  <c r="CA420"/>
  <c r="CA421"/>
  <c r="CA423"/>
  <c r="CB406"/>
  <c r="CB407"/>
  <c r="CB408"/>
  <c r="CB409"/>
  <c r="CB410"/>
  <c r="CB411"/>
  <c r="CB412"/>
  <c r="CB413"/>
  <c r="CB414"/>
  <c r="CB415"/>
  <c r="CB416"/>
  <c r="CB417"/>
  <c r="CB418"/>
  <c r="CB419"/>
  <c r="CB420"/>
  <c r="CB421"/>
  <c r="CB423"/>
  <c r="CC406"/>
  <c r="CC407"/>
  <c r="CC408"/>
  <c r="CC409"/>
  <c r="CC410"/>
  <c r="CC411"/>
  <c r="CC412"/>
  <c r="CC413"/>
  <c r="CC414"/>
  <c r="CC415"/>
  <c r="CC416"/>
  <c r="CC417"/>
  <c r="CC418"/>
  <c r="CC419"/>
  <c r="CC420"/>
  <c r="CC421"/>
  <c r="CC423"/>
  <c r="CD406"/>
  <c r="CD407"/>
  <c r="CD408"/>
  <c r="CD409"/>
  <c r="CD410"/>
  <c r="CD411"/>
  <c r="CD412"/>
  <c r="CD413"/>
  <c r="CD414"/>
  <c r="CD415"/>
  <c r="CD416"/>
  <c r="CD417"/>
  <c r="CD418"/>
  <c r="CD419"/>
  <c r="CD420"/>
  <c r="CD421"/>
  <c r="CD423"/>
  <c r="CF423"/>
  <c r="CF424"/>
  <c r="CD424"/>
  <c r="CC424"/>
  <c r="CB424"/>
  <c r="CA424"/>
  <c r="BZ424"/>
  <c r="BY424"/>
  <c r="BX424"/>
  <c r="BW424"/>
  <c r="BV424"/>
  <c r="BU424"/>
  <c r="BT424"/>
  <c r="BS424"/>
  <c r="BR424"/>
  <c r="BQ424"/>
  <c r="BP424"/>
  <c r="BO424"/>
  <c r="BN424"/>
  <c r="BM424"/>
  <c r="BL424"/>
  <c r="BK424"/>
  <c r="BJ424"/>
  <c r="BI424"/>
  <c r="BH424"/>
  <c r="BG424"/>
  <c r="BF424"/>
  <c r="BE424"/>
  <c r="BD424"/>
  <c r="BC424"/>
  <c r="BB424"/>
  <c r="BA424"/>
  <c r="AZ424"/>
  <c r="AY424"/>
  <c r="N4"/>
  <c r="N5"/>
  <c r="N6"/>
  <c r="N7"/>
  <c r="N8"/>
  <c r="N9"/>
  <c r="N10"/>
  <c r="N11"/>
  <c r="N12"/>
  <c r="N13"/>
  <c r="N14"/>
  <c r="N15"/>
  <c r="N16"/>
  <c r="N17"/>
  <c r="N18"/>
  <c r="N19"/>
  <c r="N20"/>
  <c r="N21"/>
  <c r="N22"/>
  <c r="N23"/>
  <c r="N24"/>
  <c r="N25"/>
  <c r="N26"/>
  <c r="N27"/>
  <c r="N28"/>
  <c r="N29"/>
  <c r="N30"/>
  <c r="N31"/>
  <c r="N32"/>
  <c r="N33"/>
  <c r="N34"/>
  <c r="N35"/>
  <c r="N36"/>
  <c r="N37"/>
  <c r="N38"/>
  <c r="N39"/>
  <c r="N40"/>
  <c r="N41"/>
  <c r="N42"/>
  <c r="N43"/>
  <c r="N95"/>
  <c r="N96"/>
  <c r="N97"/>
  <c r="N243"/>
  <c r="N281"/>
  <c r="N337"/>
  <c r="N405"/>
  <c r="N406"/>
  <c r="N407"/>
  <c r="N410"/>
  <c r="N413"/>
  <c r="N414"/>
  <c r="N415"/>
  <c r="N420"/>
  <c r="N422"/>
  <c r="N408"/>
  <c r="N409"/>
  <c r="N411"/>
  <c r="N412"/>
  <c r="N416"/>
  <c r="N417"/>
  <c r="N418"/>
  <c r="N419"/>
  <c r="N421"/>
  <c r="N423"/>
  <c r="CF422"/>
  <c r="CG422"/>
  <c r="CF421"/>
  <c r="CF420"/>
  <c r="CF419"/>
  <c r="CF418"/>
  <c r="CF417"/>
  <c r="CF416"/>
  <c r="CF415"/>
  <c r="CF414"/>
  <c r="CF413"/>
  <c r="CF412"/>
  <c r="CF411"/>
  <c r="CF410"/>
  <c r="CF409"/>
  <c r="CF408"/>
  <c r="CF407"/>
  <c r="CF406"/>
  <c r="CG423"/>
  <c r="CG421"/>
  <c r="CG420"/>
  <c r="CG419"/>
  <c r="CG418"/>
  <c r="CG417"/>
  <c r="CG416"/>
  <c r="CG415"/>
  <c r="CG414"/>
  <c r="CG413"/>
  <c r="CG412"/>
  <c r="CG411"/>
  <c r="CG410"/>
  <c r="CG409"/>
  <c r="CG408"/>
  <c r="CG407"/>
  <c r="CG406"/>
  <c r="CG405"/>
  <c r="AX424"/>
  <c r="N424"/>
  <c r="CF99"/>
  <c r="I347"/>
  <c r="K347"/>
  <c r="O347"/>
  <c r="CF347"/>
  <c r="I279"/>
  <c r="K279"/>
  <c r="M279"/>
  <c r="CF279"/>
  <c r="I151"/>
  <c r="K151"/>
  <c r="M151"/>
  <c r="CF151"/>
  <c r="I138"/>
  <c r="K138"/>
  <c r="M138"/>
  <c r="CF138"/>
  <c r="I139"/>
  <c r="K139"/>
  <c r="M139"/>
  <c r="CF139"/>
  <c r="CF404"/>
  <c r="I404"/>
  <c r="K404"/>
  <c r="CF403"/>
  <c r="I403"/>
  <c r="K403"/>
  <c r="CF402"/>
  <c r="I402"/>
  <c r="K402"/>
  <c r="CF401"/>
  <c r="M401"/>
  <c r="I401"/>
  <c r="K401"/>
  <c r="CF400"/>
  <c r="M400"/>
  <c r="I400"/>
  <c r="K400"/>
  <c r="CF399"/>
  <c r="M399"/>
  <c r="H399"/>
  <c r="I399"/>
  <c r="K399"/>
  <c r="CF398"/>
  <c r="M398"/>
  <c r="H398"/>
  <c r="I398"/>
  <c r="K398"/>
  <c r="CF397"/>
  <c r="M397"/>
  <c r="I397"/>
  <c r="K397"/>
  <c r="CF366"/>
  <c r="CF367"/>
  <c r="CF368"/>
  <c r="CF369"/>
  <c r="CF370"/>
  <c r="CF371"/>
  <c r="CF372"/>
  <c r="CF373"/>
  <c r="CF374"/>
  <c r="CF375"/>
  <c r="CF376"/>
  <c r="CF377"/>
  <c r="CF378"/>
  <c r="CF379"/>
  <c r="CF380"/>
  <c r="CF381"/>
  <c r="CF382"/>
  <c r="CF383"/>
  <c r="CF384"/>
  <c r="CF385"/>
  <c r="CF386"/>
  <c r="CF387"/>
  <c r="CF388"/>
  <c r="CF389"/>
  <c r="CF390"/>
  <c r="CF391"/>
  <c r="CF392"/>
  <c r="CF393"/>
  <c r="CF394"/>
  <c r="CF395"/>
  <c r="CF396"/>
  <c r="I396"/>
  <c r="K396"/>
  <c r="O396"/>
  <c r="M396"/>
  <c r="I395"/>
  <c r="K395"/>
  <c r="O395"/>
  <c r="I394"/>
  <c r="K394"/>
  <c r="O394"/>
  <c r="I393"/>
  <c r="K393"/>
  <c r="O393"/>
  <c r="M393"/>
  <c r="I392"/>
  <c r="K392"/>
  <c r="O392"/>
  <c r="M392"/>
  <c r="I391"/>
  <c r="K391"/>
  <c r="O391"/>
  <c r="I390"/>
  <c r="K390"/>
  <c r="O390"/>
  <c r="M390"/>
  <c r="I389"/>
  <c r="K389"/>
  <c r="O389"/>
  <c r="I388"/>
  <c r="K388"/>
  <c r="O388"/>
  <c r="I387"/>
  <c r="K387"/>
  <c r="O387"/>
  <c r="I386"/>
  <c r="K386"/>
  <c r="O386"/>
  <c r="M386"/>
  <c r="I385"/>
  <c r="K385"/>
  <c r="O385"/>
  <c r="M385"/>
  <c r="I384"/>
  <c r="K384"/>
  <c r="O384"/>
  <c r="M384"/>
  <c r="I383"/>
  <c r="K383"/>
  <c r="O383"/>
  <c r="M383"/>
  <c r="I382"/>
  <c r="K382"/>
  <c r="O382"/>
  <c r="I381"/>
  <c r="K381"/>
  <c r="O381"/>
  <c r="M381"/>
  <c r="I380"/>
  <c r="K380"/>
  <c r="O380"/>
  <c r="M380"/>
  <c r="I379"/>
  <c r="K379"/>
  <c r="O379"/>
  <c r="I378"/>
  <c r="K378"/>
  <c r="O378"/>
  <c r="M378"/>
  <c r="I377"/>
  <c r="K377"/>
  <c r="O377"/>
  <c r="M377"/>
  <c r="I376"/>
  <c r="K376"/>
  <c r="O376"/>
  <c r="M376"/>
  <c r="I375"/>
  <c r="K375"/>
  <c r="O375"/>
  <c r="I374"/>
  <c r="K374"/>
  <c r="O374"/>
  <c r="M374"/>
  <c r="I373"/>
  <c r="K373"/>
  <c r="O373"/>
  <c r="M373"/>
  <c r="I372"/>
  <c r="K372"/>
  <c r="O372"/>
  <c r="M372"/>
  <c r="I371"/>
  <c r="K371"/>
  <c r="O371"/>
  <c r="M371"/>
  <c r="I370"/>
  <c r="K370"/>
  <c r="O370"/>
  <c r="M370"/>
  <c r="I369"/>
  <c r="K369"/>
  <c r="O369"/>
  <c r="M369"/>
  <c r="I368"/>
  <c r="K368"/>
  <c r="O368"/>
  <c r="M368"/>
  <c r="I367"/>
  <c r="K367"/>
  <c r="O367"/>
  <c r="M367"/>
  <c r="I366"/>
  <c r="K366"/>
  <c r="O366"/>
  <c r="M366"/>
  <c r="R8" i="49"/>
  <c r="R12"/>
  <c r="R13"/>
  <c r="R14"/>
  <c r="R15"/>
  <c r="R16"/>
  <c r="R17"/>
  <c r="R18"/>
  <c r="R7"/>
  <c r="R22"/>
  <c r="R23"/>
  <c r="R24"/>
  <c r="R25"/>
  <c r="R26"/>
  <c r="R27"/>
  <c r="R28"/>
  <c r="R30"/>
  <c r="R33"/>
  <c r="R34"/>
  <c r="R35"/>
  <c r="R36"/>
  <c r="R37"/>
  <c r="R38"/>
  <c r="R39"/>
  <c r="R40"/>
  <c r="R41"/>
  <c r="R42"/>
  <c r="R43"/>
  <c r="R44"/>
  <c r="R45"/>
  <c r="R46"/>
  <c r="R47"/>
  <c r="R48"/>
  <c r="R21"/>
  <c r="R51"/>
  <c r="R55"/>
  <c r="R56"/>
  <c r="R57"/>
  <c r="R58"/>
  <c r="R59"/>
  <c r="R60"/>
  <c r="R61"/>
  <c r="R62"/>
  <c r="R63"/>
  <c r="R64"/>
  <c r="R65"/>
  <c r="R50"/>
  <c r="R20"/>
  <c r="R71"/>
  <c r="R73"/>
  <c r="R74"/>
  <c r="R75"/>
  <c r="R76"/>
  <c r="R77"/>
  <c r="R78"/>
  <c r="R79"/>
  <c r="R80"/>
  <c r="R81"/>
  <c r="R82"/>
  <c r="R83"/>
  <c r="R84"/>
  <c r="R85"/>
  <c r="R87"/>
  <c r="R86"/>
  <c r="R88"/>
  <c r="R89"/>
  <c r="R69"/>
  <c r="R92"/>
  <c r="R91"/>
  <c r="R95"/>
  <c r="R96"/>
  <c r="R99"/>
  <c r="R100"/>
  <c r="R101"/>
  <c r="R102"/>
  <c r="R103"/>
  <c r="R104"/>
  <c r="R105"/>
  <c r="R106"/>
  <c r="R107"/>
  <c r="R108"/>
  <c r="R109"/>
  <c r="R94"/>
  <c r="R112"/>
  <c r="R113"/>
  <c r="R115"/>
  <c r="R111"/>
  <c r="R118"/>
  <c r="R117"/>
  <c r="R68"/>
  <c r="R121"/>
  <c r="R122"/>
  <c r="R124"/>
  <c r="R125"/>
  <c r="R126"/>
  <c r="R127"/>
  <c r="R128"/>
  <c r="R129"/>
  <c r="R130"/>
  <c r="R131"/>
  <c r="R132"/>
  <c r="R133"/>
  <c r="R134"/>
  <c r="R135"/>
  <c r="R120"/>
  <c r="R138"/>
  <c r="R139"/>
  <c r="R140"/>
  <c r="R141"/>
  <c r="R142"/>
  <c r="R143"/>
  <c r="R144"/>
  <c r="R145"/>
  <c r="R136"/>
  <c r="R147"/>
  <c r="R146"/>
  <c r="R119"/>
  <c r="R150"/>
  <c r="R152"/>
  <c r="R149"/>
  <c r="R154"/>
  <c r="R155"/>
  <c r="R156"/>
  <c r="R157"/>
  <c r="R159"/>
  <c r="R160"/>
  <c r="R158"/>
  <c r="R161"/>
  <c r="R162"/>
  <c r="R153"/>
  <c r="R164"/>
  <c r="R168"/>
  <c r="R169"/>
  <c r="R170"/>
  <c r="R171"/>
  <c r="R172"/>
  <c r="R174"/>
  <c r="R173"/>
  <c r="R176"/>
  <c r="R177"/>
  <c r="R175"/>
  <c r="R163"/>
  <c r="R148"/>
  <c r="R6"/>
  <c r="R8" i="47"/>
  <c r="E3" i="49"/>
  <c r="F3"/>
  <c r="G3"/>
  <c r="H3"/>
  <c r="I3"/>
  <c r="CF342" i="89"/>
  <c r="CF343"/>
  <c r="CF344"/>
  <c r="CF345"/>
  <c r="CF346"/>
  <c r="CF348"/>
  <c r="CF349"/>
  <c r="CF350"/>
  <c r="CF351"/>
  <c r="CF352"/>
  <c r="CF353"/>
  <c r="CF354"/>
  <c r="CF355"/>
  <c r="CF356"/>
  <c r="CF357"/>
  <c r="CF358"/>
  <c r="CF359"/>
  <c r="CF360"/>
  <c r="CF361"/>
  <c r="CF362"/>
  <c r="CF363"/>
  <c r="CF364"/>
  <c r="CF365"/>
  <c r="CF341"/>
  <c r="CF337"/>
  <c r="CF338"/>
  <c r="CF339"/>
  <c r="CF340"/>
  <c r="I365"/>
  <c r="K365"/>
  <c r="O365"/>
  <c r="I361"/>
  <c r="K361"/>
  <c r="O361"/>
  <c r="I354"/>
  <c r="K354"/>
  <c r="O354"/>
  <c r="I349"/>
  <c r="K349"/>
  <c r="O349"/>
  <c r="I348"/>
  <c r="K348"/>
  <c r="O348"/>
  <c r="I345"/>
  <c r="K345"/>
  <c r="O345"/>
  <c r="I344"/>
  <c r="K344"/>
  <c r="O344"/>
  <c r="I343"/>
  <c r="K343"/>
  <c r="O343"/>
  <c r="M343"/>
  <c r="I342"/>
  <c r="K342"/>
  <c r="O342"/>
  <c r="M342"/>
  <c r="M341"/>
  <c r="I341"/>
  <c r="K341"/>
  <c r="M340"/>
  <c r="I340"/>
  <c r="K340"/>
  <c r="M339"/>
  <c r="I339"/>
  <c r="K339"/>
  <c r="M338"/>
  <c r="I338"/>
  <c r="K338"/>
  <c r="I337"/>
  <c r="K337"/>
  <c r="CF329"/>
  <c r="CF330"/>
  <c r="CF331"/>
  <c r="CF332"/>
  <c r="CF333"/>
  <c r="CF334"/>
  <c r="CF335"/>
  <c r="CF336"/>
  <c r="M336"/>
  <c r="I336"/>
  <c r="K336"/>
  <c r="M335"/>
  <c r="I335"/>
  <c r="K335"/>
  <c r="M334"/>
  <c r="I334"/>
  <c r="K334"/>
  <c r="M333"/>
  <c r="I333"/>
  <c r="K333"/>
  <c r="M332"/>
  <c r="I332"/>
  <c r="K332"/>
  <c r="M331"/>
  <c r="I331"/>
  <c r="K331"/>
  <c r="M330"/>
  <c r="I330"/>
  <c r="K330"/>
  <c r="M329"/>
  <c r="I329"/>
  <c r="K329"/>
  <c r="CF319"/>
  <c r="CF320"/>
  <c r="CF321"/>
  <c r="CF322"/>
  <c r="CF323"/>
  <c r="CF324"/>
  <c r="CF325"/>
  <c r="CF326"/>
  <c r="CF327"/>
  <c r="CF328"/>
  <c r="I328"/>
  <c r="K328"/>
  <c r="I327"/>
  <c r="K327"/>
  <c r="I326"/>
  <c r="K326"/>
  <c r="I325"/>
  <c r="K325"/>
  <c r="I324"/>
  <c r="K324"/>
  <c r="I323"/>
  <c r="K323"/>
  <c r="I322"/>
  <c r="K322"/>
  <c r="I321"/>
  <c r="K321"/>
  <c r="I320"/>
  <c r="K320"/>
  <c r="I319"/>
  <c r="K319"/>
  <c r="CF300"/>
  <c r="CF301"/>
  <c r="CF302"/>
  <c r="CF303"/>
  <c r="CF304"/>
  <c r="CF305"/>
  <c r="CF306"/>
  <c r="CF307"/>
  <c r="CF308"/>
  <c r="CF309"/>
  <c r="CF310"/>
  <c r="CF311"/>
  <c r="CF312"/>
  <c r="CF313"/>
  <c r="CF314"/>
  <c r="CF315"/>
  <c r="CF316"/>
  <c r="CF317"/>
  <c r="CF318"/>
  <c r="M318"/>
  <c r="I318"/>
  <c r="K318"/>
  <c r="M317"/>
  <c r="I317"/>
  <c r="K317"/>
  <c r="M316"/>
  <c r="I316"/>
  <c r="K316"/>
  <c r="M315"/>
  <c r="I315"/>
  <c r="K315"/>
  <c r="M314"/>
  <c r="I314"/>
  <c r="K314"/>
  <c r="M313"/>
  <c r="I313"/>
  <c r="K313"/>
  <c r="M312"/>
  <c r="I312"/>
  <c r="K312"/>
  <c r="M311"/>
  <c r="I311"/>
  <c r="K311"/>
  <c r="M310"/>
  <c r="I310"/>
  <c r="K310"/>
  <c r="M309"/>
  <c r="I309"/>
  <c r="K309"/>
  <c r="M308"/>
  <c r="I308"/>
  <c r="K308"/>
  <c r="M307"/>
  <c r="I307"/>
  <c r="K307"/>
  <c r="M306"/>
  <c r="I306"/>
  <c r="K306"/>
  <c r="M305"/>
  <c r="I305"/>
  <c r="K305"/>
  <c r="M304"/>
  <c r="I304"/>
  <c r="K304"/>
  <c r="M303"/>
  <c r="I303"/>
  <c r="K303"/>
  <c r="M302"/>
  <c r="I302"/>
  <c r="K302"/>
  <c r="M301"/>
  <c r="I301"/>
  <c r="K301"/>
  <c r="M300"/>
  <c r="I300"/>
  <c r="K300"/>
  <c r="CF271"/>
  <c r="CF272"/>
  <c r="CF273"/>
  <c r="CF274"/>
  <c r="CF275"/>
  <c r="CF276"/>
  <c r="CF277"/>
  <c r="CF278"/>
  <c r="CF280"/>
  <c r="CF281"/>
  <c r="CF282"/>
  <c r="CF283"/>
  <c r="CF284"/>
  <c r="CF285"/>
  <c r="CF286"/>
  <c r="CF287"/>
  <c r="CF288"/>
  <c r="CF289"/>
  <c r="CF290"/>
  <c r="CF291"/>
  <c r="CF292"/>
  <c r="CF293"/>
  <c r="CF294"/>
  <c r="CF295"/>
  <c r="CF296"/>
  <c r="CF297"/>
  <c r="CF298"/>
  <c r="CF299"/>
  <c r="M299"/>
  <c r="I299"/>
  <c r="K299"/>
  <c r="M298"/>
  <c r="I298"/>
  <c r="K298"/>
  <c r="M297"/>
  <c r="I297"/>
  <c r="K297"/>
  <c r="M296"/>
  <c r="I296"/>
  <c r="K296"/>
  <c r="M295"/>
  <c r="I295"/>
  <c r="K295"/>
  <c r="M294"/>
  <c r="I294"/>
  <c r="K294"/>
  <c r="M293"/>
  <c r="I293"/>
  <c r="K293"/>
  <c r="M292"/>
  <c r="I292"/>
  <c r="K292"/>
  <c r="M291"/>
  <c r="I291"/>
  <c r="K291"/>
  <c r="M290"/>
  <c r="I290"/>
  <c r="K290"/>
  <c r="M289"/>
  <c r="I289"/>
  <c r="K289"/>
  <c r="M288"/>
  <c r="I288"/>
  <c r="K288"/>
  <c r="M287"/>
  <c r="I287"/>
  <c r="K287"/>
  <c r="M286"/>
  <c r="I286"/>
  <c r="M285"/>
  <c r="I285"/>
  <c r="K285"/>
  <c r="M284"/>
  <c r="I284"/>
  <c r="K284"/>
  <c r="M283"/>
  <c r="I283"/>
  <c r="K283"/>
  <c r="I282"/>
  <c r="K282"/>
  <c r="I281"/>
  <c r="K281"/>
  <c r="M280"/>
  <c r="I280"/>
  <c r="K280"/>
  <c r="M278"/>
  <c r="I278"/>
  <c r="K278"/>
  <c r="M277"/>
  <c r="I277"/>
  <c r="K277"/>
  <c r="M276"/>
  <c r="I276"/>
  <c r="K276"/>
  <c r="M275"/>
  <c r="I275"/>
  <c r="K275"/>
  <c r="M274"/>
  <c r="I274"/>
  <c r="K274"/>
  <c r="M273"/>
  <c r="I273"/>
  <c r="K273"/>
  <c r="M272"/>
  <c r="I272"/>
  <c r="K272"/>
  <c r="M271"/>
  <c r="I271"/>
  <c r="K271"/>
  <c r="CF264"/>
  <c r="CF265"/>
  <c r="CF266"/>
  <c r="CF267"/>
  <c r="CF268"/>
  <c r="CF269"/>
  <c r="CF270"/>
  <c r="M270"/>
  <c r="I270"/>
  <c r="K270"/>
  <c r="M269"/>
  <c r="I269"/>
  <c r="K269"/>
  <c r="M268"/>
  <c r="I268"/>
  <c r="K268"/>
  <c r="M267"/>
  <c r="I267"/>
  <c r="K267"/>
  <c r="M266"/>
  <c r="I266"/>
  <c r="K266"/>
  <c r="M265"/>
  <c r="I265"/>
  <c r="K265"/>
  <c r="M264"/>
  <c r="I264"/>
  <c r="K264"/>
  <c r="CF204"/>
  <c r="CF205"/>
  <c r="CF206"/>
  <c r="CF207"/>
  <c r="CF208"/>
  <c r="CF209"/>
  <c r="CF210"/>
  <c r="CF211"/>
  <c r="CF212"/>
  <c r="CF213"/>
  <c r="CF214"/>
  <c r="CF215"/>
  <c r="CF216"/>
  <c r="CF217"/>
  <c r="CF218"/>
  <c r="CF219"/>
  <c r="CF220"/>
  <c r="CF221"/>
  <c r="CF222"/>
  <c r="CF223"/>
  <c r="CF224"/>
  <c r="CF225"/>
  <c r="CF226"/>
  <c r="CF227"/>
  <c r="CF228"/>
  <c r="CF229"/>
  <c r="CF230"/>
  <c r="CF231"/>
  <c r="CF232"/>
  <c r="CF233"/>
  <c r="CF234"/>
  <c r="CF235"/>
  <c r="CF236"/>
  <c r="CF237"/>
  <c r="CF238"/>
  <c r="CF239"/>
  <c r="CF240"/>
  <c r="CF241"/>
  <c r="CF242"/>
  <c r="CF243"/>
  <c r="CF244"/>
  <c r="CF245"/>
  <c r="CF246"/>
  <c r="CF247"/>
  <c r="CF248"/>
  <c r="CF249"/>
  <c r="CF250"/>
  <c r="CF251"/>
  <c r="CF252"/>
  <c r="CF253"/>
  <c r="CF254"/>
  <c r="CF255"/>
  <c r="CF256"/>
  <c r="CF257"/>
  <c r="CF258"/>
  <c r="CF259"/>
  <c r="CF260"/>
  <c r="CF261"/>
  <c r="CF262"/>
  <c r="CF263"/>
  <c r="M263"/>
  <c r="I263"/>
  <c r="K263"/>
  <c r="M262"/>
  <c r="I262"/>
  <c r="K262"/>
  <c r="M261"/>
  <c r="I261"/>
  <c r="K261"/>
  <c r="M260"/>
  <c r="I260"/>
  <c r="K260"/>
  <c r="M259"/>
  <c r="I259"/>
  <c r="K259"/>
  <c r="M258"/>
  <c r="I258"/>
  <c r="K258"/>
  <c r="M257"/>
  <c r="I257"/>
  <c r="K257"/>
  <c r="M256"/>
  <c r="I256"/>
  <c r="K256"/>
  <c r="M255"/>
  <c r="I255"/>
  <c r="K255"/>
  <c r="M254"/>
  <c r="I254"/>
  <c r="K254"/>
  <c r="M253"/>
  <c r="I253"/>
  <c r="K253"/>
  <c r="M252"/>
  <c r="I252"/>
  <c r="K252"/>
  <c r="M251"/>
  <c r="I251"/>
  <c r="K251"/>
  <c r="M250"/>
  <c r="I250"/>
  <c r="K250"/>
  <c r="M249"/>
  <c r="I249"/>
  <c r="K249"/>
  <c r="M248"/>
  <c r="I248"/>
  <c r="K248"/>
  <c r="M247"/>
  <c r="I247"/>
  <c r="K247"/>
  <c r="M246"/>
  <c r="I246"/>
  <c r="K246"/>
  <c r="M245"/>
  <c r="I245"/>
  <c r="K245"/>
  <c r="M244"/>
  <c r="I244"/>
  <c r="K244"/>
  <c r="I243"/>
  <c r="K243"/>
  <c r="I242"/>
  <c r="K242"/>
  <c r="I241"/>
  <c r="K241"/>
  <c r="M240"/>
  <c r="I240"/>
  <c r="K240"/>
  <c r="M239"/>
  <c r="I239"/>
  <c r="K239"/>
  <c r="M238"/>
  <c r="I238"/>
  <c r="K238"/>
  <c r="M237"/>
  <c r="I237"/>
  <c r="K237"/>
  <c r="M236"/>
  <c r="I236"/>
  <c r="K236"/>
  <c r="M235"/>
  <c r="I235"/>
  <c r="K235"/>
  <c r="M234"/>
  <c r="I234"/>
  <c r="K234"/>
  <c r="M233"/>
  <c r="I233"/>
  <c r="K233"/>
  <c r="M232"/>
  <c r="I232"/>
  <c r="K232"/>
  <c r="M231"/>
  <c r="I231"/>
  <c r="K231"/>
  <c r="M230"/>
  <c r="I230"/>
  <c r="K230"/>
  <c r="M229"/>
  <c r="I229"/>
  <c r="K229"/>
  <c r="M228"/>
  <c r="I228"/>
  <c r="K228"/>
  <c r="M227"/>
  <c r="I227"/>
  <c r="K227"/>
  <c r="M226"/>
  <c r="I226"/>
  <c r="K226"/>
  <c r="M225"/>
  <c r="I225"/>
  <c r="K225"/>
  <c r="M224"/>
  <c r="I224"/>
  <c r="K224"/>
  <c r="M223"/>
  <c r="I223"/>
  <c r="K223"/>
  <c r="M222"/>
  <c r="I222"/>
  <c r="K222"/>
  <c r="M221"/>
  <c r="I221"/>
  <c r="K221"/>
  <c r="M220"/>
  <c r="I220"/>
  <c r="K220"/>
  <c r="M219"/>
  <c r="I219"/>
  <c r="K219"/>
  <c r="M218"/>
  <c r="I218"/>
  <c r="K218"/>
  <c r="M217"/>
  <c r="I217"/>
  <c r="K217"/>
  <c r="M216"/>
  <c r="I216"/>
  <c r="K216"/>
  <c r="M215"/>
  <c r="I215"/>
  <c r="K215"/>
  <c r="M214"/>
  <c r="I214"/>
  <c r="K214"/>
  <c r="M213"/>
  <c r="I213"/>
  <c r="K213"/>
  <c r="M212"/>
  <c r="I212"/>
  <c r="K212"/>
  <c r="M211"/>
  <c r="I211"/>
  <c r="K211"/>
  <c r="M210"/>
  <c r="I210"/>
  <c r="K210"/>
  <c r="M209"/>
  <c r="I209"/>
  <c r="K209"/>
  <c r="M208"/>
  <c r="I208"/>
  <c r="K208"/>
  <c r="M207"/>
  <c r="I207"/>
  <c r="K207"/>
  <c r="M206"/>
  <c r="I206"/>
  <c r="K206"/>
  <c r="I205"/>
  <c r="K205"/>
  <c r="M204"/>
  <c r="I204"/>
  <c r="K204"/>
  <c r="CF159"/>
  <c r="CF160"/>
  <c r="CF161"/>
  <c r="CF162"/>
  <c r="CF163"/>
  <c r="CF164"/>
  <c r="CF165"/>
  <c r="CF166"/>
  <c r="CF167"/>
  <c r="CF168"/>
  <c r="CF169"/>
  <c r="CF170"/>
  <c r="CF171"/>
  <c r="CF172"/>
  <c r="CF173"/>
  <c r="CF174"/>
  <c r="CF175"/>
  <c r="CF176"/>
  <c r="CF177"/>
  <c r="CF178"/>
  <c r="CF179"/>
  <c r="CF180"/>
  <c r="CF181"/>
  <c r="CF182"/>
  <c r="CF183"/>
  <c r="CF184"/>
  <c r="CF185"/>
  <c r="CF186"/>
  <c r="CF187"/>
  <c r="CF188"/>
  <c r="CF189"/>
  <c r="CF190"/>
  <c r="CF191"/>
  <c r="CF192"/>
  <c r="CF193"/>
  <c r="CF194"/>
  <c r="CF195"/>
  <c r="CF196"/>
  <c r="CF197"/>
  <c r="CF198"/>
  <c r="CF199"/>
  <c r="CF200"/>
  <c r="CF201"/>
  <c r="CF202"/>
  <c r="CF203"/>
  <c r="M203"/>
  <c r="I203"/>
  <c r="K203"/>
  <c r="M202"/>
  <c r="I202"/>
  <c r="K202"/>
  <c r="M201"/>
  <c r="I201"/>
  <c r="K201"/>
  <c r="M200"/>
  <c r="I200"/>
  <c r="K200"/>
  <c r="M199"/>
  <c r="I199"/>
  <c r="K199"/>
  <c r="I198"/>
  <c r="K198"/>
  <c r="I197"/>
  <c r="K197"/>
  <c r="I196"/>
  <c r="K196"/>
  <c r="I195"/>
  <c r="K195"/>
  <c r="I194"/>
  <c r="K194"/>
  <c r="I183"/>
  <c r="K183"/>
  <c r="M182"/>
  <c r="I182"/>
  <c r="K182"/>
  <c r="M181"/>
  <c r="I181"/>
  <c r="K181"/>
  <c r="I176"/>
  <c r="K176"/>
  <c r="I173"/>
  <c r="K173"/>
  <c r="K172"/>
  <c r="I168"/>
  <c r="K168"/>
  <c r="I165"/>
  <c r="K165"/>
  <c r="I164"/>
  <c r="K164"/>
  <c r="I159"/>
  <c r="K159"/>
  <c r="CF154"/>
  <c r="CF155"/>
  <c r="CF156"/>
  <c r="CF157"/>
  <c r="CF158"/>
  <c r="M158"/>
  <c r="I158"/>
  <c r="K158"/>
  <c r="M157"/>
  <c r="I157"/>
  <c r="K157"/>
  <c r="I156"/>
  <c r="K156"/>
  <c r="I155"/>
  <c r="K155"/>
  <c r="M154"/>
  <c r="I154"/>
  <c r="K154"/>
  <c r="CF112"/>
  <c r="CF113"/>
  <c r="CF114"/>
  <c r="CF115"/>
  <c r="CF116"/>
  <c r="CF117"/>
  <c r="CF118"/>
  <c r="CF119"/>
  <c r="CF120"/>
  <c r="CF121"/>
  <c r="CF122"/>
  <c r="CF123"/>
  <c r="CF124"/>
  <c r="CF125"/>
  <c r="CF126"/>
  <c r="CF127"/>
  <c r="CF128"/>
  <c r="CF129"/>
  <c r="CF130"/>
  <c r="CF131"/>
  <c r="CF132"/>
  <c r="CF133"/>
  <c r="CF134"/>
  <c r="CF135"/>
  <c r="CF136"/>
  <c r="CF137"/>
  <c r="CF140"/>
  <c r="CF141"/>
  <c r="CF142"/>
  <c r="CF143"/>
  <c r="CF144"/>
  <c r="CF145"/>
  <c r="CF146"/>
  <c r="CF147"/>
  <c r="CF148"/>
  <c r="CF149"/>
  <c r="CF150"/>
  <c r="CF152"/>
  <c r="CF153"/>
  <c r="M153"/>
  <c r="I153"/>
  <c r="K153"/>
  <c r="M152"/>
  <c r="I152"/>
  <c r="K152"/>
  <c r="M150"/>
  <c r="I150"/>
  <c r="K150"/>
  <c r="M149"/>
  <c r="I149"/>
  <c r="K149"/>
  <c r="M148"/>
  <c r="I148"/>
  <c r="K148"/>
  <c r="M147"/>
  <c r="I147"/>
  <c r="K147"/>
  <c r="M146"/>
  <c r="I146"/>
  <c r="K146"/>
  <c r="M145"/>
  <c r="I145"/>
  <c r="K145"/>
  <c r="M144"/>
  <c r="I144"/>
  <c r="K144"/>
  <c r="M143"/>
  <c r="I143"/>
  <c r="K143"/>
  <c r="M142"/>
  <c r="I142"/>
  <c r="K142"/>
  <c r="I141"/>
  <c r="K141"/>
  <c r="M140"/>
  <c r="I140"/>
  <c r="K140"/>
  <c r="M137"/>
  <c r="I137"/>
  <c r="K137"/>
  <c r="M136"/>
  <c r="I136"/>
  <c r="K136"/>
  <c r="M135"/>
  <c r="I135"/>
  <c r="K135"/>
  <c r="M134"/>
  <c r="I134"/>
  <c r="K134"/>
  <c r="I133"/>
  <c r="K133"/>
  <c r="M132"/>
  <c r="I132"/>
  <c r="K132"/>
  <c r="M131"/>
  <c r="I131"/>
  <c r="K131"/>
  <c r="M130"/>
  <c r="I130"/>
  <c r="K130"/>
  <c r="M129"/>
  <c r="I129"/>
  <c r="K129"/>
  <c r="O128"/>
  <c r="M128"/>
  <c r="I128"/>
  <c r="K128"/>
  <c r="M127"/>
  <c r="I127"/>
  <c r="K127"/>
  <c r="M126"/>
  <c r="I126"/>
  <c r="K126"/>
  <c r="M125"/>
  <c r="I125"/>
  <c r="K125"/>
  <c r="M124"/>
  <c r="I124"/>
  <c r="K124"/>
  <c r="I123"/>
  <c r="K123"/>
  <c r="I122"/>
  <c r="K122"/>
  <c r="I121"/>
  <c r="K121"/>
  <c r="M120"/>
  <c r="I120"/>
  <c r="K120"/>
  <c r="M119"/>
  <c r="I119"/>
  <c r="K119"/>
  <c r="M118"/>
  <c r="I118"/>
  <c r="K118"/>
  <c r="M117"/>
  <c r="I117"/>
  <c r="K117"/>
  <c r="M116"/>
  <c r="I116"/>
  <c r="K116"/>
  <c r="M115"/>
  <c r="I115"/>
  <c r="K115"/>
  <c r="M114"/>
  <c r="I114"/>
  <c r="K114"/>
  <c r="M113"/>
  <c r="I113"/>
  <c r="K113"/>
  <c r="M112"/>
  <c r="I112"/>
  <c r="K112"/>
  <c r="CF100"/>
  <c r="CF101"/>
  <c r="CF102"/>
  <c r="CF103"/>
  <c r="CF104"/>
  <c r="CF105"/>
  <c r="CF106"/>
  <c r="CF107"/>
  <c r="CF108"/>
  <c r="CF109"/>
  <c r="CF110"/>
  <c r="CF111"/>
  <c r="M111"/>
  <c r="I111"/>
  <c r="K111"/>
  <c r="M110"/>
  <c r="I110"/>
  <c r="K110"/>
  <c r="I109"/>
  <c r="K109"/>
  <c r="M108"/>
  <c r="I108"/>
  <c r="K108"/>
  <c r="M107"/>
  <c r="H107"/>
  <c r="I107"/>
  <c r="K107"/>
  <c r="M106"/>
  <c r="I106"/>
  <c r="K106"/>
  <c r="M105"/>
  <c r="I105"/>
  <c r="K105"/>
  <c r="M104"/>
  <c r="I104"/>
  <c r="K104"/>
  <c r="M103"/>
  <c r="I103"/>
  <c r="K103"/>
  <c r="M102"/>
  <c r="I102"/>
  <c r="K102"/>
  <c r="M101"/>
  <c r="I101"/>
  <c r="K101"/>
  <c r="I100"/>
  <c r="K100"/>
  <c r="CF94"/>
  <c r="CF95"/>
  <c r="CF96"/>
  <c r="CF97"/>
  <c r="CF98"/>
  <c r="I98"/>
  <c r="K98"/>
  <c r="I97"/>
  <c r="K97"/>
  <c r="I96"/>
  <c r="K96"/>
  <c r="I95"/>
  <c r="K95"/>
  <c r="I94"/>
  <c r="K94"/>
  <c r="CF93"/>
  <c r="M93"/>
  <c r="I93"/>
  <c r="K93"/>
  <c r="CF92"/>
  <c r="M92"/>
  <c r="I92"/>
  <c r="K92"/>
  <c r="CF91"/>
  <c r="M91"/>
  <c r="I91"/>
  <c r="K91"/>
  <c r="CF90"/>
  <c r="M90"/>
  <c r="I90"/>
  <c r="K90"/>
  <c r="CF89"/>
  <c r="M89"/>
  <c r="I89"/>
  <c r="K89"/>
  <c r="CF88"/>
  <c r="M88"/>
  <c r="I88"/>
  <c r="K88"/>
  <c r="CF87"/>
  <c r="M87"/>
  <c r="I87"/>
  <c r="K87"/>
  <c r="CF86"/>
  <c r="M86"/>
  <c r="I86"/>
  <c r="K86"/>
  <c r="CF85"/>
  <c r="M85"/>
  <c r="I85"/>
  <c r="K85"/>
  <c r="CF84"/>
  <c r="M84"/>
  <c r="I84"/>
  <c r="K84"/>
  <c r="CF83"/>
  <c r="M83"/>
  <c r="I83"/>
  <c r="K83"/>
  <c r="CF82"/>
  <c r="M82"/>
  <c r="I82"/>
  <c r="K82"/>
  <c r="CF81"/>
  <c r="M81"/>
  <c r="I81"/>
  <c r="K81"/>
  <c r="CF80"/>
  <c r="M80"/>
  <c r="I80"/>
  <c r="K80"/>
  <c r="CF79"/>
  <c r="M79"/>
  <c r="I79"/>
  <c r="K79"/>
  <c r="CF78"/>
  <c r="M78"/>
  <c r="I78"/>
  <c r="K78"/>
  <c r="CF77"/>
  <c r="M77"/>
  <c r="I77"/>
  <c r="K77"/>
  <c r="CF76"/>
  <c r="M76"/>
  <c r="I76"/>
  <c r="K76"/>
  <c r="CF75"/>
  <c r="M75"/>
  <c r="I75"/>
  <c r="K75"/>
  <c r="CF74"/>
  <c r="M74"/>
  <c r="I74"/>
  <c r="K74"/>
  <c r="CF73"/>
  <c r="M73"/>
  <c r="I73"/>
  <c r="K73"/>
  <c r="CF72"/>
  <c r="M72"/>
  <c r="I72"/>
  <c r="K72"/>
  <c r="CF71"/>
  <c r="M71"/>
  <c r="I71"/>
  <c r="K71"/>
  <c r="CF70"/>
  <c r="M70"/>
  <c r="I70"/>
  <c r="K70"/>
  <c r="CF69"/>
  <c r="M69"/>
  <c r="I69"/>
  <c r="K69"/>
  <c r="CF68"/>
  <c r="M68"/>
  <c r="I68"/>
  <c r="K68"/>
  <c r="CF67"/>
  <c r="M67"/>
  <c r="I67"/>
  <c r="K67"/>
  <c r="CF66"/>
  <c r="M66"/>
  <c r="I66"/>
  <c r="K66"/>
  <c r="CF65"/>
  <c r="M65"/>
  <c r="I65"/>
  <c r="K65"/>
  <c r="CF64"/>
  <c r="M64"/>
  <c r="I64"/>
  <c r="K64"/>
  <c r="CF63"/>
  <c r="M63"/>
  <c r="I63"/>
  <c r="K63"/>
  <c r="CF62"/>
  <c r="M62"/>
  <c r="I62"/>
  <c r="K62"/>
  <c r="CF61"/>
  <c r="M61"/>
  <c r="I61"/>
  <c r="K61"/>
  <c r="CF60"/>
  <c r="M60"/>
  <c r="I60"/>
  <c r="K60"/>
  <c r="CF59"/>
  <c r="M59"/>
  <c r="I59"/>
  <c r="K59"/>
  <c r="CF58"/>
  <c r="M58"/>
  <c r="I58"/>
  <c r="K58"/>
  <c r="CF57"/>
  <c r="M57"/>
  <c r="I57"/>
  <c r="K57"/>
  <c r="CF56"/>
  <c r="M56"/>
  <c r="I56"/>
  <c r="K56"/>
  <c r="CF55"/>
  <c r="M55"/>
  <c r="I55"/>
  <c r="K55"/>
  <c r="CF54"/>
  <c r="M54"/>
  <c r="I54"/>
  <c r="K54"/>
  <c r="CF53"/>
  <c r="M53"/>
  <c r="I53"/>
  <c r="K53"/>
  <c r="CF52"/>
  <c r="M52"/>
  <c r="I52"/>
  <c r="K52"/>
  <c r="CF51"/>
  <c r="M51"/>
  <c r="I51"/>
  <c r="K51"/>
  <c r="CF50"/>
  <c r="M50"/>
  <c r="I50"/>
  <c r="K50"/>
  <c r="CF49"/>
  <c r="M49"/>
  <c r="I49"/>
  <c r="K49"/>
  <c r="CF48"/>
  <c r="M48"/>
  <c r="I48"/>
  <c r="K48"/>
  <c r="CF47"/>
  <c r="M47"/>
  <c r="I47"/>
  <c r="K47"/>
  <c r="CF46"/>
  <c r="M46"/>
  <c r="H46"/>
  <c r="I46"/>
  <c r="K46"/>
  <c r="CF45"/>
  <c r="M45"/>
  <c r="I45"/>
  <c r="K45"/>
  <c r="CF44"/>
  <c r="I44"/>
  <c r="K44"/>
  <c r="CF4"/>
  <c r="CF5"/>
  <c r="CF6"/>
  <c r="CF7"/>
  <c r="CF8"/>
  <c r="CF9"/>
  <c r="CF10"/>
  <c r="CF11"/>
  <c r="CF12"/>
  <c r="CF13"/>
  <c r="CF14"/>
  <c r="CF15"/>
  <c r="CF16"/>
  <c r="CF17"/>
  <c r="CF18"/>
  <c r="CF19"/>
  <c r="CF20"/>
  <c r="CF21"/>
  <c r="CF22"/>
  <c r="CF23"/>
  <c r="CF24"/>
  <c r="CF25"/>
  <c r="CF26"/>
  <c r="CF27"/>
  <c r="CF28"/>
  <c r="CF29"/>
  <c r="CF30"/>
  <c r="CF31"/>
  <c r="CF32"/>
  <c r="CF33"/>
  <c r="CF34"/>
  <c r="CF35"/>
  <c r="CF36"/>
  <c r="CF37"/>
  <c r="CF38"/>
  <c r="CF39"/>
  <c r="CF40"/>
  <c r="CF41"/>
  <c r="CF42"/>
  <c r="CF43"/>
  <c r="O43"/>
  <c r="M43"/>
  <c r="I43"/>
  <c r="K43"/>
  <c r="M42"/>
  <c r="I42"/>
  <c r="K42"/>
  <c r="M41"/>
  <c r="I41"/>
  <c r="K41"/>
  <c r="M40"/>
  <c r="I40"/>
  <c r="K40"/>
  <c r="M39"/>
  <c r="I39"/>
  <c r="K39"/>
  <c r="M38"/>
  <c r="I38"/>
  <c r="K38"/>
  <c r="M37"/>
  <c r="I37"/>
  <c r="K37"/>
  <c r="M36"/>
  <c r="I36"/>
  <c r="K36"/>
  <c r="M35"/>
  <c r="I35"/>
  <c r="K35"/>
  <c r="M34"/>
  <c r="I34"/>
  <c r="K34"/>
  <c r="M33"/>
  <c r="I33"/>
  <c r="K33"/>
  <c r="M32"/>
  <c r="I32"/>
  <c r="K32"/>
  <c r="M31"/>
  <c r="I31"/>
  <c r="K31"/>
  <c r="M30"/>
  <c r="I30"/>
  <c r="K30"/>
  <c r="M29"/>
  <c r="I29"/>
  <c r="K29"/>
  <c r="M28"/>
  <c r="I28"/>
  <c r="K28"/>
  <c r="M27"/>
  <c r="I27"/>
  <c r="K27"/>
  <c r="M26"/>
  <c r="I26"/>
  <c r="K26"/>
  <c r="M25"/>
  <c r="I25"/>
  <c r="K25"/>
  <c r="M24"/>
  <c r="I24"/>
  <c r="K24"/>
  <c r="M23"/>
  <c r="I23"/>
  <c r="K23"/>
  <c r="M22"/>
  <c r="I22"/>
  <c r="K22"/>
  <c r="M21"/>
  <c r="I21"/>
  <c r="K21"/>
  <c r="M20"/>
  <c r="I20"/>
  <c r="K20"/>
  <c r="M19"/>
  <c r="I19"/>
  <c r="K19"/>
  <c r="M18"/>
  <c r="I18"/>
  <c r="K18"/>
  <c r="M17"/>
  <c r="I17"/>
  <c r="K17"/>
  <c r="M16"/>
  <c r="I16"/>
  <c r="K16"/>
  <c r="M15"/>
  <c r="I15"/>
  <c r="K15"/>
  <c r="M14"/>
  <c r="I14"/>
  <c r="K14"/>
  <c r="M13"/>
  <c r="I13"/>
  <c r="K13"/>
  <c r="O12"/>
  <c r="M12"/>
  <c r="I12"/>
  <c r="K12"/>
  <c r="M11"/>
  <c r="I11"/>
  <c r="K11"/>
  <c r="M10"/>
  <c r="I10"/>
  <c r="K10"/>
  <c r="M9"/>
  <c r="I9"/>
  <c r="K9"/>
  <c r="M8"/>
  <c r="I8"/>
  <c r="K8"/>
  <c r="M7"/>
  <c r="I7"/>
  <c r="K7"/>
  <c r="O6"/>
  <c r="M6"/>
  <c r="I6"/>
  <c r="K6"/>
  <c r="M5"/>
  <c r="I5"/>
  <c r="K5"/>
  <c r="M4"/>
  <c r="I4"/>
  <c r="K4"/>
  <c r="BN94" i="12"/>
  <c r="BM94"/>
  <c r="BL94"/>
  <c r="BK94"/>
  <c r="BJ94"/>
  <c r="BI94"/>
  <c r="BH94"/>
  <c r="BG94"/>
  <c r="BF94"/>
  <c r="BE94"/>
  <c r="BD94"/>
  <c r="BC94"/>
  <c r="BN33"/>
  <c r="BM33"/>
  <c r="BL33"/>
  <c r="BK33"/>
  <c r="BJ33"/>
  <c r="BI33"/>
  <c r="BH33"/>
  <c r="BG33"/>
  <c r="BF33"/>
  <c r="BE33"/>
  <c r="BD33"/>
  <c r="BC33"/>
  <c r="BB65" i="83"/>
  <c r="R27" i="6"/>
  <c r="R34"/>
  <c r="R45"/>
  <c r="R53"/>
  <c r="R56"/>
  <c r="R61"/>
  <c r="R67"/>
  <c r="R60"/>
  <c r="R80"/>
  <c r="R87"/>
  <c r="R94"/>
  <c r="R99"/>
  <c r="R108"/>
  <c r="R131"/>
  <c r="R149"/>
  <c r="R137"/>
  <c r="R153"/>
  <c r="R105"/>
  <c r="R8"/>
  <c r="R166"/>
  <c r="R167"/>
  <c r="R168"/>
  <c r="R169"/>
  <c r="R239" i="38"/>
  <c r="R170" i="6"/>
  <c r="R240" i="38"/>
  <c r="R171" i="6"/>
  <c r="R172"/>
  <c r="R173"/>
  <c r="R174"/>
  <c r="R163"/>
  <c r="R7"/>
  <c r="E3"/>
  <c r="R176"/>
  <c r="CI8"/>
  <c r="CI9"/>
  <c r="BC10"/>
  <c r="BE10"/>
  <c r="BG10"/>
  <c r="BH10"/>
  <c r="BJ10"/>
  <c r="BL10"/>
  <c r="BN10"/>
  <c r="CI10"/>
  <c r="BC11"/>
  <c r="BH11"/>
  <c r="BJ11"/>
  <c r="BM11"/>
  <c r="BN11"/>
  <c r="CI11"/>
  <c r="CI12"/>
  <c r="CI13"/>
  <c r="CI14"/>
  <c r="CI15"/>
  <c r="CI16"/>
  <c r="CI17"/>
  <c r="BC18"/>
  <c r="BD18"/>
  <c r="BE18"/>
  <c r="BF18"/>
  <c r="BG18"/>
  <c r="BH18"/>
  <c r="BI18"/>
  <c r="BJ18"/>
  <c r="BK18"/>
  <c r="BL18"/>
  <c r="BM18"/>
  <c r="BN18"/>
  <c r="CI18"/>
  <c r="CI19"/>
  <c r="CI20"/>
  <c r="CI21"/>
  <c r="CI22"/>
  <c r="CI23"/>
  <c r="CI24"/>
  <c r="CI25"/>
  <c r="CI26"/>
  <c r="CI27"/>
  <c r="CI28"/>
  <c r="CI29"/>
  <c r="CI30"/>
  <c r="CI31"/>
  <c r="CI32"/>
  <c r="CI33"/>
  <c r="CI34"/>
  <c r="CI35"/>
  <c r="CI36"/>
  <c r="CI37"/>
  <c r="CI38"/>
  <c r="CI39"/>
  <c r="CI40"/>
  <c r="CI41"/>
  <c r="CI42"/>
  <c r="CI43"/>
  <c r="CI44"/>
  <c r="CI45"/>
  <c r="CI46"/>
  <c r="BB47"/>
  <c r="BC47"/>
  <c r="BD47"/>
  <c r="BE47"/>
  <c r="BF47"/>
  <c r="BG47"/>
  <c r="BH47"/>
  <c r="BJ47"/>
  <c r="BK47"/>
  <c r="BL47"/>
  <c r="BM47"/>
  <c r="BN47"/>
  <c r="CI47"/>
  <c r="CI48"/>
  <c r="BC49"/>
  <c r="BD49"/>
  <c r="BE49"/>
  <c r="BF49"/>
  <c r="BG49"/>
  <c r="BH49"/>
  <c r="BJ49"/>
  <c r="BK49"/>
  <c r="BL49"/>
  <c r="BM49"/>
  <c r="BN49"/>
  <c r="CI49"/>
  <c r="CI50"/>
  <c r="BC51"/>
  <c r="BD51"/>
  <c r="BE51"/>
  <c r="BH51"/>
  <c r="BI51"/>
  <c r="BJ51"/>
  <c r="BK51"/>
  <c r="BL51"/>
  <c r="BM51"/>
  <c r="BN51"/>
  <c r="CI51"/>
  <c r="CI52"/>
  <c r="CI53"/>
  <c r="CI54"/>
  <c r="CI55"/>
  <c r="CI56"/>
  <c r="CI57"/>
  <c r="CI58"/>
  <c r="CI59"/>
  <c r="CI60"/>
  <c r="CI61"/>
  <c r="BC62"/>
  <c r="BD62"/>
  <c r="BE62"/>
  <c r="BF62"/>
  <c r="BG62"/>
  <c r="BH62"/>
  <c r="BI62"/>
  <c r="BJ62"/>
  <c r="BK62"/>
  <c r="BL62"/>
  <c r="BM62"/>
  <c r="BN62"/>
  <c r="CI62"/>
  <c r="CI63"/>
  <c r="CI64"/>
  <c r="BC65"/>
  <c r="BD65"/>
  <c r="BE65"/>
  <c r="BF65"/>
  <c r="BG65"/>
  <c r="BH65"/>
  <c r="BI65"/>
  <c r="BJ65"/>
  <c r="BK65"/>
  <c r="BL65"/>
  <c r="BM65"/>
  <c r="BN65"/>
  <c r="CI65"/>
  <c r="BC66"/>
  <c r="BD66"/>
  <c r="BE66"/>
  <c r="BF66"/>
  <c r="BG66"/>
  <c r="BH66"/>
  <c r="BI66"/>
  <c r="BJ66"/>
  <c r="BK66"/>
  <c r="BL66"/>
  <c r="BM66"/>
  <c r="BN66"/>
  <c r="CI66"/>
  <c r="CI67"/>
  <c r="CI68"/>
  <c r="CI69"/>
  <c r="CI70"/>
  <c r="CI71"/>
  <c r="CI72"/>
  <c r="CI73"/>
  <c r="CI74"/>
  <c r="CI75"/>
  <c r="CI76"/>
  <c r="CI77"/>
  <c r="CI78"/>
  <c r="CI79"/>
  <c r="CI80"/>
  <c r="CI81"/>
  <c r="CI82"/>
  <c r="CI83"/>
  <c r="CI84"/>
  <c r="CI85"/>
  <c r="CI86"/>
  <c r="CI87"/>
  <c r="CI88"/>
  <c r="CI89"/>
  <c r="CI90"/>
  <c r="CI91"/>
  <c r="CI92"/>
  <c r="CI93"/>
  <c r="CI94"/>
  <c r="CI95"/>
  <c r="CI96"/>
  <c r="CI97"/>
  <c r="CI98"/>
  <c r="CI99"/>
  <c r="CI100"/>
  <c r="CI101"/>
  <c r="CI102"/>
  <c r="CI103"/>
  <c r="CI104"/>
  <c r="CI105"/>
  <c r="CI106"/>
  <c r="CI107"/>
  <c r="CI108"/>
  <c r="BC109"/>
  <c r="BD109"/>
  <c r="BE109"/>
  <c r="BF109"/>
  <c r="BG109"/>
  <c r="BH109"/>
  <c r="BI109"/>
  <c r="BJ109"/>
  <c r="BK109"/>
  <c r="BL109"/>
  <c r="BM109"/>
  <c r="BN109"/>
  <c r="CI109"/>
  <c r="CI110"/>
  <c r="CI111"/>
  <c r="CI112"/>
  <c r="CI113"/>
  <c r="BF114"/>
  <c r="BG114"/>
  <c r="BJ114"/>
  <c r="CI114"/>
  <c r="CI115"/>
  <c r="CI116"/>
  <c r="CI117"/>
  <c r="CI118"/>
  <c r="CI119"/>
  <c r="CI120"/>
  <c r="CI121"/>
  <c r="CI122"/>
  <c r="CI123"/>
  <c r="CI124"/>
  <c r="CI125"/>
  <c r="CI126"/>
  <c r="CI127"/>
  <c r="CI128"/>
  <c r="CI129"/>
  <c r="CI130"/>
  <c r="CI131"/>
  <c r="CI132"/>
  <c r="CI133"/>
  <c r="CI134"/>
  <c r="CI135"/>
  <c r="CI136"/>
  <c r="CI137"/>
  <c r="CI138"/>
  <c r="CI139"/>
  <c r="CI140"/>
  <c r="CI141"/>
  <c r="CI142"/>
  <c r="CI143"/>
  <c r="CI144"/>
  <c r="CI145"/>
  <c r="CI146"/>
  <c r="CI147"/>
  <c r="CI148"/>
  <c r="CI149"/>
  <c r="CI150"/>
  <c r="CI151"/>
  <c r="CI152"/>
  <c r="CI153"/>
  <c r="CI154"/>
  <c r="CI155"/>
  <c r="CI156"/>
  <c r="CI157"/>
  <c r="CI158"/>
  <c r="CI159"/>
  <c r="CI160"/>
  <c r="CI161"/>
  <c r="CI162"/>
  <c r="CI163"/>
  <c r="CI164"/>
  <c r="CI165"/>
  <c r="CI166"/>
  <c r="CI167"/>
  <c r="CI168"/>
  <c r="CI169"/>
  <c r="CI170"/>
  <c r="CI171"/>
  <c r="CI172"/>
  <c r="CI173"/>
  <c r="CI174"/>
  <c r="CI175"/>
  <c r="CI176"/>
  <c r="CH176"/>
  <c r="CG176"/>
  <c r="CF176"/>
  <c r="CE176"/>
  <c r="CD176"/>
  <c r="CC176"/>
  <c r="CB176"/>
  <c r="CA176"/>
  <c r="BZ176"/>
  <c r="BY176"/>
  <c r="BX176"/>
  <c r="BW176"/>
  <c r="BV176"/>
  <c r="BU176"/>
  <c r="BT176"/>
  <c r="BS176"/>
  <c r="BR176"/>
  <c r="BQ176"/>
  <c r="BP176"/>
  <c r="BO176"/>
  <c r="BN176"/>
  <c r="BM176"/>
  <c r="BL176"/>
  <c r="BK176"/>
  <c r="BJ176"/>
  <c r="BI176"/>
  <c r="BH176"/>
  <c r="BG176"/>
  <c r="BF176"/>
  <c r="BE176"/>
  <c r="BD176"/>
  <c r="BC176"/>
  <c r="BB176"/>
  <c r="BN18" i="12"/>
  <c r="BM18"/>
  <c r="BL18"/>
  <c r="BK18"/>
  <c r="BJ18"/>
  <c r="BI18"/>
  <c r="BH18"/>
  <c r="BG18"/>
  <c r="BF18"/>
  <c r="BE18"/>
  <c r="BD18"/>
  <c r="BC18"/>
  <c r="BN36" i="49"/>
  <c r="BM36"/>
  <c r="BL36"/>
  <c r="BK36"/>
  <c r="BI36"/>
  <c r="BJ36"/>
  <c r="BH36"/>
  <c r="BG36"/>
  <c r="BF36"/>
  <c r="BE36"/>
  <c r="BD36"/>
  <c r="BC36"/>
  <c r="BN17"/>
  <c r="BM17"/>
  <c r="BL17"/>
  <c r="BK17"/>
  <c r="BJ17"/>
  <c r="BI17"/>
  <c r="BH17"/>
  <c r="BG17"/>
  <c r="BF17"/>
  <c r="BE17"/>
  <c r="BD17"/>
  <c r="BC17"/>
  <c r="BN16"/>
  <c r="BM16"/>
  <c r="BL16"/>
  <c r="BK16"/>
  <c r="BJ16"/>
  <c r="BI16"/>
  <c r="BH16"/>
  <c r="BG16"/>
  <c r="BF16"/>
  <c r="BE16"/>
  <c r="BD16"/>
  <c r="BC16"/>
  <c r="CI43" i="4"/>
  <c r="BN48" i="12"/>
  <c r="BM48"/>
  <c r="BL48"/>
  <c r="BK48"/>
  <c r="BJ48"/>
  <c r="BI48"/>
  <c r="BH48"/>
  <c r="BG48"/>
  <c r="BF48"/>
  <c r="BE48"/>
  <c r="BD48"/>
  <c r="BC48"/>
  <c r="BF65" i="4"/>
  <c r="BB30" i="7"/>
  <c r="U275" i="65"/>
  <c r="T275"/>
  <c r="S275"/>
  <c r="R275"/>
  <c r="CH143" i="47"/>
  <c r="CG143"/>
  <c r="CF143"/>
  <c r="CE143"/>
  <c r="CD143"/>
  <c r="CC143"/>
  <c r="CB143"/>
  <c r="CA143"/>
  <c r="BZ143"/>
  <c r="BY143"/>
  <c r="BX143"/>
  <c r="BW143"/>
  <c r="BV143"/>
  <c r="BU143"/>
  <c r="BT143"/>
  <c r="BS143"/>
  <c r="BR143"/>
  <c r="BQ143"/>
  <c r="BP143"/>
  <c r="BO143"/>
  <c r="BB143"/>
  <c r="R143"/>
  <c r="R139" i="15"/>
  <c r="CH179" i="49"/>
  <c r="CG179"/>
  <c r="CF179"/>
  <c r="CE179"/>
  <c r="CD179"/>
  <c r="CC179"/>
  <c r="CB179"/>
  <c r="CA179"/>
  <c r="BZ179"/>
  <c r="BY179"/>
  <c r="BX179"/>
  <c r="BW179"/>
  <c r="BV179"/>
  <c r="BU179"/>
  <c r="BT179"/>
  <c r="BS179"/>
  <c r="BR179"/>
  <c r="BQ179"/>
  <c r="BP179"/>
  <c r="BO179"/>
  <c r="BB179"/>
  <c r="CH33" i="10"/>
  <c r="CG33"/>
  <c r="CF33"/>
  <c r="CE33"/>
  <c r="CD33"/>
  <c r="CC33"/>
  <c r="CB33"/>
  <c r="CA33"/>
  <c r="BZ33"/>
  <c r="BY33"/>
  <c r="BX33"/>
  <c r="BW33"/>
  <c r="BV33"/>
  <c r="BU33"/>
  <c r="BT33"/>
  <c r="BS33"/>
  <c r="BR33"/>
  <c r="BQ33"/>
  <c r="BP33"/>
  <c r="BO33"/>
  <c r="BN33"/>
  <c r="BM33"/>
  <c r="BL33"/>
  <c r="BK33"/>
  <c r="BJ33"/>
  <c r="BI33"/>
  <c r="BH33"/>
  <c r="BG33"/>
  <c r="BF33"/>
  <c r="BE33"/>
  <c r="BD33"/>
  <c r="BC33"/>
  <c r="BB33"/>
  <c r="CH36" i="9"/>
  <c r="CG36"/>
  <c r="CF36"/>
  <c r="CE36"/>
  <c r="CD36"/>
  <c r="CC36"/>
  <c r="CB36"/>
  <c r="CA36"/>
  <c r="BZ36"/>
  <c r="BY36"/>
  <c r="BX36"/>
  <c r="BW36"/>
  <c r="BV36"/>
  <c r="BU36"/>
  <c r="BT36"/>
  <c r="BS36"/>
  <c r="BR36"/>
  <c r="BQ36"/>
  <c r="BP36"/>
  <c r="BO36"/>
  <c r="BN36"/>
  <c r="BM36"/>
  <c r="BL36"/>
  <c r="BK36"/>
  <c r="BJ36"/>
  <c r="BI36"/>
  <c r="BH36"/>
  <c r="BG36"/>
  <c r="BF36"/>
  <c r="BE36"/>
  <c r="BD36"/>
  <c r="BC36"/>
  <c r="BB36"/>
  <c r="CH110" i="13"/>
  <c r="CG110"/>
  <c r="CF110"/>
  <c r="CE110"/>
  <c r="CD110"/>
  <c r="CC110"/>
  <c r="CB110"/>
  <c r="CA110"/>
  <c r="BZ110"/>
  <c r="BY110"/>
  <c r="BX110"/>
  <c r="BW110"/>
  <c r="BV110"/>
  <c r="BU110"/>
  <c r="BT110"/>
  <c r="BS110"/>
  <c r="BR110"/>
  <c r="BQ110"/>
  <c r="BP110"/>
  <c r="BO110"/>
  <c r="BN110"/>
  <c r="BM110"/>
  <c r="BL110"/>
  <c r="BK110"/>
  <c r="BJ110"/>
  <c r="BI110"/>
  <c r="BH110"/>
  <c r="BG110"/>
  <c r="BF110"/>
  <c r="BE110"/>
  <c r="BD110"/>
  <c r="BC110"/>
  <c r="BB110"/>
  <c r="CH107" i="12"/>
  <c r="CG107"/>
  <c r="CF107"/>
  <c r="CE107"/>
  <c r="CD107"/>
  <c r="CC107"/>
  <c r="CB107"/>
  <c r="CA107"/>
  <c r="BZ107"/>
  <c r="BY107"/>
  <c r="BX107"/>
  <c r="BW107"/>
  <c r="BV107"/>
  <c r="BU107"/>
  <c r="BT107"/>
  <c r="BS107"/>
  <c r="BR107"/>
  <c r="BQ107"/>
  <c r="BP107"/>
  <c r="BO107"/>
  <c r="BN107"/>
  <c r="BM107"/>
  <c r="BL107"/>
  <c r="BK107"/>
  <c r="BJ107"/>
  <c r="BI107"/>
  <c r="BH107"/>
  <c r="BG107"/>
  <c r="BF107"/>
  <c r="BE107"/>
  <c r="BD107"/>
  <c r="BC107"/>
  <c r="BB107"/>
  <c r="CH63" i="8"/>
  <c r="CG63"/>
  <c r="CF63"/>
  <c r="CE63"/>
  <c r="CD63"/>
  <c r="CC63"/>
  <c r="CB63"/>
  <c r="CA63"/>
  <c r="BZ63"/>
  <c r="BY63"/>
  <c r="BX63"/>
  <c r="BW63"/>
  <c r="BV63"/>
  <c r="BU63"/>
  <c r="BT63"/>
  <c r="BS63"/>
  <c r="BR63"/>
  <c r="BQ63"/>
  <c r="BP63"/>
  <c r="BO63"/>
  <c r="BN63"/>
  <c r="BM63"/>
  <c r="BL63"/>
  <c r="BK63"/>
  <c r="BJ63"/>
  <c r="BI63"/>
  <c r="BH63"/>
  <c r="BG63"/>
  <c r="BF63"/>
  <c r="BE63"/>
  <c r="BD63"/>
  <c r="BC63"/>
  <c r="BB63"/>
  <c r="CH284" i="7"/>
  <c r="CG284"/>
  <c r="CF284"/>
  <c r="CE284"/>
  <c r="CD284"/>
  <c r="CC284"/>
  <c r="CB284"/>
  <c r="CA284"/>
  <c r="BZ284"/>
  <c r="BY284"/>
  <c r="BX284"/>
  <c r="BW284"/>
  <c r="BV284"/>
  <c r="BU284"/>
  <c r="BT284"/>
  <c r="BS284"/>
  <c r="BR284"/>
  <c r="BQ284"/>
  <c r="BP284"/>
  <c r="BO284"/>
  <c r="BN284"/>
  <c r="BM284"/>
  <c r="BL284"/>
  <c r="BK284"/>
  <c r="BJ284"/>
  <c r="BI284"/>
  <c r="BH284"/>
  <c r="BG284"/>
  <c r="BF284"/>
  <c r="BE284"/>
  <c r="BD284"/>
  <c r="BC284"/>
  <c r="CH30" i="5"/>
  <c r="CG30"/>
  <c r="CF30"/>
  <c r="CE30"/>
  <c r="CD30"/>
  <c r="CC30"/>
  <c r="CB30"/>
  <c r="CA30"/>
  <c r="BZ30"/>
  <c r="BY30"/>
  <c r="BX30"/>
  <c r="BW30"/>
  <c r="BV30"/>
  <c r="BU30"/>
  <c r="BT30"/>
  <c r="BS30"/>
  <c r="BR30"/>
  <c r="BQ30"/>
  <c r="BP30"/>
  <c r="BO30"/>
  <c r="BN30"/>
  <c r="BM30"/>
  <c r="BL30"/>
  <c r="BK30"/>
  <c r="BJ30"/>
  <c r="BI30"/>
  <c r="BH30"/>
  <c r="BG30"/>
  <c r="BF30"/>
  <c r="BE30"/>
  <c r="BD30"/>
  <c r="BC30"/>
  <c r="BB30"/>
  <c r="CH281" i="15"/>
  <c r="CG281"/>
  <c r="CF281"/>
  <c r="CE281"/>
  <c r="CD281"/>
  <c r="CC281"/>
  <c r="CB281"/>
  <c r="CA281"/>
  <c r="BZ281"/>
  <c r="BY281"/>
  <c r="BX281"/>
  <c r="BW281"/>
  <c r="BV281"/>
  <c r="BU281"/>
  <c r="BT281"/>
  <c r="BS281"/>
  <c r="BR281"/>
  <c r="BQ281"/>
  <c r="BP281"/>
  <c r="BO281"/>
  <c r="BN281"/>
  <c r="BM281"/>
  <c r="BL281"/>
  <c r="BK281"/>
  <c r="BJ281"/>
  <c r="BI281"/>
  <c r="BH281"/>
  <c r="BG281"/>
  <c r="BF281"/>
  <c r="BE281"/>
  <c r="BD281"/>
  <c r="BC281"/>
  <c r="BB281"/>
  <c r="CH99" i="4"/>
  <c r="CG99"/>
  <c r="CF99"/>
  <c r="CE99"/>
  <c r="CD99"/>
  <c r="CC99"/>
  <c r="CB99"/>
  <c r="CA99"/>
  <c r="BZ99"/>
  <c r="BY99"/>
  <c r="BX99"/>
  <c r="BW99"/>
  <c r="BV99"/>
  <c r="BU99"/>
  <c r="BT99"/>
  <c r="BS99"/>
  <c r="BR99"/>
  <c r="BQ99"/>
  <c r="BP99"/>
  <c r="BO99"/>
  <c r="BN99"/>
  <c r="BM99"/>
  <c r="BK99"/>
  <c r="BJ99"/>
  <c r="BI99"/>
  <c r="BH99"/>
  <c r="BE99"/>
  <c r="BD99"/>
  <c r="BC99"/>
  <c r="BB99"/>
  <c r="CH16" i="60"/>
  <c r="CG16"/>
  <c r="CF16"/>
  <c r="CE16"/>
  <c r="CD16"/>
  <c r="CC16"/>
  <c r="CB16"/>
  <c r="CA16"/>
  <c r="BZ16"/>
  <c r="BY16"/>
  <c r="BX16"/>
  <c r="BW16"/>
  <c r="BV16"/>
  <c r="BU16"/>
  <c r="BT16"/>
  <c r="BS16"/>
  <c r="BR16"/>
  <c r="BQ16"/>
  <c r="BP16"/>
  <c r="BO16"/>
  <c r="BB16"/>
  <c r="BB66" i="2"/>
  <c r="CH115" i="16"/>
  <c r="CG115"/>
  <c r="CF115"/>
  <c r="CE115"/>
  <c r="CD115"/>
  <c r="CC115"/>
  <c r="CB115"/>
  <c r="CA115"/>
  <c r="BZ115"/>
  <c r="BY115"/>
  <c r="BX115"/>
  <c r="BW115"/>
  <c r="BV115"/>
  <c r="BU115"/>
  <c r="BT115"/>
  <c r="BS115"/>
  <c r="BR115"/>
  <c r="BQ115"/>
  <c r="BP115"/>
  <c r="BO115"/>
  <c r="BN115"/>
  <c r="BM115"/>
  <c r="BL115"/>
  <c r="BK115"/>
  <c r="BJ115"/>
  <c r="BI115"/>
  <c r="BH115"/>
  <c r="BG115"/>
  <c r="BE115"/>
  <c r="BD115"/>
  <c r="BC115"/>
  <c r="BB115"/>
  <c r="Q112"/>
  <c r="CI9"/>
  <c r="CI8"/>
  <c r="CH54" i="11"/>
  <c r="CG54"/>
  <c r="CF54"/>
  <c r="CE54"/>
  <c r="CD54"/>
  <c r="CC54"/>
  <c r="CB54"/>
  <c r="CA54"/>
  <c r="BZ54"/>
  <c r="BY54"/>
  <c r="BX54"/>
  <c r="BW54"/>
  <c r="BV54"/>
  <c r="BU54"/>
  <c r="BT54"/>
  <c r="BS54"/>
  <c r="BR54"/>
  <c r="BQ54"/>
  <c r="BP54"/>
  <c r="BO54"/>
  <c r="BN54"/>
  <c r="BM54"/>
  <c r="BL54"/>
  <c r="BK54"/>
  <c r="BJ54"/>
  <c r="BI54"/>
  <c r="BH54"/>
  <c r="BG54"/>
  <c r="BF54"/>
  <c r="BE54"/>
  <c r="BD54"/>
  <c r="BC54"/>
  <c r="BB54"/>
  <c r="BL65" i="4"/>
  <c r="BL99"/>
  <c r="BG65"/>
  <c r="BG99"/>
  <c r="BF99"/>
  <c r="BF115" i="16"/>
  <c r="CH44" i="81"/>
  <c r="CG44"/>
  <c r="CF44"/>
  <c r="CE44"/>
  <c r="CD44"/>
  <c r="CC44"/>
  <c r="CB44"/>
  <c r="CA44"/>
  <c r="BZ44"/>
  <c r="BY44"/>
  <c r="BX44"/>
  <c r="BW44"/>
  <c r="BV44"/>
  <c r="BU44"/>
  <c r="BT44"/>
  <c r="BS44"/>
  <c r="BR44"/>
  <c r="BQ44"/>
  <c r="BP44"/>
  <c r="BO44"/>
  <c r="BN44"/>
  <c r="BM44"/>
  <c r="BL44"/>
  <c r="BK44"/>
  <c r="BJ44"/>
  <c r="BI44"/>
  <c r="BH44"/>
  <c r="BG44"/>
  <c r="BF44"/>
  <c r="BE44"/>
  <c r="BD44"/>
  <c r="BC44"/>
  <c r="CH43"/>
  <c r="CG43"/>
  <c r="CF43"/>
  <c r="CE43"/>
  <c r="CD43"/>
  <c r="CC43"/>
  <c r="CB43"/>
  <c r="CA43"/>
  <c r="BZ43"/>
  <c r="BY43"/>
  <c r="BX43"/>
  <c r="BW43"/>
  <c r="BV43"/>
  <c r="BU43"/>
  <c r="BT43"/>
  <c r="BS43"/>
  <c r="BR43"/>
  <c r="BQ43"/>
  <c r="BP43"/>
  <c r="BO43"/>
  <c r="BN43"/>
  <c r="BM43"/>
  <c r="BL43"/>
  <c r="BK43"/>
  <c r="BJ43"/>
  <c r="BI43"/>
  <c r="BH43"/>
  <c r="BG43"/>
  <c r="BF43"/>
  <c r="BE43"/>
  <c r="BD43"/>
  <c r="BC43"/>
  <c r="CH42"/>
  <c r="CG42"/>
  <c r="CF42"/>
  <c r="CE42"/>
  <c r="CD42"/>
  <c r="CC42"/>
  <c r="CB42"/>
  <c r="CA42"/>
  <c r="BZ42"/>
  <c r="BY42"/>
  <c r="BX42"/>
  <c r="BW42"/>
  <c r="BV42"/>
  <c r="BU42"/>
  <c r="BT42"/>
  <c r="BS42"/>
  <c r="BR42"/>
  <c r="BQ42"/>
  <c r="BP42"/>
  <c r="BO42"/>
  <c r="BN42"/>
  <c r="BM42"/>
  <c r="BL42"/>
  <c r="BK42"/>
  <c r="BJ42"/>
  <c r="BI42"/>
  <c r="BH42"/>
  <c r="BG42"/>
  <c r="BF42"/>
  <c r="BE42"/>
  <c r="BD42"/>
  <c r="BC42"/>
  <c r="CH41"/>
  <c r="CG41"/>
  <c r="CF41"/>
  <c r="CE41"/>
  <c r="CD41"/>
  <c r="CC41"/>
  <c r="CB41"/>
  <c r="CA41"/>
  <c r="BZ41"/>
  <c r="BY41"/>
  <c r="BX41"/>
  <c r="BW41"/>
  <c r="BV41"/>
  <c r="BU41"/>
  <c r="BT41"/>
  <c r="BS41"/>
  <c r="BR41"/>
  <c r="BQ41"/>
  <c r="BP41"/>
  <c r="BO41"/>
  <c r="BN41"/>
  <c r="BM41"/>
  <c r="BL41"/>
  <c r="BK41"/>
  <c r="BJ41"/>
  <c r="BI41"/>
  <c r="BH41"/>
  <c r="BG41"/>
  <c r="BF41"/>
  <c r="BE41"/>
  <c r="BD41"/>
  <c r="BC41"/>
  <c r="BB44"/>
  <c r="BB43"/>
  <c r="BB42"/>
  <c r="BB41"/>
  <c r="CD38"/>
  <c r="BX38"/>
  <c r="BR38"/>
  <c r="CH36"/>
  <c r="CG36"/>
  <c r="CF36"/>
  <c r="CE36"/>
  <c r="CD36"/>
  <c r="CC36"/>
  <c r="CB36"/>
  <c r="CA36"/>
  <c r="BZ36"/>
  <c r="BY36"/>
  <c r="BX36"/>
  <c r="BW36"/>
  <c r="BV36"/>
  <c r="BU36"/>
  <c r="BT36"/>
  <c r="BS36"/>
  <c r="BR36"/>
  <c r="BQ36"/>
  <c r="BP36"/>
  <c r="BO36"/>
  <c r="BN36"/>
  <c r="BM36"/>
  <c r="BL36"/>
  <c r="BK36"/>
  <c r="BJ36"/>
  <c r="BI36"/>
  <c r="BH36"/>
  <c r="BG36"/>
  <c r="BF36"/>
  <c r="BE36"/>
  <c r="BD36"/>
  <c r="BC36"/>
  <c r="BB36"/>
  <c r="CH30"/>
  <c r="CB30"/>
  <c r="BV30"/>
  <c r="BP30"/>
  <c r="BJ30"/>
  <c r="BD30"/>
  <c r="BB32"/>
  <c r="BB30"/>
  <c r="CH28"/>
  <c r="CG28"/>
  <c r="CF28"/>
  <c r="CE28"/>
  <c r="CD28"/>
  <c r="CC28"/>
  <c r="CB28"/>
  <c r="CA28"/>
  <c r="BZ28"/>
  <c r="BY28"/>
  <c r="BX28"/>
  <c r="BW28"/>
  <c r="BV28"/>
  <c r="BU28"/>
  <c r="BT28"/>
  <c r="BS28"/>
  <c r="BR28"/>
  <c r="BQ28"/>
  <c r="BP28"/>
  <c r="BO28"/>
  <c r="BN28"/>
  <c r="BM28"/>
  <c r="BL28"/>
  <c r="BK28"/>
  <c r="BJ28"/>
  <c r="BI28"/>
  <c r="BH28"/>
  <c r="BG28"/>
  <c r="BF28"/>
  <c r="BE28"/>
  <c r="BD28"/>
  <c r="BC28"/>
  <c r="CH27"/>
  <c r="CG27"/>
  <c r="CF27"/>
  <c r="CE27"/>
  <c r="CD27"/>
  <c r="CC27"/>
  <c r="CB27"/>
  <c r="CA27"/>
  <c r="BZ27"/>
  <c r="BY27"/>
  <c r="BX27"/>
  <c r="BW27"/>
  <c r="BV27"/>
  <c r="BU27"/>
  <c r="BT27"/>
  <c r="BS27"/>
  <c r="BR27"/>
  <c r="BQ27"/>
  <c r="BP27"/>
  <c r="BO27"/>
  <c r="BN27"/>
  <c r="BM27"/>
  <c r="BL27"/>
  <c r="BK27"/>
  <c r="BJ27"/>
  <c r="BI27"/>
  <c r="BH27"/>
  <c r="BG27"/>
  <c r="BF27"/>
  <c r="BE27"/>
  <c r="BD27"/>
  <c r="BC27"/>
  <c r="CD26"/>
  <c r="BX26"/>
  <c r="BR26"/>
  <c r="BL26"/>
  <c r="BF26"/>
  <c r="BB28"/>
  <c r="BB27"/>
  <c r="BB26"/>
  <c r="CH24"/>
  <c r="CG24"/>
  <c r="CF24"/>
  <c r="CE24"/>
  <c r="CD24"/>
  <c r="CC24"/>
  <c r="CB24"/>
  <c r="CA24"/>
  <c r="BZ24"/>
  <c r="BY24"/>
  <c r="BX24"/>
  <c r="BW24"/>
  <c r="BV24"/>
  <c r="BU24"/>
  <c r="BT24"/>
  <c r="BS24"/>
  <c r="BR24"/>
  <c r="BQ24"/>
  <c r="BP24"/>
  <c r="BO24"/>
  <c r="BN24"/>
  <c r="BM24"/>
  <c r="BL24"/>
  <c r="BK24"/>
  <c r="BJ24"/>
  <c r="BI24"/>
  <c r="BH24"/>
  <c r="BG24"/>
  <c r="BF24"/>
  <c r="BE24"/>
  <c r="BD24"/>
  <c r="BC24"/>
  <c r="CH23"/>
  <c r="CG23"/>
  <c r="CF23"/>
  <c r="CE23"/>
  <c r="CD23"/>
  <c r="CC23"/>
  <c r="CB23"/>
  <c r="CA23"/>
  <c r="BZ23"/>
  <c r="BY23"/>
  <c r="BX23"/>
  <c r="BW23"/>
  <c r="BV23"/>
  <c r="BU23"/>
  <c r="BT23"/>
  <c r="BS23"/>
  <c r="BR23"/>
  <c r="BQ23"/>
  <c r="BP23"/>
  <c r="BO23"/>
  <c r="BN23"/>
  <c r="BM23"/>
  <c r="BL23"/>
  <c r="BK23"/>
  <c r="BJ23"/>
  <c r="BI23"/>
  <c r="BH23"/>
  <c r="BG23"/>
  <c r="BF23"/>
  <c r="BE23"/>
  <c r="BD23"/>
  <c r="BC23"/>
  <c r="CG22"/>
  <c r="CA22"/>
  <c r="BU22"/>
  <c r="BO22"/>
  <c r="BI22"/>
  <c r="BC22"/>
  <c r="BB24"/>
  <c r="BB23"/>
  <c r="CH21"/>
  <c r="CG21"/>
  <c r="CF21"/>
  <c r="CE21"/>
  <c r="CD21"/>
  <c r="CC21"/>
  <c r="CB21"/>
  <c r="CA21"/>
  <c r="BZ21"/>
  <c r="BY21"/>
  <c r="BX21"/>
  <c r="BW21"/>
  <c r="BV21"/>
  <c r="BU21"/>
  <c r="BT21"/>
  <c r="BS21"/>
  <c r="BR21"/>
  <c r="BQ21"/>
  <c r="BP21"/>
  <c r="BO21"/>
  <c r="BN21"/>
  <c r="BM21"/>
  <c r="BL21"/>
  <c r="BK21"/>
  <c r="BJ21"/>
  <c r="BI21"/>
  <c r="BH21"/>
  <c r="BG21"/>
  <c r="BF21"/>
  <c r="BE21"/>
  <c r="BD21"/>
  <c r="BC21"/>
  <c r="CH20"/>
  <c r="CG20"/>
  <c r="CF20"/>
  <c r="CE20"/>
  <c r="CD20"/>
  <c r="CC20"/>
  <c r="CB20"/>
  <c r="CA20"/>
  <c r="BZ20"/>
  <c r="BY20"/>
  <c r="BX20"/>
  <c r="BW20"/>
  <c r="BV20"/>
  <c r="BU20"/>
  <c r="BT20"/>
  <c r="BS20"/>
  <c r="BR20"/>
  <c r="BQ20"/>
  <c r="BP20"/>
  <c r="BO20"/>
  <c r="BN20"/>
  <c r="BM20"/>
  <c r="BL20"/>
  <c r="BK20"/>
  <c r="BJ20"/>
  <c r="BI20"/>
  <c r="BH20"/>
  <c r="BG20"/>
  <c r="BF20"/>
  <c r="BE20"/>
  <c r="BD20"/>
  <c r="BC20"/>
  <c r="CD19"/>
  <c r="BX19"/>
  <c r="BR19"/>
  <c r="CH17"/>
  <c r="CG17"/>
  <c r="CF17"/>
  <c r="CE17"/>
  <c r="CD17"/>
  <c r="CC17"/>
  <c r="CB17"/>
  <c r="CA17"/>
  <c r="BZ17"/>
  <c r="BY17"/>
  <c r="BX17"/>
  <c r="BW17"/>
  <c r="BV17"/>
  <c r="BU17"/>
  <c r="BT17"/>
  <c r="BS17"/>
  <c r="BR17"/>
  <c r="BQ17"/>
  <c r="BP17"/>
  <c r="BO17"/>
  <c r="BN17"/>
  <c r="BM17"/>
  <c r="BL17"/>
  <c r="BK17"/>
  <c r="BJ17"/>
  <c r="BI17"/>
  <c r="BH17"/>
  <c r="BG17"/>
  <c r="BF17"/>
  <c r="BE17"/>
  <c r="BD17"/>
  <c r="BC17"/>
  <c r="BB17"/>
  <c r="BB21"/>
  <c r="BB20"/>
  <c r="CH16"/>
  <c r="CG16"/>
  <c r="CF16"/>
  <c r="CE16"/>
  <c r="CD16"/>
  <c r="CC16"/>
  <c r="CB16"/>
  <c r="CA16"/>
  <c r="BZ16"/>
  <c r="BY16"/>
  <c r="BX16"/>
  <c r="BW16"/>
  <c r="BV16"/>
  <c r="BU16"/>
  <c r="BT16"/>
  <c r="BS16"/>
  <c r="BR16"/>
  <c r="BQ16"/>
  <c r="BP16"/>
  <c r="BO16"/>
  <c r="BN16"/>
  <c r="BM16"/>
  <c r="BL16"/>
  <c r="BK16"/>
  <c r="BJ16"/>
  <c r="BI16"/>
  <c r="BH16"/>
  <c r="BG16"/>
  <c r="BF16"/>
  <c r="BE16"/>
  <c r="BD16"/>
  <c r="BC16"/>
  <c r="CH15"/>
  <c r="CG15"/>
  <c r="CF15"/>
  <c r="CE15"/>
  <c r="CD15"/>
  <c r="CC15"/>
  <c r="CB15"/>
  <c r="CA15"/>
  <c r="BZ15"/>
  <c r="BY15"/>
  <c r="BX15"/>
  <c r="BW15"/>
  <c r="BV15"/>
  <c r="BU15"/>
  <c r="BT15"/>
  <c r="BS15"/>
  <c r="BR15"/>
  <c r="BQ15"/>
  <c r="BP15"/>
  <c r="BO15"/>
  <c r="BN15"/>
  <c r="BM15"/>
  <c r="BL15"/>
  <c r="BK15"/>
  <c r="BJ15"/>
  <c r="BI15"/>
  <c r="BH15"/>
  <c r="BG15"/>
  <c r="BF15"/>
  <c r="BE15"/>
  <c r="BD15"/>
  <c r="BC15"/>
  <c r="CH14"/>
  <c r="CG14"/>
  <c r="CF14"/>
  <c r="CE14"/>
  <c r="CD14"/>
  <c r="CC14"/>
  <c r="CB14"/>
  <c r="CA14"/>
  <c r="BZ14"/>
  <c r="BY14"/>
  <c r="BX14"/>
  <c r="BW14"/>
  <c r="BV14"/>
  <c r="BU14"/>
  <c r="BT14"/>
  <c r="BS14"/>
  <c r="BR14"/>
  <c r="BQ14"/>
  <c r="BP14"/>
  <c r="BO14"/>
  <c r="BN14"/>
  <c r="BM14"/>
  <c r="BL14"/>
  <c r="BK14"/>
  <c r="BJ14"/>
  <c r="BI14"/>
  <c r="BH14"/>
  <c r="BG14"/>
  <c r="BF14"/>
  <c r="BE14"/>
  <c r="BD14"/>
  <c r="BC14"/>
  <c r="CH13"/>
  <c r="CG13"/>
  <c r="CF13"/>
  <c r="CE13"/>
  <c r="CD13"/>
  <c r="CC13"/>
  <c r="CB13"/>
  <c r="CA13"/>
  <c r="BZ13"/>
  <c r="BY13"/>
  <c r="BX13"/>
  <c r="BW13"/>
  <c r="BV13"/>
  <c r="BU13"/>
  <c r="BT13"/>
  <c r="BS13"/>
  <c r="BR13"/>
  <c r="BQ13"/>
  <c r="BP13"/>
  <c r="BO13"/>
  <c r="BN13"/>
  <c r="BM13"/>
  <c r="BL13"/>
  <c r="BK13"/>
  <c r="BJ13"/>
  <c r="BI13"/>
  <c r="BH13"/>
  <c r="BG13"/>
  <c r="BF13"/>
  <c r="BE13"/>
  <c r="BD13"/>
  <c r="BC13"/>
  <c r="CH12"/>
  <c r="CB12"/>
  <c r="BV12"/>
  <c r="BP12"/>
  <c r="BJ12"/>
  <c r="BD12"/>
  <c r="BB16"/>
  <c r="BB15"/>
  <c r="BB14"/>
  <c r="BB13"/>
  <c r="CH119" i="3"/>
  <c r="CG119"/>
  <c r="CF119"/>
  <c r="CE119"/>
  <c r="CD119"/>
  <c r="CC119"/>
  <c r="CB119"/>
  <c r="CA119"/>
  <c r="BZ119"/>
  <c r="BY119"/>
  <c r="BX119"/>
  <c r="BW119"/>
  <c r="BV119"/>
  <c r="BU119"/>
  <c r="BT119"/>
  <c r="BS119"/>
  <c r="BR119"/>
  <c r="BQ119"/>
  <c r="BP119"/>
  <c r="BO119"/>
  <c r="BN119"/>
  <c r="BM119"/>
  <c r="BL119"/>
  <c r="BK119"/>
  <c r="BJ119"/>
  <c r="BI119"/>
  <c r="BH119"/>
  <c r="BG119"/>
  <c r="BF119"/>
  <c r="BE119"/>
  <c r="BD119"/>
  <c r="BC119"/>
  <c r="BB119"/>
  <c r="CH116"/>
  <c r="CG116"/>
  <c r="CF116"/>
  <c r="CE116"/>
  <c r="CD116"/>
  <c r="CC116"/>
  <c r="CB116"/>
  <c r="CA116"/>
  <c r="BZ116"/>
  <c r="BY116"/>
  <c r="BX116"/>
  <c r="BW116"/>
  <c r="BV116"/>
  <c r="BU116"/>
  <c r="BT116"/>
  <c r="BS116"/>
  <c r="BR116"/>
  <c r="BQ116"/>
  <c r="BP116"/>
  <c r="BO116"/>
  <c r="BN116"/>
  <c r="BM116"/>
  <c r="BL116"/>
  <c r="BK116"/>
  <c r="BJ116"/>
  <c r="BI116"/>
  <c r="BH116"/>
  <c r="BG116"/>
  <c r="BF116"/>
  <c r="BE116"/>
  <c r="BD116"/>
  <c r="BC116"/>
  <c r="BB116"/>
  <c r="CH112"/>
  <c r="CG112"/>
  <c r="CF112"/>
  <c r="CE112"/>
  <c r="CD112"/>
  <c r="CC112"/>
  <c r="CB112"/>
  <c r="CA112"/>
  <c r="BZ112"/>
  <c r="BY112"/>
  <c r="BX112"/>
  <c r="BW112"/>
  <c r="BV112"/>
  <c r="BU112"/>
  <c r="BT112"/>
  <c r="BS112"/>
  <c r="BR112"/>
  <c r="BQ112"/>
  <c r="BP112"/>
  <c r="BO112"/>
  <c r="BN112"/>
  <c r="BM112"/>
  <c r="BL112"/>
  <c r="BK112"/>
  <c r="BJ112"/>
  <c r="BI112"/>
  <c r="BH112"/>
  <c r="BG112"/>
  <c r="BF112"/>
  <c r="BE112"/>
  <c r="BD112"/>
  <c r="BC112"/>
  <c r="BB112"/>
  <c r="CE38" i="81"/>
  <c r="BY38"/>
  <c r="BS38"/>
  <c r="BG38"/>
  <c r="CG38"/>
  <c r="CF38"/>
  <c r="CC38"/>
  <c r="CA38"/>
  <c r="BZ38"/>
  <c r="BW38"/>
  <c r="BU38"/>
  <c r="BT38"/>
  <c r="BQ38"/>
  <c r="BO38"/>
  <c r="BN38"/>
  <c r="BL38"/>
  <c r="BK38"/>
  <c r="BI38"/>
  <c r="BH38"/>
  <c r="BF38"/>
  <c r="BD38"/>
  <c r="BC38"/>
  <c r="BB38"/>
  <c r="CH88" i="3"/>
  <c r="CH35" i="81"/>
  <c r="CG88" i="3"/>
  <c r="CG35" i="81"/>
  <c r="CF88" i="3"/>
  <c r="CF35" i="81"/>
  <c r="CE88" i="3"/>
  <c r="CE35" i="81"/>
  <c r="CD88" i="3"/>
  <c r="CD35" i="81"/>
  <c r="CC88" i="3"/>
  <c r="CC35" i="81"/>
  <c r="CB88" i="3"/>
  <c r="CB35" i="81"/>
  <c r="CA88" i="3"/>
  <c r="CA35" i="81"/>
  <c r="BZ88" i="3"/>
  <c r="BZ35" i="81"/>
  <c r="BY88" i="3"/>
  <c r="BY35" i="81"/>
  <c r="BX88" i="3"/>
  <c r="BX35" i="81"/>
  <c r="BW88" i="3"/>
  <c r="BW35" i="81"/>
  <c r="BV88" i="3"/>
  <c r="BV35" i="81"/>
  <c r="BU88" i="3"/>
  <c r="BU35" i="81"/>
  <c r="BT88" i="3"/>
  <c r="BT35" i="81"/>
  <c r="BS88" i="3"/>
  <c r="BS35" i="81"/>
  <c r="BR88" i="3"/>
  <c r="BR35" i="81"/>
  <c r="BQ88" i="3"/>
  <c r="BQ35" i="81"/>
  <c r="BP88" i="3"/>
  <c r="BP35" i="81"/>
  <c r="BO88" i="3"/>
  <c r="BO35" i="81"/>
  <c r="BN88" i="3"/>
  <c r="BN35" i="81"/>
  <c r="BM88" i="3"/>
  <c r="BM35" i="81"/>
  <c r="BL88" i="3"/>
  <c r="BL35" i="81"/>
  <c r="BK88" i="3"/>
  <c r="BK35" i="81"/>
  <c r="BJ88" i="3"/>
  <c r="BJ35" i="81"/>
  <c r="BI88" i="3"/>
  <c r="BI35" i="81"/>
  <c r="BH88" i="3"/>
  <c r="BH35" i="81"/>
  <c r="BG88" i="3"/>
  <c r="BG35" i="81"/>
  <c r="BF88" i="3"/>
  <c r="BF35" i="81"/>
  <c r="BE88" i="3"/>
  <c r="BE35" i="81"/>
  <c r="BD88" i="3"/>
  <c r="BD35" i="81"/>
  <c r="BC88" i="3"/>
  <c r="BC35" i="81"/>
  <c r="BB88" i="3"/>
  <c r="BB35" i="81"/>
  <c r="CG30"/>
  <c r="CF30"/>
  <c r="CE30"/>
  <c r="CD30"/>
  <c r="CC30"/>
  <c r="CA30"/>
  <c r="BZ30"/>
  <c r="BY30"/>
  <c r="BX30"/>
  <c r="BW30"/>
  <c r="BU30"/>
  <c r="BT30"/>
  <c r="BS30"/>
  <c r="BR30"/>
  <c r="BQ30"/>
  <c r="BO30"/>
  <c r="BN30"/>
  <c r="BM30"/>
  <c r="BL30"/>
  <c r="BK30"/>
  <c r="BI30"/>
  <c r="BH30"/>
  <c r="BG30"/>
  <c r="BF30"/>
  <c r="BE30"/>
  <c r="BC30"/>
  <c r="CH72" i="3"/>
  <c r="CG72"/>
  <c r="CF72"/>
  <c r="CE72"/>
  <c r="CD72"/>
  <c r="CC72"/>
  <c r="CB72"/>
  <c r="CA72"/>
  <c r="BZ72"/>
  <c r="BY72"/>
  <c r="BX72"/>
  <c r="BW72"/>
  <c r="BV72"/>
  <c r="BU72"/>
  <c r="BT72"/>
  <c r="BS72"/>
  <c r="BR72"/>
  <c r="BQ72"/>
  <c r="BP72"/>
  <c r="BO72"/>
  <c r="BN72"/>
  <c r="BM72"/>
  <c r="BL72"/>
  <c r="BK72"/>
  <c r="BJ72"/>
  <c r="BI72"/>
  <c r="BH72"/>
  <c r="BG72"/>
  <c r="BF72"/>
  <c r="BE72"/>
  <c r="BD72"/>
  <c r="BC72"/>
  <c r="BB72"/>
  <c r="CH26" i="81"/>
  <c r="CG26"/>
  <c r="CF26"/>
  <c r="CC26"/>
  <c r="CB26"/>
  <c r="CA26"/>
  <c r="BZ26"/>
  <c r="BW26"/>
  <c r="BV26"/>
  <c r="BU26"/>
  <c r="BT26"/>
  <c r="BQ26"/>
  <c r="BP26"/>
  <c r="BO26"/>
  <c r="BN26"/>
  <c r="BM26"/>
  <c r="BK26"/>
  <c r="BJ26"/>
  <c r="BI26"/>
  <c r="BH26"/>
  <c r="BG26"/>
  <c r="BE26"/>
  <c r="BD26"/>
  <c r="BC26"/>
  <c r="CH22"/>
  <c r="CF22"/>
  <c r="CE22"/>
  <c r="CD22"/>
  <c r="CC22"/>
  <c r="CB22"/>
  <c r="BZ22"/>
  <c r="BY22"/>
  <c r="BX22"/>
  <c r="BW22"/>
  <c r="BV22"/>
  <c r="BT22"/>
  <c r="BS22"/>
  <c r="BR22"/>
  <c r="BQ22"/>
  <c r="BP22"/>
  <c r="BN22"/>
  <c r="BM22"/>
  <c r="BL22"/>
  <c r="BK22"/>
  <c r="BJ22"/>
  <c r="BH22"/>
  <c r="BG22"/>
  <c r="BF22"/>
  <c r="BE22"/>
  <c r="BD22"/>
  <c r="BB22"/>
  <c r="CH19"/>
  <c r="CG19"/>
  <c r="CF19"/>
  <c r="CE19"/>
  <c r="CB19"/>
  <c r="CA19"/>
  <c r="BZ19"/>
  <c r="BY19"/>
  <c r="BV19"/>
  <c r="BU19"/>
  <c r="BT19"/>
  <c r="BS19"/>
  <c r="BP19"/>
  <c r="BO19"/>
  <c r="BM19"/>
  <c r="BK19"/>
  <c r="BI19"/>
  <c r="BG19"/>
  <c r="BE19"/>
  <c r="BC19"/>
  <c r="BB19"/>
  <c r="CH33" i="3"/>
  <c r="CG33"/>
  <c r="CG124"/>
  <c r="CF33"/>
  <c r="CE33"/>
  <c r="CD33"/>
  <c r="CC33"/>
  <c r="CB33"/>
  <c r="CA33"/>
  <c r="BZ33"/>
  <c r="BY33"/>
  <c r="BX33"/>
  <c r="BW33"/>
  <c r="BV33"/>
  <c r="BU33"/>
  <c r="BT33"/>
  <c r="BS33"/>
  <c r="BR33"/>
  <c r="BQ33"/>
  <c r="BP33"/>
  <c r="BO33"/>
  <c r="BN33"/>
  <c r="BM33"/>
  <c r="BL33"/>
  <c r="BK33"/>
  <c r="BJ33"/>
  <c r="BI33"/>
  <c r="BH33"/>
  <c r="BG33"/>
  <c r="BF33"/>
  <c r="BE33"/>
  <c r="BD33"/>
  <c r="BC33"/>
  <c r="CG12" i="81"/>
  <c r="CF12"/>
  <c r="CE12"/>
  <c r="CD12"/>
  <c r="CC12"/>
  <c r="CA12"/>
  <c r="BZ12"/>
  <c r="BY12"/>
  <c r="BX12"/>
  <c r="BW12"/>
  <c r="BU12"/>
  <c r="BT12"/>
  <c r="BS12"/>
  <c r="BR12"/>
  <c r="BQ12"/>
  <c r="BO12"/>
  <c r="BN12"/>
  <c r="BM12"/>
  <c r="BL12"/>
  <c r="BK12"/>
  <c r="BI12"/>
  <c r="BH12"/>
  <c r="BG12"/>
  <c r="BF12"/>
  <c r="BE12"/>
  <c r="BC12"/>
  <c r="BB12"/>
  <c r="CC11"/>
  <c r="BW11"/>
  <c r="BQ11"/>
  <c r="BK11"/>
  <c r="BE11"/>
  <c r="BB11"/>
  <c r="CH11"/>
  <c r="CG11"/>
  <c r="CF11"/>
  <c r="CE11"/>
  <c r="CD11"/>
  <c r="CB11"/>
  <c r="CA11"/>
  <c r="BZ11"/>
  <c r="BY11"/>
  <c r="BX11"/>
  <c r="BV11"/>
  <c r="BU11"/>
  <c r="BT11"/>
  <c r="BS11"/>
  <c r="BR11"/>
  <c r="BP11"/>
  <c r="BO11"/>
  <c r="BN11"/>
  <c r="BM11"/>
  <c r="BL11"/>
  <c r="BJ11"/>
  <c r="BI11"/>
  <c r="BH11"/>
  <c r="BG11"/>
  <c r="BF11"/>
  <c r="BD11"/>
  <c r="BC11"/>
  <c r="CH66" i="2"/>
  <c r="CG66"/>
  <c r="CF66"/>
  <c r="CE66"/>
  <c r="CD66"/>
  <c r="CC66"/>
  <c r="CB66"/>
  <c r="CA66"/>
  <c r="BZ66"/>
  <c r="BY66"/>
  <c r="BX66"/>
  <c r="BW66"/>
  <c r="BV66"/>
  <c r="BU66"/>
  <c r="BT66"/>
  <c r="BS66"/>
  <c r="BR66"/>
  <c r="BQ66"/>
  <c r="BP66"/>
  <c r="BO66"/>
  <c r="BN66"/>
  <c r="BM66"/>
  <c r="BL66"/>
  <c r="BK66"/>
  <c r="BJ66"/>
  <c r="BI66"/>
  <c r="BH66"/>
  <c r="BG66"/>
  <c r="BF66"/>
  <c r="BE66"/>
  <c r="BD66"/>
  <c r="BC66"/>
  <c r="CH32" i="56"/>
  <c r="CG32"/>
  <c r="CF32"/>
  <c r="CE32"/>
  <c r="CD32"/>
  <c r="CC32"/>
  <c r="CB32"/>
  <c r="CA32"/>
  <c r="BZ32"/>
  <c r="BY32"/>
  <c r="BX32"/>
  <c r="BW32"/>
  <c r="BV32"/>
  <c r="BU32"/>
  <c r="BT32"/>
  <c r="BS32"/>
  <c r="BR32"/>
  <c r="BQ32"/>
  <c r="BP32"/>
  <c r="BO32"/>
  <c r="BN32"/>
  <c r="BM32"/>
  <c r="BL32"/>
  <c r="BK32"/>
  <c r="BJ32"/>
  <c r="BI32"/>
  <c r="BH32"/>
  <c r="BG32"/>
  <c r="BF32"/>
  <c r="BE32"/>
  <c r="BD32"/>
  <c r="BC32"/>
  <c r="BB32"/>
  <c r="CH18" i="58"/>
  <c r="CG18"/>
  <c r="CF18"/>
  <c r="CE18"/>
  <c r="CD18"/>
  <c r="CC18"/>
  <c r="CB18"/>
  <c r="CA18"/>
  <c r="BZ18"/>
  <c r="BY18"/>
  <c r="BX18"/>
  <c r="BW18"/>
  <c r="BV18"/>
  <c r="BU18"/>
  <c r="BT18"/>
  <c r="BS18"/>
  <c r="BR18"/>
  <c r="BQ18"/>
  <c r="BP18"/>
  <c r="BO18"/>
  <c r="BN18"/>
  <c r="BM18"/>
  <c r="BL18"/>
  <c r="BK18"/>
  <c r="BJ18"/>
  <c r="BI18"/>
  <c r="BH18"/>
  <c r="BG18"/>
  <c r="BF18"/>
  <c r="BE18"/>
  <c r="BD18"/>
  <c r="BC18"/>
  <c r="BB18"/>
  <c r="Q22" i="47"/>
  <c r="BU124" i="3"/>
  <c r="CA57" i="81"/>
  <c r="BU57"/>
  <c r="BT57"/>
  <c r="BO124" i="3"/>
  <c r="CA124"/>
  <c r="BZ57" i="81"/>
  <c r="CF57"/>
  <c r="BJ38"/>
  <c r="BP38"/>
  <c r="BP57"/>
  <c r="BP124" i="3"/>
  <c r="BV38" i="81"/>
  <c r="BV124" i="3"/>
  <c r="CB38" i="81"/>
  <c r="CB57"/>
  <c r="CB124" i="3"/>
  <c r="BO57" i="81"/>
  <c r="CG57"/>
  <c r="CH38"/>
  <c r="CH124" i="3"/>
  <c r="BV57" i="81"/>
  <c r="CH57"/>
  <c r="BS26"/>
  <c r="BS57"/>
  <c r="BY124" i="3"/>
  <c r="BY26" i="81"/>
  <c r="BY57"/>
  <c r="CE26"/>
  <c r="CE57"/>
  <c r="CE124" i="3"/>
  <c r="BW19" i="81"/>
  <c r="BW57"/>
  <c r="BQ124" i="3"/>
  <c r="BW124"/>
  <c r="BQ19" i="81"/>
  <c r="BQ57"/>
  <c r="CC19"/>
  <c r="CC57"/>
  <c r="CC124" i="3"/>
  <c r="BR57" i="81"/>
  <c r="BX57"/>
  <c r="CD57"/>
  <c r="BS124" i="3"/>
  <c r="BB124"/>
  <c r="BC57" i="81"/>
  <c r="BR124" i="3"/>
  <c r="BX124"/>
  <c r="CD124"/>
  <c r="BT124"/>
  <c r="BZ124"/>
  <c r="CF124"/>
  <c r="BG57" i="81"/>
  <c r="BK57"/>
  <c r="BI57"/>
  <c r="BM38"/>
  <c r="BM57"/>
  <c r="BE38"/>
  <c r="BE57"/>
  <c r="BN19"/>
  <c r="BN57"/>
  <c r="BL19"/>
  <c r="BL57"/>
  <c r="BJ19"/>
  <c r="BJ57"/>
  <c r="BH19"/>
  <c r="BH57"/>
  <c r="BF19"/>
  <c r="BF57"/>
  <c r="BD19"/>
  <c r="BD57"/>
  <c r="BB57"/>
  <c r="CI66" i="2"/>
  <c r="CI65"/>
  <c r="CI64"/>
  <c r="CI63"/>
  <c r="CI62"/>
  <c r="CI61"/>
  <c r="CI60"/>
  <c r="CI59"/>
  <c r="CI58"/>
  <c r="CI57"/>
  <c r="CI56"/>
  <c r="CI55"/>
  <c r="CI54"/>
  <c r="CI53"/>
  <c r="CI52"/>
  <c r="CI51"/>
  <c r="CI50"/>
  <c r="CI49"/>
  <c r="CI48"/>
  <c r="CI47"/>
  <c r="CI46"/>
  <c r="CI45"/>
  <c r="CI44"/>
  <c r="CI43"/>
  <c r="CI42"/>
  <c r="CI41"/>
  <c r="CI40"/>
  <c r="CI39"/>
  <c r="CI38"/>
  <c r="CI37"/>
  <c r="CI36"/>
  <c r="CI35"/>
  <c r="CI34"/>
  <c r="CI33"/>
  <c r="CI32"/>
  <c r="CI31"/>
  <c r="CI30"/>
  <c r="CI29"/>
  <c r="CI28"/>
  <c r="CI27"/>
  <c r="CI26"/>
  <c r="CI25"/>
  <c r="CI24"/>
  <c r="CI23"/>
  <c r="CI22"/>
  <c r="CI21"/>
  <c r="CI20"/>
  <c r="CI19"/>
  <c r="CI18"/>
  <c r="CI17"/>
  <c r="CI16"/>
  <c r="CI15"/>
  <c r="CI14"/>
  <c r="CI13"/>
  <c r="CI12"/>
  <c r="CI10"/>
  <c r="CI9"/>
  <c r="CI8"/>
  <c r="CI7"/>
  <c r="BF39" i="47"/>
  <c r="BN39"/>
  <c r="BM39"/>
  <c r="BL39"/>
  <c r="BK39"/>
  <c r="BJ39"/>
  <c r="BI39"/>
  <c r="BH39"/>
  <c r="BG39"/>
  <c r="BE39"/>
  <c r="BD39"/>
  <c r="BC39"/>
  <c r="BN126"/>
  <c r="BM126"/>
  <c r="BL126"/>
  <c r="BK126"/>
  <c r="BJ126"/>
  <c r="BI126"/>
  <c r="BH126"/>
  <c r="BG126"/>
  <c r="BF126"/>
  <c r="BE126"/>
  <c r="BD126"/>
  <c r="BC126"/>
  <c r="BN122"/>
  <c r="BM122"/>
  <c r="BL122"/>
  <c r="BK122"/>
  <c r="BJ122"/>
  <c r="BI122"/>
  <c r="BH122"/>
  <c r="BG122"/>
  <c r="BF122"/>
  <c r="BE122"/>
  <c r="BD122"/>
  <c r="BC122"/>
  <c r="BN111"/>
  <c r="BM111"/>
  <c r="BL111"/>
  <c r="BK111"/>
  <c r="BJ111"/>
  <c r="BF111"/>
  <c r="BI111"/>
  <c r="BH111"/>
  <c r="BG111"/>
  <c r="BE111"/>
  <c r="BD111"/>
  <c r="BC111"/>
  <c r="BN105"/>
  <c r="BM105"/>
  <c r="BL105"/>
  <c r="BK105"/>
  <c r="BJ105"/>
  <c r="BI105"/>
  <c r="BH105"/>
  <c r="BG105"/>
  <c r="BF105"/>
  <c r="BE105"/>
  <c r="BD105"/>
  <c r="BC105"/>
  <c r="BN86"/>
  <c r="BM86"/>
  <c r="BL86"/>
  <c r="BK86"/>
  <c r="BH86"/>
  <c r="BF86"/>
  <c r="BE86"/>
  <c r="BD86"/>
  <c r="BC86"/>
  <c r="BN85"/>
  <c r="BM85"/>
  <c r="BL85"/>
  <c r="BK85"/>
  <c r="BJ85"/>
  <c r="BI85"/>
  <c r="BH85"/>
  <c r="BG85"/>
  <c r="BF85"/>
  <c r="BE85"/>
  <c r="BD85"/>
  <c r="BC85"/>
  <c r="BN74"/>
  <c r="BM74"/>
  <c r="BL74"/>
  <c r="BK74"/>
  <c r="BJ74"/>
  <c r="BI74"/>
  <c r="BH74"/>
  <c r="BG74"/>
  <c r="BF74"/>
  <c r="BE74"/>
  <c r="BD74"/>
  <c r="BC74"/>
  <c r="BN71"/>
  <c r="BM71"/>
  <c r="BK71"/>
  <c r="BJ71"/>
  <c r="BH71"/>
  <c r="BF71"/>
  <c r="BE71"/>
  <c r="BD71"/>
  <c r="BL71"/>
  <c r="BG71"/>
  <c r="BC71"/>
  <c r="BH70"/>
  <c r="BN70"/>
  <c r="BM70"/>
  <c r="BL70"/>
  <c r="BK70"/>
  <c r="BJ70"/>
  <c r="BG70"/>
  <c r="BF70"/>
  <c r="BE70"/>
  <c r="BD70"/>
  <c r="BN69"/>
  <c r="BL69"/>
  <c r="BM69"/>
  <c r="BK69"/>
  <c r="BJ69"/>
  <c r="BH69"/>
  <c r="BG69"/>
  <c r="BF69"/>
  <c r="BE69"/>
  <c r="BD69"/>
  <c r="BC69"/>
  <c r="CI11" i="2"/>
  <c r="BG143" i="47"/>
  <c r="BK143"/>
  <c r="BF143"/>
  <c r="BC143"/>
  <c r="BH143"/>
  <c r="BL143"/>
  <c r="BD143"/>
  <c r="BI143"/>
  <c r="BM143"/>
  <c r="BE143"/>
  <c r="BJ143"/>
  <c r="BN143"/>
  <c r="CI34" i="10"/>
  <c r="CI32"/>
  <c r="CI31"/>
  <c r="CI30"/>
  <c r="CI29"/>
  <c r="CI28"/>
  <c r="CI27"/>
  <c r="CI26"/>
  <c r="CI25"/>
  <c r="CI24"/>
  <c r="CI23"/>
  <c r="CI22"/>
  <c r="CI21"/>
  <c r="CI20"/>
  <c r="CI19"/>
  <c r="CI18"/>
  <c r="CI17"/>
  <c r="CI16"/>
  <c r="CI15"/>
  <c r="CI14"/>
  <c r="CI13"/>
  <c r="CI12"/>
  <c r="CI11"/>
  <c r="CI10"/>
  <c r="CI9"/>
  <c r="CI8"/>
  <c r="BM14" i="60"/>
  <c r="BL14"/>
  <c r="BK14"/>
  <c r="BJ14"/>
  <c r="BI14"/>
  <c r="BG14"/>
  <c r="BF14"/>
  <c r="BC14"/>
  <c r="BN58" i="3"/>
  <c r="BN124"/>
  <c r="BM124"/>
  <c r="BL58"/>
  <c r="BL124"/>
  <c r="BK124"/>
  <c r="BJ124"/>
  <c r="BH124"/>
  <c r="BG124"/>
  <c r="BF124"/>
  <c r="BD124"/>
  <c r="BC124"/>
  <c r="CI22" i="9"/>
  <c r="CI21"/>
  <c r="CI19"/>
  <c r="CI18"/>
  <c r="CI17"/>
  <c r="CI16"/>
  <c r="CI15"/>
  <c r="CI14"/>
  <c r="CI13"/>
  <c r="CI12"/>
  <c r="CI11"/>
  <c r="CI10"/>
  <c r="CI9"/>
  <c r="CI8"/>
  <c r="CI7"/>
  <c r="CI37"/>
  <c r="CI35"/>
  <c r="CI34"/>
  <c r="CI33"/>
  <c r="CI32"/>
  <c r="CI31"/>
  <c r="CI30"/>
  <c r="CI29"/>
  <c r="CI28"/>
  <c r="CI27"/>
  <c r="CI26"/>
  <c r="CI25"/>
  <c r="CI24"/>
  <c r="CI23"/>
  <c r="CI20"/>
  <c r="CI36"/>
  <c r="BN116" i="49"/>
  <c r="BM116"/>
  <c r="BL116"/>
  <c r="BK116"/>
  <c r="BJ116"/>
  <c r="BI116"/>
  <c r="BH116"/>
  <c r="BG116"/>
  <c r="BF116"/>
  <c r="BE116"/>
  <c r="BD116"/>
  <c r="BC116"/>
  <c r="BF114"/>
  <c r="BF179"/>
  <c r="BN114"/>
  <c r="BN179"/>
  <c r="BM114"/>
  <c r="BM179"/>
  <c r="BL114"/>
  <c r="BL179"/>
  <c r="BK114"/>
  <c r="BJ114"/>
  <c r="BJ179"/>
  <c r="BI114"/>
  <c r="BI179"/>
  <c r="BH114"/>
  <c r="BH179"/>
  <c r="BG114"/>
  <c r="BE114"/>
  <c r="BE179"/>
  <c r="BD114"/>
  <c r="BD179"/>
  <c r="BC114"/>
  <c r="BC179"/>
  <c r="BN14" i="60"/>
  <c r="BH14"/>
  <c r="BE14"/>
  <c r="BD14"/>
  <c r="BI124" i="3"/>
  <c r="BE124"/>
  <c r="CI57" i="81"/>
  <c r="CI56"/>
  <c r="CI55"/>
  <c r="CI54"/>
  <c r="CI53"/>
  <c r="CI52"/>
  <c r="CI51"/>
  <c r="CI50"/>
  <c r="CI49"/>
  <c r="CI48"/>
  <c r="CI47"/>
  <c r="CI46"/>
  <c r="CI45"/>
  <c r="CI44"/>
  <c r="CI43"/>
  <c r="CI42"/>
  <c r="CI41"/>
  <c r="CI40"/>
  <c r="CI39"/>
  <c r="CI38"/>
  <c r="CI37"/>
  <c r="CI36"/>
  <c r="CI35"/>
  <c r="CI34"/>
  <c r="CI33"/>
  <c r="CI32"/>
  <c r="CI31"/>
  <c r="CI30"/>
  <c r="CI29"/>
  <c r="CI28"/>
  <c r="CI27"/>
  <c r="CI26"/>
  <c r="CI25"/>
  <c r="CI24"/>
  <c r="CI23"/>
  <c r="CI22"/>
  <c r="CI21"/>
  <c r="CI20"/>
  <c r="CI19"/>
  <c r="CI18"/>
  <c r="CI17"/>
  <c r="CI16"/>
  <c r="CI15"/>
  <c r="CI14"/>
  <c r="CI13"/>
  <c r="CI12"/>
  <c r="CI11"/>
  <c r="CI10"/>
  <c r="CI9"/>
  <c r="CI8"/>
  <c r="BG179" i="49"/>
  <c r="BK179"/>
  <c r="CI124" i="3"/>
  <c r="BN13" i="60"/>
  <c r="BM13"/>
  <c r="BL13"/>
  <c r="BK13"/>
  <c r="BJ13"/>
  <c r="BI13"/>
  <c r="BH13"/>
  <c r="BG13"/>
  <c r="BF13"/>
  <c r="BE13"/>
  <c r="BD13"/>
  <c r="BC13"/>
  <c r="BN12"/>
  <c r="BM12"/>
  <c r="BL12"/>
  <c r="BK12"/>
  <c r="BJ12"/>
  <c r="BI12"/>
  <c r="BH12"/>
  <c r="BG12"/>
  <c r="BF12"/>
  <c r="BE12"/>
  <c r="BD12"/>
  <c r="BC12"/>
  <c r="BK11"/>
  <c r="BK16"/>
  <c r="BJ11"/>
  <c r="BJ16"/>
  <c r="BN11"/>
  <c r="BM11"/>
  <c r="BL11"/>
  <c r="BL16"/>
  <c r="BI11"/>
  <c r="BI16"/>
  <c r="BH11"/>
  <c r="BH16"/>
  <c r="BG11"/>
  <c r="BG16"/>
  <c r="BF11"/>
  <c r="BF16"/>
  <c r="BE11"/>
  <c r="BE16"/>
  <c r="BD11"/>
  <c r="BD16"/>
  <c r="BC11"/>
  <c r="BC16"/>
  <c r="BM16"/>
  <c r="BN16"/>
  <c r="V273" i="65"/>
  <c r="V272"/>
  <c r="W272"/>
  <c r="V271"/>
  <c r="W271"/>
  <c r="V270"/>
  <c r="V269"/>
  <c r="W269"/>
  <c r="V268"/>
  <c r="W268"/>
  <c r="V267"/>
  <c r="W267"/>
  <c r="V266"/>
  <c r="W266"/>
  <c r="V265"/>
  <c r="V264"/>
  <c r="W264"/>
  <c r="V263"/>
  <c r="W263"/>
  <c r="V262"/>
  <c r="V261"/>
  <c r="W261"/>
  <c r="V260"/>
  <c r="W260"/>
  <c r="V259"/>
  <c r="W259"/>
  <c r="V258"/>
  <c r="V257"/>
  <c r="V256"/>
  <c r="W256"/>
  <c r="V255"/>
  <c r="W255"/>
  <c r="V254"/>
  <c r="W254"/>
  <c r="V253"/>
  <c r="W253"/>
  <c r="V252"/>
  <c r="W252"/>
  <c r="V251"/>
  <c r="V250"/>
  <c r="V249"/>
  <c r="W249"/>
  <c r="V248"/>
  <c r="W248"/>
  <c r="V247"/>
  <c r="W247"/>
  <c r="V246"/>
  <c r="W246"/>
  <c r="V245"/>
  <c r="V244"/>
  <c r="W244"/>
  <c r="V243"/>
  <c r="W243"/>
  <c r="V242"/>
  <c r="W242"/>
  <c r="V241"/>
  <c r="W241"/>
  <c r="V240"/>
  <c r="W240"/>
  <c r="V239"/>
  <c r="V238"/>
  <c r="W238"/>
  <c r="V237"/>
  <c r="W237"/>
  <c r="V236"/>
  <c r="W236"/>
  <c r="V235"/>
  <c r="V234"/>
  <c r="W234"/>
  <c r="V233"/>
  <c r="V232"/>
  <c r="W232"/>
  <c r="V231"/>
  <c r="V229"/>
  <c r="W229"/>
  <c r="V228"/>
  <c r="W228"/>
  <c r="V227"/>
  <c r="V226"/>
  <c r="W226"/>
  <c r="V225"/>
  <c r="V224"/>
  <c r="W224"/>
  <c r="V223"/>
  <c r="V222"/>
  <c r="W222"/>
  <c r="V221"/>
  <c r="W221"/>
  <c r="V220"/>
  <c r="W220"/>
  <c r="V219"/>
  <c r="W219"/>
  <c r="V218"/>
  <c r="W218"/>
  <c r="V217"/>
  <c r="W217"/>
  <c r="V216"/>
  <c r="V215"/>
  <c r="W215"/>
  <c r="V214"/>
  <c r="W214"/>
  <c r="V213"/>
  <c r="W213"/>
  <c r="V212"/>
  <c r="W212"/>
  <c r="V211"/>
  <c r="V210"/>
  <c r="V209"/>
  <c r="W209"/>
  <c r="V208"/>
  <c r="W208"/>
  <c r="V207"/>
  <c r="V206"/>
  <c r="W206"/>
  <c r="V205"/>
  <c r="W205"/>
  <c r="V204"/>
  <c r="V203"/>
  <c r="W203"/>
  <c r="V202"/>
  <c r="W202"/>
  <c r="V201"/>
  <c r="W201"/>
  <c r="V200"/>
  <c r="W200"/>
  <c r="V199"/>
  <c r="V198"/>
  <c r="W198"/>
  <c r="V197"/>
  <c r="W197"/>
  <c r="V196"/>
  <c r="V195"/>
  <c r="V194"/>
  <c r="W194"/>
  <c r="V193"/>
  <c r="W193"/>
  <c r="V192"/>
  <c r="W192"/>
  <c r="V191"/>
  <c r="W191"/>
  <c r="V190"/>
  <c r="W190"/>
  <c r="V189"/>
  <c r="W189"/>
  <c r="V188"/>
  <c r="W188"/>
  <c r="V187"/>
  <c r="W187"/>
  <c r="V186"/>
  <c r="W186"/>
  <c r="V185"/>
  <c r="V184"/>
  <c r="W184"/>
  <c r="V183"/>
  <c r="W183"/>
  <c r="V182"/>
  <c r="W182"/>
  <c r="V181"/>
  <c r="W181"/>
  <c r="V180"/>
  <c r="W180"/>
  <c r="V179"/>
  <c r="W179"/>
  <c r="V178"/>
  <c r="V177"/>
  <c r="W177"/>
  <c r="V176"/>
  <c r="W176"/>
  <c r="V175"/>
  <c r="V174"/>
  <c r="V173"/>
  <c r="W173"/>
  <c r="V172"/>
  <c r="W172"/>
  <c r="V171"/>
  <c r="V170"/>
  <c r="W170"/>
  <c r="V169"/>
  <c r="W169"/>
  <c r="V168"/>
  <c r="W168"/>
  <c r="V167"/>
  <c r="W167"/>
  <c r="V166"/>
  <c r="V165"/>
  <c r="W165"/>
  <c r="V164"/>
  <c r="W164"/>
  <c r="V163"/>
  <c r="V162"/>
  <c r="V161"/>
  <c r="W161"/>
  <c r="V160"/>
  <c r="W160"/>
  <c r="V159"/>
  <c r="V158"/>
  <c r="W158"/>
  <c r="V157"/>
  <c r="W157"/>
  <c r="V156"/>
  <c r="V155"/>
  <c r="W155"/>
  <c r="V154"/>
  <c r="W154"/>
  <c r="V153"/>
  <c r="V152"/>
  <c r="V151"/>
  <c r="W151"/>
  <c r="V150"/>
  <c r="V149"/>
  <c r="W149"/>
  <c r="V148"/>
  <c r="W148"/>
  <c r="V147"/>
  <c r="W147"/>
  <c r="V146"/>
  <c r="W146"/>
  <c r="V145"/>
  <c r="W145"/>
  <c r="V144"/>
  <c r="W144"/>
  <c r="V143"/>
  <c r="W143"/>
  <c r="V142"/>
  <c r="V141"/>
  <c r="W141"/>
  <c r="V140"/>
  <c r="W140"/>
  <c r="V139"/>
  <c r="W139"/>
  <c r="V138"/>
  <c r="V137"/>
  <c r="W137"/>
  <c r="V136"/>
  <c r="W136"/>
  <c r="V135"/>
  <c r="W135"/>
  <c r="V134"/>
  <c r="V133"/>
  <c r="W133"/>
  <c r="V132"/>
  <c r="W132"/>
  <c r="V131"/>
  <c r="W131"/>
  <c r="V130"/>
  <c r="V129"/>
  <c r="W129"/>
  <c r="V128"/>
  <c r="W128"/>
  <c r="V127"/>
  <c r="W127"/>
  <c r="V126"/>
  <c r="V125"/>
  <c r="W125"/>
  <c r="V124"/>
  <c r="W124"/>
  <c r="V123"/>
  <c r="W123"/>
  <c r="V122"/>
  <c r="V121"/>
  <c r="V120"/>
  <c r="V119"/>
  <c r="W119"/>
  <c r="V118"/>
  <c r="V117"/>
  <c r="W117"/>
  <c r="V116"/>
  <c r="W116"/>
  <c r="V115"/>
  <c r="V114"/>
  <c r="W114"/>
  <c r="V113"/>
  <c r="W113"/>
  <c r="V112"/>
  <c r="V111"/>
  <c r="W111"/>
  <c r="V110"/>
  <c r="W110"/>
  <c r="V109"/>
  <c r="W109"/>
  <c r="V108"/>
  <c r="V107"/>
  <c r="W107"/>
  <c r="V106"/>
  <c r="W106"/>
  <c r="V105"/>
  <c r="W105"/>
  <c r="V104"/>
  <c r="V103"/>
  <c r="V102"/>
  <c r="W102"/>
  <c r="V101"/>
  <c r="W101"/>
  <c r="V100"/>
  <c r="W100"/>
  <c r="V99"/>
  <c r="V98"/>
  <c r="W98"/>
  <c r="V97"/>
  <c r="W97"/>
  <c r="V96"/>
  <c r="W96"/>
  <c r="V95"/>
  <c r="W95"/>
  <c r="V94"/>
  <c r="W94"/>
  <c r="V93"/>
  <c r="W93"/>
  <c r="V92"/>
  <c r="V91"/>
  <c r="V90"/>
  <c r="W90"/>
  <c r="V89"/>
  <c r="W89"/>
  <c r="V88"/>
  <c r="V87"/>
  <c r="W87"/>
  <c r="V86"/>
  <c r="W86"/>
  <c r="V85"/>
  <c r="W85"/>
  <c r="V84"/>
  <c r="V83"/>
  <c r="W83"/>
  <c r="V82"/>
  <c r="W82"/>
  <c r="V81"/>
  <c r="W81"/>
  <c r="V80"/>
  <c r="W80"/>
  <c r="V79"/>
  <c r="W79"/>
  <c r="V78"/>
  <c r="V77"/>
  <c r="V76"/>
  <c r="W76"/>
  <c r="V75"/>
  <c r="W75"/>
  <c r="V74"/>
  <c r="W74"/>
  <c r="V73"/>
  <c r="W73"/>
  <c r="V72"/>
  <c r="W72"/>
  <c r="V71"/>
  <c r="V70"/>
  <c r="V69"/>
  <c r="W69"/>
  <c r="V68"/>
  <c r="W68"/>
  <c r="V67"/>
  <c r="W67"/>
  <c r="V66"/>
  <c r="W66"/>
  <c r="V65"/>
  <c r="V64"/>
  <c r="V63"/>
  <c r="W63"/>
  <c r="V62"/>
  <c r="W62"/>
  <c r="V61"/>
  <c r="W61"/>
  <c r="V60"/>
  <c r="V59"/>
  <c r="W59"/>
  <c r="V58"/>
  <c r="W58"/>
  <c r="V57"/>
  <c r="V56"/>
  <c r="W56"/>
  <c r="V55"/>
  <c r="W55"/>
  <c r="V54"/>
  <c r="W54"/>
  <c r="V53"/>
  <c r="V52"/>
  <c r="V51"/>
  <c r="V50"/>
  <c r="W50"/>
  <c r="V49"/>
  <c r="W49"/>
  <c r="V48"/>
  <c r="W48"/>
  <c r="V47"/>
  <c r="W47"/>
  <c r="V46"/>
  <c r="W46"/>
  <c r="V45"/>
  <c r="V44"/>
  <c r="W44"/>
  <c r="V43"/>
  <c r="W43"/>
  <c r="V42"/>
  <c r="V41"/>
  <c r="W41"/>
  <c r="V40"/>
  <c r="W40"/>
  <c r="V39"/>
  <c r="V38"/>
  <c r="V37"/>
  <c r="W37"/>
  <c r="V36"/>
  <c r="W36"/>
  <c r="V35"/>
  <c r="W35"/>
  <c r="V34"/>
  <c r="W34"/>
  <c r="V33"/>
  <c r="V32"/>
  <c r="W32"/>
  <c r="V31"/>
  <c r="W31"/>
  <c r="V30"/>
  <c r="V29"/>
  <c r="W29"/>
  <c r="V28"/>
  <c r="W28"/>
  <c r="V27"/>
  <c r="W27"/>
  <c r="V26"/>
  <c r="W26"/>
  <c r="V25"/>
  <c r="W25"/>
  <c r="V24"/>
  <c r="W24"/>
  <c r="V23"/>
  <c r="W23"/>
  <c r="V22"/>
  <c r="W22"/>
  <c r="V21"/>
  <c r="W21"/>
  <c r="V20"/>
  <c r="W20"/>
  <c r="V19"/>
  <c r="W19"/>
  <c r="V18"/>
  <c r="V17"/>
  <c r="V16"/>
  <c r="V15"/>
  <c r="V14"/>
  <c r="V13"/>
  <c r="V12"/>
  <c r="V11"/>
  <c r="V10"/>
  <c r="V9"/>
  <c r="V8"/>
  <c r="V7"/>
  <c r="CI47" i="84"/>
  <c r="CI46"/>
  <c r="CI45"/>
  <c r="CI44"/>
  <c r="CI43"/>
  <c r="CI42"/>
  <c r="CI41"/>
  <c r="CI40"/>
  <c r="CI39"/>
  <c r="CI38"/>
  <c r="CI37"/>
  <c r="CI36"/>
  <c r="CI35"/>
  <c r="CI34"/>
  <c r="CI33"/>
  <c r="CI32"/>
  <c r="CI31"/>
  <c r="CI30"/>
  <c r="CI29"/>
  <c r="CI28"/>
  <c r="CI27"/>
  <c r="CI26"/>
  <c r="CI25"/>
  <c r="CI24"/>
  <c r="CI23"/>
  <c r="CI22"/>
  <c r="CI21"/>
  <c r="CI20"/>
  <c r="CI19"/>
  <c r="CI18"/>
  <c r="CI17"/>
  <c r="CI16"/>
  <c r="CI15"/>
  <c r="CI14"/>
  <c r="CI13"/>
  <c r="CI12"/>
  <c r="CI11"/>
  <c r="CI10"/>
  <c r="CI9"/>
  <c r="CI8"/>
  <c r="CI7"/>
  <c r="CI66" i="83"/>
  <c r="CI65"/>
  <c r="CI64"/>
  <c r="CI63"/>
  <c r="CI62"/>
  <c r="CI61"/>
  <c r="CI60"/>
  <c r="CI59"/>
  <c r="CI58"/>
  <c r="CI57"/>
  <c r="CI56"/>
  <c r="CI55"/>
  <c r="CI54"/>
  <c r="CI53"/>
  <c r="CI52"/>
  <c r="CI51"/>
  <c r="CI50"/>
  <c r="CI49"/>
  <c r="CI48"/>
  <c r="CI47"/>
  <c r="CI46"/>
  <c r="CI45"/>
  <c r="CI44"/>
  <c r="CI43"/>
  <c r="CI42"/>
  <c r="CI41"/>
  <c r="CI40"/>
  <c r="CI39"/>
  <c r="CI38"/>
  <c r="CI37"/>
  <c r="CI36"/>
  <c r="CI35"/>
  <c r="CI34"/>
  <c r="CI33"/>
  <c r="CI32"/>
  <c r="CI31"/>
  <c r="CI30"/>
  <c r="CI29"/>
  <c r="CI28"/>
  <c r="CI27"/>
  <c r="CI26"/>
  <c r="CI25"/>
  <c r="CI24"/>
  <c r="CI23"/>
  <c r="CI22"/>
  <c r="CI21"/>
  <c r="CI20"/>
  <c r="CI19"/>
  <c r="CI18"/>
  <c r="CI17"/>
  <c r="CI16"/>
  <c r="CI15"/>
  <c r="CI14"/>
  <c r="CI13"/>
  <c r="CI12"/>
  <c r="CI11"/>
  <c r="CI10"/>
  <c r="CI9"/>
  <c r="CI8"/>
  <c r="CI7"/>
  <c r="CI7" i="6"/>
  <c r="CI43" i="85"/>
  <c r="CI42"/>
  <c r="CI41"/>
  <c r="CI40"/>
  <c r="CI39"/>
  <c r="CI38"/>
  <c r="CI37"/>
  <c r="CI36"/>
  <c r="CI35"/>
  <c r="CI34"/>
  <c r="CI33"/>
  <c r="CI32"/>
  <c r="CI31"/>
  <c r="CI30"/>
  <c r="CI29"/>
  <c r="CI28"/>
  <c r="CI27"/>
  <c r="CI26"/>
  <c r="CI25"/>
  <c r="CI24"/>
  <c r="CI23"/>
  <c r="CI22"/>
  <c r="CI21"/>
  <c r="CI20"/>
  <c r="CI19"/>
  <c r="CI18"/>
  <c r="CI17"/>
  <c r="CI16"/>
  <c r="CI15"/>
  <c r="CI14"/>
  <c r="CI13"/>
  <c r="CI12"/>
  <c r="CI11"/>
  <c r="CI10"/>
  <c r="CI9"/>
  <c r="CI8"/>
  <c r="CI7"/>
  <c r="BB194" i="7"/>
  <c r="BB284"/>
  <c r="CI15" i="60"/>
  <c r="CI14"/>
  <c r="CI13"/>
  <c r="CI12"/>
  <c r="CI11"/>
  <c r="CI10"/>
  <c r="CI9"/>
  <c r="CI8"/>
  <c r="CI7"/>
  <c r="CI33" i="56"/>
  <c r="CI32"/>
  <c r="CI31"/>
  <c r="CI30"/>
  <c r="CI29"/>
  <c r="CI28"/>
  <c r="CI27"/>
  <c r="CI26"/>
  <c r="CI25"/>
  <c r="CI24"/>
  <c r="CI23"/>
  <c r="CI22"/>
  <c r="CI21"/>
  <c r="CI20"/>
  <c r="CI19"/>
  <c r="CI18"/>
  <c r="CI17"/>
  <c r="CI16"/>
  <c r="CI15"/>
  <c r="CI14"/>
  <c r="CI13"/>
  <c r="CI12"/>
  <c r="CI11"/>
  <c r="CI10"/>
  <c r="CI9"/>
  <c r="CI8"/>
  <c r="CI7"/>
  <c r="CI19" i="58"/>
  <c r="CI18"/>
  <c r="CI17"/>
  <c r="CI16"/>
  <c r="CI15"/>
  <c r="CI14"/>
  <c r="CI13"/>
  <c r="CI12"/>
  <c r="CI11"/>
  <c r="CI10"/>
  <c r="CI9"/>
  <c r="CI8"/>
  <c r="CI7"/>
  <c r="CI178" i="49"/>
  <c r="CI177"/>
  <c r="CI176"/>
  <c r="CI175"/>
  <c r="CI174"/>
  <c r="CI173"/>
  <c r="CI172"/>
  <c r="CI171"/>
  <c r="CI170"/>
  <c r="CI169"/>
  <c r="CI168"/>
  <c r="CI167"/>
  <c r="CI166"/>
  <c r="CI165"/>
  <c r="CI164"/>
  <c r="CI163"/>
  <c r="CI162"/>
  <c r="CI161"/>
  <c r="CI160"/>
  <c r="CI159"/>
  <c r="CI158"/>
  <c r="CI157"/>
  <c r="CI156"/>
  <c r="CI155"/>
  <c r="CI154"/>
  <c r="CI153"/>
  <c r="CI152"/>
  <c r="CI151"/>
  <c r="CI150"/>
  <c r="CI149"/>
  <c r="CI148"/>
  <c r="CI147"/>
  <c r="CI146"/>
  <c r="CI145"/>
  <c r="CI144"/>
  <c r="CI143"/>
  <c r="CI142"/>
  <c r="CI141"/>
  <c r="CI140"/>
  <c r="CI139"/>
  <c r="CI138"/>
  <c r="CI137"/>
  <c r="CI136"/>
  <c r="CI135"/>
  <c r="CI134"/>
  <c r="CI133"/>
  <c r="CI132"/>
  <c r="CI131"/>
  <c r="CI130"/>
  <c r="CI129"/>
  <c r="CI128"/>
  <c r="CI127"/>
  <c r="CI126"/>
  <c r="CI125"/>
  <c r="CI124"/>
  <c r="CI123"/>
  <c r="CI122"/>
  <c r="CI121"/>
  <c r="CI120"/>
  <c r="CI119"/>
  <c r="CI118"/>
  <c r="CI117"/>
  <c r="CI116"/>
  <c r="CI115"/>
  <c r="CI114"/>
  <c r="CI113"/>
  <c r="CI112"/>
  <c r="CI111"/>
  <c r="CI110"/>
  <c r="CI109"/>
  <c r="CI108"/>
  <c r="CI107"/>
  <c r="CI106"/>
  <c r="CI105"/>
  <c r="CI104"/>
  <c r="CI103"/>
  <c r="CI102"/>
  <c r="CI101"/>
  <c r="CI100"/>
  <c r="CI99"/>
  <c r="CI98"/>
  <c r="CI97"/>
  <c r="CI96"/>
  <c r="CI95"/>
  <c r="CI94"/>
  <c r="CI93"/>
  <c r="CI92"/>
  <c r="CI91"/>
  <c r="CI90"/>
  <c r="CI89"/>
  <c r="CI88"/>
  <c r="CI87"/>
  <c r="CI86"/>
  <c r="CI85"/>
  <c r="CI84"/>
  <c r="CI83"/>
  <c r="CI82"/>
  <c r="CI81"/>
  <c r="CI80"/>
  <c r="CI79"/>
  <c r="CI78"/>
  <c r="CI77"/>
  <c r="CI76"/>
  <c r="CI75"/>
  <c r="CI74"/>
  <c r="CI73"/>
  <c r="CI72"/>
  <c r="CI71"/>
  <c r="CI70"/>
  <c r="CI69"/>
  <c r="CI68"/>
  <c r="CI67"/>
  <c r="CI66"/>
  <c r="CI65"/>
  <c r="CI64"/>
  <c r="CI63"/>
  <c r="CI62"/>
  <c r="CI61"/>
  <c r="CI60"/>
  <c r="CI59"/>
  <c r="CI58"/>
  <c r="CI57"/>
  <c r="CI56"/>
  <c r="CI55"/>
  <c r="CI54"/>
  <c r="CI53"/>
  <c r="CI52"/>
  <c r="CI51"/>
  <c r="CI50"/>
  <c r="CI49"/>
  <c r="CI48"/>
  <c r="CI47"/>
  <c r="CI46"/>
  <c r="CI45"/>
  <c r="CI44"/>
  <c r="CI43"/>
  <c r="CI42"/>
  <c r="CI41"/>
  <c r="CI40"/>
  <c r="CI39"/>
  <c r="CI38"/>
  <c r="CI37"/>
  <c r="CI36"/>
  <c r="CI35"/>
  <c r="CI34"/>
  <c r="CI33"/>
  <c r="CI32"/>
  <c r="CI31"/>
  <c r="CI30"/>
  <c r="CI29"/>
  <c r="CI28"/>
  <c r="CI27"/>
  <c r="CI26"/>
  <c r="CI25"/>
  <c r="CI24"/>
  <c r="CI23"/>
  <c r="CI22"/>
  <c r="CI21"/>
  <c r="CI20"/>
  <c r="CI19"/>
  <c r="CI18"/>
  <c r="CI17"/>
  <c r="CI16"/>
  <c r="CI15"/>
  <c r="CI14"/>
  <c r="CI13"/>
  <c r="CI12"/>
  <c r="CI11"/>
  <c r="CI10"/>
  <c r="CI9"/>
  <c r="CI8"/>
  <c r="CI7"/>
  <c r="CI6"/>
  <c r="CI142" i="47"/>
  <c r="CI141"/>
  <c r="CI140"/>
  <c r="CI139"/>
  <c r="CI138"/>
  <c r="CI137"/>
  <c r="CI136"/>
  <c r="CI135"/>
  <c r="CI134"/>
  <c r="CI133"/>
  <c r="CI132"/>
  <c r="CI131"/>
  <c r="CI130"/>
  <c r="CI129"/>
  <c r="CI128"/>
  <c r="CI127"/>
  <c r="CI126"/>
  <c r="CI125"/>
  <c r="CI124"/>
  <c r="CI123"/>
  <c r="CI122"/>
  <c r="CI121"/>
  <c r="CI120"/>
  <c r="CI119"/>
  <c r="CI118"/>
  <c r="CI117"/>
  <c r="CI116"/>
  <c r="CI115"/>
  <c r="CI114"/>
  <c r="CI113"/>
  <c r="CI112"/>
  <c r="CI111"/>
  <c r="CI110"/>
  <c r="CI109"/>
  <c r="CI108"/>
  <c r="CI107"/>
  <c r="CI106"/>
  <c r="CI105"/>
  <c r="CI104"/>
  <c r="CI103"/>
  <c r="CI102"/>
  <c r="CI101"/>
  <c r="CI100"/>
  <c r="CI99"/>
  <c r="CI98"/>
  <c r="CI97"/>
  <c r="CI96"/>
  <c r="CI95"/>
  <c r="CI94"/>
  <c r="CI93"/>
  <c r="CI92"/>
  <c r="CI91"/>
  <c r="CI90"/>
  <c r="CI89"/>
  <c r="CI88"/>
  <c r="CI87"/>
  <c r="CI86"/>
  <c r="CI85"/>
  <c r="CI84"/>
  <c r="CI83"/>
  <c r="CI82"/>
  <c r="CI81"/>
  <c r="CI80"/>
  <c r="CI79"/>
  <c r="CI78"/>
  <c r="CI77"/>
  <c r="CI76"/>
  <c r="CI75"/>
  <c r="CI74"/>
  <c r="CI73"/>
  <c r="CI72"/>
  <c r="CI71"/>
  <c r="CI70"/>
  <c r="CI69"/>
  <c r="CI68"/>
  <c r="CI67"/>
  <c r="CI66"/>
  <c r="CI65"/>
  <c r="CI64"/>
  <c r="CI63"/>
  <c r="CI62"/>
  <c r="CI61"/>
  <c r="CI60"/>
  <c r="CI59"/>
  <c r="CI58"/>
  <c r="CI57"/>
  <c r="CI56"/>
  <c r="CI55"/>
  <c r="CI54"/>
  <c r="CI53"/>
  <c r="CI52"/>
  <c r="CI51"/>
  <c r="CI50"/>
  <c r="CI49"/>
  <c r="CI48"/>
  <c r="CI47"/>
  <c r="CI46"/>
  <c r="CI45"/>
  <c r="CI44"/>
  <c r="CI43"/>
  <c r="CI42"/>
  <c r="CI41"/>
  <c r="CI40"/>
  <c r="CI39"/>
  <c r="CI38"/>
  <c r="CI37"/>
  <c r="CI36"/>
  <c r="CI35"/>
  <c r="CI34"/>
  <c r="CI33"/>
  <c r="CI32"/>
  <c r="CI31"/>
  <c r="CI30"/>
  <c r="CI29"/>
  <c r="CI28"/>
  <c r="CI27"/>
  <c r="CI26"/>
  <c r="CI25"/>
  <c r="CI24"/>
  <c r="CI23"/>
  <c r="CI22"/>
  <c r="CI21"/>
  <c r="CI20"/>
  <c r="CI19"/>
  <c r="CI18"/>
  <c r="CI17"/>
  <c r="CI16"/>
  <c r="CI15"/>
  <c r="CI14"/>
  <c r="CI13"/>
  <c r="CI12"/>
  <c r="CI11"/>
  <c r="CI10"/>
  <c r="CI9"/>
  <c r="CI8"/>
  <c r="CI7"/>
  <c r="CI53" i="11"/>
  <c r="CI52"/>
  <c r="CI51"/>
  <c r="CI50"/>
  <c r="CI49"/>
  <c r="CI48"/>
  <c r="CI47"/>
  <c r="CI46"/>
  <c r="CI45"/>
  <c r="CI44"/>
  <c r="CI43"/>
  <c r="CI42"/>
  <c r="CI41"/>
  <c r="CI40"/>
  <c r="CI39"/>
  <c r="CI38"/>
  <c r="CI37"/>
  <c r="CI36"/>
  <c r="CI35"/>
  <c r="CI34"/>
  <c r="CI33"/>
  <c r="CI32"/>
  <c r="CI31"/>
  <c r="CI30"/>
  <c r="CI29"/>
  <c r="CI28"/>
  <c r="CI27"/>
  <c r="CI26"/>
  <c r="CI25"/>
  <c r="CI24"/>
  <c r="CI23"/>
  <c r="CI22"/>
  <c r="CI21"/>
  <c r="CI20"/>
  <c r="CI19"/>
  <c r="CI18"/>
  <c r="CI17"/>
  <c r="CI16"/>
  <c r="CI15"/>
  <c r="CI14"/>
  <c r="CI13"/>
  <c r="CI12"/>
  <c r="CI11"/>
  <c r="CI10"/>
  <c r="CI9"/>
  <c r="CI8"/>
  <c r="CI7"/>
  <c r="CI7" i="10"/>
  <c r="CI33"/>
  <c r="CI109" i="13"/>
  <c r="CI108"/>
  <c r="CI107"/>
  <c r="CI106"/>
  <c r="CI105"/>
  <c r="CI104"/>
  <c r="CI103"/>
  <c r="CI102"/>
  <c r="CI101"/>
  <c r="CI100"/>
  <c r="CI99"/>
  <c r="CI98"/>
  <c r="CI97"/>
  <c r="CI96"/>
  <c r="CI95"/>
  <c r="CI94"/>
  <c r="CI93"/>
  <c r="CI92"/>
  <c r="CI91"/>
  <c r="CI90"/>
  <c r="CI89"/>
  <c r="CI88"/>
  <c r="CI87"/>
  <c r="CI86"/>
  <c r="CI85"/>
  <c r="CI84"/>
  <c r="CI83"/>
  <c r="CI82"/>
  <c r="CI81"/>
  <c r="CI80"/>
  <c r="CI79"/>
  <c r="CI78"/>
  <c r="CI77"/>
  <c r="CI76"/>
  <c r="CI75"/>
  <c r="CI74"/>
  <c r="CI73"/>
  <c r="CI72"/>
  <c r="CI71"/>
  <c r="CI70"/>
  <c r="CI69"/>
  <c r="CI68"/>
  <c r="CI67"/>
  <c r="CI66"/>
  <c r="CI65"/>
  <c r="CI64"/>
  <c r="CI63"/>
  <c r="CI62"/>
  <c r="CI61"/>
  <c r="CI60"/>
  <c r="CI59"/>
  <c r="CI58"/>
  <c r="CI57"/>
  <c r="CI56"/>
  <c r="CI55"/>
  <c r="CI54"/>
  <c r="CI53"/>
  <c r="CI52"/>
  <c r="CI51"/>
  <c r="CI50"/>
  <c r="CI49"/>
  <c r="CI48"/>
  <c r="CI47"/>
  <c r="CI46"/>
  <c r="CI45"/>
  <c r="CI44"/>
  <c r="CI43"/>
  <c r="CI42"/>
  <c r="CI41"/>
  <c r="CI40"/>
  <c r="CI39"/>
  <c r="CI38"/>
  <c r="CI37"/>
  <c r="CI36"/>
  <c r="CI35"/>
  <c r="CI34"/>
  <c r="CI33"/>
  <c r="CI32"/>
  <c r="CI31"/>
  <c r="CI30"/>
  <c r="CI29"/>
  <c r="CI28"/>
  <c r="CI27"/>
  <c r="CI26"/>
  <c r="CI25"/>
  <c r="CI24"/>
  <c r="CI23"/>
  <c r="CI22"/>
  <c r="CI21"/>
  <c r="CI20"/>
  <c r="CI19"/>
  <c r="CI18"/>
  <c r="CI17"/>
  <c r="CI16"/>
  <c r="CI15"/>
  <c r="CI14"/>
  <c r="CI13"/>
  <c r="CI12"/>
  <c r="CI11"/>
  <c r="CI10"/>
  <c r="CI9"/>
  <c r="CI8"/>
  <c r="CI7"/>
  <c r="CI6"/>
  <c r="CI108" i="12"/>
  <c r="CI106"/>
  <c r="CI105"/>
  <c r="CI104"/>
  <c r="CI103"/>
  <c r="CI102"/>
  <c r="CI101"/>
  <c r="CI100"/>
  <c r="CI99"/>
  <c r="CI98"/>
  <c r="CI97"/>
  <c r="CI96"/>
  <c r="CI95"/>
  <c r="CI94"/>
  <c r="CI93"/>
  <c r="CI92"/>
  <c r="CI91"/>
  <c r="CI90"/>
  <c r="CI89"/>
  <c r="CI88"/>
  <c r="CI87"/>
  <c r="CI86"/>
  <c r="CI85"/>
  <c r="CI84"/>
  <c r="CI83"/>
  <c r="CI82"/>
  <c r="CI81"/>
  <c r="CI80"/>
  <c r="CI79"/>
  <c r="CI78"/>
  <c r="CI77"/>
  <c r="CI76"/>
  <c r="CI75"/>
  <c r="CI74"/>
  <c r="CI73"/>
  <c r="CI72"/>
  <c r="CI71"/>
  <c r="CI70"/>
  <c r="CI69"/>
  <c r="CI68"/>
  <c r="CI67"/>
  <c r="CI66"/>
  <c r="CI65"/>
  <c r="CI64"/>
  <c r="CI63"/>
  <c r="CI62"/>
  <c r="CI61"/>
  <c r="CI60"/>
  <c r="CI59"/>
  <c r="CI58"/>
  <c r="CI57"/>
  <c r="CI56"/>
  <c r="CI55"/>
  <c r="CI54"/>
  <c r="CI53"/>
  <c r="CI52"/>
  <c r="CI51"/>
  <c r="CI50"/>
  <c r="CI49"/>
  <c r="CI48"/>
  <c r="CI47"/>
  <c r="CI46"/>
  <c r="CI45"/>
  <c r="CI44"/>
  <c r="CI43"/>
  <c r="CI42"/>
  <c r="CI41"/>
  <c r="CI40"/>
  <c r="CI39"/>
  <c r="CI38"/>
  <c r="CI37"/>
  <c r="CI36"/>
  <c r="CI35"/>
  <c r="CI34"/>
  <c r="CI33"/>
  <c r="CI32"/>
  <c r="CI31"/>
  <c r="CI30"/>
  <c r="CI29"/>
  <c r="CI28"/>
  <c r="CI27"/>
  <c r="CI26"/>
  <c r="CI25"/>
  <c r="CI24"/>
  <c r="CI23"/>
  <c r="CI22"/>
  <c r="CI21"/>
  <c r="CI20"/>
  <c r="CI19"/>
  <c r="CI18"/>
  <c r="CI17"/>
  <c r="CI16"/>
  <c r="CI15"/>
  <c r="CI14"/>
  <c r="CI13"/>
  <c r="CI12"/>
  <c r="CI11"/>
  <c r="CI10"/>
  <c r="CI9"/>
  <c r="CI8"/>
  <c r="CI7"/>
  <c r="CI6"/>
  <c r="CI62" i="8"/>
  <c r="CI61"/>
  <c r="CI60"/>
  <c r="CI59"/>
  <c r="CI58"/>
  <c r="CI57"/>
  <c r="CI56"/>
  <c r="CI55"/>
  <c r="CI54"/>
  <c r="CI53"/>
  <c r="CI52"/>
  <c r="CI51"/>
  <c r="CI50"/>
  <c r="CI49"/>
  <c r="CI48"/>
  <c r="CI47"/>
  <c r="CI46"/>
  <c r="CI45"/>
  <c r="CI44"/>
  <c r="CI43"/>
  <c r="CI42"/>
  <c r="CI41"/>
  <c r="CI40"/>
  <c r="CI39"/>
  <c r="CI38"/>
  <c r="CI37"/>
  <c r="CI36"/>
  <c r="CI35"/>
  <c r="CI34"/>
  <c r="CI33"/>
  <c r="CI32"/>
  <c r="CI31"/>
  <c r="CI30"/>
  <c r="CI29"/>
  <c r="CI28"/>
  <c r="CI27"/>
  <c r="CI26"/>
  <c r="CI25"/>
  <c r="CI24"/>
  <c r="CI23"/>
  <c r="CI22"/>
  <c r="CI21"/>
  <c r="CI20"/>
  <c r="CI19"/>
  <c r="CI18"/>
  <c r="CI17"/>
  <c r="CI16"/>
  <c r="CI15"/>
  <c r="CI14"/>
  <c r="CI13"/>
  <c r="CI12"/>
  <c r="CI11"/>
  <c r="CI10"/>
  <c r="CI9"/>
  <c r="CI283" i="7"/>
  <c r="CI282"/>
  <c r="CI281"/>
  <c r="CI280"/>
  <c r="CI279"/>
  <c r="CI278"/>
  <c r="CI277"/>
  <c r="CI276"/>
  <c r="CI275"/>
  <c r="CI274"/>
  <c r="CI273"/>
  <c r="CI272"/>
  <c r="CI271"/>
  <c r="CI270"/>
  <c r="CI269"/>
  <c r="CI268"/>
  <c r="CI267"/>
  <c r="CI266"/>
  <c r="CI265"/>
  <c r="CI264"/>
  <c r="CI263"/>
  <c r="CI262"/>
  <c r="CI261"/>
  <c r="CI260"/>
  <c r="CI259"/>
  <c r="CI258"/>
  <c r="CI257"/>
  <c r="CI256"/>
  <c r="CI255"/>
  <c r="CI254"/>
  <c r="CI253"/>
  <c r="CI252"/>
  <c r="CI251"/>
  <c r="CI250"/>
  <c r="CI249"/>
  <c r="CI248"/>
  <c r="CI247"/>
  <c r="CI246"/>
  <c r="CI245"/>
  <c r="CI244"/>
  <c r="CI243"/>
  <c r="CI242"/>
  <c r="CI241"/>
  <c r="CI240"/>
  <c r="CI239"/>
  <c r="CI238"/>
  <c r="CI237"/>
  <c r="CI236"/>
  <c r="CI235"/>
  <c r="CI234"/>
  <c r="CI233"/>
  <c r="CI232"/>
  <c r="CI231"/>
  <c r="CI230"/>
  <c r="CI229"/>
  <c r="CI228"/>
  <c r="CI227"/>
  <c r="CI226"/>
  <c r="CI225"/>
  <c r="CI224"/>
  <c r="CI223"/>
  <c r="CI222"/>
  <c r="CI221"/>
  <c r="CI220"/>
  <c r="CI219"/>
  <c r="CI218"/>
  <c r="CI217"/>
  <c r="CI216"/>
  <c r="CI215"/>
  <c r="CI214"/>
  <c r="CI213"/>
  <c r="CI212"/>
  <c r="CI211"/>
  <c r="CI210"/>
  <c r="CI209"/>
  <c r="CI208"/>
  <c r="CI207"/>
  <c r="CI206"/>
  <c r="CI205"/>
  <c r="CI204"/>
  <c r="CI203"/>
  <c r="CI202"/>
  <c r="CI201"/>
  <c r="CI200"/>
  <c r="CI199"/>
  <c r="CI198"/>
  <c r="CI197"/>
  <c r="CI196"/>
  <c r="CI195"/>
  <c r="CI194"/>
  <c r="CI193"/>
  <c r="CI192"/>
  <c r="CI191"/>
  <c r="CI190"/>
  <c r="CI189"/>
  <c r="CI188"/>
  <c r="CI187"/>
  <c r="CI186"/>
  <c r="CI185"/>
  <c r="CI184"/>
  <c r="CI183"/>
  <c r="CI182"/>
  <c r="CI181"/>
  <c r="CI180"/>
  <c r="CI179"/>
  <c r="CI178"/>
  <c r="CI177"/>
  <c r="CI176"/>
  <c r="CI175"/>
  <c r="CI174"/>
  <c r="CI173"/>
  <c r="CI172"/>
  <c r="CI171"/>
  <c r="CI170"/>
  <c r="CI169"/>
  <c r="CI168"/>
  <c r="CI167"/>
  <c r="CI166"/>
  <c r="CI165"/>
  <c r="CI164"/>
  <c r="CI163"/>
  <c r="CI162"/>
  <c r="CI161"/>
  <c r="CI160"/>
  <c r="CI159"/>
  <c r="CI158"/>
  <c r="CI157"/>
  <c r="CI156"/>
  <c r="CI155"/>
  <c r="CI154"/>
  <c r="CI153"/>
  <c r="CI152"/>
  <c r="CI151"/>
  <c r="CI150"/>
  <c r="CI149"/>
  <c r="CI148"/>
  <c r="CI147"/>
  <c r="CI146"/>
  <c r="CI145"/>
  <c r="CI144"/>
  <c r="CI143"/>
  <c r="CI142"/>
  <c r="CI141"/>
  <c r="CI140"/>
  <c r="CI139"/>
  <c r="CI138"/>
  <c r="CI137"/>
  <c r="CI136"/>
  <c r="CI135"/>
  <c r="CI134"/>
  <c r="CI133"/>
  <c r="CI132"/>
  <c r="CI131"/>
  <c r="CI130"/>
  <c r="CI129"/>
  <c r="CI128"/>
  <c r="CI127"/>
  <c r="CI126"/>
  <c r="CI125"/>
  <c r="CI124"/>
  <c r="CI123"/>
  <c r="CI122"/>
  <c r="CI121"/>
  <c r="CI120"/>
  <c r="CI119"/>
  <c r="CI118"/>
  <c r="CI117"/>
  <c r="CI116"/>
  <c r="CI115"/>
  <c r="CI114"/>
  <c r="CI113"/>
  <c r="CI112"/>
  <c r="CI111"/>
  <c r="CI110"/>
  <c r="CI109"/>
  <c r="CI108"/>
  <c r="CI107"/>
  <c r="CI106"/>
  <c r="CI105"/>
  <c r="CI104"/>
  <c r="CI103"/>
  <c r="CI102"/>
  <c r="CI101"/>
  <c r="CI100"/>
  <c r="CI99"/>
  <c r="CI98"/>
  <c r="CI97"/>
  <c r="CI96"/>
  <c r="CI95"/>
  <c r="CI94"/>
  <c r="CI93"/>
  <c r="CI92"/>
  <c r="CI91"/>
  <c r="CI90"/>
  <c r="CI89"/>
  <c r="CI88"/>
  <c r="CI87"/>
  <c r="CI86"/>
  <c r="CI85"/>
  <c r="CI84"/>
  <c r="CI83"/>
  <c r="CI82"/>
  <c r="CI81"/>
  <c r="CI80"/>
  <c r="CI79"/>
  <c r="CI78"/>
  <c r="CI77"/>
  <c r="CI76"/>
  <c r="CI75"/>
  <c r="CI74"/>
  <c r="CI73"/>
  <c r="CI72"/>
  <c r="CI71"/>
  <c r="CI70"/>
  <c r="CI69"/>
  <c r="CI68"/>
  <c r="CI67"/>
  <c r="CI66"/>
  <c r="CI65"/>
  <c r="CI64"/>
  <c r="CI63"/>
  <c r="CI62"/>
  <c r="CI61"/>
  <c r="CI60"/>
  <c r="CI59"/>
  <c r="CI58"/>
  <c r="CI57"/>
  <c r="CI56"/>
  <c r="CI55"/>
  <c r="CI54"/>
  <c r="CI53"/>
  <c r="CI52"/>
  <c r="CI51"/>
  <c r="CI50"/>
  <c r="CI49"/>
  <c r="CI48"/>
  <c r="CI47"/>
  <c r="CI46"/>
  <c r="CI45"/>
  <c r="CI44"/>
  <c r="CI43"/>
  <c r="CI42"/>
  <c r="CI41"/>
  <c r="CI40"/>
  <c r="CI39"/>
  <c r="CI38"/>
  <c r="CI37"/>
  <c r="CI36"/>
  <c r="CI35"/>
  <c r="CI34"/>
  <c r="CI33"/>
  <c r="CI32"/>
  <c r="CI31"/>
  <c r="CI30"/>
  <c r="CI29"/>
  <c r="CI28"/>
  <c r="CI27"/>
  <c r="CI26"/>
  <c r="CI25"/>
  <c r="CI24"/>
  <c r="CI23"/>
  <c r="CI22"/>
  <c r="CI21"/>
  <c r="CI20"/>
  <c r="CI19"/>
  <c r="CI18"/>
  <c r="CI17"/>
  <c r="CI16"/>
  <c r="CI15"/>
  <c r="CI14"/>
  <c r="CI13"/>
  <c r="CI12"/>
  <c r="CI11"/>
  <c r="CI10"/>
  <c r="CI9"/>
  <c r="CI8"/>
  <c r="CI7"/>
  <c r="CI6"/>
  <c r="CI5"/>
  <c r="CI31" i="5"/>
  <c r="CI29"/>
  <c r="CI28"/>
  <c r="CI27"/>
  <c r="CI26"/>
  <c r="CI25"/>
  <c r="CI24"/>
  <c r="CI23"/>
  <c r="CI22"/>
  <c r="CI21"/>
  <c r="CI20"/>
  <c r="CI19"/>
  <c r="CI18"/>
  <c r="CI17"/>
  <c r="CI16"/>
  <c r="CI15"/>
  <c r="CI14"/>
  <c r="CI13"/>
  <c r="CI12"/>
  <c r="CI11"/>
  <c r="CI10"/>
  <c r="CI9"/>
  <c r="CI8"/>
  <c r="CI7"/>
  <c r="CI280" i="15"/>
  <c r="CI279"/>
  <c r="CI278"/>
  <c r="CI277"/>
  <c r="CI276"/>
  <c r="CI275"/>
  <c r="CI274"/>
  <c r="CI273"/>
  <c r="CI272"/>
  <c r="CI271"/>
  <c r="CI270"/>
  <c r="CI269"/>
  <c r="CI268"/>
  <c r="CI267"/>
  <c r="CI266"/>
  <c r="CI265"/>
  <c r="CI264"/>
  <c r="CI263"/>
  <c r="CI262"/>
  <c r="CI261"/>
  <c r="CI260"/>
  <c r="CI259"/>
  <c r="CI258"/>
  <c r="CI257"/>
  <c r="CI256"/>
  <c r="CI255"/>
  <c r="CI254"/>
  <c r="CI253"/>
  <c r="CI252"/>
  <c r="CI251"/>
  <c r="CI250"/>
  <c r="CI249"/>
  <c r="CI248"/>
  <c r="CI247"/>
  <c r="CI246"/>
  <c r="CI245"/>
  <c r="CI244"/>
  <c r="CI243"/>
  <c r="CI242"/>
  <c r="CI241"/>
  <c r="CI240"/>
  <c r="CI239"/>
  <c r="CI238"/>
  <c r="CI237"/>
  <c r="CI236"/>
  <c r="CI235"/>
  <c r="CI234"/>
  <c r="CI233"/>
  <c r="CI232"/>
  <c r="CI231"/>
  <c r="CI230"/>
  <c r="CI229"/>
  <c r="CI228"/>
  <c r="CI227"/>
  <c r="CI226"/>
  <c r="CI225"/>
  <c r="CI224"/>
  <c r="CI223"/>
  <c r="CI222"/>
  <c r="CI221"/>
  <c r="CI220"/>
  <c r="CI219"/>
  <c r="CI218"/>
  <c r="CI217"/>
  <c r="CI216"/>
  <c r="CI215"/>
  <c r="CI214"/>
  <c r="CI213"/>
  <c r="CI212"/>
  <c r="CI211"/>
  <c r="CI210"/>
  <c r="CI209"/>
  <c r="CI208"/>
  <c r="CI207"/>
  <c r="CI206"/>
  <c r="CI205"/>
  <c r="CI204"/>
  <c r="CI203"/>
  <c r="CI202"/>
  <c r="CI201"/>
  <c r="CI200"/>
  <c r="CI199"/>
  <c r="CI198"/>
  <c r="CI197"/>
  <c r="CI196"/>
  <c r="CI195"/>
  <c r="CI194"/>
  <c r="CI193"/>
  <c r="CI192"/>
  <c r="CI191"/>
  <c r="CI190"/>
  <c r="CI189"/>
  <c r="CI188"/>
  <c r="CI187"/>
  <c r="CI186"/>
  <c r="CI185"/>
  <c r="CI184"/>
  <c r="CI183"/>
  <c r="CI182"/>
  <c r="CI181"/>
  <c r="CI180"/>
  <c r="CI179"/>
  <c r="CI178"/>
  <c r="CI177"/>
  <c r="CI176"/>
  <c r="CI175"/>
  <c r="CI174"/>
  <c r="CI173"/>
  <c r="CI172"/>
  <c r="CI171"/>
  <c r="CI170"/>
  <c r="CI169"/>
  <c r="CI168"/>
  <c r="CI167"/>
  <c r="CI166"/>
  <c r="CI165"/>
  <c r="CI164"/>
  <c r="CI163"/>
  <c r="CI162"/>
  <c r="CI161"/>
  <c r="CI160"/>
  <c r="CI159"/>
  <c r="CI158"/>
  <c r="CI157"/>
  <c r="CI156"/>
  <c r="CI155"/>
  <c r="CI154"/>
  <c r="CI153"/>
  <c r="CI152"/>
  <c r="CI151"/>
  <c r="CI150"/>
  <c r="CI149"/>
  <c r="CI148"/>
  <c r="CI147"/>
  <c r="CI146"/>
  <c r="CI145"/>
  <c r="CI144"/>
  <c r="CI143"/>
  <c r="CI142"/>
  <c r="CI141"/>
  <c r="CI140"/>
  <c r="CI139"/>
  <c r="CI138"/>
  <c r="CI137"/>
  <c r="CI136"/>
  <c r="CI135"/>
  <c r="CI134"/>
  <c r="CI133"/>
  <c r="CI132"/>
  <c r="CI131"/>
  <c r="CI130"/>
  <c r="CI129"/>
  <c r="CI128"/>
  <c r="CI127"/>
  <c r="CI126"/>
  <c r="CI125"/>
  <c r="CI124"/>
  <c r="CI123"/>
  <c r="CI122"/>
  <c r="CI121"/>
  <c r="CI120"/>
  <c r="CI119"/>
  <c r="CI118"/>
  <c r="CI117"/>
  <c r="CI116"/>
  <c r="CI115"/>
  <c r="CI114"/>
  <c r="CI113"/>
  <c r="CI112"/>
  <c r="CI111"/>
  <c r="CI110"/>
  <c r="CI109"/>
  <c r="CI108"/>
  <c r="CI107"/>
  <c r="CI106"/>
  <c r="CI105"/>
  <c r="CI104"/>
  <c r="CI103"/>
  <c r="CI102"/>
  <c r="CI101"/>
  <c r="CI100"/>
  <c r="CI99"/>
  <c r="CI98"/>
  <c r="CI97"/>
  <c r="CI96"/>
  <c r="CI95"/>
  <c r="CI94"/>
  <c r="CI93"/>
  <c r="CI92"/>
  <c r="CI91"/>
  <c r="CI90"/>
  <c r="CI89"/>
  <c r="CI88"/>
  <c r="CI87"/>
  <c r="CI86"/>
  <c r="CI85"/>
  <c r="CI84"/>
  <c r="CI83"/>
  <c r="CI82"/>
  <c r="CI81"/>
  <c r="CI80"/>
  <c r="CI79"/>
  <c r="CI78"/>
  <c r="CI77"/>
  <c r="CI76"/>
  <c r="CI75"/>
  <c r="CI74"/>
  <c r="CI73"/>
  <c r="CI72"/>
  <c r="CI71"/>
  <c r="CI70"/>
  <c r="CI69"/>
  <c r="CI68"/>
  <c r="CI67"/>
  <c r="CI66"/>
  <c r="CI65"/>
  <c r="CI64"/>
  <c r="CI63"/>
  <c r="CI62"/>
  <c r="CI61"/>
  <c r="CI60"/>
  <c r="CI59"/>
  <c r="CI58"/>
  <c r="CI57"/>
  <c r="CI56"/>
  <c r="CI55"/>
  <c r="CI54"/>
  <c r="CI53"/>
  <c r="CI52"/>
  <c r="CI51"/>
  <c r="CI50"/>
  <c r="CI49"/>
  <c r="CI48"/>
  <c r="CI47"/>
  <c r="CI46"/>
  <c r="CI45"/>
  <c r="CI44"/>
  <c r="CI43"/>
  <c r="CI42"/>
  <c r="CI41"/>
  <c r="CI40"/>
  <c r="CI39"/>
  <c r="CI38"/>
  <c r="CI37"/>
  <c r="CI36"/>
  <c r="CI35"/>
  <c r="CI34"/>
  <c r="CI33"/>
  <c r="CI32"/>
  <c r="CI31"/>
  <c r="CI30"/>
  <c r="CI29"/>
  <c r="CI28"/>
  <c r="CI27"/>
  <c r="CI26"/>
  <c r="CI25"/>
  <c r="CI24"/>
  <c r="CI23"/>
  <c r="CI22"/>
  <c r="CI21"/>
  <c r="CI20"/>
  <c r="CI19"/>
  <c r="CI18"/>
  <c r="CI17"/>
  <c r="CI16"/>
  <c r="CI15"/>
  <c r="CI14"/>
  <c r="CI13"/>
  <c r="CI12"/>
  <c r="CI11"/>
  <c r="CI10"/>
  <c r="CI9"/>
  <c r="CI8"/>
  <c r="CI7"/>
  <c r="CI6"/>
  <c r="CI5"/>
  <c r="CI63" i="8"/>
  <c r="CI143" i="47"/>
  <c r="CI30" i="5"/>
  <c r="CI110" i="13"/>
  <c r="CI284" i="7"/>
  <c r="CI107" i="12"/>
  <c r="CI16" i="60"/>
  <c r="CI179" i="49"/>
  <c r="CI281" i="15"/>
  <c r="CI54" i="11"/>
  <c r="Q94" i="4"/>
  <c r="CI98"/>
  <c r="CI97"/>
  <c r="CI96"/>
  <c r="CI95"/>
  <c r="CI94"/>
  <c r="CI93"/>
  <c r="CI92"/>
  <c r="CI91"/>
  <c r="CI90"/>
  <c r="CI89"/>
  <c r="CI88"/>
  <c r="CI87"/>
  <c r="CI86"/>
  <c r="CI85"/>
  <c r="CI84"/>
  <c r="CI83"/>
  <c r="CI82"/>
  <c r="CI81"/>
  <c r="CI80"/>
  <c r="CI79"/>
  <c r="CI78"/>
  <c r="CI77"/>
  <c r="CI76"/>
  <c r="CI75"/>
  <c r="CI74"/>
  <c r="CI73"/>
  <c r="CI72"/>
  <c r="CI71"/>
  <c r="CI70"/>
  <c r="CI69"/>
  <c r="CI68"/>
  <c r="CI67"/>
  <c r="CI66"/>
  <c r="CI65"/>
  <c r="CI64"/>
  <c r="CI63"/>
  <c r="CI62"/>
  <c r="CI61"/>
  <c r="CI60"/>
  <c r="CI59"/>
  <c r="CI58"/>
  <c r="CI57"/>
  <c r="CI56"/>
  <c r="CI55"/>
  <c r="CI54"/>
  <c r="CI53"/>
  <c r="CI52"/>
  <c r="CI51"/>
  <c r="CI50"/>
  <c r="CI49"/>
  <c r="CI48"/>
  <c r="CI47"/>
  <c r="CI46"/>
  <c r="CI45"/>
  <c r="CI44"/>
  <c r="CI42"/>
  <c r="CI41"/>
  <c r="CI40"/>
  <c r="CI39"/>
  <c r="CI38"/>
  <c r="CI37"/>
  <c r="CI36"/>
  <c r="CI35"/>
  <c r="CI34"/>
  <c r="CI33"/>
  <c r="CI32"/>
  <c r="CI31"/>
  <c r="CI30"/>
  <c r="CI29"/>
  <c r="CI28"/>
  <c r="CI27"/>
  <c r="CI26"/>
  <c r="CI25"/>
  <c r="CI24"/>
  <c r="CI23"/>
  <c r="CI22"/>
  <c r="CI21"/>
  <c r="CI20"/>
  <c r="CI19"/>
  <c r="CI18"/>
  <c r="CI17"/>
  <c r="CI16"/>
  <c r="CI15"/>
  <c r="CI14"/>
  <c r="CI13"/>
  <c r="CI12"/>
  <c r="CI11"/>
  <c r="CI10"/>
  <c r="CI9"/>
  <c r="CI8"/>
  <c r="CI7"/>
  <c r="CI109" i="3"/>
  <c r="CI123"/>
  <c r="CI122"/>
  <c r="CI121"/>
  <c r="CI120"/>
  <c r="CI119"/>
  <c r="CI118"/>
  <c r="CI117"/>
  <c r="CI116"/>
  <c r="CI115"/>
  <c r="CI114"/>
  <c r="CI113"/>
  <c r="CI112"/>
  <c r="CI111"/>
  <c r="CI110"/>
  <c r="CI108"/>
  <c r="CI107"/>
  <c r="CI105"/>
  <c r="CI104"/>
  <c r="CI103"/>
  <c r="CI102"/>
  <c r="CI100"/>
  <c r="CI99"/>
  <c r="CI98"/>
  <c r="CI97"/>
  <c r="CI96"/>
  <c r="CI95"/>
  <c r="CI92"/>
  <c r="CI91"/>
  <c r="CI89"/>
  <c r="CI88"/>
  <c r="CI87"/>
  <c r="CI85"/>
  <c r="CI84"/>
  <c r="CI83"/>
  <c r="CI82"/>
  <c r="CI81"/>
  <c r="CI80"/>
  <c r="CI79"/>
  <c r="CI78"/>
  <c r="CI76"/>
  <c r="CI75"/>
  <c r="CI74"/>
  <c r="CI73"/>
  <c r="CI72"/>
  <c r="CI71"/>
  <c r="CI70"/>
  <c r="CI69"/>
  <c r="CI68"/>
  <c r="CI67"/>
  <c r="CI66"/>
  <c r="CI65"/>
  <c r="CI64"/>
  <c r="CI63"/>
  <c r="CI62"/>
  <c r="CI61"/>
  <c r="CI60"/>
  <c r="CI59"/>
  <c r="CI58"/>
  <c r="CI56"/>
  <c r="CI55"/>
  <c r="CI54"/>
  <c r="CI52"/>
  <c r="CI51"/>
  <c r="CI50"/>
  <c r="CI49"/>
  <c r="CI48"/>
  <c r="CI46"/>
  <c r="CI45"/>
  <c r="CI44"/>
  <c r="CI43"/>
  <c r="CI42"/>
  <c r="CI41"/>
  <c r="CI40"/>
  <c r="CI37"/>
  <c r="CI36"/>
  <c r="CI35"/>
  <c r="CI34"/>
  <c r="CI33"/>
  <c r="CI32"/>
  <c r="CI31"/>
  <c r="CI30"/>
  <c r="CI29"/>
  <c r="CI28"/>
  <c r="CI27"/>
  <c r="CI26"/>
  <c r="CI25"/>
  <c r="CI24"/>
  <c r="CI23"/>
  <c r="CI22"/>
  <c r="CI21"/>
  <c r="CI20"/>
  <c r="CI19"/>
  <c r="CI18"/>
  <c r="CI17"/>
  <c r="CI16"/>
  <c r="CI15"/>
  <c r="CI14"/>
  <c r="CI13"/>
  <c r="CI12"/>
  <c r="CI11"/>
  <c r="CI10"/>
  <c r="CI9"/>
  <c r="CI8"/>
  <c r="CI7" i="81"/>
  <c r="CI114" i="16"/>
  <c r="CI113"/>
  <c r="CI112"/>
  <c r="CI111"/>
  <c r="CI110"/>
  <c r="CI109"/>
  <c r="CI108"/>
  <c r="CI107"/>
  <c r="CI106"/>
  <c r="CI105"/>
  <c r="CI104"/>
  <c r="CI103"/>
  <c r="CI102"/>
  <c r="CI101"/>
  <c r="CI100"/>
  <c r="CI99"/>
  <c r="CI98"/>
  <c r="CI97"/>
  <c r="CI96"/>
  <c r="CI95"/>
  <c r="CI94"/>
  <c r="CI93"/>
  <c r="CI92"/>
  <c r="CI91"/>
  <c r="CI90"/>
  <c r="CI89"/>
  <c r="CI88"/>
  <c r="CI87"/>
  <c r="CI86"/>
  <c r="CI85"/>
  <c r="CI84"/>
  <c r="CI83"/>
  <c r="CI82"/>
  <c r="CI81"/>
  <c r="CI80"/>
  <c r="CI78"/>
  <c r="CI77"/>
  <c r="CI76"/>
  <c r="CI75"/>
  <c r="CI74"/>
  <c r="CI73"/>
  <c r="CI72"/>
  <c r="CI71"/>
  <c r="CI70"/>
  <c r="CI69"/>
  <c r="CI68"/>
  <c r="CI67"/>
  <c r="CI66"/>
  <c r="CI65"/>
  <c r="CI64"/>
  <c r="CI63"/>
  <c r="CI62"/>
  <c r="CI61"/>
  <c r="CI60"/>
  <c r="CI59"/>
  <c r="CI58"/>
  <c r="CI57"/>
  <c r="CI56"/>
  <c r="CI55"/>
  <c r="CI54"/>
  <c r="CI53"/>
  <c r="CI52"/>
  <c r="CI51"/>
  <c r="CI50"/>
  <c r="CI49"/>
  <c r="CI48"/>
  <c r="CI47"/>
  <c r="CI46"/>
  <c r="CI45"/>
  <c r="CI44"/>
  <c r="CI43"/>
  <c r="CI42"/>
  <c r="CI41"/>
  <c r="CI40"/>
  <c r="CI39"/>
  <c r="CI38"/>
  <c r="CI37"/>
  <c r="CI36"/>
  <c r="CI35"/>
  <c r="CI34"/>
  <c r="CI33"/>
  <c r="CI32"/>
  <c r="CI31"/>
  <c r="CI30"/>
  <c r="CI29"/>
  <c r="CI28"/>
  <c r="CI27"/>
  <c r="CI26"/>
  <c r="CI25"/>
  <c r="CI24"/>
  <c r="CI23"/>
  <c r="CI22"/>
  <c r="CI21"/>
  <c r="CI20"/>
  <c r="CI19"/>
  <c r="CI18"/>
  <c r="CI17"/>
  <c r="CI16"/>
  <c r="CI15"/>
  <c r="CI14"/>
  <c r="CI13"/>
  <c r="CI12"/>
  <c r="CI11"/>
  <c r="CI10"/>
  <c r="CI79"/>
  <c r="CI99" i="4"/>
  <c r="CI115" i="16"/>
  <c r="Q103" i="49"/>
  <c r="Q102"/>
  <c r="Q101"/>
  <c r="S89" i="15"/>
  <c r="S5"/>
  <c r="Q38" i="16"/>
  <c r="Q31"/>
  <c r="Q30"/>
  <c r="S14"/>
  <c r="R431" i="38"/>
  <c r="S7" i="11"/>
  <c r="S7" i="10"/>
  <c r="T5" i="7"/>
  <c r="S5"/>
  <c r="Q17"/>
  <c r="S7" i="6"/>
  <c r="Q9" i="15"/>
  <c r="R11" i="33"/>
  <c r="R9"/>
  <c r="P80" i="27"/>
  <c r="P74"/>
  <c r="R200" i="7"/>
  <c r="Q12" i="15"/>
  <c r="R49" i="2"/>
  <c r="Q49"/>
  <c r="AQ3"/>
  <c r="R18" i="23"/>
  <c r="Q33" i="4"/>
  <c r="R48" i="12"/>
  <c r="R16" i="23"/>
  <c r="Q173" i="6"/>
  <c r="R252" i="7"/>
  <c r="Q269" i="15"/>
  <c r="Q127"/>
  <c r="Q42" i="4"/>
  <c r="Q29"/>
  <c r="R15" i="60"/>
  <c r="R13"/>
  <c r="R12"/>
  <c r="R11"/>
  <c r="Q49" i="27"/>
  <c r="Q10" i="15"/>
  <c r="Q11" i="65"/>
  <c r="Q12"/>
  <c r="W12"/>
  <c r="Q13"/>
  <c r="W13"/>
  <c r="Q14"/>
  <c r="Q15"/>
  <c r="W15"/>
  <c r="Q16"/>
  <c r="W16"/>
  <c r="Q17"/>
  <c r="W17"/>
  <c r="Q18"/>
  <c r="W18"/>
  <c r="Q33"/>
  <c r="W33"/>
  <c r="Q30"/>
  <c r="Q39"/>
  <c r="Q42"/>
  <c r="W42"/>
  <c r="Q45"/>
  <c r="W45"/>
  <c r="Q53"/>
  <c r="W53"/>
  <c r="Q57"/>
  <c r="Q60"/>
  <c r="W60"/>
  <c r="Q65"/>
  <c r="Q71"/>
  <c r="W71"/>
  <c r="Q78"/>
  <c r="W78"/>
  <c r="Q84"/>
  <c r="Q88"/>
  <c r="W88"/>
  <c r="Q99"/>
  <c r="W99"/>
  <c r="Q104"/>
  <c r="W104"/>
  <c r="Q108"/>
  <c r="W108"/>
  <c r="Q112"/>
  <c r="W112"/>
  <c r="Q115"/>
  <c r="Q118"/>
  <c r="W118"/>
  <c r="Q122"/>
  <c r="W122"/>
  <c r="Q126"/>
  <c r="W126"/>
  <c r="Q130"/>
  <c r="W130"/>
  <c r="Q134"/>
  <c r="W134"/>
  <c r="Q138"/>
  <c r="W138"/>
  <c r="Q142"/>
  <c r="W142"/>
  <c r="Q150"/>
  <c r="Q153"/>
  <c r="W153"/>
  <c r="Q156"/>
  <c r="W156"/>
  <c r="Q159"/>
  <c r="W159"/>
  <c r="Q163"/>
  <c r="W163"/>
  <c r="Q166"/>
  <c r="W166"/>
  <c r="Q171"/>
  <c r="W171"/>
  <c r="Q175"/>
  <c r="W175"/>
  <c r="Q185"/>
  <c r="W185"/>
  <c r="Q196"/>
  <c r="W196"/>
  <c r="Q199"/>
  <c r="W199"/>
  <c r="Q204"/>
  <c r="Q207"/>
  <c r="Q211"/>
  <c r="W211"/>
  <c r="Q216"/>
  <c r="W216"/>
  <c r="Q225"/>
  <c r="Q227"/>
  <c r="Q235"/>
  <c r="W235"/>
  <c r="Q239"/>
  <c r="W239"/>
  <c r="Q245"/>
  <c r="W245"/>
  <c r="Q251"/>
  <c r="Q258"/>
  <c r="W258"/>
  <c r="Q262"/>
  <c r="W262"/>
  <c r="Q265"/>
  <c r="W265"/>
  <c r="Q270"/>
  <c r="W270"/>
  <c r="Q273"/>
  <c r="W273"/>
  <c r="P291" i="72"/>
  <c r="O291"/>
  <c r="N291"/>
  <c r="M291"/>
  <c r="L291"/>
  <c r="K291"/>
  <c r="J291"/>
  <c r="I291"/>
  <c r="H291"/>
  <c r="G291"/>
  <c r="F291"/>
  <c r="E291"/>
  <c r="D291"/>
  <c r="C291"/>
  <c r="B291"/>
  <c r="A291"/>
  <c r="O290"/>
  <c r="N290"/>
  <c r="L290"/>
  <c r="K290"/>
  <c r="J290"/>
  <c r="I290"/>
  <c r="H290"/>
  <c r="G290"/>
  <c r="F290"/>
  <c r="E290"/>
  <c r="D290"/>
  <c r="C290"/>
  <c r="B290"/>
  <c r="A290"/>
  <c r="P289"/>
  <c r="O289"/>
  <c r="N289"/>
  <c r="M289"/>
  <c r="M288"/>
  <c r="L289"/>
  <c r="K289"/>
  <c r="J289"/>
  <c r="I289"/>
  <c r="H289"/>
  <c r="G289"/>
  <c r="G288"/>
  <c r="F289"/>
  <c r="F288"/>
  <c r="E289"/>
  <c r="D289"/>
  <c r="C289"/>
  <c r="B289"/>
  <c r="A289"/>
  <c r="P288"/>
  <c r="H288"/>
  <c r="C288"/>
  <c r="B288"/>
  <c r="A288"/>
  <c r="P287"/>
  <c r="P286"/>
  <c r="O287"/>
  <c r="N287"/>
  <c r="L287"/>
  <c r="J287"/>
  <c r="I287"/>
  <c r="H287"/>
  <c r="H286"/>
  <c r="G287"/>
  <c r="G286"/>
  <c r="F287"/>
  <c r="F286"/>
  <c r="E287"/>
  <c r="D287"/>
  <c r="C287"/>
  <c r="B287"/>
  <c r="A287"/>
  <c r="C286"/>
  <c r="B286"/>
  <c r="A286"/>
  <c r="P285"/>
  <c r="O285"/>
  <c r="N285"/>
  <c r="L285"/>
  <c r="J285"/>
  <c r="I285"/>
  <c r="H285"/>
  <c r="G285"/>
  <c r="F285"/>
  <c r="E285"/>
  <c r="D285"/>
  <c r="C285"/>
  <c r="B285"/>
  <c r="A285"/>
  <c r="P284"/>
  <c r="O284"/>
  <c r="N284"/>
  <c r="L284"/>
  <c r="J284"/>
  <c r="I284"/>
  <c r="H284"/>
  <c r="G284"/>
  <c r="F284"/>
  <c r="E284"/>
  <c r="D284"/>
  <c r="C284"/>
  <c r="B284"/>
  <c r="A284"/>
  <c r="O283"/>
  <c r="N283"/>
  <c r="L283"/>
  <c r="K283"/>
  <c r="J283"/>
  <c r="I283"/>
  <c r="H283"/>
  <c r="G283"/>
  <c r="F283"/>
  <c r="E283"/>
  <c r="D283"/>
  <c r="C283"/>
  <c r="B283"/>
  <c r="A283"/>
  <c r="P282"/>
  <c r="O282"/>
  <c r="N282"/>
  <c r="L282"/>
  <c r="J282"/>
  <c r="I282"/>
  <c r="H282"/>
  <c r="G282"/>
  <c r="F282"/>
  <c r="E282"/>
  <c r="D282"/>
  <c r="C282"/>
  <c r="B282"/>
  <c r="A282"/>
  <c r="C281"/>
  <c r="B281"/>
  <c r="A281"/>
  <c r="C280"/>
  <c r="B280"/>
  <c r="A280"/>
  <c r="O279"/>
  <c r="N279"/>
  <c r="L279"/>
  <c r="K279"/>
  <c r="J279"/>
  <c r="I279"/>
  <c r="H279"/>
  <c r="G279"/>
  <c r="F279"/>
  <c r="E279"/>
  <c r="D279"/>
  <c r="C279"/>
  <c r="B279"/>
  <c r="A279"/>
  <c r="P278"/>
  <c r="O278"/>
  <c r="N278"/>
  <c r="L278"/>
  <c r="J278"/>
  <c r="I278"/>
  <c r="H278"/>
  <c r="G278"/>
  <c r="F278"/>
  <c r="E278"/>
  <c r="D278"/>
  <c r="C278"/>
  <c r="B278"/>
  <c r="A278"/>
  <c r="C277"/>
  <c r="B277"/>
  <c r="A277"/>
  <c r="P276"/>
  <c r="O276"/>
  <c r="N276"/>
  <c r="L276"/>
  <c r="J276"/>
  <c r="I276"/>
  <c r="H276"/>
  <c r="G276"/>
  <c r="F276"/>
  <c r="E276"/>
  <c r="D276"/>
  <c r="C276"/>
  <c r="B276"/>
  <c r="A276"/>
  <c r="P275"/>
  <c r="O275"/>
  <c r="N275"/>
  <c r="L275"/>
  <c r="J275"/>
  <c r="I275"/>
  <c r="H275"/>
  <c r="G275"/>
  <c r="F275"/>
  <c r="E275"/>
  <c r="D275"/>
  <c r="C275"/>
  <c r="B275"/>
  <c r="A275"/>
  <c r="P274"/>
  <c r="O274"/>
  <c r="N274"/>
  <c r="L274"/>
  <c r="J274"/>
  <c r="I274"/>
  <c r="H274"/>
  <c r="H273"/>
  <c r="G274"/>
  <c r="F274"/>
  <c r="E274"/>
  <c r="D274"/>
  <c r="C274"/>
  <c r="B274"/>
  <c r="A274"/>
  <c r="C273"/>
  <c r="B273"/>
  <c r="A273"/>
  <c r="P272"/>
  <c r="O272"/>
  <c r="L272"/>
  <c r="K272"/>
  <c r="J272"/>
  <c r="I272"/>
  <c r="H272"/>
  <c r="G272"/>
  <c r="F272"/>
  <c r="E272"/>
  <c r="D272"/>
  <c r="C272"/>
  <c r="B272"/>
  <c r="A272"/>
  <c r="P271"/>
  <c r="O271"/>
  <c r="N271"/>
  <c r="L271"/>
  <c r="J271"/>
  <c r="I271"/>
  <c r="H271"/>
  <c r="G271"/>
  <c r="F271"/>
  <c r="E271"/>
  <c r="D271"/>
  <c r="C271"/>
  <c r="B271"/>
  <c r="A271"/>
  <c r="L270"/>
  <c r="J270"/>
  <c r="I270"/>
  <c r="H270"/>
  <c r="G270"/>
  <c r="F270"/>
  <c r="E270"/>
  <c r="D270"/>
  <c r="C270"/>
  <c r="B270"/>
  <c r="A270"/>
  <c r="P269"/>
  <c r="O269"/>
  <c r="N269"/>
  <c r="L269"/>
  <c r="J269"/>
  <c r="I269"/>
  <c r="H269"/>
  <c r="G269"/>
  <c r="F269"/>
  <c r="E269"/>
  <c r="D269"/>
  <c r="C269"/>
  <c r="B269"/>
  <c r="A269"/>
  <c r="P268"/>
  <c r="O268"/>
  <c r="N268"/>
  <c r="L268"/>
  <c r="J268"/>
  <c r="I268"/>
  <c r="H268"/>
  <c r="G268"/>
  <c r="F268"/>
  <c r="F267"/>
  <c r="F266"/>
  <c r="E268"/>
  <c r="D268"/>
  <c r="C268"/>
  <c r="B268"/>
  <c r="A268"/>
  <c r="P267"/>
  <c r="O267"/>
  <c r="N267"/>
  <c r="L267"/>
  <c r="J267"/>
  <c r="I267"/>
  <c r="H267"/>
  <c r="G267"/>
  <c r="E267"/>
  <c r="D267"/>
  <c r="C267"/>
  <c r="B267"/>
  <c r="A267"/>
  <c r="C266"/>
  <c r="B266"/>
  <c r="A266"/>
  <c r="C265"/>
  <c r="B265"/>
  <c r="A265"/>
  <c r="C264"/>
  <c r="P263"/>
  <c r="P262"/>
  <c r="P261"/>
  <c r="P260"/>
  <c r="O263"/>
  <c r="N263"/>
  <c r="L252" i="65"/>
  <c r="N252"/>
  <c r="M263" i="72"/>
  <c r="M262"/>
  <c r="M261"/>
  <c r="M260"/>
  <c r="L263"/>
  <c r="K263"/>
  <c r="J263"/>
  <c r="I263"/>
  <c r="H263"/>
  <c r="G263"/>
  <c r="G262"/>
  <c r="G261"/>
  <c r="G260"/>
  <c r="F263"/>
  <c r="F262"/>
  <c r="F261"/>
  <c r="F260"/>
  <c r="E263"/>
  <c r="D263"/>
  <c r="C263"/>
  <c r="B263"/>
  <c r="A263"/>
  <c r="H262"/>
  <c r="H261"/>
  <c r="H260"/>
  <c r="C262"/>
  <c r="B262"/>
  <c r="A262"/>
  <c r="C261"/>
  <c r="B261"/>
  <c r="A261"/>
  <c r="C260"/>
  <c r="B260"/>
  <c r="A260"/>
  <c r="P259"/>
  <c r="P258"/>
  <c r="O259"/>
  <c r="N259"/>
  <c r="M259"/>
  <c r="L259"/>
  <c r="L116" i="65"/>
  <c r="N116"/>
  <c r="K259" i="72"/>
  <c r="J259"/>
  <c r="H259"/>
  <c r="G259"/>
  <c r="F259"/>
  <c r="E259"/>
  <c r="D259"/>
  <c r="C259"/>
  <c r="B259"/>
  <c r="A259"/>
  <c r="O258"/>
  <c r="L117" i="65"/>
  <c r="N117"/>
  <c r="L258" i="72"/>
  <c r="K258"/>
  <c r="J258"/>
  <c r="I258"/>
  <c r="H258"/>
  <c r="G258"/>
  <c r="F258"/>
  <c r="E258"/>
  <c r="D258"/>
  <c r="C258"/>
  <c r="B258"/>
  <c r="A258"/>
  <c r="O257"/>
  <c r="N257"/>
  <c r="L109" i="65"/>
  <c r="N109"/>
  <c r="L110"/>
  <c r="N110"/>
  <c r="L257" i="72"/>
  <c r="K257"/>
  <c r="J257"/>
  <c r="I257"/>
  <c r="H257"/>
  <c r="G257"/>
  <c r="F257"/>
  <c r="E257"/>
  <c r="D257"/>
  <c r="C257"/>
  <c r="B257"/>
  <c r="A257"/>
  <c r="P256"/>
  <c r="O256"/>
  <c r="N256"/>
  <c r="L106" i="65"/>
  <c r="L256" i="72"/>
  <c r="J256"/>
  <c r="I256"/>
  <c r="H256"/>
  <c r="G256"/>
  <c r="F256"/>
  <c r="E256"/>
  <c r="D256"/>
  <c r="C256"/>
  <c r="B256"/>
  <c r="A256"/>
  <c r="P255"/>
  <c r="O255"/>
  <c r="N255"/>
  <c r="L105" i="65"/>
  <c r="N105"/>
  <c r="M255" i="72"/>
  <c r="L255"/>
  <c r="J255"/>
  <c r="I255"/>
  <c r="H255"/>
  <c r="G255"/>
  <c r="F255"/>
  <c r="E255"/>
  <c r="D255"/>
  <c r="C255"/>
  <c r="B255"/>
  <c r="A255"/>
  <c r="O254"/>
  <c r="N254"/>
  <c r="L107" i="65"/>
  <c r="N107"/>
  <c r="L254" i="72"/>
  <c r="L104" i="65"/>
  <c r="K254" i="72"/>
  <c r="J254"/>
  <c r="I254"/>
  <c r="H254"/>
  <c r="G254"/>
  <c r="F254"/>
  <c r="E254"/>
  <c r="D254"/>
  <c r="C254"/>
  <c r="B254"/>
  <c r="A254"/>
  <c r="O253"/>
  <c r="C253"/>
  <c r="B253"/>
  <c r="A253"/>
  <c r="C252"/>
  <c r="B252"/>
  <c r="A252"/>
  <c r="P251"/>
  <c r="O251"/>
  <c r="N251"/>
  <c r="L90" i="65"/>
  <c r="N90"/>
  <c r="L251" i="72"/>
  <c r="J251"/>
  <c r="I251"/>
  <c r="H251"/>
  <c r="G251"/>
  <c r="F251"/>
  <c r="E251"/>
  <c r="D251"/>
  <c r="C251"/>
  <c r="B251"/>
  <c r="A251"/>
  <c r="P250"/>
  <c r="O250"/>
  <c r="N250"/>
  <c r="L89" i="65"/>
  <c r="N89"/>
  <c r="M250" i="72"/>
  <c r="L250"/>
  <c r="J250"/>
  <c r="I250"/>
  <c r="H250"/>
  <c r="G250"/>
  <c r="G249"/>
  <c r="F250"/>
  <c r="E250"/>
  <c r="D250"/>
  <c r="C250"/>
  <c r="B250"/>
  <c r="A250"/>
  <c r="C249"/>
  <c r="B249"/>
  <c r="A249"/>
  <c r="P248"/>
  <c r="O248"/>
  <c r="N248"/>
  <c r="L87" i="65"/>
  <c r="N87"/>
  <c r="M248" i="72"/>
  <c r="L248"/>
  <c r="J248"/>
  <c r="I248"/>
  <c r="H248"/>
  <c r="G248"/>
  <c r="F248"/>
  <c r="E248"/>
  <c r="D248"/>
  <c r="C248"/>
  <c r="B248"/>
  <c r="A248"/>
  <c r="P247"/>
  <c r="O247"/>
  <c r="N247"/>
  <c r="L86" i="65"/>
  <c r="N86"/>
  <c r="M247" i="72"/>
  <c r="L247"/>
  <c r="J247"/>
  <c r="I247"/>
  <c r="H247"/>
  <c r="G247"/>
  <c r="F247"/>
  <c r="E247"/>
  <c r="D247"/>
  <c r="C247"/>
  <c r="B247"/>
  <c r="A247"/>
  <c r="P246"/>
  <c r="O246"/>
  <c r="N246"/>
  <c r="L85" i="65"/>
  <c r="N85"/>
  <c r="M246" i="72"/>
  <c r="L246"/>
  <c r="J246"/>
  <c r="I246"/>
  <c r="H246"/>
  <c r="G246"/>
  <c r="F246"/>
  <c r="E246"/>
  <c r="D246"/>
  <c r="C246"/>
  <c r="B246"/>
  <c r="A246"/>
  <c r="C245"/>
  <c r="B245"/>
  <c r="A245"/>
  <c r="P244"/>
  <c r="O244"/>
  <c r="N244"/>
  <c r="M244"/>
  <c r="L244"/>
  <c r="L83" i="65"/>
  <c r="J244" i="72"/>
  <c r="H244"/>
  <c r="G244"/>
  <c r="F244"/>
  <c r="E244"/>
  <c r="D244"/>
  <c r="C244"/>
  <c r="B244"/>
  <c r="A244"/>
  <c r="P243"/>
  <c r="O243"/>
  <c r="N243"/>
  <c r="M243"/>
  <c r="L243"/>
  <c r="L82" i="65"/>
  <c r="N82"/>
  <c r="K243" i="72"/>
  <c r="J243"/>
  <c r="H243"/>
  <c r="G243"/>
  <c r="F243"/>
  <c r="E243"/>
  <c r="D243"/>
  <c r="C243"/>
  <c r="B243"/>
  <c r="A243"/>
  <c r="P242"/>
  <c r="O242"/>
  <c r="N242"/>
  <c r="M242"/>
  <c r="L242"/>
  <c r="L81" i="65"/>
  <c r="N81"/>
  <c r="K242" i="72"/>
  <c r="J242"/>
  <c r="H242"/>
  <c r="G242"/>
  <c r="F242"/>
  <c r="E242"/>
  <c r="D242"/>
  <c r="C242"/>
  <c r="B242"/>
  <c r="A242"/>
  <c r="P241"/>
  <c r="O241"/>
  <c r="N241"/>
  <c r="M241"/>
  <c r="L241"/>
  <c r="L80" i="65"/>
  <c r="N80"/>
  <c r="K241" i="72"/>
  <c r="J241"/>
  <c r="H241"/>
  <c r="G241"/>
  <c r="F241"/>
  <c r="E241"/>
  <c r="D241"/>
  <c r="C241"/>
  <c r="B241"/>
  <c r="A241"/>
  <c r="P240"/>
  <c r="O240"/>
  <c r="N240"/>
  <c r="M240"/>
  <c r="L240"/>
  <c r="L79" i="65"/>
  <c r="N79"/>
  <c r="K240" i="72"/>
  <c r="J240"/>
  <c r="H240"/>
  <c r="G240"/>
  <c r="F240"/>
  <c r="E240"/>
  <c r="D240"/>
  <c r="C240"/>
  <c r="B240"/>
  <c r="A240"/>
  <c r="C239"/>
  <c r="B239"/>
  <c r="A239"/>
  <c r="C238"/>
  <c r="B238"/>
  <c r="A238"/>
  <c r="C237"/>
  <c r="R17" i="58"/>
  <c r="Q17"/>
  <c r="O236" i="72"/>
  <c r="N236"/>
  <c r="L236"/>
  <c r="J236"/>
  <c r="I236"/>
  <c r="H236"/>
  <c r="G236"/>
  <c r="F236"/>
  <c r="E236"/>
  <c r="D236"/>
  <c r="C236"/>
  <c r="B236"/>
  <c r="A236"/>
  <c r="P235"/>
  <c r="O235"/>
  <c r="N235"/>
  <c r="L235"/>
  <c r="J235"/>
  <c r="I235"/>
  <c r="H235"/>
  <c r="G235"/>
  <c r="F235"/>
  <c r="E235"/>
  <c r="D235"/>
  <c r="C235"/>
  <c r="B235"/>
  <c r="A235"/>
  <c r="Q15" i="58"/>
  <c r="O234" i="72"/>
  <c r="N234"/>
  <c r="M15" i="58"/>
  <c r="O15"/>
  <c r="M234" i="72"/>
  <c r="L234"/>
  <c r="J234"/>
  <c r="I234"/>
  <c r="H234"/>
  <c r="G234"/>
  <c r="F234"/>
  <c r="E234"/>
  <c r="D234"/>
  <c r="C234"/>
  <c r="B234"/>
  <c r="A234"/>
  <c r="P233"/>
  <c r="O233"/>
  <c r="N233"/>
  <c r="L233"/>
  <c r="J233"/>
  <c r="I233"/>
  <c r="H233"/>
  <c r="G233"/>
  <c r="F233"/>
  <c r="E233"/>
  <c r="D233"/>
  <c r="C233"/>
  <c r="B233"/>
  <c r="A233"/>
  <c r="R13" i="58"/>
  <c r="Q13"/>
  <c r="O232" i="72"/>
  <c r="N232"/>
  <c r="L232"/>
  <c r="J232"/>
  <c r="I232"/>
  <c r="H232"/>
  <c r="G232"/>
  <c r="F232"/>
  <c r="E232"/>
  <c r="D232"/>
  <c r="C232"/>
  <c r="B232"/>
  <c r="A232"/>
  <c r="Q12" i="58"/>
  <c r="O231" i="72"/>
  <c r="N231"/>
  <c r="L231"/>
  <c r="I231"/>
  <c r="H231"/>
  <c r="G231"/>
  <c r="F231"/>
  <c r="E231"/>
  <c r="D231"/>
  <c r="C231"/>
  <c r="B231"/>
  <c r="A231"/>
  <c r="R11" i="58"/>
  <c r="Q11"/>
  <c r="O230" i="72"/>
  <c r="N230"/>
  <c r="L230"/>
  <c r="I230"/>
  <c r="H230"/>
  <c r="G230"/>
  <c r="F230"/>
  <c r="E230"/>
  <c r="D230"/>
  <c r="C230"/>
  <c r="B230"/>
  <c r="A230"/>
  <c r="R10" i="58"/>
  <c r="Q10"/>
  <c r="O229" i="72"/>
  <c r="N229"/>
  <c r="L229"/>
  <c r="J229"/>
  <c r="I229"/>
  <c r="H229"/>
  <c r="G229"/>
  <c r="F229"/>
  <c r="F228"/>
  <c r="E229"/>
  <c r="D229"/>
  <c r="C229"/>
  <c r="B229"/>
  <c r="A229"/>
  <c r="C228"/>
  <c r="B228"/>
  <c r="A228"/>
  <c r="R8" i="58"/>
  <c r="Q8"/>
  <c r="O227" i="72"/>
  <c r="N227"/>
  <c r="L227"/>
  <c r="J227"/>
  <c r="I227"/>
  <c r="H227"/>
  <c r="G227"/>
  <c r="F227"/>
  <c r="E227"/>
  <c r="D227"/>
  <c r="C227"/>
  <c r="B227"/>
  <c r="A227"/>
  <c r="C226"/>
  <c r="B226"/>
  <c r="A226"/>
  <c r="R21" i="47"/>
  <c r="Q21"/>
  <c r="O225" i="72"/>
  <c r="N225"/>
  <c r="L225"/>
  <c r="J225"/>
  <c r="I225"/>
  <c r="H225"/>
  <c r="H224"/>
  <c r="H223"/>
  <c r="G225"/>
  <c r="G224"/>
  <c r="G223"/>
  <c r="F225"/>
  <c r="F224"/>
  <c r="F223"/>
  <c r="E225"/>
  <c r="D225"/>
  <c r="C225"/>
  <c r="B225"/>
  <c r="A225"/>
  <c r="C224"/>
  <c r="B224"/>
  <c r="A224"/>
  <c r="C223"/>
  <c r="B223"/>
  <c r="A223"/>
  <c r="P222"/>
  <c r="O222"/>
  <c r="N222"/>
  <c r="L222"/>
  <c r="J222"/>
  <c r="I222"/>
  <c r="H222"/>
  <c r="G222"/>
  <c r="F222"/>
  <c r="E222"/>
  <c r="D222"/>
  <c r="C222"/>
  <c r="B222"/>
  <c r="A222"/>
  <c r="R10" i="7"/>
  <c r="Q10"/>
  <c r="O221" i="72"/>
  <c r="N221"/>
  <c r="L221"/>
  <c r="J221"/>
  <c r="I221"/>
  <c r="H221"/>
  <c r="G221"/>
  <c r="F221"/>
  <c r="E221"/>
  <c r="D221"/>
  <c r="C221"/>
  <c r="B221"/>
  <c r="A221"/>
  <c r="R9" i="7"/>
  <c r="Q9"/>
  <c r="O220" i="72"/>
  <c r="N220"/>
  <c r="L220"/>
  <c r="J220"/>
  <c r="I220"/>
  <c r="H220"/>
  <c r="G220"/>
  <c r="F220"/>
  <c r="E220"/>
  <c r="D220"/>
  <c r="C220"/>
  <c r="B220"/>
  <c r="A220"/>
  <c r="R8" i="7"/>
  <c r="Q8"/>
  <c r="O219" i="72"/>
  <c r="N219"/>
  <c r="L219"/>
  <c r="J219"/>
  <c r="I219"/>
  <c r="H219"/>
  <c r="G219"/>
  <c r="F219"/>
  <c r="E219"/>
  <c r="D219"/>
  <c r="C219"/>
  <c r="B219"/>
  <c r="A219"/>
  <c r="R7" i="7"/>
  <c r="Q7"/>
  <c r="O218" i="72"/>
  <c r="N218"/>
  <c r="L218"/>
  <c r="J218"/>
  <c r="I218"/>
  <c r="H218"/>
  <c r="G218"/>
  <c r="F218"/>
  <c r="E218"/>
  <c r="D218"/>
  <c r="C218"/>
  <c r="B218"/>
  <c r="A218"/>
  <c r="C217"/>
  <c r="B217"/>
  <c r="A217"/>
  <c r="P216"/>
  <c r="P215"/>
  <c r="P214"/>
  <c r="O216"/>
  <c r="N216"/>
  <c r="L216"/>
  <c r="J216"/>
  <c r="I216"/>
  <c r="H216"/>
  <c r="G216"/>
  <c r="G215"/>
  <c r="G214"/>
  <c r="F216"/>
  <c r="F215"/>
  <c r="F214"/>
  <c r="E216"/>
  <c r="D216"/>
  <c r="C216"/>
  <c r="B216"/>
  <c r="A216"/>
  <c r="H215"/>
  <c r="H214"/>
  <c r="C215"/>
  <c r="B215"/>
  <c r="A215"/>
  <c r="C214"/>
  <c r="B214"/>
  <c r="A214"/>
  <c r="R278" i="15"/>
  <c r="Q278"/>
  <c r="O213" i="72"/>
  <c r="N213"/>
  <c r="L213"/>
  <c r="J213"/>
  <c r="I213"/>
  <c r="H213"/>
  <c r="H212"/>
  <c r="G213"/>
  <c r="G212"/>
  <c r="F213"/>
  <c r="F212"/>
  <c r="E213"/>
  <c r="D213"/>
  <c r="C213"/>
  <c r="B213"/>
  <c r="A213"/>
  <c r="C212"/>
  <c r="B212"/>
  <c r="A212"/>
  <c r="P211"/>
  <c r="O211"/>
  <c r="N211"/>
  <c r="L211"/>
  <c r="J211"/>
  <c r="I211"/>
  <c r="H211"/>
  <c r="G211"/>
  <c r="F211"/>
  <c r="E211"/>
  <c r="D211"/>
  <c r="C211"/>
  <c r="B211"/>
  <c r="A211"/>
  <c r="P210"/>
  <c r="O210"/>
  <c r="N210"/>
  <c r="L210"/>
  <c r="J210"/>
  <c r="I210"/>
  <c r="H210"/>
  <c r="G210"/>
  <c r="F210"/>
  <c r="E210"/>
  <c r="D210"/>
  <c r="C210"/>
  <c r="B210"/>
  <c r="A210"/>
  <c r="R62" i="15"/>
  <c r="Q62"/>
  <c r="O209" i="72"/>
  <c r="N209"/>
  <c r="L209"/>
  <c r="J209"/>
  <c r="I209"/>
  <c r="H209"/>
  <c r="G209"/>
  <c r="F209"/>
  <c r="E209"/>
  <c r="D209"/>
  <c r="C209"/>
  <c r="B209"/>
  <c r="A209"/>
  <c r="R60" i="15"/>
  <c r="Q60"/>
  <c r="O208" i="72"/>
  <c r="N208"/>
  <c r="L208"/>
  <c r="J208"/>
  <c r="I208"/>
  <c r="H208"/>
  <c r="G208"/>
  <c r="F208"/>
  <c r="E208"/>
  <c r="D208"/>
  <c r="C208"/>
  <c r="B208"/>
  <c r="A208"/>
  <c r="O207"/>
  <c r="N207"/>
  <c r="C207"/>
  <c r="B207"/>
  <c r="A207"/>
  <c r="R108" i="15"/>
  <c r="Q108"/>
  <c r="O206" i="72"/>
  <c r="N206"/>
  <c r="L206"/>
  <c r="J206"/>
  <c r="I206"/>
  <c r="H206"/>
  <c r="G206"/>
  <c r="F206"/>
  <c r="E206"/>
  <c r="D206"/>
  <c r="C206"/>
  <c r="B206"/>
  <c r="A206"/>
  <c r="R107" i="15"/>
  <c r="Q107"/>
  <c r="O205" i="72"/>
  <c r="N205"/>
  <c r="L205"/>
  <c r="J205"/>
  <c r="I205"/>
  <c r="H205"/>
  <c r="G205"/>
  <c r="F205"/>
  <c r="E205"/>
  <c r="D205"/>
  <c r="C205"/>
  <c r="B205"/>
  <c r="A205"/>
  <c r="R87" i="15"/>
  <c r="Q87"/>
  <c r="O204" i="72"/>
  <c r="N204"/>
  <c r="L204"/>
  <c r="J204"/>
  <c r="I204"/>
  <c r="H204"/>
  <c r="G204"/>
  <c r="F204"/>
  <c r="E204"/>
  <c r="D204"/>
  <c r="C204"/>
  <c r="B204"/>
  <c r="A204"/>
  <c r="R86" i="15"/>
  <c r="Q86"/>
  <c r="O203" i="72"/>
  <c r="N203"/>
  <c r="L203"/>
  <c r="J203"/>
  <c r="I203"/>
  <c r="H203"/>
  <c r="G203"/>
  <c r="F203"/>
  <c r="E203"/>
  <c r="D203"/>
  <c r="C203"/>
  <c r="B203"/>
  <c r="A203"/>
  <c r="R85" i="15"/>
  <c r="Q85"/>
  <c r="O202" i="72"/>
  <c r="N202"/>
  <c r="L202"/>
  <c r="J202"/>
  <c r="I202"/>
  <c r="H202"/>
  <c r="G202"/>
  <c r="F202"/>
  <c r="E202"/>
  <c r="D202"/>
  <c r="C202"/>
  <c r="B202"/>
  <c r="A202"/>
  <c r="R82" i="15"/>
  <c r="Q82"/>
  <c r="O201" i="72"/>
  <c r="N201"/>
  <c r="L201"/>
  <c r="J201"/>
  <c r="I201"/>
  <c r="H201"/>
  <c r="G201"/>
  <c r="F201"/>
  <c r="E201"/>
  <c r="D201"/>
  <c r="C201"/>
  <c r="B201"/>
  <c r="A201"/>
  <c r="R81" i="15"/>
  <c r="Q81"/>
  <c r="O200" i="72"/>
  <c r="N200"/>
  <c r="L200"/>
  <c r="J200"/>
  <c r="I200"/>
  <c r="H200"/>
  <c r="G200"/>
  <c r="F200"/>
  <c r="E200"/>
  <c r="D200"/>
  <c r="C200"/>
  <c r="B200"/>
  <c r="A200"/>
  <c r="R80" i="15"/>
  <c r="Q80"/>
  <c r="O199" i="72"/>
  <c r="N199"/>
  <c r="L199"/>
  <c r="J199"/>
  <c r="I199"/>
  <c r="H199"/>
  <c r="G199"/>
  <c r="F199"/>
  <c r="E199"/>
  <c r="D199"/>
  <c r="C199"/>
  <c r="B199"/>
  <c r="A199"/>
  <c r="R79" i="15"/>
  <c r="Q79"/>
  <c r="O198" i="72"/>
  <c r="N198"/>
  <c r="L198"/>
  <c r="J198"/>
  <c r="I198"/>
  <c r="H198"/>
  <c r="G198"/>
  <c r="F198"/>
  <c r="E198"/>
  <c r="D198"/>
  <c r="C198"/>
  <c r="B198"/>
  <c r="A198"/>
  <c r="R78" i="15"/>
  <c r="Q78"/>
  <c r="O197" i="72"/>
  <c r="N197"/>
  <c r="L197"/>
  <c r="J197"/>
  <c r="I197"/>
  <c r="H197"/>
  <c r="G197"/>
  <c r="F197"/>
  <c r="E197"/>
  <c r="D197"/>
  <c r="C197"/>
  <c r="B197"/>
  <c r="A197"/>
  <c r="R33" i="15"/>
  <c r="Q33"/>
  <c r="O196" i="72"/>
  <c r="N196"/>
  <c r="L196"/>
  <c r="J196"/>
  <c r="I196"/>
  <c r="H196"/>
  <c r="G196"/>
  <c r="F196"/>
  <c r="E196"/>
  <c r="D196"/>
  <c r="C196"/>
  <c r="B196"/>
  <c r="A196"/>
  <c r="R32" i="15"/>
  <c r="Q32"/>
  <c r="O195" i="72"/>
  <c r="N195"/>
  <c r="L195"/>
  <c r="J195"/>
  <c r="I195"/>
  <c r="H195"/>
  <c r="G195"/>
  <c r="F195"/>
  <c r="E195"/>
  <c r="D195"/>
  <c r="C195"/>
  <c r="B195"/>
  <c r="A195"/>
  <c r="Q17" i="15"/>
  <c r="O194" i="72"/>
  <c r="N194"/>
  <c r="L194"/>
  <c r="J194"/>
  <c r="I194"/>
  <c r="H194"/>
  <c r="G194"/>
  <c r="F194"/>
  <c r="E194"/>
  <c r="D194"/>
  <c r="C194"/>
  <c r="B194"/>
  <c r="A194"/>
  <c r="P193"/>
  <c r="P192"/>
  <c r="O193"/>
  <c r="N193"/>
  <c r="L193"/>
  <c r="J193"/>
  <c r="I193"/>
  <c r="H193"/>
  <c r="H192"/>
  <c r="G193"/>
  <c r="G192"/>
  <c r="F193"/>
  <c r="F192"/>
  <c r="E193"/>
  <c r="D193"/>
  <c r="C193"/>
  <c r="B193"/>
  <c r="A193"/>
  <c r="O192"/>
  <c r="N192"/>
  <c r="C192"/>
  <c r="B192"/>
  <c r="A192"/>
  <c r="R122" i="15"/>
  <c r="Q122"/>
  <c r="O191" i="72"/>
  <c r="N191"/>
  <c r="L191"/>
  <c r="J191"/>
  <c r="I191"/>
  <c r="H191"/>
  <c r="G191"/>
  <c r="F191"/>
  <c r="F190"/>
  <c r="F189"/>
  <c r="E191"/>
  <c r="D191"/>
  <c r="C191"/>
  <c r="B191"/>
  <c r="A191"/>
  <c r="R121" i="15"/>
  <c r="Q121"/>
  <c r="O190" i="72"/>
  <c r="N190"/>
  <c r="L190"/>
  <c r="J190"/>
  <c r="I190"/>
  <c r="H190"/>
  <c r="G190"/>
  <c r="E190"/>
  <c r="D190"/>
  <c r="C190"/>
  <c r="B190"/>
  <c r="A190"/>
  <c r="O189"/>
  <c r="N189"/>
  <c r="C189"/>
  <c r="B189"/>
  <c r="A189"/>
  <c r="R119" i="15"/>
  <c r="Q119"/>
  <c r="O188" i="72"/>
  <c r="N188"/>
  <c r="L188"/>
  <c r="J188"/>
  <c r="I188"/>
  <c r="H188"/>
  <c r="G188"/>
  <c r="F188"/>
  <c r="E188"/>
  <c r="D188"/>
  <c r="C188"/>
  <c r="B188"/>
  <c r="A188"/>
  <c r="R117" i="15"/>
  <c r="Q117"/>
  <c r="O187" i="72"/>
  <c r="N187"/>
  <c r="L187"/>
  <c r="J187"/>
  <c r="I187"/>
  <c r="H187"/>
  <c r="G187"/>
  <c r="F187"/>
  <c r="E187"/>
  <c r="D187"/>
  <c r="C187"/>
  <c r="B187"/>
  <c r="A187"/>
  <c r="R116" i="15"/>
  <c r="Q116"/>
  <c r="O186" i="72"/>
  <c r="N186"/>
  <c r="L186"/>
  <c r="J186"/>
  <c r="I186"/>
  <c r="H186"/>
  <c r="G186"/>
  <c r="F186"/>
  <c r="E186"/>
  <c r="D186"/>
  <c r="C186"/>
  <c r="B186"/>
  <c r="A186"/>
  <c r="R115" i="15"/>
  <c r="Q115"/>
  <c r="O185" i="72"/>
  <c r="N185"/>
  <c r="L185"/>
  <c r="J185"/>
  <c r="I185"/>
  <c r="H185"/>
  <c r="G185"/>
  <c r="F185"/>
  <c r="E185"/>
  <c r="D185"/>
  <c r="C185"/>
  <c r="B185"/>
  <c r="A185"/>
  <c r="R114" i="15"/>
  <c r="Q114"/>
  <c r="O184" i="72"/>
  <c r="N184"/>
  <c r="L184"/>
  <c r="J184"/>
  <c r="I184"/>
  <c r="H184"/>
  <c r="G184"/>
  <c r="F184"/>
  <c r="E184"/>
  <c r="D184"/>
  <c r="C184"/>
  <c r="B184"/>
  <c r="A184"/>
  <c r="O183"/>
  <c r="N183"/>
  <c r="C183"/>
  <c r="B183"/>
  <c r="A183"/>
  <c r="R112" i="15"/>
  <c r="Q112"/>
  <c r="O182" i="72"/>
  <c r="N182"/>
  <c r="L182"/>
  <c r="J182"/>
  <c r="I182"/>
  <c r="H182"/>
  <c r="G182"/>
  <c r="F182"/>
  <c r="E182"/>
  <c r="D182"/>
  <c r="C182"/>
  <c r="B182"/>
  <c r="A182"/>
  <c r="R111" i="15"/>
  <c r="Q111"/>
  <c r="O181" i="72"/>
  <c r="N181"/>
  <c r="L181"/>
  <c r="J181"/>
  <c r="I181"/>
  <c r="H181"/>
  <c r="G181"/>
  <c r="F181"/>
  <c r="E181"/>
  <c r="D181"/>
  <c r="C181"/>
  <c r="B181"/>
  <c r="A181"/>
  <c r="R110" i="15"/>
  <c r="Q110"/>
  <c r="O180" i="72"/>
  <c r="N180"/>
  <c r="L180"/>
  <c r="J180"/>
  <c r="I180"/>
  <c r="H180"/>
  <c r="G180"/>
  <c r="F180"/>
  <c r="E180"/>
  <c r="D180"/>
  <c r="C180"/>
  <c r="B180"/>
  <c r="A180"/>
  <c r="O179"/>
  <c r="N179"/>
  <c r="C179"/>
  <c r="B179"/>
  <c r="A179"/>
  <c r="R106" i="15"/>
  <c r="Q106"/>
  <c r="O178" i="72"/>
  <c r="N178"/>
  <c r="L178"/>
  <c r="J178"/>
  <c r="I178"/>
  <c r="H178"/>
  <c r="G178"/>
  <c r="F178"/>
  <c r="E178"/>
  <c r="D178"/>
  <c r="C178"/>
  <c r="B178"/>
  <c r="A178"/>
  <c r="R105" i="15"/>
  <c r="Q105"/>
  <c r="O177" i="72"/>
  <c r="N177"/>
  <c r="L177"/>
  <c r="J177"/>
  <c r="I177"/>
  <c r="H177"/>
  <c r="G177"/>
  <c r="F177"/>
  <c r="E177"/>
  <c r="D177"/>
  <c r="C177"/>
  <c r="B177"/>
  <c r="A177"/>
  <c r="R104" i="15"/>
  <c r="Q104"/>
  <c r="O176" i="72"/>
  <c r="N176"/>
  <c r="L176"/>
  <c r="J176"/>
  <c r="I176"/>
  <c r="H176"/>
  <c r="G176"/>
  <c r="F176"/>
  <c r="E176"/>
  <c r="D176"/>
  <c r="C176"/>
  <c r="B176"/>
  <c r="A176"/>
  <c r="R103" i="15"/>
  <c r="Q103"/>
  <c r="O175" i="72"/>
  <c r="N175"/>
  <c r="L175"/>
  <c r="J175"/>
  <c r="I175"/>
  <c r="H175"/>
  <c r="G175"/>
  <c r="F175"/>
  <c r="E175"/>
  <c r="D175"/>
  <c r="C175"/>
  <c r="B175"/>
  <c r="A175"/>
  <c r="R102" i="15"/>
  <c r="Q102"/>
  <c r="O174" i="72"/>
  <c r="N174"/>
  <c r="L174"/>
  <c r="J174"/>
  <c r="I174"/>
  <c r="H174"/>
  <c r="G174"/>
  <c r="F174"/>
  <c r="E174"/>
  <c r="D174"/>
  <c r="C174"/>
  <c r="B174"/>
  <c r="A174"/>
  <c r="O173"/>
  <c r="N173"/>
  <c r="C173"/>
  <c r="B173"/>
  <c r="A173"/>
  <c r="R100" i="15"/>
  <c r="Q100"/>
  <c r="O172" i="72"/>
  <c r="N172"/>
  <c r="L172"/>
  <c r="J172"/>
  <c r="I172"/>
  <c r="H172"/>
  <c r="H171"/>
  <c r="G172"/>
  <c r="G171"/>
  <c r="F172"/>
  <c r="F171"/>
  <c r="E172"/>
  <c r="D172"/>
  <c r="C172"/>
  <c r="B172"/>
  <c r="A172"/>
  <c r="O171"/>
  <c r="N171"/>
  <c r="C171"/>
  <c r="B171"/>
  <c r="A171"/>
  <c r="R98" i="15"/>
  <c r="Q98"/>
  <c r="O170" i="72"/>
  <c r="N170"/>
  <c r="L170"/>
  <c r="J170"/>
  <c r="I170"/>
  <c r="H170"/>
  <c r="G170"/>
  <c r="F170"/>
  <c r="E170"/>
  <c r="D170"/>
  <c r="C170"/>
  <c r="B170"/>
  <c r="A170"/>
  <c r="R97" i="15"/>
  <c r="Q97"/>
  <c r="O169" i="72"/>
  <c r="N169"/>
  <c r="L169"/>
  <c r="J169"/>
  <c r="I169"/>
  <c r="H169"/>
  <c r="G169"/>
  <c r="F169"/>
  <c r="E169"/>
  <c r="D169"/>
  <c r="C169"/>
  <c r="B169"/>
  <c r="A169"/>
  <c r="R96" i="15"/>
  <c r="Q96"/>
  <c r="O168" i="72"/>
  <c r="N168"/>
  <c r="L168"/>
  <c r="J168"/>
  <c r="I168"/>
  <c r="H168"/>
  <c r="G168"/>
  <c r="F168"/>
  <c r="E168"/>
  <c r="D168"/>
  <c r="C168"/>
  <c r="B168"/>
  <c r="A168"/>
  <c r="R95" i="15"/>
  <c r="Q95"/>
  <c r="O167" i="72"/>
  <c r="N167"/>
  <c r="L167"/>
  <c r="J167"/>
  <c r="I167"/>
  <c r="H167"/>
  <c r="G167"/>
  <c r="F167"/>
  <c r="E167"/>
  <c r="D167"/>
  <c r="C167"/>
  <c r="B167"/>
  <c r="A167"/>
  <c r="R94" i="15"/>
  <c r="Q94"/>
  <c r="O166" i="72"/>
  <c r="N166"/>
  <c r="L166"/>
  <c r="J166"/>
  <c r="I166"/>
  <c r="H166"/>
  <c r="G166"/>
  <c r="G165"/>
  <c r="F166"/>
  <c r="E166"/>
  <c r="D166"/>
  <c r="C166"/>
  <c r="B166"/>
  <c r="A166"/>
  <c r="O165"/>
  <c r="N165"/>
  <c r="C165"/>
  <c r="B165"/>
  <c r="A165"/>
  <c r="R89" i="15"/>
  <c r="Q89"/>
  <c r="O164" i="72"/>
  <c r="N164"/>
  <c r="L164"/>
  <c r="J164"/>
  <c r="I164"/>
  <c r="H164"/>
  <c r="H163"/>
  <c r="G164"/>
  <c r="G163"/>
  <c r="F164"/>
  <c r="F163"/>
  <c r="E164"/>
  <c r="D164"/>
  <c r="C164"/>
  <c r="B164"/>
  <c r="A164"/>
  <c r="O163"/>
  <c r="N163"/>
  <c r="C163"/>
  <c r="B163"/>
  <c r="A163"/>
  <c r="R84" i="15"/>
  <c r="Q84"/>
  <c r="O162" i="72"/>
  <c r="N162"/>
  <c r="L162"/>
  <c r="J162"/>
  <c r="I162"/>
  <c r="H162"/>
  <c r="H161"/>
  <c r="G162"/>
  <c r="G161"/>
  <c r="F162"/>
  <c r="F161"/>
  <c r="E162"/>
  <c r="D162"/>
  <c r="C162"/>
  <c r="B162"/>
  <c r="A162"/>
  <c r="O161"/>
  <c r="N161"/>
  <c r="C161"/>
  <c r="B161"/>
  <c r="A161"/>
  <c r="R77" i="15"/>
  <c r="Q77"/>
  <c r="O160" i="72"/>
  <c r="N160"/>
  <c r="L160"/>
  <c r="J160"/>
  <c r="I160"/>
  <c r="H160"/>
  <c r="H159"/>
  <c r="G160"/>
  <c r="G159"/>
  <c r="F160"/>
  <c r="E160"/>
  <c r="D160"/>
  <c r="C160"/>
  <c r="B160"/>
  <c r="A160"/>
  <c r="O159"/>
  <c r="N159"/>
  <c r="F159"/>
  <c r="C159"/>
  <c r="B159"/>
  <c r="A159"/>
  <c r="R75" i="15"/>
  <c r="Q75"/>
  <c r="O158" i="72"/>
  <c r="N158"/>
  <c r="L158"/>
  <c r="J158"/>
  <c r="I158"/>
  <c r="H158"/>
  <c r="G158"/>
  <c r="F158"/>
  <c r="E158"/>
  <c r="D158"/>
  <c r="C158"/>
  <c r="B158"/>
  <c r="A158"/>
  <c r="R74" i="15"/>
  <c r="Q74"/>
  <c r="O157" i="72"/>
  <c r="N157"/>
  <c r="L157"/>
  <c r="J157"/>
  <c r="I157"/>
  <c r="H157"/>
  <c r="G157"/>
  <c r="G156"/>
  <c r="F157"/>
  <c r="E157"/>
  <c r="D157"/>
  <c r="C157"/>
  <c r="B157"/>
  <c r="A157"/>
  <c r="O156"/>
  <c r="N156"/>
  <c r="C156"/>
  <c r="B156"/>
  <c r="A156"/>
  <c r="R134" i="15"/>
  <c r="Q134"/>
  <c r="O155" i="72"/>
  <c r="N155"/>
  <c r="L155"/>
  <c r="J155"/>
  <c r="I155"/>
  <c r="H155"/>
  <c r="G155"/>
  <c r="F155"/>
  <c r="E155"/>
  <c r="D155"/>
  <c r="C155"/>
  <c r="B155"/>
  <c r="A155"/>
  <c r="R133" i="15"/>
  <c r="Q133"/>
  <c r="O154" i="72"/>
  <c r="N154"/>
  <c r="L154"/>
  <c r="J154"/>
  <c r="I154"/>
  <c r="H154"/>
  <c r="G154"/>
  <c r="G153"/>
  <c r="F154"/>
  <c r="E154"/>
  <c r="D154"/>
  <c r="C154"/>
  <c r="B154"/>
  <c r="A154"/>
  <c r="O153"/>
  <c r="N153"/>
  <c r="C153"/>
  <c r="B153"/>
  <c r="A153"/>
  <c r="R131" i="15"/>
  <c r="Q131"/>
  <c r="O152" i="72"/>
  <c r="N152"/>
  <c r="L152"/>
  <c r="J152"/>
  <c r="I152"/>
  <c r="H152"/>
  <c r="G152"/>
  <c r="F152"/>
  <c r="E152"/>
  <c r="D152"/>
  <c r="C152"/>
  <c r="B152"/>
  <c r="A152"/>
  <c r="R130" i="15"/>
  <c r="Q130"/>
  <c r="O151" i="72"/>
  <c r="N151"/>
  <c r="L151"/>
  <c r="J151"/>
  <c r="I151"/>
  <c r="H151"/>
  <c r="H150"/>
  <c r="G151"/>
  <c r="F151"/>
  <c r="E151"/>
  <c r="D151"/>
  <c r="C151"/>
  <c r="B151"/>
  <c r="A151"/>
  <c r="O150"/>
  <c r="N150"/>
  <c r="C150"/>
  <c r="B150"/>
  <c r="A150"/>
  <c r="R128" i="15"/>
  <c r="Q128"/>
  <c r="O149" i="72"/>
  <c r="N149"/>
  <c r="L149"/>
  <c r="J149"/>
  <c r="I149"/>
  <c r="H149"/>
  <c r="G149"/>
  <c r="F149"/>
  <c r="E149"/>
  <c r="D149"/>
  <c r="C149"/>
  <c r="B149"/>
  <c r="A149"/>
  <c r="R127" i="15"/>
  <c r="O148" i="72"/>
  <c r="N148"/>
  <c r="L148"/>
  <c r="J148"/>
  <c r="I148"/>
  <c r="H148"/>
  <c r="G148"/>
  <c r="F148"/>
  <c r="E148"/>
  <c r="D148"/>
  <c r="C148"/>
  <c r="B148"/>
  <c r="A148"/>
  <c r="O147"/>
  <c r="N147"/>
  <c r="F147"/>
  <c r="C147"/>
  <c r="B147"/>
  <c r="A147"/>
  <c r="R125" i="15"/>
  <c r="Q125"/>
  <c r="O146" i="72"/>
  <c r="N146"/>
  <c r="L146"/>
  <c r="J146"/>
  <c r="I146"/>
  <c r="H146"/>
  <c r="G146"/>
  <c r="F146"/>
  <c r="E146"/>
  <c r="D146"/>
  <c r="C146"/>
  <c r="B146"/>
  <c r="A146"/>
  <c r="R124" i="15"/>
  <c r="Q124"/>
  <c r="O145" i="72"/>
  <c r="N145"/>
  <c r="L145"/>
  <c r="J145"/>
  <c r="I145"/>
  <c r="H145"/>
  <c r="G145"/>
  <c r="F145"/>
  <c r="E145"/>
  <c r="D145"/>
  <c r="C145"/>
  <c r="B145"/>
  <c r="A145"/>
  <c r="O144"/>
  <c r="N144"/>
  <c r="C144"/>
  <c r="B144"/>
  <c r="A144"/>
  <c r="P143"/>
  <c r="O143"/>
  <c r="N143"/>
  <c r="L143"/>
  <c r="J143"/>
  <c r="I143"/>
  <c r="H143"/>
  <c r="G143"/>
  <c r="F143"/>
  <c r="E143"/>
  <c r="D143"/>
  <c r="C143"/>
  <c r="B143"/>
  <c r="A143"/>
  <c r="R36" i="15"/>
  <c r="Q36"/>
  <c r="O142" i="72"/>
  <c r="N142"/>
  <c r="L142"/>
  <c r="J142"/>
  <c r="I142"/>
  <c r="H142"/>
  <c r="H141"/>
  <c r="G142"/>
  <c r="F142"/>
  <c r="E142"/>
  <c r="D142"/>
  <c r="C142"/>
  <c r="B142"/>
  <c r="A142"/>
  <c r="O141"/>
  <c r="N141"/>
  <c r="C141"/>
  <c r="B141"/>
  <c r="A141"/>
  <c r="R52" i="15"/>
  <c r="Q52"/>
  <c r="O140" i="72"/>
  <c r="N140"/>
  <c r="L140"/>
  <c r="J140"/>
  <c r="I140"/>
  <c r="H140"/>
  <c r="G140"/>
  <c r="F140"/>
  <c r="E140"/>
  <c r="D140"/>
  <c r="C140"/>
  <c r="B140"/>
  <c r="A140"/>
  <c r="R51" i="15"/>
  <c r="Q51"/>
  <c r="O139" i="72"/>
  <c r="N139"/>
  <c r="L139"/>
  <c r="J139"/>
  <c r="I139"/>
  <c r="H139"/>
  <c r="G139"/>
  <c r="F139"/>
  <c r="F138"/>
  <c r="E139"/>
  <c r="D139"/>
  <c r="C139"/>
  <c r="B139"/>
  <c r="A139"/>
  <c r="O138"/>
  <c r="N138"/>
  <c r="H138"/>
  <c r="C138"/>
  <c r="B138"/>
  <c r="A138"/>
  <c r="R49" i="15"/>
  <c r="Q49"/>
  <c r="O137" i="72"/>
  <c r="N137"/>
  <c r="L137"/>
  <c r="J137"/>
  <c r="I137"/>
  <c r="H137"/>
  <c r="G137"/>
  <c r="F137"/>
  <c r="F136"/>
  <c r="F135"/>
  <c r="E137"/>
  <c r="D137"/>
  <c r="C137"/>
  <c r="B137"/>
  <c r="A137"/>
  <c r="R48" i="15"/>
  <c r="Q48"/>
  <c r="O136" i="72"/>
  <c r="N136"/>
  <c r="L136"/>
  <c r="J136"/>
  <c r="I136"/>
  <c r="H136"/>
  <c r="H135"/>
  <c r="G136"/>
  <c r="G135"/>
  <c r="E136"/>
  <c r="D136"/>
  <c r="C136"/>
  <c r="B136"/>
  <c r="A136"/>
  <c r="O135"/>
  <c r="N135"/>
  <c r="C135"/>
  <c r="B135"/>
  <c r="A135"/>
  <c r="P134"/>
  <c r="O134"/>
  <c r="N134"/>
  <c r="L134"/>
  <c r="J134"/>
  <c r="I134"/>
  <c r="H134"/>
  <c r="G134"/>
  <c r="F134"/>
  <c r="E134"/>
  <c r="D134"/>
  <c r="C134"/>
  <c r="B134"/>
  <c r="A134"/>
  <c r="P133"/>
  <c r="O133"/>
  <c r="N133"/>
  <c r="L133"/>
  <c r="J133"/>
  <c r="I133"/>
  <c r="H133"/>
  <c r="G133"/>
  <c r="F133"/>
  <c r="E133"/>
  <c r="D133"/>
  <c r="C133"/>
  <c r="B133"/>
  <c r="A133"/>
  <c r="R11" i="15"/>
  <c r="Q11"/>
  <c r="O132" i="72"/>
  <c r="N132"/>
  <c r="L132"/>
  <c r="J132"/>
  <c r="I132"/>
  <c r="H132"/>
  <c r="G132"/>
  <c r="F132"/>
  <c r="E132"/>
  <c r="D132"/>
  <c r="C132"/>
  <c r="B132"/>
  <c r="A132"/>
  <c r="P131"/>
  <c r="O131"/>
  <c r="N131"/>
  <c r="L131"/>
  <c r="J131"/>
  <c r="I131"/>
  <c r="H131"/>
  <c r="G131"/>
  <c r="F131"/>
  <c r="E131"/>
  <c r="D131"/>
  <c r="C131"/>
  <c r="B131"/>
  <c r="A131"/>
  <c r="P130"/>
  <c r="O130"/>
  <c r="N130"/>
  <c r="L130"/>
  <c r="J130"/>
  <c r="I130"/>
  <c r="H130"/>
  <c r="G130"/>
  <c r="F130"/>
  <c r="E130"/>
  <c r="D130"/>
  <c r="C130"/>
  <c r="B130"/>
  <c r="A130"/>
  <c r="O129"/>
  <c r="N129"/>
  <c r="C129"/>
  <c r="B129"/>
  <c r="A129"/>
  <c r="R40" i="15"/>
  <c r="Q40"/>
  <c r="O128" i="72"/>
  <c r="N128"/>
  <c r="L128"/>
  <c r="J128"/>
  <c r="I128"/>
  <c r="H128"/>
  <c r="G128"/>
  <c r="F128"/>
  <c r="E128"/>
  <c r="D128"/>
  <c r="C128"/>
  <c r="B128"/>
  <c r="A128"/>
  <c r="R39" i="15"/>
  <c r="Q39"/>
  <c r="O127" i="72"/>
  <c r="N127"/>
  <c r="L127"/>
  <c r="J127"/>
  <c r="I127"/>
  <c r="H127"/>
  <c r="G127"/>
  <c r="F127"/>
  <c r="E127"/>
  <c r="D127"/>
  <c r="C127"/>
  <c r="B127"/>
  <c r="A127"/>
  <c r="O126"/>
  <c r="N126"/>
  <c r="C126"/>
  <c r="B126"/>
  <c r="A126"/>
  <c r="R34" i="15"/>
  <c r="Q34"/>
  <c r="O125" i="72"/>
  <c r="N125"/>
  <c r="L125"/>
  <c r="J125"/>
  <c r="I125"/>
  <c r="H125"/>
  <c r="G125"/>
  <c r="F125"/>
  <c r="E125"/>
  <c r="D125"/>
  <c r="C125"/>
  <c r="B125"/>
  <c r="A125"/>
  <c r="R31" i="15"/>
  <c r="Q31"/>
  <c r="O124" i="72"/>
  <c r="N124"/>
  <c r="L124"/>
  <c r="J124"/>
  <c r="I124"/>
  <c r="H124"/>
  <c r="G124"/>
  <c r="F124"/>
  <c r="E124"/>
  <c r="D124"/>
  <c r="C124"/>
  <c r="B124"/>
  <c r="A124"/>
  <c r="Q30" i="15"/>
  <c r="O123" i="72"/>
  <c r="N123"/>
  <c r="L123"/>
  <c r="J123"/>
  <c r="I123"/>
  <c r="H123"/>
  <c r="G123"/>
  <c r="F123"/>
  <c r="E123"/>
  <c r="D123"/>
  <c r="C123"/>
  <c r="B123"/>
  <c r="A123"/>
  <c r="O122"/>
  <c r="N122"/>
  <c r="C122"/>
  <c r="B122"/>
  <c r="A122"/>
  <c r="R28" i="15"/>
  <c r="Q28"/>
  <c r="O121" i="72"/>
  <c r="N121"/>
  <c r="L121"/>
  <c r="J121"/>
  <c r="I121"/>
  <c r="H121"/>
  <c r="G121"/>
  <c r="F121"/>
  <c r="E121"/>
  <c r="D121"/>
  <c r="C121"/>
  <c r="B121"/>
  <c r="A121"/>
  <c r="R27" i="15"/>
  <c r="Q27"/>
  <c r="O120" i="72"/>
  <c r="N120"/>
  <c r="L120"/>
  <c r="J120"/>
  <c r="I120"/>
  <c r="H120"/>
  <c r="G120"/>
  <c r="F120"/>
  <c r="E120"/>
  <c r="D120"/>
  <c r="C120"/>
  <c r="B120"/>
  <c r="A120"/>
  <c r="O119"/>
  <c r="N119"/>
  <c r="C119"/>
  <c r="B119"/>
  <c r="A119"/>
  <c r="R25" i="15"/>
  <c r="Q25"/>
  <c r="O118" i="72"/>
  <c r="N118"/>
  <c r="L118"/>
  <c r="J118"/>
  <c r="I118"/>
  <c r="H118"/>
  <c r="G118"/>
  <c r="F118"/>
  <c r="E118"/>
  <c r="D118"/>
  <c r="C118"/>
  <c r="B118"/>
  <c r="A118"/>
  <c r="R24" i="15"/>
  <c r="Q24"/>
  <c r="O117" i="72"/>
  <c r="N117"/>
  <c r="L117"/>
  <c r="J117"/>
  <c r="I117"/>
  <c r="H117"/>
  <c r="G117"/>
  <c r="F117"/>
  <c r="E117"/>
  <c r="D117"/>
  <c r="C117"/>
  <c r="B117"/>
  <c r="A117"/>
  <c r="Q23" i="15"/>
  <c r="O116" i="72"/>
  <c r="N116"/>
  <c r="L116"/>
  <c r="J116"/>
  <c r="I116"/>
  <c r="H116"/>
  <c r="G116"/>
  <c r="F116"/>
  <c r="E116"/>
  <c r="D116"/>
  <c r="C116"/>
  <c r="B116"/>
  <c r="A116"/>
  <c r="R22" i="15"/>
  <c r="Q22"/>
  <c r="O115" i="72"/>
  <c r="N115"/>
  <c r="L115"/>
  <c r="J115"/>
  <c r="I115"/>
  <c r="H115"/>
  <c r="G115"/>
  <c r="F115"/>
  <c r="E115"/>
  <c r="D115"/>
  <c r="C115"/>
  <c r="B115"/>
  <c r="A115"/>
  <c r="R21" i="15"/>
  <c r="Q21"/>
  <c r="O114" i="72"/>
  <c r="N114"/>
  <c r="L114"/>
  <c r="J114"/>
  <c r="I114"/>
  <c r="H114"/>
  <c r="G114"/>
  <c r="F114"/>
  <c r="E114"/>
  <c r="D114"/>
  <c r="C114"/>
  <c r="B114"/>
  <c r="A114"/>
  <c r="R20" i="15"/>
  <c r="Q20"/>
  <c r="O113" i="72"/>
  <c r="N113"/>
  <c r="L113"/>
  <c r="J113"/>
  <c r="I113"/>
  <c r="H113"/>
  <c r="G113"/>
  <c r="F113"/>
  <c r="E113"/>
  <c r="D113"/>
  <c r="C113"/>
  <c r="B113"/>
  <c r="A113"/>
  <c r="O112"/>
  <c r="N112"/>
  <c r="C112"/>
  <c r="B112"/>
  <c r="A112"/>
  <c r="R18" i="15"/>
  <c r="Q18"/>
  <c r="O111" i="72"/>
  <c r="N111"/>
  <c r="L111"/>
  <c r="J111"/>
  <c r="I111"/>
  <c r="H111"/>
  <c r="G111"/>
  <c r="F111"/>
  <c r="E111"/>
  <c r="D111"/>
  <c r="C111"/>
  <c r="B111"/>
  <c r="A111"/>
  <c r="R14" i="15"/>
  <c r="Q14"/>
  <c r="O110" i="72"/>
  <c r="N110"/>
  <c r="L110"/>
  <c r="J110"/>
  <c r="I110"/>
  <c r="H110"/>
  <c r="G110"/>
  <c r="G109"/>
  <c r="F110"/>
  <c r="E110"/>
  <c r="D110"/>
  <c r="C110"/>
  <c r="B110"/>
  <c r="A110"/>
  <c r="O109"/>
  <c r="N109"/>
  <c r="C109"/>
  <c r="B109"/>
  <c r="A109"/>
  <c r="R12" i="15"/>
  <c r="O108" i="72"/>
  <c r="N108"/>
  <c r="L108"/>
  <c r="J108"/>
  <c r="I108"/>
  <c r="H108"/>
  <c r="G108"/>
  <c r="F108"/>
  <c r="E108"/>
  <c r="D108"/>
  <c r="C108"/>
  <c r="B108"/>
  <c r="A108"/>
  <c r="R10" i="15"/>
  <c r="O107" i="72"/>
  <c r="N107"/>
  <c r="L107"/>
  <c r="J107"/>
  <c r="I107"/>
  <c r="H107"/>
  <c r="G107"/>
  <c r="F107"/>
  <c r="E107"/>
  <c r="D107"/>
  <c r="C107"/>
  <c r="B107"/>
  <c r="A107"/>
  <c r="R9" i="15"/>
  <c r="O106" i="72"/>
  <c r="N106"/>
  <c r="L106"/>
  <c r="J106"/>
  <c r="I106"/>
  <c r="H106"/>
  <c r="G106"/>
  <c r="F106"/>
  <c r="E106"/>
  <c r="D106"/>
  <c r="C106"/>
  <c r="B106"/>
  <c r="A106"/>
  <c r="R8" i="15"/>
  <c r="Q8"/>
  <c r="O105" i="72"/>
  <c r="N105"/>
  <c r="L105"/>
  <c r="J105"/>
  <c r="I105"/>
  <c r="H105"/>
  <c r="G105"/>
  <c r="F105"/>
  <c r="E105"/>
  <c r="D105"/>
  <c r="C105"/>
  <c r="B105"/>
  <c r="A105"/>
  <c r="O104"/>
  <c r="N104"/>
  <c r="C104"/>
  <c r="B104"/>
  <c r="A104"/>
  <c r="P103"/>
  <c r="M103"/>
  <c r="H103"/>
  <c r="G103"/>
  <c r="F103"/>
  <c r="C103"/>
  <c r="B103"/>
  <c r="A103"/>
  <c r="P102"/>
  <c r="O102"/>
  <c r="N102"/>
  <c r="L102"/>
  <c r="J102"/>
  <c r="I102"/>
  <c r="H102"/>
  <c r="G102"/>
  <c r="F102"/>
  <c r="E102"/>
  <c r="D102"/>
  <c r="C102"/>
  <c r="B102"/>
  <c r="A102"/>
  <c r="R97" i="4"/>
  <c r="N101" i="72"/>
  <c r="L101"/>
  <c r="J101"/>
  <c r="I101"/>
  <c r="H101"/>
  <c r="G101"/>
  <c r="F101"/>
  <c r="E101"/>
  <c r="D101"/>
  <c r="C101"/>
  <c r="B101"/>
  <c r="A101"/>
  <c r="R96" i="4"/>
  <c r="Q96"/>
  <c r="O100" i="72"/>
  <c r="N100"/>
  <c r="L100"/>
  <c r="J100"/>
  <c r="I100"/>
  <c r="H100"/>
  <c r="G100"/>
  <c r="F100"/>
  <c r="E100"/>
  <c r="D100"/>
  <c r="C100"/>
  <c r="B100"/>
  <c r="A100"/>
  <c r="R95" i="4"/>
  <c r="Q95"/>
  <c r="O99" i="72"/>
  <c r="N99"/>
  <c r="L99"/>
  <c r="J99"/>
  <c r="I99"/>
  <c r="H99"/>
  <c r="G99"/>
  <c r="F99"/>
  <c r="E99"/>
  <c r="D99"/>
  <c r="C99"/>
  <c r="B99"/>
  <c r="A99"/>
  <c r="R94" i="4"/>
  <c r="O98" i="72"/>
  <c r="N98"/>
  <c r="L98"/>
  <c r="J98"/>
  <c r="I98"/>
  <c r="H98"/>
  <c r="G98"/>
  <c r="F98"/>
  <c r="E98"/>
  <c r="D98"/>
  <c r="C98"/>
  <c r="B98"/>
  <c r="A98"/>
  <c r="R93" i="4"/>
  <c r="Q93"/>
  <c r="O97" i="72"/>
  <c r="N97"/>
  <c r="L97"/>
  <c r="J97"/>
  <c r="I97"/>
  <c r="H97"/>
  <c r="G97"/>
  <c r="F97"/>
  <c r="E97"/>
  <c r="D97"/>
  <c r="C97"/>
  <c r="B97"/>
  <c r="A97"/>
  <c r="R92" i="4"/>
  <c r="Q92"/>
  <c r="O96" i="72"/>
  <c r="N96"/>
  <c r="L96"/>
  <c r="J96"/>
  <c r="I96"/>
  <c r="H96"/>
  <c r="G96"/>
  <c r="F96"/>
  <c r="E96"/>
  <c r="D96"/>
  <c r="C96"/>
  <c r="B96"/>
  <c r="A96"/>
  <c r="R91" i="4"/>
  <c r="Q91"/>
  <c r="O95" i="72"/>
  <c r="N95"/>
  <c r="L95"/>
  <c r="J95"/>
  <c r="I95"/>
  <c r="H95"/>
  <c r="G95"/>
  <c r="F95"/>
  <c r="E95"/>
  <c r="D95"/>
  <c r="C95"/>
  <c r="B95"/>
  <c r="A95"/>
  <c r="R90" i="4"/>
  <c r="Q90"/>
  <c r="O94" i="72"/>
  <c r="N94"/>
  <c r="L94"/>
  <c r="J94"/>
  <c r="I94"/>
  <c r="H94"/>
  <c r="G94"/>
  <c r="F94"/>
  <c r="E94"/>
  <c r="D94"/>
  <c r="C94"/>
  <c r="B94"/>
  <c r="A94"/>
  <c r="R89" i="4"/>
  <c r="Q89"/>
  <c r="O93" i="72"/>
  <c r="N93"/>
  <c r="L93"/>
  <c r="J93"/>
  <c r="I93"/>
  <c r="H93"/>
  <c r="G93"/>
  <c r="F93"/>
  <c r="E93"/>
  <c r="D93"/>
  <c r="C93"/>
  <c r="B93"/>
  <c r="A93"/>
  <c r="R88" i="4"/>
  <c r="Q88"/>
  <c r="O92" i="72"/>
  <c r="N92"/>
  <c r="L92"/>
  <c r="J92"/>
  <c r="I92"/>
  <c r="H92"/>
  <c r="G92"/>
  <c r="F92"/>
  <c r="E92"/>
  <c r="D92"/>
  <c r="C92"/>
  <c r="B92"/>
  <c r="A92"/>
  <c r="P91"/>
  <c r="O91"/>
  <c r="N91"/>
  <c r="L91"/>
  <c r="J91"/>
  <c r="I91"/>
  <c r="H91"/>
  <c r="G91"/>
  <c r="F91"/>
  <c r="E91"/>
  <c r="D91"/>
  <c r="C91"/>
  <c r="B91"/>
  <c r="A91"/>
  <c r="P90"/>
  <c r="O90"/>
  <c r="N90"/>
  <c r="L90"/>
  <c r="J90"/>
  <c r="I90"/>
  <c r="H90"/>
  <c r="G90"/>
  <c r="F90"/>
  <c r="E90"/>
  <c r="D90"/>
  <c r="C90"/>
  <c r="B90"/>
  <c r="A90"/>
  <c r="P89"/>
  <c r="O89"/>
  <c r="N89"/>
  <c r="L89"/>
  <c r="J89"/>
  <c r="I89"/>
  <c r="H89"/>
  <c r="G89"/>
  <c r="F89"/>
  <c r="E89"/>
  <c r="D89"/>
  <c r="C89"/>
  <c r="B89"/>
  <c r="A89"/>
  <c r="R84" i="4"/>
  <c r="Q84"/>
  <c r="O88" i="72"/>
  <c r="N88"/>
  <c r="L88"/>
  <c r="J88"/>
  <c r="I88"/>
  <c r="H88"/>
  <c r="G88"/>
  <c r="F88"/>
  <c r="E88"/>
  <c r="D88"/>
  <c r="C88"/>
  <c r="B88"/>
  <c r="A88"/>
  <c r="P87"/>
  <c r="O87"/>
  <c r="N87"/>
  <c r="L87"/>
  <c r="J87"/>
  <c r="I87"/>
  <c r="H87"/>
  <c r="G87"/>
  <c r="F87"/>
  <c r="E87"/>
  <c r="D87"/>
  <c r="C87"/>
  <c r="B87"/>
  <c r="A87"/>
  <c r="C86"/>
  <c r="B86"/>
  <c r="A86"/>
  <c r="P85"/>
  <c r="O85"/>
  <c r="N85"/>
  <c r="L85"/>
  <c r="J85"/>
  <c r="I85"/>
  <c r="H85"/>
  <c r="G85"/>
  <c r="F85"/>
  <c r="E85"/>
  <c r="D85"/>
  <c r="C85"/>
  <c r="B85"/>
  <c r="A85"/>
  <c r="P84"/>
  <c r="O84"/>
  <c r="N84"/>
  <c r="L84"/>
  <c r="J84"/>
  <c r="I84"/>
  <c r="H84"/>
  <c r="G84"/>
  <c r="F84"/>
  <c r="E84"/>
  <c r="D84"/>
  <c r="C84"/>
  <c r="B84"/>
  <c r="A84"/>
  <c r="P83"/>
  <c r="O83"/>
  <c r="N83"/>
  <c r="L83"/>
  <c r="J83"/>
  <c r="I83"/>
  <c r="H83"/>
  <c r="G83"/>
  <c r="F83"/>
  <c r="E83"/>
  <c r="D83"/>
  <c r="C83"/>
  <c r="B83"/>
  <c r="A83"/>
  <c r="R78" i="4"/>
  <c r="Q78"/>
  <c r="O82" i="72"/>
  <c r="N82"/>
  <c r="L82"/>
  <c r="J82"/>
  <c r="I82"/>
  <c r="H82"/>
  <c r="G82"/>
  <c r="F82"/>
  <c r="E82"/>
  <c r="D82"/>
  <c r="C82"/>
  <c r="B82"/>
  <c r="A82"/>
  <c r="R77" i="4"/>
  <c r="Q77"/>
  <c r="O81" i="72"/>
  <c r="N81"/>
  <c r="L81"/>
  <c r="J81"/>
  <c r="I81"/>
  <c r="H81"/>
  <c r="G81"/>
  <c r="F81"/>
  <c r="E81"/>
  <c r="D81"/>
  <c r="C81"/>
  <c r="B81"/>
  <c r="A81"/>
  <c r="P80"/>
  <c r="O80"/>
  <c r="N80"/>
  <c r="L80"/>
  <c r="J80"/>
  <c r="I80"/>
  <c r="H80"/>
  <c r="G80"/>
  <c r="F80"/>
  <c r="E80"/>
  <c r="D80"/>
  <c r="C80"/>
  <c r="B80"/>
  <c r="A80"/>
  <c r="P79"/>
  <c r="O79"/>
  <c r="N79"/>
  <c r="L79"/>
  <c r="J79"/>
  <c r="I79"/>
  <c r="H79"/>
  <c r="G79"/>
  <c r="F79"/>
  <c r="E79"/>
  <c r="D79"/>
  <c r="C79"/>
  <c r="B79"/>
  <c r="A79"/>
  <c r="P78"/>
  <c r="O78"/>
  <c r="N78"/>
  <c r="L78"/>
  <c r="J78"/>
  <c r="I78"/>
  <c r="H78"/>
  <c r="G78"/>
  <c r="F78"/>
  <c r="E78"/>
  <c r="D78"/>
  <c r="C78"/>
  <c r="B78"/>
  <c r="A78"/>
  <c r="P77"/>
  <c r="O77"/>
  <c r="N77"/>
  <c r="L77"/>
  <c r="J77"/>
  <c r="I77"/>
  <c r="H77"/>
  <c r="G77"/>
  <c r="F77"/>
  <c r="E77"/>
  <c r="D77"/>
  <c r="C77"/>
  <c r="B77"/>
  <c r="A77"/>
  <c r="P76"/>
  <c r="O76"/>
  <c r="N76"/>
  <c r="L76"/>
  <c r="J76"/>
  <c r="I76"/>
  <c r="H76"/>
  <c r="G76"/>
  <c r="F76"/>
  <c r="E76"/>
  <c r="D76"/>
  <c r="C76"/>
  <c r="B76"/>
  <c r="A76"/>
  <c r="C75"/>
  <c r="B75"/>
  <c r="A75"/>
  <c r="P74"/>
  <c r="O74"/>
  <c r="N74"/>
  <c r="L74"/>
  <c r="J74"/>
  <c r="I74"/>
  <c r="H74"/>
  <c r="G74"/>
  <c r="F74"/>
  <c r="E74"/>
  <c r="D74"/>
  <c r="C74"/>
  <c r="B74"/>
  <c r="A74"/>
  <c r="P73"/>
  <c r="O73"/>
  <c r="N73"/>
  <c r="L73"/>
  <c r="J73"/>
  <c r="I73"/>
  <c r="H73"/>
  <c r="G73"/>
  <c r="F73"/>
  <c r="E73"/>
  <c r="D73"/>
  <c r="C73"/>
  <c r="B73"/>
  <c r="A73"/>
  <c r="P72"/>
  <c r="O72"/>
  <c r="N72"/>
  <c r="L72"/>
  <c r="J72"/>
  <c r="I72"/>
  <c r="H72"/>
  <c r="G72"/>
  <c r="F72"/>
  <c r="E72"/>
  <c r="D72"/>
  <c r="C72"/>
  <c r="B72"/>
  <c r="A72"/>
  <c r="P71"/>
  <c r="O71"/>
  <c r="N71"/>
  <c r="L71"/>
  <c r="J71"/>
  <c r="I71"/>
  <c r="H71"/>
  <c r="G71"/>
  <c r="F71"/>
  <c r="E71"/>
  <c r="D71"/>
  <c r="C71"/>
  <c r="B71"/>
  <c r="A71"/>
  <c r="Q66" i="4"/>
  <c r="O70" i="72"/>
  <c r="N70"/>
  <c r="L70"/>
  <c r="J70"/>
  <c r="I70"/>
  <c r="H70"/>
  <c r="G70"/>
  <c r="F70"/>
  <c r="E70"/>
  <c r="D70"/>
  <c r="C70"/>
  <c r="B70"/>
  <c r="A70"/>
  <c r="Q65" i="4"/>
  <c r="O69" i="72"/>
  <c r="N69"/>
  <c r="L69"/>
  <c r="I69"/>
  <c r="H69"/>
  <c r="G69"/>
  <c r="F69"/>
  <c r="E69"/>
  <c r="D69"/>
  <c r="C69"/>
  <c r="B69"/>
  <c r="A69"/>
  <c r="R64" i="4"/>
  <c r="Q64"/>
  <c r="O68" i="72"/>
  <c r="N68"/>
  <c r="L68"/>
  <c r="J68"/>
  <c r="I68"/>
  <c r="H68"/>
  <c r="G68"/>
  <c r="F68"/>
  <c r="E68"/>
  <c r="D68"/>
  <c r="C68"/>
  <c r="B68"/>
  <c r="A68"/>
  <c r="R63" i="4"/>
  <c r="Q63"/>
  <c r="O67" i="72"/>
  <c r="N67"/>
  <c r="L67"/>
  <c r="J67"/>
  <c r="I67"/>
  <c r="H67"/>
  <c r="G67"/>
  <c r="F67"/>
  <c r="E67"/>
  <c r="D67"/>
  <c r="C67"/>
  <c r="B67"/>
  <c r="A67"/>
  <c r="R62" i="4"/>
  <c r="Q62"/>
  <c r="O66" i="72"/>
  <c r="N66"/>
  <c r="L66"/>
  <c r="J66"/>
  <c r="I66"/>
  <c r="H66"/>
  <c r="G66"/>
  <c r="F66"/>
  <c r="E66"/>
  <c r="D66"/>
  <c r="C66"/>
  <c r="B66"/>
  <c r="A66"/>
  <c r="P65"/>
  <c r="O65"/>
  <c r="N65"/>
  <c r="L65"/>
  <c r="J65"/>
  <c r="I65"/>
  <c r="H65"/>
  <c r="G65"/>
  <c r="F65"/>
  <c r="E65"/>
  <c r="D65"/>
  <c r="C65"/>
  <c r="B65"/>
  <c r="A65"/>
  <c r="P64"/>
  <c r="O64"/>
  <c r="N64"/>
  <c r="L64"/>
  <c r="J64"/>
  <c r="I64"/>
  <c r="H64"/>
  <c r="G64"/>
  <c r="F64"/>
  <c r="E64"/>
  <c r="D64"/>
  <c r="C64"/>
  <c r="B64"/>
  <c r="A64"/>
  <c r="P63"/>
  <c r="O63"/>
  <c r="N63"/>
  <c r="L63"/>
  <c r="J63"/>
  <c r="I63"/>
  <c r="H63"/>
  <c r="G63"/>
  <c r="F63"/>
  <c r="E63"/>
  <c r="D63"/>
  <c r="C63"/>
  <c r="B63"/>
  <c r="A63"/>
  <c r="P62"/>
  <c r="O62"/>
  <c r="N62"/>
  <c r="L62"/>
  <c r="J62"/>
  <c r="I62"/>
  <c r="H62"/>
  <c r="G62"/>
  <c r="F62"/>
  <c r="E62"/>
  <c r="D62"/>
  <c r="C62"/>
  <c r="B62"/>
  <c r="A62"/>
  <c r="P61"/>
  <c r="O61"/>
  <c r="N61"/>
  <c r="L61"/>
  <c r="J61"/>
  <c r="I61"/>
  <c r="H61"/>
  <c r="G61"/>
  <c r="F61"/>
  <c r="E61"/>
  <c r="D61"/>
  <c r="C61"/>
  <c r="B61"/>
  <c r="A61"/>
  <c r="C60"/>
  <c r="B60"/>
  <c r="A60"/>
  <c r="C59"/>
  <c r="B59"/>
  <c r="A59"/>
  <c r="P58"/>
  <c r="O58"/>
  <c r="N58"/>
  <c r="L58"/>
  <c r="J58"/>
  <c r="I58"/>
  <c r="H58"/>
  <c r="G58"/>
  <c r="F58"/>
  <c r="E58"/>
  <c r="D58"/>
  <c r="C58"/>
  <c r="B58"/>
  <c r="A58"/>
  <c r="P57"/>
  <c r="O57"/>
  <c r="N57"/>
  <c r="L57"/>
  <c r="J57"/>
  <c r="I57"/>
  <c r="H57"/>
  <c r="G57"/>
  <c r="F57"/>
  <c r="E57"/>
  <c r="D57"/>
  <c r="C57"/>
  <c r="B57"/>
  <c r="A57"/>
  <c r="P56"/>
  <c r="O56"/>
  <c r="N56"/>
  <c r="L56"/>
  <c r="J56"/>
  <c r="I56"/>
  <c r="H56"/>
  <c r="G56"/>
  <c r="F56"/>
  <c r="E56"/>
  <c r="D56"/>
  <c r="C56"/>
  <c r="B56"/>
  <c r="A56"/>
  <c r="P55"/>
  <c r="O55"/>
  <c r="N55"/>
  <c r="L55"/>
  <c r="J55"/>
  <c r="I55"/>
  <c r="H55"/>
  <c r="G55"/>
  <c r="F55"/>
  <c r="E55"/>
  <c r="D55"/>
  <c r="C55"/>
  <c r="B55"/>
  <c r="A55"/>
  <c r="P54"/>
  <c r="O54"/>
  <c r="N54"/>
  <c r="L54"/>
  <c r="J54"/>
  <c r="I54"/>
  <c r="H54"/>
  <c r="G54"/>
  <c r="F54"/>
  <c r="E54"/>
  <c r="D54"/>
  <c r="C54"/>
  <c r="B54"/>
  <c r="A54"/>
  <c r="P53"/>
  <c r="O53"/>
  <c r="N53"/>
  <c r="L53"/>
  <c r="J53"/>
  <c r="I53"/>
  <c r="H53"/>
  <c r="G53"/>
  <c r="F53"/>
  <c r="E53"/>
  <c r="D53"/>
  <c r="C53"/>
  <c r="B53"/>
  <c r="A53"/>
  <c r="P52"/>
  <c r="O52"/>
  <c r="N52"/>
  <c r="L52"/>
  <c r="J52"/>
  <c r="I52"/>
  <c r="H52"/>
  <c r="G52"/>
  <c r="F52"/>
  <c r="E52"/>
  <c r="D52"/>
  <c r="C52"/>
  <c r="B52"/>
  <c r="A52"/>
  <c r="P51"/>
  <c r="O51"/>
  <c r="N51"/>
  <c r="L51"/>
  <c r="J51"/>
  <c r="I51"/>
  <c r="H51"/>
  <c r="G51"/>
  <c r="F51"/>
  <c r="E51"/>
  <c r="D51"/>
  <c r="C51"/>
  <c r="B51"/>
  <c r="A51"/>
  <c r="O50"/>
  <c r="N50"/>
  <c r="L50"/>
  <c r="K50"/>
  <c r="J50"/>
  <c r="I50"/>
  <c r="C50"/>
  <c r="B50"/>
  <c r="A50"/>
  <c r="P49"/>
  <c r="O49"/>
  <c r="N49"/>
  <c r="L49"/>
  <c r="J49"/>
  <c r="I49"/>
  <c r="H49"/>
  <c r="G49"/>
  <c r="F49"/>
  <c r="E49"/>
  <c r="D49"/>
  <c r="C49"/>
  <c r="B49"/>
  <c r="A49"/>
  <c r="P48"/>
  <c r="O48"/>
  <c r="N48"/>
  <c r="L48"/>
  <c r="J48"/>
  <c r="I48"/>
  <c r="H48"/>
  <c r="G48"/>
  <c r="F48"/>
  <c r="E48"/>
  <c r="D48"/>
  <c r="C48"/>
  <c r="B48"/>
  <c r="A48"/>
  <c r="R43" i="4"/>
  <c r="Q43"/>
  <c r="O47" i="72"/>
  <c r="N47"/>
  <c r="L47"/>
  <c r="J47"/>
  <c r="I47"/>
  <c r="H47"/>
  <c r="G47"/>
  <c r="F47"/>
  <c r="E47"/>
  <c r="D47"/>
  <c r="C47"/>
  <c r="B47"/>
  <c r="A47"/>
  <c r="R42" i="4"/>
  <c r="O46" i="72"/>
  <c r="N46"/>
  <c r="L46"/>
  <c r="J46"/>
  <c r="I46"/>
  <c r="H46"/>
  <c r="G46"/>
  <c r="F46"/>
  <c r="E46"/>
  <c r="D46"/>
  <c r="C46"/>
  <c r="B46"/>
  <c r="A46"/>
  <c r="R41" i="4"/>
  <c r="Q41"/>
  <c r="O45" i="72"/>
  <c r="N45"/>
  <c r="L45"/>
  <c r="J45"/>
  <c r="I45"/>
  <c r="H45"/>
  <c r="G45"/>
  <c r="F45"/>
  <c r="E45"/>
  <c r="D45"/>
  <c r="C45"/>
  <c r="B45"/>
  <c r="A45"/>
  <c r="P44"/>
  <c r="O44"/>
  <c r="N44"/>
  <c r="L44"/>
  <c r="J44"/>
  <c r="I44"/>
  <c r="H44"/>
  <c r="G44"/>
  <c r="F44"/>
  <c r="E44"/>
  <c r="D44"/>
  <c r="C44"/>
  <c r="B44"/>
  <c r="A44"/>
  <c r="P43"/>
  <c r="O43"/>
  <c r="N43"/>
  <c r="L43"/>
  <c r="J43"/>
  <c r="I43"/>
  <c r="H43"/>
  <c r="G43"/>
  <c r="F43"/>
  <c r="E43"/>
  <c r="D43"/>
  <c r="C43"/>
  <c r="B43"/>
  <c r="A43"/>
  <c r="P42"/>
  <c r="O42"/>
  <c r="N42"/>
  <c r="L42"/>
  <c r="J42"/>
  <c r="I42"/>
  <c r="H42"/>
  <c r="G42"/>
  <c r="F42"/>
  <c r="E42"/>
  <c r="D42"/>
  <c r="C42"/>
  <c r="B42"/>
  <c r="A42"/>
  <c r="P41"/>
  <c r="O41"/>
  <c r="N41"/>
  <c r="L41"/>
  <c r="J41"/>
  <c r="I41"/>
  <c r="H41"/>
  <c r="G41"/>
  <c r="F41"/>
  <c r="E41"/>
  <c r="D41"/>
  <c r="C41"/>
  <c r="B41"/>
  <c r="A41"/>
  <c r="O40"/>
  <c r="N40"/>
  <c r="L40"/>
  <c r="K40"/>
  <c r="J40"/>
  <c r="I40"/>
  <c r="C40"/>
  <c r="B40"/>
  <c r="A40"/>
  <c r="P39"/>
  <c r="O39"/>
  <c r="N39"/>
  <c r="L39"/>
  <c r="J39"/>
  <c r="I39"/>
  <c r="H39"/>
  <c r="G39"/>
  <c r="F39"/>
  <c r="E39"/>
  <c r="D39"/>
  <c r="C39"/>
  <c r="B39"/>
  <c r="A39"/>
  <c r="R34" i="4"/>
  <c r="Q34"/>
  <c r="O38" i="72"/>
  <c r="N38"/>
  <c r="L38"/>
  <c r="J38"/>
  <c r="I38"/>
  <c r="H38"/>
  <c r="G38"/>
  <c r="F38"/>
  <c r="E38"/>
  <c r="D38"/>
  <c r="C38"/>
  <c r="B38"/>
  <c r="A38"/>
  <c r="R33" i="4"/>
  <c r="O37" i="72"/>
  <c r="N37"/>
  <c r="L37"/>
  <c r="J37"/>
  <c r="I37"/>
  <c r="H37"/>
  <c r="G37"/>
  <c r="F37"/>
  <c r="E37"/>
  <c r="D37"/>
  <c r="C37"/>
  <c r="B37"/>
  <c r="A37"/>
  <c r="P36"/>
  <c r="O36"/>
  <c r="N36"/>
  <c r="L36"/>
  <c r="J36"/>
  <c r="I36"/>
  <c r="H36"/>
  <c r="G36"/>
  <c r="F36"/>
  <c r="E36"/>
  <c r="D36"/>
  <c r="C36"/>
  <c r="B36"/>
  <c r="A36"/>
  <c r="P35"/>
  <c r="O35"/>
  <c r="N35"/>
  <c r="L35"/>
  <c r="J35"/>
  <c r="I35"/>
  <c r="H35"/>
  <c r="G35"/>
  <c r="F35"/>
  <c r="E35"/>
  <c r="D35"/>
  <c r="C35"/>
  <c r="B35"/>
  <c r="A35"/>
  <c r="R29" i="4"/>
  <c r="O34" i="72"/>
  <c r="N34"/>
  <c r="L34"/>
  <c r="J34"/>
  <c r="I34"/>
  <c r="H34"/>
  <c r="G34"/>
  <c r="F34"/>
  <c r="E34"/>
  <c r="D34"/>
  <c r="C34"/>
  <c r="B34"/>
  <c r="A34"/>
  <c r="R28" i="4"/>
  <c r="Q28"/>
  <c r="O33" i="72"/>
  <c r="N33"/>
  <c r="L33"/>
  <c r="J33"/>
  <c r="I33"/>
  <c r="H33"/>
  <c r="G33"/>
  <c r="F33"/>
  <c r="E33"/>
  <c r="D33"/>
  <c r="C33"/>
  <c r="B33"/>
  <c r="A33"/>
  <c r="P32"/>
  <c r="O32"/>
  <c r="N32"/>
  <c r="L32"/>
  <c r="J32"/>
  <c r="I32"/>
  <c r="H32"/>
  <c r="G32"/>
  <c r="F32"/>
  <c r="E32"/>
  <c r="D32"/>
  <c r="C32"/>
  <c r="B32"/>
  <c r="A32"/>
  <c r="P31"/>
  <c r="O31"/>
  <c r="N31"/>
  <c r="L31"/>
  <c r="J31"/>
  <c r="I31"/>
  <c r="H31"/>
  <c r="G31"/>
  <c r="F31"/>
  <c r="E31"/>
  <c r="D31"/>
  <c r="C31"/>
  <c r="B31"/>
  <c r="A31"/>
  <c r="P30"/>
  <c r="O30"/>
  <c r="N30"/>
  <c r="L30"/>
  <c r="J30"/>
  <c r="I30"/>
  <c r="H30"/>
  <c r="G30"/>
  <c r="F30"/>
  <c r="E30"/>
  <c r="D30"/>
  <c r="C30"/>
  <c r="B30"/>
  <c r="A30"/>
  <c r="R24" i="4"/>
  <c r="Q24"/>
  <c r="O29" i="72"/>
  <c r="N29"/>
  <c r="L29"/>
  <c r="J29"/>
  <c r="I29"/>
  <c r="H29"/>
  <c r="G29"/>
  <c r="F29"/>
  <c r="E29"/>
  <c r="D29"/>
  <c r="C29"/>
  <c r="B29"/>
  <c r="A29"/>
  <c r="R23" i="4"/>
  <c r="Q23"/>
  <c r="O28" i="72"/>
  <c r="N28"/>
  <c r="L28"/>
  <c r="J28"/>
  <c r="I28"/>
  <c r="H28"/>
  <c r="G28"/>
  <c r="F28"/>
  <c r="E28"/>
  <c r="D28"/>
  <c r="C28"/>
  <c r="B28"/>
  <c r="A28"/>
  <c r="P27"/>
  <c r="O27"/>
  <c r="N27"/>
  <c r="L27"/>
  <c r="J27"/>
  <c r="I27"/>
  <c r="H27"/>
  <c r="G27"/>
  <c r="F27"/>
  <c r="E27"/>
  <c r="D27"/>
  <c r="C27"/>
  <c r="B27"/>
  <c r="A27"/>
  <c r="O26"/>
  <c r="N26"/>
  <c r="L26"/>
  <c r="K26"/>
  <c r="J26"/>
  <c r="I26"/>
  <c r="C26"/>
  <c r="B26"/>
  <c r="A26"/>
  <c r="P25"/>
  <c r="O25"/>
  <c r="N25"/>
  <c r="L25"/>
  <c r="J25"/>
  <c r="I25"/>
  <c r="H25"/>
  <c r="G25"/>
  <c r="F25"/>
  <c r="E25"/>
  <c r="D25"/>
  <c r="C25"/>
  <c r="B25"/>
  <c r="A25"/>
  <c r="P24"/>
  <c r="O24"/>
  <c r="N24"/>
  <c r="L24"/>
  <c r="J24"/>
  <c r="I24"/>
  <c r="H24"/>
  <c r="G24"/>
  <c r="F24"/>
  <c r="E24"/>
  <c r="D24"/>
  <c r="C24"/>
  <c r="B24"/>
  <c r="A24"/>
  <c r="R18" i="4"/>
  <c r="Q18"/>
  <c r="O23" i="72"/>
  <c r="N23"/>
  <c r="L23"/>
  <c r="J23"/>
  <c r="I23"/>
  <c r="H23"/>
  <c r="G23"/>
  <c r="F23"/>
  <c r="E23"/>
  <c r="D23"/>
  <c r="C23"/>
  <c r="B23"/>
  <c r="A23"/>
  <c r="P22"/>
  <c r="O22"/>
  <c r="N22"/>
  <c r="L22"/>
  <c r="J22"/>
  <c r="I22"/>
  <c r="H22"/>
  <c r="G22"/>
  <c r="F22"/>
  <c r="E22"/>
  <c r="D22"/>
  <c r="C22"/>
  <c r="B22"/>
  <c r="A22"/>
  <c r="P21"/>
  <c r="O21"/>
  <c r="N21"/>
  <c r="L21"/>
  <c r="J21"/>
  <c r="I21"/>
  <c r="H21"/>
  <c r="G21"/>
  <c r="F21"/>
  <c r="E21"/>
  <c r="D21"/>
  <c r="C21"/>
  <c r="B21"/>
  <c r="A21"/>
  <c r="P20"/>
  <c r="O20"/>
  <c r="N20"/>
  <c r="L20"/>
  <c r="J20"/>
  <c r="I20"/>
  <c r="H20"/>
  <c r="G20"/>
  <c r="F20"/>
  <c r="E20"/>
  <c r="D20"/>
  <c r="C20"/>
  <c r="B20"/>
  <c r="A20"/>
  <c r="P19"/>
  <c r="O19"/>
  <c r="N19"/>
  <c r="L19"/>
  <c r="J19"/>
  <c r="I19"/>
  <c r="H19"/>
  <c r="G19"/>
  <c r="F19"/>
  <c r="E19"/>
  <c r="D19"/>
  <c r="C19"/>
  <c r="B19"/>
  <c r="A19"/>
  <c r="P18"/>
  <c r="O18"/>
  <c r="N18"/>
  <c r="L18"/>
  <c r="J18"/>
  <c r="I18"/>
  <c r="H18"/>
  <c r="G18"/>
  <c r="F18"/>
  <c r="E18"/>
  <c r="D18"/>
  <c r="C18"/>
  <c r="B18"/>
  <c r="A18"/>
  <c r="P17"/>
  <c r="O17"/>
  <c r="N17"/>
  <c r="L17"/>
  <c r="J17"/>
  <c r="I17"/>
  <c r="H17"/>
  <c r="G17"/>
  <c r="F17"/>
  <c r="E17"/>
  <c r="D17"/>
  <c r="C17"/>
  <c r="B17"/>
  <c r="A17"/>
  <c r="P16"/>
  <c r="O16"/>
  <c r="N16"/>
  <c r="L16"/>
  <c r="J16"/>
  <c r="I16"/>
  <c r="H16"/>
  <c r="G16"/>
  <c r="F16"/>
  <c r="E16"/>
  <c r="D16"/>
  <c r="C16"/>
  <c r="B16"/>
  <c r="A16"/>
  <c r="C15"/>
  <c r="B15"/>
  <c r="A15"/>
  <c r="C14"/>
  <c r="B14"/>
  <c r="A14"/>
  <c r="C13"/>
  <c r="B13"/>
  <c r="A13"/>
  <c r="C12"/>
  <c r="B12"/>
  <c r="A12"/>
  <c r="P11"/>
  <c r="P10"/>
  <c r="O11"/>
  <c r="N11"/>
  <c r="L11"/>
  <c r="J11"/>
  <c r="I11"/>
  <c r="H11"/>
  <c r="H10"/>
  <c r="G11"/>
  <c r="G10"/>
  <c r="F11"/>
  <c r="F10"/>
  <c r="E11"/>
  <c r="D11"/>
  <c r="C11"/>
  <c r="B11"/>
  <c r="A11"/>
  <c r="C10"/>
  <c r="B10"/>
  <c r="A10"/>
  <c r="P9"/>
  <c r="P8"/>
  <c r="O9"/>
  <c r="N9"/>
  <c r="L9"/>
  <c r="J9"/>
  <c r="I9"/>
  <c r="H9"/>
  <c r="H8"/>
  <c r="G9"/>
  <c r="G8"/>
  <c r="F9"/>
  <c r="F8"/>
  <c r="E9"/>
  <c r="D9"/>
  <c r="C9"/>
  <c r="B9"/>
  <c r="A9"/>
  <c r="C8"/>
  <c r="B8"/>
  <c r="A8"/>
  <c r="C7"/>
  <c r="B7"/>
  <c r="A7"/>
  <c r="C6"/>
  <c r="B6"/>
  <c r="A6"/>
  <c r="C2"/>
  <c r="A2"/>
  <c r="P33" i="23"/>
  <c r="N33"/>
  <c r="L33"/>
  <c r="K33"/>
  <c r="J33"/>
  <c r="I33"/>
  <c r="H33"/>
  <c r="G33"/>
  <c r="F33"/>
  <c r="E33"/>
  <c r="D33"/>
  <c r="C33"/>
  <c r="B33"/>
  <c r="A33"/>
  <c r="R32"/>
  <c r="R29"/>
  <c r="P32"/>
  <c r="N32"/>
  <c r="L32"/>
  <c r="K32"/>
  <c r="J32"/>
  <c r="I32"/>
  <c r="H32"/>
  <c r="G32"/>
  <c r="F32"/>
  <c r="E32"/>
  <c r="D32"/>
  <c r="C32"/>
  <c r="B32"/>
  <c r="A32"/>
  <c r="P31"/>
  <c r="N31"/>
  <c r="L31"/>
  <c r="K31"/>
  <c r="J31"/>
  <c r="I31"/>
  <c r="H31"/>
  <c r="G31"/>
  <c r="F31"/>
  <c r="E31"/>
  <c r="D31"/>
  <c r="C31"/>
  <c r="B31"/>
  <c r="A31"/>
  <c r="P30"/>
  <c r="N30"/>
  <c r="L30"/>
  <c r="K30"/>
  <c r="J30"/>
  <c r="I30"/>
  <c r="H30"/>
  <c r="G30"/>
  <c r="F30"/>
  <c r="E30"/>
  <c r="D30"/>
  <c r="C30"/>
  <c r="B30"/>
  <c r="A30"/>
  <c r="C29"/>
  <c r="A29"/>
  <c r="P28"/>
  <c r="N28"/>
  <c r="L28"/>
  <c r="K28"/>
  <c r="J28"/>
  <c r="I28"/>
  <c r="H28"/>
  <c r="G28"/>
  <c r="F28"/>
  <c r="E28"/>
  <c r="D28"/>
  <c r="C28"/>
  <c r="A28"/>
  <c r="R27"/>
  <c r="C27"/>
  <c r="A27"/>
  <c r="P26"/>
  <c r="N26"/>
  <c r="L26"/>
  <c r="K26"/>
  <c r="J26"/>
  <c r="I26"/>
  <c r="H26"/>
  <c r="G26"/>
  <c r="F26"/>
  <c r="E26"/>
  <c r="D26"/>
  <c r="C26"/>
  <c r="B26"/>
  <c r="A26"/>
  <c r="R25"/>
  <c r="C25"/>
  <c r="A25"/>
  <c r="P24"/>
  <c r="N24"/>
  <c r="L24"/>
  <c r="K24"/>
  <c r="J24"/>
  <c r="I24"/>
  <c r="H24"/>
  <c r="G24"/>
  <c r="F24"/>
  <c r="E24"/>
  <c r="D24"/>
  <c r="C24"/>
  <c r="P23"/>
  <c r="N23"/>
  <c r="L23"/>
  <c r="K23"/>
  <c r="J23"/>
  <c r="I23"/>
  <c r="H23"/>
  <c r="G23"/>
  <c r="F23"/>
  <c r="E23"/>
  <c r="D23"/>
  <c r="C23"/>
  <c r="B23"/>
  <c r="P22"/>
  <c r="N22"/>
  <c r="L22"/>
  <c r="K22"/>
  <c r="J22"/>
  <c r="I22"/>
  <c r="H22"/>
  <c r="G22"/>
  <c r="F22"/>
  <c r="E22"/>
  <c r="D22"/>
  <c r="C22"/>
  <c r="B22"/>
  <c r="A22"/>
  <c r="R21"/>
  <c r="C21"/>
  <c r="A21"/>
  <c r="P20"/>
  <c r="N20"/>
  <c r="L20"/>
  <c r="K20"/>
  <c r="J20"/>
  <c r="I20"/>
  <c r="H20"/>
  <c r="G20"/>
  <c r="F20"/>
  <c r="E20"/>
  <c r="D20"/>
  <c r="C20"/>
  <c r="P19"/>
  <c r="N19"/>
  <c r="L19"/>
  <c r="K19"/>
  <c r="J19"/>
  <c r="I19"/>
  <c r="H19"/>
  <c r="G19"/>
  <c r="F19"/>
  <c r="E19"/>
  <c r="D19"/>
  <c r="C19"/>
  <c r="B19"/>
  <c r="A19"/>
  <c r="C18"/>
  <c r="A18"/>
  <c r="P17"/>
  <c r="N17"/>
  <c r="L17"/>
  <c r="K17"/>
  <c r="J17"/>
  <c r="I17"/>
  <c r="H17"/>
  <c r="G17"/>
  <c r="F17"/>
  <c r="E17"/>
  <c r="D17"/>
  <c r="C17"/>
  <c r="B17"/>
  <c r="A17"/>
  <c r="C16"/>
  <c r="A16"/>
  <c r="P15"/>
  <c r="N15"/>
  <c r="L15"/>
  <c r="K15"/>
  <c r="J15"/>
  <c r="I15"/>
  <c r="H15"/>
  <c r="G15"/>
  <c r="F15"/>
  <c r="E15"/>
  <c r="D15"/>
  <c r="C15"/>
  <c r="A15"/>
  <c r="P14"/>
  <c r="N14"/>
  <c r="L14"/>
  <c r="K14"/>
  <c r="J14"/>
  <c r="I14"/>
  <c r="H14"/>
  <c r="G14"/>
  <c r="F14"/>
  <c r="E14"/>
  <c r="D14"/>
  <c r="C14"/>
  <c r="P13"/>
  <c r="N13"/>
  <c r="L13"/>
  <c r="K13"/>
  <c r="J13"/>
  <c r="I13"/>
  <c r="H13"/>
  <c r="G13"/>
  <c r="F13"/>
  <c r="E13"/>
  <c r="D13"/>
  <c r="C13"/>
  <c r="B13"/>
  <c r="A13"/>
  <c r="R12"/>
  <c r="C12"/>
  <c r="A12"/>
  <c r="P11"/>
  <c r="N11"/>
  <c r="L11"/>
  <c r="K11"/>
  <c r="J11"/>
  <c r="I11"/>
  <c r="H11"/>
  <c r="G11"/>
  <c r="F11"/>
  <c r="E11"/>
  <c r="D11"/>
  <c r="C11"/>
  <c r="B11"/>
  <c r="A11"/>
  <c r="R10"/>
  <c r="C10"/>
  <c r="A10"/>
  <c r="P9"/>
  <c r="N9"/>
  <c r="L9"/>
  <c r="K9"/>
  <c r="J9"/>
  <c r="I9"/>
  <c r="H9"/>
  <c r="G9"/>
  <c r="F9"/>
  <c r="E9"/>
  <c r="D9"/>
  <c r="C9"/>
  <c r="B9"/>
  <c r="A9"/>
  <c r="R8"/>
  <c r="C8"/>
  <c r="A8"/>
  <c r="P7"/>
  <c r="N7"/>
  <c r="L7"/>
  <c r="K7"/>
  <c r="J7"/>
  <c r="I7"/>
  <c r="H7"/>
  <c r="G7"/>
  <c r="F7"/>
  <c r="E7"/>
  <c r="D7"/>
  <c r="C7"/>
  <c r="B7"/>
  <c r="A7"/>
  <c r="R6"/>
  <c r="C6"/>
  <c r="A6"/>
  <c r="C3"/>
  <c r="C2"/>
  <c r="A2"/>
  <c r="P43" i="31"/>
  <c r="N43"/>
  <c r="L43"/>
  <c r="K43"/>
  <c r="J43"/>
  <c r="I43"/>
  <c r="H43"/>
  <c r="G43"/>
  <c r="F43"/>
  <c r="E43"/>
  <c r="D43"/>
  <c r="C43"/>
  <c r="B43"/>
  <c r="A43"/>
  <c r="R42"/>
  <c r="C42"/>
  <c r="A42"/>
  <c r="P41"/>
  <c r="N41"/>
  <c r="L41"/>
  <c r="K41"/>
  <c r="J41"/>
  <c r="I41"/>
  <c r="H41"/>
  <c r="G41"/>
  <c r="F41"/>
  <c r="E41"/>
  <c r="D41"/>
  <c r="C41"/>
  <c r="B41"/>
  <c r="A41"/>
  <c r="R40"/>
  <c r="C40"/>
  <c r="B40"/>
  <c r="A40"/>
  <c r="P39"/>
  <c r="N39"/>
  <c r="L39"/>
  <c r="K39"/>
  <c r="J39"/>
  <c r="I39"/>
  <c r="H39"/>
  <c r="G39"/>
  <c r="F39"/>
  <c r="E39"/>
  <c r="D39"/>
  <c r="C39"/>
  <c r="A39"/>
  <c r="P38"/>
  <c r="N38"/>
  <c r="L38"/>
  <c r="K38"/>
  <c r="J38"/>
  <c r="I38"/>
  <c r="H38"/>
  <c r="G38"/>
  <c r="F38"/>
  <c r="E38"/>
  <c r="D38"/>
  <c r="C38"/>
  <c r="A38"/>
  <c r="P37"/>
  <c r="N37"/>
  <c r="L37"/>
  <c r="K37"/>
  <c r="J37"/>
  <c r="I37"/>
  <c r="H37"/>
  <c r="G37"/>
  <c r="F37"/>
  <c r="E37"/>
  <c r="D37"/>
  <c r="C37"/>
  <c r="A37"/>
  <c r="P36"/>
  <c r="N36"/>
  <c r="L36"/>
  <c r="K36"/>
  <c r="J36"/>
  <c r="I36"/>
  <c r="H36"/>
  <c r="G36"/>
  <c r="F36"/>
  <c r="E36"/>
  <c r="D36"/>
  <c r="C36"/>
  <c r="A36"/>
  <c r="P35"/>
  <c r="N35"/>
  <c r="L35"/>
  <c r="K35"/>
  <c r="J35"/>
  <c r="I35"/>
  <c r="H35"/>
  <c r="G35"/>
  <c r="F35"/>
  <c r="E35"/>
  <c r="D35"/>
  <c r="C35"/>
  <c r="A35"/>
  <c r="P34"/>
  <c r="N34"/>
  <c r="L34"/>
  <c r="K34"/>
  <c r="J34"/>
  <c r="I34"/>
  <c r="H34"/>
  <c r="G34"/>
  <c r="F34"/>
  <c r="E34"/>
  <c r="D34"/>
  <c r="C34"/>
  <c r="A34"/>
  <c r="P33"/>
  <c r="N33"/>
  <c r="L33"/>
  <c r="K33"/>
  <c r="J33"/>
  <c r="I33"/>
  <c r="H33"/>
  <c r="G33"/>
  <c r="F33"/>
  <c r="E33"/>
  <c r="D33"/>
  <c r="C33"/>
  <c r="B33"/>
  <c r="A33"/>
  <c r="R32"/>
  <c r="C32"/>
  <c r="A32"/>
  <c r="P31"/>
  <c r="N31"/>
  <c r="L31"/>
  <c r="K31"/>
  <c r="J31"/>
  <c r="I31"/>
  <c r="H31"/>
  <c r="G31"/>
  <c r="F31"/>
  <c r="E31"/>
  <c r="D31"/>
  <c r="C31"/>
  <c r="B31"/>
  <c r="A31"/>
  <c r="R30"/>
  <c r="C30"/>
  <c r="A30"/>
  <c r="P29"/>
  <c r="N29"/>
  <c r="L29"/>
  <c r="K29"/>
  <c r="J29"/>
  <c r="I29"/>
  <c r="H29"/>
  <c r="G29"/>
  <c r="F29"/>
  <c r="E29"/>
  <c r="D29"/>
  <c r="C29"/>
  <c r="P28"/>
  <c r="N28"/>
  <c r="L28"/>
  <c r="K28"/>
  <c r="J28"/>
  <c r="I28"/>
  <c r="H28"/>
  <c r="G28"/>
  <c r="F28"/>
  <c r="E28"/>
  <c r="D28"/>
  <c r="C28"/>
  <c r="B28"/>
  <c r="A28"/>
  <c r="R27"/>
  <c r="C27"/>
  <c r="A27"/>
  <c r="P26"/>
  <c r="N26"/>
  <c r="L26"/>
  <c r="K26"/>
  <c r="J26"/>
  <c r="I26"/>
  <c r="H26"/>
  <c r="G26"/>
  <c r="F26"/>
  <c r="E26"/>
  <c r="D26"/>
  <c r="C26"/>
  <c r="B26"/>
  <c r="A26"/>
  <c r="R25"/>
  <c r="C25"/>
  <c r="B25"/>
  <c r="A25"/>
  <c r="P24"/>
  <c r="N24"/>
  <c r="L24"/>
  <c r="K24"/>
  <c r="J24"/>
  <c r="I24"/>
  <c r="H24"/>
  <c r="G24"/>
  <c r="F24"/>
  <c r="E24"/>
  <c r="D24"/>
  <c r="C24"/>
  <c r="P23"/>
  <c r="N23"/>
  <c r="L23"/>
  <c r="K23"/>
  <c r="J23"/>
  <c r="I23"/>
  <c r="H23"/>
  <c r="G23"/>
  <c r="F23"/>
  <c r="E23"/>
  <c r="D23"/>
  <c r="C23"/>
  <c r="B23"/>
  <c r="A23"/>
  <c r="R22"/>
  <c r="C22"/>
  <c r="A22"/>
  <c r="P21"/>
  <c r="N21"/>
  <c r="L21"/>
  <c r="K21"/>
  <c r="J21"/>
  <c r="I21"/>
  <c r="H21"/>
  <c r="G21"/>
  <c r="F21"/>
  <c r="E21"/>
  <c r="D21"/>
  <c r="C21"/>
  <c r="P20"/>
  <c r="N20"/>
  <c r="L20"/>
  <c r="K20"/>
  <c r="J20"/>
  <c r="I20"/>
  <c r="H20"/>
  <c r="G20"/>
  <c r="F20"/>
  <c r="E20"/>
  <c r="D20"/>
  <c r="C20"/>
  <c r="B20"/>
  <c r="A20"/>
  <c r="P19"/>
  <c r="N19"/>
  <c r="L19"/>
  <c r="K19"/>
  <c r="J19"/>
  <c r="I19"/>
  <c r="H19"/>
  <c r="G19"/>
  <c r="F19"/>
  <c r="E19"/>
  <c r="D19"/>
  <c r="C19"/>
  <c r="B19"/>
  <c r="A19"/>
  <c r="P18"/>
  <c r="N18"/>
  <c r="L18"/>
  <c r="K18"/>
  <c r="J18"/>
  <c r="I18"/>
  <c r="H18"/>
  <c r="G18"/>
  <c r="F18"/>
  <c r="E18"/>
  <c r="D18"/>
  <c r="C18"/>
  <c r="B18"/>
  <c r="P17"/>
  <c r="N17"/>
  <c r="L17"/>
  <c r="K17"/>
  <c r="J17"/>
  <c r="I17"/>
  <c r="H17"/>
  <c r="G17"/>
  <c r="F17"/>
  <c r="E17"/>
  <c r="D17"/>
  <c r="C17"/>
  <c r="B17"/>
  <c r="P16"/>
  <c r="N16"/>
  <c r="L16"/>
  <c r="K16"/>
  <c r="J16"/>
  <c r="I16"/>
  <c r="H16"/>
  <c r="G16"/>
  <c r="F16"/>
  <c r="E16"/>
  <c r="D16"/>
  <c r="C16"/>
  <c r="B16"/>
  <c r="P15"/>
  <c r="N15"/>
  <c r="L15"/>
  <c r="K15"/>
  <c r="J15"/>
  <c r="I15"/>
  <c r="H15"/>
  <c r="G15"/>
  <c r="F15"/>
  <c r="E15"/>
  <c r="D15"/>
  <c r="C15"/>
  <c r="B15"/>
  <c r="P14"/>
  <c r="N14"/>
  <c r="L14"/>
  <c r="K14"/>
  <c r="J14"/>
  <c r="I14"/>
  <c r="H14"/>
  <c r="G14"/>
  <c r="F14"/>
  <c r="E14"/>
  <c r="D14"/>
  <c r="C14"/>
  <c r="B14"/>
  <c r="A14"/>
  <c r="R13"/>
  <c r="C13"/>
  <c r="A13"/>
  <c r="P12"/>
  <c r="N12"/>
  <c r="L12"/>
  <c r="K12"/>
  <c r="J12"/>
  <c r="I12"/>
  <c r="H12"/>
  <c r="G12"/>
  <c r="F12"/>
  <c r="E12"/>
  <c r="D12"/>
  <c r="C12"/>
  <c r="B12"/>
  <c r="A12"/>
  <c r="R11"/>
  <c r="C11"/>
  <c r="A11"/>
  <c r="P10"/>
  <c r="N10"/>
  <c r="L10"/>
  <c r="K10"/>
  <c r="J10"/>
  <c r="I10"/>
  <c r="H10"/>
  <c r="G10"/>
  <c r="F10"/>
  <c r="E10"/>
  <c r="D10"/>
  <c r="C10"/>
  <c r="B10"/>
  <c r="A10"/>
  <c r="P9"/>
  <c r="N9"/>
  <c r="L9"/>
  <c r="K9"/>
  <c r="J9"/>
  <c r="I9"/>
  <c r="H9"/>
  <c r="G9"/>
  <c r="F9"/>
  <c r="E9"/>
  <c r="D9"/>
  <c r="C9"/>
  <c r="B9"/>
  <c r="A9"/>
  <c r="P8"/>
  <c r="N8"/>
  <c r="L8"/>
  <c r="K8"/>
  <c r="J8"/>
  <c r="I8"/>
  <c r="H8"/>
  <c r="G8"/>
  <c r="F8"/>
  <c r="E8"/>
  <c r="D8"/>
  <c r="C8"/>
  <c r="B8"/>
  <c r="A8"/>
  <c r="P7"/>
  <c r="N7"/>
  <c r="L7"/>
  <c r="K7"/>
  <c r="J7"/>
  <c r="I7"/>
  <c r="H7"/>
  <c r="G7"/>
  <c r="F7"/>
  <c r="E7"/>
  <c r="D7"/>
  <c r="C7"/>
  <c r="B7"/>
  <c r="A7"/>
  <c r="R6"/>
  <c r="C6"/>
  <c r="A6"/>
  <c r="C3"/>
  <c r="C2"/>
  <c r="A2"/>
  <c r="P12" i="34"/>
  <c r="N12"/>
  <c r="L12"/>
  <c r="K12"/>
  <c r="J12"/>
  <c r="I12"/>
  <c r="H12"/>
  <c r="G12"/>
  <c r="F12"/>
  <c r="E12"/>
  <c r="D12"/>
  <c r="C12"/>
  <c r="B12"/>
  <c r="A12"/>
  <c r="R11"/>
  <c r="C11"/>
  <c r="A11"/>
  <c r="P10"/>
  <c r="N10"/>
  <c r="L10"/>
  <c r="K10"/>
  <c r="J10"/>
  <c r="I10"/>
  <c r="H10"/>
  <c r="G10"/>
  <c r="F10"/>
  <c r="E10"/>
  <c r="D10"/>
  <c r="C10"/>
  <c r="B10"/>
  <c r="P9"/>
  <c r="N9"/>
  <c r="L9"/>
  <c r="K9"/>
  <c r="J9"/>
  <c r="I9"/>
  <c r="H9"/>
  <c r="G9"/>
  <c r="F9"/>
  <c r="E9"/>
  <c r="D9"/>
  <c r="C9"/>
  <c r="B9"/>
  <c r="A9"/>
  <c r="R8"/>
  <c r="C8"/>
  <c r="A8"/>
  <c r="P7"/>
  <c r="N7"/>
  <c r="L7"/>
  <c r="K7"/>
  <c r="J7"/>
  <c r="I7"/>
  <c r="H7"/>
  <c r="G7"/>
  <c r="F7"/>
  <c r="E7"/>
  <c r="D7"/>
  <c r="C7"/>
  <c r="B7"/>
  <c r="A7"/>
  <c r="R6"/>
  <c r="C6"/>
  <c r="A6"/>
  <c r="C3"/>
  <c r="C2"/>
  <c r="A2"/>
  <c r="P23" i="26"/>
  <c r="N23"/>
  <c r="L23"/>
  <c r="K23"/>
  <c r="J23"/>
  <c r="I23"/>
  <c r="H23"/>
  <c r="G23"/>
  <c r="F23"/>
  <c r="E23"/>
  <c r="D23"/>
  <c r="C23"/>
  <c r="B23"/>
  <c r="A23"/>
  <c r="R22"/>
  <c r="R20"/>
  <c r="C22"/>
  <c r="B22"/>
  <c r="A22"/>
  <c r="P21"/>
  <c r="N21"/>
  <c r="L21"/>
  <c r="K21"/>
  <c r="J21"/>
  <c r="I21"/>
  <c r="H21"/>
  <c r="G21"/>
  <c r="F21"/>
  <c r="E21"/>
  <c r="D21"/>
  <c r="C21"/>
  <c r="B21"/>
  <c r="A21"/>
  <c r="C20"/>
  <c r="A20"/>
  <c r="P19"/>
  <c r="N19"/>
  <c r="L19"/>
  <c r="K19"/>
  <c r="J19"/>
  <c r="I19"/>
  <c r="H19"/>
  <c r="G19"/>
  <c r="F19"/>
  <c r="E19"/>
  <c r="D19"/>
  <c r="C19"/>
  <c r="B19"/>
  <c r="P18"/>
  <c r="N18"/>
  <c r="L18"/>
  <c r="K18"/>
  <c r="J18"/>
  <c r="I18"/>
  <c r="H18"/>
  <c r="G18"/>
  <c r="F18"/>
  <c r="E18"/>
  <c r="D18"/>
  <c r="C18"/>
  <c r="B18"/>
  <c r="P17"/>
  <c r="N17"/>
  <c r="L17"/>
  <c r="K17"/>
  <c r="J17"/>
  <c r="I17"/>
  <c r="H17"/>
  <c r="G17"/>
  <c r="F17"/>
  <c r="E17"/>
  <c r="D17"/>
  <c r="C17"/>
  <c r="B17"/>
  <c r="A17"/>
  <c r="R16"/>
  <c r="C16"/>
  <c r="A16"/>
  <c r="P15"/>
  <c r="N15"/>
  <c r="L15"/>
  <c r="K15"/>
  <c r="J15"/>
  <c r="I15"/>
  <c r="H15"/>
  <c r="G15"/>
  <c r="F15"/>
  <c r="E15"/>
  <c r="D15"/>
  <c r="C15"/>
  <c r="B15"/>
  <c r="P14"/>
  <c r="N14"/>
  <c r="L14"/>
  <c r="K14"/>
  <c r="J14"/>
  <c r="I14"/>
  <c r="H14"/>
  <c r="G14"/>
  <c r="F14"/>
  <c r="E14"/>
  <c r="D14"/>
  <c r="C14"/>
  <c r="B14"/>
  <c r="A14"/>
  <c r="R13"/>
  <c r="C13"/>
  <c r="A13"/>
  <c r="P12"/>
  <c r="N12"/>
  <c r="L12"/>
  <c r="K12"/>
  <c r="J12"/>
  <c r="I12"/>
  <c r="H12"/>
  <c r="G12"/>
  <c r="F12"/>
  <c r="E12"/>
  <c r="D12"/>
  <c r="C12"/>
  <c r="B12"/>
  <c r="P11"/>
  <c r="N11"/>
  <c r="L11"/>
  <c r="K11"/>
  <c r="J11"/>
  <c r="I11"/>
  <c r="H11"/>
  <c r="G11"/>
  <c r="F11"/>
  <c r="E11"/>
  <c r="D11"/>
  <c r="C11"/>
  <c r="B11"/>
  <c r="A11"/>
  <c r="R10"/>
  <c r="C10"/>
  <c r="A10"/>
  <c r="P9"/>
  <c r="N9"/>
  <c r="L9"/>
  <c r="K9"/>
  <c r="J9"/>
  <c r="I9"/>
  <c r="H9"/>
  <c r="G9"/>
  <c r="F9"/>
  <c r="E9"/>
  <c r="D9"/>
  <c r="C9"/>
  <c r="B9"/>
  <c r="A9"/>
  <c r="R8"/>
  <c r="C8"/>
  <c r="A8"/>
  <c r="P7"/>
  <c r="N7"/>
  <c r="L7"/>
  <c r="K7"/>
  <c r="J7"/>
  <c r="I7"/>
  <c r="H7"/>
  <c r="G7"/>
  <c r="F7"/>
  <c r="E7"/>
  <c r="D7"/>
  <c r="C7"/>
  <c r="B7"/>
  <c r="A7"/>
  <c r="R6"/>
  <c r="C6"/>
  <c r="B6"/>
  <c r="A6"/>
  <c r="C3"/>
  <c r="C2"/>
  <c r="A2"/>
  <c r="P15" i="33"/>
  <c r="N15"/>
  <c r="L15"/>
  <c r="K15"/>
  <c r="J15"/>
  <c r="I15"/>
  <c r="H15"/>
  <c r="G15"/>
  <c r="F15"/>
  <c r="E15"/>
  <c r="D15"/>
  <c r="C15"/>
  <c r="B15"/>
  <c r="A15"/>
  <c r="R14"/>
  <c r="C14"/>
  <c r="A14"/>
  <c r="P13"/>
  <c r="N13"/>
  <c r="L13"/>
  <c r="K13"/>
  <c r="J13"/>
  <c r="I13"/>
  <c r="H13"/>
  <c r="G13"/>
  <c r="F13"/>
  <c r="E13"/>
  <c r="D13"/>
  <c r="C13"/>
  <c r="B13"/>
  <c r="A13"/>
  <c r="R12"/>
  <c r="C12"/>
  <c r="A12"/>
  <c r="P11"/>
  <c r="N11"/>
  <c r="L11"/>
  <c r="K11"/>
  <c r="J11"/>
  <c r="I11"/>
  <c r="H11"/>
  <c r="G11"/>
  <c r="F11"/>
  <c r="E11"/>
  <c r="D11"/>
  <c r="C11"/>
  <c r="B11"/>
  <c r="A11"/>
  <c r="P10"/>
  <c r="N10"/>
  <c r="L10"/>
  <c r="K10"/>
  <c r="J10"/>
  <c r="I10"/>
  <c r="H10"/>
  <c r="G10"/>
  <c r="F10"/>
  <c r="E10"/>
  <c r="D10"/>
  <c r="C10"/>
  <c r="B10"/>
  <c r="P9"/>
  <c r="N9"/>
  <c r="L9"/>
  <c r="K9"/>
  <c r="J9"/>
  <c r="I9"/>
  <c r="H9"/>
  <c r="G9"/>
  <c r="F9"/>
  <c r="E9"/>
  <c r="D9"/>
  <c r="C9"/>
  <c r="B9"/>
  <c r="A9"/>
  <c r="R8"/>
  <c r="C8"/>
  <c r="A8"/>
  <c r="P7"/>
  <c r="N7"/>
  <c r="L7"/>
  <c r="K7"/>
  <c r="J7"/>
  <c r="I7"/>
  <c r="H7"/>
  <c r="G7"/>
  <c r="F7"/>
  <c r="E7"/>
  <c r="D7"/>
  <c r="C7"/>
  <c r="B7"/>
  <c r="A7"/>
  <c r="R6"/>
  <c r="C6"/>
  <c r="A6"/>
  <c r="C3"/>
  <c r="C2"/>
  <c r="A2"/>
  <c r="P22" i="44"/>
  <c r="N22"/>
  <c r="L22"/>
  <c r="K22"/>
  <c r="J22"/>
  <c r="I22"/>
  <c r="H22"/>
  <c r="G22"/>
  <c r="F22"/>
  <c r="E22"/>
  <c r="D22"/>
  <c r="C22"/>
  <c r="B22"/>
  <c r="A22"/>
  <c r="P21"/>
  <c r="N21"/>
  <c r="L21"/>
  <c r="K21"/>
  <c r="J21"/>
  <c r="I21"/>
  <c r="H21"/>
  <c r="G21"/>
  <c r="F21"/>
  <c r="E21"/>
  <c r="D21"/>
  <c r="C21"/>
  <c r="B21"/>
  <c r="A21"/>
  <c r="P20"/>
  <c r="N20"/>
  <c r="L20"/>
  <c r="K20"/>
  <c r="J20"/>
  <c r="I20"/>
  <c r="H20"/>
  <c r="G20"/>
  <c r="F20"/>
  <c r="E20"/>
  <c r="D20"/>
  <c r="C20"/>
  <c r="B20"/>
  <c r="A20"/>
  <c r="R19"/>
  <c r="C19"/>
  <c r="A19"/>
  <c r="P18"/>
  <c r="N18"/>
  <c r="L18"/>
  <c r="K18"/>
  <c r="J18"/>
  <c r="I18"/>
  <c r="H18"/>
  <c r="G18"/>
  <c r="F18"/>
  <c r="E18"/>
  <c r="D18"/>
  <c r="C18"/>
  <c r="B18"/>
  <c r="A18"/>
  <c r="R17"/>
  <c r="C17"/>
  <c r="A17"/>
  <c r="P16"/>
  <c r="N16"/>
  <c r="L16"/>
  <c r="K16"/>
  <c r="J16"/>
  <c r="I16"/>
  <c r="H16"/>
  <c r="G16"/>
  <c r="F16"/>
  <c r="E16"/>
  <c r="D16"/>
  <c r="C16"/>
  <c r="B16"/>
  <c r="P15"/>
  <c r="N15"/>
  <c r="L15"/>
  <c r="K15"/>
  <c r="J15"/>
  <c r="I15"/>
  <c r="H15"/>
  <c r="G15"/>
  <c r="F15"/>
  <c r="E15"/>
  <c r="D15"/>
  <c r="C15"/>
  <c r="B15"/>
  <c r="A15"/>
  <c r="R14"/>
  <c r="C14"/>
  <c r="A14"/>
  <c r="P13"/>
  <c r="N13"/>
  <c r="L13"/>
  <c r="K13"/>
  <c r="J13"/>
  <c r="I13"/>
  <c r="H13"/>
  <c r="G13"/>
  <c r="F13"/>
  <c r="E13"/>
  <c r="D13"/>
  <c r="C13"/>
  <c r="P12"/>
  <c r="N12"/>
  <c r="L12"/>
  <c r="K12"/>
  <c r="J12"/>
  <c r="I12"/>
  <c r="H12"/>
  <c r="G12"/>
  <c r="F12"/>
  <c r="E12"/>
  <c r="D12"/>
  <c r="C12"/>
  <c r="B12"/>
  <c r="A12"/>
  <c r="R11"/>
  <c r="C11"/>
  <c r="A11"/>
  <c r="P10"/>
  <c r="N10"/>
  <c r="L10"/>
  <c r="K10"/>
  <c r="J10"/>
  <c r="I10"/>
  <c r="H10"/>
  <c r="G10"/>
  <c r="F10"/>
  <c r="E10"/>
  <c r="D10"/>
  <c r="C10"/>
  <c r="B10"/>
  <c r="A10"/>
  <c r="P9"/>
  <c r="N9"/>
  <c r="L9"/>
  <c r="K9"/>
  <c r="J9"/>
  <c r="I9"/>
  <c r="H9"/>
  <c r="G9"/>
  <c r="F9"/>
  <c r="E9"/>
  <c r="D9"/>
  <c r="C9"/>
  <c r="B9"/>
  <c r="A9"/>
  <c r="P8"/>
  <c r="N8"/>
  <c r="L8"/>
  <c r="K8"/>
  <c r="J8"/>
  <c r="I8"/>
  <c r="H8"/>
  <c r="G8"/>
  <c r="F8"/>
  <c r="E8"/>
  <c r="D8"/>
  <c r="C8"/>
  <c r="B8"/>
  <c r="A8"/>
  <c r="P7"/>
  <c r="N7"/>
  <c r="L7"/>
  <c r="K7"/>
  <c r="J7"/>
  <c r="I7"/>
  <c r="H7"/>
  <c r="G7"/>
  <c r="F7"/>
  <c r="E7"/>
  <c r="D7"/>
  <c r="C7"/>
  <c r="B7"/>
  <c r="A7"/>
  <c r="R6"/>
  <c r="C6"/>
  <c r="A6"/>
  <c r="F3"/>
  <c r="C3"/>
  <c r="F2"/>
  <c r="C2"/>
  <c r="A2"/>
  <c r="P21" i="43"/>
  <c r="N21"/>
  <c r="L21"/>
  <c r="K21"/>
  <c r="J21"/>
  <c r="I21"/>
  <c r="H21"/>
  <c r="G21"/>
  <c r="F21"/>
  <c r="E21"/>
  <c r="D21"/>
  <c r="C21"/>
  <c r="B21"/>
  <c r="A21"/>
  <c r="R20"/>
  <c r="C20"/>
  <c r="A20"/>
  <c r="P18"/>
  <c r="N18"/>
  <c r="L18"/>
  <c r="K18"/>
  <c r="J18"/>
  <c r="I18"/>
  <c r="H18"/>
  <c r="G18"/>
  <c r="F18"/>
  <c r="E18"/>
  <c r="D18"/>
  <c r="C18"/>
  <c r="B18"/>
  <c r="A18"/>
  <c r="R17"/>
  <c r="C17"/>
  <c r="A17"/>
  <c r="P16"/>
  <c r="N16"/>
  <c r="L16"/>
  <c r="K16"/>
  <c r="J16"/>
  <c r="I16"/>
  <c r="H16"/>
  <c r="G16"/>
  <c r="F16"/>
  <c r="E16"/>
  <c r="D16"/>
  <c r="C16"/>
  <c r="B16"/>
  <c r="P15"/>
  <c r="N15"/>
  <c r="L15"/>
  <c r="K15"/>
  <c r="J15"/>
  <c r="I15"/>
  <c r="H15"/>
  <c r="G15"/>
  <c r="F15"/>
  <c r="E15"/>
  <c r="D15"/>
  <c r="C15"/>
  <c r="B15"/>
  <c r="A15"/>
  <c r="C14"/>
  <c r="A14"/>
  <c r="P13"/>
  <c r="N13"/>
  <c r="L13"/>
  <c r="K13"/>
  <c r="J13"/>
  <c r="I13"/>
  <c r="H13"/>
  <c r="G13"/>
  <c r="F13"/>
  <c r="E13"/>
  <c r="D13"/>
  <c r="C13"/>
  <c r="B13"/>
  <c r="P12"/>
  <c r="N12"/>
  <c r="L12"/>
  <c r="K12"/>
  <c r="J12"/>
  <c r="I12"/>
  <c r="H12"/>
  <c r="G12"/>
  <c r="F12"/>
  <c r="E12"/>
  <c r="D12"/>
  <c r="C12"/>
  <c r="B12"/>
  <c r="P11"/>
  <c r="N11"/>
  <c r="L11"/>
  <c r="K11"/>
  <c r="J11"/>
  <c r="I11"/>
  <c r="H11"/>
  <c r="G11"/>
  <c r="F11"/>
  <c r="E11"/>
  <c r="D11"/>
  <c r="C11"/>
  <c r="B11"/>
  <c r="P10"/>
  <c r="N10"/>
  <c r="L10"/>
  <c r="K10"/>
  <c r="J10"/>
  <c r="I10"/>
  <c r="H10"/>
  <c r="G10"/>
  <c r="F10"/>
  <c r="E10"/>
  <c r="D10"/>
  <c r="C10"/>
  <c r="B10"/>
  <c r="A10"/>
  <c r="C9"/>
  <c r="A9"/>
  <c r="P8"/>
  <c r="N8"/>
  <c r="L8"/>
  <c r="K8"/>
  <c r="J8"/>
  <c r="I8"/>
  <c r="H8"/>
  <c r="G8"/>
  <c r="F8"/>
  <c r="E8"/>
  <c r="D8"/>
  <c r="C8"/>
  <c r="B8"/>
  <c r="P7"/>
  <c r="N7"/>
  <c r="L7"/>
  <c r="K7"/>
  <c r="J7"/>
  <c r="I7"/>
  <c r="H7"/>
  <c r="G7"/>
  <c r="F7"/>
  <c r="E7"/>
  <c r="D7"/>
  <c r="C7"/>
  <c r="B7"/>
  <c r="A7"/>
  <c r="R6"/>
  <c r="C6"/>
  <c r="A6"/>
  <c r="C3"/>
  <c r="C2"/>
  <c r="A2"/>
  <c r="P21" i="71"/>
  <c r="N21"/>
  <c r="L21"/>
  <c r="K21"/>
  <c r="J21"/>
  <c r="I21"/>
  <c r="H21"/>
  <c r="G21"/>
  <c r="F21"/>
  <c r="E21"/>
  <c r="D21"/>
  <c r="C21"/>
  <c r="B21"/>
  <c r="A21"/>
  <c r="P20"/>
  <c r="N20"/>
  <c r="L20"/>
  <c r="K20"/>
  <c r="J20"/>
  <c r="I20"/>
  <c r="H20"/>
  <c r="G20"/>
  <c r="F20"/>
  <c r="E20"/>
  <c r="D20"/>
  <c r="C20"/>
  <c r="B20"/>
  <c r="A20"/>
  <c r="R19"/>
  <c r="C19"/>
  <c r="B19"/>
  <c r="A19"/>
  <c r="P18"/>
  <c r="N18"/>
  <c r="L18"/>
  <c r="K18"/>
  <c r="J18"/>
  <c r="I18"/>
  <c r="H18"/>
  <c r="G18"/>
  <c r="F18"/>
  <c r="E18"/>
  <c r="D18"/>
  <c r="C18"/>
  <c r="B18"/>
  <c r="A18"/>
  <c r="R17"/>
  <c r="C17"/>
  <c r="A17"/>
  <c r="P16"/>
  <c r="N16"/>
  <c r="L16"/>
  <c r="K16"/>
  <c r="J16"/>
  <c r="I16"/>
  <c r="H16"/>
  <c r="G16"/>
  <c r="F16"/>
  <c r="E16"/>
  <c r="D16"/>
  <c r="C16"/>
  <c r="B16"/>
  <c r="A16"/>
  <c r="R15"/>
  <c r="C15"/>
  <c r="A15"/>
  <c r="P14"/>
  <c r="N14"/>
  <c r="L14"/>
  <c r="K14"/>
  <c r="J14"/>
  <c r="I14"/>
  <c r="H14"/>
  <c r="G14"/>
  <c r="F14"/>
  <c r="E14"/>
  <c r="D14"/>
  <c r="C14"/>
  <c r="B14"/>
  <c r="A14"/>
  <c r="R13"/>
  <c r="C13"/>
  <c r="A13"/>
  <c r="P12"/>
  <c r="N12"/>
  <c r="L12"/>
  <c r="K12"/>
  <c r="J12"/>
  <c r="I12"/>
  <c r="H12"/>
  <c r="G12"/>
  <c r="F12"/>
  <c r="E12"/>
  <c r="D12"/>
  <c r="C12"/>
  <c r="B12"/>
  <c r="P11"/>
  <c r="N11"/>
  <c r="L11"/>
  <c r="K11"/>
  <c r="J11"/>
  <c r="I11"/>
  <c r="H11"/>
  <c r="G11"/>
  <c r="F11"/>
  <c r="E11"/>
  <c r="D11"/>
  <c r="C11"/>
  <c r="B11"/>
  <c r="A11"/>
  <c r="R10"/>
  <c r="C10"/>
  <c r="A10"/>
  <c r="P9"/>
  <c r="N9"/>
  <c r="L9"/>
  <c r="K9"/>
  <c r="J9"/>
  <c r="I9"/>
  <c r="H9"/>
  <c r="G9"/>
  <c r="F9"/>
  <c r="E9"/>
  <c r="D9"/>
  <c r="C9"/>
  <c r="B9"/>
  <c r="A9"/>
  <c r="R8"/>
  <c r="C8"/>
  <c r="A8"/>
  <c r="P7"/>
  <c r="N7"/>
  <c r="L7"/>
  <c r="K7"/>
  <c r="J7"/>
  <c r="I7"/>
  <c r="H7"/>
  <c r="G7"/>
  <c r="F7"/>
  <c r="E7"/>
  <c r="D7"/>
  <c r="C7"/>
  <c r="B7"/>
  <c r="A7"/>
  <c r="R6"/>
  <c r="C6"/>
  <c r="A6"/>
  <c r="C3"/>
  <c r="C2"/>
  <c r="A2"/>
  <c r="P23" i="53"/>
  <c r="N23"/>
  <c r="L23"/>
  <c r="K23"/>
  <c r="J23"/>
  <c r="I23"/>
  <c r="H23"/>
  <c r="G23"/>
  <c r="F23"/>
  <c r="E23"/>
  <c r="D23"/>
  <c r="C23"/>
  <c r="B23"/>
  <c r="A23"/>
  <c r="R22"/>
  <c r="C22"/>
  <c r="P21"/>
  <c r="N21"/>
  <c r="L21"/>
  <c r="K21"/>
  <c r="J21"/>
  <c r="I21"/>
  <c r="H21"/>
  <c r="G21"/>
  <c r="F21"/>
  <c r="E21"/>
  <c r="D21"/>
  <c r="C21"/>
  <c r="B21"/>
  <c r="A21"/>
  <c r="R20"/>
  <c r="C20"/>
  <c r="A20"/>
  <c r="P19"/>
  <c r="N19"/>
  <c r="L19"/>
  <c r="K19"/>
  <c r="J19"/>
  <c r="I19"/>
  <c r="H19"/>
  <c r="G19"/>
  <c r="F19"/>
  <c r="E19"/>
  <c r="D19"/>
  <c r="C19"/>
  <c r="B19"/>
  <c r="A19"/>
  <c r="R18"/>
  <c r="C18"/>
  <c r="A18"/>
  <c r="P17"/>
  <c r="N17"/>
  <c r="L17"/>
  <c r="K17"/>
  <c r="J17"/>
  <c r="I17"/>
  <c r="H17"/>
  <c r="G17"/>
  <c r="F17"/>
  <c r="E17"/>
  <c r="D17"/>
  <c r="C17"/>
  <c r="B17"/>
  <c r="P16"/>
  <c r="N16"/>
  <c r="L16"/>
  <c r="K16"/>
  <c r="J16"/>
  <c r="I16"/>
  <c r="H16"/>
  <c r="G16"/>
  <c r="F16"/>
  <c r="E16"/>
  <c r="D16"/>
  <c r="C16"/>
  <c r="B16"/>
  <c r="A16"/>
  <c r="R15"/>
  <c r="C15"/>
  <c r="A15"/>
  <c r="P14"/>
  <c r="N14"/>
  <c r="L14"/>
  <c r="K14"/>
  <c r="J14"/>
  <c r="I14"/>
  <c r="H14"/>
  <c r="G14"/>
  <c r="F14"/>
  <c r="E14"/>
  <c r="D14"/>
  <c r="C14"/>
  <c r="B14"/>
  <c r="P13"/>
  <c r="N13"/>
  <c r="L13"/>
  <c r="K13"/>
  <c r="J13"/>
  <c r="I13"/>
  <c r="H13"/>
  <c r="G13"/>
  <c r="F13"/>
  <c r="E13"/>
  <c r="D13"/>
  <c r="C13"/>
  <c r="B13"/>
  <c r="A13"/>
  <c r="P12"/>
  <c r="N12"/>
  <c r="L12"/>
  <c r="K12"/>
  <c r="J12"/>
  <c r="I12"/>
  <c r="H12"/>
  <c r="G12"/>
  <c r="F12"/>
  <c r="E12"/>
  <c r="D12"/>
  <c r="C12"/>
  <c r="B12"/>
  <c r="P11"/>
  <c r="N11"/>
  <c r="L11"/>
  <c r="K11"/>
  <c r="J11"/>
  <c r="I11"/>
  <c r="H11"/>
  <c r="G11"/>
  <c r="F11"/>
  <c r="E11"/>
  <c r="D11"/>
  <c r="C11"/>
  <c r="B11"/>
  <c r="A11"/>
  <c r="R10"/>
  <c r="C10"/>
  <c r="A10"/>
  <c r="P9"/>
  <c r="N9"/>
  <c r="L9"/>
  <c r="K9"/>
  <c r="J9"/>
  <c r="I9"/>
  <c r="H9"/>
  <c r="G9"/>
  <c r="F9"/>
  <c r="E9"/>
  <c r="D9"/>
  <c r="C9"/>
  <c r="B9"/>
  <c r="A9"/>
  <c r="P8"/>
  <c r="N8"/>
  <c r="L8"/>
  <c r="K8"/>
  <c r="J8"/>
  <c r="I8"/>
  <c r="H8"/>
  <c r="G8"/>
  <c r="F8"/>
  <c r="E8"/>
  <c r="D8"/>
  <c r="C8"/>
  <c r="B8"/>
  <c r="A8"/>
  <c r="P7"/>
  <c r="N7"/>
  <c r="L7"/>
  <c r="K7"/>
  <c r="J7"/>
  <c r="I7"/>
  <c r="H7"/>
  <c r="G7"/>
  <c r="F7"/>
  <c r="E7"/>
  <c r="D7"/>
  <c r="C7"/>
  <c r="B7"/>
  <c r="A7"/>
  <c r="R6"/>
  <c r="C6"/>
  <c r="B6"/>
  <c r="A6"/>
  <c r="C3"/>
  <c r="C2"/>
  <c r="B2"/>
  <c r="A2"/>
  <c r="P73" i="24"/>
  <c r="N73"/>
  <c r="L73"/>
  <c r="K73"/>
  <c r="J73"/>
  <c r="I73"/>
  <c r="H73"/>
  <c r="G73"/>
  <c r="F73"/>
  <c r="E73"/>
  <c r="D73"/>
  <c r="C73"/>
  <c r="B73"/>
  <c r="A73"/>
  <c r="P72"/>
  <c r="N72"/>
  <c r="L72"/>
  <c r="K72"/>
  <c r="J72"/>
  <c r="I72"/>
  <c r="H72"/>
  <c r="G72"/>
  <c r="F72"/>
  <c r="E72"/>
  <c r="D72"/>
  <c r="C72"/>
  <c r="B72"/>
  <c r="A72"/>
  <c r="P71"/>
  <c r="N71"/>
  <c r="L71"/>
  <c r="K71"/>
  <c r="J71"/>
  <c r="I71"/>
  <c r="H71"/>
  <c r="G71"/>
  <c r="F71"/>
  <c r="E71"/>
  <c r="D71"/>
  <c r="C71"/>
  <c r="B71"/>
  <c r="A71"/>
  <c r="P70"/>
  <c r="N70"/>
  <c r="L70"/>
  <c r="K70"/>
  <c r="J70"/>
  <c r="I70"/>
  <c r="H70"/>
  <c r="G70"/>
  <c r="F70"/>
  <c r="E70"/>
  <c r="D70"/>
  <c r="C70"/>
  <c r="B70"/>
  <c r="A70"/>
  <c r="P69"/>
  <c r="N69"/>
  <c r="L69"/>
  <c r="K69"/>
  <c r="J69"/>
  <c r="I69"/>
  <c r="H69"/>
  <c r="G69"/>
  <c r="F69"/>
  <c r="E69"/>
  <c r="D69"/>
  <c r="C69"/>
  <c r="B69"/>
  <c r="A69"/>
  <c r="P68"/>
  <c r="N68"/>
  <c r="L68"/>
  <c r="K68"/>
  <c r="J68"/>
  <c r="I68"/>
  <c r="H68"/>
  <c r="G68"/>
  <c r="F68"/>
  <c r="E68"/>
  <c r="D68"/>
  <c r="C68"/>
  <c r="B68"/>
  <c r="A68"/>
  <c r="P67"/>
  <c r="N67"/>
  <c r="L67"/>
  <c r="K67"/>
  <c r="J67"/>
  <c r="I67"/>
  <c r="H67"/>
  <c r="G67"/>
  <c r="F67"/>
  <c r="E67"/>
  <c r="D67"/>
  <c r="C67"/>
  <c r="B67"/>
  <c r="A67"/>
  <c r="P66"/>
  <c r="N66"/>
  <c r="L66"/>
  <c r="K66"/>
  <c r="J66"/>
  <c r="I66"/>
  <c r="H66"/>
  <c r="G66"/>
  <c r="F66"/>
  <c r="E66"/>
  <c r="D66"/>
  <c r="C66"/>
  <c r="B66"/>
  <c r="A66"/>
  <c r="P65"/>
  <c r="N65"/>
  <c r="L65"/>
  <c r="K65"/>
  <c r="J65"/>
  <c r="I65"/>
  <c r="H65"/>
  <c r="G65"/>
  <c r="F65"/>
  <c r="E65"/>
  <c r="D65"/>
  <c r="C65"/>
  <c r="B65"/>
  <c r="A65"/>
  <c r="P64"/>
  <c r="N64"/>
  <c r="L64"/>
  <c r="K64"/>
  <c r="J64"/>
  <c r="I64"/>
  <c r="H64"/>
  <c r="G64"/>
  <c r="F64"/>
  <c r="E64"/>
  <c r="D64"/>
  <c r="C64"/>
  <c r="B64"/>
  <c r="A64"/>
  <c r="P63"/>
  <c r="N63"/>
  <c r="L63"/>
  <c r="K63"/>
  <c r="J63"/>
  <c r="I63"/>
  <c r="H63"/>
  <c r="G63"/>
  <c r="F63"/>
  <c r="E63"/>
  <c r="D63"/>
  <c r="C63"/>
  <c r="B63"/>
  <c r="A63"/>
  <c r="P62"/>
  <c r="N62"/>
  <c r="L62"/>
  <c r="K62"/>
  <c r="J62"/>
  <c r="I62"/>
  <c r="H62"/>
  <c r="G62"/>
  <c r="F62"/>
  <c r="E62"/>
  <c r="D62"/>
  <c r="C62"/>
  <c r="B62"/>
  <c r="A62"/>
  <c r="R61"/>
  <c r="C61"/>
  <c r="A61"/>
  <c r="P60"/>
  <c r="N60"/>
  <c r="L60"/>
  <c r="K60"/>
  <c r="J60"/>
  <c r="I60"/>
  <c r="H60"/>
  <c r="G60"/>
  <c r="F60"/>
  <c r="E60"/>
  <c r="D60"/>
  <c r="C60"/>
  <c r="A60"/>
  <c r="P59"/>
  <c r="N59"/>
  <c r="L59"/>
  <c r="K59"/>
  <c r="J59"/>
  <c r="I59"/>
  <c r="H59"/>
  <c r="G59"/>
  <c r="F59"/>
  <c r="E59"/>
  <c r="D59"/>
  <c r="C59"/>
  <c r="B59"/>
  <c r="A59"/>
  <c r="P58"/>
  <c r="N58"/>
  <c r="L58"/>
  <c r="K58"/>
  <c r="J58"/>
  <c r="I58"/>
  <c r="H58"/>
  <c r="G58"/>
  <c r="F58"/>
  <c r="E58"/>
  <c r="D58"/>
  <c r="C58"/>
  <c r="B58"/>
  <c r="A58"/>
  <c r="P57"/>
  <c r="N57"/>
  <c r="L57"/>
  <c r="K57"/>
  <c r="J57"/>
  <c r="I57"/>
  <c r="H57"/>
  <c r="G57"/>
  <c r="F57"/>
  <c r="E57"/>
  <c r="D57"/>
  <c r="C57"/>
  <c r="B57"/>
  <c r="A57"/>
  <c r="R56"/>
  <c r="C56"/>
  <c r="A56"/>
  <c r="P55"/>
  <c r="N55"/>
  <c r="L55"/>
  <c r="K55"/>
  <c r="J55"/>
  <c r="I55"/>
  <c r="H55"/>
  <c r="G55"/>
  <c r="F55"/>
  <c r="E55"/>
  <c r="D55"/>
  <c r="C55"/>
  <c r="B55"/>
  <c r="P54"/>
  <c r="N54"/>
  <c r="L54"/>
  <c r="K54"/>
  <c r="J54"/>
  <c r="I54"/>
  <c r="H54"/>
  <c r="G54"/>
  <c r="F54"/>
  <c r="E54"/>
  <c r="D54"/>
  <c r="C54"/>
  <c r="B54"/>
  <c r="P53"/>
  <c r="N53"/>
  <c r="L53"/>
  <c r="K53"/>
  <c r="I53"/>
  <c r="H53"/>
  <c r="G53"/>
  <c r="F53"/>
  <c r="E53"/>
  <c r="D53"/>
  <c r="C53"/>
  <c r="B53"/>
  <c r="P52"/>
  <c r="N52"/>
  <c r="L52"/>
  <c r="K52"/>
  <c r="J52"/>
  <c r="I52"/>
  <c r="H52"/>
  <c r="G52"/>
  <c r="F52"/>
  <c r="E52"/>
  <c r="D52"/>
  <c r="C52"/>
  <c r="B52"/>
  <c r="A52"/>
  <c r="R51"/>
  <c r="C51"/>
  <c r="A51"/>
  <c r="P50"/>
  <c r="N50"/>
  <c r="L50"/>
  <c r="K50"/>
  <c r="J50"/>
  <c r="I50"/>
  <c r="H50"/>
  <c r="G50"/>
  <c r="F50"/>
  <c r="E50"/>
  <c r="D50"/>
  <c r="C50"/>
  <c r="B50"/>
  <c r="P49"/>
  <c r="N49"/>
  <c r="L49"/>
  <c r="K49"/>
  <c r="J49"/>
  <c r="I49"/>
  <c r="H49"/>
  <c r="G49"/>
  <c r="F49"/>
  <c r="E49"/>
  <c r="D49"/>
  <c r="C49"/>
  <c r="B49"/>
  <c r="P48"/>
  <c r="N48"/>
  <c r="L48"/>
  <c r="K48"/>
  <c r="J48"/>
  <c r="I48"/>
  <c r="H48"/>
  <c r="G48"/>
  <c r="F48"/>
  <c r="E48"/>
  <c r="D48"/>
  <c r="C48"/>
  <c r="B48"/>
  <c r="P47"/>
  <c r="N47"/>
  <c r="L47"/>
  <c r="K47"/>
  <c r="J47"/>
  <c r="I47"/>
  <c r="H47"/>
  <c r="G47"/>
  <c r="F47"/>
  <c r="E47"/>
  <c r="D47"/>
  <c r="C47"/>
  <c r="B47"/>
  <c r="A47"/>
  <c r="R46"/>
  <c r="C46"/>
  <c r="A46"/>
  <c r="P45"/>
  <c r="N45"/>
  <c r="L45"/>
  <c r="K45"/>
  <c r="J45"/>
  <c r="I45"/>
  <c r="H45"/>
  <c r="G45"/>
  <c r="F45"/>
  <c r="E45"/>
  <c r="D45"/>
  <c r="C45"/>
  <c r="A45"/>
  <c r="P44"/>
  <c r="N44"/>
  <c r="L44"/>
  <c r="K44"/>
  <c r="J44"/>
  <c r="I44"/>
  <c r="H44"/>
  <c r="G44"/>
  <c r="F44"/>
  <c r="E44"/>
  <c r="D44"/>
  <c r="C44"/>
  <c r="B44"/>
  <c r="A44"/>
  <c r="P43"/>
  <c r="N43"/>
  <c r="L43"/>
  <c r="K43"/>
  <c r="J43"/>
  <c r="I43"/>
  <c r="H43"/>
  <c r="G43"/>
  <c r="F43"/>
  <c r="E43"/>
  <c r="D43"/>
  <c r="C43"/>
  <c r="B43"/>
  <c r="A43"/>
  <c r="P42"/>
  <c r="N42"/>
  <c r="L42"/>
  <c r="K42"/>
  <c r="J42"/>
  <c r="I42"/>
  <c r="H42"/>
  <c r="G42"/>
  <c r="F42"/>
  <c r="E42"/>
  <c r="D42"/>
  <c r="C42"/>
  <c r="B42"/>
  <c r="A42"/>
  <c r="P41"/>
  <c r="N41"/>
  <c r="L41"/>
  <c r="K41"/>
  <c r="J41"/>
  <c r="I41"/>
  <c r="H41"/>
  <c r="G41"/>
  <c r="F41"/>
  <c r="E41"/>
  <c r="D41"/>
  <c r="C41"/>
  <c r="B41"/>
  <c r="A41"/>
  <c r="R40"/>
  <c r="C40"/>
  <c r="A40"/>
  <c r="P39"/>
  <c r="N39"/>
  <c r="L39"/>
  <c r="K39"/>
  <c r="J39"/>
  <c r="I39"/>
  <c r="H39"/>
  <c r="G39"/>
  <c r="F39"/>
  <c r="E39"/>
  <c r="D39"/>
  <c r="C39"/>
  <c r="B39"/>
  <c r="P38"/>
  <c r="N38"/>
  <c r="L38"/>
  <c r="K38"/>
  <c r="J38"/>
  <c r="I38"/>
  <c r="H38"/>
  <c r="G38"/>
  <c r="F38"/>
  <c r="E38"/>
  <c r="D38"/>
  <c r="C38"/>
  <c r="B38"/>
  <c r="P37"/>
  <c r="N37"/>
  <c r="L37"/>
  <c r="K37"/>
  <c r="J37"/>
  <c r="I37"/>
  <c r="H37"/>
  <c r="G37"/>
  <c r="F37"/>
  <c r="E37"/>
  <c r="D37"/>
  <c r="C37"/>
  <c r="B37"/>
  <c r="P36"/>
  <c r="N36"/>
  <c r="L36"/>
  <c r="K36"/>
  <c r="J36"/>
  <c r="I36"/>
  <c r="H36"/>
  <c r="G36"/>
  <c r="F36"/>
  <c r="E36"/>
  <c r="D36"/>
  <c r="C36"/>
  <c r="B36"/>
  <c r="A36"/>
  <c r="R35"/>
  <c r="C35"/>
  <c r="A35"/>
  <c r="P34"/>
  <c r="N34"/>
  <c r="L34"/>
  <c r="K34"/>
  <c r="J34"/>
  <c r="I34"/>
  <c r="H34"/>
  <c r="G34"/>
  <c r="F34"/>
  <c r="E34"/>
  <c r="D34"/>
  <c r="C34"/>
  <c r="B34"/>
  <c r="A34"/>
  <c r="P33"/>
  <c r="N33"/>
  <c r="L33"/>
  <c r="K33"/>
  <c r="J33"/>
  <c r="I33"/>
  <c r="H33"/>
  <c r="G33"/>
  <c r="F33"/>
  <c r="E33"/>
  <c r="D33"/>
  <c r="C33"/>
  <c r="B33"/>
  <c r="A33"/>
  <c r="R32"/>
  <c r="C32"/>
  <c r="A32"/>
  <c r="P31"/>
  <c r="N31"/>
  <c r="L31"/>
  <c r="K31"/>
  <c r="I31"/>
  <c r="H31"/>
  <c r="G31"/>
  <c r="F31"/>
  <c r="E31"/>
  <c r="D31"/>
  <c r="C31"/>
  <c r="B31"/>
  <c r="P30"/>
  <c r="N30"/>
  <c r="L30"/>
  <c r="K30"/>
  <c r="J30"/>
  <c r="I30"/>
  <c r="H30"/>
  <c r="G30"/>
  <c r="F30"/>
  <c r="E30"/>
  <c r="D30"/>
  <c r="C30"/>
  <c r="B30"/>
  <c r="P29"/>
  <c r="N29"/>
  <c r="L29"/>
  <c r="K29"/>
  <c r="J29"/>
  <c r="I29"/>
  <c r="H29"/>
  <c r="G29"/>
  <c r="F29"/>
  <c r="E29"/>
  <c r="D29"/>
  <c r="C29"/>
  <c r="B29"/>
  <c r="P28"/>
  <c r="N28"/>
  <c r="L28"/>
  <c r="K28"/>
  <c r="J28"/>
  <c r="I28"/>
  <c r="H28"/>
  <c r="G28"/>
  <c r="F28"/>
  <c r="E28"/>
  <c r="D28"/>
  <c r="C28"/>
  <c r="B28"/>
  <c r="P27"/>
  <c r="N27"/>
  <c r="L27"/>
  <c r="K27"/>
  <c r="J27"/>
  <c r="I27"/>
  <c r="H27"/>
  <c r="G27"/>
  <c r="F27"/>
  <c r="E27"/>
  <c r="D27"/>
  <c r="C27"/>
  <c r="B27"/>
  <c r="P26"/>
  <c r="N26"/>
  <c r="L26"/>
  <c r="K26"/>
  <c r="J26"/>
  <c r="I26"/>
  <c r="H26"/>
  <c r="G26"/>
  <c r="F26"/>
  <c r="E26"/>
  <c r="D26"/>
  <c r="C26"/>
  <c r="B26"/>
  <c r="P25"/>
  <c r="N25"/>
  <c r="L25"/>
  <c r="K25"/>
  <c r="J25"/>
  <c r="I25"/>
  <c r="H25"/>
  <c r="G25"/>
  <c r="F25"/>
  <c r="E25"/>
  <c r="D25"/>
  <c r="C25"/>
  <c r="B25"/>
  <c r="P24"/>
  <c r="N24"/>
  <c r="L24"/>
  <c r="K24"/>
  <c r="J24"/>
  <c r="I24"/>
  <c r="H24"/>
  <c r="G24"/>
  <c r="F24"/>
  <c r="E24"/>
  <c r="D24"/>
  <c r="C24"/>
  <c r="B24"/>
  <c r="A24"/>
  <c r="P23"/>
  <c r="N23"/>
  <c r="L23"/>
  <c r="K23"/>
  <c r="J23"/>
  <c r="I23"/>
  <c r="H23"/>
  <c r="G23"/>
  <c r="F23"/>
  <c r="E23"/>
  <c r="D23"/>
  <c r="C23"/>
  <c r="B23"/>
  <c r="P22"/>
  <c r="N22"/>
  <c r="L22"/>
  <c r="K22"/>
  <c r="J22"/>
  <c r="I22"/>
  <c r="H22"/>
  <c r="G22"/>
  <c r="F22"/>
  <c r="E22"/>
  <c r="D22"/>
  <c r="C22"/>
  <c r="P21"/>
  <c r="N21"/>
  <c r="L21"/>
  <c r="K21"/>
  <c r="J21"/>
  <c r="I21"/>
  <c r="H21"/>
  <c r="G21"/>
  <c r="F21"/>
  <c r="E21"/>
  <c r="D21"/>
  <c r="C21"/>
  <c r="B21"/>
  <c r="P20"/>
  <c r="N20"/>
  <c r="L20"/>
  <c r="K20"/>
  <c r="J20"/>
  <c r="I20"/>
  <c r="H20"/>
  <c r="G20"/>
  <c r="F20"/>
  <c r="E20"/>
  <c r="D20"/>
  <c r="C20"/>
  <c r="B20"/>
  <c r="P19"/>
  <c r="N19"/>
  <c r="L19"/>
  <c r="K19"/>
  <c r="J19"/>
  <c r="I19"/>
  <c r="H19"/>
  <c r="G19"/>
  <c r="F19"/>
  <c r="E19"/>
  <c r="D19"/>
  <c r="C19"/>
  <c r="B19"/>
  <c r="P18"/>
  <c r="N18"/>
  <c r="L18"/>
  <c r="K18"/>
  <c r="J18"/>
  <c r="I18"/>
  <c r="H18"/>
  <c r="G18"/>
  <c r="F18"/>
  <c r="E18"/>
  <c r="D18"/>
  <c r="C18"/>
  <c r="B18"/>
  <c r="A18"/>
  <c r="R17"/>
  <c r="C17"/>
  <c r="A17"/>
  <c r="P16"/>
  <c r="N16"/>
  <c r="L16"/>
  <c r="K16"/>
  <c r="J16"/>
  <c r="I16"/>
  <c r="H16"/>
  <c r="G16"/>
  <c r="F16"/>
  <c r="E16"/>
  <c r="D16"/>
  <c r="C16"/>
  <c r="B16"/>
  <c r="A16"/>
  <c r="R15"/>
  <c r="C15"/>
  <c r="A15"/>
  <c r="P14"/>
  <c r="N14"/>
  <c r="L14"/>
  <c r="K14"/>
  <c r="J14"/>
  <c r="I14"/>
  <c r="H14"/>
  <c r="G14"/>
  <c r="F14"/>
  <c r="E14"/>
  <c r="D14"/>
  <c r="C14"/>
  <c r="B14"/>
  <c r="A14"/>
  <c r="R13"/>
  <c r="C13"/>
  <c r="A13"/>
  <c r="P12"/>
  <c r="N12"/>
  <c r="L12"/>
  <c r="K12"/>
  <c r="J12"/>
  <c r="I12"/>
  <c r="H12"/>
  <c r="G12"/>
  <c r="F12"/>
  <c r="E12"/>
  <c r="D12"/>
  <c r="C12"/>
  <c r="B12"/>
  <c r="A12"/>
  <c r="P11"/>
  <c r="N11"/>
  <c r="L11"/>
  <c r="K11"/>
  <c r="J11"/>
  <c r="I11"/>
  <c r="H11"/>
  <c r="G11"/>
  <c r="F11"/>
  <c r="E11"/>
  <c r="D11"/>
  <c r="C11"/>
  <c r="B11"/>
  <c r="A11"/>
  <c r="P10"/>
  <c r="N10"/>
  <c r="L10"/>
  <c r="K10"/>
  <c r="J10"/>
  <c r="I10"/>
  <c r="H10"/>
  <c r="G10"/>
  <c r="F10"/>
  <c r="E10"/>
  <c r="D10"/>
  <c r="C10"/>
  <c r="B10"/>
  <c r="A10"/>
  <c r="P9"/>
  <c r="N9"/>
  <c r="L9"/>
  <c r="K9"/>
  <c r="J9"/>
  <c r="I9"/>
  <c r="H9"/>
  <c r="G9"/>
  <c r="F9"/>
  <c r="E9"/>
  <c r="D9"/>
  <c r="C9"/>
  <c r="B9"/>
  <c r="A9"/>
  <c r="P8"/>
  <c r="N8"/>
  <c r="L8"/>
  <c r="K8"/>
  <c r="J8"/>
  <c r="I8"/>
  <c r="H8"/>
  <c r="G8"/>
  <c r="F8"/>
  <c r="E8"/>
  <c r="D8"/>
  <c r="C8"/>
  <c r="B8"/>
  <c r="A8"/>
  <c r="P7"/>
  <c r="N7"/>
  <c r="L7"/>
  <c r="K7"/>
  <c r="J7"/>
  <c r="I7"/>
  <c r="H7"/>
  <c r="G7"/>
  <c r="F7"/>
  <c r="E7"/>
  <c r="D7"/>
  <c r="C7"/>
  <c r="B7"/>
  <c r="A7"/>
  <c r="R6"/>
  <c r="C6"/>
  <c r="A6"/>
  <c r="C3"/>
  <c r="C2"/>
  <c r="B2"/>
  <c r="A2"/>
  <c r="P35" i="32"/>
  <c r="N35"/>
  <c r="L35"/>
  <c r="K35"/>
  <c r="J35"/>
  <c r="I35"/>
  <c r="H35"/>
  <c r="G35"/>
  <c r="F35"/>
  <c r="E35"/>
  <c r="D35"/>
  <c r="C35"/>
  <c r="B35"/>
  <c r="A35"/>
  <c r="P34"/>
  <c r="N34"/>
  <c r="L34"/>
  <c r="K34"/>
  <c r="J34"/>
  <c r="I34"/>
  <c r="H34"/>
  <c r="G34"/>
  <c r="F34"/>
  <c r="E34"/>
  <c r="D34"/>
  <c r="C34"/>
  <c r="B34"/>
  <c r="A34"/>
  <c r="P33"/>
  <c r="N33"/>
  <c r="L33"/>
  <c r="K33"/>
  <c r="J33"/>
  <c r="I33"/>
  <c r="H33"/>
  <c r="G33"/>
  <c r="F33"/>
  <c r="E33"/>
  <c r="D33"/>
  <c r="C33"/>
  <c r="B33"/>
  <c r="A33"/>
  <c r="P32"/>
  <c r="N32"/>
  <c r="L32"/>
  <c r="K32"/>
  <c r="J32"/>
  <c r="I32"/>
  <c r="H32"/>
  <c r="G32"/>
  <c r="F32"/>
  <c r="E32"/>
  <c r="D32"/>
  <c r="C32"/>
  <c r="B32"/>
  <c r="A32"/>
  <c r="P31"/>
  <c r="N31"/>
  <c r="L31"/>
  <c r="K31"/>
  <c r="J31"/>
  <c r="I31"/>
  <c r="H31"/>
  <c r="G31"/>
  <c r="F31"/>
  <c r="E31"/>
  <c r="D31"/>
  <c r="C31"/>
  <c r="B31"/>
  <c r="A31"/>
  <c r="P30"/>
  <c r="N30"/>
  <c r="L30"/>
  <c r="K30"/>
  <c r="J30"/>
  <c r="I30"/>
  <c r="H30"/>
  <c r="G30"/>
  <c r="F30"/>
  <c r="E30"/>
  <c r="D30"/>
  <c r="C30"/>
  <c r="B30"/>
  <c r="A30"/>
  <c r="P29"/>
  <c r="N29"/>
  <c r="L29"/>
  <c r="K29"/>
  <c r="J29"/>
  <c r="I29"/>
  <c r="H29"/>
  <c r="G29"/>
  <c r="F29"/>
  <c r="E29"/>
  <c r="D29"/>
  <c r="C29"/>
  <c r="B29"/>
  <c r="A29"/>
  <c r="R28"/>
  <c r="C28"/>
  <c r="B28"/>
  <c r="A28"/>
  <c r="P27"/>
  <c r="N27"/>
  <c r="L27"/>
  <c r="K27"/>
  <c r="J27"/>
  <c r="I27"/>
  <c r="H27"/>
  <c r="G27"/>
  <c r="F27"/>
  <c r="E27"/>
  <c r="D27"/>
  <c r="C27"/>
  <c r="P26"/>
  <c r="N26"/>
  <c r="L26"/>
  <c r="K26"/>
  <c r="J26"/>
  <c r="I26"/>
  <c r="H26"/>
  <c r="G26"/>
  <c r="F26"/>
  <c r="E26"/>
  <c r="D26"/>
  <c r="C26"/>
  <c r="B26"/>
  <c r="A26"/>
  <c r="R25"/>
  <c r="C25"/>
  <c r="A25"/>
  <c r="P24"/>
  <c r="N24"/>
  <c r="L24"/>
  <c r="K24"/>
  <c r="J24"/>
  <c r="I24"/>
  <c r="H24"/>
  <c r="G24"/>
  <c r="F24"/>
  <c r="E24"/>
  <c r="D24"/>
  <c r="C24"/>
  <c r="B24"/>
  <c r="A24"/>
  <c r="R23"/>
  <c r="C23"/>
  <c r="A23"/>
  <c r="P22"/>
  <c r="N22"/>
  <c r="L22"/>
  <c r="K22"/>
  <c r="J22"/>
  <c r="I22"/>
  <c r="H22"/>
  <c r="G22"/>
  <c r="F22"/>
  <c r="E22"/>
  <c r="D22"/>
  <c r="C22"/>
  <c r="B22"/>
  <c r="A22"/>
  <c r="P21"/>
  <c r="N21"/>
  <c r="L21"/>
  <c r="K21"/>
  <c r="J21"/>
  <c r="I21"/>
  <c r="H21"/>
  <c r="G21"/>
  <c r="F21"/>
  <c r="E21"/>
  <c r="D21"/>
  <c r="C21"/>
  <c r="B21"/>
  <c r="A21"/>
  <c r="R20"/>
  <c r="C20"/>
  <c r="A20"/>
  <c r="P19"/>
  <c r="N19"/>
  <c r="L19"/>
  <c r="K19"/>
  <c r="J19"/>
  <c r="I19"/>
  <c r="H19"/>
  <c r="G19"/>
  <c r="F19"/>
  <c r="E19"/>
  <c r="D19"/>
  <c r="C19"/>
  <c r="B19"/>
  <c r="P18"/>
  <c r="N18"/>
  <c r="L18"/>
  <c r="K18"/>
  <c r="J18"/>
  <c r="I18"/>
  <c r="H18"/>
  <c r="G18"/>
  <c r="F18"/>
  <c r="E18"/>
  <c r="D18"/>
  <c r="C18"/>
  <c r="B18"/>
  <c r="A18"/>
  <c r="R17"/>
  <c r="C17"/>
  <c r="A17"/>
  <c r="P16"/>
  <c r="N16"/>
  <c r="L16"/>
  <c r="K16"/>
  <c r="J16"/>
  <c r="I16"/>
  <c r="H16"/>
  <c r="G16"/>
  <c r="F16"/>
  <c r="E16"/>
  <c r="D16"/>
  <c r="C16"/>
  <c r="B16"/>
  <c r="P15"/>
  <c r="N15"/>
  <c r="L15"/>
  <c r="K15"/>
  <c r="J15"/>
  <c r="I15"/>
  <c r="H15"/>
  <c r="G15"/>
  <c r="F15"/>
  <c r="E15"/>
  <c r="D15"/>
  <c r="C15"/>
  <c r="B15"/>
  <c r="A15"/>
  <c r="P14"/>
  <c r="N14"/>
  <c r="L14"/>
  <c r="K14"/>
  <c r="J14"/>
  <c r="I14"/>
  <c r="H14"/>
  <c r="G14"/>
  <c r="F14"/>
  <c r="E14"/>
  <c r="D14"/>
  <c r="C14"/>
  <c r="B14"/>
  <c r="P13"/>
  <c r="N13"/>
  <c r="L13"/>
  <c r="K13"/>
  <c r="J13"/>
  <c r="I13"/>
  <c r="H13"/>
  <c r="G13"/>
  <c r="F13"/>
  <c r="E13"/>
  <c r="D13"/>
  <c r="C13"/>
  <c r="B13"/>
  <c r="P12"/>
  <c r="N12"/>
  <c r="L12"/>
  <c r="K12"/>
  <c r="J12"/>
  <c r="I12"/>
  <c r="H12"/>
  <c r="G12"/>
  <c r="F12"/>
  <c r="E12"/>
  <c r="D12"/>
  <c r="C12"/>
  <c r="B12"/>
  <c r="A12"/>
  <c r="R11"/>
  <c r="C11"/>
  <c r="A11"/>
  <c r="P10"/>
  <c r="N10"/>
  <c r="L10"/>
  <c r="K10"/>
  <c r="J10"/>
  <c r="I10"/>
  <c r="H10"/>
  <c r="G10"/>
  <c r="F10"/>
  <c r="E10"/>
  <c r="D10"/>
  <c r="C10"/>
  <c r="B10"/>
  <c r="A10"/>
  <c r="R9"/>
  <c r="C9"/>
  <c r="A9"/>
  <c r="P8"/>
  <c r="N8"/>
  <c r="L8"/>
  <c r="K8"/>
  <c r="J8"/>
  <c r="I8"/>
  <c r="H8"/>
  <c r="G8"/>
  <c r="F8"/>
  <c r="E8"/>
  <c r="D8"/>
  <c r="C8"/>
  <c r="B8"/>
  <c r="A8"/>
  <c r="P7"/>
  <c r="N7"/>
  <c r="L7"/>
  <c r="K7"/>
  <c r="J7"/>
  <c r="I7"/>
  <c r="H7"/>
  <c r="G7"/>
  <c r="F7"/>
  <c r="E7"/>
  <c r="D7"/>
  <c r="C7"/>
  <c r="B7"/>
  <c r="A7"/>
  <c r="R6"/>
  <c r="C6"/>
  <c r="A6"/>
  <c r="F3"/>
  <c r="C3"/>
  <c r="F2"/>
  <c r="C2"/>
  <c r="B2"/>
  <c r="A2"/>
  <c r="P33" i="42"/>
  <c r="N33"/>
  <c r="L33"/>
  <c r="K33"/>
  <c r="J33"/>
  <c r="I33"/>
  <c r="H33"/>
  <c r="G33"/>
  <c r="F33"/>
  <c r="E33"/>
  <c r="D33"/>
  <c r="C33"/>
  <c r="B33"/>
  <c r="A33"/>
  <c r="R32"/>
  <c r="C32"/>
  <c r="A32"/>
  <c r="P31"/>
  <c r="N31"/>
  <c r="L31"/>
  <c r="K31"/>
  <c r="J31"/>
  <c r="I31"/>
  <c r="H31"/>
  <c r="G31"/>
  <c r="F31"/>
  <c r="E31"/>
  <c r="D31"/>
  <c r="C31"/>
  <c r="B31"/>
  <c r="A31"/>
  <c r="R30"/>
  <c r="C30"/>
  <c r="A30"/>
  <c r="P29"/>
  <c r="N29"/>
  <c r="L29"/>
  <c r="K29"/>
  <c r="J29"/>
  <c r="I29"/>
  <c r="H29"/>
  <c r="G29"/>
  <c r="F29"/>
  <c r="E29"/>
  <c r="D29"/>
  <c r="C29"/>
  <c r="P28"/>
  <c r="N28"/>
  <c r="L28"/>
  <c r="K28"/>
  <c r="J28"/>
  <c r="I28"/>
  <c r="H28"/>
  <c r="G28"/>
  <c r="F28"/>
  <c r="E28"/>
  <c r="D28"/>
  <c r="C28"/>
  <c r="B28"/>
  <c r="A28"/>
  <c r="R27"/>
  <c r="C27"/>
  <c r="A27"/>
  <c r="P26"/>
  <c r="N26"/>
  <c r="L26"/>
  <c r="K26"/>
  <c r="J26"/>
  <c r="I26"/>
  <c r="H26"/>
  <c r="G26"/>
  <c r="F26"/>
  <c r="E26"/>
  <c r="D26"/>
  <c r="C26"/>
  <c r="A26"/>
  <c r="R25"/>
  <c r="C25"/>
  <c r="A25"/>
  <c r="P24"/>
  <c r="N24"/>
  <c r="L24"/>
  <c r="K24"/>
  <c r="J24"/>
  <c r="I24"/>
  <c r="H24"/>
  <c r="G24"/>
  <c r="F24"/>
  <c r="E24"/>
  <c r="D24"/>
  <c r="C24"/>
  <c r="P23"/>
  <c r="N23"/>
  <c r="L23"/>
  <c r="K23"/>
  <c r="J23"/>
  <c r="I23"/>
  <c r="H23"/>
  <c r="G23"/>
  <c r="F23"/>
  <c r="E23"/>
  <c r="D23"/>
  <c r="C23"/>
  <c r="B23"/>
  <c r="P22"/>
  <c r="N22"/>
  <c r="L22"/>
  <c r="K22"/>
  <c r="J22"/>
  <c r="I22"/>
  <c r="H22"/>
  <c r="G22"/>
  <c r="F22"/>
  <c r="E22"/>
  <c r="D22"/>
  <c r="C22"/>
  <c r="B22"/>
  <c r="P21"/>
  <c r="N21"/>
  <c r="L21"/>
  <c r="K21"/>
  <c r="J21"/>
  <c r="I21"/>
  <c r="H21"/>
  <c r="G21"/>
  <c r="F21"/>
  <c r="E21"/>
  <c r="D21"/>
  <c r="C21"/>
  <c r="B21"/>
  <c r="A21"/>
  <c r="R20"/>
  <c r="C20"/>
  <c r="A20"/>
  <c r="P19"/>
  <c r="N19"/>
  <c r="L19"/>
  <c r="K19"/>
  <c r="J19"/>
  <c r="I19"/>
  <c r="H19"/>
  <c r="G19"/>
  <c r="F19"/>
  <c r="E19"/>
  <c r="D19"/>
  <c r="C19"/>
  <c r="P18"/>
  <c r="N18"/>
  <c r="L18"/>
  <c r="K18"/>
  <c r="J18"/>
  <c r="I18"/>
  <c r="H18"/>
  <c r="G18"/>
  <c r="F18"/>
  <c r="E18"/>
  <c r="D18"/>
  <c r="C18"/>
  <c r="A18"/>
  <c r="P17"/>
  <c r="N17"/>
  <c r="L17"/>
  <c r="K17"/>
  <c r="J17"/>
  <c r="I17"/>
  <c r="H17"/>
  <c r="G17"/>
  <c r="F17"/>
  <c r="E17"/>
  <c r="D17"/>
  <c r="C17"/>
  <c r="B17"/>
  <c r="P16"/>
  <c r="N16"/>
  <c r="L16"/>
  <c r="K16"/>
  <c r="J16"/>
  <c r="I16"/>
  <c r="H16"/>
  <c r="G16"/>
  <c r="F16"/>
  <c r="E16"/>
  <c r="D16"/>
  <c r="C16"/>
  <c r="B16"/>
  <c r="P15"/>
  <c r="N15"/>
  <c r="L15"/>
  <c r="K15"/>
  <c r="J15"/>
  <c r="I15"/>
  <c r="H15"/>
  <c r="G15"/>
  <c r="F15"/>
  <c r="E15"/>
  <c r="D15"/>
  <c r="C15"/>
  <c r="B15"/>
  <c r="P14"/>
  <c r="N14"/>
  <c r="L14"/>
  <c r="K14"/>
  <c r="J14"/>
  <c r="I14"/>
  <c r="H14"/>
  <c r="G14"/>
  <c r="F14"/>
  <c r="E14"/>
  <c r="D14"/>
  <c r="C14"/>
  <c r="B14"/>
  <c r="P13"/>
  <c r="N13"/>
  <c r="L13"/>
  <c r="K13"/>
  <c r="J13"/>
  <c r="I13"/>
  <c r="H13"/>
  <c r="G13"/>
  <c r="F13"/>
  <c r="E13"/>
  <c r="D13"/>
  <c r="C13"/>
  <c r="B13"/>
  <c r="P12"/>
  <c r="N12"/>
  <c r="L12"/>
  <c r="K12"/>
  <c r="J12"/>
  <c r="I12"/>
  <c r="H12"/>
  <c r="G12"/>
  <c r="F12"/>
  <c r="E12"/>
  <c r="D12"/>
  <c r="C12"/>
  <c r="B12"/>
  <c r="P11"/>
  <c r="N11"/>
  <c r="L11"/>
  <c r="K11"/>
  <c r="J11"/>
  <c r="I11"/>
  <c r="H11"/>
  <c r="G11"/>
  <c r="F11"/>
  <c r="E11"/>
  <c r="D11"/>
  <c r="C11"/>
  <c r="B11"/>
  <c r="A11"/>
  <c r="R10"/>
  <c r="C10"/>
  <c r="A10"/>
  <c r="P9"/>
  <c r="N9"/>
  <c r="L9"/>
  <c r="K9"/>
  <c r="J9"/>
  <c r="I9"/>
  <c r="H9"/>
  <c r="G9"/>
  <c r="F9"/>
  <c r="E9"/>
  <c r="D9"/>
  <c r="C9"/>
  <c r="B9"/>
  <c r="A9"/>
  <c r="R8"/>
  <c r="C8"/>
  <c r="A8"/>
  <c r="P7"/>
  <c r="N7"/>
  <c r="L7"/>
  <c r="K7"/>
  <c r="J7"/>
  <c r="I7"/>
  <c r="H7"/>
  <c r="G7"/>
  <c r="F7"/>
  <c r="E7"/>
  <c r="D7"/>
  <c r="C7"/>
  <c r="A7"/>
  <c r="R6"/>
  <c r="C6"/>
  <c r="A6"/>
  <c r="C3"/>
  <c r="C2"/>
  <c r="A2"/>
  <c r="P23" i="75"/>
  <c r="N23"/>
  <c r="L23"/>
  <c r="K23"/>
  <c r="J23"/>
  <c r="I23"/>
  <c r="H23"/>
  <c r="G23"/>
  <c r="F23"/>
  <c r="E23"/>
  <c r="C23"/>
  <c r="B23"/>
  <c r="A23"/>
  <c r="P21"/>
  <c r="L17" i="65"/>
  <c r="M21" i="75"/>
  <c r="N21"/>
  <c r="L21"/>
  <c r="K21"/>
  <c r="J21"/>
  <c r="I21"/>
  <c r="H21"/>
  <c r="G21"/>
  <c r="F21"/>
  <c r="E21"/>
  <c r="C21"/>
  <c r="B21"/>
  <c r="A21"/>
  <c r="P17"/>
  <c r="N17"/>
  <c r="L17"/>
  <c r="K17"/>
  <c r="J17"/>
  <c r="I17"/>
  <c r="H17"/>
  <c r="G17"/>
  <c r="F17"/>
  <c r="E17"/>
  <c r="D17"/>
  <c r="C17"/>
  <c r="A17"/>
  <c r="P16"/>
  <c r="N16"/>
  <c r="L16"/>
  <c r="K16"/>
  <c r="J16"/>
  <c r="I16"/>
  <c r="H16"/>
  <c r="G16"/>
  <c r="F16"/>
  <c r="E16"/>
  <c r="D16"/>
  <c r="C16"/>
  <c r="A16"/>
  <c r="R15"/>
  <c r="C15"/>
  <c r="A15"/>
  <c r="P14"/>
  <c r="N14"/>
  <c r="M14"/>
  <c r="L14"/>
  <c r="K14"/>
  <c r="J14"/>
  <c r="I14"/>
  <c r="H14"/>
  <c r="G14"/>
  <c r="F14"/>
  <c r="E14"/>
  <c r="D14"/>
  <c r="C14"/>
  <c r="A14"/>
  <c r="R13"/>
  <c r="C13"/>
  <c r="A13"/>
  <c r="P12"/>
  <c r="N12"/>
  <c r="L12"/>
  <c r="K12"/>
  <c r="J12"/>
  <c r="I12"/>
  <c r="H12"/>
  <c r="G12"/>
  <c r="F12"/>
  <c r="E12"/>
  <c r="D12"/>
  <c r="C12"/>
  <c r="A12"/>
  <c r="R11"/>
  <c r="C11"/>
  <c r="A11"/>
  <c r="P10"/>
  <c r="N10"/>
  <c r="L10"/>
  <c r="K10"/>
  <c r="J10"/>
  <c r="I10"/>
  <c r="H10"/>
  <c r="G10"/>
  <c r="F10"/>
  <c r="E10"/>
  <c r="D10"/>
  <c r="C10"/>
  <c r="A10"/>
  <c r="R9"/>
  <c r="C9"/>
  <c r="A9"/>
  <c r="P8"/>
  <c r="N8"/>
  <c r="L8"/>
  <c r="K8"/>
  <c r="J8"/>
  <c r="I8"/>
  <c r="H8"/>
  <c r="G8"/>
  <c r="F8"/>
  <c r="E8"/>
  <c r="D8"/>
  <c r="C8"/>
  <c r="P7"/>
  <c r="N7"/>
  <c r="L7"/>
  <c r="K7"/>
  <c r="J7"/>
  <c r="I7"/>
  <c r="H7"/>
  <c r="G7"/>
  <c r="F7"/>
  <c r="E7"/>
  <c r="D7"/>
  <c r="C7"/>
  <c r="A7"/>
  <c r="R6"/>
  <c r="C6"/>
  <c r="A6"/>
  <c r="C3"/>
  <c r="C2"/>
  <c r="A2"/>
  <c r="P22" i="70"/>
  <c r="N22"/>
  <c r="L22"/>
  <c r="K22"/>
  <c r="J22"/>
  <c r="I22"/>
  <c r="H22"/>
  <c r="G22"/>
  <c r="F22"/>
  <c r="E22"/>
  <c r="C22"/>
  <c r="B22"/>
  <c r="A22"/>
  <c r="P20"/>
  <c r="L16" i="65"/>
  <c r="N16"/>
  <c r="O20" i="70"/>
  <c r="N20"/>
  <c r="L20"/>
  <c r="K20"/>
  <c r="J20"/>
  <c r="I20"/>
  <c r="H20"/>
  <c r="G20"/>
  <c r="F20"/>
  <c r="E20"/>
  <c r="C20"/>
  <c r="B20"/>
  <c r="A20"/>
  <c r="P16"/>
  <c r="N16"/>
  <c r="L16"/>
  <c r="K16"/>
  <c r="J16"/>
  <c r="I16"/>
  <c r="H16"/>
  <c r="G16"/>
  <c r="F16"/>
  <c r="E16"/>
  <c r="D16"/>
  <c r="C16"/>
  <c r="A16"/>
  <c r="R15"/>
  <c r="C15"/>
  <c r="A15"/>
  <c r="P14"/>
  <c r="N14"/>
  <c r="L14"/>
  <c r="K14"/>
  <c r="J14"/>
  <c r="I14"/>
  <c r="H14"/>
  <c r="G14"/>
  <c r="F14"/>
  <c r="E14"/>
  <c r="D14"/>
  <c r="C14"/>
  <c r="A14"/>
  <c r="R13"/>
  <c r="C13"/>
  <c r="A13"/>
  <c r="P12"/>
  <c r="N12"/>
  <c r="L12"/>
  <c r="K12"/>
  <c r="J12"/>
  <c r="I12"/>
  <c r="H12"/>
  <c r="G12"/>
  <c r="F12"/>
  <c r="E12"/>
  <c r="D12"/>
  <c r="C12"/>
  <c r="A12"/>
  <c r="R11"/>
  <c r="C11"/>
  <c r="A11"/>
  <c r="P10"/>
  <c r="N10"/>
  <c r="L10"/>
  <c r="K10"/>
  <c r="J10"/>
  <c r="I10"/>
  <c r="H10"/>
  <c r="G10"/>
  <c r="F10"/>
  <c r="E10"/>
  <c r="D10"/>
  <c r="C10"/>
  <c r="A10"/>
  <c r="R9"/>
  <c r="C9"/>
  <c r="A9"/>
  <c r="P8"/>
  <c r="N8"/>
  <c r="L8"/>
  <c r="K8"/>
  <c r="J8"/>
  <c r="I8"/>
  <c r="H8"/>
  <c r="G8"/>
  <c r="F8"/>
  <c r="E8"/>
  <c r="D8"/>
  <c r="C8"/>
  <c r="B8"/>
  <c r="A8"/>
  <c r="P7"/>
  <c r="N7"/>
  <c r="L7"/>
  <c r="K7"/>
  <c r="J7"/>
  <c r="I7"/>
  <c r="H7"/>
  <c r="G7"/>
  <c r="F7"/>
  <c r="E7"/>
  <c r="D7"/>
  <c r="C7"/>
  <c r="B7"/>
  <c r="A7"/>
  <c r="R6"/>
  <c r="C6"/>
  <c r="A6"/>
  <c r="C3"/>
  <c r="C2"/>
  <c r="A2"/>
  <c r="P50" i="68"/>
  <c r="N50"/>
  <c r="L50"/>
  <c r="K50"/>
  <c r="J50"/>
  <c r="I50"/>
  <c r="H50"/>
  <c r="G50"/>
  <c r="F50"/>
  <c r="E50"/>
  <c r="C50"/>
  <c r="B50"/>
  <c r="A50"/>
  <c r="P48"/>
  <c r="L15" i="65"/>
  <c r="M48" i="68"/>
  <c r="N48"/>
  <c r="L48"/>
  <c r="K48"/>
  <c r="J48"/>
  <c r="I48"/>
  <c r="H48"/>
  <c r="G48"/>
  <c r="F48"/>
  <c r="E48"/>
  <c r="C48"/>
  <c r="B48"/>
  <c r="A48"/>
  <c r="P44"/>
  <c r="N44"/>
  <c r="L44"/>
  <c r="K44"/>
  <c r="J44"/>
  <c r="I44"/>
  <c r="H44"/>
  <c r="G44"/>
  <c r="F44"/>
  <c r="E44"/>
  <c r="D44"/>
  <c r="C44"/>
  <c r="B44"/>
  <c r="A44"/>
  <c r="P43"/>
  <c r="N43"/>
  <c r="L43"/>
  <c r="K43"/>
  <c r="J43"/>
  <c r="I43"/>
  <c r="H43"/>
  <c r="G43"/>
  <c r="F43"/>
  <c r="E43"/>
  <c r="D43"/>
  <c r="C43"/>
  <c r="B43"/>
  <c r="A43"/>
  <c r="P42"/>
  <c r="N42"/>
  <c r="L42"/>
  <c r="K42"/>
  <c r="J42"/>
  <c r="I42"/>
  <c r="H42"/>
  <c r="G42"/>
  <c r="F42"/>
  <c r="E42"/>
  <c r="D42"/>
  <c r="C42"/>
  <c r="B42"/>
  <c r="A42"/>
  <c r="P41"/>
  <c r="N41"/>
  <c r="L41"/>
  <c r="K41"/>
  <c r="J41"/>
  <c r="I41"/>
  <c r="H41"/>
  <c r="G41"/>
  <c r="F41"/>
  <c r="E41"/>
  <c r="D41"/>
  <c r="C41"/>
  <c r="B41"/>
  <c r="A41"/>
  <c r="R40"/>
  <c r="C40"/>
  <c r="A40"/>
  <c r="P39"/>
  <c r="N39"/>
  <c r="L39"/>
  <c r="K39"/>
  <c r="J39"/>
  <c r="I39"/>
  <c r="H39"/>
  <c r="G39"/>
  <c r="F39"/>
  <c r="E39"/>
  <c r="D39"/>
  <c r="C39"/>
  <c r="B39"/>
  <c r="A39"/>
  <c r="R38"/>
  <c r="C38"/>
  <c r="A38"/>
  <c r="P37"/>
  <c r="N37"/>
  <c r="L37"/>
  <c r="K37"/>
  <c r="J37"/>
  <c r="I37"/>
  <c r="H37"/>
  <c r="G37"/>
  <c r="F37"/>
  <c r="E37"/>
  <c r="D37"/>
  <c r="C37"/>
  <c r="A37"/>
  <c r="R36"/>
  <c r="C36"/>
  <c r="A36"/>
  <c r="P35"/>
  <c r="N35"/>
  <c r="L35"/>
  <c r="K35"/>
  <c r="J35"/>
  <c r="I35"/>
  <c r="H35"/>
  <c r="G35"/>
  <c r="F35"/>
  <c r="E35"/>
  <c r="D35"/>
  <c r="C35"/>
  <c r="B35"/>
  <c r="A35"/>
  <c r="R34"/>
  <c r="C34"/>
  <c r="A34"/>
  <c r="P33"/>
  <c r="N33"/>
  <c r="L33"/>
  <c r="K33"/>
  <c r="J33"/>
  <c r="I33"/>
  <c r="H33"/>
  <c r="G33"/>
  <c r="F33"/>
  <c r="E33"/>
  <c r="D33"/>
  <c r="C33"/>
  <c r="B33"/>
  <c r="A33"/>
  <c r="R32"/>
  <c r="C32"/>
  <c r="A32"/>
  <c r="P31"/>
  <c r="N31"/>
  <c r="L31"/>
  <c r="K31"/>
  <c r="J31"/>
  <c r="I31"/>
  <c r="H31"/>
  <c r="G31"/>
  <c r="F31"/>
  <c r="E31"/>
  <c r="D31"/>
  <c r="C31"/>
  <c r="B31"/>
  <c r="P30"/>
  <c r="N30"/>
  <c r="L30"/>
  <c r="K30"/>
  <c r="J30"/>
  <c r="I30"/>
  <c r="H30"/>
  <c r="G30"/>
  <c r="F30"/>
  <c r="E30"/>
  <c r="D30"/>
  <c r="C30"/>
  <c r="B30"/>
  <c r="P29"/>
  <c r="N29"/>
  <c r="L29"/>
  <c r="K29"/>
  <c r="J29"/>
  <c r="I29"/>
  <c r="H29"/>
  <c r="G29"/>
  <c r="F29"/>
  <c r="E29"/>
  <c r="D29"/>
  <c r="C29"/>
  <c r="P28"/>
  <c r="N28"/>
  <c r="L28"/>
  <c r="K28"/>
  <c r="J28"/>
  <c r="I28"/>
  <c r="H28"/>
  <c r="G28"/>
  <c r="F28"/>
  <c r="E28"/>
  <c r="D28"/>
  <c r="C28"/>
  <c r="P27"/>
  <c r="N27"/>
  <c r="L27"/>
  <c r="K27"/>
  <c r="J27"/>
  <c r="I27"/>
  <c r="H27"/>
  <c r="G27"/>
  <c r="F27"/>
  <c r="E27"/>
  <c r="D27"/>
  <c r="C27"/>
  <c r="P26"/>
  <c r="N26"/>
  <c r="L26"/>
  <c r="K26"/>
  <c r="J26"/>
  <c r="I26"/>
  <c r="H26"/>
  <c r="G26"/>
  <c r="F26"/>
  <c r="E26"/>
  <c r="D26"/>
  <c r="C26"/>
  <c r="P25"/>
  <c r="N25"/>
  <c r="L25"/>
  <c r="K25"/>
  <c r="J25"/>
  <c r="I25"/>
  <c r="H25"/>
  <c r="G25"/>
  <c r="F25"/>
  <c r="E25"/>
  <c r="D25"/>
  <c r="C25"/>
  <c r="A25"/>
  <c r="R24"/>
  <c r="C24"/>
  <c r="A24"/>
  <c r="P23"/>
  <c r="N23"/>
  <c r="L23"/>
  <c r="K23"/>
  <c r="J23"/>
  <c r="I23"/>
  <c r="H23"/>
  <c r="G23"/>
  <c r="F23"/>
  <c r="E23"/>
  <c r="D23"/>
  <c r="C23"/>
  <c r="B23"/>
  <c r="A23"/>
  <c r="R22"/>
  <c r="C22"/>
  <c r="A22"/>
  <c r="P21"/>
  <c r="N21"/>
  <c r="L21"/>
  <c r="K21"/>
  <c r="J21"/>
  <c r="I21"/>
  <c r="H21"/>
  <c r="G21"/>
  <c r="F21"/>
  <c r="E21"/>
  <c r="D21"/>
  <c r="C21"/>
  <c r="B21"/>
  <c r="P20"/>
  <c r="N20"/>
  <c r="L20"/>
  <c r="K20"/>
  <c r="J20"/>
  <c r="I20"/>
  <c r="H20"/>
  <c r="G20"/>
  <c r="F20"/>
  <c r="E20"/>
  <c r="D20"/>
  <c r="C20"/>
  <c r="B20"/>
  <c r="P19"/>
  <c r="N19"/>
  <c r="L19"/>
  <c r="K19"/>
  <c r="J19"/>
  <c r="I19"/>
  <c r="H19"/>
  <c r="G19"/>
  <c r="F19"/>
  <c r="E19"/>
  <c r="D19"/>
  <c r="C19"/>
  <c r="B19"/>
  <c r="P18"/>
  <c r="N18"/>
  <c r="L18"/>
  <c r="K18"/>
  <c r="J18"/>
  <c r="I18"/>
  <c r="H18"/>
  <c r="G18"/>
  <c r="F18"/>
  <c r="E18"/>
  <c r="D18"/>
  <c r="C18"/>
  <c r="B18"/>
  <c r="A18"/>
  <c r="R17"/>
  <c r="C17"/>
  <c r="A17"/>
  <c r="P16"/>
  <c r="N16"/>
  <c r="L16"/>
  <c r="K16"/>
  <c r="J16"/>
  <c r="I16"/>
  <c r="H16"/>
  <c r="G16"/>
  <c r="F16"/>
  <c r="E16"/>
  <c r="D16"/>
  <c r="C16"/>
  <c r="P15"/>
  <c r="N15"/>
  <c r="L15"/>
  <c r="K15"/>
  <c r="J15"/>
  <c r="I15"/>
  <c r="H15"/>
  <c r="G15"/>
  <c r="F15"/>
  <c r="E15"/>
  <c r="D15"/>
  <c r="C15"/>
  <c r="A15"/>
  <c r="R14"/>
  <c r="C14"/>
  <c r="A14"/>
  <c r="P13"/>
  <c r="N13"/>
  <c r="L13"/>
  <c r="K13"/>
  <c r="J13"/>
  <c r="I13"/>
  <c r="H13"/>
  <c r="G13"/>
  <c r="F13"/>
  <c r="E13"/>
  <c r="D13"/>
  <c r="C13"/>
  <c r="B13"/>
  <c r="A13"/>
  <c r="R12"/>
  <c r="C12"/>
  <c r="A12"/>
  <c r="P11"/>
  <c r="N11"/>
  <c r="L11"/>
  <c r="K11"/>
  <c r="J11"/>
  <c r="I11"/>
  <c r="H11"/>
  <c r="G11"/>
  <c r="F11"/>
  <c r="E11"/>
  <c r="D11"/>
  <c r="C11"/>
  <c r="B11"/>
  <c r="A11"/>
  <c r="P10"/>
  <c r="N10"/>
  <c r="L10"/>
  <c r="K10"/>
  <c r="J10"/>
  <c r="I10"/>
  <c r="H10"/>
  <c r="G10"/>
  <c r="F10"/>
  <c r="E10"/>
  <c r="D10"/>
  <c r="C10"/>
  <c r="B10"/>
  <c r="A10"/>
  <c r="P9"/>
  <c r="N9"/>
  <c r="L9"/>
  <c r="K9"/>
  <c r="J9"/>
  <c r="I9"/>
  <c r="H9"/>
  <c r="G9"/>
  <c r="F9"/>
  <c r="E9"/>
  <c r="D9"/>
  <c r="C9"/>
  <c r="B9"/>
  <c r="A9"/>
  <c r="P8"/>
  <c r="N8"/>
  <c r="L8"/>
  <c r="K8"/>
  <c r="J8"/>
  <c r="I8"/>
  <c r="H8"/>
  <c r="G8"/>
  <c r="F8"/>
  <c r="E8"/>
  <c r="D8"/>
  <c r="C8"/>
  <c r="B8"/>
  <c r="A8"/>
  <c r="P7"/>
  <c r="N7"/>
  <c r="L7"/>
  <c r="K7"/>
  <c r="J7"/>
  <c r="I7"/>
  <c r="H7"/>
  <c r="G7"/>
  <c r="F7"/>
  <c r="E7"/>
  <c r="D7"/>
  <c r="C7"/>
  <c r="B7"/>
  <c r="A7"/>
  <c r="R6"/>
  <c r="C6"/>
  <c r="A6"/>
  <c r="C3"/>
  <c r="C2"/>
  <c r="A2"/>
  <c r="P69" i="41"/>
  <c r="N69"/>
  <c r="L69"/>
  <c r="K69"/>
  <c r="J69"/>
  <c r="I69"/>
  <c r="H69"/>
  <c r="G69"/>
  <c r="F69"/>
  <c r="E69"/>
  <c r="C69"/>
  <c r="B69"/>
  <c r="A69"/>
  <c r="P67"/>
  <c r="L14" i="65"/>
  <c r="N14"/>
  <c r="O67" i="41"/>
  <c r="N67"/>
  <c r="L67"/>
  <c r="K67"/>
  <c r="J67"/>
  <c r="I67"/>
  <c r="H67"/>
  <c r="G67"/>
  <c r="F67"/>
  <c r="E67"/>
  <c r="C67"/>
  <c r="B67"/>
  <c r="A67"/>
  <c r="P63"/>
  <c r="N63"/>
  <c r="L63"/>
  <c r="K63"/>
  <c r="J63"/>
  <c r="I63"/>
  <c r="H63"/>
  <c r="G63"/>
  <c r="F63"/>
  <c r="E63"/>
  <c r="D63"/>
  <c r="C63"/>
  <c r="B63"/>
  <c r="A63"/>
  <c r="P62"/>
  <c r="N62"/>
  <c r="L62"/>
  <c r="K62"/>
  <c r="J62"/>
  <c r="I62"/>
  <c r="H62"/>
  <c r="G62"/>
  <c r="F62"/>
  <c r="E62"/>
  <c r="D62"/>
  <c r="C62"/>
  <c r="B62"/>
  <c r="A62"/>
  <c r="P61"/>
  <c r="N61"/>
  <c r="L61"/>
  <c r="K61"/>
  <c r="J61"/>
  <c r="I61"/>
  <c r="H61"/>
  <c r="G61"/>
  <c r="F61"/>
  <c r="E61"/>
  <c r="D61"/>
  <c r="C61"/>
  <c r="B61"/>
  <c r="A61"/>
  <c r="R60"/>
  <c r="R56"/>
  <c r="P60"/>
  <c r="N60"/>
  <c r="L60"/>
  <c r="K60"/>
  <c r="J60"/>
  <c r="I60"/>
  <c r="H60"/>
  <c r="G60"/>
  <c r="F60"/>
  <c r="E60"/>
  <c r="D60"/>
  <c r="C60"/>
  <c r="B60"/>
  <c r="A60"/>
  <c r="P59"/>
  <c r="N59"/>
  <c r="L59"/>
  <c r="K59"/>
  <c r="J59"/>
  <c r="I59"/>
  <c r="H59"/>
  <c r="G59"/>
  <c r="F59"/>
  <c r="E59"/>
  <c r="D59"/>
  <c r="C59"/>
  <c r="B59"/>
  <c r="A59"/>
  <c r="P58"/>
  <c r="N58"/>
  <c r="L58"/>
  <c r="K58"/>
  <c r="J58"/>
  <c r="I58"/>
  <c r="H58"/>
  <c r="G58"/>
  <c r="F58"/>
  <c r="E58"/>
  <c r="D58"/>
  <c r="C58"/>
  <c r="B58"/>
  <c r="A58"/>
  <c r="P57"/>
  <c r="N57"/>
  <c r="L57"/>
  <c r="K57"/>
  <c r="J57"/>
  <c r="I57"/>
  <c r="H57"/>
  <c r="G57"/>
  <c r="F57"/>
  <c r="E57"/>
  <c r="D57"/>
  <c r="C57"/>
  <c r="B57"/>
  <c r="A57"/>
  <c r="C56"/>
  <c r="A56"/>
  <c r="P55"/>
  <c r="N55"/>
  <c r="L55"/>
  <c r="K55"/>
  <c r="J55"/>
  <c r="I55"/>
  <c r="H55"/>
  <c r="G55"/>
  <c r="F55"/>
  <c r="E55"/>
  <c r="D55"/>
  <c r="C55"/>
  <c r="B55"/>
  <c r="A55"/>
  <c r="P54"/>
  <c r="N54"/>
  <c r="L54"/>
  <c r="K54"/>
  <c r="J54"/>
  <c r="I54"/>
  <c r="H54"/>
  <c r="G54"/>
  <c r="F54"/>
  <c r="E54"/>
  <c r="D54"/>
  <c r="C54"/>
  <c r="B54"/>
  <c r="A54"/>
  <c r="P53"/>
  <c r="N53"/>
  <c r="L53"/>
  <c r="K53"/>
  <c r="J53"/>
  <c r="I53"/>
  <c r="H53"/>
  <c r="G53"/>
  <c r="F53"/>
  <c r="E53"/>
  <c r="D53"/>
  <c r="C53"/>
  <c r="B53"/>
  <c r="A53"/>
  <c r="P52"/>
  <c r="N52"/>
  <c r="L52"/>
  <c r="K52"/>
  <c r="J52"/>
  <c r="I52"/>
  <c r="H52"/>
  <c r="G52"/>
  <c r="F52"/>
  <c r="E52"/>
  <c r="D52"/>
  <c r="C52"/>
  <c r="B52"/>
  <c r="A52"/>
  <c r="R51"/>
  <c r="C51"/>
  <c r="A51"/>
  <c r="P50"/>
  <c r="N50"/>
  <c r="L50"/>
  <c r="K50"/>
  <c r="J50"/>
  <c r="I50"/>
  <c r="H50"/>
  <c r="G50"/>
  <c r="F50"/>
  <c r="E50"/>
  <c r="D50"/>
  <c r="C50"/>
  <c r="B50"/>
  <c r="A50"/>
  <c r="P49"/>
  <c r="N49"/>
  <c r="L49"/>
  <c r="K49"/>
  <c r="J49"/>
  <c r="I49"/>
  <c r="H49"/>
  <c r="G49"/>
  <c r="F49"/>
  <c r="E49"/>
  <c r="D49"/>
  <c r="C49"/>
  <c r="B49"/>
  <c r="A49"/>
  <c r="P48"/>
  <c r="N48"/>
  <c r="L48"/>
  <c r="K48"/>
  <c r="J48"/>
  <c r="I48"/>
  <c r="H48"/>
  <c r="G48"/>
  <c r="F48"/>
  <c r="E48"/>
  <c r="D48"/>
  <c r="C48"/>
  <c r="B48"/>
  <c r="A48"/>
  <c r="R47"/>
  <c r="C47"/>
  <c r="A47"/>
  <c r="P46"/>
  <c r="N46"/>
  <c r="L46"/>
  <c r="K46"/>
  <c r="J46"/>
  <c r="I46"/>
  <c r="H46"/>
  <c r="G46"/>
  <c r="F46"/>
  <c r="E46"/>
  <c r="D46"/>
  <c r="C46"/>
  <c r="B46"/>
  <c r="P45"/>
  <c r="N45"/>
  <c r="L45"/>
  <c r="K45"/>
  <c r="J45"/>
  <c r="I45"/>
  <c r="H45"/>
  <c r="G45"/>
  <c r="F45"/>
  <c r="E45"/>
  <c r="D45"/>
  <c r="C45"/>
  <c r="B45"/>
  <c r="A45"/>
  <c r="R44"/>
  <c r="C44"/>
  <c r="A44"/>
  <c r="P43"/>
  <c r="N43"/>
  <c r="L43"/>
  <c r="K43"/>
  <c r="J43"/>
  <c r="I43"/>
  <c r="H43"/>
  <c r="G43"/>
  <c r="F43"/>
  <c r="E43"/>
  <c r="D43"/>
  <c r="C43"/>
  <c r="B43"/>
  <c r="P42"/>
  <c r="N42"/>
  <c r="L42"/>
  <c r="K42"/>
  <c r="J42"/>
  <c r="I42"/>
  <c r="H42"/>
  <c r="G42"/>
  <c r="F42"/>
  <c r="E42"/>
  <c r="D42"/>
  <c r="C42"/>
  <c r="B42"/>
  <c r="P41"/>
  <c r="N41"/>
  <c r="L41"/>
  <c r="K41"/>
  <c r="I41"/>
  <c r="H41"/>
  <c r="G41"/>
  <c r="F41"/>
  <c r="E41"/>
  <c r="D41"/>
  <c r="C41"/>
  <c r="B41"/>
  <c r="A41"/>
  <c r="R40"/>
  <c r="C40"/>
  <c r="A40"/>
  <c r="P39"/>
  <c r="N39"/>
  <c r="L39"/>
  <c r="K39"/>
  <c r="J39"/>
  <c r="I39"/>
  <c r="H39"/>
  <c r="G39"/>
  <c r="F39"/>
  <c r="E39"/>
  <c r="D39"/>
  <c r="C39"/>
  <c r="B39"/>
  <c r="A39"/>
  <c r="P38"/>
  <c r="N38"/>
  <c r="L38"/>
  <c r="K38"/>
  <c r="J38"/>
  <c r="I38"/>
  <c r="H38"/>
  <c r="G38"/>
  <c r="F38"/>
  <c r="E38"/>
  <c r="D38"/>
  <c r="C38"/>
  <c r="B38"/>
  <c r="A38"/>
  <c r="P37"/>
  <c r="N37"/>
  <c r="L37"/>
  <c r="K37"/>
  <c r="J37"/>
  <c r="I37"/>
  <c r="H37"/>
  <c r="G37"/>
  <c r="F37"/>
  <c r="E37"/>
  <c r="D37"/>
  <c r="C37"/>
  <c r="B37"/>
  <c r="A37"/>
  <c r="R36"/>
  <c r="C36"/>
  <c r="A36"/>
  <c r="P35"/>
  <c r="N35"/>
  <c r="L35"/>
  <c r="K35"/>
  <c r="J35"/>
  <c r="I35"/>
  <c r="H35"/>
  <c r="G35"/>
  <c r="F35"/>
  <c r="E35"/>
  <c r="D35"/>
  <c r="C35"/>
  <c r="P34"/>
  <c r="N34"/>
  <c r="L34"/>
  <c r="K34"/>
  <c r="J34"/>
  <c r="I34"/>
  <c r="H34"/>
  <c r="G34"/>
  <c r="F34"/>
  <c r="E34"/>
  <c r="D34"/>
  <c r="C34"/>
  <c r="B34"/>
  <c r="P33"/>
  <c r="N33"/>
  <c r="L33"/>
  <c r="K33"/>
  <c r="J33"/>
  <c r="I33"/>
  <c r="H33"/>
  <c r="G33"/>
  <c r="F33"/>
  <c r="E33"/>
  <c r="D33"/>
  <c r="C33"/>
  <c r="B33"/>
  <c r="A33"/>
  <c r="R32"/>
  <c r="C32"/>
  <c r="A32"/>
  <c r="P31"/>
  <c r="N31"/>
  <c r="L31"/>
  <c r="K31"/>
  <c r="J31"/>
  <c r="I31"/>
  <c r="H31"/>
  <c r="G31"/>
  <c r="F31"/>
  <c r="E31"/>
  <c r="D31"/>
  <c r="C31"/>
  <c r="A31"/>
  <c r="P30"/>
  <c r="N30"/>
  <c r="L30"/>
  <c r="K30"/>
  <c r="J30"/>
  <c r="I30"/>
  <c r="H30"/>
  <c r="G30"/>
  <c r="F30"/>
  <c r="E30"/>
  <c r="D30"/>
  <c r="C30"/>
  <c r="B30"/>
  <c r="A30"/>
  <c r="R29"/>
  <c r="C29"/>
  <c r="A29"/>
  <c r="P28"/>
  <c r="N28"/>
  <c r="L28"/>
  <c r="K28"/>
  <c r="J28"/>
  <c r="I28"/>
  <c r="H28"/>
  <c r="G28"/>
  <c r="F28"/>
  <c r="E28"/>
  <c r="D28"/>
  <c r="C28"/>
  <c r="P27"/>
  <c r="N27"/>
  <c r="L27"/>
  <c r="K27"/>
  <c r="J27"/>
  <c r="I27"/>
  <c r="H27"/>
  <c r="G27"/>
  <c r="F27"/>
  <c r="E27"/>
  <c r="D27"/>
  <c r="C27"/>
  <c r="B27"/>
  <c r="P26"/>
  <c r="N26"/>
  <c r="L26"/>
  <c r="K26"/>
  <c r="J26"/>
  <c r="I26"/>
  <c r="H26"/>
  <c r="G26"/>
  <c r="F26"/>
  <c r="E26"/>
  <c r="D26"/>
  <c r="C26"/>
  <c r="B26"/>
  <c r="A26"/>
  <c r="P25"/>
  <c r="N25"/>
  <c r="L25"/>
  <c r="K25"/>
  <c r="J25"/>
  <c r="I25"/>
  <c r="H25"/>
  <c r="G25"/>
  <c r="F25"/>
  <c r="E25"/>
  <c r="D25"/>
  <c r="C25"/>
  <c r="P24"/>
  <c r="N24"/>
  <c r="L24"/>
  <c r="K24"/>
  <c r="J24"/>
  <c r="I24"/>
  <c r="H24"/>
  <c r="G24"/>
  <c r="F24"/>
  <c r="E24"/>
  <c r="D24"/>
  <c r="C24"/>
  <c r="B24"/>
  <c r="A24"/>
  <c r="P23"/>
  <c r="N23"/>
  <c r="L23"/>
  <c r="K23"/>
  <c r="J23"/>
  <c r="I23"/>
  <c r="H23"/>
  <c r="G23"/>
  <c r="F23"/>
  <c r="E23"/>
  <c r="D23"/>
  <c r="C23"/>
  <c r="B23"/>
  <c r="P22"/>
  <c r="N22"/>
  <c r="L22"/>
  <c r="K22"/>
  <c r="J22"/>
  <c r="I22"/>
  <c r="H22"/>
  <c r="G22"/>
  <c r="F22"/>
  <c r="E22"/>
  <c r="D22"/>
  <c r="C22"/>
  <c r="B22"/>
  <c r="P21"/>
  <c r="N21"/>
  <c r="L21"/>
  <c r="K21"/>
  <c r="J21"/>
  <c r="I21"/>
  <c r="H21"/>
  <c r="G21"/>
  <c r="F21"/>
  <c r="E21"/>
  <c r="D21"/>
  <c r="C21"/>
  <c r="B21"/>
  <c r="A21"/>
  <c r="R20"/>
  <c r="C20"/>
  <c r="A20"/>
  <c r="P19"/>
  <c r="N19"/>
  <c r="L19"/>
  <c r="K19"/>
  <c r="J19"/>
  <c r="I19"/>
  <c r="H19"/>
  <c r="G19"/>
  <c r="F19"/>
  <c r="E19"/>
  <c r="D19"/>
  <c r="C19"/>
  <c r="A19"/>
  <c r="R18"/>
  <c r="C18"/>
  <c r="A18"/>
  <c r="P17"/>
  <c r="N17"/>
  <c r="L17"/>
  <c r="K17"/>
  <c r="J17"/>
  <c r="I17"/>
  <c r="H17"/>
  <c r="G17"/>
  <c r="F17"/>
  <c r="E17"/>
  <c r="D17"/>
  <c r="C17"/>
  <c r="B17"/>
  <c r="R16"/>
  <c r="P16"/>
  <c r="N16"/>
  <c r="L16"/>
  <c r="K16"/>
  <c r="J16"/>
  <c r="I16"/>
  <c r="H16"/>
  <c r="G16"/>
  <c r="F16"/>
  <c r="E16"/>
  <c r="D16"/>
  <c r="C16"/>
  <c r="B16"/>
  <c r="A16"/>
  <c r="P15"/>
  <c r="N15"/>
  <c r="L15"/>
  <c r="K15"/>
  <c r="J15"/>
  <c r="I15"/>
  <c r="H15"/>
  <c r="G15"/>
  <c r="F15"/>
  <c r="E15"/>
  <c r="D15"/>
  <c r="C15"/>
  <c r="B15"/>
  <c r="A15"/>
  <c r="P14"/>
  <c r="N14"/>
  <c r="L14"/>
  <c r="K14"/>
  <c r="J14"/>
  <c r="I14"/>
  <c r="H14"/>
  <c r="G14"/>
  <c r="F14"/>
  <c r="E14"/>
  <c r="D14"/>
  <c r="C14"/>
  <c r="B14"/>
  <c r="A14"/>
  <c r="R13"/>
  <c r="P13"/>
  <c r="N13"/>
  <c r="L13"/>
  <c r="K13"/>
  <c r="J13"/>
  <c r="I13"/>
  <c r="H13"/>
  <c r="G13"/>
  <c r="F13"/>
  <c r="E13"/>
  <c r="D13"/>
  <c r="C13"/>
  <c r="B13"/>
  <c r="A13"/>
  <c r="C12"/>
  <c r="A12"/>
  <c r="P11"/>
  <c r="N11"/>
  <c r="L11"/>
  <c r="K11"/>
  <c r="J11"/>
  <c r="I11"/>
  <c r="H11"/>
  <c r="G11"/>
  <c r="F11"/>
  <c r="E11"/>
  <c r="D11"/>
  <c r="C11"/>
  <c r="B11"/>
  <c r="A11"/>
  <c r="R10"/>
  <c r="C10"/>
  <c r="A10"/>
  <c r="P9"/>
  <c r="N9"/>
  <c r="L9"/>
  <c r="K9"/>
  <c r="J9"/>
  <c r="I9"/>
  <c r="H9"/>
  <c r="G9"/>
  <c r="F9"/>
  <c r="E9"/>
  <c r="D9"/>
  <c r="C9"/>
  <c r="B9"/>
  <c r="A9"/>
  <c r="R8"/>
  <c r="R6"/>
  <c r="P8"/>
  <c r="N8"/>
  <c r="L8"/>
  <c r="K8"/>
  <c r="J8"/>
  <c r="I8"/>
  <c r="H8"/>
  <c r="G8"/>
  <c r="F8"/>
  <c r="E8"/>
  <c r="D8"/>
  <c r="C8"/>
  <c r="B8"/>
  <c r="A8"/>
  <c r="P7"/>
  <c r="N7"/>
  <c r="L7"/>
  <c r="K7"/>
  <c r="J7"/>
  <c r="I7"/>
  <c r="H7"/>
  <c r="G7"/>
  <c r="F7"/>
  <c r="E7"/>
  <c r="D7"/>
  <c r="C7"/>
  <c r="B7"/>
  <c r="A7"/>
  <c r="C6"/>
  <c r="A6"/>
  <c r="C3"/>
  <c r="C2"/>
  <c r="A2"/>
  <c r="P53" i="20"/>
  <c r="N53"/>
  <c r="L53"/>
  <c r="K53"/>
  <c r="J53"/>
  <c r="I53"/>
  <c r="H53"/>
  <c r="G53"/>
  <c r="F53"/>
  <c r="E53"/>
  <c r="C53"/>
  <c r="B53"/>
  <c r="A53"/>
  <c r="P51"/>
  <c r="L13" i="65"/>
  <c r="M51" i="20"/>
  <c r="N51"/>
  <c r="L51"/>
  <c r="K51"/>
  <c r="J51"/>
  <c r="I51"/>
  <c r="H51"/>
  <c r="G51"/>
  <c r="F51"/>
  <c r="E51"/>
  <c r="C51"/>
  <c r="B51"/>
  <c r="A51"/>
  <c r="P47"/>
  <c r="N47"/>
  <c r="L47"/>
  <c r="K47"/>
  <c r="J47"/>
  <c r="I47"/>
  <c r="H47"/>
  <c r="G47"/>
  <c r="F47"/>
  <c r="E47"/>
  <c r="D47"/>
  <c r="C47"/>
  <c r="B47"/>
  <c r="A47"/>
  <c r="P46"/>
  <c r="N46"/>
  <c r="L46"/>
  <c r="K46"/>
  <c r="J46"/>
  <c r="I46"/>
  <c r="H46"/>
  <c r="G46"/>
  <c r="F46"/>
  <c r="E46"/>
  <c r="D46"/>
  <c r="C46"/>
  <c r="B46"/>
  <c r="A46"/>
  <c r="P45"/>
  <c r="N45"/>
  <c r="L45"/>
  <c r="K45"/>
  <c r="J45"/>
  <c r="I45"/>
  <c r="H45"/>
  <c r="G45"/>
  <c r="F45"/>
  <c r="E45"/>
  <c r="D45"/>
  <c r="C45"/>
  <c r="B45"/>
  <c r="A45"/>
  <c r="P44"/>
  <c r="N44"/>
  <c r="L44"/>
  <c r="K44"/>
  <c r="J44"/>
  <c r="I44"/>
  <c r="H44"/>
  <c r="G44"/>
  <c r="F44"/>
  <c r="E44"/>
  <c r="D44"/>
  <c r="C44"/>
  <c r="B44"/>
  <c r="A44"/>
  <c r="P43"/>
  <c r="N43"/>
  <c r="L43"/>
  <c r="K43"/>
  <c r="J43"/>
  <c r="I43"/>
  <c r="H43"/>
  <c r="G43"/>
  <c r="F43"/>
  <c r="E43"/>
  <c r="D43"/>
  <c r="C43"/>
  <c r="B43"/>
  <c r="A43"/>
  <c r="P42"/>
  <c r="N42"/>
  <c r="L42"/>
  <c r="K42"/>
  <c r="J42"/>
  <c r="I42"/>
  <c r="H42"/>
  <c r="G42"/>
  <c r="F42"/>
  <c r="E42"/>
  <c r="D42"/>
  <c r="C42"/>
  <c r="B42"/>
  <c r="A42"/>
  <c r="P41"/>
  <c r="N41"/>
  <c r="L41"/>
  <c r="K41"/>
  <c r="J41"/>
  <c r="I41"/>
  <c r="H41"/>
  <c r="G41"/>
  <c r="F41"/>
  <c r="E41"/>
  <c r="D41"/>
  <c r="C41"/>
  <c r="B41"/>
  <c r="A41"/>
  <c r="P40"/>
  <c r="N40"/>
  <c r="L40"/>
  <c r="K40"/>
  <c r="J40"/>
  <c r="I40"/>
  <c r="H40"/>
  <c r="G40"/>
  <c r="F40"/>
  <c r="E40"/>
  <c r="D40"/>
  <c r="C40"/>
  <c r="B40"/>
  <c r="A40"/>
  <c r="P39"/>
  <c r="N39"/>
  <c r="L39"/>
  <c r="K39"/>
  <c r="J39"/>
  <c r="I39"/>
  <c r="H39"/>
  <c r="G39"/>
  <c r="F39"/>
  <c r="E39"/>
  <c r="D39"/>
  <c r="C39"/>
  <c r="B39"/>
  <c r="A39"/>
  <c r="P38"/>
  <c r="N38"/>
  <c r="L38"/>
  <c r="K38"/>
  <c r="J38"/>
  <c r="I38"/>
  <c r="H38"/>
  <c r="G38"/>
  <c r="F38"/>
  <c r="E38"/>
  <c r="D38"/>
  <c r="C38"/>
  <c r="B38"/>
  <c r="A38"/>
  <c r="P37"/>
  <c r="N37"/>
  <c r="L37"/>
  <c r="K37"/>
  <c r="J37"/>
  <c r="I37"/>
  <c r="H37"/>
  <c r="G37"/>
  <c r="F37"/>
  <c r="E37"/>
  <c r="D37"/>
  <c r="C37"/>
  <c r="B37"/>
  <c r="A37"/>
  <c r="R36"/>
  <c r="C36"/>
  <c r="A36"/>
  <c r="P35"/>
  <c r="N35"/>
  <c r="L35"/>
  <c r="K35"/>
  <c r="J35"/>
  <c r="I35"/>
  <c r="H35"/>
  <c r="G35"/>
  <c r="F35"/>
  <c r="E35"/>
  <c r="D35"/>
  <c r="C35"/>
  <c r="A35"/>
  <c r="P34"/>
  <c r="N34"/>
  <c r="L34"/>
  <c r="K34"/>
  <c r="J34"/>
  <c r="I34"/>
  <c r="H34"/>
  <c r="G34"/>
  <c r="F34"/>
  <c r="E34"/>
  <c r="D34"/>
  <c r="C34"/>
  <c r="B34"/>
  <c r="A34"/>
  <c r="R33"/>
  <c r="C33"/>
  <c r="A33"/>
  <c r="P32"/>
  <c r="N32"/>
  <c r="L32"/>
  <c r="K32"/>
  <c r="J32"/>
  <c r="I32"/>
  <c r="H32"/>
  <c r="G32"/>
  <c r="F32"/>
  <c r="E32"/>
  <c r="D32"/>
  <c r="C32"/>
  <c r="B32"/>
  <c r="A32"/>
  <c r="R31"/>
  <c r="C31"/>
  <c r="A31"/>
  <c r="P30"/>
  <c r="N30"/>
  <c r="L30"/>
  <c r="K30"/>
  <c r="J30"/>
  <c r="I30"/>
  <c r="H30"/>
  <c r="G30"/>
  <c r="F30"/>
  <c r="E30"/>
  <c r="D30"/>
  <c r="C30"/>
  <c r="P29"/>
  <c r="N29"/>
  <c r="L29"/>
  <c r="K29"/>
  <c r="J29"/>
  <c r="I29"/>
  <c r="H29"/>
  <c r="G29"/>
  <c r="F29"/>
  <c r="E29"/>
  <c r="D29"/>
  <c r="C29"/>
  <c r="B29"/>
  <c r="A29"/>
  <c r="R28"/>
  <c r="C28"/>
  <c r="A28"/>
  <c r="P27"/>
  <c r="N27"/>
  <c r="L27"/>
  <c r="K27"/>
  <c r="J27"/>
  <c r="I27"/>
  <c r="H27"/>
  <c r="G27"/>
  <c r="F27"/>
  <c r="E27"/>
  <c r="D27"/>
  <c r="C27"/>
  <c r="B27"/>
  <c r="A27"/>
  <c r="R26"/>
  <c r="C26"/>
  <c r="A26"/>
  <c r="P25"/>
  <c r="N25"/>
  <c r="L25"/>
  <c r="K25"/>
  <c r="J25"/>
  <c r="I25"/>
  <c r="H25"/>
  <c r="G25"/>
  <c r="F25"/>
  <c r="E25"/>
  <c r="D25"/>
  <c r="C25"/>
  <c r="B25"/>
  <c r="P24"/>
  <c r="N24"/>
  <c r="L24"/>
  <c r="K24"/>
  <c r="J24"/>
  <c r="I24"/>
  <c r="H24"/>
  <c r="G24"/>
  <c r="F24"/>
  <c r="E24"/>
  <c r="D24"/>
  <c r="C24"/>
  <c r="B24"/>
  <c r="A24"/>
  <c r="R23"/>
  <c r="C23"/>
  <c r="A23"/>
  <c r="P22"/>
  <c r="N22"/>
  <c r="L22"/>
  <c r="K22"/>
  <c r="J22"/>
  <c r="I22"/>
  <c r="H22"/>
  <c r="G22"/>
  <c r="F22"/>
  <c r="E22"/>
  <c r="D22"/>
  <c r="C22"/>
  <c r="P21"/>
  <c r="N21"/>
  <c r="L21"/>
  <c r="K21"/>
  <c r="J21"/>
  <c r="I21"/>
  <c r="H21"/>
  <c r="G21"/>
  <c r="F21"/>
  <c r="E21"/>
  <c r="D21"/>
  <c r="C21"/>
  <c r="B21"/>
  <c r="A21"/>
  <c r="P20"/>
  <c r="N20"/>
  <c r="L20"/>
  <c r="K20"/>
  <c r="J20"/>
  <c r="I20"/>
  <c r="H20"/>
  <c r="G20"/>
  <c r="F20"/>
  <c r="E20"/>
  <c r="D20"/>
  <c r="C20"/>
  <c r="B20"/>
  <c r="P19"/>
  <c r="N19"/>
  <c r="L19"/>
  <c r="K19"/>
  <c r="J19"/>
  <c r="I19"/>
  <c r="H19"/>
  <c r="G19"/>
  <c r="F19"/>
  <c r="E19"/>
  <c r="D19"/>
  <c r="C19"/>
  <c r="B19"/>
  <c r="P18"/>
  <c r="N18"/>
  <c r="L18"/>
  <c r="K18"/>
  <c r="J18"/>
  <c r="I18"/>
  <c r="H18"/>
  <c r="G18"/>
  <c r="F18"/>
  <c r="E18"/>
  <c r="D18"/>
  <c r="C18"/>
  <c r="B18"/>
  <c r="P17"/>
  <c r="N17"/>
  <c r="L17"/>
  <c r="K17"/>
  <c r="J17"/>
  <c r="I17"/>
  <c r="H17"/>
  <c r="G17"/>
  <c r="F17"/>
  <c r="E17"/>
  <c r="D17"/>
  <c r="C17"/>
  <c r="B17"/>
  <c r="A17"/>
  <c r="R16"/>
  <c r="C16"/>
  <c r="A16"/>
  <c r="P15"/>
  <c r="N15"/>
  <c r="L15"/>
  <c r="K15"/>
  <c r="J15"/>
  <c r="I15"/>
  <c r="H15"/>
  <c r="G15"/>
  <c r="F15"/>
  <c r="E15"/>
  <c r="D15"/>
  <c r="C15"/>
  <c r="B15"/>
  <c r="P14"/>
  <c r="N14"/>
  <c r="L14"/>
  <c r="K14"/>
  <c r="J14"/>
  <c r="I14"/>
  <c r="H14"/>
  <c r="G14"/>
  <c r="F14"/>
  <c r="E14"/>
  <c r="D14"/>
  <c r="C14"/>
  <c r="B14"/>
  <c r="P13"/>
  <c r="N13"/>
  <c r="L13"/>
  <c r="K13"/>
  <c r="J13"/>
  <c r="I13"/>
  <c r="H13"/>
  <c r="G13"/>
  <c r="F13"/>
  <c r="E13"/>
  <c r="D13"/>
  <c r="C13"/>
  <c r="B13"/>
  <c r="A13"/>
  <c r="R12"/>
  <c r="C12"/>
  <c r="A12"/>
  <c r="P11"/>
  <c r="N11"/>
  <c r="L11"/>
  <c r="K11"/>
  <c r="J11"/>
  <c r="I11"/>
  <c r="H11"/>
  <c r="G11"/>
  <c r="F11"/>
  <c r="E11"/>
  <c r="D11"/>
  <c r="C11"/>
  <c r="B11"/>
  <c r="A11"/>
  <c r="R10"/>
  <c r="C10"/>
  <c r="A10"/>
  <c r="P9"/>
  <c r="N9"/>
  <c r="L9"/>
  <c r="K9"/>
  <c r="J9"/>
  <c r="I9"/>
  <c r="H9"/>
  <c r="G9"/>
  <c r="F9"/>
  <c r="E9"/>
  <c r="D9"/>
  <c r="C9"/>
  <c r="B9"/>
  <c r="A9"/>
  <c r="P8"/>
  <c r="N8"/>
  <c r="L8"/>
  <c r="K8"/>
  <c r="J8"/>
  <c r="I8"/>
  <c r="H8"/>
  <c r="G8"/>
  <c r="F8"/>
  <c r="E8"/>
  <c r="D8"/>
  <c r="C8"/>
  <c r="B8"/>
  <c r="A8"/>
  <c r="P7"/>
  <c r="N7"/>
  <c r="L7"/>
  <c r="K7"/>
  <c r="J7"/>
  <c r="I7"/>
  <c r="H7"/>
  <c r="G7"/>
  <c r="F7"/>
  <c r="E7"/>
  <c r="D7"/>
  <c r="C7"/>
  <c r="B7"/>
  <c r="A7"/>
  <c r="R6"/>
  <c r="C6"/>
  <c r="A6"/>
  <c r="C3"/>
  <c r="C2"/>
  <c r="A2"/>
  <c r="P140" i="30"/>
  <c r="N140"/>
  <c r="L140"/>
  <c r="K140"/>
  <c r="J140"/>
  <c r="I140"/>
  <c r="H140"/>
  <c r="G140"/>
  <c r="F140"/>
  <c r="E140"/>
  <c r="C140"/>
  <c r="A140"/>
  <c r="P138"/>
  <c r="L12" i="65"/>
  <c r="N138" i="30"/>
  <c r="L138"/>
  <c r="K138"/>
  <c r="J138"/>
  <c r="I138"/>
  <c r="H138"/>
  <c r="G138"/>
  <c r="F138"/>
  <c r="E138"/>
  <c r="C138"/>
  <c r="A138"/>
  <c r="P134"/>
  <c r="N134"/>
  <c r="L134"/>
  <c r="K134"/>
  <c r="J134"/>
  <c r="I134"/>
  <c r="H134"/>
  <c r="G134"/>
  <c r="F134"/>
  <c r="E134"/>
  <c r="D134"/>
  <c r="C134"/>
  <c r="B134"/>
  <c r="A134"/>
  <c r="P133"/>
  <c r="N133"/>
  <c r="L133"/>
  <c r="K133"/>
  <c r="J133"/>
  <c r="I133"/>
  <c r="H133"/>
  <c r="G133"/>
  <c r="F133"/>
  <c r="E133"/>
  <c r="D133"/>
  <c r="C133"/>
  <c r="B133"/>
  <c r="A133"/>
  <c r="P132"/>
  <c r="N132"/>
  <c r="L132"/>
  <c r="K132"/>
  <c r="J132"/>
  <c r="I132"/>
  <c r="H132"/>
  <c r="G132"/>
  <c r="F132"/>
  <c r="E132"/>
  <c r="D132"/>
  <c r="C132"/>
  <c r="B132"/>
  <c r="A132"/>
  <c r="P131"/>
  <c r="N131"/>
  <c r="L131"/>
  <c r="K131"/>
  <c r="J131"/>
  <c r="I131"/>
  <c r="H131"/>
  <c r="G131"/>
  <c r="F131"/>
  <c r="E131"/>
  <c r="D131"/>
  <c r="C131"/>
  <c r="B131"/>
  <c r="A131"/>
  <c r="P130"/>
  <c r="N130"/>
  <c r="L130"/>
  <c r="K130"/>
  <c r="J130"/>
  <c r="I130"/>
  <c r="H130"/>
  <c r="G130"/>
  <c r="F130"/>
  <c r="E130"/>
  <c r="D130"/>
  <c r="C130"/>
  <c r="B130"/>
  <c r="A130"/>
  <c r="P129"/>
  <c r="N129"/>
  <c r="L129"/>
  <c r="K129"/>
  <c r="J129"/>
  <c r="I129"/>
  <c r="H129"/>
  <c r="G129"/>
  <c r="F129"/>
  <c r="E129"/>
  <c r="D129"/>
  <c r="C129"/>
  <c r="B129"/>
  <c r="A129"/>
  <c r="P128"/>
  <c r="N128"/>
  <c r="L128"/>
  <c r="K128"/>
  <c r="J128"/>
  <c r="I128"/>
  <c r="H128"/>
  <c r="G128"/>
  <c r="F128"/>
  <c r="E128"/>
  <c r="D128"/>
  <c r="C128"/>
  <c r="B128"/>
  <c r="A128"/>
  <c r="P127"/>
  <c r="N127"/>
  <c r="L127"/>
  <c r="K127"/>
  <c r="J127"/>
  <c r="I127"/>
  <c r="H127"/>
  <c r="G127"/>
  <c r="F127"/>
  <c r="E127"/>
  <c r="D127"/>
  <c r="C127"/>
  <c r="B127"/>
  <c r="A127"/>
  <c r="P126"/>
  <c r="N126"/>
  <c r="L126"/>
  <c r="K126"/>
  <c r="J126"/>
  <c r="I126"/>
  <c r="H126"/>
  <c r="G126"/>
  <c r="F126"/>
  <c r="E126"/>
  <c r="D126"/>
  <c r="C126"/>
  <c r="B126"/>
  <c r="A126"/>
  <c r="P125"/>
  <c r="N125"/>
  <c r="L125"/>
  <c r="K125"/>
  <c r="J125"/>
  <c r="I125"/>
  <c r="H125"/>
  <c r="G125"/>
  <c r="F125"/>
  <c r="E125"/>
  <c r="D125"/>
  <c r="C125"/>
  <c r="B125"/>
  <c r="A125"/>
  <c r="P124"/>
  <c r="N124"/>
  <c r="L124"/>
  <c r="K124"/>
  <c r="J124"/>
  <c r="I124"/>
  <c r="H124"/>
  <c r="G124"/>
  <c r="F124"/>
  <c r="E124"/>
  <c r="D124"/>
  <c r="C124"/>
  <c r="B124"/>
  <c r="A124"/>
  <c r="P123"/>
  <c r="N123"/>
  <c r="L123"/>
  <c r="K123"/>
  <c r="J123"/>
  <c r="I123"/>
  <c r="H123"/>
  <c r="G123"/>
  <c r="F123"/>
  <c r="E123"/>
  <c r="D123"/>
  <c r="C123"/>
  <c r="B123"/>
  <c r="A123"/>
  <c r="P122"/>
  <c r="N122"/>
  <c r="L122"/>
  <c r="K122"/>
  <c r="J122"/>
  <c r="I122"/>
  <c r="H122"/>
  <c r="G122"/>
  <c r="F122"/>
  <c r="E122"/>
  <c r="D122"/>
  <c r="C122"/>
  <c r="B122"/>
  <c r="A122"/>
  <c r="P121"/>
  <c r="N121"/>
  <c r="L121"/>
  <c r="K121"/>
  <c r="J121"/>
  <c r="I121"/>
  <c r="H121"/>
  <c r="G121"/>
  <c r="F121"/>
  <c r="E121"/>
  <c r="D121"/>
  <c r="C121"/>
  <c r="B121"/>
  <c r="A121"/>
  <c r="P120"/>
  <c r="N120"/>
  <c r="L120"/>
  <c r="K120"/>
  <c r="J120"/>
  <c r="I120"/>
  <c r="H120"/>
  <c r="G120"/>
  <c r="F120"/>
  <c r="E120"/>
  <c r="D120"/>
  <c r="C120"/>
  <c r="B120"/>
  <c r="A120"/>
  <c r="P119"/>
  <c r="N119"/>
  <c r="L119"/>
  <c r="K119"/>
  <c r="J119"/>
  <c r="I119"/>
  <c r="H119"/>
  <c r="G119"/>
  <c r="F119"/>
  <c r="E119"/>
  <c r="D119"/>
  <c r="C119"/>
  <c r="B119"/>
  <c r="A119"/>
  <c r="P118"/>
  <c r="N118"/>
  <c r="L118"/>
  <c r="K118"/>
  <c r="J118"/>
  <c r="I118"/>
  <c r="H118"/>
  <c r="G118"/>
  <c r="F118"/>
  <c r="E118"/>
  <c r="D118"/>
  <c r="C118"/>
  <c r="B118"/>
  <c r="A118"/>
  <c r="P117"/>
  <c r="N117"/>
  <c r="L117"/>
  <c r="K117"/>
  <c r="J117"/>
  <c r="I117"/>
  <c r="H117"/>
  <c r="G117"/>
  <c r="F117"/>
  <c r="E117"/>
  <c r="D117"/>
  <c r="C117"/>
  <c r="B117"/>
  <c r="A117"/>
  <c r="P116"/>
  <c r="N116"/>
  <c r="L116"/>
  <c r="K116"/>
  <c r="J116"/>
  <c r="I116"/>
  <c r="H116"/>
  <c r="G116"/>
  <c r="F116"/>
  <c r="E116"/>
  <c r="D116"/>
  <c r="C116"/>
  <c r="B116"/>
  <c r="A116"/>
  <c r="P115"/>
  <c r="N115"/>
  <c r="L115"/>
  <c r="K115"/>
  <c r="J115"/>
  <c r="I115"/>
  <c r="H115"/>
  <c r="G115"/>
  <c r="F115"/>
  <c r="E115"/>
  <c r="D115"/>
  <c r="C115"/>
  <c r="B115"/>
  <c r="A115"/>
  <c r="P114"/>
  <c r="N114"/>
  <c r="L114"/>
  <c r="K114"/>
  <c r="J114"/>
  <c r="I114"/>
  <c r="H114"/>
  <c r="G114"/>
  <c r="F114"/>
  <c r="E114"/>
  <c r="D114"/>
  <c r="C114"/>
  <c r="B114"/>
  <c r="A114"/>
  <c r="P113"/>
  <c r="N113"/>
  <c r="L113"/>
  <c r="K113"/>
  <c r="J113"/>
  <c r="I113"/>
  <c r="H113"/>
  <c r="G113"/>
  <c r="F113"/>
  <c r="E113"/>
  <c r="D113"/>
  <c r="C113"/>
  <c r="B113"/>
  <c r="A113"/>
  <c r="P112"/>
  <c r="N112"/>
  <c r="L112"/>
  <c r="K112"/>
  <c r="J112"/>
  <c r="I112"/>
  <c r="H112"/>
  <c r="G112"/>
  <c r="F112"/>
  <c r="E112"/>
  <c r="D112"/>
  <c r="C112"/>
  <c r="B112"/>
  <c r="A112"/>
  <c r="P111"/>
  <c r="N111"/>
  <c r="L111"/>
  <c r="K111"/>
  <c r="J111"/>
  <c r="I111"/>
  <c r="H111"/>
  <c r="G111"/>
  <c r="F111"/>
  <c r="E111"/>
  <c r="D111"/>
  <c r="C111"/>
  <c r="B111"/>
  <c r="A111"/>
  <c r="P110"/>
  <c r="N110"/>
  <c r="L110"/>
  <c r="K110"/>
  <c r="J110"/>
  <c r="I110"/>
  <c r="H110"/>
  <c r="G110"/>
  <c r="F110"/>
  <c r="E110"/>
  <c r="D110"/>
  <c r="C110"/>
  <c r="B110"/>
  <c r="A110"/>
  <c r="P109"/>
  <c r="N109"/>
  <c r="L109"/>
  <c r="K109"/>
  <c r="J109"/>
  <c r="I109"/>
  <c r="H109"/>
  <c r="G109"/>
  <c r="F109"/>
  <c r="E109"/>
  <c r="D109"/>
  <c r="C109"/>
  <c r="B109"/>
  <c r="A109"/>
  <c r="R108"/>
  <c r="C108"/>
  <c r="A108"/>
  <c r="P107"/>
  <c r="N107"/>
  <c r="L107"/>
  <c r="K107"/>
  <c r="J107"/>
  <c r="I107"/>
  <c r="H107"/>
  <c r="G107"/>
  <c r="F107"/>
  <c r="E107"/>
  <c r="D107"/>
  <c r="C107"/>
  <c r="B107"/>
  <c r="A107"/>
  <c r="P106"/>
  <c r="N106"/>
  <c r="L106"/>
  <c r="K106"/>
  <c r="J106"/>
  <c r="I106"/>
  <c r="H106"/>
  <c r="G106"/>
  <c r="F106"/>
  <c r="E106"/>
  <c r="D106"/>
  <c r="C106"/>
  <c r="B106"/>
  <c r="A106"/>
  <c r="R105"/>
  <c r="C105"/>
  <c r="A105"/>
  <c r="P104"/>
  <c r="N104"/>
  <c r="L104"/>
  <c r="K104"/>
  <c r="J104"/>
  <c r="I104"/>
  <c r="H104"/>
  <c r="G104"/>
  <c r="F104"/>
  <c r="E104"/>
  <c r="D104"/>
  <c r="C104"/>
  <c r="B104"/>
  <c r="A104"/>
  <c r="R103"/>
  <c r="C103"/>
  <c r="A103"/>
  <c r="P102"/>
  <c r="N102"/>
  <c r="L102"/>
  <c r="K102"/>
  <c r="J102"/>
  <c r="I102"/>
  <c r="H102"/>
  <c r="G102"/>
  <c r="F102"/>
  <c r="E102"/>
  <c r="D102"/>
  <c r="C102"/>
  <c r="P101"/>
  <c r="N101"/>
  <c r="L101"/>
  <c r="K101"/>
  <c r="J101"/>
  <c r="I101"/>
  <c r="H101"/>
  <c r="G101"/>
  <c r="F101"/>
  <c r="E101"/>
  <c r="D101"/>
  <c r="C101"/>
  <c r="B101"/>
  <c r="P100"/>
  <c r="N100"/>
  <c r="L100"/>
  <c r="K100"/>
  <c r="J100"/>
  <c r="I100"/>
  <c r="H100"/>
  <c r="G100"/>
  <c r="F100"/>
  <c r="E100"/>
  <c r="D100"/>
  <c r="C100"/>
  <c r="B100"/>
  <c r="P99"/>
  <c r="N99"/>
  <c r="L99"/>
  <c r="K99"/>
  <c r="J99"/>
  <c r="I99"/>
  <c r="H99"/>
  <c r="G99"/>
  <c r="F99"/>
  <c r="E99"/>
  <c r="D99"/>
  <c r="C99"/>
  <c r="B99"/>
  <c r="A99"/>
  <c r="R98"/>
  <c r="C98"/>
  <c r="A98"/>
  <c r="P97"/>
  <c r="N97"/>
  <c r="L97"/>
  <c r="K97"/>
  <c r="J97"/>
  <c r="I97"/>
  <c r="H97"/>
  <c r="G97"/>
  <c r="F97"/>
  <c r="E97"/>
  <c r="D97"/>
  <c r="C97"/>
  <c r="P96"/>
  <c r="N96"/>
  <c r="L96"/>
  <c r="K96"/>
  <c r="J96"/>
  <c r="I96"/>
  <c r="H96"/>
  <c r="G96"/>
  <c r="F96"/>
  <c r="E96"/>
  <c r="D96"/>
  <c r="C96"/>
  <c r="P95"/>
  <c r="N95"/>
  <c r="L95"/>
  <c r="K95"/>
  <c r="J95"/>
  <c r="I95"/>
  <c r="H95"/>
  <c r="G95"/>
  <c r="F95"/>
  <c r="E95"/>
  <c r="D95"/>
  <c r="C95"/>
  <c r="B95"/>
  <c r="P94"/>
  <c r="N94"/>
  <c r="L94"/>
  <c r="K94"/>
  <c r="J94"/>
  <c r="I94"/>
  <c r="H94"/>
  <c r="G94"/>
  <c r="F94"/>
  <c r="E94"/>
  <c r="D94"/>
  <c r="C94"/>
  <c r="B94"/>
  <c r="P93"/>
  <c r="N93"/>
  <c r="L93"/>
  <c r="K93"/>
  <c r="J93"/>
  <c r="I93"/>
  <c r="H93"/>
  <c r="G93"/>
  <c r="F93"/>
  <c r="E93"/>
  <c r="D93"/>
  <c r="C93"/>
  <c r="B93"/>
  <c r="P92"/>
  <c r="N92"/>
  <c r="L92"/>
  <c r="K92"/>
  <c r="J92"/>
  <c r="I92"/>
  <c r="H92"/>
  <c r="G92"/>
  <c r="F92"/>
  <c r="E92"/>
  <c r="D92"/>
  <c r="C92"/>
  <c r="B92"/>
  <c r="P91"/>
  <c r="N91"/>
  <c r="L91"/>
  <c r="K91"/>
  <c r="J91"/>
  <c r="I91"/>
  <c r="H91"/>
  <c r="G91"/>
  <c r="F91"/>
  <c r="E91"/>
  <c r="D91"/>
  <c r="C91"/>
  <c r="B91"/>
  <c r="P90"/>
  <c r="N90"/>
  <c r="L90"/>
  <c r="K90"/>
  <c r="J90"/>
  <c r="I90"/>
  <c r="H90"/>
  <c r="G90"/>
  <c r="F90"/>
  <c r="E90"/>
  <c r="D90"/>
  <c r="C90"/>
  <c r="B90"/>
  <c r="A90"/>
  <c r="R89"/>
  <c r="C89"/>
  <c r="A89"/>
  <c r="P88"/>
  <c r="N88"/>
  <c r="L88"/>
  <c r="K88"/>
  <c r="J88"/>
  <c r="I88"/>
  <c r="H88"/>
  <c r="G88"/>
  <c r="F88"/>
  <c r="E88"/>
  <c r="D88"/>
  <c r="C88"/>
  <c r="B88"/>
  <c r="A88"/>
  <c r="P87"/>
  <c r="N87"/>
  <c r="L87"/>
  <c r="K87"/>
  <c r="J87"/>
  <c r="I87"/>
  <c r="H87"/>
  <c r="G87"/>
  <c r="F87"/>
  <c r="E87"/>
  <c r="D87"/>
  <c r="C87"/>
  <c r="B87"/>
  <c r="A87"/>
  <c r="P86"/>
  <c r="N86"/>
  <c r="L86"/>
  <c r="K86"/>
  <c r="J86"/>
  <c r="I86"/>
  <c r="H86"/>
  <c r="G86"/>
  <c r="F86"/>
  <c r="E86"/>
  <c r="D86"/>
  <c r="C86"/>
  <c r="B86"/>
  <c r="A86"/>
  <c r="P85"/>
  <c r="N85"/>
  <c r="L85"/>
  <c r="K85"/>
  <c r="J85"/>
  <c r="I85"/>
  <c r="H85"/>
  <c r="G85"/>
  <c r="F85"/>
  <c r="E85"/>
  <c r="D85"/>
  <c r="C85"/>
  <c r="B85"/>
  <c r="A85"/>
  <c r="P84"/>
  <c r="N84"/>
  <c r="L84"/>
  <c r="K84"/>
  <c r="J84"/>
  <c r="I84"/>
  <c r="H84"/>
  <c r="G84"/>
  <c r="F84"/>
  <c r="E84"/>
  <c r="D84"/>
  <c r="C84"/>
  <c r="B84"/>
  <c r="A84"/>
  <c r="P83"/>
  <c r="N83"/>
  <c r="L83"/>
  <c r="K83"/>
  <c r="J83"/>
  <c r="I83"/>
  <c r="H83"/>
  <c r="G83"/>
  <c r="F83"/>
  <c r="E83"/>
  <c r="D83"/>
  <c r="C83"/>
  <c r="B83"/>
  <c r="A83"/>
  <c r="P82"/>
  <c r="N82"/>
  <c r="L82"/>
  <c r="K82"/>
  <c r="J82"/>
  <c r="I82"/>
  <c r="H82"/>
  <c r="G82"/>
  <c r="F82"/>
  <c r="E82"/>
  <c r="D82"/>
  <c r="C82"/>
  <c r="B82"/>
  <c r="A82"/>
  <c r="P81"/>
  <c r="N81"/>
  <c r="L81"/>
  <c r="K81"/>
  <c r="J81"/>
  <c r="I81"/>
  <c r="H81"/>
  <c r="G81"/>
  <c r="F81"/>
  <c r="E81"/>
  <c r="D81"/>
  <c r="C81"/>
  <c r="B81"/>
  <c r="A81"/>
  <c r="P80"/>
  <c r="N80"/>
  <c r="L80"/>
  <c r="K80"/>
  <c r="J80"/>
  <c r="I80"/>
  <c r="H80"/>
  <c r="G80"/>
  <c r="F80"/>
  <c r="E80"/>
  <c r="D80"/>
  <c r="C80"/>
  <c r="B80"/>
  <c r="A80"/>
  <c r="P79"/>
  <c r="N79"/>
  <c r="L79"/>
  <c r="K79"/>
  <c r="J79"/>
  <c r="I79"/>
  <c r="H79"/>
  <c r="G79"/>
  <c r="F79"/>
  <c r="E79"/>
  <c r="D79"/>
  <c r="C79"/>
  <c r="B79"/>
  <c r="A79"/>
  <c r="P78"/>
  <c r="N78"/>
  <c r="L78"/>
  <c r="K78"/>
  <c r="J78"/>
  <c r="I78"/>
  <c r="H78"/>
  <c r="G78"/>
  <c r="F78"/>
  <c r="E78"/>
  <c r="D78"/>
  <c r="C78"/>
  <c r="B78"/>
  <c r="A78"/>
  <c r="P77"/>
  <c r="N77"/>
  <c r="L77"/>
  <c r="K77"/>
  <c r="J77"/>
  <c r="I77"/>
  <c r="H77"/>
  <c r="G77"/>
  <c r="F77"/>
  <c r="E77"/>
  <c r="D77"/>
  <c r="C77"/>
  <c r="B77"/>
  <c r="A77"/>
  <c r="P76"/>
  <c r="N76"/>
  <c r="L76"/>
  <c r="K76"/>
  <c r="J76"/>
  <c r="I76"/>
  <c r="H76"/>
  <c r="G76"/>
  <c r="F76"/>
  <c r="E76"/>
  <c r="D76"/>
  <c r="C76"/>
  <c r="B76"/>
  <c r="A76"/>
  <c r="P75"/>
  <c r="N75"/>
  <c r="L75"/>
  <c r="K75"/>
  <c r="J75"/>
  <c r="I75"/>
  <c r="H75"/>
  <c r="G75"/>
  <c r="F75"/>
  <c r="E75"/>
  <c r="D75"/>
  <c r="C75"/>
  <c r="B75"/>
  <c r="A75"/>
  <c r="P74"/>
  <c r="N74"/>
  <c r="L74"/>
  <c r="K74"/>
  <c r="J74"/>
  <c r="I74"/>
  <c r="H74"/>
  <c r="G74"/>
  <c r="F74"/>
  <c r="E74"/>
  <c r="D74"/>
  <c r="C74"/>
  <c r="B74"/>
  <c r="A74"/>
  <c r="P73"/>
  <c r="N73"/>
  <c r="L73"/>
  <c r="K73"/>
  <c r="J73"/>
  <c r="I73"/>
  <c r="H73"/>
  <c r="G73"/>
  <c r="F73"/>
  <c r="E73"/>
  <c r="D73"/>
  <c r="C73"/>
  <c r="B73"/>
  <c r="A73"/>
  <c r="P72"/>
  <c r="N72"/>
  <c r="L72"/>
  <c r="K72"/>
  <c r="J72"/>
  <c r="I72"/>
  <c r="H72"/>
  <c r="G72"/>
  <c r="F72"/>
  <c r="E72"/>
  <c r="D72"/>
  <c r="C72"/>
  <c r="B72"/>
  <c r="A72"/>
  <c r="P71"/>
  <c r="N71"/>
  <c r="L71"/>
  <c r="K71"/>
  <c r="J71"/>
  <c r="I71"/>
  <c r="H71"/>
  <c r="G71"/>
  <c r="F71"/>
  <c r="E71"/>
  <c r="D71"/>
  <c r="C71"/>
  <c r="B71"/>
  <c r="A71"/>
  <c r="R70"/>
  <c r="C70"/>
  <c r="A70"/>
  <c r="P69"/>
  <c r="N69"/>
  <c r="L69"/>
  <c r="K69"/>
  <c r="J69"/>
  <c r="I69"/>
  <c r="H69"/>
  <c r="G69"/>
  <c r="F69"/>
  <c r="E69"/>
  <c r="D69"/>
  <c r="C69"/>
  <c r="P68"/>
  <c r="N68"/>
  <c r="L68"/>
  <c r="K68"/>
  <c r="J68"/>
  <c r="I68"/>
  <c r="H68"/>
  <c r="G68"/>
  <c r="F68"/>
  <c r="E68"/>
  <c r="D68"/>
  <c r="C68"/>
  <c r="P67"/>
  <c r="N67"/>
  <c r="L67"/>
  <c r="K67"/>
  <c r="J67"/>
  <c r="I67"/>
  <c r="H67"/>
  <c r="G67"/>
  <c r="F67"/>
  <c r="E67"/>
  <c r="D67"/>
  <c r="C67"/>
  <c r="B67"/>
  <c r="P66"/>
  <c r="N66"/>
  <c r="L66"/>
  <c r="K66"/>
  <c r="J66"/>
  <c r="I66"/>
  <c r="H66"/>
  <c r="G66"/>
  <c r="F66"/>
  <c r="E66"/>
  <c r="D66"/>
  <c r="C66"/>
  <c r="B66"/>
  <c r="P65"/>
  <c r="N65"/>
  <c r="L65"/>
  <c r="K65"/>
  <c r="J65"/>
  <c r="I65"/>
  <c r="H65"/>
  <c r="G65"/>
  <c r="F65"/>
  <c r="E65"/>
  <c r="D65"/>
  <c r="C65"/>
  <c r="B65"/>
  <c r="P64"/>
  <c r="N64"/>
  <c r="L64"/>
  <c r="K64"/>
  <c r="J64"/>
  <c r="I64"/>
  <c r="H64"/>
  <c r="G64"/>
  <c r="F64"/>
  <c r="E64"/>
  <c r="D64"/>
  <c r="C64"/>
  <c r="B64"/>
  <c r="P63"/>
  <c r="N63"/>
  <c r="L63"/>
  <c r="K63"/>
  <c r="J63"/>
  <c r="I63"/>
  <c r="H63"/>
  <c r="G63"/>
  <c r="F63"/>
  <c r="E63"/>
  <c r="D63"/>
  <c r="C63"/>
  <c r="B63"/>
  <c r="P62"/>
  <c r="N62"/>
  <c r="L62"/>
  <c r="K62"/>
  <c r="J62"/>
  <c r="I62"/>
  <c r="H62"/>
  <c r="G62"/>
  <c r="F62"/>
  <c r="E62"/>
  <c r="D62"/>
  <c r="C62"/>
  <c r="B62"/>
  <c r="A62"/>
  <c r="R61"/>
  <c r="C61"/>
  <c r="A61"/>
  <c r="P60"/>
  <c r="N60"/>
  <c r="L60"/>
  <c r="K60"/>
  <c r="J60"/>
  <c r="I60"/>
  <c r="H60"/>
  <c r="G60"/>
  <c r="F60"/>
  <c r="E60"/>
  <c r="D60"/>
  <c r="C60"/>
  <c r="B60"/>
  <c r="P59"/>
  <c r="N59"/>
  <c r="L59"/>
  <c r="K59"/>
  <c r="J59"/>
  <c r="I59"/>
  <c r="H59"/>
  <c r="G59"/>
  <c r="F59"/>
  <c r="E59"/>
  <c r="D59"/>
  <c r="C59"/>
  <c r="B59"/>
  <c r="P58"/>
  <c r="N58"/>
  <c r="L58"/>
  <c r="K58"/>
  <c r="J58"/>
  <c r="I58"/>
  <c r="H58"/>
  <c r="G58"/>
  <c r="F58"/>
  <c r="E58"/>
  <c r="D58"/>
  <c r="C58"/>
  <c r="B58"/>
  <c r="P57"/>
  <c r="N57"/>
  <c r="L57"/>
  <c r="K57"/>
  <c r="J57"/>
  <c r="I57"/>
  <c r="H57"/>
  <c r="G57"/>
  <c r="F57"/>
  <c r="E57"/>
  <c r="D57"/>
  <c r="C57"/>
  <c r="B57"/>
  <c r="P56"/>
  <c r="N56"/>
  <c r="L56"/>
  <c r="K56"/>
  <c r="J56"/>
  <c r="I56"/>
  <c r="H56"/>
  <c r="G56"/>
  <c r="F56"/>
  <c r="E56"/>
  <c r="D56"/>
  <c r="C56"/>
  <c r="B56"/>
  <c r="P55"/>
  <c r="N55"/>
  <c r="L55"/>
  <c r="K55"/>
  <c r="J55"/>
  <c r="I55"/>
  <c r="H55"/>
  <c r="G55"/>
  <c r="F55"/>
  <c r="E55"/>
  <c r="D55"/>
  <c r="C55"/>
  <c r="B55"/>
  <c r="P54"/>
  <c r="N54"/>
  <c r="L54"/>
  <c r="K54"/>
  <c r="J54"/>
  <c r="I54"/>
  <c r="H54"/>
  <c r="G54"/>
  <c r="F54"/>
  <c r="E54"/>
  <c r="D54"/>
  <c r="C54"/>
  <c r="B54"/>
  <c r="P53"/>
  <c r="N53"/>
  <c r="L53"/>
  <c r="K53"/>
  <c r="J53"/>
  <c r="I53"/>
  <c r="H53"/>
  <c r="G53"/>
  <c r="F53"/>
  <c r="E53"/>
  <c r="D53"/>
  <c r="C53"/>
  <c r="B53"/>
  <c r="P52"/>
  <c r="N52"/>
  <c r="L52"/>
  <c r="K52"/>
  <c r="J52"/>
  <c r="I52"/>
  <c r="H52"/>
  <c r="G52"/>
  <c r="F52"/>
  <c r="E52"/>
  <c r="D52"/>
  <c r="C52"/>
  <c r="B52"/>
  <c r="P51"/>
  <c r="N51"/>
  <c r="L51"/>
  <c r="K51"/>
  <c r="J51"/>
  <c r="I51"/>
  <c r="H51"/>
  <c r="G51"/>
  <c r="F51"/>
  <c r="E51"/>
  <c r="D51"/>
  <c r="C51"/>
  <c r="B51"/>
  <c r="P50"/>
  <c r="N50"/>
  <c r="L50"/>
  <c r="K50"/>
  <c r="J50"/>
  <c r="I50"/>
  <c r="H50"/>
  <c r="G50"/>
  <c r="F50"/>
  <c r="E50"/>
  <c r="D50"/>
  <c r="C50"/>
  <c r="B50"/>
  <c r="P49"/>
  <c r="N49"/>
  <c r="L49"/>
  <c r="K49"/>
  <c r="J49"/>
  <c r="I49"/>
  <c r="H49"/>
  <c r="G49"/>
  <c r="F49"/>
  <c r="E49"/>
  <c r="D49"/>
  <c r="C49"/>
  <c r="B49"/>
  <c r="P48"/>
  <c r="N48"/>
  <c r="L48"/>
  <c r="K48"/>
  <c r="J48"/>
  <c r="I48"/>
  <c r="H48"/>
  <c r="G48"/>
  <c r="F48"/>
  <c r="E48"/>
  <c r="D48"/>
  <c r="C48"/>
  <c r="B48"/>
  <c r="P47"/>
  <c r="N47"/>
  <c r="L47"/>
  <c r="K47"/>
  <c r="J47"/>
  <c r="I47"/>
  <c r="H47"/>
  <c r="G47"/>
  <c r="F47"/>
  <c r="E47"/>
  <c r="D47"/>
  <c r="C47"/>
  <c r="B47"/>
  <c r="P46"/>
  <c r="N46"/>
  <c r="L46"/>
  <c r="K46"/>
  <c r="J46"/>
  <c r="I46"/>
  <c r="H46"/>
  <c r="G46"/>
  <c r="F46"/>
  <c r="E46"/>
  <c r="D46"/>
  <c r="C46"/>
  <c r="B46"/>
  <c r="P45"/>
  <c r="N45"/>
  <c r="L45"/>
  <c r="K45"/>
  <c r="J45"/>
  <c r="I45"/>
  <c r="H45"/>
  <c r="G45"/>
  <c r="F45"/>
  <c r="E45"/>
  <c r="D45"/>
  <c r="C45"/>
  <c r="B45"/>
  <c r="P44"/>
  <c r="N44"/>
  <c r="L44"/>
  <c r="K44"/>
  <c r="J44"/>
  <c r="I44"/>
  <c r="H44"/>
  <c r="G44"/>
  <c r="F44"/>
  <c r="E44"/>
  <c r="D44"/>
  <c r="C44"/>
  <c r="B44"/>
  <c r="A44"/>
  <c r="P43"/>
  <c r="N43"/>
  <c r="L43"/>
  <c r="K43"/>
  <c r="J43"/>
  <c r="I43"/>
  <c r="H43"/>
  <c r="G43"/>
  <c r="F43"/>
  <c r="E43"/>
  <c r="D43"/>
  <c r="C43"/>
  <c r="A43"/>
  <c r="P42"/>
  <c r="N42"/>
  <c r="L42"/>
  <c r="K42"/>
  <c r="J42"/>
  <c r="I42"/>
  <c r="H42"/>
  <c r="G42"/>
  <c r="F42"/>
  <c r="E42"/>
  <c r="D42"/>
  <c r="C42"/>
  <c r="P41"/>
  <c r="N41"/>
  <c r="L41"/>
  <c r="K41"/>
  <c r="J41"/>
  <c r="I41"/>
  <c r="H41"/>
  <c r="G41"/>
  <c r="F41"/>
  <c r="E41"/>
  <c r="D41"/>
  <c r="C41"/>
  <c r="P40"/>
  <c r="N40"/>
  <c r="L40"/>
  <c r="K40"/>
  <c r="J40"/>
  <c r="I40"/>
  <c r="H40"/>
  <c r="G40"/>
  <c r="F40"/>
  <c r="E40"/>
  <c r="D40"/>
  <c r="C40"/>
  <c r="B40"/>
  <c r="P39"/>
  <c r="N39"/>
  <c r="L39"/>
  <c r="K39"/>
  <c r="J39"/>
  <c r="I39"/>
  <c r="H39"/>
  <c r="G39"/>
  <c r="F39"/>
  <c r="E39"/>
  <c r="D39"/>
  <c r="C39"/>
  <c r="B39"/>
  <c r="P38"/>
  <c r="N38"/>
  <c r="L38"/>
  <c r="K38"/>
  <c r="J38"/>
  <c r="I38"/>
  <c r="H38"/>
  <c r="G38"/>
  <c r="F38"/>
  <c r="E38"/>
  <c r="D38"/>
  <c r="C38"/>
  <c r="B38"/>
  <c r="P37"/>
  <c r="N37"/>
  <c r="L37"/>
  <c r="K37"/>
  <c r="J37"/>
  <c r="I37"/>
  <c r="H37"/>
  <c r="G37"/>
  <c r="F37"/>
  <c r="E37"/>
  <c r="D37"/>
  <c r="C37"/>
  <c r="B37"/>
  <c r="A37"/>
  <c r="R36"/>
  <c r="C36"/>
  <c r="A36"/>
  <c r="P35"/>
  <c r="N35"/>
  <c r="L35"/>
  <c r="K35"/>
  <c r="J35"/>
  <c r="I35"/>
  <c r="H35"/>
  <c r="G35"/>
  <c r="F35"/>
  <c r="E35"/>
  <c r="D35"/>
  <c r="C35"/>
  <c r="B35"/>
  <c r="A35"/>
  <c r="P34"/>
  <c r="N34"/>
  <c r="L34"/>
  <c r="K34"/>
  <c r="J34"/>
  <c r="I34"/>
  <c r="H34"/>
  <c r="G34"/>
  <c r="F34"/>
  <c r="E34"/>
  <c r="D34"/>
  <c r="C34"/>
  <c r="B34"/>
  <c r="A34"/>
  <c r="P33"/>
  <c r="N33"/>
  <c r="L33"/>
  <c r="K33"/>
  <c r="J33"/>
  <c r="I33"/>
  <c r="H33"/>
  <c r="G33"/>
  <c r="F33"/>
  <c r="E33"/>
  <c r="D33"/>
  <c r="C33"/>
  <c r="B33"/>
  <c r="A33"/>
  <c r="R32"/>
  <c r="C32"/>
  <c r="A32"/>
  <c r="P31"/>
  <c r="N31"/>
  <c r="L31"/>
  <c r="K31"/>
  <c r="J31"/>
  <c r="I31"/>
  <c r="H31"/>
  <c r="G31"/>
  <c r="F31"/>
  <c r="E31"/>
  <c r="D31"/>
  <c r="C31"/>
  <c r="B31"/>
  <c r="P30"/>
  <c r="N30"/>
  <c r="L30"/>
  <c r="K30"/>
  <c r="J30"/>
  <c r="I30"/>
  <c r="H30"/>
  <c r="G30"/>
  <c r="F30"/>
  <c r="E30"/>
  <c r="D30"/>
  <c r="C30"/>
  <c r="B30"/>
  <c r="P29"/>
  <c r="N29"/>
  <c r="L29"/>
  <c r="K29"/>
  <c r="J29"/>
  <c r="I29"/>
  <c r="H29"/>
  <c r="G29"/>
  <c r="F29"/>
  <c r="E29"/>
  <c r="D29"/>
  <c r="C29"/>
  <c r="B29"/>
  <c r="P28"/>
  <c r="N28"/>
  <c r="L28"/>
  <c r="K28"/>
  <c r="J28"/>
  <c r="I28"/>
  <c r="H28"/>
  <c r="G28"/>
  <c r="F28"/>
  <c r="E28"/>
  <c r="D28"/>
  <c r="C28"/>
  <c r="B28"/>
  <c r="P27"/>
  <c r="N27"/>
  <c r="L27"/>
  <c r="K27"/>
  <c r="J27"/>
  <c r="I27"/>
  <c r="H27"/>
  <c r="G27"/>
  <c r="F27"/>
  <c r="E27"/>
  <c r="D27"/>
  <c r="C27"/>
  <c r="B27"/>
  <c r="P26"/>
  <c r="N26"/>
  <c r="L26"/>
  <c r="K26"/>
  <c r="J26"/>
  <c r="I26"/>
  <c r="H26"/>
  <c r="G26"/>
  <c r="F26"/>
  <c r="E26"/>
  <c r="D26"/>
  <c r="C26"/>
  <c r="B26"/>
  <c r="P25"/>
  <c r="N25"/>
  <c r="L25"/>
  <c r="K25"/>
  <c r="J25"/>
  <c r="I25"/>
  <c r="H25"/>
  <c r="G25"/>
  <c r="F25"/>
  <c r="E25"/>
  <c r="D25"/>
  <c r="C25"/>
  <c r="B25"/>
  <c r="P24"/>
  <c r="N24"/>
  <c r="L24"/>
  <c r="K24"/>
  <c r="J24"/>
  <c r="I24"/>
  <c r="H24"/>
  <c r="G24"/>
  <c r="F24"/>
  <c r="E24"/>
  <c r="D24"/>
  <c r="C24"/>
  <c r="B24"/>
  <c r="P23"/>
  <c r="N23"/>
  <c r="L23"/>
  <c r="K23"/>
  <c r="J23"/>
  <c r="I23"/>
  <c r="H23"/>
  <c r="G23"/>
  <c r="F23"/>
  <c r="E23"/>
  <c r="D23"/>
  <c r="C23"/>
  <c r="B23"/>
  <c r="P22"/>
  <c r="N22"/>
  <c r="L22"/>
  <c r="K22"/>
  <c r="J22"/>
  <c r="I22"/>
  <c r="H22"/>
  <c r="G22"/>
  <c r="F22"/>
  <c r="E22"/>
  <c r="D22"/>
  <c r="C22"/>
  <c r="B22"/>
  <c r="A22"/>
  <c r="P21"/>
  <c r="N21"/>
  <c r="L21"/>
  <c r="K21"/>
  <c r="J21"/>
  <c r="I21"/>
  <c r="H21"/>
  <c r="G21"/>
  <c r="F21"/>
  <c r="E21"/>
  <c r="D21"/>
  <c r="C21"/>
  <c r="B21"/>
  <c r="P20"/>
  <c r="N20"/>
  <c r="L20"/>
  <c r="K20"/>
  <c r="J20"/>
  <c r="I20"/>
  <c r="H20"/>
  <c r="G20"/>
  <c r="F20"/>
  <c r="E20"/>
  <c r="D20"/>
  <c r="C20"/>
  <c r="B20"/>
  <c r="P19"/>
  <c r="N19"/>
  <c r="L19"/>
  <c r="K19"/>
  <c r="J19"/>
  <c r="I19"/>
  <c r="H19"/>
  <c r="G19"/>
  <c r="F19"/>
  <c r="E19"/>
  <c r="D19"/>
  <c r="C19"/>
  <c r="B19"/>
  <c r="P18"/>
  <c r="N18"/>
  <c r="L18"/>
  <c r="K18"/>
  <c r="J18"/>
  <c r="I18"/>
  <c r="H18"/>
  <c r="G18"/>
  <c r="F18"/>
  <c r="E18"/>
  <c r="D18"/>
  <c r="C18"/>
  <c r="B18"/>
  <c r="P17"/>
  <c r="N17"/>
  <c r="L17"/>
  <c r="K17"/>
  <c r="J17"/>
  <c r="I17"/>
  <c r="H17"/>
  <c r="G17"/>
  <c r="F17"/>
  <c r="E17"/>
  <c r="D17"/>
  <c r="C17"/>
  <c r="B17"/>
  <c r="P16"/>
  <c r="N16"/>
  <c r="L16"/>
  <c r="K16"/>
  <c r="J16"/>
  <c r="I16"/>
  <c r="H16"/>
  <c r="G16"/>
  <c r="F16"/>
  <c r="E16"/>
  <c r="D16"/>
  <c r="C16"/>
  <c r="B16"/>
  <c r="P15"/>
  <c r="N15"/>
  <c r="L15"/>
  <c r="K15"/>
  <c r="J15"/>
  <c r="I15"/>
  <c r="H15"/>
  <c r="G15"/>
  <c r="F15"/>
  <c r="E15"/>
  <c r="D15"/>
  <c r="C15"/>
  <c r="B15"/>
  <c r="A15"/>
  <c r="R14"/>
  <c r="C14"/>
  <c r="A14"/>
  <c r="P13"/>
  <c r="N13"/>
  <c r="L13"/>
  <c r="K13"/>
  <c r="J13"/>
  <c r="I13"/>
  <c r="H13"/>
  <c r="G13"/>
  <c r="F13"/>
  <c r="E13"/>
  <c r="D13"/>
  <c r="C13"/>
  <c r="B13"/>
  <c r="A13"/>
  <c r="P12"/>
  <c r="N12"/>
  <c r="L12"/>
  <c r="K12"/>
  <c r="J12"/>
  <c r="I12"/>
  <c r="H12"/>
  <c r="G12"/>
  <c r="F12"/>
  <c r="E12"/>
  <c r="D12"/>
  <c r="C12"/>
  <c r="B12"/>
  <c r="A12"/>
  <c r="R11"/>
  <c r="C11"/>
  <c r="A11"/>
  <c r="P10"/>
  <c r="N10"/>
  <c r="L10"/>
  <c r="K10"/>
  <c r="J10"/>
  <c r="I10"/>
  <c r="H10"/>
  <c r="G10"/>
  <c r="F10"/>
  <c r="E10"/>
  <c r="D10"/>
  <c r="C10"/>
  <c r="B10"/>
  <c r="A10"/>
  <c r="P9"/>
  <c r="N9"/>
  <c r="L9"/>
  <c r="K9"/>
  <c r="J9"/>
  <c r="I9"/>
  <c r="H9"/>
  <c r="G9"/>
  <c r="F9"/>
  <c r="E9"/>
  <c r="D9"/>
  <c r="C9"/>
  <c r="B9"/>
  <c r="A9"/>
  <c r="P8"/>
  <c r="N8"/>
  <c r="L8"/>
  <c r="K8"/>
  <c r="J8"/>
  <c r="I8"/>
  <c r="H8"/>
  <c r="G8"/>
  <c r="F8"/>
  <c r="E8"/>
  <c r="D8"/>
  <c r="C8"/>
  <c r="B8"/>
  <c r="A8"/>
  <c r="P7"/>
  <c r="N7"/>
  <c r="L7"/>
  <c r="K7"/>
  <c r="J7"/>
  <c r="I7"/>
  <c r="H7"/>
  <c r="G7"/>
  <c r="F7"/>
  <c r="E7"/>
  <c r="D7"/>
  <c r="C7"/>
  <c r="B7"/>
  <c r="A7"/>
  <c r="R6"/>
  <c r="C6"/>
  <c r="A6"/>
  <c r="C3"/>
  <c r="C2"/>
  <c r="A2"/>
  <c r="P40" i="40"/>
  <c r="N40"/>
  <c r="L40"/>
  <c r="K40"/>
  <c r="J40"/>
  <c r="I40"/>
  <c r="H40"/>
  <c r="G40"/>
  <c r="F40"/>
  <c r="E40"/>
  <c r="C40"/>
  <c r="B40"/>
  <c r="A40"/>
  <c r="P38"/>
  <c r="L11" i="65"/>
  <c r="M38" i="40"/>
  <c r="N11" i="65"/>
  <c r="N38" i="40"/>
  <c r="L38"/>
  <c r="K38"/>
  <c r="J38"/>
  <c r="I38"/>
  <c r="H38"/>
  <c r="G38"/>
  <c r="F38"/>
  <c r="E38"/>
  <c r="C38"/>
  <c r="B38"/>
  <c r="A38"/>
  <c r="P35"/>
  <c r="N35"/>
  <c r="L35"/>
  <c r="K35"/>
  <c r="J35"/>
  <c r="I35"/>
  <c r="H35"/>
  <c r="G35"/>
  <c r="F35"/>
  <c r="E35"/>
  <c r="D35"/>
  <c r="C35"/>
  <c r="B35"/>
  <c r="A35"/>
  <c r="P34"/>
  <c r="N34"/>
  <c r="L34"/>
  <c r="K34"/>
  <c r="J34"/>
  <c r="I34"/>
  <c r="H34"/>
  <c r="G34"/>
  <c r="F34"/>
  <c r="E34"/>
  <c r="D34"/>
  <c r="C34"/>
  <c r="B34"/>
  <c r="A34"/>
  <c r="P33"/>
  <c r="N33"/>
  <c r="L33"/>
  <c r="K33"/>
  <c r="J33"/>
  <c r="I33"/>
  <c r="H33"/>
  <c r="G33"/>
  <c r="F33"/>
  <c r="E33"/>
  <c r="D33"/>
  <c r="C33"/>
  <c r="B33"/>
  <c r="A33"/>
  <c r="P32"/>
  <c r="N32"/>
  <c r="L32"/>
  <c r="K32"/>
  <c r="J32"/>
  <c r="I32"/>
  <c r="H32"/>
  <c r="G32"/>
  <c r="F32"/>
  <c r="E32"/>
  <c r="D32"/>
  <c r="C32"/>
  <c r="B32"/>
  <c r="A32"/>
  <c r="P31"/>
  <c r="N31"/>
  <c r="L31"/>
  <c r="K31"/>
  <c r="J31"/>
  <c r="I31"/>
  <c r="H31"/>
  <c r="G31"/>
  <c r="F31"/>
  <c r="E31"/>
  <c r="D31"/>
  <c r="C31"/>
  <c r="B31"/>
  <c r="A31"/>
  <c r="P30"/>
  <c r="N30"/>
  <c r="L30"/>
  <c r="K30"/>
  <c r="J30"/>
  <c r="I30"/>
  <c r="H30"/>
  <c r="G30"/>
  <c r="F30"/>
  <c r="E30"/>
  <c r="D30"/>
  <c r="C30"/>
  <c r="B30"/>
  <c r="A30"/>
  <c r="R29"/>
  <c r="C29"/>
  <c r="A29"/>
  <c r="P28"/>
  <c r="N28"/>
  <c r="L28"/>
  <c r="K28"/>
  <c r="J28"/>
  <c r="I28"/>
  <c r="H28"/>
  <c r="G28"/>
  <c r="F28"/>
  <c r="E28"/>
  <c r="D28"/>
  <c r="C28"/>
  <c r="B28"/>
  <c r="A28"/>
  <c r="R27"/>
  <c r="C27"/>
  <c r="A27"/>
  <c r="P26"/>
  <c r="N26"/>
  <c r="L26"/>
  <c r="K26"/>
  <c r="J26"/>
  <c r="I26"/>
  <c r="H26"/>
  <c r="G26"/>
  <c r="F26"/>
  <c r="E26"/>
  <c r="D26"/>
  <c r="C26"/>
  <c r="B26"/>
  <c r="A26"/>
  <c r="P25"/>
  <c r="N25"/>
  <c r="L25"/>
  <c r="K25"/>
  <c r="J25"/>
  <c r="I25"/>
  <c r="H25"/>
  <c r="G25"/>
  <c r="F25"/>
  <c r="E25"/>
  <c r="D25"/>
  <c r="C25"/>
  <c r="B25"/>
  <c r="A25"/>
  <c r="P24"/>
  <c r="N24"/>
  <c r="L24"/>
  <c r="K24"/>
  <c r="J24"/>
  <c r="I24"/>
  <c r="H24"/>
  <c r="G24"/>
  <c r="F24"/>
  <c r="E24"/>
  <c r="D24"/>
  <c r="C24"/>
  <c r="B24"/>
  <c r="A24"/>
  <c r="P23"/>
  <c r="N23"/>
  <c r="L23"/>
  <c r="K23"/>
  <c r="J23"/>
  <c r="I23"/>
  <c r="H23"/>
  <c r="G23"/>
  <c r="F23"/>
  <c r="E23"/>
  <c r="D23"/>
  <c r="C23"/>
  <c r="B23"/>
  <c r="A23"/>
  <c r="R22"/>
  <c r="C22"/>
  <c r="A22"/>
  <c r="P21"/>
  <c r="N21"/>
  <c r="L21"/>
  <c r="K21"/>
  <c r="J21"/>
  <c r="I21"/>
  <c r="H21"/>
  <c r="G21"/>
  <c r="F21"/>
  <c r="E21"/>
  <c r="D21"/>
  <c r="C21"/>
  <c r="B21"/>
  <c r="P20"/>
  <c r="N20"/>
  <c r="L20"/>
  <c r="K20"/>
  <c r="J20"/>
  <c r="I20"/>
  <c r="H20"/>
  <c r="G20"/>
  <c r="F20"/>
  <c r="E20"/>
  <c r="D20"/>
  <c r="C20"/>
  <c r="B20"/>
  <c r="P19"/>
  <c r="N19"/>
  <c r="L19"/>
  <c r="K19"/>
  <c r="J19"/>
  <c r="I19"/>
  <c r="H19"/>
  <c r="G19"/>
  <c r="F19"/>
  <c r="E19"/>
  <c r="D19"/>
  <c r="C19"/>
  <c r="B19"/>
  <c r="P18"/>
  <c r="N18"/>
  <c r="L18"/>
  <c r="K18"/>
  <c r="J18"/>
  <c r="I18"/>
  <c r="H18"/>
  <c r="G18"/>
  <c r="F18"/>
  <c r="E18"/>
  <c r="D18"/>
  <c r="C18"/>
  <c r="B18"/>
  <c r="P17"/>
  <c r="N17"/>
  <c r="L17"/>
  <c r="K17"/>
  <c r="J17"/>
  <c r="I17"/>
  <c r="H17"/>
  <c r="G17"/>
  <c r="F17"/>
  <c r="E17"/>
  <c r="D17"/>
  <c r="C17"/>
  <c r="B17"/>
  <c r="P16"/>
  <c r="N16"/>
  <c r="L16"/>
  <c r="K16"/>
  <c r="J16"/>
  <c r="I16"/>
  <c r="H16"/>
  <c r="G16"/>
  <c r="F16"/>
  <c r="E16"/>
  <c r="D16"/>
  <c r="C16"/>
  <c r="B16"/>
  <c r="P15"/>
  <c r="N15"/>
  <c r="L15"/>
  <c r="K15"/>
  <c r="J15"/>
  <c r="I15"/>
  <c r="H15"/>
  <c r="G15"/>
  <c r="F15"/>
  <c r="E15"/>
  <c r="D15"/>
  <c r="C15"/>
  <c r="B15"/>
  <c r="P14"/>
  <c r="N14"/>
  <c r="L14"/>
  <c r="K14"/>
  <c r="J14"/>
  <c r="I14"/>
  <c r="H14"/>
  <c r="G14"/>
  <c r="F14"/>
  <c r="E14"/>
  <c r="D14"/>
  <c r="C14"/>
  <c r="B14"/>
  <c r="P13"/>
  <c r="N13"/>
  <c r="L13"/>
  <c r="K13"/>
  <c r="J13"/>
  <c r="I13"/>
  <c r="H13"/>
  <c r="G13"/>
  <c r="F13"/>
  <c r="E13"/>
  <c r="D13"/>
  <c r="C13"/>
  <c r="B13"/>
  <c r="A13"/>
  <c r="R12"/>
  <c r="C12"/>
  <c r="A12"/>
  <c r="P11"/>
  <c r="N11"/>
  <c r="L11"/>
  <c r="K11"/>
  <c r="J11"/>
  <c r="I11"/>
  <c r="H11"/>
  <c r="G11"/>
  <c r="F11"/>
  <c r="E11"/>
  <c r="D11"/>
  <c r="C11"/>
  <c r="B11"/>
  <c r="A11"/>
  <c r="P10"/>
  <c r="N10"/>
  <c r="L10"/>
  <c r="K10"/>
  <c r="J10"/>
  <c r="I10"/>
  <c r="H10"/>
  <c r="G10"/>
  <c r="F10"/>
  <c r="E10"/>
  <c r="D10"/>
  <c r="C10"/>
  <c r="P9"/>
  <c r="N9"/>
  <c r="L9"/>
  <c r="K9"/>
  <c r="J9"/>
  <c r="I9"/>
  <c r="H9"/>
  <c r="G9"/>
  <c r="F9"/>
  <c r="E9"/>
  <c r="D9"/>
  <c r="C9"/>
  <c r="B9"/>
  <c r="A9"/>
  <c r="R8"/>
  <c r="C8"/>
  <c r="A8"/>
  <c r="P7"/>
  <c r="N7"/>
  <c r="L7"/>
  <c r="K7"/>
  <c r="J7"/>
  <c r="I7"/>
  <c r="H7"/>
  <c r="G7"/>
  <c r="F7"/>
  <c r="E7"/>
  <c r="D7"/>
  <c r="C7"/>
  <c r="B7"/>
  <c r="A7"/>
  <c r="R6"/>
  <c r="F2"/>
  <c r="C6"/>
  <c r="A6"/>
  <c r="C3"/>
  <c r="C2"/>
  <c r="A2"/>
  <c r="P13" i="35"/>
  <c r="N13"/>
  <c r="L13"/>
  <c r="K13"/>
  <c r="J13"/>
  <c r="I13"/>
  <c r="H13"/>
  <c r="G13"/>
  <c r="F13"/>
  <c r="E13"/>
  <c r="D13"/>
  <c r="C13"/>
  <c r="P12"/>
  <c r="N12"/>
  <c r="L12"/>
  <c r="K12"/>
  <c r="J12"/>
  <c r="I12"/>
  <c r="H12"/>
  <c r="G12"/>
  <c r="F12"/>
  <c r="E12"/>
  <c r="D12"/>
  <c r="C12"/>
  <c r="B12"/>
  <c r="A12"/>
  <c r="R11"/>
  <c r="C11"/>
  <c r="A11"/>
  <c r="N10"/>
  <c r="L10"/>
  <c r="K10"/>
  <c r="J10"/>
  <c r="I10"/>
  <c r="H10"/>
  <c r="G10"/>
  <c r="F10"/>
  <c r="E10"/>
  <c r="D10"/>
  <c r="C10"/>
  <c r="P9"/>
  <c r="N9"/>
  <c r="L9"/>
  <c r="K9"/>
  <c r="J9"/>
  <c r="I9"/>
  <c r="H9"/>
  <c r="G9"/>
  <c r="F9"/>
  <c r="E9"/>
  <c r="D9"/>
  <c r="C9"/>
  <c r="A9"/>
  <c r="P8"/>
  <c r="N8"/>
  <c r="L8"/>
  <c r="K8"/>
  <c r="J8"/>
  <c r="I8"/>
  <c r="H8"/>
  <c r="G8"/>
  <c r="F8"/>
  <c r="E8"/>
  <c r="D8"/>
  <c r="C8"/>
  <c r="P7"/>
  <c r="N7"/>
  <c r="L7"/>
  <c r="K7"/>
  <c r="J7"/>
  <c r="I7"/>
  <c r="H7"/>
  <c r="G7"/>
  <c r="F7"/>
  <c r="E7"/>
  <c r="D7"/>
  <c r="C7"/>
  <c r="A7"/>
  <c r="R6"/>
  <c r="C6"/>
  <c r="A6"/>
  <c r="C3"/>
  <c r="C2"/>
  <c r="A2"/>
  <c r="P36" i="54"/>
  <c r="N36"/>
  <c r="K36"/>
  <c r="J36"/>
  <c r="I36"/>
  <c r="H36"/>
  <c r="G36"/>
  <c r="F36"/>
  <c r="E36"/>
  <c r="D36"/>
  <c r="C36"/>
  <c r="A36"/>
  <c r="P35"/>
  <c r="N35"/>
  <c r="L35"/>
  <c r="K35"/>
  <c r="J35"/>
  <c r="I35"/>
  <c r="H35"/>
  <c r="G35"/>
  <c r="F35"/>
  <c r="E35"/>
  <c r="D35"/>
  <c r="C35"/>
  <c r="A35"/>
  <c r="R34"/>
  <c r="C34"/>
  <c r="A34"/>
  <c r="P33"/>
  <c r="N33"/>
  <c r="L33"/>
  <c r="K33"/>
  <c r="J33"/>
  <c r="I33"/>
  <c r="H33"/>
  <c r="G33"/>
  <c r="F33"/>
  <c r="E33"/>
  <c r="D33"/>
  <c r="C33"/>
  <c r="B33"/>
  <c r="A33"/>
  <c r="R32"/>
  <c r="C32"/>
  <c r="A32"/>
  <c r="P31"/>
  <c r="N31"/>
  <c r="L31"/>
  <c r="K31"/>
  <c r="J31"/>
  <c r="I31"/>
  <c r="H31"/>
  <c r="G31"/>
  <c r="F31"/>
  <c r="E31"/>
  <c r="D31"/>
  <c r="C31"/>
  <c r="B31"/>
  <c r="A31"/>
  <c r="R30"/>
  <c r="C30"/>
  <c r="A30"/>
  <c r="P29"/>
  <c r="N29"/>
  <c r="L29"/>
  <c r="K29"/>
  <c r="J29"/>
  <c r="I29"/>
  <c r="H29"/>
  <c r="G29"/>
  <c r="F29"/>
  <c r="E29"/>
  <c r="D29"/>
  <c r="C29"/>
  <c r="B29"/>
  <c r="A29"/>
  <c r="R28"/>
  <c r="C28"/>
  <c r="A28"/>
  <c r="P27"/>
  <c r="N27"/>
  <c r="L27"/>
  <c r="K27"/>
  <c r="J27"/>
  <c r="I27"/>
  <c r="H27"/>
  <c r="G27"/>
  <c r="F27"/>
  <c r="E27"/>
  <c r="D27"/>
  <c r="C27"/>
  <c r="B27"/>
  <c r="P26"/>
  <c r="N26"/>
  <c r="L26"/>
  <c r="K26"/>
  <c r="J26"/>
  <c r="I26"/>
  <c r="H26"/>
  <c r="G26"/>
  <c r="F26"/>
  <c r="E26"/>
  <c r="D26"/>
  <c r="C26"/>
  <c r="B26"/>
  <c r="P25"/>
  <c r="N25"/>
  <c r="L25"/>
  <c r="K25"/>
  <c r="J25"/>
  <c r="I25"/>
  <c r="H25"/>
  <c r="G25"/>
  <c r="F25"/>
  <c r="E25"/>
  <c r="D25"/>
  <c r="C25"/>
  <c r="B25"/>
  <c r="P24"/>
  <c r="N24"/>
  <c r="L24"/>
  <c r="K24"/>
  <c r="J24"/>
  <c r="I24"/>
  <c r="H24"/>
  <c r="G24"/>
  <c r="F24"/>
  <c r="E24"/>
  <c r="D24"/>
  <c r="C24"/>
  <c r="B24"/>
  <c r="P23"/>
  <c r="N23"/>
  <c r="L23"/>
  <c r="K23"/>
  <c r="J23"/>
  <c r="I23"/>
  <c r="H23"/>
  <c r="G23"/>
  <c r="F23"/>
  <c r="E23"/>
  <c r="D23"/>
  <c r="C23"/>
  <c r="B23"/>
  <c r="A23"/>
  <c r="R22"/>
  <c r="C22"/>
  <c r="A22"/>
  <c r="P21"/>
  <c r="N21"/>
  <c r="L21"/>
  <c r="K21"/>
  <c r="J21"/>
  <c r="I21"/>
  <c r="H21"/>
  <c r="G21"/>
  <c r="F21"/>
  <c r="E21"/>
  <c r="D21"/>
  <c r="C21"/>
  <c r="A21"/>
  <c r="P20"/>
  <c r="N20"/>
  <c r="L20"/>
  <c r="K20"/>
  <c r="J20"/>
  <c r="I20"/>
  <c r="H20"/>
  <c r="G20"/>
  <c r="F20"/>
  <c r="E20"/>
  <c r="D20"/>
  <c r="C20"/>
  <c r="A20"/>
  <c r="P19"/>
  <c r="N19"/>
  <c r="L19"/>
  <c r="K19"/>
  <c r="J19"/>
  <c r="I19"/>
  <c r="H19"/>
  <c r="G19"/>
  <c r="F19"/>
  <c r="E19"/>
  <c r="D19"/>
  <c r="C19"/>
  <c r="A19"/>
  <c r="P18"/>
  <c r="N18"/>
  <c r="L18"/>
  <c r="K18"/>
  <c r="J18"/>
  <c r="I18"/>
  <c r="H18"/>
  <c r="G18"/>
  <c r="F18"/>
  <c r="E18"/>
  <c r="D18"/>
  <c r="C18"/>
  <c r="A18"/>
  <c r="R17"/>
  <c r="C17"/>
  <c r="A17"/>
  <c r="P16"/>
  <c r="N16"/>
  <c r="L16"/>
  <c r="K16"/>
  <c r="J16"/>
  <c r="I16"/>
  <c r="H16"/>
  <c r="G16"/>
  <c r="F16"/>
  <c r="E16"/>
  <c r="D16"/>
  <c r="C16"/>
  <c r="B16"/>
  <c r="P15"/>
  <c r="N15"/>
  <c r="L15"/>
  <c r="K15"/>
  <c r="J15"/>
  <c r="I15"/>
  <c r="H15"/>
  <c r="G15"/>
  <c r="F15"/>
  <c r="E15"/>
  <c r="D15"/>
  <c r="C15"/>
  <c r="B15"/>
  <c r="A15"/>
  <c r="P14"/>
  <c r="N14"/>
  <c r="L14"/>
  <c r="K14"/>
  <c r="J14"/>
  <c r="I14"/>
  <c r="H14"/>
  <c r="G14"/>
  <c r="F14"/>
  <c r="E14"/>
  <c r="D14"/>
  <c r="C14"/>
  <c r="B14"/>
  <c r="A14"/>
  <c r="R13"/>
  <c r="C13"/>
  <c r="A13"/>
  <c r="P12"/>
  <c r="N12"/>
  <c r="L12"/>
  <c r="K12"/>
  <c r="J12"/>
  <c r="I12"/>
  <c r="H12"/>
  <c r="G12"/>
  <c r="F12"/>
  <c r="E12"/>
  <c r="D12"/>
  <c r="C12"/>
  <c r="B12"/>
  <c r="A12"/>
  <c r="P11"/>
  <c r="N11"/>
  <c r="L11"/>
  <c r="K11"/>
  <c r="J11"/>
  <c r="I11"/>
  <c r="H11"/>
  <c r="G11"/>
  <c r="F11"/>
  <c r="E11"/>
  <c r="D11"/>
  <c r="C11"/>
  <c r="B11"/>
  <c r="A11"/>
  <c r="P10"/>
  <c r="N10"/>
  <c r="L10"/>
  <c r="K10"/>
  <c r="J10"/>
  <c r="I10"/>
  <c r="H10"/>
  <c r="G10"/>
  <c r="F10"/>
  <c r="E10"/>
  <c r="D10"/>
  <c r="C10"/>
  <c r="B10"/>
  <c r="A10"/>
  <c r="P9"/>
  <c r="N9"/>
  <c r="L9"/>
  <c r="K9"/>
  <c r="J9"/>
  <c r="I9"/>
  <c r="H9"/>
  <c r="G9"/>
  <c r="F9"/>
  <c r="E9"/>
  <c r="D9"/>
  <c r="C9"/>
  <c r="B9"/>
  <c r="A9"/>
  <c r="R8"/>
  <c r="C8"/>
  <c r="A8"/>
  <c r="P7"/>
  <c r="N7"/>
  <c r="L7"/>
  <c r="K7"/>
  <c r="J7"/>
  <c r="I7"/>
  <c r="H7"/>
  <c r="G7"/>
  <c r="F7"/>
  <c r="E7"/>
  <c r="D7"/>
  <c r="C7"/>
  <c r="B7"/>
  <c r="A7"/>
  <c r="R6"/>
  <c r="C6"/>
  <c r="B6"/>
  <c r="A6"/>
  <c r="C3"/>
  <c r="C2"/>
  <c r="A2"/>
  <c r="P32" i="45"/>
  <c r="N32"/>
  <c r="L32"/>
  <c r="K32"/>
  <c r="J32"/>
  <c r="I32"/>
  <c r="H32"/>
  <c r="G32"/>
  <c r="F32"/>
  <c r="E32"/>
  <c r="D32"/>
  <c r="C32"/>
  <c r="B32"/>
  <c r="A32"/>
  <c r="R31"/>
  <c r="C31"/>
  <c r="A31"/>
  <c r="P30"/>
  <c r="N30"/>
  <c r="L30"/>
  <c r="K30"/>
  <c r="J30"/>
  <c r="I30"/>
  <c r="H30"/>
  <c r="G30"/>
  <c r="F30"/>
  <c r="E30"/>
  <c r="D30"/>
  <c r="C30"/>
  <c r="B30"/>
  <c r="A30"/>
  <c r="R29"/>
  <c r="C29"/>
  <c r="A29"/>
  <c r="P28"/>
  <c r="N28"/>
  <c r="L28"/>
  <c r="K28"/>
  <c r="J28"/>
  <c r="I28"/>
  <c r="H28"/>
  <c r="G28"/>
  <c r="F28"/>
  <c r="E28"/>
  <c r="D28"/>
  <c r="C28"/>
  <c r="B28"/>
  <c r="P27"/>
  <c r="N27"/>
  <c r="L27"/>
  <c r="K27"/>
  <c r="J27"/>
  <c r="I27"/>
  <c r="H27"/>
  <c r="G27"/>
  <c r="F27"/>
  <c r="E27"/>
  <c r="D27"/>
  <c r="C27"/>
  <c r="B27"/>
  <c r="A27"/>
  <c r="R26"/>
  <c r="C26"/>
  <c r="A26"/>
  <c r="P25"/>
  <c r="N25"/>
  <c r="L25"/>
  <c r="K25"/>
  <c r="J25"/>
  <c r="I25"/>
  <c r="H25"/>
  <c r="G25"/>
  <c r="F25"/>
  <c r="E25"/>
  <c r="D25"/>
  <c r="C25"/>
  <c r="B25"/>
  <c r="P24"/>
  <c r="N24"/>
  <c r="L24"/>
  <c r="K24"/>
  <c r="J24"/>
  <c r="I24"/>
  <c r="H24"/>
  <c r="G24"/>
  <c r="F24"/>
  <c r="E24"/>
  <c r="D24"/>
  <c r="C24"/>
  <c r="B24"/>
  <c r="A24"/>
  <c r="R23"/>
  <c r="C23"/>
  <c r="A23"/>
  <c r="P22"/>
  <c r="N22"/>
  <c r="L22"/>
  <c r="K22"/>
  <c r="J22"/>
  <c r="I22"/>
  <c r="H22"/>
  <c r="G22"/>
  <c r="F22"/>
  <c r="E22"/>
  <c r="D22"/>
  <c r="C22"/>
  <c r="B22"/>
  <c r="P21"/>
  <c r="N21"/>
  <c r="L21"/>
  <c r="K21"/>
  <c r="J21"/>
  <c r="I21"/>
  <c r="H21"/>
  <c r="G21"/>
  <c r="F21"/>
  <c r="E21"/>
  <c r="D21"/>
  <c r="C21"/>
  <c r="B21"/>
  <c r="P20"/>
  <c r="N20"/>
  <c r="L20"/>
  <c r="K20"/>
  <c r="J20"/>
  <c r="I20"/>
  <c r="H20"/>
  <c r="G20"/>
  <c r="F20"/>
  <c r="E20"/>
  <c r="D20"/>
  <c r="C20"/>
  <c r="B20"/>
  <c r="A20"/>
  <c r="R19"/>
  <c r="C19"/>
  <c r="A19"/>
  <c r="P18"/>
  <c r="N18"/>
  <c r="L18"/>
  <c r="K18"/>
  <c r="J18"/>
  <c r="I18"/>
  <c r="H18"/>
  <c r="G18"/>
  <c r="F18"/>
  <c r="E18"/>
  <c r="D18"/>
  <c r="C18"/>
  <c r="B18"/>
  <c r="P17"/>
  <c r="N17"/>
  <c r="L17"/>
  <c r="K17"/>
  <c r="J17"/>
  <c r="I17"/>
  <c r="H17"/>
  <c r="G17"/>
  <c r="F17"/>
  <c r="E17"/>
  <c r="D17"/>
  <c r="C17"/>
  <c r="B17"/>
  <c r="A17"/>
  <c r="P16"/>
  <c r="N16"/>
  <c r="L16"/>
  <c r="K16"/>
  <c r="J16"/>
  <c r="I16"/>
  <c r="H16"/>
  <c r="G16"/>
  <c r="F16"/>
  <c r="E16"/>
  <c r="D16"/>
  <c r="C16"/>
  <c r="B16"/>
  <c r="P15"/>
  <c r="N15"/>
  <c r="L15"/>
  <c r="K15"/>
  <c r="J15"/>
  <c r="I15"/>
  <c r="H15"/>
  <c r="G15"/>
  <c r="F15"/>
  <c r="E15"/>
  <c r="D15"/>
  <c r="C15"/>
  <c r="B15"/>
  <c r="A15"/>
  <c r="R14"/>
  <c r="C14"/>
  <c r="A14"/>
  <c r="P13"/>
  <c r="N13"/>
  <c r="L13"/>
  <c r="K13"/>
  <c r="J13"/>
  <c r="I13"/>
  <c r="H13"/>
  <c r="G13"/>
  <c r="F13"/>
  <c r="E13"/>
  <c r="D13"/>
  <c r="C13"/>
  <c r="B13"/>
  <c r="A13"/>
  <c r="R12"/>
  <c r="C12"/>
  <c r="A12"/>
  <c r="P11"/>
  <c r="N11"/>
  <c r="L11"/>
  <c r="K11"/>
  <c r="J11"/>
  <c r="I11"/>
  <c r="H11"/>
  <c r="G11"/>
  <c r="F11"/>
  <c r="E11"/>
  <c r="D11"/>
  <c r="C11"/>
  <c r="B11"/>
  <c r="A11"/>
  <c r="P10"/>
  <c r="N10"/>
  <c r="L10"/>
  <c r="K10"/>
  <c r="J10"/>
  <c r="I10"/>
  <c r="H10"/>
  <c r="G10"/>
  <c r="F10"/>
  <c r="E10"/>
  <c r="D10"/>
  <c r="C10"/>
  <c r="B10"/>
  <c r="A10"/>
  <c r="R9"/>
  <c r="C9"/>
  <c r="A9"/>
  <c r="P8"/>
  <c r="N8"/>
  <c r="L8"/>
  <c r="K8"/>
  <c r="J8"/>
  <c r="I8"/>
  <c r="H8"/>
  <c r="G8"/>
  <c r="F8"/>
  <c r="E8"/>
  <c r="D8"/>
  <c r="C8"/>
  <c r="B8"/>
  <c r="A8"/>
  <c r="P7"/>
  <c r="N7"/>
  <c r="L7"/>
  <c r="K7"/>
  <c r="J7"/>
  <c r="I7"/>
  <c r="H7"/>
  <c r="G7"/>
  <c r="F7"/>
  <c r="E7"/>
  <c r="D7"/>
  <c r="C7"/>
  <c r="B7"/>
  <c r="A7"/>
  <c r="R6"/>
  <c r="C6"/>
  <c r="A6"/>
  <c r="C3"/>
  <c r="C2"/>
  <c r="A2"/>
  <c r="P28" i="61"/>
  <c r="N28"/>
  <c r="L28"/>
  <c r="K28"/>
  <c r="J28"/>
  <c r="I28"/>
  <c r="H28"/>
  <c r="G28"/>
  <c r="F28"/>
  <c r="E28"/>
  <c r="D28"/>
  <c r="C28"/>
  <c r="B28"/>
  <c r="A28"/>
  <c r="R27"/>
  <c r="R26"/>
  <c r="P27"/>
  <c r="N27"/>
  <c r="K27"/>
  <c r="J27"/>
  <c r="I27"/>
  <c r="H27"/>
  <c r="G27"/>
  <c r="F27"/>
  <c r="E27"/>
  <c r="D27"/>
  <c r="C27"/>
  <c r="B27"/>
  <c r="A27"/>
  <c r="C26"/>
  <c r="A26"/>
  <c r="P25"/>
  <c r="N25"/>
  <c r="L25"/>
  <c r="K25"/>
  <c r="J25"/>
  <c r="I25"/>
  <c r="H25"/>
  <c r="G25"/>
  <c r="F25"/>
  <c r="C25"/>
  <c r="B25"/>
  <c r="A25"/>
  <c r="P24"/>
  <c r="N24"/>
  <c r="L24"/>
  <c r="K24"/>
  <c r="J24"/>
  <c r="I24"/>
  <c r="H24"/>
  <c r="G24"/>
  <c r="F24"/>
  <c r="C24"/>
  <c r="B24"/>
  <c r="A24"/>
  <c r="R23"/>
  <c r="P23"/>
  <c r="N23"/>
  <c r="L23"/>
  <c r="K23"/>
  <c r="J23"/>
  <c r="I23"/>
  <c r="H23"/>
  <c r="G23"/>
  <c r="F23"/>
  <c r="C23"/>
  <c r="B23"/>
  <c r="A23"/>
  <c r="P22"/>
  <c r="N22"/>
  <c r="L22"/>
  <c r="K22"/>
  <c r="J22"/>
  <c r="I22"/>
  <c r="H22"/>
  <c r="G22"/>
  <c r="F22"/>
  <c r="C22"/>
  <c r="B22"/>
  <c r="A22"/>
  <c r="P21"/>
  <c r="N21"/>
  <c r="L21"/>
  <c r="K21"/>
  <c r="J21"/>
  <c r="I21"/>
  <c r="H21"/>
  <c r="G21"/>
  <c r="F21"/>
  <c r="C21"/>
  <c r="B21"/>
  <c r="A21"/>
  <c r="R20"/>
  <c r="C20"/>
  <c r="A20"/>
  <c r="R19"/>
  <c r="R18"/>
  <c r="P19"/>
  <c r="N19"/>
  <c r="L19"/>
  <c r="K19"/>
  <c r="J19"/>
  <c r="I19"/>
  <c r="H19"/>
  <c r="G19"/>
  <c r="F19"/>
  <c r="E19"/>
  <c r="D19"/>
  <c r="C19"/>
  <c r="B19"/>
  <c r="A19"/>
  <c r="C18"/>
  <c r="A18"/>
  <c r="P17"/>
  <c r="N17"/>
  <c r="L17"/>
  <c r="K17"/>
  <c r="J17"/>
  <c r="I17"/>
  <c r="H17"/>
  <c r="G17"/>
  <c r="F17"/>
  <c r="E17"/>
  <c r="D17"/>
  <c r="C17"/>
  <c r="B17"/>
  <c r="P16"/>
  <c r="N16"/>
  <c r="L16"/>
  <c r="K16"/>
  <c r="J16"/>
  <c r="I16"/>
  <c r="H16"/>
  <c r="G16"/>
  <c r="F16"/>
  <c r="E16"/>
  <c r="D16"/>
  <c r="C16"/>
  <c r="B16"/>
  <c r="P15"/>
  <c r="N15"/>
  <c r="L15"/>
  <c r="K15"/>
  <c r="J15"/>
  <c r="I15"/>
  <c r="H15"/>
  <c r="G15"/>
  <c r="F15"/>
  <c r="E15"/>
  <c r="D15"/>
  <c r="C15"/>
  <c r="B15"/>
  <c r="P14"/>
  <c r="N14"/>
  <c r="L14"/>
  <c r="K14"/>
  <c r="J14"/>
  <c r="I14"/>
  <c r="H14"/>
  <c r="G14"/>
  <c r="F14"/>
  <c r="E14"/>
  <c r="D14"/>
  <c r="C14"/>
  <c r="B14"/>
  <c r="A14"/>
  <c r="R13"/>
  <c r="C13"/>
  <c r="A13"/>
  <c r="P12"/>
  <c r="N12"/>
  <c r="L12"/>
  <c r="K12"/>
  <c r="J12"/>
  <c r="I12"/>
  <c r="H12"/>
  <c r="G12"/>
  <c r="F12"/>
  <c r="E12"/>
  <c r="D12"/>
  <c r="C12"/>
  <c r="B12"/>
  <c r="P11"/>
  <c r="N11"/>
  <c r="L11"/>
  <c r="K11"/>
  <c r="J11"/>
  <c r="I11"/>
  <c r="H11"/>
  <c r="G11"/>
  <c r="F11"/>
  <c r="E11"/>
  <c r="D11"/>
  <c r="C11"/>
  <c r="B11"/>
  <c r="P10"/>
  <c r="N10"/>
  <c r="L10"/>
  <c r="K10"/>
  <c r="J10"/>
  <c r="I10"/>
  <c r="H10"/>
  <c r="G10"/>
  <c r="F10"/>
  <c r="E10"/>
  <c r="D10"/>
  <c r="C10"/>
  <c r="B10"/>
  <c r="P9"/>
  <c r="N9"/>
  <c r="L9"/>
  <c r="K9"/>
  <c r="J9"/>
  <c r="I9"/>
  <c r="H9"/>
  <c r="G9"/>
  <c r="F9"/>
  <c r="E9"/>
  <c r="D9"/>
  <c r="C9"/>
  <c r="B9"/>
  <c r="A9"/>
  <c r="R8"/>
  <c r="C8"/>
  <c r="A8"/>
  <c r="P7"/>
  <c r="N7"/>
  <c r="L7"/>
  <c r="K7"/>
  <c r="J7"/>
  <c r="I7"/>
  <c r="H7"/>
  <c r="G7"/>
  <c r="F7"/>
  <c r="E7"/>
  <c r="D7"/>
  <c r="C7"/>
  <c r="B7"/>
  <c r="A7"/>
  <c r="R6"/>
  <c r="C6"/>
  <c r="A6"/>
  <c r="C3"/>
  <c r="C2"/>
  <c r="A2"/>
  <c r="P107" i="27"/>
  <c r="N107"/>
  <c r="L107"/>
  <c r="K107"/>
  <c r="J107"/>
  <c r="I107"/>
  <c r="H107"/>
  <c r="G107"/>
  <c r="F107"/>
  <c r="E107"/>
  <c r="D107"/>
  <c r="C107"/>
  <c r="B107"/>
  <c r="A107"/>
  <c r="P106"/>
  <c r="N106"/>
  <c r="L106"/>
  <c r="K106"/>
  <c r="J106"/>
  <c r="I106"/>
  <c r="H106"/>
  <c r="G106"/>
  <c r="F106"/>
  <c r="E106"/>
  <c r="D106"/>
  <c r="C106"/>
  <c r="B106"/>
  <c r="A106"/>
  <c r="P105"/>
  <c r="N105"/>
  <c r="L105"/>
  <c r="K105"/>
  <c r="J105"/>
  <c r="I105"/>
  <c r="H105"/>
  <c r="G105"/>
  <c r="F105"/>
  <c r="E105"/>
  <c r="D105"/>
  <c r="C105"/>
  <c r="B105"/>
  <c r="A105"/>
  <c r="P104"/>
  <c r="N104"/>
  <c r="L104"/>
  <c r="K104"/>
  <c r="J104"/>
  <c r="I104"/>
  <c r="H104"/>
  <c r="G104"/>
  <c r="F104"/>
  <c r="E104"/>
  <c r="D104"/>
  <c r="C104"/>
  <c r="B104"/>
  <c r="A104"/>
  <c r="C103"/>
  <c r="A103"/>
  <c r="P102"/>
  <c r="N102"/>
  <c r="L102"/>
  <c r="K102"/>
  <c r="J102"/>
  <c r="I102"/>
  <c r="H102"/>
  <c r="G102"/>
  <c r="F102"/>
  <c r="E102"/>
  <c r="D102"/>
  <c r="C102"/>
  <c r="P101"/>
  <c r="N101"/>
  <c r="L101"/>
  <c r="K101"/>
  <c r="J101"/>
  <c r="I101"/>
  <c r="H101"/>
  <c r="G101"/>
  <c r="F101"/>
  <c r="E101"/>
  <c r="D101"/>
  <c r="C101"/>
  <c r="P100"/>
  <c r="N100"/>
  <c r="L100"/>
  <c r="K100"/>
  <c r="J100"/>
  <c r="I100"/>
  <c r="H100"/>
  <c r="G100"/>
  <c r="F100"/>
  <c r="E100"/>
  <c r="D100"/>
  <c r="C100"/>
  <c r="P99"/>
  <c r="N99"/>
  <c r="L99"/>
  <c r="K99"/>
  <c r="J99"/>
  <c r="I99"/>
  <c r="H99"/>
  <c r="G99"/>
  <c r="F99"/>
  <c r="E99"/>
  <c r="D99"/>
  <c r="C99"/>
  <c r="P98"/>
  <c r="N98"/>
  <c r="L98"/>
  <c r="K98"/>
  <c r="J98"/>
  <c r="I98"/>
  <c r="H98"/>
  <c r="G98"/>
  <c r="F98"/>
  <c r="E98"/>
  <c r="D98"/>
  <c r="C98"/>
  <c r="B98"/>
  <c r="A98"/>
  <c r="C97"/>
  <c r="A97"/>
  <c r="P96"/>
  <c r="N96"/>
  <c r="L96"/>
  <c r="K96"/>
  <c r="J96"/>
  <c r="I96"/>
  <c r="H96"/>
  <c r="G96"/>
  <c r="F96"/>
  <c r="E96"/>
  <c r="D96"/>
  <c r="C96"/>
  <c r="P95"/>
  <c r="N95"/>
  <c r="L95"/>
  <c r="K95"/>
  <c r="J95"/>
  <c r="I95"/>
  <c r="H95"/>
  <c r="G95"/>
  <c r="F95"/>
  <c r="E95"/>
  <c r="D95"/>
  <c r="C95"/>
  <c r="A95"/>
  <c r="C94"/>
  <c r="A94"/>
  <c r="P93"/>
  <c r="N93"/>
  <c r="L93"/>
  <c r="K93"/>
  <c r="J93"/>
  <c r="I93"/>
  <c r="H93"/>
  <c r="G93"/>
  <c r="F93"/>
  <c r="E93"/>
  <c r="D93"/>
  <c r="C93"/>
  <c r="P92"/>
  <c r="N92"/>
  <c r="L92"/>
  <c r="K92"/>
  <c r="J92"/>
  <c r="I92"/>
  <c r="H92"/>
  <c r="G92"/>
  <c r="F92"/>
  <c r="E92"/>
  <c r="D92"/>
  <c r="C92"/>
  <c r="B92"/>
  <c r="P91"/>
  <c r="N91"/>
  <c r="L91"/>
  <c r="K91"/>
  <c r="J91"/>
  <c r="I91"/>
  <c r="H91"/>
  <c r="G91"/>
  <c r="F91"/>
  <c r="E91"/>
  <c r="D91"/>
  <c r="C91"/>
  <c r="B91"/>
  <c r="P90"/>
  <c r="N90"/>
  <c r="L90"/>
  <c r="K90"/>
  <c r="J90"/>
  <c r="I90"/>
  <c r="H90"/>
  <c r="G90"/>
  <c r="F90"/>
  <c r="E90"/>
  <c r="D90"/>
  <c r="C90"/>
  <c r="B90"/>
  <c r="P89"/>
  <c r="N89"/>
  <c r="L89"/>
  <c r="K89"/>
  <c r="J89"/>
  <c r="I89"/>
  <c r="H89"/>
  <c r="G89"/>
  <c r="F89"/>
  <c r="E89"/>
  <c r="D89"/>
  <c r="C89"/>
  <c r="B89"/>
  <c r="A89"/>
  <c r="C88"/>
  <c r="A88"/>
  <c r="P87"/>
  <c r="N87"/>
  <c r="L87"/>
  <c r="K87"/>
  <c r="J87"/>
  <c r="I87"/>
  <c r="H87"/>
  <c r="G87"/>
  <c r="F87"/>
  <c r="E87"/>
  <c r="D87"/>
  <c r="C87"/>
  <c r="P86"/>
  <c r="N86"/>
  <c r="L86"/>
  <c r="K86"/>
  <c r="J86"/>
  <c r="I86"/>
  <c r="H86"/>
  <c r="G86"/>
  <c r="F86"/>
  <c r="E86"/>
  <c r="D86"/>
  <c r="C86"/>
  <c r="B86"/>
  <c r="P85"/>
  <c r="N85"/>
  <c r="L85"/>
  <c r="K85"/>
  <c r="J85"/>
  <c r="I85"/>
  <c r="H85"/>
  <c r="G85"/>
  <c r="F85"/>
  <c r="E85"/>
  <c r="D85"/>
  <c r="C85"/>
  <c r="B85"/>
  <c r="P84"/>
  <c r="N84"/>
  <c r="L84"/>
  <c r="K84"/>
  <c r="J84"/>
  <c r="I84"/>
  <c r="H84"/>
  <c r="G84"/>
  <c r="F84"/>
  <c r="E84"/>
  <c r="D84"/>
  <c r="C84"/>
  <c r="B84"/>
  <c r="P83"/>
  <c r="N83"/>
  <c r="L83"/>
  <c r="K83"/>
  <c r="J83"/>
  <c r="I83"/>
  <c r="H83"/>
  <c r="G83"/>
  <c r="F83"/>
  <c r="E83"/>
  <c r="D83"/>
  <c r="C83"/>
  <c r="B83"/>
  <c r="A83"/>
  <c r="C82"/>
  <c r="A82"/>
  <c r="P81"/>
  <c r="N81"/>
  <c r="L81"/>
  <c r="K81"/>
  <c r="J81"/>
  <c r="I81"/>
  <c r="H81"/>
  <c r="G81"/>
  <c r="F81"/>
  <c r="E81"/>
  <c r="D81"/>
  <c r="C81"/>
  <c r="B81"/>
  <c r="A81"/>
  <c r="N80"/>
  <c r="L80"/>
  <c r="K80"/>
  <c r="J80"/>
  <c r="I80"/>
  <c r="H80"/>
  <c r="G80"/>
  <c r="F80"/>
  <c r="E80"/>
  <c r="D80"/>
  <c r="C80"/>
  <c r="B80"/>
  <c r="A80"/>
  <c r="P79"/>
  <c r="N79"/>
  <c r="L79"/>
  <c r="K79"/>
  <c r="J79"/>
  <c r="I79"/>
  <c r="H79"/>
  <c r="G79"/>
  <c r="F79"/>
  <c r="E79"/>
  <c r="D79"/>
  <c r="C79"/>
  <c r="B79"/>
  <c r="A79"/>
  <c r="P78"/>
  <c r="N78"/>
  <c r="L78"/>
  <c r="K78"/>
  <c r="J78"/>
  <c r="I78"/>
  <c r="H78"/>
  <c r="G78"/>
  <c r="F78"/>
  <c r="E78"/>
  <c r="D78"/>
  <c r="C78"/>
  <c r="B78"/>
  <c r="A78"/>
  <c r="P77"/>
  <c r="N77"/>
  <c r="L77"/>
  <c r="K77"/>
  <c r="J77"/>
  <c r="I77"/>
  <c r="H77"/>
  <c r="G77"/>
  <c r="F77"/>
  <c r="E77"/>
  <c r="D77"/>
  <c r="C77"/>
  <c r="B77"/>
  <c r="A77"/>
  <c r="P76"/>
  <c r="N76"/>
  <c r="L76"/>
  <c r="K76"/>
  <c r="J76"/>
  <c r="I76"/>
  <c r="H76"/>
  <c r="G76"/>
  <c r="F76"/>
  <c r="E76"/>
  <c r="D76"/>
  <c r="C76"/>
  <c r="B76"/>
  <c r="A76"/>
  <c r="P75"/>
  <c r="N75"/>
  <c r="L75"/>
  <c r="K75"/>
  <c r="J75"/>
  <c r="I75"/>
  <c r="H75"/>
  <c r="G75"/>
  <c r="F75"/>
  <c r="E75"/>
  <c r="D75"/>
  <c r="C75"/>
  <c r="B75"/>
  <c r="A75"/>
  <c r="N74"/>
  <c r="L74"/>
  <c r="K74"/>
  <c r="J74"/>
  <c r="I74"/>
  <c r="H74"/>
  <c r="G74"/>
  <c r="F74"/>
  <c r="E74"/>
  <c r="D74"/>
  <c r="C74"/>
  <c r="B74"/>
  <c r="A74"/>
  <c r="C73"/>
  <c r="B73"/>
  <c r="A73"/>
  <c r="P72"/>
  <c r="N72"/>
  <c r="L72"/>
  <c r="K72"/>
  <c r="J72"/>
  <c r="I72"/>
  <c r="H72"/>
  <c r="G72"/>
  <c r="F72"/>
  <c r="E72"/>
  <c r="D72"/>
  <c r="C72"/>
  <c r="B72"/>
  <c r="A72"/>
  <c r="P71"/>
  <c r="N71"/>
  <c r="L71"/>
  <c r="K71"/>
  <c r="J71"/>
  <c r="I71"/>
  <c r="H71"/>
  <c r="G71"/>
  <c r="F71"/>
  <c r="E71"/>
  <c r="D71"/>
  <c r="C71"/>
  <c r="B71"/>
  <c r="A71"/>
  <c r="P70"/>
  <c r="N70"/>
  <c r="L70"/>
  <c r="K70"/>
  <c r="J70"/>
  <c r="I70"/>
  <c r="H70"/>
  <c r="G70"/>
  <c r="F70"/>
  <c r="E70"/>
  <c r="D70"/>
  <c r="C70"/>
  <c r="B70"/>
  <c r="A70"/>
  <c r="C69"/>
  <c r="B69"/>
  <c r="A69"/>
  <c r="P68"/>
  <c r="N68"/>
  <c r="L68"/>
  <c r="K68"/>
  <c r="J68"/>
  <c r="I68"/>
  <c r="H68"/>
  <c r="G68"/>
  <c r="F68"/>
  <c r="E68"/>
  <c r="D68"/>
  <c r="C68"/>
  <c r="B68"/>
  <c r="A68"/>
  <c r="P67"/>
  <c r="N67"/>
  <c r="L67"/>
  <c r="K67"/>
  <c r="J67"/>
  <c r="I67"/>
  <c r="H67"/>
  <c r="G67"/>
  <c r="F67"/>
  <c r="E67"/>
  <c r="D67"/>
  <c r="C67"/>
  <c r="B67"/>
  <c r="A67"/>
  <c r="P66"/>
  <c r="N66"/>
  <c r="L66"/>
  <c r="K66"/>
  <c r="J66"/>
  <c r="I66"/>
  <c r="H66"/>
  <c r="G66"/>
  <c r="F66"/>
  <c r="E66"/>
  <c r="D66"/>
  <c r="C66"/>
  <c r="B66"/>
  <c r="A66"/>
  <c r="P65"/>
  <c r="N65"/>
  <c r="L65"/>
  <c r="K65"/>
  <c r="J65"/>
  <c r="I65"/>
  <c r="H65"/>
  <c r="G65"/>
  <c r="F65"/>
  <c r="E65"/>
  <c r="D65"/>
  <c r="C65"/>
  <c r="B65"/>
  <c r="A65"/>
  <c r="P64"/>
  <c r="N64"/>
  <c r="L64"/>
  <c r="K64"/>
  <c r="J64"/>
  <c r="I64"/>
  <c r="H64"/>
  <c r="G64"/>
  <c r="F64"/>
  <c r="E64"/>
  <c r="D64"/>
  <c r="C64"/>
  <c r="B64"/>
  <c r="A64"/>
  <c r="P63"/>
  <c r="N63"/>
  <c r="L63"/>
  <c r="K63"/>
  <c r="J63"/>
  <c r="I63"/>
  <c r="H63"/>
  <c r="G63"/>
  <c r="F63"/>
  <c r="E63"/>
  <c r="D63"/>
  <c r="C63"/>
  <c r="B63"/>
  <c r="A63"/>
  <c r="P62"/>
  <c r="N62"/>
  <c r="L62"/>
  <c r="K62"/>
  <c r="J62"/>
  <c r="I62"/>
  <c r="H62"/>
  <c r="G62"/>
  <c r="F62"/>
  <c r="E62"/>
  <c r="D62"/>
  <c r="C62"/>
  <c r="B62"/>
  <c r="A62"/>
  <c r="P61"/>
  <c r="N61"/>
  <c r="L61"/>
  <c r="K61"/>
  <c r="J61"/>
  <c r="I61"/>
  <c r="H61"/>
  <c r="G61"/>
  <c r="F61"/>
  <c r="E61"/>
  <c r="D61"/>
  <c r="C61"/>
  <c r="B61"/>
  <c r="A61"/>
  <c r="P60"/>
  <c r="N60"/>
  <c r="L60"/>
  <c r="K60"/>
  <c r="J60"/>
  <c r="I60"/>
  <c r="H60"/>
  <c r="G60"/>
  <c r="F60"/>
  <c r="E60"/>
  <c r="D60"/>
  <c r="C60"/>
  <c r="B60"/>
  <c r="A60"/>
  <c r="P59"/>
  <c r="N59"/>
  <c r="L59"/>
  <c r="K59"/>
  <c r="J59"/>
  <c r="I59"/>
  <c r="H59"/>
  <c r="G59"/>
  <c r="F59"/>
  <c r="E59"/>
  <c r="D59"/>
  <c r="C59"/>
  <c r="B59"/>
  <c r="A59"/>
  <c r="C58"/>
  <c r="B58"/>
  <c r="A58"/>
  <c r="P57"/>
  <c r="N57"/>
  <c r="L57"/>
  <c r="K57"/>
  <c r="J57"/>
  <c r="I57"/>
  <c r="H57"/>
  <c r="G57"/>
  <c r="F57"/>
  <c r="E57"/>
  <c r="D57"/>
  <c r="C57"/>
  <c r="B57"/>
  <c r="A57"/>
  <c r="P56"/>
  <c r="N56"/>
  <c r="L56"/>
  <c r="K56"/>
  <c r="J56"/>
  <c r="I56"/>
  <c r="H56"/>
  <c r="G56"/>
  <c r="F56"/>
  <c r="E56"/>
  <c r="D56"/>
  <c r="C56"/>
  <c r="B56"/>
  <c r="A56"/>
  <c r="C55"/>
  <c r="A55"/>
  <c r="P54"/>
  <c r="N54"/>
  <c r="L54"/>
  <c r="K54"/>
  <c r="J54"/>
  <c r="I54"/>
  <c r="H54"/>
  <c r="G54"/>
  <c r="F54"/>
  <c r="E54"/>
  <c r="D54"/>
  <c r="C54"/>
  <c r="B54"/>
  <c r="A54"/>
  <c r="P53"/>
  <c r="N53"/>
  <c r="L53"/>
  <c r="K53"/>
  <c r="J53"/>
  <c r="I53"/>
  <c r="H53"/>
  <c r="G53"/>
  <c r="F53"/>
  <c r="E53"/>
  <c r="D53"/>
  <c r="C53"/>
  <c r="B53"/>
  <c r="A53"/>
  <c r="P52"/>
  <c r="N52"/>
  <c r="L52"/>
  <c r="K52"/>
  <c r="J52"/>
  <c r="I52"/>
  <c r="H52"/>
  <c r="G52"/>
  <c r="F52"/>
  <c r="E52"/>
  <c r="D52"/>
  <c r="C52"/>
  <c r="B52"/>
  <c r="A52"/>
  <c r="C51"/>
  <c r="B51"/>
  <c r="A51"/>
  <c r="P50"/>
  <c r="N50"/>
  <c r="L50"/>
  <c r="K50"/>
  <c r="J50"/>
  <c r="I50"/>
  <c r="H50"/>
  <c r="G50"/>
  <c r="F50"/>
  <c r="E50"/>
  <c r="D50"/>
  <c r="C50"/>
  <c r="B50"/>
  <c r="A50"/>
  <c r="R49"/>
  <c r="P49"/>
  <c r="N49"/>
  <c r="L49"/>
  <c r="K49"/>
  <c r="J49"/>
  <c r="I49"/>
  <c r="H49"/>
  <c r="G49"/>
  <c r="F49"/>
  <c r="E49"/>
  <c r="D49"/>
  <c r="C49"/>
  <c r="B49"/>
  <c r="A49"/>
  <c r="R48"/>
  <c r="R49" i="3"/>
  <c r="Q48" i="27"/>
  <c r="P48"/>
  <c r="N48"/>
  <c r="L48"/>
  <c r="K48"/>
  <c r="J48"/>
  <c r="I48"/>
  <c r="H48"/>
  <c r="G48"/>
  <c r="F48"/>
  <c r="E48"/>
  <c r="D48"/>
  <c r="C48"/>
  <c r="B48"/>
  <c r="A48"/>
  <c r="R47"/>
  <c r="Q47"/>
  <c r="P47"/>
  <c r="N47"/>
  <c r="L47"/>
  <c r="K47"/>
  <c r="J47"/>
  <c r="I47"/>
  <c r="H47"/>
  <c r="G47"/>
  <c r="F47"/>
  <c r="E47"/>
  <c r="D47"/>
  <c r="C47"/>
  <c r="B47"/>
  <c r="A47"/>
  <c r="C46"/>
  <c r="B46"/>
  <c r="A46"/>
  <c r="R45"/>
  <c r="Q45"/>
  <c r="P45"/>
  <c r="N45"/>
  <c r="L45"/>
  <c r="K45"/>
  <c r="J45"/>
  <c r="I45"/>
  <c r="H45"/>
  <c r="G45"/>
  <c r="F45"/>
  <c r="E45"/>
  <c r="D45"/>
  <c r="C45"/>
  <c r="B45"/>
  <c r="A45"/>
  <c r="R44"/>
  <c r="Q44"/>
  <c r="P44"/>
  <c r="N44"/>
  <c r="L44"/>
  <c r="K44"/>
  <c r="J44"/>
  <c r="I44"/>
  <c r="H44"/>
  <c r="G44"/>
  <c r="F44"/>
  <c r="E44"/>
  <c r="D44"/>
  <c r="C44"/>
  <c r="B44"/>
  <c r="A44"/>
  <c r="R43"/>
  <c r="Q43"/>
  <c r="Q44" i="3"/>
  <c r="P43" i="27"/>
  <c r="N43"/>
  <c r="L43"/>
  <c r="K43"/>
  <c r="J43"/>
  <c r="I43"/>
  <c r="H43"/>
  <c r="G43"/>
  <c r="F43"/>
  <c r="E43"/>
  <c r="D43"/>
  <c r="C43"/>
  <c r="B43"/>
  <c r="A43"/>
  <c r="R42"/>
  <c r="Q42"/>
  <c r="Q43" i="3"/>
  <c r="P42" i="27"/>
  <c r="N42"/>
  <c r="L42"/>
  <c r="K42"/>
  <c r="J42"/>
  <c r="I42"/>
  <c r="H42"/>
  <c r="G42"/>
  <c r="F42"/>
  <c r="E42"/>
  <c r="D42"/>
  <c r="C42"/>
  <c r="B42"/>
  <c r="A42"/>
  <c r="R41"/>
  <c r="Q41"/>
  <c r="P41"/>
  <c r="N41"/>
  <c r="L41"/>
  <c r="K41"/>
  <c r="J41"/>
  <c r="I41"/>
  <c r="H41"/>
  <c r="G41"/>
  <c r="F41"/>
  <c r="E41"/>
  <c r="D41"/>
  <c r="C41"/>
  <c r="B41"/>
  <c r="A41"/>
  <c r="R40"/>
  <c r="Q40"/>
  <c r="P40"/>
  <c r="N40"/>
  <c r="L40"/>
  <c r="K40"/>
  <c r="J40"/>
  <c r="I40"/>
  <c r="H40"/>
  <c r="G40"/>
  <c r="F40"/>
  <c r="E40"/>
  <c r="D40"/>
  <c r="C40"/>
  <c r="B40"/>
  <c r="A40"/>
  <c r="R39"/>
  <c r="Q39"/>
  <c r="Q40" i="3"/>
  <c r="P39" i="27"/>
  <c r="N39"/>
  <c r="L39"/>
  <c r="K39"/>
  <c r="J39"/>
  <c r="I39"/>
  <c r="H39"/>
  <c r="G39"/>
  <c r="F39"/>
  <c r="E39"/>
  <c r="D39"/>
  <c r="C39"/>
  <c r="B39"/>
  <c r="A39"/>
  <c r="C38"/>
  <c r="B38"/>
  <c r="A38"/>
  <c r="R37"/>
  <c r="Q37"/>
  <c r="P37"/>
  <c r="N37"/>
  <c r="L37"/>
  <c r="K37"/>
  <c r="J37"/>
  <c r="I37"/>
  <c r="H37"/>
  <c r="G37"/>
  <c r="F37"/>
  <c r="E37"/>
  <c r="D37"/>
  <c r="C37"/>
  <c r="B37"/>
  <c r="A37"/>
  <c r="P36"/>
  <c r="N36"/>
  <c r="L36"/>
  <c r="K36"/>
  <c r="J36"/>
  <c r="I36"/>
  <c r="H36"/>
  <c r="G36"/>
  <c r="F36"/>
  <c r="C36"/>
  <c r="B36"/>
  <c r="A36"/>
  <c r="R35"/>
  <c r="Q35"/>
  <c r="P35"/>
  <c r="N35"/>
  <c r="L35"/>
  <c r="K35"/>
  <c r="J35"/>
  <c r="I35"/>
  <c r="H35"/>
  <c r="G35"/>
  <c r="F35"/>
  <c r="E35"/>
  <c r="D35"/>
  <c r="C35"/>
  <c r="B35"/>
  <c r="A35"/>
  <c r="R34"/>
  <c r="Q34"/>
  <c r="P34"/>
  <c r="N34"/>
  <c r="L34"/>
  <c r="K34"/>
  <c r="J34"/>
  <c r="I34"/>
  <c r="H34"/>
  <c r="G34"/>
  <c r="F34"/>
  <c r="E34"/>
  <c r="D34"/>
  <c r="C34"/>
  <c r="B34"/>
  <c r="A34"/>
  <c r="C33"/>
  <c r="B33"/>
  <c r="A33"/>
  <c r="R32"/>
  <c r="Q32"/>
  <c r="P32"/>
  <c r="N32"/>
  <c r="L32"/>
  <c r="K32"/>
  <c r="J32"/>
  <c r="I32"/>
  <c r="H32"/>
  <c r="G32"/>
  <c r="F32"/>
  <c r="E32"/>
  <c r="D32"/>
  <c r="C32"/>
  <c r="B32"/>
  <c r="A32"/>
  <c r="R31"/>
  <c r="Q31"/>
  <c r="P31"/>
  <c r="N31"/>
  <c r="L31"/>
  <c r="K31"/>
  <c r="J31"/>
  <c r="I31"/>
  <c r="H31"/>
  <c r="G31"/>
  <c r="F31"/>
  <c r="E31"/>
  <c r="D31"/>
  <c r="C31"/>
  <c r="B31"/>
  <c r="A31"/>
  <c r="R30"/>
  <c r="Q30"/>
  <c r="P30"/>
  <c r="N30"/>
  <c r="L30"/>
  <c r="K30"/>
  <c r="J30"/>
  <c r="I30"/>
  <c r="H30"/>
  <c r="G30"/>
  <c r="F30"/>
  <c r="E30"/>
  <c r="D30"/>
  <c r="C30"/>
  <c r="B30"/>
  <c r="A30"/>
  <c r="R29"/>
  <c r="Q29"/>
  <c r="P29"/>
  <c r="N29"/>
  <c r="L29"/>
  <c r="K29"/>
  <c r="J29"/>
  <c r="I29"/>
  <c r="H29"/>
  <c r="G29"/>
  <c r="F29"/>
  <c r="E29"/>
  <c r="D29"/>
  <c r="C29"/>
  <c r="B29"/>
  <c r="A29"/>
  <c r="Q28"/>
  <c r="P28"/>
  <c r="N28"/>
  <c r="L28"/>
  <c r="K28"/>
  <c r="J28"/>
  <c r="I28"/>
  <c r="H28"/>
  <c r="G28"/>
  <c r="F28"/>
  <c r="E28"/>
  <c r="D28"/>
  <c r="C28"/>
  <c r="B28"/>
  <c r="A28"/>
  <c r="Q27"/>
  <c r="P27"/>
  <c r="N27"/>
  <c r="L27"/>
  <c r="K27"/>
  <c r="J27"/>
  <c r="I27"/>
  <c r="H27"/>
  <c r="G27"/>
  <c r="F27"/>
  <c r="E27"/>
  <c r="D27"/>
  <c r="C27"/>
  <c r="B27"/>
  <c r="A27"/>
  <c r="R26"/>
  <c r="Q26"/>
  <c r="Q26" i="3"/>
  <c r="P26" i="27"/>
  <c r="N26"/>
  <c r="L26"/>
  <c r="K26"/>
  <c r="J26"/>
  <c r="I26"/>
  <c r="H26"/>
  <c r="G26"/>
  <c r="F26"/>
  <c r="E26"/>
  <c r="D26"/>
  <c r="C26"/>
  <c r="B26"/>
  <c r="A26"/>
  <c r="R25"/>
  <c r="Q25"/>
  <c r="Q25" i="3"/>
  <c r="P25" i="27"/>
  <c r="N25"/>
  <c r="L25"/>
  <c r="K25"/>
  <c r="J25"/>
  <c r="I25"/>
  <c r="H25"/>
  <c r="G25"/>
  <c r="F25"/>
  <c r="E25"/>
  <c r="D25"/>
  <c r="C25"/>
  <c r="B25"/>
  <c r="A25"/>
  <c r="R24"/>
  <c r="Q24"/>
  <c r="P24"/>
  <c r="N24"/>
  <c r="L24"/>
  <c r="K24"/>
  <c r="J24"/>
  <c r="I24"/>
  <c r="H24"/>
  <c r="G24"/>
  <c r="F24"/>
  <c r="E24"/>
  <c r="D24"/>
  <c r="C24"/>
  <c r="B24"/>
  <c r="A24"/>
  <c r="C23"/>
  <c r="B23"/>
  <c r="A23"/>
  <c r="R22"/>
  <c r="Q22"/>
  <c r="P22"/>
  <c r="N22"/>
  <c r="L22"/>
  <c r="K22"/>
  <c r="J22"/>
  <c r="I22"/>
  <c r="H22"/>
  <c r="G22"/>
  <c r="F22"/>
  <c r="E22"/>
  <c r="D22"/>
  <c r="C22"/>
  <c r="B22"/>
  <c r="A22"/>
  <c r="R21"/>
  <c r="Q21"/>
  <c r="P21"/>
  <c r="N21"/>
  <c r="L21"/>
  <c r="K21"/>
  <c r="J21"/>
  <c r="I21"/>
  <c r="H21"/>
  <c r="G21"/>
  <c r="F21"/>
  <c r="E21"/>
  <c r="D21"/>
  <c r="C21"/>
  <c r="B21"/>
  <c r="A21"/>
  <c r="C20"/>
  <c r="B20"/>
  <c r="A20"/>
  <c r="Q19"/>
  <c r="P19"/>
  <c r="N19"/>
  <c r="L19"/>
  <c r="K19"/>
  <c r="I19"/>
  <c r="H19"/>
  <c r="G19"/>
  <c r="F19"/>
  <c r="E19"/>
  <c r="D19"/>
  <c r="C19"/>
  <c r="B19"/>
  <c r="A19"/>
  <c r="Q18"/>
  <c r="P18"/>
  <c r="N18"/>
  <c r="L18"/>
  <c r="K18"/>
  <c r="I18"/>
  <c r="H18"/>
  <c r="G18"/>
  <c r="F18"/>
  <c r="E18"/>
  <c r="D18"/>
  <c r="C18"/>
  <c r="B18"/>
  <c r="A18"/>
  <c r="Q17"/>
  <c r="P17"/>
  <c r="N17"/>
  <c r="L17"/>
  <c r="K17"/>
  <c r="J17"/>
  <c r="I17"/>
  <c r="H17"/>
  <c r="G17"/>
  <c r="F17"/>
  <c r="E17"/>
  <c r="D17"/>
  <c r="C17"/>
  <c r="B17"/>
  <c r="A17"/>
  <c r="Q16"/>
  <c r="P16"/>
  <c r="N16"/>
  <c r="L16"/>
  <c r="K16"/>
  <c r="J16"/>
  <c r="I16"/>
  <c r="H16"/>
  <c r="G16"/>
  <c r="F16"/>
  <c r="E16"/>
  <c r="D16"/>
  <c r="C16"/>
  <c r="B16"/>
  <c r="A16"/>
  <c r="Q15"/>
  <c r="P15"/>
  <c r="N15"/>
  <c r="L15"/>
  <c r="K15"/>
  <c r="I15"/>
  <c r="H15"/>
  <c r="G15"/>
  <c r="F15"/>
  <c r="E15"/>
  <c r="D15"/>
  <c r="C15"/>
  <c r="B15"/>
  <c r="A15"/>
  <c r="Q14"/>
  <c r="P14"/>
  <c r="N14"/>
  <c r="L14"/>
  <c r="K14"/>
  <c r="I14"/>
  <c r="H14"/>
  <c r="G14"/>
  <c r="F14"/>
  <c r="E14"/>
  <c r="D14"/>
  <c r="C14"/>
  <c r="B14"/>
  <c r="A14"/>
  <c r="Q13"/>
  <c r="P13"/>
  <c r="N13"/>
  <c r="L13"/>
  <c r="K13"/>
  <c r="I13"/>
  <c r="H13"/>
  <c r="G13"/>
  <c r="F13"/>
  <c r="E13"/>
  <c r="D13"/>
  <c r="C13"/>
  <c r="B13"/>
  <c r="A13"/>
  <c r="C12"/>
  <c r="B12"/>
  <c r="A12"/>
  <c r="R11"/>
  <c r="R11" i="3"/>
  <c r="Q11" i="27"/>
  <c r="P11"/>
  <c r="N11"/>
  <c r="L11"/>
  <c r="K11"/>
  <c r="J11"/>
  <c r="I11"/>
  <c r="H11"/>
  <c r="G11"/>
  <c r="F11"/>
  <c r="E11"/>
  <c r="D11"/>
  <c r="C11"/>
  <c r="B11"/>
  <c r="A11"/>
  <c r="Q10"/>
  <c r="Q10" i="3"/>
  <c r="P10" i="27"/>
  <c r="N10"/>
  <c r="L10"/>
  <c r="K10"/>
  <c r="J10"/>
  <c r="I10"/>
  <c r="H10"/>
  <c r="G10"/>
  <c r="F10"/>
  <c r="E10"/>
  <c r="D10"/>
  <c r="C10"/>
  <c r="B10"/>
  <c r="A10"/>
  <c r="R9"/>
  <c r="Q9"/>
  <c r="Q9" i="3"/>
  <c r="P9" i="27"/>
  <c r="N9"/>
  <c r="L9"/>
  <c r="K9"/>
  <c r="J9"/>
  <c r="I9"/>
  <c r="H9"/>
  <c r="G9"/>
  <c r="F9"/>
  <c r="E9"/>
  <c r="D9"/>
  <c r="C9"/>
  <c r="B9"/>
  <c r="A9"/>
  <c r="Q8"/>
  <c r="P8"/>
  <c r="N8"/>
  <c r="L8"/>
  <c r="K8"/>
  <c r="J8"/>
  <c r="I8"/>
  <c r="H8"/>
  <c r="G8"/>
  <c r="F8"/>
  <c r="E8"/>
  <c r="D8"/>
  <c r="C8"/>
  <c r="B8"/>
  <c r="A8"/>
  <c r="C7"/>
  <c r="A7"/>
  <c r="C6"/>
  <c r="A6"/>
  <c r="F3"/>
  <c r="C3"/>
  <c r="F2"/>
  <c r="C2"/>
  <c r="B2"/>
  <c r="A2"/>
  <c r="P20" i="37"/>
  <c r="N20"/>
  <c r="L20"/>
  <c r="K20"/>
  <c r="J20"/>
  <c r="I20"/>
  <c r="H20"/>
  <c r="G20"/>
  <c r="F20"/>
  <c r="E20"/>
  <c r="D20"/>
  <c r="C20"/>
  <c r="B20"/>
  <c r="P19"/>
  <c r="N19"/>
  <c r="L19"/>
  <c r="K19"/>
  <c r="J19"/>
  <c r="I19"/>
  <c r="H19"/>
  <c r="G19"/>
  <c r="F19"/>
  <c r="E19"/>
  <c r="D19"/>
  <c r="C19"/>
  <c r="B19"/>
  <c r="A19"/>
  <c r="R18"/>
  <c r="C18"/>
  <c r="A18"/>
  <c r="P17"/>
  <c r="N17"/>
  <c r="L17"/>
  <c r="K17"/>
  <c r="J17"/>
  <c r="I17"/>
  <c r="H17"/>
  <c r="G17"/>
  <c r="F17"/>
  <c r="E17"/>
  <c r="D17"/>
  <c r="C17"/>
  <c r="B17"/>
  <c r="A17"/>
  <c r="P16"/>
  <c r="N16"/>
  <c r="L16"/>
  <c r="K16"/>
  <c r="J16"/>
  <c r="I16"/>
  <c r="H16"/>
  <c r="G16"/>
  <c r="F16"/>
  <c r="E16"/>
  <c r="D16"/>
  <c r="C16"/>
  <c r="B16"/>
  <c r="A16"/>
  <c r="R15"/>
  <c r="C15"/>
  <c r="A15"/>
  <c r="P14"/>
  <c r="N14"/>
  <c r="L14"/>
  <c r="K14"/>
  <c r="J14"/>
  <c r="I14"/>
  <c r="H14"/>
  <c r="G14"/>
  <c r="F14"/>
  <c r="E14"/>
  <c r="D14"/>
  <c r="C14"/>
  <c r="B14"/>
  <c r="P13"/>
  <c r="N13"/>
  <c r="L13"/>
  <c r="K13"/>
  <c r="J13"/>
  <c r="I13"/>
  <c r="H13"/>
  <c r="G13"/>
  <c r="F13"/>
  <c r="E13"/>
  <c r="D13"/>
  <c r="C13"/>
  <c r="B13"/>
  <c r="A13"/>
  <c r="P12"/>
  <c r="N12"/>
  <c r="L12"/>
  <c r="K12"/>
  <c r="J12"/>
  <c r="I12"/>
  <c r="H12"/>
  <c r="G12"/>
  <c r="F12"/>
  <c r="E12"/>
  <c r="D12"/>
  <c r="C12"/>
  <c r="B12"/>
  <c r="P11"/>
  <c r="N11"/>
  <c r="L11"/>
  <c r="K11"/>
  <c r="J11"/>
  <c r="I11"/>
  <c r="H11"/>
  <c r="G11"/>
  <c r="F11"/>
  <c r="E11"/>
  <c r="D11"/>
  <c r="C11"/>
  <c r="B11"/>
  <c r="A11"/>
  <c r="R10"/>
  <c r="C10"/>
  <c r="A10"/>
  <c r="P9"/>
  <c r="N9"/>
  <c r="L9"/>
  <c r="K9"/>
  <c r="J9"/>
  <c r="I9"/>
  <c r="H9"/>
  <c r="G9"/>
  <c r="F9"/>
  <c r="E9"/>
  <c r="D9"/>
  <c r="C9"/>
  <c r="B9"/>
  <c r="A9"/>
  <c r="R8"/>
  <c r="C8"/>
  <c r="A8"/>
  <c r="P7"/>
  <c r="N7"/>
  <c r="L7"/>
  <c r="K7"/>
  <c r="J7"/>
  <c r="I7"/>
  <c r="H7"/>
  <c r="G7"/>
  <c r="F7"/>
  <c r="E7"/>
  <c r="D7"/>
  <c r="C7"/>
  <c r="B7"/>
  <c r="A7"/>
  <c r="R6"/>
  <c r="C6"/>
  <c r="A6"/>
  <c r="C3"/>
  <c r="C2"/>
  <c r="B2"/>
  <c r="A2"/>
  <c r="P481" i="38"/>
  <c r="N481"/>
  <c r="L481"/>
  <c r="K481"/>
  <c r="J481"/>
  <c r="I481"/>
  <c r="H481"/>
  <c r="G481"/>
  <c r="F481"/>
  <c r="E481"/>
  <c r="D481"/>
  <c r="C481"/>
  <c r="B481"/>
  <c r="A481"/>
  <c r="P480"/>
  <c r="N480"/>
  <c r="L480"/>
  <c r="K480"/>
  <c r="J480"/>
  <c r="I480"/>
  <c r="H480"/>
  <c r="G480"/>
  <c r="F480"/>
  <c r="E480"/>
  <c r="D480"/>
  <c r="C480"/>
  <c r="B480"/>
  <c r="A480"/>
  <c r="P479"/>
  <c r="N479"/>
  <c r="L479"/>
  <c r="K479"/>
  <c r="J479"/>
  <c r="I479"/>
  <c r="H479"/>
  <c r="G479"/>
  <c r="F479"/>
  <c r="E479"/>
  <c r="D479"/>
  <c r="C479"/>
  <c r="B479"/>
  <c r="A479"/>
  <c r="P478"/>
  <c r="N478"/>
  <c r="L478"/>
  <c r="K478"/>
  <c r="J478"/>
  <c r="I478"/>
  <c r="H478"/>
  <c r="G478"/>
  <c r="F478"/>
  <c r="E478"/>
  <c r="D478"/>
  <c r="C478"/>
  <c r="B478"/>
  <c r="A478"/>
  <c r="P477"/>
  <c r="N477"/>
  <c r="L477"/>
  <c r="K477"/>
  <c r="J477"/>
  <c r="I477"/>
  <c r="H477"/>
  <c r="G477"/>
  <c r="F477"/>
  <c r="E477"/>
  <c r="D477"/>
  <c r="C477"/>
  <c r="B477"/>
  <c r="A477"/>
  <c r="R476"/>
  <c r="C476"/>
  <c r="A476"/>
  <c r="P475"/>
  <c r="N475"/>
  <c r="L475"/>
  <c r="K475"/>
  <c r="J475"/>
  <c r="I475"/>
  <c r="H475"/>
  <c r="G475"/>
  <c r="F475"/>
  <c r="E475"/>
  <c r="D475"/>
  <c r="C475"/>
  <c r="B475"/>
  <c r="A475"/>
  <c r="R474"/>
  <c r="P474"/>
  <c r="N474"/>
  <c r="L474"/>
  <c r="K474"/>
  <c r="I474"/>
  <c r="H474"/>
  <c r="G474"/>
  <c r="F474"/>
  <c r="E474"/>
  <c r="D474"/>
  <c r="C474"/>
  <c r="B474"/>
  <c r="A474"/>
  <c r="P473"/>
  <c r="N473"/>
  <c r="L473"/>
  <c r="K473"/>
  <c r="J473"/>
  <c r="I473"/>
  <c r="H473"/>
  <c r="G473"/>
  <c r="F473"/>
  <c r="E473"/>
  <c r="D473"/>
  <c r="C473"/>
  <c r="B473"/>
  <c r="A473"/>
  <c r="P472"/>
  <c r="N472"/>
  <c r="L472"/>
  <c r="K472"/>
  <c r="J472"/>
  <c r="I472"/>
  <c r="H472"/>
  <c r="G472"/>
  <c r="F472"/>
  <c r="E472"/>
  <c r="D472"/>
  <c r="C472"/>
  <c r="B472"/>
  <c r="A472"/>
  <c r="P471"/>
  <c r="N471"/>
  <c r="L471"/>
  <c r="K471"/>
  <c r="J471"/>
  <c r="I471"/>
  <c r="H471"/>
  <c r="G471"/>
  <c r="F471"/>
  <c r="E471"/>
  <c r="D471"/>
  <c r="C471"/>
  <c r="B471"/>
  <c r="A471"/>
  <c r="P470"/>
  <c r="N470"/>
  <c r="L470"/>
  <c r="K470"/>
  <c r="J470"/>
  <c r="I470"/>
  <c r="H470"/>
  <c r="G470"/>
  <c r="F470"/>
  <c r="E470"/>
  <c r="D470"/>
  <c r="C470"/>
  <c r="B470"/>
  <c r="A470"/>
  <c r="R469"/>
  <c r="P469"/>
  <c r="N469"/>
  <c r="L469"/>
  <c r="K469"/>
  <c r="J469"/>
  <c r="I469"/>
  <c r="H469"/>
  <c r="G469"/>
  <c r="F469"/>
  <c r="E469"/>
  <c r="D469"/>
  <c r="C469"/>
  <c r="B469"/>
  <c r="A469"/>
  <c r="R468"/>
  <c r="P468"/>
  <c r="N468"/>
  <c r="L468"/>
  <c r="K468"/>
  <c r="J468"/>
  <c r="I468"/>
  <c r="H468"/>
  <c r="G468"/>
  <c r="F468"/>
  <c r="E468"/>
  <c r="D468"/>
  <c r="C468"/>
  <c r="B468"/>
  <c r="A468"/>
  <c r="P467"/>
  <c r="N467"/>
  <c r="L467"/>
  <c r="K467"/>
  <c r="J467"/>
  <c r="I467"/>
  <c r="H467"/>
  <c r="G467"/>
  <c r="F467"/>
  <c r="E467"/>
  <c r="D467"/>
  <c r="C467"/>
  <c r="B467"/>
  <c r="A467"/>
  <c r="P466"/>
  <c r="N466"/>
  <c r="L466"/>
  <c r="K466"/>
  <c r="J466"/>
  <c r="I466"/>
  <c r="H466"/>
  <c r="G466"/>
  <c r="F466"/>
  <c r="E466"/>
  <c r="D466"/>
  <c r="C466"/>
  <c r="B466"/>
  <c r="A466"/>
  <c r="P465"/>
  <c r="N465"/>
  <c r="L465"/>
  <c r="K465"/>
  <c r="J465"/>
  <c r="I465"/>
  <c r="H465"/>
  <c r="G465"/>
  <c r="F465"/>
  <c r="E465"/>
  <c r="D465"/>
  <c r="C465"/>
  <c r="B465"/>
  <c r="A465"/>
  <c r="P464"/>
  <c r="N464"/>
  <c r="L464"/>
  <c r="K464"/>
  <c r="J464"/>
  <c r="I464"/>
  <c r="H464"/>
  <c r="G464"/>
  <c r="F464"/>
  <c r="E464"/>
  <c r="D464"/>
  <c r="C464"/>
  <c r="B464"/>
  <c r="A464"/>
  <c r="P463"/>
  <c r="N463"/>
  <c r="L463"/>
  <c r="K463"/>
  <c r="J463"/>
  <c r="I463"/>
  <c r="H463"/>
  <c r="G463"/>
  <c r="F463"/>
  <c r="E463"/>
  <c r="D463"/>
  <c r="C463"/>
  <c r="B463"/>
  <c r="A463"/>
  <c r="P462"/>
  <c r="N462"/>
  <c r="L462"/>
  <c r="K462"/>
  <c r="I462"/>
  <c r="H462"/>
  <c r="G462"/>
  <c r="F462"/>
  <c r="E462"/>
  <c r="D462"/>
  <c r="C462"/>
  <c r="B462"/>
  <c r="A462"/>
  <c r="P461"/>
  <c r="N461"/>
  <c r="L461"/>
  <c r="K461"/>
  <c r="J461"/>
  <c r="I461"/>
  <c r="H461"/>
  <c r="G461"/>
  <c r="F461"/>
  <c r="E461"/>
  <c r="D461"/>
  <c r="C461"/>
  <c r="B461"/>
  <c r="A461"/>
  <c r="P460"/>
  <c r="N460"/>
  <c r="L460"/>
  <c r="K460"/>
  <c r="J460"/>
  <c r="I460"/>
  <c r="H460"/>
  <c r="G460"/>
  <c r="F460"/>
  <c r="E460"/>
  <c r="D460"/>
  <c r="C460"/>
  <c r="B460"/>
  <c r="A460"/>
  <c r="P459"/>
  <c r="N459"/>
  <c r="L459"/>
  <c r="K459"/>
  <c r="J459"/>
  <c r="I459"/>
  <c r="H459"/>
  <c r="G459"/>
  <c r="F459"/>
  <c r="E459"/>
  <c r="D459"/>
  <c r="C459"/>
  <c r="B459"/>
  <c r="A459"/>
  <c r="R458"/>
  <c r="P458"/>
  <c r="N458"/>
  <c r="L458"/>
  <c r="K458"/>
  <c r="J458"/>
  <c r="I458"/>
  <c r="H458"/>
  <c r="G458"/>
  <c r="F458"/>
  <c r="E458"/>
  <c r="D458"/>
  <c r="C458"/>
  <c r="B458"/>
  <c r="A458"/>
  <c r="R457"/>
  <c r="P457"/>
  <c r="N457"/>
  <c r="L457"/>
  <c r="K457"/>
  <c r="J457"/>
  <c r="I457"/>
  <c r="H457"/>
  <c r="G457"/>
  <c r="F457"/>
  <c r="E457"/>
  <c r="D457"/>
  <c r="C457"/>
  <c r="B457"/>
  <c r="A457"/>
  <c r="P456"/>
  <c r="N456"/>
  <c r="L456"/>
  <c r="K456"/>
  <c r="J456"/>
  <c r="I456"/>
  <c r="H456"/>
  <c r="G456"/>
  <c r="F456"/>
  <c r="E456"/>
  <c r="D456"/>
  <c r="C456"/>
  <c r="B456"/>
  <c r="A456"/>
  <c r="P455"/>
  <c r="N455"/>
  <c r="L455"/>
  <c r="K455"/>
  <c r="J455"/>
  <c r="I455"/>
  <c r="H455"/>
  <c r="G455"/>
  <c r="F455"/>
  <c r="E455"/>
  <c r="D455"/>
  <c r="C455"/>
  <c r="B455"/>
  <c r="A455"/>
  <c r="P454"/>
  <c r="N454"/>
  <c r="L454"/>
  <c r="K454"/>
  <c r="J454"/>
  <c r="I454"/>
  <c r="H454"/>
  <c r="G454"/>
  <c r="F454"/>
  <c r="E454"/>
  <c r="D454"/>
  <c r="C454"/>
  <c r="B454"/>
  <c r="A454"/>
  <c r="P453"/>
  <c r="N453"/>
  <c r="L453"/>
  <c r="K453"/>
  <c r="J453"/>
  <c r="I453"/>
  <c r="H453"/>
  <c r="G453"/>
  <c r="F453"/>
  <c r="E453"/>
  <c r="D453"/>
  <c r="C453"/>
  <c r="B453"/>
  <c r="A453"/>
  <c r="P452"/>
  <c r="N452"/>
  <c r="L452"/>
  <c r="K452"/>
  <c r="J452"/>
  <c r="I452"/>
  <c r="H452"/>
  <c r="G452"/>
  <c r="F452"/>
  <c r="E452"/>
  <c r="D452"/>
  <c r="C452"/>
  <c r="B452"/>
  <c r="A452"/>
  <c r="P451"/>
  <c r="N451"/>
  <c r="L451"/>
  <c r="K451"/>
  <c r="J451"/>
  <c r="I451"/>
  <c r="H451"/>
  <c r="G451"/>
  <c r="F451"/>
  <c r="E451"/>
  <c r="D451"/>
  <c r="C451"/>
  <c r="B451"/>
  <c r="A451"/>
  <c r="P450"/>
  <c r="N450"/>
  <c r="L450"/>
  <c r="K450"/>
  <c r="J450"/>
  <c r="I450"/>
  <c r="H450"/>
  <c r="G450"/>
  <c r="F450"/>
  <c r="E450"/>
  <c r="D450"/>
  <c r="C450"/>
  <c r="B450"/>
  <c r="A450"/>
  <c r="P449"/>
  <c r="N449"/>
  <c r="L449"/>
  <c r="K449"/>
  <c r="J449"/>
  <c r="I449"/>
  <c r="H449"/>
  <c r="G449"/>
  <c r="F449"/>
  <c r="E449"/>
  <c r="D449"/>
  <c r="C449"/>
  <c r="B449"/>
  <c r="A449"/>
  <c r="P448"/>
  <c r="N448"/>
  <c r="L448"/>
  <c r="K448"/>
  <c r="J448"/>
  <c r="I448"/>
  <c r="H448"/>
  <c r="G448"/>
  <c r="F448"/>
  <c r="E448"/>
  <c r="D448"/>
  <c r="C448"/>
  <c r="B448"/>
  <c r="A448"/>
  <c r="C447"/>
  <c r="A447"/>
  <c r="C446"/>
  <c r="A446"/>
  <c r="P445"/>
  <c r="N445"/>
  <c r="L445"/>
  <c r="K445"/>
  <c r="J445"/>
  <c r="I445"/>
  <c r="H445"/>
  <c r="G445"/>
  <c r="F445"/>
  <c r="E445"/>
  <c r="D445"/>
  <c r="C445"/>
  <c r="B445"/>
  <c r="A445"/>
  <c r="R444"/>
  <c r="C444"/>
  <c r="A444"/>
  <c r="P443"/>
  <c r="N443"/>
  <c r="L443"/>
  <c r="K443"/>
  <c r="J443"/>
  <c r="I443"/>
  <c r="H443"/>
  <c r="G443"/>
  <c r="F443"/>
  <c r="E443"/>
  <c r="D443"/>
  <c r="C443"/>
  <c r="B443"/>
  <c r="A443"/>
  <c r="P442"/>
  <c r="N442"/>
  <c r="L442"/>
  <c r="K442"/>
  <c r="J442"/>
  <c r="I442"/>
  <c r="H442"/>
  <c r="G442"/>
  <c r="F442"/>
  <c r="E442"/>
  <c r="D442"/>
  <c r="C442"/>
  <c r="B442"/>
  <c r="P441"/>
  <c r="N441"/>
  <c r="L441"/>
  <c r="K441"/>
  <c r="J441"/>
  <c r="I441"/>
  <c r="H441"/>
  <c r="G441"/>
  <c r="F441"/>
  <c r="E441"/>
  <c r="D441"/>
  <c r="C441"/>
  <c r="B441"/>
  <c r="A441"/>
  <c r="R440"/>
  <c r="C440"/>
  <c r="A440"/>
  <c r="P439"/>
  <c r="N439"/>
  <c r="L439"/>
  <c r="K439"/>
  <c r="J439"/>
  <c r="I439"/>
  <c r="H439"/>
  <c r="G439"/>
  <c r="F439"/>
  <c r="E439"/>
  <c r="D439"/>
  <c r="C439"/>
  <c r="B439"/>
  <c r="A439"/>
  <c r="P438"/>
  <c r="N438"/>
  <c r="L438"/>
  <c r="K438"/>
  <c r="J438"/>
  <c r="I438"/>
  <c r="H438"/>
  <c r="G438"/>
  <c r="F438"/>
  <c r="E438"/>
  <c r="D438"/>
  <c r="C438"/>
  <c r="B438"/>
  <c r="A438"/>
  <c r="R437"/>
  <c r="C437"/>
  <c r="A437"/>
  <c r="P436"/>
  <c r="N436"/>
  <c r="L436"/>
  <c r="K436"/>
  <c r="J436"/>
  <c r="I436"/>
  <c r="H436"/>
  <c r="G436"/>
  <c r="F436"/>
  <c r="E436"/>
  <c r="D436"/>
  <c r="C436"/>
  <c r="B436"/>
  <c r="A436"/>
  <c r="P435"/>
  <c r="N435"/>
  <c r="L435"/>
  <c r="K435"/>
  <c r="J435"/>
  <c r="I435"/>
  <c r="H435"/>
  <c r="G435"/>
  <c r="F435"/>
  <c r="E435"/>
  <c r="D435"/>
  <c r="C435"/>
  <c r="B435"/>
  <c r="A435"/>
  <c r="P434"/>
  <c r="N434"/>
  <c r="L434"/>
  <c r="K434"/>
  <c r="J434"/>
  <c r="I434"/>
  <c r="H434"/>
  <c r="G434"/>
  <c r="F434"/>
  <c r="E434"/>
  <c r="D434"/>
  <c r="C434"/>
  <c r="B434"/>
  <c r="A434"/>
  <c r="R433"/>
  <c r="C433"/>
  <c r="B433"/>
  <c r="A433"/>
  <c r="P431"/>
  <c r="N431"/>
  <c r="L431"/>
  <c r="K431"/>
  <c r="J431"/>
  <c r="I431"/>
  <c r="H431"/>
  <c r="G431"/>
  <c r="F431"/>
  <c r="E431"/>
  <c r="D431"/>
  <c r="C431"/>
  <c r="B431"/>
  <c r="A431"/>
  <c r="P430"/>
  <c r="N430"/>
  <c r="L430"/>
  <c r="K430"/>
  <c r="J430"/>
  <c r="I430"/>
  <c r="H430"/>
  <c r="G430"/>
  <c r="F430"/>
  <c r="E430"/>
  <c r="D430"/>
  <c r="C430"/>
  <c r="B430"/>
  <c r="A430"/>
  <c r="P429"/>
  <c r="N429"/>
  <c r="L429"/>
  <c r="K429"/>
  <c r="J429"/>
  <c r="I429"/>
  <c r="H429"/>
  <c r="G429"/>
  <c r="F429"/>
  <c r="E429"/>
  <c r="D429"/>
  <c r="C429"/>
  <c r="B429"/>
  <c r="A429"/>
  <c r="P428"/>
  <c r="N428"/>
  <c r="L428"/>
  <c r="K428"/>
  <c r="J428"/>
  <c r="I428"/>
  <c r="H428"/>
  <c r="G428"/>
  <c r="F428"/>
  <c r="E428"/>
  <c r="D428"/>
  <c r="C428"/>
  <c r="B428"/>
  <c r="A428"/>
  <c r="P427"/>
  <c r="N427"/>
  <c r="L427"/>
  <c r="K427"/>
  <c r="J427"/>
  <c r="I427"/>
  <c r="H427"/>
  <c r="G427"/>
  <c r="F427"/>
  <c r="E427"/>
  <c r="D427"/>
  <c r="C427"/>
  <c r="B427"/>
  <c r="A427"/>
  <c r="P426"/>
  <c r="N426"/>
  <c r="L426"/>
  <c r="K426"/>
  <c r="J426"/>
  <c r="I426"/>
  <c r="H426"/>
  <c r="G426"/>
  <c r="F426"/>
  <c r="E426"/>
  <c r="D426"/>
  <c r="C426"/>
  <c r="B426"/>
  <c r="A426"/>
  <c r="R425"/>
  <c r="C425"/>
  <c r="A425"/>
  <c r="P424"/>
  <c r="N424"/>
  <c r="L424"/>
  <c r="K424"/>
  <c r="J424"/>
  <c r="I424"/>
  <c r="H424"/>
  <c r="G424"/>
  <c r="F424"/>
  <c r="E424"/>
  <c r="D424"/>
  <c r="C424"/>
  <c r="B424"/>
  <c r="A424"/>
  <c r="R423"/>
  <c r="C423"/>
  <c r="A423"/>
  <c r="P422"/>
  <c r="N422"/>
  <c r="L422"/>
  <c r="K422"/>
  <c r="J422"/>
  <c r="I422"/>
  <c r="H422"/>
  <c r="G422"/>
  <c r="F422"/>
  <c r="E422"/>
  <c r="D422"/>
  <c r="C422"/>
  <c r="B422"/>
  <c r="P421"/>
  <c r="N421"/>
  <c r="L421"/>
  <c r="K421"/>
  <c r="J421"/>
  <c r="I421"/>
  <c r="H421"/>
  <c r="G421"/>
  <c r="F421"/>
  <c r="E421"/>
  <c r="D421"/>
  <c r="C421"/>
  <c r="B421"/>
  <c r="A421"/>
  <c r="R420"/>
  <c r="C420"/>
  <c r="A420"/>
  <c r="P419"/>
  <c r="N419"/>
  <c r="L419"/>
  <c r="K419"/>
  <c r="J419"/>
  <c r="I419"/>
  <c r="H419"/>
  <c r="G419"/>
  <c r="F419"/>
  <c r="E419"/>
  <c r="D419"/>
  <c r="C419"/>
  <c r="B419"/>
  <c r="P418"/>
  <c r="N418"/>
  <c r="L418"/>
  <c r="K418"/>
  <c r="J418"/>
  <c r="I418"/>
  <c r="H418"/>
  <c r="G418"/>
  <c r="F418"/>
  <c r="E418"/>
  <c r="D418"/>
  <c r="C418"/>
  <c r="B418"/>
  <c r="A418"/>
  <c r="R417"/>
  <c r="C417"/>
  <c r="A417"/>
  <c r="P416"/>
  <c r="N416"/>
  <c r="L416"/>
  <c r="K416"/>
  <c r="J416"/>
  <c r="I416"/>
  <c r="H416"/>
  <c r="G416"/>
  <c r="F416"/>
  <c r="E416"/>
  <c r="D416"/>
  <c r="C416"/>
  <c r="B416"/>
  <c r="P415"/>
  <c r="N415"/>
  <c r="L415"/>
  <c r="K415"/>
  <c r="J415"/>
  <c r="I415"/>
  <c r="H415"/>
  <c r="G415"/>
  <c r="F415"/>
  <c r="E415"/>
  <c r="D415"/>
  <c r="C415"/>
  <c r="B415"/>
  <c r="A415"/>
  <c r="R414"/>
  <c r="C414"/>
  <c r="A414"/>
  <c r="P413"/>
  <c r="N413"/>
  <c r="L413"/>
  <c r="K413"/>
  <c r="J413"/>
  <c r="I413"/>
  <c r="H413"/>
  <c r="G413"/>
  <c r="F413"/>
  <c r="E413"/>
  <c r="D413"/>
  <c r="C413"/>
  <c r="B413"/>
  <c r="P412"/>
  <c r="N412"/>
  <c r="L412"/>
  <c r="K412"/>
  <c r="J412"/>
  <c r="I412"/>
  <c r="H412"/>
  <c r="G412"/>
  <c r="F412"/>
  <c r="E412"/>
  <c r="D412"/>
  <c r="C412"/>
  <c r="B412"/>
  <c r="A412"/>
  <c r="P411"/>
  <c r="N411"/>
  <c r="L411"/>
  <c r="K411"/>
  <c r="J411"/>
  <c r="I411"/>
  <c r="H411"/>
  <c r="G411"/>
  <c r="F411"/>
  <c r="E411"/>
  <c r="D411"/>
  <c r="C411"/>
  <c r="B411"/>
  <c r="P410"/>
  <c r="N410"/>
  <c r="L410"/>
  <c r="K410"/>
  <c r="J410"/>
  <c r="I410"/>
  <c r="H410"/>
  <c r="G410"/>
  <c r="F410"/>
  <c r="E410"/>
  <c r="D410"/>
  <c r="C410"/>
  <c r="B410"/>
  <c r="A410"/>
  <c r="R409"/>
  <c r="C409"/>
  <c r="A409"/>
  <c r="P408"/>
  <c r="N408"/>
  <c r="L408"/>
  <c r="K408"/>
  <c r="J408"/>
  <c r="I408"/>
  <c r="H408"/>
  <c r="G408"/>
  <c r="F408"/>
  <c r="E408"/>
  <c r="D408"/>
  <c r="C408"/>
  <c r="B408"/>
  <c r="A408"/>
  <c r="R407"/>
  <c r="C407"/>
  <c r="A407"/>
  <c r="P406"/>
  <c r="N406"/>
  <c r="L406"/>
  <c r="K406"/>
  <c r="J406"/>
  <c r="I406"/>
  <c r="H406"/>
  <c r="G406"/>
  <c r="F406"/>
  <c r="E406"/>
  <c r="D406"/>
  <c r="C406"/>
  <c r="B406"/>
  <c r="P405"/>
  <c r="N405"/>
  <c r="L405"/>
  <c r="K405"/>
  <c r="J405"/>
  <c r="I405"/>
  <c r="H405"/>
  <c r="G405"/>
  <c r="F405"/>
  <c r="E405"/>
  <c r="D405"/>
  <c r="C405"/>
  <c r="B405"/>
  <c r="A405"/>
  <c r="R404"/>
  <c r="C404"/>
  <c r="A404"/>
  <c r="P403"/>
  <c r="N403"/>
  <c r="L403"/>
  <c r="K403"/>
  <c r="J403"/>
  <c r="I403"/>
  <c r="H403"/>
  <c r="G403"/>
  <c r="F403"/>
  <c r="E403"/>
  <c r="D403"/>
  <c r="C403"/>
  <c r="B403"/>
  <c r="A403"/>
  <c r="P402"/>
  <c r="N402"/>
  <c r="L402"/>
  <c r="K402"/>
  <c r="J402"/>
  <c r="I402"/>
  <c r="H402"/>
  <c r="G402"/>
  <c r="F402"/>
  <c r="E402"/>
  <c r="D402"/>
  <c r="C402"/>
  <c r="B402"/>
  <c r="A402"/>
  <c r="P401"/>
  <c r="N401"/>
  <c r="L401"/>
  <c r="K401"/>
  <c r="J401"/>
  <c r="I401"/>
  <c r="H401"/>
  <c r="G401"/>
  <c r="F401"/>
  <c r="E401"/>
  <c r="D401"/>
  <c r="C401"/>
  <c r="B401"/>
  <c r="A401"/>
  <c r="P400"/>
  <c r="N400"/>
  <c r="L400"/>
  <c r="K400"/>
  <c r="I400"/>
  <c r="H400"/>
  <c r="G400"/>
  <c r="F400"/>
  <c r="E400"/>
  <c r="D400"/>
  <c r="C400"/>
  <c r="B400"/>
  <c r="A400"/>
  <c r="P399"/>
  <c r="N399"/>
  <c r="L399"/>
  <c r="K399"/>
  <c r="J399"/>
  <c r="I399"/>
  <c r="H399"/>
  <c r="G399"/>
  <c r="F399"/>
  <c r="E399"/>
  <c r="D399"/>
  <c r="C399"/>
  <c r="B399"/>
  <c r="A399"/>
  <c r="P398"/>
  <c r="N398"/>
  <c r="L398"/>
  <c r="K398"/>
  <c r="J398"/>
  <c r="I398"/>
  <c r="H398"/>
  <c r="G398"/>
  <c r="F398"/>
  <c r="E398"/>
  <c r="D398"/>
  <c r="C398"/>
  <c r="B398"/>
  <c r="A398"/>
  <c r="R397"/>
  <c r="C397"/>
  <c r="A397"/>
  <c r="P396"/>
  <c r="N396"/>
  <c r="L396"/>
  <c r="K396"/>
  <c r="J396"/>
  <c r="I396"/>
  <c r="H396"/>
  <c r="G396"/>
  <c r="F396"/>
  <c r="E396"/>
  <c r="D396"/>
  <c r="C396"/>
  <c r="B396"/>
  <c r="A396"/>
  <c r="R395"/>
  <c r="C395"/>
  <c r="A395"/>
  <c r="P393"/>
  <c r="N393"/>
  <c r="L393"/>
  <c r="K393"/>
  <c r="J393"/>
  <c r="I393"/>
  <c r="H393"/>
  <c r="G393"/>
  <c r="F393"/>
  <c r="C393"/>
  <c r="B393"/>
  <c r="A393"/>
  <c r="P392"/>
  <c r="N392"/>
  <c r="L392"/>
  <c r="K392"/>
  <c r="J392"/>
  <c r="I392"/>
  <c r="H392"/>
  <c r="G392"/>
  <c r="F392"/>
  <c r="C392"/>
  <c r="B392"/>
  <c r="A392"/>
  <c r="P391"/>
  <c r="N391"/>
  <c r="L391"/>
  <c r="K391"/>
  <c r="J391"/>
  <c r="I391"/>
  <c r="H391"/>
  <c r="G391"/>
  <c r="F391"/>
  <c r="C391"/>
  <c r="B391"/>
  <c r="A391"/>
  <c r="R390"/>
  <c r="C390"/>
  <c r="A390"/>
  <c r="P389"/>
  <c r="N389"/>
  <c r="L389"/>
  <c r="K389"/>
  <c r="J389"/>
  <c r="I389"/>
  <c r="H389"/>
  <c r="G389"/>
  <c r="F389"/>
  <c r="E389"/>
  <c r="D389"/>
  <c r="C389"/>
  <c r="B389"/>
  <c r="P388"/>
  <c r="N388"/>
  <c r="L388"/>
  <c r="K388"/>
  <c r="J388"/>
  <c r="I388"/>
  <c r="H388"/>
  <c r="G388"/>
  <c r="F388"/>
  <c r="E388"/>
  <c r="D388"/>
  <c r="C388"/>
  <c r="B388"/>
  <c r="P387"/>
  <c r="N387"/>
  <c r="L387"/>
  <c r="K387"/>
  <c r="J387"/>
  <c r="I387"/>
  <c r="H387"/>
  <c r="G387"/>
  <c r="F387"/>
  <c r="E387"/>
  <c r="D387"/>
  <c r="C387"/>
  <c r="B387"/>
  <c r="A387"/>
  <c r="R386"/>
  <c r="C386"/>
  <c r="A386"/>
  <c r="P385"/>
  <c r="N385"/>
  <c r="L385"/>
  <c r="K385"/>
  <c r="J385"/>
  <c r="I385"/>
  <c r="H385"/>
  <c r="G385"/>
  <c r="F385"/>
  <c r="E385"/>
  <c r="D385"/>
  <c r="C385"/>
  <c r="B385"/>
  <c r="P384"/>
  <c r="N384"/>
  <c r="L384"/>
  <c r="K384"/>
  <c r="J384"/>
  <c r="I384"/>
  <c r="H384"/>
  <c r="G384"/>
  <c r="F384"/>
  <c r="E384"/>
  <c r="D384"/>
  <c r="C384"/>
  <c r="B384"/>
  <c r="A384"/>
  <c r="R383"/>
  <c r="C383"/>
  <c r="A383"/>
  <c r="P382"/>
  <c r="N382"/>
  <c r="L382"/>
  <c r="K382"/>
  <c r="J382"/>
  <c r="I382"/>
  <c r="H382"/>
  <c r="G382"/>
  <c r="F382"/>
  <c r="E382"/>
  <c r="D382"/>
  <c r="C382"/>
  <c r="B382"/>
  <c r="P381"/>
  <c r="N381"/>
  <c r="L381"/>
  <c r="K381"/>
  <c r="J381"/>
  <c r="I381"/>
  <c r="H381"/>
  <c r="G381"/>
  <c r="F381"/>
  <c r="E381"/>
  <c r="D381"/>
  <c r="C381"/>
  <c r="B381"/>
  <c r="P380"/>
  <c r="N380"/>
  <c r="L380"/>
  <c r="K380"/>
  <c r="J380"/>
  <c r="I380"/>
  <c r="H380"/>
  <c r="G380"/>
  <c r="F380"/>
  <c r="E380"/>
  <c r="D380"/>
  <c r="C380"/>
  <c r="B380"/>
  <c r="P379"/>
  <c r="N379"/>
  <c r="L379"/>
  <c r="K379"/>
  <c r="J379"/>
  <c r="I379"/>
  <c r="H379"/>
  <c r="G379"/>
  <c r="F379"/>
  <c r="E379"/>
  <c r="D379"/>
  <c r="C379"/>
  <c r="B379"/>
  <c r="A379"/>
  <c r="R378"/>
  <c r="C378"/>
  <c r="A378"/>
  <c r="P376"/>
  <c r="N376"/>
  <c r="L376"/>
  <c r="K376"/>
  <c r="J376"/>
  <c r="I376"/>
  <c r="H376"/>
  <c r="G376"/>
  <c r="F376"/>
  <c r="E376"/>
  <c r="D376"/>
  <c r="C376"/>
  <c r="B376"/>
  <c r="P375"/>
  <c r="N375"/>
  <c r="L375"/>
  <c r="K375"/>
  <c r="J375"/>
  <c r="I375"/>
  <c r="H375"/>
  <c r="G375"/>
  <c r="F375"/>
  <c r="E375"/>
  <c r="D375"/>
  <c r="C375"/>
  <c r="B375"/>
  <c r="P374"/>
  <c r="N374"/>
  <c r="L374"/>
  <c r="K374"/>
  <c r="J374"/>
  <c r="I374"/>
  <c r="H374"/>
  <c r="G374"/>
  <c r="F374"/>
  <c r="E374"/>
  <c r="D374"/>
  <c r="C374"/>
  <c r="B374"/>
  <c r="P373"/>
  <c r="N373"/>
  <c r="L373"/>
  <c r="K373"/>
  <c r="J373"/>
  <c r="I373"/>
  <c r="H373"/>
  <c r="G373"/>
  <c r="F373"/>
  <c r="E373"/>
  <c r="D373"/>
  <c r="C373"/>
  <c r="B373"/>
  <c r="P372"/>
  <c r="N372"/>
  <c r="L372"/>
  <c r="K372"/>
  <c r="J372"/>
  <c r="I372"/>
  <c r="H372"/>
  <c r="G372"/>
  <c r="F372"/>
  <c r="E372"/>
  <c r="D372"/>
  <c r="C372"/>
  <c r="B372"/>
  <c r="P371"/>
  <c r="N371"/>
  <c r="L371"/>
  <c r="K371"/>
  <c r="J371"/>
  <c r="I371"/>
  <c r="H371"/>
  <c r="G371"/>
  <c r="F371"/>
  <c r="E371"/>
  <c r="D371"/>
  <c r="C371"/>
  <c r="B371"/>
  <c r="A371"/>
  <c r="R370"/>
  <c r="C370"/>
  <c r="A370"/>
  <c r="P369"/>
  <c r="N369"/>
  <c r="L369"/>
  <c r="K369"/>
  <c r="J369"/>
  <c r="I369"/>
  <c r="H369"/>
  <c r="G369"/>
  <c r="F369"/>
  <c r="E369"/>
  <c r="D369"/>
  <c r="C369"/>
  <c r="B369"/>
  <c r="P368"/>
  <c r="N368"/>
  <c r="L368"/>
  <c r="K368"/>
  <c r="J368"/>
  <c r="I368"/>
  <c r="H368"/>
  <c r="G368"/>
  <c r="F368"/>
  <c r="E368"/>
  <c r="D368"/>
  <c r="C368"/>
  <c r="B368"/>
  <c r="P367"/>
  <c r="N367"/>
  <c r="L367"/>
  <c r="K367"/>
  <c r="J367"/>
  <c r="I367"/>
  <c r="H367"/>
  <c r="G367"/>
  <c r="F367"/>
  <c r="E367"/>
  <c r="D367"/>
  <c r="C367"/>
  <c r="B367"/>
  <c r="R366"/>
  <c r="R130" i="7"/>
  <c r="P366" i="38"/>
  <c r="N366"/>
  <c r="L366"/>
  <c r="K366"/>
  <c r="J366"/>
  <c r="I366"/>
  <c r="H366"/>
  <c r="G366"/>
  <c r="F366"/>
  <c r="E366"/>
  <c r="D366"/>
  <c r="C366"/>
  <c r="B366"/>
  <c r="R365"/>
  <c r="P365"/>
  <c r="N365"/>
  <c r="L365"/>
  <c r="K365"/>
  <c r="J365"/>
  <c r="I365"/>
  <c r="H365"/>
  <c r="G365"/>
  <c r="F365"/>
  <c r="E365"/>
  <c r="D365"/>
  <c r="C365"/>
  <c r="B365"/>
  <c r="A365"/>
  <c r="C364"/>
  <c r="A364"/>
  <c r="P363"/>
  <c r="N363"/>
  <c r="L363"/>
  <c r="K363"/>
  <c r="J363"/>
  <c r="I363"/>
  <c r="H363"/>
  <c r="G363"/>
  <c r="F363"/>
  <c r="E363"/>
  <c r="D363"/>
  <c r="C363"/>
  <c r="B363"/>
  <c r="A363"/>
  <c r="R362"/>
  <c r="C362"/>
  <c r="A362"/>
  <c r="P361"/>
  <c r="N361"/>
  <c r="L361"/>
  <c r="K361"/>
  <c r="J361"/>
  <c r="I361"/>
  <c r="H361"/>
  <c r="G361"/>
  <c r="F361"/>
  <c r="E361"/>
  <c r="D361"/>
  <c r="C361"/>
  <c r="B361"/>
  <c r="P360"/>
  <c r="N360"/>
  <c r="L360"/>
  <c r="K360"/>
  <c r="J360"/>
  <c r="I360"/>
  <c r="H360"/>
  <c r="G360"/>
  <c r="F360"/>
  <c r="E360"/>
  <c r="D360"/>
  <c r="C360"/>
  <c r="B360"/>
  <c r="A360"/>
  <c r="P359"/>
  <c r="N359"/>
  <c r="L359"/>
  <c r="K359"/>
  <c r="J359"/>
  <c r="I359"/>
  <c r="H359"/>
  <c r="G359"/>
  <c r="F359"/>
  <c r="E359"/>
  <c r="D359"/>
  <c r="C359"/>
  <c r="B359"/>
  <c r="P358"/>
  <c r="N358"/>
  <c r="L358"/>
  <c r="K358"/>
  <c r="J358"/>
  <c r="I358"/>
  <c r="H358"/>
  <c r="G358"/>
  <c r="F358"/>
  <c r="E358"/>
  <c r="D358"/>
  <c r="C358"/>
  <c r="B358"/>
  <c r="P357"/>
  <c r="N357"/>
  <c r="L357"/>
  <c r="K357"/>
  <c r="J357"/>
  <c r="I357"/>
  <c r="H357"/>
  <c r="G357"/>
  <c r="F357"/>
  <c r="E357"/>
  <c r="D357"/>
  <c r="C357"/>
  <c r="B357"/>
  <c r="P356"/>
  <c r="N356"/>
  <c r="L356"/>
  <c r="K356"/>
  <c r="J356"/>
  <c r="I356"/>
  <c r="H356"/>
  <c r="G356"/>
  <c r="F356"/>
  <c r="E356"/>
  <c r="D356"/>
  <c r="C356"/>
  <c r="B356"/>
  <c r="R355"/>
  <c r="R30" i="15"/>
  <c r="P355" i="38"/>
  <c r="N355"/>
  <c r="L355"/>
  <c r="K355"/>
  <c r="J355"/>
  <c r="I355"/>
  <c r="H355"/>
  <c r="G355"/>
  <c r="F355"/>
  <c r="E355"/>
  <c r="D355"/>
  <c r="C355"/>
  <c r="B355"/>
  <c r="A355"/>
  <c r="C354"/>
  <c r="A354"/>
  <c r="P353"/>
  <c r="N353"/>
  <c r="L353"/>
  <c r="K353"/>
  <c r="J353"/>
  <c r="I353"/>
  <c r="H353"/>
  <c r="G353"/>
  <c r="F353"/>
  <c r="E353"/>
  <c r="D353"/>
  <c r="C353"/>
  <c r="B353"/>
  <c r="A353"/>
  <c r="P352"/>
  <c r="N352"/>
  <c r="L352"/>
  <c r="K352"/>
  <c r="J352"/>
  <c r="I352"/>
  <c r="H352"/>
  <c r="G352"/>
  <c r="F352"/>
  <c r="E352"/>
  <c r="D352"/>
  <c r="C352"/>
  <c r="B352"/>
  <c r="A352"/>
  <c r="R351"/>
  <c r="C351"/>
  <c r="A351"/>
  <c r="R350"/>
  <c r="P350"/>
  <c r="N350"/>
  <c r="L350"/>
  <c r="K350"/>
  <c r="J350"/>
  <c r="I350"/>
  <c r="H350"/>
  <c r="G350"/>
  <c r="F350"/>
  <c r="E350"/>
  <c r="D350"/>
  <c r="C350"/>
  <c r="B350"/>
  <c r="A350"/>
  <c r="R349"/>
  <c r="P349"/>
  <c r="N349"/>
  <c r="L349"/>
  <c r="K349"/>
  <c r="J349"/>
  <c r="I349"/>
  <c r="H349"/>
  <c r="G349"/>
  <c r="F349"/>
  <c r="E349"/>
  <c r="D349"/>
  <c r="C349"/>
  <c r="B349"/>
  <c r="A349"/>
  <c r="C348"/>
  <c r="B348"/>
  <c r="A348"/>
  <c r="R347"/>
  <c r="R90" i="16"/>
  <c r="P347" i="38"/>
  <c r="N347"/>
  <c r="L347"/>
  <c r="K347"/>
  <c r="J347"/>
  <c r="I347"/>
  <c r="H347"/>
  <c r="G347"/>
  <c r="F347"/>
  <c r="E347"/>
  <c r="D347"/>
  <c r="C347"/>
  <c r="B347"/>
  <c r="A347"/>
  <c r="P346"/>
  <c r="N346"/>
  <c r="L346"/>
  <c r="K346"/>
  <c r="J346"/>
  <c r="I346"/>
  <c r="H346"/>
  <c r="G346"/>
  <c r="F346"/>
  <c r="E346"/>
  <c r="D346"/>
  <c r="C346"/>
  <c r="B346"/>
  <c r="A346"/>
  <c r="P345"/>
  <c r="N345"/>
  <c r="L345"/>
  <c r="K345"/>
  <c r="J345"/>
  <c r="I345"/>
  <c r="H345"/>
  <c r="G345"/>
  <c r="F345"/>
  <c r="E345"/>
  <c r="D345"/>
  <c r="C345"/>
  <c r="B345"/>
  <c r="A345"/>
  <c r="R344"/>
  <c r="P344"/>
  <c r="N344"/>
  <c r="L344"/>
  <c r="K344"/>
  <c r="J344"/>
  <c r="I344"/>
  <c r="H344"/>
  <c r="G344"/>
  <c r="F344"/>
  <c r="E344"/>
  <c r="D344"/>
  <c r="C344"/>
  <c r="B344"/>
  <c r="A344"/>
  <c r="P343"/>
  <c r="N343"/>
  <c r="L343"/>
  <c r="K343"/>
  <c r="J343"/>
  <c r="I343"/>
  <c r="H343"/>
  <c r="G343"/>
  <c r="F343"/>
  <c r="E343"/>
  <c r="D343"/>
  <c r="C343"/>
  <c r="B343"/>
  <c r="A343"/>
  <c r="C342"/>
  <c r="B342"/>
  <c r="A342"/>
  <c r="P340"/>
  <c r="N340"/>
  <c r="L340"/>
  <c r="K340"/>
  <c r="J340"/>
  <c r="I340"/>
  <c r="H340"/>
  <c r="G340"/>
  <c r="F340"/>
  <c r="E340"/>
  <c r="D340"/>
  <c r="C340"/>
  <c r="B340"/>
  <c r="P339"/>
  <c r="N339"/>
  <c r="L339"/>
  <c r="K339"/>
  <c r="J339"/>
  <c r="I339"/>
  <c r="H339"/>
  <c r="G339"/>
  <c r="F339"/>
  <c r="E339"/>
  <c r="D339"/>
  <c r="C339"/>
  <c r="B339"/>
  <c r="P338"/>
  <c r="N338"/>
  <c r="L338"/>
  <c r="K338"/>
  <c r="J338"/>
  <c r="I338"/>
  <c r="H338"/>
  <c r="G338"/>
  <c r="F338"/>
  <c r="E338"/>
  <c r="D338"/>
  <c r="C338"/>
  <c r="B338"/>
  <c r="P337"/>
  <c r="N337"/>
  <c r="L337"/>
  <c r="K337"/>
  <c r="J337"/>
  <c r="I337"/>
  <c r="H337"/>
  <c r="G337"/>
  <c r="F337"/>
  <c r="E337"/>
  <c r="D337"/>
  <c r="C337"/>
  <c r="B337"/>
  <c r="P336"/>
  <c r="N336"/>
  <c r="L336"/>
  <c r="K336"/>
  <c r="J336"/>
  <c r="I336"/>
  <c r="H336"/>
  <c r="G336"/>
  <c r="F336"/>
  <c r="E336"/>
  <c r="D336"/>
  <c r="C336"/>
  <c r="B336"/>
  <c r="R335"/>
  <c r="P335"/>
  <c r="N335"/>
  <c r="L335"/>
  <c r="K335"/>
  <c r="J335"/>
  <c r="I335"/>
  <c r="H335"/>
  <c r="G335"/>
  <c r="F335"/>
  <c r="E335"/>
  <c r="D335"/>
  <c r="C335"/>
  <c r="B335"/>
  <c r="A335"/>
  <c r="C334"/>
  <c r="A334"/>
  <c r="P333"/>
  <c r="N333"/>
  <c r="L333"/>
  <c r="K333"/>
  <c r="J333"/>
  <c r="I333"/>
  <c r="H333"/>
  <c r="G333"/>
  <c r="F333"/>
  <c r="E333"/>
  <c r="D333"/>
  <c r="C333"/>
  <c r="B333"/>
  <c r="P332"/>
  <c r="N332"/>
  <c r="L332"/>
  <c r="K332"/>
  <c r="J332"/>
  <c r="I332"/>
  <c r="H332"/>
  <c r="G332"/>
  <c r="F332"/>
  <c r="E332"/>
  <c r="D332"/>
  <c r="C332"/>
  <c r="B332"/>
  <c r="P331"/>
  <c r="N331"/>
  <c r="L331"/>
  <c r="K331"/>
  <c r="J331"/>
  <c r="I331"/>
  <c r="H331"/>
  <c r="G331"/>
  <c r="F331"/>
  <c r="E331"/>
  <c r="D331"/>
  <c r="C331"/>
  <c r="B331"/>
  <c r="A331"/>
  <c r="R330"/>
  <c r="C330"/>
  <c r="A330"/>
  <c r="P329"/>
  <c r="N329"/>
  <c r="L329"/>
  <c r="K329"/>
  <c r="J329"/>
  <c r="I329"/>
  <c r="H329"/>
  <c r="G329"/>
  <c r="F329"/>
  <c r="E329"/>
  <c r="D329"/>
  <c r="C329"/>
  <c r="B329"/>
  <c r="P328"/>
  <c r="N328"/>
  <c r="L328"/>
  <c r="K328"/>
  <c r="J328"/>
  <c r="I328"/>
  <c r="H328"/>
  <c r="G328"/>
  <c r="F328"/>
  <c r="E328"/>
  <c r="D328"/>
  <c r="C328"/>
  <c r="B328"/>
  <c r="R327"/>
  <c r="P327"/>
  <c r="N327"/>
  <c r="L327"/>
  <c r="K327"/>
  <c r="J327"/>
  <c r="I327"/>
  <c r="H327"/>
  <c r="G327"/>
  <c r="F327"/>
  <c r="E327"/>
  <c r="D327"/>
  <c r="C327"/>
  <c r="B327"/>
  <c r="P326"/>
  <c r="N326"/>
  <c r="L326"/>
  <c r="K326"/>
  <c r="J326"/>
  <c r="I326"/>
  <c r="H326"/>
  <c r="G326"/>
  <c r="F326"/>
  <c r="E326"/>
  <c r="D326"/>
  <c r="C326"/>
  <c r="B326"/>
  <c r="P325"/>
  <c r="N325"/>
  <c r="L325"/>
  <c r="K325"/>
  <c r="J325"/>
  <c r="I325"/>
  <c r="H325"/>
  <c r="G325"/>
  <c r="F325"/>
  <c r="E325"/>
  <c r="D325"/>
  <c r="C325"/>
  <c r="B325"/>
  <c r="P324"/>
  <c r="N324"/>
  <c r="L324"/>
  <c r="K324"/>
  <c r="J324"/>
  <c r="I324"/>
  <c r="H324"/>
  <c r="G324"/>
  <c r="F324"/>
  <c r="E324"/>
  <c r="D324"/>
  <c r="C324"/>
  <c r="B324"/>
  <c r="R323"/>
  <c r="P323"/>
  <c r="N323"/>
  <c r="L323"/>
  <c r="K323"/>
  <c r="J323"/>
  <c r="I323"/>
  <c r="H323"/>
  <c r="G323"/>
  <c r="F323"/>
  <c r="E323"/>
  <c r="D323"/>
  <c r="C323"/>
  <c r="B323"/>
  <c r="P322"/>
  <c r="N322"/>
  <c r="L322"/>
  <c r="K322"/>
  <c r="J322"/>
  <c r="I322"/>
  <c r="H322"/>
  <c r="G322"/>
  <c r="F322"/>
  <c r="E322"/>
  <c r="D322"/>
  <c r="C322"/>
  <c r="B322"/>
  <c r="R321"/>
  <c r="P321"/>
  <c r="N321"/>
  <c r="L321"/>
  <c r="K321"/>
  <c r="J321"/>
  <c r="I321"/>
  <c r="H321"/>
  <c r="G321"/>
  <c r="F321"/>
  <c r="E321"/>
  <c r="D321"/>
  <c r="C321"/>
  <c r="B321"/>
  <c r="R320"/>
  <c r="P320"/>
  <c r="N320"/>
  <c r="L320"/>
  <c r="K320"/>
  <c r="J320"/>
  <c r="I320"/>
  <c r="H320"/>
  <c r="G320"/>
  <c r="F320"/>
  <c r="E320"/>
  <c r="D320"/>
  <c r="C320"/>
  <c r="B320"/>
  <c r="P319"/>
  <c r="N319"/>
  <c r="L319"/>
  <c r="K319"/>
  <c r="J319"/>
  <c r="I319"/>
  <c r="H319"/>
  <c r="G319"/>
  <c r="F319"/>
  <c r="E319"/>
  <c r="D319"/>
  <c r="C319"/>
  <c r="B319"/>
  <c r="R318"/>
  <c r="P318"/>
  <c r="N318"/>
  <c r="L318"/>
  <c r="K318"/>
  <c r="J318"/>
  <c r="I318"/>
  <c r="H318"/>
  <c r="G318"/>
  <c r="F318"/>
  <c r="E318"/>
  <c r="D318"/>
  <c r="C318"/>
  <c r="B318"/>
  <c r="R317"/>
  <c r="P317"/>
  <c r="N317"/>
  <c r="L317"/>
  <c r="K317"/>
  <c r="J317"/>
  <c r="I317"/>
  <c r="H317"/>
  <c r="G317"/>
  <c r="F317"/>
  <c r="E317"/>
  <c r="D317"/>
  <c r="C317"/>
  <c r="B317"/>
  <c r="R316"/>
  <c r="P316"/>
  <c r="N316"/>
  <c r="L316"/>
  <c r="K316"/>
  <c r="J316"/>
  <c r="I316"/>
  <c r="H316"/>
  <c r="G316"/>
  <c r="F316"/>
  <c r="E316"/>
  <c r="D316"/>
  <c r="C316"/>
  <c r="B316"/>
  <c r="P315"/>
  <c r="N315"/>
  <c r="L315"/>
  <c r="K315"/>
  <c r="J315"/>
  <c r="I315"/>
  <c r="H315"/>
  <c r="G315"/>
  <c r="F315"/>
  <c r="E315"/>
  <c r="D315"/>
  <c r="C315"/>
  <c r="B315"/>
  <c r="R314"/>
  <c r="P314"/>
  <c r="N314"/>
  <c r="L314"/>
  <c r="K314"/>
  <c r="J314"/>
  <c r="I314"/>
  <c r="H314"/>
  <c r="G314"/>
  <c r="F314"/>
  <c r="E314"/>
  <c r="D314"/>
  <c r="C314"/>
  <c r="B314"/>
  <c r="A314"/>
  <c r="C313"/>
  <c r="A313"/>
  <c r="P312"/>
  <c r="N312"/>
  <c r="L312"/>
  <c r="K312"/>
  <c r="J312"/>
  <c r="I312"/>
  <c r="H312"/>
  <c r="G312"/>
  <c r="F312"/>
  <c r="E312"/>
  <c r="D312"/>
  <c r="C312"/>
  <c r="B312"/>
  <c r="A312"/>
  <c r="R311"/>
  <c r="C311"/>
  <c r="A311"/>
  <c r="P310"/>
  <c r="N310"/>
  <c r="L310"/>
  <c r="K310"/>
  <c r="J310"/>
  <c r="I310"/>
  <c r="H310"/>
  <c r="G310"/>
  <c r="F310"/>
  <c r="E310"/>
  <c r="D310"/>
  <c r="C310"/>
  <c r="B310"/>
  <c r="R309"/>
  <c r="P309"/>
  <c r="N309"/>
  <c r="L309"/>
  <c r="K309"/>
  <c r="J309"/>
  <c r="I309"/>
  <c r="H309"/>
  <c r="G309"/>
  <c r="F309"/>
  <c r="E309"/>
  <c r="D309"/>
  <c r="C309"/>
  <c r="B309"/>
  <c r="P308"/>
  <c r="N308"/>
  <c r="L308"/>
  <c r="K308"/>
  <c r="J308"/>
  <c r="I308"/>
  <c r="H308"/>
  <c r="G308"/>
  <c r="F308"/>
  <c r="E308"/>
  <c r="D308"/>
  <c r="C308"/>
  <c r="B308"/>
  <c r="P307"/>
  <c r="N307"/>
  <c r="L307"/>
  <c r="K307"/>
  <c r="J307"/>
  <c r="I307"/>
  <c r="H307"/>
  <c r="G307"/>
  <c r="F307"/>
  <c r="E307"/>
  <c r="D307"/>
  <c r="C307"/>
  <c r="B307"/>
  <c r="A307"/>
  <c r="P306"/>
  <c r="N306"/>
  <c r="L306"/>
  <c r="K306"/>
  <c r="J306"/>
  <c r="I306"/>
  <c r="H306"/>
  <c r="G306"/>
  <c r="F306"/>
  <c r="E306"/>
  <c r="D306"/>
  <c r="C306"/>
  <c r="B306"/>
  <c r="P305"/>
  <c r="N305"/>
  <c r="L305"/>
  <c r="K305"/>
  <c r="J305"/>
  <c r="I305"/>
  <c r="H305"/>
  <c r="G305"/>
  <c r="F305"/>
  <c r="E305"/>
  <c r="D305"/>
  <c r="C305"/>
  <c r="B305"/>
  <c r="A305"/>
  <c r="R304"/>
  <c r="C304"/>
  <c r="A304"/>
  <c r="R303"/>
  <c r="P303"/>
  <c r="N303"/>
  <c r="K303"/>
  <c r="J303"/>
  <c r="I303"/>
  <c r="H303"/>
  <c r="G303"/>
  <c r="F303"/>
  <c r="E303"/>
  <c r="D303"/>
  <c r="C303"/>
  <c r="B303"/>
  <c r="A303"/>
  <c r="C302"/>
  <c r="A302"/>
  <c r="R301"/>
  <c r="P301"/>
  <c r="N301"/>
  <c r="L301"/>
  <c r="K301"/>
  <c r="J301"/>
  <c r="I301"/>
  <c r="H301"/>
  <c r="G301"/>
  <c r="F301"/>
  <c r="E301"/>
  <c r="D301"/>
  <c r="C301"/>
  <c r="B301"/>
  <c r="A301"/>
  <c r="P300"/>
  <c r="N300"/>
  <c r="L300"/>
  <c r="K300"/>
  <c r="J300"/>
  <c r="I300"/>
  <c r="H300"/>
  <c r="G300"/>
  <c r="F300"/>
  <c r="E300"/>
  <c r="D300"/>
  <c r="C300"/>
  <c r="B300"/>
  <c r="P299"/>
  <c r="N299"/>
  <c r="L299"/>
  <c r="K299"/>
  <c r="J299"/>
  <c r="I299"/>
  <c r="H299"/>
  <c r="G299"/>
  <c r="F299"/>
  <c r="E299"/>
  <c r="D299"/>
  <c r="C299"/>
  <c r="B299"/>
  <c r="A299"/>
  <c r="C298"/>
  <c r="A298"/>
  <c r="R297"/>
  <c r="P297"/>
  <c r="N297"/>
  <c r="L297"/>
  <c r="K297"/>
  <c r="J297"/>
  <c r="I297"/>
  <c r="H297"/>
  <c r="G297"/>
  <c r="F297"/>
  <c r="E297"/>
  <c r="D297"/>
  <c r="C297"/>
  <c r="B297"/>
  <c r="A297"/>
  <c r="R296"/>
  <c r="R39" i="2"/>
  <c r="P296" i="38"/>
  <c r="N296"/>
  <c r="L296"/>
  <c r="K296"/>
  <c r="J296"/>
  <c r="I296"/>
  <c r="H296"/>
  <c r="G296"/>
  <c r="F296"/>
  <c r="E296"/>
  <c r="D296"/>
  <c r="C296"/>
  <c r="B296"/>
  <c r="A296"/>
  <c r="R295"/>
  <c r="P295"/>
  <c r="N295"/>
  <c r="K295"/>
  <c r="J295"/>
  <c r="I295"/>
  <c r="H295"/>
  <c r="G295"/>
  <c r="F295"/>
  <c r="E295"/>
  <c r="D295"/>
  <c r="C295"/>
  <c r="B295"/>
  <c r="A295"/>
  <c r="C294"/>
  <c r="B294"/>
  <c r="A294"/>
  <c r="R293"/>
  <c r="R106" i="16"/>
  <c r="P293" i="38"/>
  <c r="N293"/>
  <c r="L293"/>
  <c r="K293"/>
  <c r="J293"/>
  <c r="I293"/>
  <c r="H293"/>
  <c r="G293"/>
  <c r="F293"/>
  <c r="E293"/>
  <c r="D293"/>
  <c r="C293"/>
  <c r="B293"/>
  <c r="A293"/>
  <c r="P292"/>
  <c r="N292"/>
  <c r="L292"/>
  <c r="K292"/>
  <c r="J292"/>
  <c r="I292"/>
  <c r="H292"/>
  <c r="G292"/>
  <c r="F292"/>
  <c r="E292"/>
  <c r="D292"/>
  <c r="C292"/>
  <c r="B292"/>
  <c r="A292"/>
  <c r="R291"/>
  <c r="P291"/>
  <c r="N291"/>
  <c r="L291"/>
  <c r="K291"/>
  <c r="J291"/>
  <c r="I291"/>
  <c r="H291"/>
  <c r="G291"/>
  <c r="F291"/>
  <c r="E291"/>
  <c r="D291"/>
  <c r="C291"/>
  <c r="B291"/>
  <c r="A291"/>
  <c r="R290"/>
  <c r="R289"/>
  <c r="P290"/>
  <c r="N290"/>
  <c r="L290"/>
  <c r="K290"/>
  <c r="J290"/>
  <c r="I290"/>
  <c r="H290"/>
  <c r="G290"/>
  <c r="F290"/>
  <c r="E290"/>
  <c r="D290"/>
  <c r="C290"/>
  <c r="B290"/>
  <c r="A290"/>
  <c r="C289"/>
  <c r="B289"/>
  <c r="A289"/>
  <c r="P287"/>
  <c r="N287"/>
  <c r="L287"/>
  <c r="K287"/>
  <c r="J287"/>
  <c r="I287"/>
  <c r="H287"/>
  <c r="G287"/>
  <c r="F287"/>
  <c r="E287"/>
  <c r="D287"/>
  <c r="C287"/>
  <c r="B287"/>
  <c r="A287"/>
  <c r="P286"/>
  <c r="N286"/>
  <c r="L286"/>
  <c r="K286"/>
  <c r="J286"/>
  <c r="I286"/>
  <c r="H286"/>
  <c r="G286"/>
  <c r="F286"/>
  <c r="E286"/>
  <c r="D286"/>
  <c r="C286"/>
  <c r="B286"/>
  <c r="A286"/>
  <c r="R285"/>
  <c r="C285"/>
  <c r="A285"/>
  <c r="P284"/>
  <c r="N284"/>
  <c r="L284"/>
  <c r="K284"/>
  <c r="J284"/>
  <c r="I284"/>
  <c r="H284"/>
  <c r="G284"/>
  <c r="F284"/>
  <c r="E284"/>
  <c r="D284"/>
  <c r="C284"/>
  <c r="B284"/>
  <c r="A284"/>
  <c r="R283"/>
  <c r="C283"/>
  <c r="A283"/>
  <c r="P282"/>
  <c r="N282"/>
  <c r="L282"/>
  <c r="K282"/>
  <c r="J282"/>
  <c r="I282"/>
  <c r="H282"/>
  <c r="G282"/>
  <c r="F282"/>
  <c r="E282"/>
  <c r="D282"/>
  <c r="C282"/>
  <c r="B282"/>
  <c r="P281"/>
  <c r="N281"/>
  <c r="L281"/>
  <c r="K281"/>
  <c r="J281"/>
  <c r="I281"/>
  <c r="H281"/>
  <c r="G281"/>
  <c r="F281"/>
  <c r="E281"/>
  <c r="D281"/>
  <c r="C281"/>
  <c r="B281"/>
  <c r="P280"/>
  <c r="N280"/>
  <c r="L280"/>
  <c r="K280"/>
  <c r="J280"/>
  <c r="I280"/>
  <c r="H280"/>
  <c r="G280"/>
  <c r="F280"/>
  <c r="E280"/>
  <c r="D280"/>
  <c r="C280"/>
  <c r="B280"/>
  <c r="P279"/>
  <c r="N279"/>
  <c r="L279"/>
  <c r="K279"/>
  <c r="J279"/>
  <c r="I279"/>
  <c r="H279"/>
  <c r="G279"/>
  <c r="F279"/>
  <c r="E279"/>
  <c r="D279"/>
  <c r="C279"/>
  <c r="B279"/>
  <c r="P278"/>
  <c r="N278"/>
  <c r="L278"/>
  <c r="K278"/>
  <c r="J278"/>
  <c r="I278"/>
  <c r="H278"/>
  <c r="G278"/>
  <c r="F278"/>
  <c r="E278"/>
  <c r="D278"/>
  <c r="C278"/>
  <c r="B278"/>
  <c r="A278"/>
  <c r="R277"/>
  <c r="C277"/>
  <c r="A277"/>
  <c r="P276"/>
  <c r="N276"/>
  <c r="L276"/>
  <c r="K276"/>
  <c r="J276"/>
  <c r="I276"/>
  <c r="H276"/>
  <c r="G276"/>
  <c r="F276"/>
  <c r="E276"/>
  <c r="D276"/>
  <c r="C276"/>
  <c r="B276"/>
  <c r="P275"/>
  <c r="N275"/>
  <c r="L275"/>
  <c r="K275"/>
  <c r="J275"/>
  <c r="I275"/>
  <c r="H275"/>
  <c r="G275"/>
  <c r="F275"/>
  <c r="E275"/>
  <c r="D275"/>
  <c r="C275"/>
  <c r="B275"/>
  <c r="R274"/>
  <c r="P274"/>
  <c r="N274"/>
  <c r="L274"/>
  <c r="K274"/>
  <c r="J274"/>
  <c r="I274"/>
  <c r="H274"/>
  <c r="G274"/>
  <c r="F274"/>
  <c r="E274"/>
  <c r="D274"/>
  <c r="C274"/>
  <c r="B274"/>
  <c r="R273"/>
  <c r="R270"/>
  <c r="P273"/>
  <c r="N273"/>
  <c r="L273"/>
  <c r="K273"/>
  <c r="J273"/>
  <c r="I273"/>
  <c r="H273"/>
  <c r="G273"/>
  <c r="F273"/>
  <c r="E273"/>
  <c r="D273"/>
  <c r="C273"/>
  <c r="B273"/>
  <c r="P272"/>
  <c r="N272"/>
  <c r="L272"/>
  <c r="K272"/>
  <c r="J272"/>
  <c r="I272"/>
  <c r="H272"/>
  <c r="G272"/>
  <c r="F272"/>
  <c r="E272"/>
  <c r="D272"/>
  <c r="C272"/>
  <c r="B272"/>
  <c r="P271"/>
  <c r="N271"/>
  <c r="L271"/>
  <c r="K271"/>
  <c r="J271"/>
  <c r="I271"/>
  <c r="H271"/>
  <c r="G271"/>
  <c r="F271"/>
  <c r="E271"/>
  <c r="D271"/>
  <c r="C271"/>
  <c r="B271"/>
  <c r="A271"/>
  <c r="C270"/>
  <c r="A270"/>
  <c r="P269"/>
  <c r="N269"/>
  <c r="L269"/>
  <c r="K269"/>
  <c r="J269"/>
  <c r="I269"/>
  <c r="H269"/>
  <c r="G269"/>
  <c r="F269"/>
  <c r="E269"/>
  <c r="D269"/>
  <c r="C269"/>
  <c r="B269"/>
  <c r="P268"/>
  <c r="N268"/>
  <c r="L268"/>
  <c r="K268"/>
  <c r="J268"/>
  <c r="I268"/>
  <c r="H268"/>
  <c r="G268"/>
  <c r="F268"/>
  <c r="E268"/>
  <c r="D268"/>
  <c r="C268"/>
  <c r="B268"/>
  <c r="P267"/>
  <c r="N267"/>
  <c r="L267"/>
  <c r="K267"/>
  <c r="J267"/>
  <c r="I267"/>
  <c r="H267"/>
  <c r="G267"/>
  <c r="F267"/>
  <c r="E267"/>
  <c r="D267"/>
  <c r="C267"/>
  <c r="B267"/>
  <c r="P266"/>
  <c r="N266"/>
  <c r="L266"/>
  <c r="K266"/>
  <c r="J266"/>
  <c r="I266"/>
  <c r="H266"/>
  <c r="G266"/>
  <c r="F266"/>
  <c r="E266"/>
  <c r="D266"/>
  <c r="C266"/>
  <c r="B266"/>
  <c r="P265"/>
  <c r="N265"/>
  <c r="L265"/>
  <c r="K265"/>
  <c r="J265"/>
  <c r="I265"/>
  <c r="H265"/>
  <c r="G265"/>
  <c r="F265"/>
  <c r="E265"/>
  <c r="D265"/>
  <c r="C265"/>
  <c r="B265"/>
  <c r="P264"/>
  <c r="N264"/>
  <c r="L264"/>
  <c r="K264"/>
  <c r="J264"/>
  <c r="I264"/>
  <c r="H264"/>
  <c r="G264"/>
  <c r="F264"/>
  <c r="E264"/>
  <c r="D264"/>
  <c r="C264"/>
  <c r="B264"/>
  <c r="P263"/>
  <c r="N263"/>
  <c r="L263"/>
  <c r="K263"/>
  <c r="J263"/>
  <c r="I263"/>
  <c r="H263"/>
  <c r="G263"/>
  <c r="F263"/>
  <c r="E263"/>
  <c r="D263"/>
  <c r="C263"/>
  <c r="B263"/>
  <c r="P262"/>
  <c r="N262"/>
  <c r="L262"/>
  <c r="K262"/>
  <c r="J262"/>
  <c r="I262"/>
  <c r="H262"/>
  <c r="G262"/>
  <c r="F262"/>
  <c r="E262"/>
  <c r="D262"/>
  <c r="C262"/>
  <c r="B262"/>
  <c r="P261"/>
  <c r="N261"/>
  <c r="L261"/>
  <c r="K261"/>
  <c r="J261"/>
  <c r="I261"/>
  <c r="H261"/>
  <c r="G261"/>
  <c r="F261"/>
  <c r="E261"/>
  <c r="D261"/>
  <c r="C261"/>
  <c r="B261"/>
  <c r="P260"/>
  <c r="N260"/>
  <c r="L260"/>
  <c r="K260"/>
  <c r="J260"/>
  <c r="I260"/>
  <c r="H260"/>
  <c r="G260"/>
  <c r="F260"/>
  <c r="E260"/>
  <c r="D260"/>
  <c r="C260"/>
  <c r="B260"/>
  <c r="P259"/>
  <c r="N259"/>
  <c r="L259"/>
  <c r="K259"/>
  <c r="J259"/>
  <c r="I259"/>
  <c r="H259"/>
  <c r="G259"/>
  <c r="F259"/>
  <c r="E259"/>
  <c r="D259"/>
  <c r="C259"/>
  <c r="B259"/>
  <c r="P258"/>
  <c r="N258"/>
  <c r="L258"/>
  <c r="K258"/>
  <c r="J258"/>
  <c r="I258"/>
  <c r="H258"/>
  <c r="G258"/>
  <c r="F258"/>
  <c r="E258"/>
  <c r="D258"/>
  <c r="C258"/>
  <c r="B258"/>
  <c r="P257"/>
  <c r="N257"/>
  <c r="L257"/>
  <c r="K257"/>
  <c r="J257"/>
  <c r="I257"/>
  <c r="H257"/>
  <c r="G257"/>
  <c r="F257"/>
  <c r="E257"/>
  <c r="D257"/>
  <c r="C257"/>
  <c r="B257"/>
  <c r="P256"/>
  <c r="N256"/>
  <c r="L256"/>
  <c r="K256"/>
  <c r="J256"/>
  <c r="I256"/>
  <c r="H256"/>
  <c r="G256"/>
  <c r="F256"/>
  <c r="E256"/>
  <c r="D256"/>
  <c r="C256"/>
  <c r="B256"/>
  <c r="P255"/>
  <c r="N255"/>
  <c r="L255"/>
  <c r="K255"/>
  <c r="J255"/>
  <c r="I255"/>
  <c r="H255"/>
  <c r="G255"/>
  <c r="F255"/>
  <c r="E255"/>
  <c r="D255"/>
  <c r="C255"/>
  <c r="B255"/>
  <c r="P254"/>
  <c r="N254"/>
  <c r="L254"/>
  <c r="K254"/>
  <c r="J254"/>
  <c r="I254"/>
  <c r="H254"/>
  <c r="G254"/>
  <c r="F254"/>
  <c r="E254"/>
  <c r="D254"/>
  <c r="C254"/>
  <c r="B254"/>
  <c r="P253"/>
  <c r="N253"/>
  <c r="L253"/>
  <c r="K253"/>
  <c r="J253"/>
  <c r="I253"/>
  <c r="H253"/>
  <c r="G253"/>
  <c r="F253"/>
  <c r="E253"/>
  <c r="D253"/>
  <c r="C253"/>
  <c r="B253"/>
  <c r="P252"/>
  <c r="N252"/>
  <c r="L252"/>
  <c r="K252"/>
  <c r="J252"/>
  <c r="I252"/>
  <c r="H252"/>
  <c r="G252"/>
  <c r="F252"/>
  <c r="E252"/>
  <c r="D252"/>
  <c r="C252"/>
  <c r="B252"/>
  <c r="P251"/>
  <c r="N251"/>
  <c r="L251"/>
  <c r="K251"/>
  <c r="J251"/>
  <c r="I251"/>
  <c r="H251"/>
  <c r="G251"/>
  <c r="F251"/>
  <c r="E251"/>
  <c r="D251"/>
  <c r="C251"/>
  <c r="B251"/>
  <c r="P250"/>
  <c r="N250"/>
  <c r="L250"/>
  <c r="K250"/>
  <c r="J250"/>
  <c r="I250"/>
  <c r="H250"/>
  <c r="G250"/>
  <c r="F250"/>
  <c r="E250"/>
  <c r="D250"/>
  <c r="C250"/>
  <c r="B250"/>
  <c r="P249"/>
  <c r="N249"/>
  <c r="L249"/>
  <c r="K249"/>
  <c r="J249"/>
  <c r="I249"/>
  <c r="H249"/>
  <c r="G249"/>
  <c r="F249"/>
  <c r="E249"/>
  <c r="D249"/>
  <c r="C249"/>
  <c r="B249"/>
  <c r="P248"/>
  <c r="N248"/>
  <c r="L248"/>
  <c r="K248"/>
  <c r="J248"/>
  <c r="I248"/>
  <c r="H248"/>
  <c r="G248"/>
  <c r="F248"/>
  <c r="E248"/>
  <c r="D248"/>
  <c r="C248"/>
  <c r="B248"/>
  <c r="R247"/>
  <c r="R87" i="7"/>
  <c r="P247" i="38"/>
  <c r="N247"/>
  <c r="L247"/>
  <c r="K247"/>
  <c r="J247"/>
  <c r="I247"/>
  <c r="H247"/>
  <c r="G247"/>
  <c r="F247"/>
  <c r="E247"/>
  <c r="D247"/>
  <c r="C247"/>
  <c r="B247"/>
  <c r="P246"/>
  <c r="N246"/>
  <c r="L246"/>
  <c r="K246"/>
  <c r="J246"/>
  <c r="I246"/>
  <c r="H246"/>
  <c r="G246"/>
  <c r="F246"/>
  <c r="E246"/>
  <c r="D246"/>
  <c r="C246"/>
  <c r="B246"/>
  <c r="P245"/>
  <c r="N245"/>
  <c r="L245"/>
  <c r="K245"/>
  <c r="J245"/>
  <c r="I245"/>
  <c r="H245"/>
  <c r="G245"/>
  <c r="F245"/>
  <c r="E245"/>
  <c r="D245"/>
  <c r="C245"/>
  <c r="B245"/>
  <c r="P244"/>
  <c r="N244"/>
  <c r="L244"/>
  <c r="K244"/>
  <c r="J244"/>
  <c r="I244"/>
  <c r="H244"/>
  <c r="G244"/>
  <c r="F244"/>
  <c r="E244"/>
  <c r="D244"/>
  <c r="C244"/>
  <c r="B244"/>
  <c r="R243"/>
  <c r="P243"/>
  <c r="N243"/>
  <c r="L243"/>
  <c r="K243"/>
  <c r="J243"/>
  <c r="I243"/>
  <c r="H243"/>
  <c r="G243"/>
  <c r="F243"/>
  <c r="E243"/>
  <c r="D243"/>
  <c r="C243"/>
  <c r="B243"/>
  <c r="P242"/>
  <c r="N242"/>
  <c r="L242"/>
  <c r="K242"/>
  <c r="J242"/>
  <c r="I242"/>
  <c r="H242"/>
  <c r="G242"/>
  <c r="F242"/>
  <c r="E242"/>
  <c r="D242"/>
  <c r="C242"/>
  <c r="B242"/>
  <c r="A242"/>
  <c r="C241"/>
  <c r="A241"/>
  <c r="P240"/>
  <c r="N240"/>
  <c r="L240"/>
  <c r="K240"/>
  <c r="J240"/>
  <c r="I240"/>
  <c r="H240"/>
  <c r="G240"/>
  <c r="F240"/>
  <c r="E240"/>
  <c r="D240"/>
  <c r="C240"/>
  <c r="B240"/>
  <c r="A240"/>
  <c r="P239"/>
  <c r="N239"/>
  <c r="L239"/>
  <c r="K239"/>
  <c r="J239"/>
  <c r="I239"/>
  <c r="H239"/>
  <c r="G239"/>
  <c r="F239"/>
  <c r="E239"/>
  <c r="D239"/>
  <c r="C239"/>
  <c r="B239"/>
  <c r="A239"/>
  <c r="P238"/>
  <c r="N238"/>
  <c r="L238"/>
  <c r="K238"/>
  <c r="J238"/>
  <c r="I238"/>
  <c r="H238"/>
  <c r="G238"/>
  <c r="F238"/>
  <c r="E238"/>
  <c r="D238"/>
  <c r="C238"/>
  <c r="B238"/>
  <c r="A238"/>
  <c r="P237"/>
  <c r="N237"/>
  <c r="L237"/>
  <c r="K237"/>
  <c r="J237"/>
  <c r="I237"/>
  <c r="H237"/>
  <c r="G237"/>
  <c r="F237"/>
  <c r="E237"/>
  <c r="D237"/>
  <c r="C237"/>
  <c r="B237"/>
  <c r="A237"/>
  <c r="C236"/>
  <c r="A236"/>
  <c r="P235"/>
  <c r="N235"/>
  <c r="L235"/>
  <c r="K235"/>
  <c r="J235"/>
  <c r="I235"/>
  <c r="H235"/>
  <c r="G235"/>
  <c r="F235"/>
  <c r="E235"/>
  <c r="D235"/>
  <c r="C235"/>
  <c r="B235"/>
  <c r="A235"/>
  <c r="C234"/>
  <c r="A234"/>
  <c r="P233"/>
  <c r="N233"/>
  <c r="L233"/>
  <c r="K233"/>
  <c r="J233"/>
  <c r="I233"/>
  <c r="H233"/>
  <c r="G233"/>
  <c r="F233"/>
  <c r="E233"/>
  <c r="D233"/>
  <c r="C233"/>
  <c r="B233"/>
  <c r="P232"/>
  <c r="N232"/>
  <c r="L232"/>
  <c r="K232"/>
  <c r="J232"/>
  <c r="I232"/>
  <c r="H232"/>
  <c r="G232"/>
  <c r="F232"/>
  <c r="E232"/>
  <c r="D232"/>
  <c r="C232"/>
  <c r="B232"/>
  <c r="A232"/>
  <c r="P231"/>
  <c r="N231"/>
  <c r="L231"/>
  <c r="K231"/>
  <c r="J231"/>
  <c r="I231"/>
  <c r="H231"/>
  <c r="G231"/>
  <c r="F231"/>
  <c r="E231"/>
  <c r="D231"/>
  <c r="C231"/>
  <c r="B231"/>
  <c r="A231"/>
  <c r="P230"/>
  <c r="N230"/>
  <c r="L230"/>
  <c r="K230"/>
  <c r="J230"/>
  <c r="I230"/>
  <c r="H230"/>
  <c r="G230"/>
  <c r="F230"/>
  <c r="E230"/>
  <c r="D230"/>
  <c r="C230"/>
  <c r="B230"/>
  <c r="P229"/>
  <c r="N229"/>
  <c r="L229"/>
  <c r="K229"/>
  <c r="J229"/>
  <c r="I229"/>
  <c r="H229"/>
  <c r="G229"/>
  <c r="F229"/>
  <c r="E229"/>
  <c r="D229"/>
  <c r="C229"/>
  <c r="B229"/>
  <c r="R228"/>
  <c r="R23" i="15"/>
  <c r="P228" i="38"/>
  <c r="N228"/>
  <c r="L228"/>
  <c r="K228"/>
  <c r="J228"/>
  <c r="I228"/>
  <c r="H228"/>
  <c r="G228"/>
  <c r="F228"/>
  <c r="E228"/>
  <c r="D228"/>
  <c r="C228"/>
  <c r="B228"/>
  <c r="P227"/>
  <c r="N227"/>
  <c r="L227"/>
  <c r="K227"/>
  <c r="J227"/>
  <c r="I227"/>
  <c r="H227"/>
  <c r="G227"/>
  <c r="F227"/>
  <c r="E227"/>
  <c r="D227"/>
  <c r="C227"/>
  <c r="B227"/>
  <c r="P226"/>
  <c r="N226"/>
  <c r="L226"/>
  <c r="K226"/>
  <c r="J226"/>
  <c r="I226"/>
  <c r="H226"/>
  <c r="G226"/>
  <c r="F226"/>
  <c r="E226"/>
  <c r="D226"/>
  <c r="C226"/>
  <c r="B226"/>
  <c r="P225"/>
  <c r="N225"/>
  <c r="L225"/>
  <c r="K225"/>
  <c r="J225"/>
  <c r="I225"/>
  <c r="H225"/>
  <c r="G225"/>
  <c r="F225"/>
  <c r="E225"/>
  <c r="D225"/>
  <c r="C225"/>
  <c r="B225"/>
  <c r="A225"/>
  <c r="R224"/>
  <c r="C224"/>
  <c r="A224"/>
  <c r="P223"/>
  <c r="N223"/>
  <c r="L223"/>
  <c r="K223"/>
  <c r="J223"/>
  <c r="I223"/>
  <c r="H223"/>
  <c r="G223"/>
  <c r="F223"/>
  <c r="E223"/>
  <c r="D223"/>
  <c r="C223"/>
  <c r="B223"/>
  <c r="A223"/>
  <c r="P222"/>
  <c r="N222"/>
  <c r="L222"/>
  <c r="K222"/>
  <c r="J222"/>
  <c r="I222"/>
  <c r="H222"/>
  <c r="G222"/>
  <c r="F222"/>
  <c r="E222"/>
  <c r="D222"/>
  <c r="C222"/>
  <c r="B222"/>
  <c r="P221"/>
  <c r="N221"/>
  <c r="L221"/>
  <c r="K221"/>
  <c r="J221"/>
  <c r="I221"/>
  <c r="H221"/>
  <c r="G221"/>
  <c r="F221"/>
  <c r="E221"/>
  <c r="D221"/>
  <c r="C221"/>
  <c r="B221"/>
  <c r="P220"/>
  <c r="N220"/>
  <c r="L220"/>
  <c r="K220"/>
  <c r="J220"/>
  <c r="I220"/>
  <c r="H220"/>
  <c r="G220"/>
  <c r="F220"/>
  <c r="E220"/>
  <c r="D220"/>
  <c r="C220"/>
  <c r="B220"/>
  <c r="P219"/>
  <c r="N219"/>
  <c r="L219"/>
  <c r="K219"/>
  <c r="J219"/>
  <c r="I219"/>
  <c r="H219"/>
  <c r="G219"/>
  <c r="F219"/>
  <c r="E219"/>
  <c r="D219"/>
  <c r="C219"/>
  <c r="B219"/>
  <c r="R218"/>
  <c r="R28" i="27"/>
  <c r="P218" i="38"/>
  <c r="N218"/>
  <c r="L218"/>
  <c r="K218"/>
  <c r="J218"/>
  <c r="I218"/>
  <c r="H218"/>
  <c r="G218"/>
  <c r="F218"/>
  <c r="E218"/>
  <c r="D218"/>
  <c r="C218"/>
  <c r="B218"/>
  <c r="R217"/>
  <c r="P217"/>
  <c r="N217"/>
  <c r="L217"/>
  <c r="K217"/>
  <c r="J217"/>
  <c r="I217"/>
  <c r="H217"/>
  <c r="G217"/>
  <c r="F217"/>
  <c r="E217"/>
  <c r="D217"/>
  <c r="C217"/>
  <c r="B217"/>
  <c r="P216"/>
  <c r="N216"/>
  <c r="L216"/>
  <c r="K216"/>
  <c r="J216"/>
  <c r="I216"/>
  <c r="H216"/>
  <c r="G216"/>
  <c r="F216"/>
  <c r="E216"/>
  <c r="D216"/>
  <c r="C216"/>
  <c r="B216"/>
  <c r="P215"/>
  <c r="N215"/>
  <c r="L215"/>
  <c r="K215"/>
  <c r="J215"/>
  <c r="I215"/>
  <c r="H215"/>
  <c r="G215"/>
  <c r="F215"/>
  <c r="E215"/>
  <c r="D215"/>
  <c r="C215"/>
  <c r="B215"/>
  <c r="P214"/>
  <c r="N214"/>
  <c r="L214"/>
  <c r="K214"/>
  <c r="J214"/>
  <c r="I214"/>
  <c r="H214"/>
  <c r="G214"/>
  <c r="F214"/>
  <c r="E214"/>
  <c r="D214"/>
  <c r="C214"/>
  <c r="B214"/>
  <c r="A214"/>
  <c r="C213"/>
  <c r="A213"/>
  <c r="R212"/>
  <c r="R211"/>
  <c r="P212"/>
  <c r="N212"/>
  <c r="L212"/>
  <c r="K212"/>
  <c r="J212"/>
  <c r="I212"/>
  <c r="H212"/>
  <c r="G212"/>
  <c r="F212"/>
  <c r="E212"/>
  <c r="D212"/>
  <c r="C212"/>
  <c r="B212"/>
  <c r="A212"/>
  <c r="C211"/>
  <c r="A211"/>
  <c r="P210"/>
  <c r="N210"/>
  <c r="L210"/>
  <c r="K210"/>
  <c r="J210"/>
  <c r="I210"/>
  <c r="H210"/>
  <c r="G210"/>
  <c r="F210"/>
  <c r="E210"/>
  <c r="D210"/>
  <c r="C210"/>
  <c r="B210"/>
  <c r="A210"/>
  <c r="R209"/>
  <c r="P209"/>
  <c r="N209"/>
  <c r="L209"/>
  <c r="K209"/>
  <c r="J209"/>
  <c r="I209"/>
  <c r="H209"/>
  <c r="G209"/>
  <c r="F209"/>
  <c r="E209"/>
  <c r="D209"/>
  <c r="C209"/>
  <c r="B209"/>
  <c r="A209"/>
  <c r="P208"/>
  <c r="N208"/>
  <c r="L208"/>
  <c r="K208"/>
  <c r="J208"/>
  <c r="I208"/>
  <c r="H208"/>
  <c r="G208"/>
  <c r="F208"/>
  <c r="E208"/>
  <c r="D208"/>
  <c r="C208"/>
  <c r="B208"/>
  <c r="A208"/>
  <c r="R207"/>
  <c r="P207"/>
  <c r="N207"/>
  <c r="L207"/>
  <c r="K207"/>
  <c r="J207"/>
  <c r="I207"/>
  <c r="H207"/>
  <c r="G207"/>
  <c r="F207"/>
  <c r="E207"/>
  <c r="D207"/>
  <c r="C207"/>
  <c r="B207"/>
  <c r="A207"/>
  <c r="R206"/>
  <c r="P206"/>
  <c r="N206"/>
  <c r="L206"/>
  <c r="K206"/>
  <c r="J206"/>
  <c r="I206"/>
  <c r="H206"/>
  <c r="G206"/>
  <c r="F206"/>
  <c r="E206"/>
  <c r="D206"/>
  <c r="C206"/>
  <c r="B206"/>
  <c r="A206"/>
  <c r="R205"/>
  <c r="P205"/>
  <c r="N205"/>
  <c r="L205"/>
  <c r="K205"/>
  <c r="J205"/>
  <c r="I205"/>
  <c r="H205"/>
  <c r="G205"/>
  <c r="F205"/>
  <c r="E205"/>
  <c r="D205"/>
  <c r="C205"/>
  <c r="B205"/>
  <c r="A205"/>
  <c r="R204"/>
  <c r="P204"/>
  <c r="N204"/>
  <c r="L204"/>
  <c r="K204"/>
  <c r="J204"/>
  <c r="I204"/>
  <c r="H204"/>
  <c r="G204"/>
  <c r="F204"/>
  <c r="E204"/>
  <c r="D204"/>
  <c r="C204"/>
  <c r="B204"/>
  <c r="A204"/>
  <c r="R203"/>
  <c r="P203"/>
  <c r="N203"/>
  <c r="L203"/>
  <c r="K203"/>
  <c r="J203"/>
  <c r="I203"/>
  <c r="H203"/>
  <c r="G203"/>
  <c r="F203"/>
  <c r="E203"/>
  <c r="D203"/>
  <c r="C203"/>
  <c r="B203"/>
  <c r="A203"/>
  <c r="P202"/>
  <c r="N202"/>
  <c r="L202"/>
  <c r="K202"/>
  <c r="J202"/>
  <c r="I202"/>
  <c r="H202"/>
  <c r="G202"/>
  <c r="F202"/>
  <c r="E202"/>
  <c r="D202"/>
  <c r="C202"/>
  <c r="B202"/>
  <c r="A202"/>
  <c r="P201"/>
  <c r="N201"/>
  <c r="L201"/>
  <c r="K201"/>
  <c r="J201"/>
  <c r="I201"/>
  <c r="H201"/>
  <c r="G201"/>
  <c r="F201"/>
  <c r="E201"/>
  <c r="D201"/>
  <c r="C201"/>
  <c r="B201"/>
  <c r="A201"/>
  <c r="P200"/>
  <c r="N200"/>
  <c r="L200"/>
  <c r="K200"/>
  <c r="J200"/>
  <c r="I200"/>
  <c r="H200"/>
  <c r="G200"/>
  <c r="F200"/>
  <c r="E200"/>
  <c r="D200"/>
  <c r="C200"/>
  <c r="B200"/>
  <c r="A200"/>
  <c r="R199"/>
  <c r="R24" i="16"/>
  <c r="P199" i="38"/>
  <c r="N199"/>
  <c r="L199"/>
  <c r="K199"/>
  <c r="J199"/>
  <c r="I199"/>
  <c r="H199"/>
  <c r="G199"/>
  <c r="F199"/>
  <c r="E199"/>
  <c r="D199"/>
  <c r="C199"/>
  <c r="B199"/>
  <c r="A199"/>
  <c r="R198"/>
  <c r="P198"/>
  <c r="N198"/>
  <c r="L198"/>
  <c r="K198"/>
  <c r="J198"/>
  <c r="I198"/>
  <c r="H198"/>
  <c r="G198"/>
  <c r="F198"/>
  <c r="E198"/>
  <c r="D198"/>
  <c r="C198"/>
  <c r="B198"/>
  <c r="A198"/>
  <c r="C197"/>
  <c r="B197"/>
  <c r="A197"/>
  <c r="P195"/>
  <c r="N195"/>
  <c r="L195"/>
  <c r="K195"/>
  <c r="J195"/>
  <c r="I195"/>
  <c r="H195"/>
  <c r="G195"/>
  <c r="F195"/>
  <c r="E195"/>
  <c r="D195"/>
  <c r="C195"/>
  <c r="B195"/>
  <c r="P194"/>
  <c r="N194"/>
  <c r="L194"/>
  <c r="K194"/>
  <c r="J194"/>
  <c r="I194"/>
  <c r="H194"/>
  <c r="G194"/>
  <c r="F194"/>
  <c r="E194"/>
  <c r="D194"/>
  <c r="C194"/>
  <c r="B194"/>
  <c r="R193"/>
  <c r="P193"/>
  <c r="N193"/>
  <c r="L193"/>
  <c r="K193"/>
  <c r="J193"/>
  <c r="I193"/>
  <c r="H193"/>
  <c r="G193"/>
  <c r="F193"/>
  <c r="E193"/>
  <c r="D193"/>
  <c r="C193"/>
  <c r="B193"/>
  <c r="R192"/>
  <c r="P192"/>
  <c r="N192"/>
  <c r="L192"/>
  <c r="K192"/>
  <c r="J192"/>
  <c r="I192"/>
  <c r="H192"/>
  <c r="G192"/>
  <c r="F192"/>
  <c r="E192"/>
  <c r="D192"/>
  <c r="C192"/>
  <c r="B192"/>
  <c r="R191"/>
  <c r="P191"/>
  <c r="N191"/>
  <c r="L191"/>
  <c r="K191"/>
  <c r="J191"/>
  <c r="I191"/>
  <c r="H191"/>
  <c r="G191"/>
  <c r="F191"/>
  <c r="E191"/>
  <c r="D191"/>
  <c r="C191"/>
  <c r="B191"/>
  <c r="R190"/>
  <c r="P190"/>
  <c r="N190"/>
  <c r="L190"/>
  <c r="K190"/>
  <c r="J190"/>
  <c r="I190"/>
  <c r="H190"/>
  <c r="G190"/>
  <c r="F190"/>
  <c r="E190"/>
  <c r="D190"/>
  <c r="C190"/>
  <c r="B190"/>
  <c r="P189"/>
  <c r="N189"/>
  <c r="L189"/>
  <c r="K189"/>
  <c r="J189"/>
  <c r="I189"/>
  <c r="H189"/>
  <c r="G189"/>
  <c r="F189"/>
  <c r="E189"/>
  <c r="D189"/>
  <c r="C189"/>
  <c r="B189"/>
  <c r="R188"/>
  <c r="P188"/>
  <c r="N188"/>
  <c r="L188"/>
  <c r="K188"/>
  <c r="J188"/>
  <c r="I188"/>
  <c r="H188"/>
  <c r="G188"/>
  <c r="F188"/>
  <c r="E188"/>
  <c r="D188"/>
  <c r="C188"/>
  <c r="B188"/>
  <c r="R187"/>
  <c r="P187"/>
  <c r="N187"/>
  <c r="L187"/>
  <c r="K187"/>
  <c r="J187"/>
  <c r="I187"/>
  <c r="H187"/>
  <c r="G187"/>
  <c r="F187"/>
  <c r="E187"/>
  <c r="D187"/>
  <c r="C187"/>
  <c r="B187"/>
  <c r="P186"/>
  <c r="N186"/>
  <c r="L186"/>
  <c r="K186"/>
  <c r="J186"/>
  <c r="I186"/>
  <c r="H186"/>
  <c r="G186"/>
  <c r="F186"/>
  <c r="E186"/>
  <c r="D186"/>
  <c r="C186"/>
  <c r="B186"/>
  <c r="P185"/>
  <c r="N185"/>
  <c r="L185"/>
  <c r="K185"/>
  <c r="J185"/>
  <c r="I185"/>
  <c r="H185"/>
  <c r="G185"/>
  <c r="F185"/>
  <c r="E185"/>
  <c r="D185"/>
  <c r="C185"/>
  <c r="B185"/>
  <c r="P184"/>
  <c r="N184"/>
  <c r="L184"/>
  <c r="K184"/>
  <c r="J184"/>
  <c r="I184"/>
  <c r="H184"/>
  <c r="G184"/>
  <c r="F184"/>
  <c r="E184"/>
  <c r="D184"/>
  <c r="C184"/>
  <c r="B184"/>
  <c r="P183"/>
  <c r="N183"/>
  <c r="L183"/>
  <c r="K183"/>
  <c r="J183"/>
  <c r="I183"/>
  <c r="H183"/>
  <c r="G183"/>
  <c r="F183"/>
  <c r="E183"/>
  <c r="D183"/>
  <c r="C183"/>
  <c r="B183"/>
  <c r="R182"/>
  <c r="R13" i="13"/>
  <c r="P182" i="38"/>
  <c r="N182"/>
  <c r="L182"/>
  <c r="K182"/>
  <c r="J182"/>
  <c r="I182"/>
  <c r="H182"/>
  <c r="G182"/>
  <c r="F182"/>
  <c r="E182"/>
  <c r="D182"/>
  <c r="C182"/>
  <c r="B182"/>
  <c r="P181"/>
  <c r="N181"/>
  <c r="L181"/>
  <c r="K181"/>
  <c r="J181"/>
  <c r="I181"/>
  <c r="H181"/>
  <c r="G181"/>
  <c r="F181"/>
  <c r="E181"/>
  <c r="D181"/>
  <c r="C181"/>
  <c r="B181"/>
  <c r="A181"/>
  <c r="C180"/>
  <c r="A180"/>
  <c r="P179"/>
  <c r="N179"/>
  <c r="L179"/>
  <c r="K179"/>
  <c r="J179"/>
  <c r="I179"/>
  <c r="H179"/>
  <c r="G179"/>
  <c r="F179"/>
  <c r="E179"/>
  <c r="D179"/>
  <c r="C179"/>
  <c r="B179"/>
  <c r="P178"/>
  <c r="N178"/>
  <c r="L178"/>
  <c r="K178"/>
  <c r="J178"/>
  <c r="I178"/>
  <c r="H178"/>
  <c r="G178"/>
  <c r="F178"/>
  <c r="E178"/>
  <c r="D178"/>
  <c r="C178"/>
  <c r="B178"/>
  <c r="P177"/>
  <c r="N177"/>
  <c r="L177"/>
  <c r="K177"/>
  <c r="J177"/>
  <c r="I177"/>
  <c r="H177"/>
  <c r="G177"/>
  <c r="F177"/>
  <c r="E177"/>
  <c r="D177"/>
  <c r="C177"/>
  <c r="B177"/>
  <c r="P176"/>
  <c r="N176"/>
  <c r="L176"/>
  <c r="K176"/>
  <c r="J176"/>
  <c r="I176"/>
  <c r="H176"/>
  <c r="G176"/>
  <c r="F176"/>
  <c r="E176"/>
  <c r="D176"/>
  <c r="C176"/>
  <c r="B176"/>
  <c r="A176"/>
  <c r="R175"/>
  <c r="C175"/>
  <c r="A175"/>
  <c r="R174"/>
  <c r="R173"/>
  <c r="P174"/>
  <c r="N174"/>
  <c r="L174"/>
  <c r="K174"/>
  <c r="J174"/>
  <c r="I174"/>
  <c r="H174"/>
  <c r="G174"/>
  <c r="F174"/>
  <c r="E174"/>
  <c r="D174"/>
  <c r="C174"/>
  <c r="B174"/>
  <c r="A174"/>
  <c r="C173"/>
  <c r="A173"/>
  <c r="P172"/>
  <c r="N172"/>
  <c r="L172"/>
  <c r="K172"/>
  <c r="J172"/>
  <c r="I172"/>
  <c r="H172"/>
  <c r="G172"/>
  <c r="F172"/>
  <c r="E172"/>
  <c r="D172"/>
  <c r="C172"/>
  <c r="B172"/>
  <c r="P171"/>
  <c r="N171"/>
  <c r="L171"/>
  <c r="K171"/>
  <c r="J171"/>
  <c r="I171"/>
  <c r="H171"/>
  <c r="G171"/>
  <c r="F171"/>
  <c r="E171"/>
  <c r="D171"/>
  <c r="C171"/>
  <c r="B171"/>
  <c r="P170"/>
  <c r="N170"/>
  <c r="L170"/>
  <c r="K170"/>
  <c r="J170"/>
  <c r="I170"/>
  <c r="H170"/>
  <c r="G170"/>
  <c r="F170"/>
  <c r="E170"/>
  <c r="D170"/>
  <c r="C170"/>
  <c r="B170"/>
  <c r="R169"/>
  <c r="P169"/>
  <c r="N169"/>
  <c r="L169"/>
  <c r="K169"/>
  <c r="J169"/>
  <c r="I169"/>
  <c r="H169"/>
  <c r="G169"/>
  <c r="F169"/>
  <c r="E169"/>
  <c r="D169"/>
  <c r="C169"/>
  <c r="B169"/>
  <c r="P168"/>
  <c r="N168"/>
  <c r="L168"/>
  <c r="K168"/>
  <c r="J168"/>
  <c r="I168"/>
  <c r="H168"/>
  <c r="G168"/>
  <c r="F168"/>
  <c r="E168"/>
  <c r="D168"/>
  <c r="C168"/>
  <c r="B168"/>
  <c r="P167"/>
  <c r="N167"/>
  <c r="L167"/>
  <c r="K167"/>
  <c r="J167"/>
  <c r="I167"/>
  <c r="H167"/>
  <c r="G167"/>
  <c r="F167"/>
  <c r="E167"/>
  <c r="D167"/>
  <c r="C167"/>
  <c r="B167"/>
  <c r="R166"/>
  <c r="P166"/>
  <c r="N166"/>
  <c r="L166"/>
  <c r="K166"/>
  <c r="J166"/>
  <c r="I166"/>
  <c r="H166"/>
  <c r="G166"/>
  <c r="F166"/>
  <c r="E166"/>
  <c r="D166"/>
  <c r="C166"/>
  <c r="B166"/>
  <c r="R165"/>
  <c r="R73" i="7"/>
  <c r="P165" i="38"/>
  <c r="N165"/>
  <c r="L165"/>
  <c r="K165"/>
  <c r="J165"/>
  <c r="I165"/>
  <c r="H165"/>
  <c r="G165"/>
  <c r="F165"/>
  <c r="E165"/>
  <c r="D165"/>
  <c r="C165"/>
  <c r="B165"/>
  <c r="P164"/>
  <c r="N164"/>
  <c r="L164"/>
  <c r="K164"/>
  <c r="J164"/>
  <c r="I164"/>
  <c r="H164"/>
  <c r="G164"/>
  <c r="F164"/>
  <c r="E164"/>
  <c r="D164"/>
  <c r="C164"/>
  <c r="B164"/>
  <c r="R163"/>
  <c r="P163"/>
  <c r="N163"/>
  <c r="L163"/>
  <c r="K163"/>
  <c r="J163"/>
  <c r="I163"/>
  <c r="H163"/>
  <c r="G163"/>
  <c r="F163"/>
  <c r="E163"/>
  <c r="D163"/>
  <c r="C163"/>
  <c r="B163"/>
  <c r="P162"/>
  <c r="N162"/>
  <c r="L162"/>
  <c r="K162"/>
  <c r="J162"/>
  <c r="I162"/>
  <c r="H162"/>
  <c r="G162"/>
  <c r="F162"/>
  <c r="E162"/>
  <c r="D162"/>
  <c r="C162"/>
  <c r="B162"/>
  <c r="R161"/>
  <c r="P161"/>
  <c r="N161"/>
  <c r="L161"/>
  <c r="K161"/>
  <c r="J161"/>
  <c r="I161"/>
  <c r="H161"/>
  <c r="G161"/>
  <c r="F161"/>
  <c r="E161"/>
  <c r="D161"/>
  <c r="C161"/>
  <c r="B161"/>
  <c r="R160"/>
  <c r="R68" i="7"/>
  <c r="P160" i="38"/>
  <c r="N160"/>
  <c r="L160"/>
  <c r="K160"/>
  <c r="J160"/>
  <c r="I160"/>
  <c r="H160"/>
  <c r="G160"/>
  <c r="F160"/>
  <c r="E160"/>
  <c r="D160"/>
  <c r="C160"/>
  <c r="B160"/>
  <c r="P159"/>
  <c r="N159"/>
  <c r="L159"/>
  <c r="K159"/>
  <c r="J159"/>
  <c r="I159"/>
  <c r="H159"/>
  <c r="G159"/>
  <c r="F159"/>
  <c r="E159"/>
  <c r="D159"/>
  <c r="C159"/>
  <c r="B159"/>
  <c r="P158"/>
  <c r="N158"/>
  <c r="L158"/>
  <c r="K158"/>
  <c r="J158"/>
  <c r="I158"/>
  <c r="H158"/>
  <c r="G158"/>
  <c r="F158"/>
  <c r="E158"/>
  <c r="D158"/>
  <c r="C158"/>
  <c r="B158"/>
  <c r="P157"/>
  <c r="N157"/>
  <c r="L157"/>
  <c r="K157"/>
  <c r="J157"/>
  <c r="I157"/>
  <c r="H157"/>
  <c r="G157"/>
  <c r="F157"/>
  <c r="E157"/>
  <c r="D157"/>
  <c r="C157"/>
  <c r="B157"/>
  <c r="P156"/>
  <c r="N156"/>
  <c r="L156"/>
  <c r="K156"/>
  <c r="J156"/>
  <c r="I156"/>
  <c r="H156"/>
  <c r="G156"/>
  <c r="F156"/>
  <c r="E156"/>
  <c r="D156"/>
  <c r="C156"/>
  <c r="B156"/>
  <c r="P155"/>
  <c r="N155"/>
  <c r="L155"/>
  <c r="K155"/>
  <c r="J155"/>
  <c r="I155"/>
  <c r="H155"/>
  <c r="G155"/>
  <c r="F155"/>
  <c r="E155"/>
  <c r="D155"/>
  <c r="C155"/>
  <c r="B155"/>
  <c r="R154"/>
  <c r="P154"/>
  <c r="N154"/>
  <c r="L154"/>
  <c r="K154"/>
  <c r="J154"/>
  <c r="I154"/>
  <c r="H154"/>
  <c r="G154"/>
  <c r="F154"/>
  <c r="E154"/>
  <c r="D154"/>
  <c r="C154"/>
  <c r="B154"/>
  <c r="R153"/>
  <c r="P153"/>
  <c r="N153"/>
  <c r="L153"/>
  <c r="K153"/>
  <c r="J153"/>
  <c r="I153"/>
  <c r="H153"/>
  <c r="G153"/>
  <c r="F153"/>
  <c r="E153"/>
  <c r="D153"/>
  <c r="C153"/>
  <c r="B153"/>
  <c r="P152"/>
  <c r="N152"/>
  <c r="L152"/>
  <c r="K152"/>
  <c r="J152"/>
  <c r="I152"/>
  <c r="H152"/>
  <c r="G152"/>
  <c r="F152"/>
  <c r="E152"/>
  <c r="D152"/>
  <c r="C152"/>
  <c r="B152"/>
  <c r="R151"/>
  <c r="R59" i="7"/>
  <c r="P151" i="38"/>
  <c r="N151"/>
  <c r="L151"/>
  <c r="K151"/>
  <c r="J151"/>
  <c r="I151"/>
  <c r="H151"/>
  <c r="G151"/>
  <c r="F151"/>
  <c r="E151"/>
  <c r="D151"/>
  <c r="C151"/>
  <c r="B151"/>
  <c r="R150"/>
  <c r="P150"/>
  <c r="N150"/>
  <c r="L150"/>
  <c r="K150"/>
  <c r="J150"/>
  <c r="I150"/>
  <c r="H150"/>
  <c r="G150"/>
  <c r="F150"/>
  <c r="E150"/>
  <c r="D150"/>
  <c r="C150"/>
  <c r="B150"/>
  <c r="R149"/>
  <c r="R57" i="7"/>
  <c r="P149" i="38"/>
  <c r="N149"/>
  <c r="L149"/>
  <c r="K149"/>
  <c r="J149"/>
  <c r="I149"/>
  <c r="H149"/>
  <c r="G149"/>
  <c r="F149"/>
  <c r="E149"/>
  <c r="D149"/>
  <c r="C149"/>
  <c r="B149"/>
  <c r="P148"/>
  <c r="N148"/>
  <c r="L148"/>
  <c r="K148"/>
  <c r="J148"/>
  <c r="I148"/>
  <c r="H148"/>
  <c r="G148"/>
  <c r="F148"/>
  <c r="E148"/>
  <c r="D148"/>
  <c r="C148"/>
  <c r="B148"/>
  <c r="P147"/>
  <c r="N147"/>
  <c r="L147"/>
  <c r="K147"/>
  <c r="J147"/>
  <c r="I147"/>
  <c r="H147"/>
  <c r="G147"/>
  <c r="F147"/>
  <c r="E147"/>
  <c r="D147"/>
  <c r="C147"/>
  <c r="B147"/>
  <c r="A147"/>
  <c r="C146"/>
  <c r="A146"/>
  <c r="P145"/>
  <c r="N145"/>
  <c r="L145"/>
  <c r="K145"/>
  <c r="J145"/>
  <c r="I145"/>
  <c r="H145"/>
  <c r="G145"/>
  <c r="F145"/>
  <c r="E145"/>
  <c r="D145"/>
  <c r="C145"/>
  <c r="B145"/>
  <c r="A145"/>
  <c r="R144"/>
  <c r="C144"/>
  <c r="A144"/>
  <c r="P143"/>
  <c r="N143"/>
  <c r="L143"/>
  <c r="K143"/>
  <c r="J143"/>
  <c r="I143"/>
  <c r="H143"/>
  <c r="G143"/>
  <c r="F143"/>
  <c r="E143"/>
  <c r="D143"/>
  <c r="C143"/>
  <c r="B143"/>
  <c r="P142"/>
  <c r="N142"/>
  <c r="L142"/>
  <c r="K142"/>
  <c r="J142"/>
  <c r="I142"/>
  <c r="H142"/>
  <c r="G142"/>
  <c r="F142"/>
  <c r="E142"/>
  <c r="D142"/>
  <c r="C142"/>
  <c r="B142"/>
  <c r="P141"/>
  <c r="N141"/>
  <c r="L141"/>
  <c r="K141"/>
  <c r="I141"/>
  <c r="H141"/>
  <c r="G141"/>
  <c r="F141"/>
  <c r="E141"/>
  <c r="D141"/>
  <c r="C141"/>
  <c r="B141"/>
  <c r="P140"/>
  <c r="N140"/>
  <c r="L140"/>
  <c r="K140"/>
  <c r="I140"/>
  <c r="H140"/>
  <c r="G140"/>
  <c r="F140"/>
  <c r="E140"/>
  <c r="D140"/>
  <c r="C140"/>
  <c r="B140"/>
  <c r="P139"/>
  <c r="N139"/>
  <c r="L139"/>
  <c r="K139"/>
  <c r="J139"/>
  <c r="I139"/>
  <c r="H139"/>
  <c r="G139"/>
  <c r="F139"/>
  <c r="E139"/>
  <c r="D139"/>
  <c r="C139"/>
  <c r="B139"/>
  <c r="P138"/>
  <c r="N138"/>
  <c r="L138"/>
  <c r="K138"/>
  <c r="J138"/>
  <c r="I138"/>
  <c r="H138"/>
  <c r="G138"/>
  <c r="F138"/>
  <c r="E138"/>
  <c r="D138"/>
  <c r="C138"/>
  <c r="B138"/>
  <c r="P137"/>
  <c r="N137"/>
  <c r="L137"/>
  <c r="K137"/>
  <c r="J137"/>
  <c r="I137"/>
  <c r="H137"/>
  <c r="G137"/>
  <c r="F137"/>
  <c r="E137"/>
  <c r="D137"/>
  <c r="C137"/>
  <c r="B137"/>
  <c r="P136"/>
  <c r="N136"/>
  <c r="L136"/>
  <c r="K136"/>
  <c r="J136"/>
  <c r="I136"/>
  <c r="H136"/>
  <c r="G136"/>
  <c r="F136"/>
  <c r="E136"/>
  <c r="D136"/>
  <c r="C136"/>
  <c r="B136"/>
  <c r="P135"/>
  <c r="N135"/>
  <c r="L135"/>
  <c r="K135"/>
  <c r="J135"/>
  <c r="I135"/>
  <c r="H135"/>
  <c r="G135"/>
  <c r="F135"/>
  <c r="E135"/>
  <c r="D135"/>
  <c r="C135"/>
  <c r="B135"/>
  <c r="P134"/>
  <c r="N134"/>
  <c r="L134"/>
  <c r="K134"/>
  <c r="J134"/>
  <c r="I134"/>
  <c r="H134"/>
  <c r="G134"/>
  <c r="F134"/>
  <c r="E134"/>
  <c r="D134"/>
  <c r="C134"/>
  <c r="B134"/>
  <c r="R133"/>
  <c r="R161" i="15"/>
  <c r="P133" i="38"/>
  <c r="N133"/>
  <c r="L133"/>
  <c r="K133"/>
  <c r="J133"/>
  <c r="I133"/>
  <c r="H133"/>
  <c r="G133"/>
  <c r="F133"/>
  <c r="E133"/>
  <c r="D133"/>
  <c r="C133"/>
  <c r="B133"/>
  <c r="A133"/>
  <c r="R132"/>
  <c r="P132"/>
  <c r="N132"/>
  <c r="L132"/>
  <c r="K132"/>
  <c r="J132"/>
  <c r="I132"/>
  <c r="H132"/>
  <c r="G132"/>
  <c r="F132"/>
  <c r="E132"/>
  <c r="D132"/>
  <c r="C132"/>
  <c r="B132"/>
  <c r="A132"/>
  <c r="P131"/>
  <c r="N131"/>
  <c r="L131"/>
  <c r="K131"/>
  <c r="J131"/>
  <c r="I131"/>
  <c r="H131"/>
  <c r="G131"/>
  <c r="F131"/>
  <c r="E131"/>
  <c r="D131"/>
  <c r="C131"/>
  <c r="B131"/>
  <c r="R130"/>
  <c r="P130"/>
  <c r="N130"/>
  <c r="L130"/>
  <c r="K130"/>
  <c r="J130"/>
  <c r="I130"/>
  <c r="H130"/>
  <c r="G130"/>
  <c r="F130"/>
  <c r="E130"/>
  <c r="D130"/>
  <c r="C130"/>
  <c r="B130"/>
  <c r="P129"/>
  <c r="N129"/>
  <c r="L129"/>
  <c r="K129"/>
  <c r="J129"/>
  <c r="I129"/>
  <c r="H129"/>
  <c r="G129"/>
  <c r="F129"/>
  <c r="E129"/>
  <c r="D129"/>
  <c r="C129"/>
  <c r="B129"/>
  <c r="R128"/>
  <c r="P128"/>
  <c r="N128"/>
  <c r="L128"/>
  <c r="K128"/>
  <c r="J128"/>
  <c r="I128"/>
  <c r="H128"/>
  <c r="G128"/>
  <c r="F128"/>
  <c r="E128"/>
  <c r="D128"/>
  <c r="C128"/>
  <c r="B128"/>
  <c r="P127"/>
  <c r="N127"/>
  <c r="L127"/>
  <c r="K127"/>
  <c r="J127"/>
  <c r="I127"/>
  <c r="H127"/>
  <c r="G127"/>
  <c r="F127"/>
  <c r="E127"/>
  <c r="D127"/>
  <c r="C127"/>
  <c r="B127"/>
  <c r="A127"/>
  <c r="C126"/>
  <c r="A126"/>
  <c r="P125"/>
  <c r="N125"/>
  <c r="L125"/>
  <c r="K125"/>
  <c r="J125"/>
  <c r="I125"/>
  <c r="H125"/>
  <c r="G125"/>
  <c r="F125"/>
  <c r="E125"/>
  <c r="D125"/>
  <c r="C125"/>
  <c r="B125"/>
  <c r="A125"/>
  <c r="R124"/>
  <c r="R66" i="4"/>
  <c r="P124" i="38"/>
  <c r="N124"/>
  <c r="L124"/>
  <c r="K124"/>
  <c r="J124"/>
  <c r="I124"/>
  <c r="H124"/>
  <c r="G124"/>
  <c r="F124"/>
  <c r="E124"/>
  <c r="D124"/>
  <c r="C124"/>
  <c r="B124"/>
  <c r="A124"/>
  <c r="P123"/>
  <c r="N123"/>
  <c r="L123"/>
  <c r="K123"/>
  <c r="J123"/>
  <c r="I123"/>
  <c r="H123"/>
  <c r="G123"/>
  <c r="F123"/>
  <c r="E123"/>
  <c r="D123"/>
  <c r="C123"/>
  <c r="B123"/>
  <c r="A123"/>
  <c r="P122"/>
  <c r="N122"/>
  <c r="L122"/>
  <c r="K122"/>
  <c r="J122"/>
  <c r="I122"/>
  <c r="H122"/>
  <c r="G122"/>
  <c r="F122"/>
  <c r="E122"/>
  <c r="D122"/>
  <c r="C122"/>
  <c r="B122"/>
  <c r="A122"/>
  <c r="C121"/>
  <c r="A121"/>
  <c r="R120"/>
  <c r="R19" i="27"/>
  <c r="P120" i="38"/>
  <c r="N120"/>
  <c r="L120"/>
  <c r="K120"/>
  <c r="I120"/>
  <c r="H120"/>
  <c r="G120"/>
  <c r="F120"/>
  <c r="E120"/>
  <c r="D120"/>
  <c r="C120"/>
  <c r="B120"/>
  <c r="R119"/>
  <c r="R18" i="27"/>
  <c r="R18" i="3"/>
  <c r="P119" i="38"/>
  <c r="N119"/>
  <c r="L119"/>
  <c r="K119"/>
  <c r="I119"/>
  <c r="H119"/>
  <c r="G119"/>
  <c r="F119"/>
  <c r="E119"/>
  <c r="D119"/>
  <c r="C119"/>
  <c r="B119"/>
  <c r="R118"/>
  <c r="R17" i="27"/>
  <c r="P118" i="38"/>
  <c r="N118"/>
  <c r="L118"/>
  <c r="K118"/>
  <c r="J118"/>
  <c r="I118"/>
  <c r="H118"/>
  <c r="G118"/>
  <c r="F118"/>
  <c r="E118"/>
  <c r="D118"/>
  <c r="C118"/>
  <c r="B118"/>
  <c r="R117"/>
  <c r="R16" i="27"/>
  <c r="P117" i="38"/>
  <c r="N117"/>
  <c r="L117"/>
  <c r="K117"/>
  <c r="J117"/>
  <c r="I117"/>
  <c r="H117"/>
  <c r="G117"/>
  <c r="F117"/>
  <c r="E117"/>
  <c r="D117"/>
  <c r="C117"/>
  <c r="B117"/>
  <c r="R116"/>
  <c r="R15" i="27"/>
  <c r="P116" i="38"/>
  <c r="N116"/>
  <c r="L116"/>
  <c r="K116"/>
  <c r="I116"/>
  <c r="H116"/>
  <c r="G116"/>
  <c r="F116"/>
  <c r="E116"/>
  <c r="D116"/>
  <c r="C116"/>
  <c r="B116"/>
  <c r="R115"/>
  <c r="R14" i="27"/>
  <c r="P115" i="38"/>
  <c r="N115"/>
  <c r="L115"/>
  <c r="K115"/>
  <c r="I115"/>
  <c r="H115"/>
  <c r="G115"/>
  <c r="F115"/>
  <c r="E115"/>
  <c r="D115"/>
  <c r="C115"/>
  <c r="B115"/>
  <c r="R114"/>
  <c r="P114"/>
  <c r="N114"/>
  <c r="L114"/>
  <c r="K114"/>
  <c r="I114"/>
  <c r="H114"/>
  <c r="G114"/>
  <c r="F114"/>
  <c r="E114"/>
  <c r="D114"/>
  <c r="C114"/>
  <c r="B114"/>
  <c r="A114"/>
  <c r="C113"/>
  <c r="A113"/>
  <c r="P112"/>
  <c r="N112"/>
  <c r="L112"/>
  <c r="K112"/>
  <c r="J112"/>
  <c r="I112"/>
  <c r="H112"/>
  <c r="G112"/>
  <c r="F112"/>
  <c r="E112"/>
  <c r="D112"/>
  <c r="C112"/>
  <c r="B112"/>
  <c r="A112"/>
  <c r="R111"/>
  <c r="C111"/>
  <c r="B111"/>
  <c r="A111"/>
  <c r="R110"/>
  <c r="P110"/>
  <c r="N110"/>
  <c r="L110"/>
  <c r="K110"/>
  <c r="J110"/>
  <c r="I110"/>
  <c r="H110"/>
  <c r="G110"/>
  <c r="F110"/>
  <c r="E110"/>
  <c r="D110"/>
  <c r="C110"/>
  <c r="B110"/>
  <c r="A110"/>
  <c r="P109"/>
  <c r="N109"/>
  <c r="L109"/>
  <c r="K109"/>
  <c r="J109"/>
  <c r="I109"/>
  <c r="H109"/>
  <c r="G109"/>
  <c r="F109"/>
  <c r="E109"/>
  <c r="D109"/>
  <c r="C109"/>
  <c r="B109"/>
  <c r="A109"/>
  <c r="P108"/>
  <c r="N108"/>
  <c r="L108"/>
  <c r="K108"/>
  <c r="J108"/>
  <c r="I108"/>
  <c r="H108"/>
  <c r="G108"/>
  <c r="F108"/>
  <c r="E108"/>
  <c r="D108"/>
  <c r="C108"/>
  <c r="B108"/>
  <c r="A108"/>
  <c r="R107"/>
  <c r="R88" i="16"/>
  <c r="P107" i="38"/>
  <c r="N107"/>
  <c r="L107"/>
  <c r="K107"/>
  <c r="J107"/>
  <c r="I107"/>
  <c r="H107"/>
  <c r="G107"/>
  <c r="F107"/>
  <c r="E107"/>
  <c r="D107"/>
  <c r="C107"/>
  <c r="B107"/>
  <c r="A107"/>
  <c r="R106"/>
  <c r="P106"/>
  <c r="N106"/>
  <c r="L106"/>
  <c r="K106"/>
  <c r="J106"/>
  <c r="I106"/>
  <c r="H106"/>
  <c r="G106"/>
  <c r="F106"/>
  <c r="E106"/>
  <c r="D106"/>
  <c r="C106"/>
  <c r="B106"/>
  <c r="A106"/>
  <c r="R105"/>
  <c r="P105"/>
  <c r="N105"/>
  <c r="L105"/>
  <c r="K105"/>
  <c r="J105"/>
  <c r="I105"/>
  <c r="H105"/>
  <c r="G105"/>
  <c r="F105"/>
  <c r="E105"/>
  <c r="D105"/>
  <c r="C105"/>
  <c r="B105"/>
  <c r="A105"/>
  <c r="R104"/>
  <c r="P104"/>
  <c r="N104"/>
  <c r="L104"/>
  <c r="K104"/>
  <c r="J104"/>
  <c r="I104"/>
  <c r="H104"/>
  <c r="G104"/>
  <c r="F104"/>
  <c r="E104"/>
  <c r="D104"/>
  <c r="C104"/>
  <c r="B104"/>
  <c r="A104"/>
  <c r="R103"/>
  <c r="R84" i="16"/>
  <c r="P103" i="38"/>
  <c r="N103"/>
  <c r="L103"/>
  <c r="K103"/>
  <c r="J103"/>
  <c r="I103"/>
  <c r="H103"/>
  <c r="G103"/>
  <c r="F103"/>
  <c r="E103"/>
  <c r="D103"/>
  <c r="C103"/>
  <c r="B103"/>
  <c r="A103"/>
  <c r="C102"/>
  <c r="B102"/>
  <c r="A102"/>
  <c r="P100"/>
  <c r="N100"/>
  <c r="L100"/>
  <c r="K100"/>
  <c r="J100"/>
  <c r="I100"/>
  <c r="H100"/>
  <c r="G100"/>
  <c r="F100"/>
  <c r="E100"/>
  <c r="D100"/>
  <c r="C100"/>
  <c r="B100"/>
  <c r="P99"/>
  <c r="N99"/>
  <c r="L99"/>
  <c r="K99"/>
  <c r="J99"/>
  <c r="I99"/>
  <c r="H99"/>
  <c r="G99"/>
  <c r="F99"/>
  <c r="E99"/>
  <c r="D99"/>
  <c r="C99"/>
  <c r="B99"/>
  <c r="P98"/>
  <c r="N98"/>
  <c r="L98"/>
  <c r="K98"/>
  <c r="J98"/>
  <c r="I98"/>
  <c r="H98"/>
  <c r="G98"/>
  <c r="F98"/>
  <c r="E98"/>
  <c r="D98"/>
  <c r="C98"/>
  <c r="B98"/>
  <c r="P97"/>
  <c r="N97"/>
  <c r="L97"/>
  <c r="K97"/>
  <c r="J97"/>
  <c r="I97"/>
  <c r="H97"/>
  <c r="G97"/>
  <c r="F97"/>
  <c r="E97"/>
  <c r="D97"/>
  <c r="C97"/>
  <c r="B97"/>
  <c r="A97"/>
  <c r="R96"/>
  <c r="C96"/>
  <c r="A96"/>
  <c r="P95"/>
  <c r="N95"/>
  <c r="L95"/>
  <c r="K95"/>
  <c r="J95"/>
  <c r="I95"/>
  <c r="H95"/>
  <c r="G95"/>
  <c r="F95"/>
  <c r="E95"/>
  <c r="D95"/>
  <c r="C95"/>
  <c r="B95"/>
  <c r="P94"/>
  <c r="N94"/>
  <c r="L94"/>
  <c r="K94"/>
  <c r="J94"/>
  <c r="I94"/>
  <c r="H94"/>
  <c r="G94"/>
  <c r="F94"/>
  <c r="E94"/>
  <c r="D94"/>
  <c r="C94"/>
  <c r="B94"/>
  <c r="P93"/>
  <c r="N93"/>
  <c r="L93"/>
  <c r="K93"/>
  <c r="J93"/>
  <c r="I93"/>
  <c r="H93"/>
  <c r="G93"/>
  <c r="F93"/>
  <c r="E93"/>
  <c r="D93"/>
  <c r="C93"/>
  <c r="B93"/>
  <c r="A93"/>
  <c r="R92"/>
  <c r="C92"/>
  <c r="A92"/>
  <c r="R91"/>
  <c r="R90"/>
  <c r="P91"/>
  <c r="N91"/>
  <c r="L91"/>
  <c r="K91"/>
  <c r="J91"/>
  <c r="I91"/>
  <c r="H91"/>
  <c r="G91"/>
  <c r="F91"/>
  <c r="E91"/>
  <c r="D91"/>
  <c r="C91"/>
  <c r="B91"/>
  <c r="A91"/>
  <c r="C90"/>
  <c r="A90"/>
  <c r="P89"/>
  <c r="N89"/>
  <c r="L89"/>
  <c r="K89"/>
  <c r="J89"/>
  <c r="I89"/>
  <c r="H89"/>
  <c r="G89"/>
  <c r="F89"/>
  <c r="E89"/>
  <c r="D89"/>
  <c r="C89"/>
  <c r="B89"/>
  <c r="P88"/>
  <c r="N88"/>
  <c r="L88"/>
  <c r="K88"/>
  <c r="J88"/>
  <c r="I88"/>
  <c r="H88"/>
  <c r="G88"/>
  <c r="F88"/>
  <c r="E88"/>
  <c r="D88"/>
  <c r="C88"/>
  <c r="B88"/>
  <c r="P87"/>
  <c r="N87"/>
  <c r="L87"/>
  <c r="K87"/>
  <c r="J87"/>
  <c r="I87"/>
  <c r="H87"/>
  <c r="G87"/>
  <c r="F87"/>
  <c r="E87"/>
  <c r="D87"/>
  <c r="C87"/>
  <c r="B87"/>
  <c r="P86"/>
  <c r="N86"/>
  <c r="L86"/>
  <c r="K86"/>
  <c r="J86"/>
  <c r="I86"/>
  <c r="H86"/>
  <c r="G86"/>
  <c r="F86"/>
  <c r="E86"/>
  <c r="D86"/>
  <c r="C86"/>
  <c r="B86"/>
  <c r="R85"/>
  <c r="P85"/>
  <c r="N85"/>
  <c r="L85"/>
  <c r="K85"/>
  <c r="J85"/>
  <c r="I85"/>
  <c r="H85"/>
  <c r="G85"/>
  <c r="F85"/>
  <c r="E85"/>
  <c r="D85"/>
  <c r="C85"/>
  <c r="B85"/>
  <c r="R84"/>
  <c r="R48" i="7"/>
  <c r="P84" i="38"/>
  <c r="N84"/>
  <c r="L84"/>
  <c r="K84"/>
  <c r="J84"/>
  <c r="I84"/>
  <c r="H84"/>
  <c r="G84"/>
  <c r="F84"/>
  <c r="E84"/>
  <c r="D84"/>
  <c r="C84"/>
  <c r="B84"/>
  <c r="P83"/>
  <c r="N83"/>
  <c r="L83"/>
  <c r="K83"/>
  <c r="J83"/>
  <c r="I83"/>
  <c r="H83"/>
  <c r="G83"/>
  <c r="F83"/>
  <c r="E83"/>
  <c r="D83"/>
  <c r="C83"/>
  <c r="B83"/>
  <c r="P82"/>
  <c r="N82"/>
  <c r="L82"/>
  <c r="K82"/>
  <c r="J82"/>
  <c r="I82"/>
  <c r="H82"/>
  <c r="G82"/>
  <c r="F82"/>
  <c r="E82"/>
  <c r="D82"/>
  <c r="C82"/>
  <c r="B82"/>
  <c r="P81"/>
  <c r="N81"/>
  <c r="L81"/>
  <c r="K81"/>
  <c r="J81"/>
  <c r="I81"/>
  <c r="H81"/>
  <c r="G81"/>
  <c r="F81"/>
  <c r="E81"/>
  <c r="D81"/>
  <c r="C81"/>
  <c r="B81"/>
  <c r="P80"/>
  <c r="N80"/>
  <c r="L80"/>
  <c r="K80"/>
  <c r="J80"/>
  <c r="I80"/>
  <c r="H80"/>
  <c r="G80"/>
  <c r="F80"/>
  <c r="E80"/>
  <c r="D80"/>
  <c r="C80"/>
  <c r="B80"/>
  <c r="P79"/>
  <c r="N79"/>
  <c r="L79"/>
  <c r="K79"/>
  <c r="J79"/>
  <c r="I79"/>
  <c r="H79"/>
  <c r="G79"/>
  <c r="F79"/>
  <c r="E79"/>
  <c r="D79"/>
  <c r="C79"/>
  <c r="B79"/>
  <c r="P78"/>
  <c r="N78"/>
  <c r="L78"/>
  <c r="K78"/>
  <c r="J78"/>
  <c r="I78"/>
  <c r="H78"/>
  <c r="G78"/>
  <c r="F78"/>
  <c r="E78"/>
  <c r="D78"/>
  <c r="C78"/>
  <c r="B78"/>
  <c r="P77"/>
  <c r="N77"/>
  <c r="L77"/>
  <c r="K77"/>
  <c r="J77"/>
  <c r="I77"/>
  <c r="H77"/>
  <c r="G77"/>
  <c r="F77"/>
  <c r="E77"/>
  <c r="D77"/>
  <c r="C77"/>
  <c r="B77"/>
  <c r="P76"/>
  <c r="N76"/>
  <c r="L76"/>
  <c r="K76"/>
  <c r="J76"/>
  <c r="I76"/>
  <c r="H76"/>
  <c r="G76"/>
  <c r="F76"/>
  <c r="E76"/>
  <c r="D76"/>
  <c r="C76"/>
  <c r="B76"/>
  <c r="P75"/>
  <c r="N75"/>
  <c r="L75"/>
  <c r="K75"/>
  <c r="J75"/>
  <c r="I75"/>
  <c r="H75"/>
  <c r="G75"/>
  <c r="F75"/>
  <c r="E75"/>
  <c r="D75"/>
  <c r="C75"/>
  <c r="B75"/>
  <c r="R74"/>
  <c r="P74"/>
  <c r="N74"/>
  <c r="L74"/>
  <c r="K74"/>
  <c r="J74"/>
  <c r="I74"/>
  <c r="H74"/>
  <c r="G74"/>
  <c r="F74"/>
  <c r="E74"/>
  <c r="D74"/>
  <c r="C74"/>
  <c r="B74"/>
  <c r="P73"/>
  <c r="N73"/>
  <c r="L73"/>
  <c r="K73"/>
  <c r="J73"/>
  <c r="I73"/>
  <c r="H73"/>
  <c r="G73"/>
  <c r="F73"/>
  <c r="E73"/>
  <c r="D73"/>
  <c r="C73"/>
  <c r="B73"/>
  <c r="P72"/>
  <c r="N72"/>
  <c r="L72"/>
  <c r="K72"/>
  <c r="J72"/>
  <c r="I72"/>
  <c r="H72"/>
  <c r="G72"/>
  <c r="F72"/>
  <c r="E72"/>
  <c r="D72"/>
  <c r="C72"/>
  <c r="B72"/>
  <c r="P71"/>
  <c r="N71"/>
  <c r="L71"/>
  <c r="K71"/>
  <c r="J71"/>
  <c r="I71"/>
  <c r="H71"/>
  <c r="G71"/>
  <c r="F71"/>
  <c r="E71"/>
  <c r="D71"/>
  <c r="C71"/>
  <c r="B71"/>
  <c r="P70"/>
  <c r="N70"/>
  <c r="L70"/>
  <c r="K70"/>
  <c r="J70"/>
  <c r="I70"/>
  <c r="H70"/>
  <c r="G70"/>
  <c r="F70"/>
  <c r="E70"/>
  <c r="D70"/>
  <c r="C70"/>
  <c r="B70"/>
  <c r="P69"/>
  <c r="N69"/>
  <c r="L69"/>
  <c r="K69"/>
  <c r="J69"/>
  <c r="I69"/>
  <c r="H69"/>
  <c r="G69"/>
  <c r="F69"/>
  <c r="E69"/>
  <c r="D69"/>
  <c r="C69"/>
  <c r="B69"/>
  <c r="P68"/>
  <c r="N68"/>
  <c r="L68"/>
  <c r="K68"/>
  <c r="J68"/>
  <c r="I68"/>
  <c r="H68"/>
  <c r="G68"/>
  <c r="F68"/>
  <c r="E68"/>
  <c r="D68"/>
  <c r="C68"/>
  <c r="B68"/>
  <c r="P67"/>
  <c r="N67"/>
  <c r="L67"/>
  <c r="K67"/>
  <c r="J67"/>
  <c r="I67"/>
  <c r="H67"/>
  <c r="G67"/>
  <c r="F67"/>
  <c r="E67"/>
  <c r="D67"/>
  <c r="C67"/>
  <c r="B67"/>
  <c r="R66"/>
  <c r="R30" i="7"/>
  <c r="P66" i="38"/>
  <c r="N66"/>
  <c r="L66"/>
  <c r="K66"/>
  <c r="J66"/>
  <c r="I66"/>
  <c r="H66"/>
  <c r="G66"/>
  <c r="F66"/>
  <c r="E66"/>
  <c r="D66"/>
  <c r="C66"/>
  <c r="B66"/>
  <c r="R65"/>
  <c r="P65"/>
  <c r="N65"/>
  <c r="L65"/>
  <c r="K65"/>
  <c r="J65"/>
  <c r="I65"/>
  <c r="H65"/>
  <c r="G65"/>
  <c r="F65"/>
  <c r="E65"/>
  <c r="D65"/>
  <c r="C65"/>
  <c r="B65"/>
  <c r="R64"/>
  <c r="R28" i="7"/>
  <c r="P64" i="38"/>
  <c r="N64"/>
  <c r="L64"/>
  <c r="K64"/>
  <c r="J64"/>
  <c r="I64"/>
  <c r="H64"/>
  <c r="G64"/>
  <c r="F64"/>
  <c r="E64"/>
  <c r="D64"/>
  <c r="C64"/>
  <c r="B64"/>
  <c r="R63"/>
  <c r="P63"/>
  <c r="N63"/>
  <c r="L63"/>
  <c r="K63"/>
  <c r="J63"/>
  <c r="I63"/>
  <c r="H63"/>
  <c r="G63"/>
  <c r="F63"/>
  <c r="E63"/>
  <c r="D63"/>
  <c r="C63"/>
  <c r="B63"/>
  <c r="A63"/>
  <c r="P62"/>
  <c r="N62"/>
  <c r="L62"/>
  <c r="K62"/>
  <c r="J62"/>
  <c r="I62"/>
  <c r="H62"/>
  <c r="G62"/>
  <c r="F62"/>
  <c r="E62"/>
  <c r="D62"/>
  <c r="C62"/>
  <c r="B62"/>
  <c r="A62"/>
  <c r="P61"/>
  <c r="N61"/>
  <c r="L61"/>
  <c r="K61"/>
  <c r="J61"/>
  <c r="I61"/>
  <c r="H61"/>
  <c r="G61"/>
  <c r="F61"/>
  <c r="E61"/>
  <c r="D61"/>
  <c r="C61"/>
  <c r="B61"/>
  <c r="A61"/>
  <c r="P60"/>
  <c r="N60"/>
  <c r="L60"/>
  <c r="K60"/>
  <c r="J60"/>
  <c r="I60"/>
  <c r="H60"/>
  <c r="G60"/>
  <c r="F60"/>
  <c r="E60"/>
  <c r="D60"/>
  <c r="C60"/>
  <c r="B60"/>
  <c r="P59"/>
  <c r="N59"/>
  <c r="L59"/>
  <c r="K59"/>
  <c r="J59"/>
  <c r="I59"/>
  <c r="H59"/>
  <c r="G59"/>
  <c r="F59"/>
  <c r="E59"/>
  <c r="D59"/>
  <c r="C59"/>
  <c r="B59"/>
  <c r="P58"/>
  <c r="N58"/>
  <c r="L58"/>
  <c r="K58"/>
  <c r="J58"/>
  <c r="I58"/>
  <c r="H58"/>
  <c r="G58"/>
  <c r="F58"/>
  <c r="E58"/>
  <c r="D58"/>
  <c r="C58"/>
  <c r="B58"/>
  <c r="P57"/>
  <c r="N57"/>
  <c r="L57"/>
  <c r="K57"/>
  <c r="J57"/>
  <c r="I57"/>
  <c r="H57"/>
  <c r="G57"/>
  <c r="F57"/>
  <c r="E57"/>
  <c r="D57"/>
  <c r="C57"/>
  <c r="B57"/>
  <c r="A57"/>
  <c r="C56"/>
  <c r="A56"/>
  <c r="R55"/>
  <c r="P55"/>
  <c r="N55"/>
  <c r="L55"/>
  <c r="K55"/>
  <c r="J55"/>
  <c r="I55"/>
  <c r="H55"/>
  <c r="G55"/>
  <c r="F55"/>
  <c r="E55"/>
  <c r="D55"/>
  <c r="C55"/>
  <c r="B55"/>
  <c r="A55"/>
  <c r="C54"/>
  <c r="A54"/>
  <c r="P53"/>
  <c r="N53"/>
  <c r="L53"/>
  <c r="K53"/>
  <c r="J53"/>
  <c r="I53"/>
  <c r="H53"/>
  <c r="G53"/>
  <c r="F53"/>
  <c r="E53"/>
  <c r="D53"/>
  <c r="C53"/>
  <c r="B53"/>
  <c r="R52"/>
  <c r="P52"/>
  <c r="N52"/>
  <c r="L52"/>
  <c r="K52"/>
  <c r="J52"/>
  <c r="I52"/>
  <c r="H52"/>
  <c r="G52"/>
  <c r="F52"/>
  <c r="E52"/>
  <c r="D52"/>
  <c r="C52"/>
  <c r="B52"/>
  <c r="P51"/>
  <c r="N51"/>
  <c r="L51"/>
  <c r="K51"/>
  <c r="J51"/>
  <c r="I51"/>
  <c r="H51"/>
  <c r="G51"/>
  <c r="F51"/>
  <c r="E51"/>
  <c r="D51"/>
  <c r="C51"/>
  <c r="B51"/>
  <c r="P50"/>
  <c r="N50"/>
  <c r="L50"/>
  <c r="K50"/>
  <c r="J50"/>
  <c r="I50"/>
  <c r="H50"/>
  <c r="G50"/>
  <c r="F50"/>
  <c r="E50"/>
  <c r="D50"/>
  <c r="C50"/>
  <c r="B50"/>
  <c r="P49"/>
  <c r="N49"/>
  <c r="L49"/>
  <c r="K49"/>
  <c r="J49"/>
  <c r="I49"/>
  <c r="H49"/>
  <c r="G49"/>
  <c r="F49"/>
  <c r="E49"/>
  <c r="D49"/>
  <c r="C49"/>
  <c r="B49"/>
  <c r="P48"/>
  <c r="N48"/>
  <c r="L48"/>
  <c r="K48"/>
  <c r="J48"/>
  <c r="I48"/>
  <c r="H48"/>
  <c r="G48"/>
  <c r="F48"/>
  <c r="E48"/>
  <c r="D48"/>
  <c r="C48"/>
  <c r="B48"/>
  <c r="P47"/>
  <c r="N47"/>
  <c r="L47"/>
  <c r="K47"/>
  <c r="J47"/>
  <c r="I47"/>
  <c r="H47"/>
  <c r="G47"/>
  <c r="F47"/>
  <c r="E47"/>
  <c r="D47"/>
  <c r="C47"/>
  <c r="B47"/>
  <c r="P46"/>
  <c r="N46"/>
  <c r="L46"/>
  <c r="K46"/>
  <c r="J46"/>
  <c r="I46"/>
  <c r="H46"/>
  <c r="G46"/>
  <c r="F46"/>
  <c r="E46"/>
  <c r="D46"/>
  <c r="C46"/>
  <c r="B46"/>
  <c r="P45"/>
  <c r="N45"/>
  <c r="L45"/>
  <c r="K45"/>
  <c r="J45"/>
  <c r="I45"/>
  <c r="H45"/>
  <c r="G45"/>
  <c r="F45"/>
  <c r="E45"/>
  <c r="D45"/>
  <c r="C45"/>
  <c r="B45"/>
  <c r="P44"/>
  <c r="N44"/>
  <c r="L44"/>
  <c r="K44"/>
  <c r="J44"/>
  <c r="I44"/>
  <c r="H44"/>
  <c r="G44"/>
  <c r="F44"/>
  <c r="E44"/>
  <c r="D44"/>
  <c r="C44"/>
  <c r="B44"/>
  <c r="P43"/>
  <c r="N43"/>
  <c r="L43"/>
  <c r="K43"/>
  <c r="J43"/>
  <c r="I43"/>
  <c r="H43"/>
  <c r="G43"/>
  <c r="F43"/>
  <c r="E43"/>
  <c r="D43"/>
  <c r="C43"/>
  <c r="B43"/>
  <c r="P42"/>
  <c r="N42"/>
  <c r="L42"/>
  <c r="K42"/>
  <c r="J42"/>
  <c r="I42"/>
  <c r="H42"/>
  <c r="G42"/>
  <c r="F42"/>
  <c r="E42"/>
  <c r="D42"/>
  <c r="C42"/>
  <c r="B42"/>
  <c r="A42"/>
  <c r="R41"/>
  <c r="P41"/>
  <c r="N41"/>
  <c r="L41"/>
  <c r="K41"/>
  <c r="J41"/>
  <c r="I41"/>
  <c r="H41"/>
  <c r="G41"/>
  <c r="F41"/>
  <c r="E41"/>
  <c r="D41"/>
  <c r="C41"/>
  <c r="B41"/>
  <c r="A41"/>
  <c r="P40"/>
  <c r="N40"/>
  <c r="L40"/>
  <c r="K40"/>
  <c r="J40"/>
  <c r="I40"/>
  <c r="H40"/>
  <c r="G40"/>
  <c r="F40"/>
  <c r="E40"/>
  <c r="D40"/>
  <c r="C40"/>
  <c r="B40"/>
  <c r="P39"/>
  <c r="N39"/>
  <c r="L39"/>
  <c r="K39"/>
  <c r="J39"/>
  <c r="I39"/>
  <c r="H39"/>
  <c r="G39"/>
  <c r="F39"/>
  <c r="E39"/>
  <c r="D39"/>
  <c r="C39"/>
  <c r="B39"/>
  <c r="P38"/>
  <c r="N38"/>
  <c r="L38"/>
  <c r="K38"/>
  <c r="J38"/>
  <c r="I38"/>
  <c r="H38"/>
  <c r="G38"/>
  <c r="F38"/>
  <c r="E38"/>
  <c r="D38"/>
  <c r="C38"/>
  <c r="B38"/>
  <c r="P37"/>
  <c r="N37"/>
  <c r="L37"/>
  <c r="K37"/>
  <c r="J37"/>
  <c r="I37"/>
  <c r="H37"/>
  <c r="G37"/>
  <c r="F37"/>
  <c r="E37"/>
  <c r="D37"/>
  <c r="C37"/>
  <c r="B37"/>
  <c r="P36"/>
  <c r="N36"/>
  <c r="L36"/>
  <c r="K36"/>
  <c r="J36"/>
  <c r="I36"/>
  <c r="H36"/>
  <c r="G36"/>
  <c r="F36"/>
  <c r="E36"/>
  <c r="D36"/>
  <c r="C36"/>
  <c r="B36"/>
  <c r="A36"/>
  <c r="C35"/>
  <c r="A35"/>
  <c r="P34"/>
  <c r="N34"/>
  <c r="L34"/>
  <c r="K34"/>
  <c r="J34"/>
  <c r="I34"/>
  <c r="H34"/>
  <c r="G34"/>
  <c r="F34"/>
  <c r="E34"/>
  <c r="D34"/>
  <c r="C34"/>
  <c r="B34"/>
  <c r="A34"/>
  <c r="P33"/>
  <c r="N33"/>
  <c r="L33"/>
  <c r="K33"/>
  <c r="J33"/>
  <c r="I33"/>
  <c r="H33"/>
  <c r="G33"/>
  <c r="F33"/>
  <c r="E33"/>
  <c r="D33"/>
  <c r="C33"/>
  <c r="B33"/>
  <c r="A33"/>
  <c r="P32"/>
  <c r="N32"/>
  <c r="L32"/>
  <c r="K32"/>
  <c r="J32"/>
  <c r="I32"/>
  <c r="H32"/>
  <c r="G32"/>
  <c r="F32"/>
  <c r="E32"/>
  <c r="D32"/>
  <c r="C32"/>
  <c r="B32"/>
  <c r="A32"/>
  <c r="R31"/>
  <c r="C31"/>
  <c r="A31"/>
  <c r="P30"/>
  <c r="N30"/>
  <c r="L30"/>
  <c r="K30"/>
  <c r="J30"/>
  <c r="I30"/>
  <c r="H30"/>
  <c r="G30"/>
  <c r="F30"/>
  <c r="E30"/>
  <c r="D30"/>
  <c r="C30"/>
  <c r="B30"/>
  <c r="R29"/>
  <c r="R10" i="27"/>
  <c r="R10" i="3"/>
  <c r="P29" i="38"/>
  <c r="N29"/>
  <c r="L29"/>
  <c r="K29"/>
  <c r="J29"/>
  <c r="I29"/>
  <c r="H29"/>
  <c r="G29"/>
  <c r="F29"/>
  <c r="E29"/>
  <c r="D29"/>
  <c r="C29"/>
  <c r="B29"/>
  <c r="P28"/>
  <c r="N28"/>
  <c r="L28"/>
  <c r="K28"/>
  <c r="J28"/>
  <c r="I28"/>
  <c r="H28"/>
  <c r="G28"/>
  <c r="F28"/>
  <c r="E28"/>
  <c r="D28"/>
  <c r="C28"/>
  <c r="B28"/>
  <c r="R27"/>
  <c r="P27"/>
  <c r="N27"/>
  <c r="L27"/>
  <c r="K27"/>
  <c r="J27"/>
  <c r="I27"/>
  <c r="H27"/>
  <c r="G27"/>
  <c r="F27"/>
  <c r="E27"/>
  <c r="D27"/>
  <c r="C27"/>
  <c r="B27"/>
  <c r="A27"/>
  <c r="C26"/>
  <c r="A26"/>
  <c r="P25"/>
  <c r="N25"/>
  <c r="L25"/>
  <c r="K25"/>
  <c r="J25"/>
  <c r="I25"/>
  <c r="H25"/>
  <c r="G25"/>
  <c r="F25"/>
  <c r="E25"/>
  <c r="D25"/>
  <c r="C25"/>
  <c r="B25"/>
  <c r="A25"/>
  <c r="P24"/>
  <c r="N24"/>
  <c r="L24"/>
  <c r="K24"/>
  <c r="J24"/>
  <c r="I24"/>
  <c r="H24"/>
  <c r="G24"/>
  <c r="F24"/>
  <c r="E24"/>
  <c r="D24"/>
  <c r="C24"/>
  <c r="B24"/>
  <c r="A24"/>
  <c r="P23"/>
  <c r="N23"/>
  <c r="L23"/>
  <c r="K23"/>
  <c r="J23"/>
  <c r="I23"/>
  <c r="H23"/>
  <c r="G23"/>
  <c r="F23"/>
  <c r="E23"/>
  <c r="D23"/>
  <c r="C23"/>
  <c r="B23"/>
  <c r="A23"/>
  <c r="R22"/>
  <c r="R20"/>
  <c r="P22"/>
  <c r="N22"/>
  <c r="L22"/>
  <c r="K22"/>
  <c r="J22"/>
  <c r="I22"/>
  <c r="H22"/>
  <c r="G22"/>
  <c r="F22"/>
  <c r="E22"/>
  <c r="D22"/>
  <c r="C22"/>
  <c r="B22"/>
  <c r="A22"/>
  <c r="P21"/>
  <c r="N21"/>
  <c r="L21"/>
  <c r="K21"/>
  <c r="J21"/>
  <c r="I21"/>
  <c r="H21"/>
  <c r="G21"/>
  <c r="F21"/>
  <c r="E21"/>
  <c r="D21"/>
  <c r="C21"/>
  <c r="B21"/>
  <c r="A21"/>
  <c r="C20"/>
  <c r="B20"/>
  <c r="A20"/>
  <c r="R19"/>
  <c r="P19"/>
  <c r="N19"/>
  <c r="L19"/>
  <c r="K19"/>
  <c r="J19"/>
  <c r="I19"/>
  <c r="H19"/>
  <c r="G19"/>
  <c r="F19"/>
  <c r="E19"/>
  <c r="D19"/>
  <c r="C19"/>
  <c r="B19"/>
  <c r="A19"/>
  <c r="R18"/>
  <c r="P18"/>
  <c r="N18"/>
  <c r="L18"/>
  <c r="K18"/>
  <c r="J18"/>
  <c r="I18"/>
  <c r="H18"/>
  <c r="G18"/>
  <c r="F18"/>
  <c r="E18"/>
  <c r="D18"/>
  <c r="C18"/>
  <c r="B18"/>
  <c r="A18"/>
  <c r="R17"/>
  <c r="P17"/>
  <c r="N17"/>
  <c r="L17"/>
  <c r="K17"/>
  <c r="J17"/>
  <c r="I17"/>
  <c r="H17"/>
  <c r="G17"/>
  <c r="F17"/>
  <c r="E17"/>
  <c r="D17"/>
  <c r="C17"/>
  <c r="B17"/>
  <c r="A17"/>
  <c r="P16"/>
  <c r="N16"/>
  <c r="M16"/>
  <c r="L16"/>
  <c r="K16"/>
  <c r="J16"/>
  <c r="I16"/>
  <c r="H16"/>
  <c r="G16"/>
  <c r="F16"/>
  <c r="E16"/>
  <c r="D16"/>
  <c r="C16"/>
  <c r="B16"/>
  <c r="A16"/>
  <c r="R15"/>
  <c r="P15"/>
  <c r="N15"/>
  <c r="L15"/>
  <c r="K15"/>
  <c r="J15"/>
  <c r="I15"/>
  <c r="H15"/>
  <c r="G15"/>
  <c r="F15"/>
  <c r="E15"/>
  <c r="D15"/>
  <c r="C15"/>
  <c r="B15"/>
  <c r="A15"/>
  <c r="P14"/>
  <c r="N14"/>
  <c r="M14"/>
  <c r="L14"/>
  <c r="K14"/>
  <c r="J14"/>
  <c r="I14"/>
  <c r="H14"/>
  <c r="G14"/>
  <c r="F14"/>
  <c r="E14"/>
  <c r="D14"/>
  <c r="C14"/>
  <c r="B14"/>
  <c r="A14"/>
  <c r="P13"/>
  <c r="N13"/>
  <c r="L13"/>
  <c r="K13"/>
  <c r="J13"/>
  <c r="I13"/>
  <c r="H13"/>
  <c r="G13"/>
  <c r="F13"/>
  <c r="E13"/>
  <c r="D13"/>
  <c r="C13"/>
  <c r="B13"/>
  <c r="A13"/>
  <c r="R12"/>
  <c r="P12"/>
  <c r="N12"/>
  <c r="L12"/>
  <c r="K12"/>
  <c r="J12"/>
  <c r="I12"/>
  <c r="H12"/>
  <c r="G12"/>
  <c r="F12"/>
  <c r="E12"/>
  <c r="D12"/>
  <c r="C12"/>
  <c r="B12"/>
  <c r="A12"/>
  <c r="P11"/>
  <c r="N11"/>
  <c r="L11"/>
  <c r="K11"/>
  <c r="J11"/>
  <c r="I11"/>
  <c r="H11"/>
  <c r="G11"/>
  <c r="F11"/>
  <c r="E11"/>
  <c r="D11"/>
  <c r="C11"/>
  <c r="B11"/>
  <c r="A11"/>
  <c r="P10"/>
  <c r="N10"/>
  <c r="L10"/>
  <c r="K10"/>
  <c r="J10"/>
  <c r="I10"/>
  <c r="H10"/>
  <c r="G10"/>
  <c r="F10"/>
  <c r="E10"/>
  <c r="D10"/>
  <c r="C10"/>
  <c r="B10"/>
  <c r="A10"/>
  <c r="R9"/>
  <c r="P9"/>
  <c r="N9"/>
  <c r="L9"/>
  <c r="K9"/>
  <c r="J9"/>
  <c r="I9"/>
  <c r="H9"/>
  <c r="G9"/>
  <c r="F9"/>
  <c r="E9"/>
  <c r="D9"/>
  <c r="C9"/>
  <c r="B9"/>
  <c r="A9"/>
  <c r="R8"/>
  <c r="R10" i="16"/>
  <c r="P8" i="38"/>
  <c r="N8"/>
  <c r="L8"/>
  <c r="K8"/>
  <c r="J8"/>
  <c r="I8"/>
  <c r="H8"/>
  <c r="G8"/>
  <c r="F8"/>
  <c r="E8"/>
  <c r="D8"/>
  <c r="C8"/>
  <c r="B8"/>
  <c r="A8"/>
  <c r="C7"/>
  <c r="B7"/>
  <c r="A7"/>
  <c r="C3"/>
  <c r="C2"/>
  <c r="A2"/>
  <c r="L274" i="66"/>
  <c r="N274"/>
  <c r="N273"/>
  <c r="Q273"/>
  <c r="L272"/>
  <c r="N272"/>
  <c r="L271"/>
  <c r="N271"/>
  <c r="Q270"/>
  <c r="L269"/>
  <c r="N269"/>
  <c r="L268"/>
  <c r="N268"/>
  <c r="L267"/>
  <c r="N267"/>
  <c r="L266"/>
  <c r="N266"/>
  <c r="Q265"/>
  <c r="Q257"/>
  <c r="P290" i="72"/>
  <c r="L254" i="66"/>
  <c r="N254"/>
  <c r="L253"/>
  <c r="N253"/>
  <c r="L252"/>
  <c r="N252"/>
  <c r="Q251"/>
  <c r="Q250"/>
  <c r="L251"/>
  <c r="L249"/>
  <c r="N249"/>
  <c r="L246"/>
  <c r="N246"/>
  <c r="Q245"/>
  <c r="L244"/>
  <c r="N244"/>
  <c r="L243"/>
  <c r="N243"/>
  <c r="L240"/>
  <c r="N240"/>
  <c r="Q239"/>
  <c r="L238"/>
  <c r="N238"/>
  <c r="L237"/>
  <c r="N237"/>
  <c r="L236"/>
  <c r="N236"/>
  <c r="Q235"/>
  <c r="Q233"/>
  <c r="L234"/>
  <c r="N234"/>
  <c r="N232"/>
  <c r="L229"/>
  <c r="N229"/>
  <c r="L228"/>
  <c r="N228"/>
  <c r="Q227"/>
  <c r="L226"/>
  <c r="N226"/>
  <c r="Q225"/>
  <c r="Q223"/>
  <c r="N222"/>
  <c r="L221"/>
  <c r="N221"/>
  <c r="L220"/>
  <c r="N220"/>
  <c r="L219"/>
  <c r="N219"/>
  <c r="L218"/>
  <c r="N218"/>
  <c r="L217"/>
  <c r="N217"/>
  <c r="Q216"/>
  <c r="L215"/>
  <c r="N215"/>
  <c r="L214"/>
  <c r="N214"/>
  <c r="L213"/>
  <c r="N213"/>
  <c r="L212"/>
  <c r="N212"/>
  <c r="Q211"/>
  <c r="L209"/>
  <c r="N209"/>
  <c r="L208"/>
  <c r="N208"/>
  <c r="Q207"/>
  <c r="K3"/>
  <c r="L206"/>
  <c r="N206"/>
  <c r="L205"/>
  <c r="N205"/>
  <c r="Q204"/>
  <c r="L201"/>
  <c r="N201"/>
  <c r="L200"/>
  <c r="N200"/>
  <c r="Q199"/>
  <c r="L198"/>
  <c r="N198"/>
  <c r="L197"/>
  <c r="N197"/>
  <c r="Q196"/>
  <c r="L194"/>
  <c r="N194"/>
  <c r="L193"/>
  <c r="N193"/>
  <c r="L192"/>
  <c r="N192"/>
  <c r="L191"/>
  <c r="N191"/>
  <c r="L190"/>
  <c r="N190"/>
  <c r="L189"/>
  <c r="N189"/>
  <c r="L188"/>
  <c r="N188"/>
  <c r="L187"/>
  <c r="N187"/>
  <c r="L186"/>
  <c r="N186"/>
  <c r="Q185"/>
  <c r="Q178"/>
  <c r="L185"/>
  <c r="L184"/>
  <c r="N184"/>
  <c r="L183"/>
  <c r="N183"/>
  <c r="L182"/>
  <c r="N182"/>
  <c r="L181"/>
  <c r="N181"/>
  <c r="L180"/>
  <c r="N180"/>
  <c r="L179"/>
  <c r="N179"/>
  <c r="L177"/>
  <c r="N177"/>
  <c r="L176"/>
  <c r="N176"/>
  <c r="Q175"/>
  <c r="L173"/>
  <c r="N173"/>
  <c r="L172"/>
  <c r="N172"/>
  <c r="Q171"/>
  <c r="L170"/>
  <c r="N170"/>
  <c r="L169"/>
  <c r="N169"/>
  <c r="L168"/>
  <c r="N168"/>
  <c r="L167"/>
  <c r="N167"/>
  <c r="Q166"/>
  <c r="L165"/>
  <c r="N165"/>
  <c r="L164"/>
  <c r="N164"/>
  <c r="Q163"/>
  <c r="Q162"/>
  <c r="L163"/>
  <c r="L161"/>
  <c r="N161"/>
  <c r="L160"/>
  <c r="N160"/>
  <c r="Q159"/>
  <c r="L159"/>
  <c r="L158"/>
  <c r="N158"/>
  <c r="L157"/>
  <c r="N157"/>
  <c r="Q156"/>
  <c r="L156"/>
  <c r="L155"/>
  <c r="N155"/>
  <c r="L154"/>
  <c r="N154"/>
  <c r="N153"/>
  <c r="Q153"/>
  <c r="L153"/>
  <c r="L151"/>
  <c r="N151"/>
  <c r="N150"/>
  <c r="Q150"/>
  <c r="L149"/>
  <c r="N149"/>
  <c r="L148"/>
  <c r="N148"/>
  <c r="L147"/>
  <c r="N147"/>
  <c r="L146"/>
  <c r="N146"/>
  <c r="L145"/>
  <c r="N145"/>
  <c r="L144"/>
  <c r="N144"/>
  <c r="L143"/>
  <c r="N143"/>
  <c r="Q142"/>
  <c r="L141"/>
  <c r="N141"/>
  <c r="L140"/>
  <c r="N140"/>
  <c r="L139"/>
  <c r="N139"/>
  <c r="Q138"/>
  <c r="L137"/>
  <c r="N137"/>
  <c r="L136"/>
  <c r="N136"/>
  <c r="L135"/>
  <c r="N135"/>
  <c r="Q134"/>
  <c r="L133"/>
  <c r="N133"/>
  <c r="L132"/>
  <c r="N132"/>
  <c r="L131"/>
  <c r="N131"/>
  <c r="Q130"/>
  <c r="L129"/>
  <c r="N129"/>
  <c r="L128"/>
  <c r="N128"/>
  <c r="L127"/>
  <c r="N127"/>
  <c r="Q126"/>
  <c r="L125"/>
  <c r="N125"/>
  <c r="L124"/>
  <c r="N124"/>
  <c r="L123"/>
  <c r="N123"/>
  <c r="Q122"/>
  <c r="L119"/>
  <c r="N119"/>
  <c r="N118"/>
  <c r="Q118"/>
  <c r="L117"/>
  <c r="N117"/>
  <c r="L116"/>
  <c r="N116"/>
  <c r="Q115"/>
  <c r="L114"/>
  <c r="N114"/>
  <c r="L113"/>
  <c r="N113"/>
  <c r="Q112"/>
  <c r="L111"/>
  <c r="L110"/>
  <c r="N110"/>
  <c r="L109"/>
  <c r="N109"/>
  <c r="Q108"/>
  <c r="L107"/>
  <c r="N107"/>
  <c r="L106"/>
  <c r="N106"/>
  <c r="L105"/>
  <c r="N105"/>
  <c r="Q104"/>
  <c r="L104"/>
  <c r="L102"/>
  <c r="N102"/>
  <c r="L101"/>
  <c r="N101"/>
  <c r="L100"/>
  <c r="N100"/>
  <c r="Q99"/>
  <c r="Q92"/>
  <c r="L99"/>
  <c r="L98"/>
  <c r="N98"/>
  <c r="L97"/>
  <c r="N97"/>
  <c r="L96"/>
  <c r="N96"/>
  <c r="L95"/>
  <c r="N95"/>
  <c r="L94"/>
  <c r="N94"/>
  <c r="L93"/>
  <c r="N93"/>
  <c r="L90"/>
  <c r="K285" i="72"/>
  <c r="L89" i="66"/>
  <c r="K284" i="72"/>
  <c r="Q88" i="66"/>
  <c r="P283" i="72"/>
  <c r="P281"/>
  <c r="L87" i="66"/>
  <c r="K282" i="72"/>
  <c r="L86" i="66"/>
  <c r="N86"/>
  <c r="L85"/>
  <c r="N85"/>
  <c r="Q84"/>
  <c r="P279" i="72"/>
  <c r="P277"/>
  <c r="L83" i="66"/>
  <c r="K278" i="72"/>
  <c r="L82" i="66"/>
  <c r="N82"/>
  <c r="L81"/>
  <c r="K276" i="72"/>
  <c r="L80" i="66"/>
  <c r="K275" i="72"/>
  <c r="L79" i="66"/>
  <c r="K274" i="72"/>
  <c r="Q78" i="66"/>
  <c r="L76"/>
  <c r="K271" i="72"/>
  <c r="L75" i="66"/>
  <c r="K270" i="72"/>
  <c r="L74" i="66"/>
  <c r="K269" i="72"/>
  <c r="L73" i="66"/>
  <c r="N73"/>
  <c r="M268" i="72"/>
  <c r="K268"/>
  <c r="L72" i="66"/>
  <c r="K267" i="72"/>
  <c r="Q71" i="66"/>
  <c r="Q70"/>
  <c r="L69"/>
  <c r="N69"/>
  <c r="L68"/>
  <c r="N68"/>
  <c r="L67"/>
  <c r="N67"/>
  <c r="L66"/>
  <c r="N66"/>
  <c r="Q65"/>
  <c r="Q64"/>
  <c r="L63"/>
  <c r="N63"/>
  <c r="L62"/>
  <c r="N62"/>
  <c r="L61"/>
  <c r="N61"/>
  <c r="Q60"/>
  <c r="L59"/>
  <c r="N59"/>
  <c r="L58"/>
  <c r="N58"/>
  <c r="Q57"/>
  <c r="L56"/>
  <c r="N56"/>
  <c r="L55"/>
  <c r="N55"/>
  <c r="L54"/>
  <c r="N54"/>
  <c r="Q53"/>
  <c r="L50"/>
  <c r="N50"/>
  <c r="L49"/>
  <c r="N49"/>
  <c r="E4"/>
  <c r="L48"/>
  <c r="N48"/>
  <c r="L47"/>
  <c r="N47"/>
  <c r="L46"/>
  <c r="N46"/>
  <c r="Q45"/>
  <c r="L44"/>
  <c r="N44"/>
  <c r="L43"/>
  <c r="N43"/>
  <c r="Q42"/>
  <c r="L41"/>
  <c r="N41"/>
  <c r="L40"/>
  <c r="N40"/>
  <c r="Q39"/>
  <c r="L37"/>
  <c r="N37"/>
  <c r="L36"/>
  <c r="N36"/>
  <c r="L35"/>
  <c r="N35"/>
  <c r="L34"/>
  <c r="N34"/>
  <c r="Q33"/>
  <c r="L32"/>
  <c r="N32"/>
  <c r="L31"/>
  <c r="N31"/>
  <c r="Q30"/>
  <c r="L29"/>
  <c r="N29"/>
  <c r="L28"/>
  <c r="N28"/>
  <c r="L27"/>
  <c r="N27"/>
  <c r="L26"/>
  <c r="N26"/>
  <c r="L25"/>
  <c r="N25"/>
  <c r="L24"/>
  <c r="N24"/>
  <c r="L23"/>
  <c r="N23"/>
  <c r="L22"/>
  <c r="N22"/>
  <c r="L21"/>
  <c r="N21"/>
  <c r="L20"/>
  <c r="N20"/>
  <c r="L19"/>
  <c r="N19"/>
  <c r="Q18"/>
  <c r="L18"/>
  <c r="Q17"/>
  <c r="P17"/>
  <c r="L17"/>
  <c r="M23" i="75"/>
  <c r="Q16" i="66"/>
  <c r="P16"/>
  <c r="L16"/>
  <c r="M22" i="70"/>
  <c r="Q15" i="66"/>
  <c r="P15"/>
  <c r="L15"/>
  <c r="M50" i="68"/>
  <c r="Q14" i="66"/>
  <c r="P14"/>
  <c r="L14"/>
  <c r="M69" i="41"/>
  <c r="Q13" i="66"/>
  <c r="P13"/>
  <c r="L13"/>
  <c r="M53" i="20"/>
  <c r="Q12" i="66"/>
  <c r="P12"/>
  <c r="L12"/>
  <c r="M140" i="30"/>
  <c r="Q11" i="66"/>
  <c r="P11"/>
  <c r="L11"/>
  <c r="M40" i="40"/>
  <c r="L10" i="66"/>
  <c r="J4"/>
  <c r="B4"/>
  <c r="N3"/>
  <c r="M3"/>
  <c r="L3"/>
  <c r="L3" i="65"/>
  <c r="J3" i="66"/>
  <c r="I3"/>
  <c r="H3"/>
  <c r="G3"/>
  <c r="F3"/>
  <c r="E3"/>
  <c r="B3"/>
  <c r="C2"/>
  <c r="B2"/>
  <c r="A2"/>
  <c r="L274" i="65"/>
  <c r="N274"/>
  <c r="N273"/>
  <c r="L272"/>
  <c r="N272"/>
  <c r="L271"/>
  <c r="N271"/>
  <c r="L269"/>
  <c r="N269"/>
  <c r="L268"/>
  <c r="N268"/>
  <c r="L267"/>
  <c r="N267"/>
  <c r="L266"/>
  <c r="N266"/>
  <c r="L264"/>
  <c r="N264"/>
  <c r="L263"/>
  <c r="N263"/>
  <c r="L261"/>
  <c r="N261"/>
  <c r="L260"/>
  <c r="N260"/>
  <c r="L259"/>
  <c r="N259"/>
  <c r="L254"/>
  <c r="N254"/>
  <c r="L253"/>
  <c r="N253"/>
  <c r="L251"/>
  <c r="L249"/>
  <c r="N249"/>
  <c r="L248"/>
  <c r="N248"/>
  <c r="L247"/>
  <c r="N247"/>
  <c r="L246"/>
  <c r="N246"/>
  <c r="L244"/>
  <c r="N244"/>
  <c r="L243"/>
  <c r="N243"/>
  <c r="L242"/>
  <c r="N242"/>
  <c r="L241"/>
  <c r="N241"/>
  <c r="L240"/>
  <c r="N240"/>
  <c r="L238"/>
  <c r="N238"/>
  <c r="L237"/>
  <c r="N237"/>
  <c r="M4"/>
  <c r="L236"/>
  <c r="N236"/>
  <c r="N235"/>
  <c r="L234"/>
  <c r="N234"/>
  <c r="N232"/>
  <c r="L229"/>
  <c r="N229"/>
  <c r="L228"/>
  <c r="N228"/>
  <c r="L226"/>
  <c r="N226"/>
  <c r="N225"/>
  <c r="N223"/>
  <c r="L222"/>
  <c r="N222"/>
  <c r="L221"/>
  <c r="N221"/>
  <c r="L220"/>
  <c r="N220"/>
  <c r="L219"/>
  <c r="N219"/>
  <c r="L218"/>
  <c r="N218"/>
  <c r="L217"/>
  <c r="N217"/>
  <c r="L215"/>
  <c r="N215"/>
  <c r="L214"/>
  <c r="N214"/>
  <c r="L213"/>
  <c r="N213"/>
  <c r="L212"/>
  <c r="N212"/>
  <c r="L209"/>
  <c r="N209"/>
  <c r="K4"/>
  <c r="L208"/>
  <c r="N208"/>
  <c r="L206"/>
  <c r="N206"/>
  <c r="J4"/>
  <c r="L205"/>
  <c r="N205"/>
  <c r="L201"/>
  <c r="N201"/>
  <c r="L200"/>
  <c r="N200"/>
  <c r="L198"/>
  <c r="N198"/>
  <c r="L197"/>
  <c r="N197"/>
  <c r="L194"/>
  <c r="N194"/>
  <c r="L193"/>
  <c r="N193"/>
  <c r="L192"/>
  <c r="N192"/>
  <c r="L191"/>
  <c r="N191"/>
  <c r="L190"/>
  <c r="N190"/>
  <c r="L189"/>
  <c r="N189"/>
  <c r="L188"/>
  <c r="N188"/>
  <c r="L187"/>
  <c r="N187"/>
  <c r="L186"/>
  <c r="N186"/>
  <c r="L185"/>
  <c r="L184"/>
  <c r="N184"/>
  <c r="L183"/>
  <c r="N183"/>
  <c r="L182"/>
  <c r="N182"/>
  <c r="L181"/>
  <c r="N181"/>
  <c r="L180"/>
  <c r="N180"/>
  <c r="L179"/>
  <c r="N179"/>
  <c r="L177"/>
  <c r="N177"/>
  <c r="L176"/>
  <c r="N176"/>
  <c r="L173"/>
  <c r="N173"/>
  <c r="L172"/>
  <c r="N172"/>
  <c r="L170"/>
  <c r="N170"/>
  <c r="L169"/>
  <c r="N169"/>
  <c r="L168"/>
  <c r="N168"/>
  <c r="L167"/>
  <c r="N167"/>
  <c r="L165"/>
  <c r="N165"/>
  <c r="L164"/>
  <c r="N164"/>
  <c r="L163"/>
  <c r="L161"/>
  <c r="N161"/>
  <c r="L160"/>
  <c r="N160"/>
  <c r="L159"/>
  <c r="L158"/>
  <c r="N158"/>
  <c r="L157"/>
  <c r="N157"/>
  <c r="L156"/>
  <c r="L155"/>
  <c r="N155"/>
  <c r="L154"/>
  <c r="N154"/>
  <c r="L153"/>
  <c r="L151"/>
  <c r="N151"/>
  <c r="L149"/>
  <c r="N149"/>
  <c r="L148"/>
  <c r="N148"/>
  <c r="L147"/>
  <c r="N147"/>
  <c r="L146"/>
  <c r="N146"/>
  <c r="L145"/>
  <c r="N145"/>
  <c r="L144"/>
  <c r="N144"/>
  <c r="L143"/>
  <c r="N143"/>
  <c r="L141"/>
  <c r="N141"/>
  <c r="L140"/>
  <c r="N140"/>
  <c r="L139"/>
  <c r="N139"/>
  <c r="L137"/>
  <c r="N137"/>
  <c r="L136"/>
  <c r="N136"/>
  <c r="L135"/>
  <c r="N135"/>
  <c r="L133"/>
  <c r="N133"/>
  <c r="L132"/>
  <c r="N132"/>
  <c r="L131"/>
  <c r="N131"/>
  <c r="L129"/>
  <c r="N129"/>
  <c r="L128"/>
  <c r="N128"/>
  <c r="L127"/>
  <c r="N127"/>
  <c r="L125"/>
  <c r="N125"/>
  <c r="L124"/>
  <c r="N124"/>
  <c r="L123"/>
  <c r="N123"/>
  <c r="L119"/>
  <c r="N119"/>
  <c r="N118"/>
  <c r="L114"/>
  <c r="N114"/>
  <c r="L113"/>
  <c r="N113"/>
  <c r="L111"/>
  <c r="N111"/>
  <c r="L102"/>
  <c r="N102"/>
  <c r="L101"/>
  <c r="N101"/>
  <c r="L100"/>
  <c r="N100"/>
  <c r="L99"/>
  <c r="L98"/>
  <c r="N98"/>
  <c r="L97"/>
  <c r="N97"/>
  <c r="L96"/>
  <c r="N96"/>
  <c r="L95"/>
  <c r="N95"/>
  <c r="L94"/>
  <c r="N94"/>
  <c r="L93"/>
  <c r="N93"/>
  <c r="L76"/>
  <c r="N76"/>
  <c r="L75"/>
  <c r="N75"/>
  <c r="L74"/>
  <c r="N74"/>
  <c r="L73"/>
  <c r="N73"/>
  <c r="L72"/>
  <c r="N72"/>
  <c r="L69"/>
  <c r="N69"/>
  <c r="L68"/>
  <c r="N68"/>
  <c r="L67"/>
  <c r="N67"/>
  <c r="L66"/>
  <c r="N66"/>
  <c r="L63"/>
  <c r="N63"/>
  <c r="L62"/>
  <c r="N62"/>
  <c r="L61"/>
  <c r="N61"/>
  <c r="L59"/>
  <c r="N59"/>
  <c r="L58"/>
  <c r="N58"/>
  <c r="L56"/>
  <c r="N56"/>
  <c r="L55"/>
  <c r="N55"/>
  <c r="L54"/>
  <c r="N54"/>
  <c r="L50"/>
  <c r="N50"/>
  <c r="L49"/>
  <c r="N49"/>
  <c r="E4"/>
  <c r="L48"/>
  <c r="N48"/>
  <c r="L47"/>
  <c r="N47"/>
  <c r="L46"/>
  <c r="N46"/>
  <c r="L44"/>
  <c r="N44"/>
  <c r="L43"/>
  <c r="N43"/>
  <c r="L41"/>
  <c r="N41"/>
  <c r="L40"/>
  <c r="N40"/>
  <c r="L37"/>
  <c r="N37"/>
  <c r="L36"/>
  <c r="N36"/>
  <c r="L35"/>
  <c r="N35"/>
  <c r="L34"/>
  <c r="N34"/>
  <c r="L32"/>
  <c r="N32"/>
  <c r="L31"/>
  <c r="N31"/>
  <c r="L29"/>
  <c r="N29"/>
  <c r="L28"/>
  <c r="N28"/>
  <c r="L27"/>
  <c r="N27"/>
  <c r="L26"/>
  <c r="N26"/>
  <c r="L25"/>
  <c r="N25"/>
  <c r="L24"/>
  <c r="N24"/>
  <c r="L23"/>
  <c r="N23"/>
  <c r="L22"/>
  <c r="N22"/>
  <c r="L21"/>
  <c r="N21"/>
  <c r="L20"/>
  <c r="N20"/>
  <c r="L19"/>
  <c r="N19"/>
  <c r="L18"/>
  <c r="P17"/>
  <c r="P16"/>
  <c r="P15"/>
  <c r="P14"/>
  <c r="P13"/>
  <c r="P12"/>
  <c r="P11"/>
  <c r="L10"/>
  <c r="N4"/>
  <c r="F4"/>
  <c r="B4"/>
  <c r="N3"/>
  <c r="M3"/>
  <c r="K3"/>
  <c r="J3"/>
  <c r="I3"/>
  <c r="H3"/>
  <c r="G3"/>
  <c r="F3"/>
  <c r="E3"/>
  <c r="B3"/>
  <c r="C2"/>
  <c r="B2"/>
  <c r="A2"/>
  <c r="M31" i="56"/>
  <c r="O31"/>
  <c r="M30"/>
  <c r="O30"/>
  <c r="M29"/>
  <c r="O29"/>
  <c r="M28"/>
  <c r="O28"/>
  <c r="M27"/>
  <c r="O27"/>
  <c r="R26"/>
  <c r="M25"/>
  <c r="O25"/>
  <c r="M24"/>
  <c r="O24"/>
  <c r="M23"/>
  <c r="O23"/>
  <c r="M22"/>
  <c r="O22"/>
  <c r="M21"/>
  <c r="O21"/>
  <c r="R20"/>
  <c r="M19"/>
  <c r="O19"/>
  <c r="M18"/>
  <c r="O18"/>
  <c r="M17"/>
  <c r="O17"/>
  <c r="M16"/>
  <c r="O16"/>
  <c r="M15"/>
  <c r="O15"/>
  <c r="R14"/>
  <c r="R13"/>
  <c r="Q13"/>
  <c r="M13"/>
  <c r="M481" i="38"/>
  <c r="R12" i="56"/>
  <c r="Q12"/>
  <c r="M12"/>
  <c r="O12"/>
  <c r="O480" i="38"/>
  <c r="R11" i="56"/>
  <c r="Q11"/>
  <c r="M11"/>
  <c r="M479" i="38"/>
  <c r="R10" i="56"/>
  <c r="Q10"/>
  <c r="M10"/>
  <c r="M478" i="38"/>
  <c r="R9" i="56"/>
  <c r="Q9"/>
  <c r="M9"/>
  <c r="M477" i="38"/>
  <c r="B4" i="56"/>
  <c r="B3"/>
  <c r="A2"/>
  <c r="M17" i="58"/>
  <c r="O17"/>
  <c r="M16"/>
  <c r="M14"/>
  <c r="O14"/>
  <c r="K233" i="72"/>
  <c r="M13" i="58"/>
  <c r="O13"/>
  <c r="AF4"/>
  <c r="L12"/>
  <c r="L11"/>
  <c r="M11"/>
  <c r="M10"/>
  <c r="O10"/>
  <c r="R9"/>
  <c r="M8"/>
  <c r="O8"/>
  <c r="AP4"/>
  <c r="AH4"/>
  <c r="B4"/>
  <c r="AP3"/>
  <c r="AF3"/>
  <c r="AA3"/>
  <c r="U3"/>
  <c r="O3"/>
  <c r="B3"/>
  <c r="B2"/>
  <c r="A2"/>
  <c r="M178" i="49"/>
  <c r="O178"/>
  <c r="Q177"/>
  <c r="M177"/>
  <c r="M73" i="24"/>
  <c r="Q176" i="49"/>
  <c r="M176"/>
  <c r="M72" i="24"/>
  <c r="Q174" i="49"/>
  <c r="M174"/>
  <c r="M71" i="24"/>
  <c r="Q172" i="49"/>
  <c r="M172"/>
  <c r="M35" i="32"/>
  <c r="Q171" i="49"/>
  <c r="M171"/>
  <c r="M41" i="31"/>
  <c r="Q170" i="49"/>
  <c r="M170"/>
  <c r="M134" i="30"/>
  <c r="Q169" i="49"/>
  <c r="M169"/>
  <c r="M133" i="30"/>
  <c r="Q168" i="49"/>
  <c r="M168"/>
  <c r="M132" i="30"/>
  <c r="M167" i="49"/>
  <c r="O167"/>
  <c r="M166"/>
  <c r="O166"/>
  <c r="S166"/>
  <c r="M165"/>
  <c r="O165"/>
  <c r="S165"/>
  <c r="Q164"/>
  <c r="M164"/>
  <c r="M475" i="38"/>
  <c r="Q162" i="49"/>
  <c r="M162"/>
  <c r="M131" i="30"/>
  <c r="Q161" i="49"/>
  <c r="M161"/>
  <c r="M44" i="68"/>
  <c r="Q160" i="49"/>
  <c r="M160"/>
  <c r="M70" i="24"/>
  <c r="Q159" i="49"/>
  <c r="M159"/>
  <c r="M69" i="24"/>
  <c r="Q157" i="49"/>
  <c r="M157"/>
  <c r="M63" i="41"/>
  <c r="Q156" i="49"/>
  <c r="M156"/>
  <c r="M47" i="20"/>
  <c r="Q155" i="49"/>
  <c r="M155"/>
  <c r="M130" i="30"/>
  <c r="Q154" i="49"/>
  <c r="M154"/>
  <c r="M35" i="40"/>
  <c r="Q152" i="49"/>
  <c r="M152"/>
  <c r="M129" i="30"/>
  <c r="M151" i="49"/>
  <c r="O151"/>
  <c r="Q150"/>
  <c r="M150"/>
  <c r="M30" i="45"/>
  <c r="Q147" i="49"/>
  <c r="M147"/>
  <c r="M474" i="38"/>
  <c r="J147" i="49"/>
  <c r="J474" i="38"/>
  <c r="Q145" i="49"/>
  <c r="M145"/>
  <c r="Q144"/>
  <c r="M144"/>
  <c r="Q143"/>
  <c r="M143"/>
  <c r="Q142"/>
  <c r="M142"/>
  <c r="Q141"/>
  <c r="M141"/>
  <c r="Q140"/>
  <c r="M140"/>
  <c r="Q139"/>
  <c r="M139"/>
  <c r="Q138"/>
  <c r="M138"/>
  <c r="M137"/>
  <c r="O137"/>
  <c r="S137"/>
  <c r="Q135"/>
  <c r="M135"/>
  <c r="Q134"/>
  <c r="M134"/>
  <c r="Q133"/>
  <c r="M133"/>
  <c r="Q132"/>
  <c r="M132"/>
  <c r="Q131"/>
  <c r="M131"/>
  <c r="Q130"/>
  <c r="M130"/>
  <c r="Q129"/>
  <c r="M129"/>
  <c r="Q128"/>
  <c r="M128"/>
  <c r="Q127"/>
  <c r="M127"/>
  <c r="Q126"/>
  <c r="M126"/>
  <c r="Q125"/>
  <c r="M125"/>
  <c r="Q124"/>
  <c r="M124"/>
  <c r="M123"/>
  <c r="O123"/>
  <c r="Q122"/>
  <c r="M122"/>
  <c r="M33" i="40"/>
  <c r="Q121" i="49"/>
  <c r="M121"/>
  <c r="M473" i="38"/>
  <c r="Q118" i="49"/>
  <c r="M118"/>
  <c r="M42" i="20"/>
  <c r="M116" i="49"/>
  <c r="O116"/>
  <c r="S116"/>
  <c r="Q115"/>
  <c r="M115"/>
  <c r="M107" i="27"/>
  <c r="M114" i="49"/>
  <c r="O114"/>
  <c r="S114"/>
  <c r="Q113"/>
  <c r="M113"/>
  <c r="Q112"/>
  <c r="M112"/>
  <c r="M110"/>
  <c r="O110"/>
  <c r="S110"/>
  <c r="Q109"/>
  <c r="M109"/>
  <c r="Q108"/>
  <c r="M108"/>
  <c r="Q107"/>
  <c r="M107"/>
  <c r="Q106"/>
  <c r="M106"/>
  <c r="Q105"/>
  <c r="M105"/>
  <c r="Q104"/>
  <c r="M104"/>
  <c r="M103"/>
  <c r="M102"/>
  <c r="M101"/>
  <c r="Q100"/>
  <c r="M100"/>
  <c r="Q99"/>
  <c r="M99"/>
  <c r="M98"/>
  <c r="O98"/>
  <c r="M97"/>
  <c r="O97"/>
  <c r="S97"/>
  <c r="Q96"/>
  <c r="M96"/>
  <c r="Q95"/>
  <c r="M95"/>
  <c r="M93"/>
  <c r="O93"/>
  <c r="Q92"/>
  <c r="M92"/>
  <c r="M90"/>
  <c r="O90"/>
  <c r="S90"/>
  <c r="Q89"/>
  <c r="M89"/>
  <c r="Q88"/>
  <c r="M88"/>
  <c r="Q87"/>
  <c r="M87"/>
  <c r="Q85"/>
  <c r="M85"/>
  <c r="M42" i="68"/>
  <c r="Q84" i="49"/>
  <c r="M84"/>
  <c r="M122" i="30"/>
  <c r="Q83" i="49"/>
  <c r="M83"/>
  <c r="M60" i="41"/>
  <c r="Q82" i="49"/>
  <c r="M82"/>
  <c r="M59" i="41"/>
  <c r="Q81" i="49"/>
  <c r="M81"/>
  <c r="M39" i="20"/>
  <c r="Q80" i="49"/>
  <c r="M80"/>
  <c r="M38" i="20"/>
  <c r="Q79" i="49"/>
  <c r="M79"/>
  <c r="M121" i="30"/>
  <c r="Q78" i="49"/>
  <c r="M78"/>
  <c r="M120" i="30"/>
  <c r="Q77" i="49"/>
  <c r="M77"/>
  <c r="M119" i="30"/>
  <c r="Q76" i="49"/>
  <c r="M76"/>
  <c r="O76"/>
  <c r="O31" i="40"/>
  <c r="Q75" i="49"/>
  <c r="M75"/>
  <c r="M467" i="38"/>
  <c r="Q74" i="49"/>
  <c r="M74"/>
  <c r="M466" i="38"/>
  <c r="Q73" i="49"/>
  <c r="M73"/>
  <c r="M105" i="27"/>
  <c r="M72" i="49"/>
  <c r="O72"/>
  <c r="Q71"/>
  <c r="M71"/>
  <c r="M70"/>
  <c r="O70"/>
  <c r="S70"/>
  <c r="M67"/>
  <c r="O67"/>
  <c r="M66"/>
  <c r="O66"/>
  <c r="Q65"/>
  <c r="M65"/>
  <c r="M16" i="70"/>
  <c r="Q64" i="49"/>
  <c r="M64"/>
  <c r="Q63"/>
  <c r="M63"/>
  <c r="M58" i="41"/>
  <c r="Q62" i="49"/>
  <c r="M62"/>
  <c r="M63" i="24"/>
  <c r="Q61" i="49"/>
  <c r="M61"/>
  <c r="M62" i="24"/>
  <c r="Q60" i="49"/>
  <c r="M60"/>
  <c r="M117" i="30"/>
  <c r="Q59" i="49"/>
  <c r="M59"/>
  <c r="M116" i="30"/>
  <c r="Q58" i="49"/>
  <c r="M58"/>
  <c r="M115" i="30"/>
  <c r="Q57" i="49"/>
  <c r="M57"/>
  <c r="M114" i="30"/>
  <c r="Q56" i="49"/>
  <c r="M56"/>
  <c r="M113" i="30"/>
  <c r="Q55" i="49"/>
  <c r="M55"/>
  <c r="M112" i="30"/>
  <c r="M54" i="49"/>
  <c r="O54"/>
  <c r="M53"/>
  <c r="O53"/>
  <c r="M52"/>
  <c r="O52"/>
  <c r="Q51"/>
  <c r="M51"/>
  <c r="M49"/>
  <c r="O49"/>
  <c r="Q48"/>
  <c r="M48"/>
  <c r="Q47"/>
  <c r="M47"/>
  <c r="Q46"/>
  <c r="M46"/>
  <c r="Q45"/>
  <c r="M45"/>
  <c r="Q44"/>
  <c r="M44"/>
  <c r="Q43"/>
  <c r="M43"/>
  <c r="Q42"/>
  <c r="M42"/>
  <c r="Q41"/>
  <c r="M41"/>
  <c r="Q40"/>
  <c r="M40"/>
  <c r="Q39"/>
  <c r="M39"/>
  <c r="Q38"/>
  <c r="M38"/>
  <c r="Q37"/>
  <c r="M37"/>
  <c r="Q36"/>
  <c r="M36"/>
  <c r="Q35"/>
  <c r="M35"/>
  <c r="J35"/>
  <c r="J462" i="38"/>
  <c r="Q34" i="49"/>
  <c r="M34"/>
  <c r="M461" i="38"/>
  <c r="Q33" i="49"/>
  <c r="M33"/>
  <c r="M20" i="44"/>
  <c r="M32" i="49"/>
  <c r="O32"/>
  <c r="M31"/>
  <c r="O31"/>
  <c r="Q30"/>
  <c r="M30"/>
  <c r="M104" i="27"/>
  <c r="M29" i="49"/>
  <c r="O29"/>
  <c r="Q28"/>
  <c r="M28"/>
  <c r="M460" i="38"/>
  <c r="Q27" i="49"/>
  <c r="M27"/>
  <c r="M459" i="38"/>
  <c r="Q26" i="49"/>
  <c r="M26"/>
  <c r="M458" i="38"/>
  <c r="Q25" i="49"/>
  <c r="M25"/>
  <c r="M457" i="38"/>
  <c r="Q24" i="49"/>
  <c r="M24"/>
  <c r="M456" i="38"/>
  <c r="Q23" i="49"/>
  <c r="M23"/>
  <c r="M455" i="38"/>
  <c r="Q22" i="49"/>
  <c r="M22"/>
  <c r="M454" i="38"/>
  <c r="M19" i="49"/>
  <c r="O19"/>
  <c r="Q18"/>
  <c r="M18"/>
  <c r="M30" i="23"/>
  <c r="Q17" i="49"/>
  <c r="M17"/>
  <c r="M453" i="38"/>
  <c r="Q16" i="49"/>
  <c r="M16"/>
  <c r="M452" i="38"/>
  <c r="Q15" i="49"/>
  <c r="M15"/>
  <c r="M451" i="38"/>
  <c r="Q14" i="49"/>
  <c r="M14"/>
  <c r="M450" i="38"/>
  <c r="Q13" i="49"/>
  <c r="M13"/>
  <c r="M449" i="38"/>
  <c r="Q12" i="49"/>
  <c r="M12"/>
  <c r="M448" i="38"/>
  <c r="M11" i="49"/>
  <c r="O11"/>
  <c r="M10"/>
  <c r="O10"/>
  <c r="M9"/>
  <c r="O9"/>
  <c r="B2"/>
  <c r="A2"/>
  <c r="M142" i="47"/>
  <c r="O142"/>
  <c r="M141"/>
  <c r="O141"/>
  <c r="S141"/>
  <c r="M140"/>
  <c r="O140"/>
  <c r="S140"/>
  <c r="M129"/>
  <c r="O129"/>
  <c r="O128"/>
  <c r="R128"/>
  <c r="S128"/>
  <c r="M117"/>
  <c r="O117"/>
  <c r="R116"/>
  <c r="M105"/>
  <c r="O105"/>
  <c r="R104"/>
  <c r="M92"/>
  <c r="O92"/>
  <c r="R91"/>
  <c r="M80"/>
  <c r="O80"/>
  <c r="R79"/>
  <c r="M68"/>
  <c r="O68"/>
  <c r="R67"/>
  <c r="M55"/>
  <c r="O55"/>
  <c r="R54"/>
  <c r="M43"/>
  <c r="O43"/>
  <c r="S43"/>
  <c r="R42"/>
  <c r="M30"/>
  <c r="O30"/>
  <c r="R29"/>
  <c r="M28"/>
  <c r="O28"/>
  <c r="M27"/>
  <c r="O27"/>
  <c r="R26"/>
  <c r="M25"/>
  <c r="O25"/>
  <c r="S25"/>
  <c r="R22"/>
  <c r="M22"/>
  <c r="M21"/>
  <c r="R20"/>
  <c r="Q20"/>
  <c r="M20"/>
  <c r="M23" i="61"/>
  <c r="R19" i="47"/>
  <c r="Q19"/>
  <c r="M19"/>
  <c r="M22" i="61"/>
  <c r="R18" i="47"/>
  <c r="Q18"/>
  <c r="M18"/>
  <c r="M21" i="61"/>
  <c r="R16" i="47"/>
  <c r="Q16"/>
  <c r="M16"/>
  <c r="R15"/>
  <c r="Q15"/>
  <c r="M15"/>
  <c r="R14"/>
  <c r="Q14"/>
  <c r="M14"/>
  <c r="B4"/>
  <c r="B3"/>
  <c r="B2"/>
  <c r="A2"/>
  <c r="M53" i="11"/>
  <c r="O53"/>
  <c r="R52"/>
  <c r="Q52"/>
  <c r="M52"/>
  <c r="R51"/>
  <c r="Q51"/>
  <c r="M51"/>
  <c r="R50"/>
  <c r="Q50"/>
  <c r="M50"/>
  <c r="R49"/>
  <c r="Q49"/>
  <c r="M49"/>
  <c r="R48"/>
  <c r="Q48"/>
  <c r="M48"/>
  <c r="R46"/>
  <c r="Q46"/>
  <c r="M46"/>
  <c r="R45"/>
  <c r="Q45"/>
  <c r="M45"/>
  <c r="R42"/>
  <c r="Q42"/>
  <c r="M42"/>
  <c r="R41"/>
  <c r="Q41"/>
  <c r="M41"/>
  <c r="R40"/>
  <c r="Q40"/>
  <c r="M40"/>
  <c r="R39"/>
  <c r="Q39"/>
  <c r="M39"/>
  <c r="R38"/>
  <c r="Q38"/>
  <c r="M38"/>
  <c r="R36"/>
  <c r="Q36"/>
  <c r="M36"/>
  <c r="R35"/>
  <c r="Q35"/>
  <c r="M35"/>
  <c r="M33"/>
  <c r="O33"/>
  <c r="BC4"/>
  <c r="R32"/>
  <c r="Q32"/>
  <c r="M32"/>
  <c r="R30"/>
  <c r="Q30"/>
  <c r="M30"/>
  <c r="R29"/>
  <c r="Q29"/>
  <c r="M29"/>
  <c r="R28"/>
  <c r="Q28"/>
  <c r="M28"/>
  <c r="R27"/>
  <c r="Q27"/>
  <c r="M27"/>
  <c r="R25"/>
  <c r="Q25"/>
  <c r="M25"/>
  <c r="R24"/>
  <c r="Q24"/>
  <c r="M24"/>
  <c r="R22"/>
  <c r="Q22"/>
  <c r="M22"/>
  <c r="R21"/>
  <c r="Q21"/>
  <c r="M21"/>
  <c r="R18"/>
  <c r="M18"/>
  <c r="O18"/>
  <c r="R17"/>
  <c r="Q17"/>
  <c r="M17"/>
  <c r="M33" i="54"/>
  <c r="M16" i="11"/>
  <c r="O16"/>
  <c r="M15"/>
  <c r="O15"/>
  <c r="M14"/>
  <c r="O14"/>
  <c r="M13"/>
  <c r="O13"/>
  <c r="R11"/>
  <c r="Q11"/>
  <c r="M11"/>
  <c r="M445" i="38"/>
  <c r="R10" i="11"/>
  <c r="Q10"/>
  <c r="M10"/>
  <c r="M287" i="38"/>
  <c r="R9" i="11"/>
  <c r="Q9"/>
  <c r="M9"/>
  <c r="M286" i="38"/>
  <c r="BD4" i="11"/>
  <c r="B4"/>
  <c r="BC3"/>
  <c r="AQ3"/>
  <c r="AM3"/>
  <c r="AH3"/>
  <c r="B3"/>
  <c r="B2"/>
  <c r="A2"/>
  <c r="M32" i="10"/>
  <c r="O32"/>
  <c r="R31"/>
  <c r="Q31"/>
  <c r="M31"/>
  <c r="M37" i="68"/>
  <c r="R30" i="10"/>
  <c r="Q30"/>
  <c r="M30"/>
  <c r="M50" i="41"/>
  <c r="R29" i="10"/>
  <c r="Q29"/>
  <c r="M29"/>
  <c r="M49" i="41"/>
  <c r="R27" i="10"/>
  <c r="Q27"/>
  <c r="M27"/>
  <c r="M104" i="30"/>
  <c r="R26" i="10"/>
  <c r="Q26"/>
  <c r="M26"/>
  <c r="M431" i="38"/>
  <c r="R25" i="10"/>
  <c r="Q25"/>
  <c r="M25"/>
  <c r="M430" i="38"/>
  <c r="R24" i="10"/>
  <c r="Q24"/>
  <c r="M24"/>
  <c r="M429" i="38"/>
  <c r="R23" i="10"/>
  <c r="Q23"/>
  <c r="M23"/>
  <c r="M428" i="38"/>
  <c r="R22" i="10"/>
  <c r="Q22"/>
  <c r="M22"/>
  <c r="M427" i="38"/>
  <c r="R21" i="10"/>
  <c r="Q21"/>
  <c r="M21"/>
  <c r="M426" i="38"/>
  <c r="R19" i="10"/>
  <c r="Q19"/>
  <c r="M19"/>
  <c r="M284" i="38"/>
  <c r="R18" i="10"/>
  <c r="Q18"/>
  <c r="M18"/>
  <c r="M19" i="61"/>
  <c r="M17" i="10"/>
  <c r="O17"/>
  <c r="M15"/>
  <c r="O15"/>
  <c r="M14"/>
  <c r="O14"/>
  <c r="M13"/>
  <c r="O13"/>
  <c r="M12"/>
  <c r="O12"/>
  <c r="R11"/>
  <c r="Q11"/>
  <c r="M11"/>
  <c r="O11"/>
  <c r="O48" i="41"/>
  <c r="M48"/>
  <c r="M10" i="10"/>
  <c r="O10"/>
  <c r="B4"/>
  <c r="AH3"/>
  <c r="B3"/>
  <c r="B2"/>
  <c r="A2"/>
  <c r="M35" i="9"/>
  <c r="O35"/>
  <c r="R34"/>
  <c r="Q34"/>
  <c r="M34"/>
  <c r="M424" i="38"/>
  <c r="M33" i="9"/>
  <c r="O33"/>
  <c r="M31"/>
  <c r="O31"/>
  <c r="M30"/>
  <c r="O30"/>
  <c r="M29"/>
  <c r="O29"/>
  <c r="M28"/>
  <c r="O28"/>
  <c r="M27"/>
  <c r="O27"/>
  <c r="M26"/>
  <c r="O26"/>
  <c r="M25"/>
  <c r="O25"/>
  <c r="R24"/>
  <c r="M23"/>
  <c r="O23"/>
  <c r="M22"/>
  <c r="O22"/>
  <c r="M20"/>
  <c r="O20"/>
  <c r="M19"/>
  <c r="O19"/>
  <c r="M18"/>
  <c r="O18"/>
  <c r="M17"/>
  <c r="O17"/>
  <c r="M16"/>
  <c r="O16"/>
  <c r="M15"/>
  <c r="O15"/>
  <c r="M14"/>
  <c r="O14"/>
  <c r="M13"/>
  <c r="O13"/>
  <c r="M12"/>
  <c r="O12"/>
  <c r="M11"/>
  <c r="O11"/>
  <c r="M10"/>
  <c r="O10"/>
  <c r="R9"/>
  <c r="B4"/>
  <c r="AH3"/>
  <c r="U3"/>
  <c r="B3"/>
  <c r="B2"/>
  <c r="A2"/>
  <c r="R109" i="13"/>
  <c r="Q109"/>
  <c r="M109"/>
  <c r="M12" i="34"/>
  <c r="R108" i="13"/>
  <c r="Q108"/>
  <c r="M108"/>
  <c r="M21" i="26"/>
  <c r="R107" i="13"/>
  <c r="Q107"/>
  <c r="M107"/>
  <c r="M15" i="33"/>
  <c r="R106" i="13"/>
  <c r="Q106"/>
  <c r="M106"/>
  <c r="M18" i="44"/>
  <c r="R105" i="13"/>
  <c r="Q105"/>
  <c r="M105"/>
  <c r="M18" i="43"/>
  <c r="R104" i="13"/>
  <c r="Q104"/>
  <c r="M104"/>
  <c r="M18" i="71"/>
  <c r="R103" i="13"/>
  <c r="Q103"/>
  <c r="M103"/>
  <c r="M21" i="53"/>
  <c r="Q102" i="13"/>
  <c r="M102"/>
  <c r="M55" i="24"/>
  <c r="Q101" i="13"/>
  <c r="M101"/>
  <c r="M54" i="24"/>
  <c r="Q100" i="13"/>
  <c r="M100"/>
  <c r="M53" i="24"/>
  <c r="J100" i="13"/>
  <c r="J53" i="24"/>
  <c r="Q99" i="13"/>
  <c r="M99"/>
  <c r="R97"/>
  <c r="Q97"/>
  <c r="M97"/>
  <c r="R96"/>
  <c r="Q96"/>
  <c r="M96"/>
  <c r="R94"/>
  <c r="Q94"/>
  <c r="M94"/>
  <c r="R93"/>
  <c r="Q93"/>
  <c r="M93"/>
  <c r="R92"/>
  <c r="Q92"/>
  <c r="M92"/>
  <c r="R90"/>
  <c r="Q90"/>
  <c r="M90"/>
  <c r="O90"/>
  <c r="O32" i="84"/>
  <c r="R89" i="13"/>
  <c r="Q89"/>
  <c r="M89"/>
  <c r="R88"/>
  <c r="Q88"/>
  <c r="M88"/>
  <c r="R87"/>
  <c r="Q87"/>
  <c r="M87"/>
  <c r="R86"/>
  <c r="Q86"/>
  <c r="M86"/>
  <c r="R85"/>
  <c r="Q85"/>
  <c r="M85"/>
  <c r="R83"/>
  <c r="Q83"/>
  <c r="M83"/>
  <c r="R81"/>
  <c r="Q81"/>
  <c r="M81"/>
  <c r="R80"/>
  <c r="Q80"/>
  <c r="M80"/>
  <c r="R79"/>
  <c r="Q79"/>
  <c r="M79"/>
  <c r="R78"/>
  <c r="Q78"/>
  <c r="M78"/>
  <c r="M75"/>
  <c r="O75"/>
  <c r="O24" i="84"/>
  <c r="M74" i="13"/>
  <c r="O74"/>
  <c r="O23" i="84"/>
  <c r="U4"/>
  <c r="M73" i="13"/>
  <c r="O73"/>
  <c r="O22" i="84"/>
  <c r="R72" i="13"/>
  <c r="Q72"/>
  <c r="M72"/>
  <c r="R71"/>
  <c r="Q71"/>
  <c r="M71"/>
  <c r="R70"/>
  <c r="Q70"/>
  <c r="M70"/>
  <c r="R69"/>
  <c r="Q69"/>
  <c r="M69"/>
  <c r="R68"/>
  <c r="Q68"/>
  <c r="M68"/>
  <c r="R66"/>
  <c r="Q66"/>
  <c r="M66"/>
  <c r="R65"/>
  <c r="Q65"/>
  <c r="M65"/>
  <c r="R63"/>
  <c r="Q63"/>
  <c r="M63"/>
  <c r="R62"/>
  <c r="Q62"/>
  <c r="M62"/>
  <c r="R61"/>
  <c r="Q61"/>
  <c r="M61"/>
  <c r="R60"/>
  <c r="Q60"/>
  <c r="M60"/>
  <c r="R59"/>
  <c r="Q59"/>
  <c r="M59"/>
  <c r="M57"/>
  <c r="O57"/>
  <c r="M56"/>
  <c r="O56"/>
  <c r="R55"/>
  <c r="R53"/>
  <c r="Q53"/>
  <c r="M53"/>
  <c r="R52"/>
  <c r="Q52"/>
  <c r="M52"/>
  <c r="R51"/>
  <c r="Q51"/>
  <c r="M51"/>
  <c r="R49"/>
  <c r="Q49"/>
  <c r="M49"/>
  <c r="R48"/>
  <c r="Q48"/>
  <c r="M48"/>
  <c r="R46"/>
  <c r="Q46"/>
  <c r="M46"/>
  <c r="R45"/>
  <c r="Q45"/>
  <c r="M45"/>
  <c r="R44"/>
  <c r="Q44"/>
  <c r="M44"/>
  <c r="R43"/>
  <c r="Q43"/>
  <c r="M43"/>
  <c r="R42"/>
  <c r="Q42"/>
  <c r="M42"/>
  <c r="R41"/>
  <c r="Q41"/>
  <c r="M41"/>
  <c r="R39"/>
  <c r="Q39"/>
  <c r="M39"/>
  <c r="R38"/>
  <c r="Q38"/>
  <c r="M38"/>
  <c r="R37"/>
  <c r="Q37"/>
  <c r="M37"/>
  <c r="R36"/>
  <c r="Q36"/>
  <c r="M36"/>
  <c r="R35"/>
  <c r="Q35"/>
  <c r="M35"/>
  <c r="Q34"/>
  <c r="M34"/>
  <c r="R32"/>
  <c r="Q32"/>
  <c r="M32"/>
  <c r="R31"/>
  <c r="Q31"/>
  <c r="M31"/>
  <c r="R30"/>
  <c r="Q30"/>
  <c r="M30"/>
  <c r="R29"/>
  <c r="Q29"/>
  <c r="M29"/>
  <c r="R28"/>
  <c r="Q28"/>
  <c r="M28"/>
  <c r="R26"/>
  <c r="Q26"/>
  <c r="M26"/>
  <c r="R25"/>
  <c r="Q25"/>
  <c r="M25"/>
  <c r="R24"/>
  <c r="Q24"/>
  <c r="M24"/>
  <c r="R23"/>
  <c r="Q23"/>
  <c r="M23"/>
  <c r="R22"/>
  <c r="Q22"/>
  <c r="M22"/>
  <c r="R21"/>
  <c r="Q21"/>
  <c r="M21"/>
  <c r="R20"/>
  <c r="Q20"/>
  <c r="M20"/>
  <c r="R19"/>
  <c r="Q19"/>
  <c r="M19"/>
  <c r="R18"/>
  <c r="Q18"/>
  <c r="M18"/>
  <c r="R17"/>
  <c r="Q17"/>
  <c r="M17"/>
  <c r="R16"/>
  <c r="Q16"/>
  <c r="M16"/>
  <c r="R15"/>
  <c r="Q15"/>
  <c r="M15"/>
  <c r="R14"/>
  <c r="Q14"/>
  <c r="M14"/>
  <c r="Q13"/>
  <c r="M13"/>
  <c r="R11"/>
  <c r="Q11"/>
  <c r="M11"/>
  <c r="R10"/>
  <c r="Q10"/>
  <c r="M10"/>
  <c r="R9"/>
  <c r="Q9"/>
  <c r="M9"/>
  <c r="R8"/>
  <c r="Q8"/>
  <c r="M8"/>
  <c r="R7"/>
  <c r="Q7"/>
  <c r="M7"/>
  <c r="C2"/>
  <c r="B2"/>
  <c r="A2"/>
  <c r="R36" i="84"/>
  <c r="R34"/>
  <c r="R32"/>
  <c r="R31"/>
  <c r="R29"/>
  <c r="R24"/>
  <c r="R23"/>
  <c r="R22"/>
  <c r="B4"/>
  <c r="AM3"/>
  <c r="B3"/>
  <c r="B2"/>
  <c r="A2"/>
  <c r="R106" i="12"/>
  <c r="Q106"/>
  <c r="M106"/>
  <c r="M16" i="44"/>
  <c r="R105" i="12"/>
  <c r="Q105"/>
  <c r="M105"/>
  <c r="M15" i="44"/>
  <c r="R103" i="12"/>
  <c r="Q103"/>
  <c r="M103"/>
  <c r="M19" i="26"/>
  <c r="R102" i="12"/>
  <c r="Q102"/>
  <c r="M102"/>
  <c r="M18" i="26"/>
  <c r="R101" i="12"/>
  <c r="Q101"/>
  <c r="M101"/>
  <c r="M17" i="26"/>
  <c r="R100" i="12"/>
  <c r="R99"/>
  <c r="Q99"/>
  <c r="M99"/>
  <c r="M16" i="43"/>
  <c r="Q98" i="12"/>
  <c r="M98"/>
  <c r="M15" i="43"/>
  <c r="R96" i="12"/>
  <c r="Q96"/>
  <c r="M96"/>
  <c r="O96"/>
  <c r="M19" i="53"/>
  <c r="R95" i="12"/>
  <c r="Q95"/>
  <c r="M95"/>
  <c r="M16" i="71"/>
  <c r="R94" i="12"/>
  <c r="Q94"/>
  <c r="M94"/>
  <c r="M13" i="33"/>
  <c r="R93" i="12"/>
  <c r="Q93"/>
  <c r="M93"/>
  <c r="M50" i="24"/>
  <c r="R92" i="12"/>
  <c r="Q92"/>
  <c r="M92"/>
  <c r="M49" i="24"/>
  <c r="R91" i="12"/>
  <c r="Q91"/>
  <c r="M91"/>
  <c r="M48" i="24"/>
  <c r="R90" i="12"/>
  <c r="Q90"/>
  <c r="M90"/>
  <c r="O90"/>
  <c r="O47" i="24"/>
  <c r="M47"/>
  <c r="R88" i="12"/>
  <c r="Q88"/>
  <c r="M88"/>
  <c r="M24" i="32"/>
  <c r="R86" i="12"/>
  <c r="Q86"/>
  <c r="M86"/>
  <c r="M29" i="42"/>
  <c r="R85" i="12"/>
  <c r="Q85"/>
  <c r="M85"/>
  <c r="M28" i="42"/>
  <c r="R83" i="12"/>
  <c r="Q83"/>
  <c r="M83"/>
  <c r="M24" i="23"/>
  <c r="R82" i="12"/>
  <c r="Q82"/>
  <c r="M82"/>
  <c r="M23" i="23"/>
  <c r="R81" i="12"/>
  <c r="Q81"/>
  <c r="M81"/>
  <c r="M22" i="23"/>
  <c r="R79" i="12"/>
  <c r="Q79"/>
  <c r="M79"/>
  <c r="M29" i="31"/>
  <c r="R78" i="12"/>
  <c r="Q78"/>
  <c r="M78"/>
  <c r="M28" i="31"/>
  <c r="R75" i="12"/>
  <c r="Q75"/>
  <c r="M75"/>
  <c r="R74"/>
  <c r="Q74"/>
  <c r="M74"/>
  <c r="R73"/>
  <c r="Q73"/>
  <c r="M73"/>
  <c r="R72"/>
  <c r="Q72"/>
  <c r="M72"/>
  <c r="R71"/>
  <c r="Q71"/>
  <c r="M71"/>
  <c r="R70"/>
  <c r="Q70"/>
  <c r="M70"/>
  <c r="J70"/>
  <c r="J41" i="41"/>
  <c r="R68" i="12"/>
  <c r="Q68"/>
  <c r="M68"/>
  <c r="M30" i="20"/>
  <c r="R67" i="12"/>
  <c r="Q67"/>
  <c r="O29" i="20"/>
  <c r="M67" i="12"/>
  <c r="M29" i="20"/>
  <c r="R65" i="12"/>
  <c r="Q65"/>
  <c r="M65"/>
  <c r="M97" i="30"/>
  <c r="R64" i="12"/>
  <c r="Q64"/>
  <c r="M64"/>
  <c r="M96" i="30"/>
  <c r="R63" i="12"/>
  <c r="Q63"/>
  <c r="M63"/>
  <c r="M95" i="30"/>
  <c r="R62" i="12"/>
  <c r="Q62"/>
  <c r="M62"/>
  <c r="M94" i="30"/>
  <c r="R61" i="12"/>
  <c r="Q61"/>
  <c r="M61"/>
  <c r="M93" i="30"/>
  <c r="R60" i="12"/>
  <c r="Q60"/>
  <c r="M60"/>
  <c r="M92" i="30"/>
  <c r="R59" i="12"/>
  <c r="Q59"/>
  <c r="M59"/>
  <c r="M91" i="30"/>
  <c r="R58" i="12"/>
  <c r="Q58"/>
  <c r="M58"/>
  <c r="M90" i="30"/>
  <c r="M55" i="12"/>
  <c r="O55"/>
  <c r="M54"/>
  <c r="O54"/>
  <c r="M53"/>
  <c r="O53"/>
  <c r="M52"/>
  <c r="O52"/>
  <c r="M51"/>
  <c r="O51"/>
  <c r="R50"/>
  <c r="M49"/>
  <c r="O49"/>
  <c r="M48"/>
  <c r="O48"/>
  <c r="M47"/>
  <c r="O47"/>
  <c r="M45"/>
  <c r="O45"/>
  <c r="O22" i="85"/>
  <c r="Z4"/>
  <c r="M44" i="12"/>
  <c r="O44"/>
  <c r="O21" i="85"/>
  <c r="U4"/>
  <c r="R43" i="12"/>
  <c r="Q43"/>
  <c r="M43"/>
  <c r="M29" i="54"/>
  <c r="R42" i="12"/>
  <c r="Q42"/>
  <c r="M42"/>
  <c r="M96" i="27"/>
  <c r="R41" i="12"/>
  <c r="Q41"/>
  <c r="M41"/>
  <c r="M95" i="27"/>
  <c r="R39" i="12"/>
  <c r="Q39"/>
  <c r="M39"/>
  <c r="M25" i="45"/>
  <c r="R38" i="12"/>
  <c r="Q38"/>
  <c r="M38"/>
  <c r="M24" i="45"/>
  <c r="M36" i="12"/>
  <c r="O36"/>
  <c r="O17" i="85"/>
  <c r="R34" i="12"/>
  <c r="Q34"/>
  <c r="M34"/>
  <c r="M20" i="37"/>
  <c r="R33" i="12"/>
  <c r="Q33"/>
  <c r="M33"/>
  <c r="M19" i="37"/>
  <c r="R31" i="12"/>
  <c r="Q31"/>
  <c r="M31"/>
  <c r="M385" i="38"/>
  <c r="R30" i="12"/>
  <c r="Q30"/>
  <c r="M30"/>
  <c r="M384" i="38"/>
  <c r="R28" i="12"/>
  <c r="Q28"/>
  <c r="M28"/>
  <c r="M419" i="38"/>
  <c r="R27" i="12"/>
  <c r="Q27"/>
  <c r="M27"/>
  <c r="O27"/>
  <c r="M418" i="38"/>
  <c r="R25" i="12"/>
  <c r="Q25"/>
  <c r="M25"/>
  <c r="M333" i="38"/>
  <c r="R24" i="12"/>
  <c r="Q24"/>
  <c r="M24"/>
  <c r="M332" i="38"/>
  <c r="R23" i="12"/>
  <c r="Q23"/>
  <c r="M23"/>
  <c r="M331" i="38"/>
  <c r="R21" i="12"/>
  <c r="Q21"/>
  <c r="M21"/>
  <c r="M276" i="38"/>
  <c r="R20" i="12"/>
  <c r="Q20"/>
  <c r="M20"/>
  <c r="O20"/>
  <c r="O275" i="38"/>
  <c r="M275"/>
  <c r="R19" i="12"/>
  <c r="Q19"/>
  <c r="M19"/>
  <c r="M274" i="38"/>
  <c r="R18" i="12"/>
  <c r="Q18"/>
  <c r="M18"/>
  <c r="M273" i="38"/>
  <c r="R17" i="12"/>
  <c r="Q17"/>
  <c r="M17"/>
  <c r="R16"/>
  <c r="Q16"/>
  <c r="M16"/>
  <c r="M271" i="38"/>
  <c r="R14" i="12"/>
  <c r="Q14"/>
  <c r="M14"/>
  <c r="M179" i="38"/>
  <c r="R13" i="12"/>
  <c r="Q13"/>
  <c r="M13"/>
  <c r="M178" i="38"/>
  <c r="R12" i="12"/>
  <c r="Q12"/>
  <c r="M12"/>
  <c r="M177" i="38"/>
  <c r="R11" i="12"/>
  <c r="Q11"/>
  <c r="M11"/>
  <c r="M176" i="38"/>
  <c r="R9" i="12"/>
  <c r="Q9"/>
  <c r="M9"/>
  <c r="M95" i="38"/>
  <c r="R8" i="12"/>
  <c r="Q8"/>
  <c r="M8"/>
  <c r="M94" i="38"/>
  <c r="R7" i="12"/>
  <c r="Q7"/>
  <c r="M7"/>
  <c r="M93" i="38"/>
  <c r="C2" i="12"/>
  <c r="B2"/>
  <c r="A2"/>
  <c r="R33" i="85"/>
  <c r="R29"/>
  <c r="R22"/>
  <c r="R21"/>
  <c r="R17"/>
  <c r="B4"/>
  <c r="B3"/>
  <c r="B2"/>
  <c r="A2"/>
  <c r="M62" i="8"/>
  <c r="O62"/>
  <c r="R61"/>
  <c r="Q61"/>
  <c r="M61"/>
  <c r="M26" i="31"/>
  <c r="R60" i="8"/>
  <c r="Q60"/>
  <c r="M60"/>
  <c r="M88" i="30"/>
  <c r="R59" i="8"/>
  <c r="Q59"/>
  <c r="M59"/>
  <c r="M87" i="30"/>
  <c r="R58" i="8"/>
  <c r="Q58"/>
  <c r="M58"/>
  <c r="M86" i="30"/>
  <c r="R57" i="8"/>
  <c r="Q57"/>
  <c r="M57"/>
  <c r="M27" i="20"/>
  <c r="R56" i="8"/>
  <c r="Q56"/>
  <c r="M56"/>
  <c r="M39" i="41"/>
  <c r="M54" i="8"/>
  <c r="O54"/>
  <c r="R53"/>
  <c r="Q53"/>
  <c r="M53"/>
  <c r="M85" i="30"/>
  <c r="R52" i="8"/>
  <c r="Q52"/>
  <c r="M52"/>
  <c r="M26" i="40"/>
  <c r="R51" i="8"/>
  <c r="Q51"/>
  <c r="M51"/>
  <c r="M25" i="40"/>
  <c r="R50" i="8"/>
  <c r="Q50"/>
  <c r="M50"/>
  <c r="M24" i="40"/>
  <c r="R49" i="8"/>
  <c r="Q49"/>
  <c r="M49"/>
  <c r="M23" i="40"/>
  <c r="R48" i="8"/>
  <c r="Q48"/>
  <c r="M48"/>
  <c r="M17" i="37"/>
  <c r="M46" i="8"/>
  <c r="O46"/>
  <c r="R45"/>
  <c r="Q45"/>
  <c r="M45"/>
  <c r="M45" i="24"/>
  <c r="R44" i="8"/>
  <c r="Q44"/>
  <c r="M44"/>
  <c r="M44" i="24"/>
  <c r="R43" i="8"/>
  <c r="Q43"/>
  <c r="M43"/>
  <c r="M43" i="24"/>
  <c r="R41" i="8"/>
  <c r="Q41"/>
  <c r="M41"/>
  <c r="R40"/>
  <c r="Q40"/>
  <c r="M40"/>
  <c r="R39"/>
  <c r="Q39"/>
  <c r="M39"/>
  <c r="R38"/>
  <c r="Q38"/>
  <c r="M38"/>
  <c r="R37"/>
  <c r="Q37"/>
  <c r="M37"/>
  <c r="R36"/>
  <c r="Q36"/>
  <c r="M36"/>
  <c r="M33"/>
  <c r="O33"/>
  <c r="R32"/>
  <c r="Q32"/>
  <c r="M32"/>
  <c r="M26" i="42"/>
  <c r="R31" i="8"/>
  <c r="Q31"/>
  <c r="M31"/>
  <c r="M14" i="71"/>
  <c r="R30" i="8"/>
  <c r="Q30"/>
  <c r="M30"/>
  <c r="M42" i="24"/>
  <c r="R29" i="8"/>
  <c r="Q29"/>
  <c r="M29"/>
  <c r="M41" i="24"/>
  <c r="R28" i="8"/>
  <c r="Q28"/>
  <c r="M28"/>
  <c r="M22" i="32"/>
  <c r="R27" i="8"/>
  <c r="Q27"/>
  <c r="M27"/>
  <c r="M21" i="32"/>
  <c r="R26" i="8"/>
  <c r="Q26"/>
  <c r="M26"/>
  <c r="M38" i="41"/>
  <c r="R25" i="8"/>
  <c r="Q25"/>
  <c r="M25"/>
  <c r="M37" i="41"/>
  <c r="R24" i="8"/>
  <c r="Q24"/>
  <c r="M24"/>
  <c r="M78" i="30"/>
  <c r="R23" i="8"/>
  <c r="Q23"/>
  <c r="M23"/>
  <c r="M77" i="30"/>
  <c r="R22" i="8"/>
  <c r="Q22"/>
  <c r="M22"/>
  <c r="M76" i="30"/>
  <c r="R20" i="8"/>
  <c r="Q20"/>
  <c r="M20"/>
  <c r="R19"/>
  <c r="Q19"/>
  <c r="M19"/>
  <c r="R17"/>
  <c r="Q17"/>
  <c r="M17"/>
  <c r="M73" i="30"/>
  <c r="R16" i="8"/>
  <c r="Q16"/>
  <c r="M16"/>
  <c r="M72" i="30"/>
  <c r="R15" i="8"/>
  <c r="Q15"/>
  <c r="M15"/>
  <c r="M71" i="30"/>
  <c r="R14" i="8"/>
  <c r="M14"/>
  <c r="M16" i="37"/>
  <c r="M13" i="8"/>
  <c r="O13"/>
  <c r="M11"/>
  <c r="O11"/>
  <c r="R10"/>
  <c r="Q10"/>
  <c r="M10"/>
  <c r="M174" i="38"/>
  <c r="R9" i="8"/>
  <c r="R8"/>
  <c r="Q9"/>
  <c r="M9"/>
  <c r="M91" i="38"/>
  <c r="B4" i="8"/>
  <c r="AV3"/>
  <c r="AI3"/>
  <c r="AH3"/>
  <c r="B3"/>
  <c r="B2"/>
  <c r="A2"/>
  <c r="R283" i="7"/>
  <c r="Q283"/>
  <c r="M283"/>
  <c r="R282"/>
  <c r="Q282"/>
  <c r="M282"/>
  <c r="R280"/>
  <c r="Q280"/>
  <c r="M280"/>
  <c r="M12" i="71"/>
  <c r="R279" i="7"/>
  <c r="Q279"/>
  <c r="M279"/>
  <c r="M11" i="71"/>
  <c r="R277" i="7"/>
  <c r="Q277"/>
  <c r="M277"/>
  <c r="M13" i="44"/>
  <c r="R276" i="7"/>
  <c r="Q276"/>
  <c r="M276"/>
  <c r="M12" i="44"/>
  <c r="R274" i="7"/>
  <c r="Q274"/>
  <c r="M274"/>
  <c r="M15" i="26"/>
  <c r="R273" i="7"/>
  <c r="Q273"/>
  <c r="M273"/>
  <c r="M14" i="26"/>
  <c r="R271" i="7"/>
  <c r="Q271"/>
  <c r="M271"/>
  <c r="R270"/>
  <c r="Q270"/>
  <c r="M270"/>
  <c r="R269"/>
  <c r="Q269"/>
  <c r="M269"/>
  <c r="Q268"/>
  <c r="M268"/>
  <c r="M10" i="43"/>
  <c r="R266" i="7"/>
  <c r="Q266"/>
  <c r="M266"/>
  <c r="M39" i="24"/>
  <c r="R265" i="7"/>
  <c r="Q265"/>
  <c r="M265"/>
  <c r="M38" i="24"/>
  <c r="R264" i="7"/>
  <c r="Q264"/>
  <c r="M264"/>
  <c r="M37" i="24"/>
  <c r="R263" i="7"/>
  <c r="Q263"/>
  <c r="M263"/>
  <c r="M36" i="24"/>
  <c r="R261" i="7"/>
  <c r="Q261"/>
  <c r="M261"/>
  <c r="M19" i="32"/>
  <c r="R260" i="7"/>
  <c r="Q260"/>
  <c r="M260"/>
  <c r="M18" i="32"/>
  <c r="R258" i="7"/>
  <c r="Q258"/>
  <c r="M258"/>
  <c r="M24" i="42"/>
  <c r="R257" i="7"/>
  <c r="Q257"/>
  <c r="M257"/>
  <c r="M23" i="42"/>
  <c r="R256" i="7"/>
  <c r="Q256"/>
  <c r="M256"/>
  <c r="M22" i="42"/>
  <c r="R255" i="7"/>
  <c r="Q255"/>
  <c r="M255"/>
  <c r="M21" i="42"/>
  <c r="R253" i="7"/>
  <c r="Q253"/>
  <c r="M253"/>
  <c r="M20" i="23"/>
  <c r="Q252" i="7"/>
  <c r="M252"/>
  <c r="M19" i="23"/>
  <c r="R250" i="7"/>
  <c r="Q250"/>
  <c r="M250"/>
  <c r="M24" i="31"/>
  <c r="R249" i="7"/>
  <c r="Q249"/>
  <c r="M249"/>
  <c r="M23" i="31"/>
  <c r="R246" i="7"/>
  <c r="Q246"/>
  <c r="M246"/>
  <c r="M10" i="75"/>
  <c r="R244" i="7"/>
  <c r="Q244"/>
  <c r="M244"/>
  <c r="M10" i="70"/>
  <c r="R242" i="7"/>
  <c r="Q242"/>
  <c r="M242"/>
  <c r="M31" i="68"/>
  <c r="R241" i="7"/>
  <c r="Q241"/>
  <c r="M241"/>
  <c r="M30" i="68"/>
  <c r="R240" i="7"/>
  <c r="Q240"/>
  <c r="M240"/>
  <c r="M29" i="68"/>
  <c r="R239" i="7"/>
  <c r="Q239"/>
  <c r="M239"/>
  <c r="M28" i="68"/>
  <c r="R238" i="7"/>
  <c r="Q238"/>
  <c r="M238"/>
  <c r="M27" i="68"/>
  <c r="R237" i="7"/>
  <c r="Q237"/>
  <c r="M237"/>
  <c r="M26" i="68"/>
  <c r="R236" i="7"/>
  <c r="Q236"/>
  <c r="M236"/>
  <c r="M25" i="68"/>
  <c r="R234" i="7"/>
  <c r="Q234"/>
  <c r="M234"/>
  <c r="M35" i="41"/>
  <c r="R233" i="7"/>
  <c r="Q233"/>
  <c r="M233"/>
  <c r="O233"/>
  <c r="O34" i="41"/>
  <c r="M34"/>
  <c r="R232" i="7"/>
  <c r="Q232"/>
  <c r="M232"/>
  <c r="M33" i="41"/>
  <c r="R230" i="7"/>
  <c r="Q230"/>
  <c r="M230"/>
  <c r="M25" i="20"/>
  <c r="R229" i="7"/>
  <c r="Q229"/>
  <c r="M229"/>
  <c r="M24" i="20"/>
  <c r="R227" i="7"/>
  <c r="Q227"/>
  <c r="M227"/>
  <c r="M69" i="30"/>
  <c r="R226" i="7"/>
  <c r="Q226"/>
  <c r="M226"/>
  <c r="M68" i="30"/>
  <c r="R225" i="7"/>
  <c r="Q225"/>
  <c r="M225"/>
  <c r="M67" i="30"/>
  <c r="R224" i="7"/>
  <c r="Q224"/>
  <c r="M224"/>
  <c r="M66" i="30"/>
  <c r="R223" i="7"/>
  <c r="Q223"/>
  <c r="M223"/>
  <c r="M65" i="30"/>
  <c r="R222" i="7"/>
  <c r="Q222"/>
  <c r="M222"/>
  <c r="M64" i="30"/>
  <c r="R221" i="7"/>
  <c r="Q221"/>
  <c r="M221"/>
  <c r="M63" i="30"/>
  <c r="R220" i="7"/>
  <c r="Q220"/>
  <c r="M220"/>
  <c r="M62" i="30"/>
  <c r="R218" i="7"/>
  <c r="Q218"/>
  <c r="M218"/>
  <c r="M21" i="40"/>
  <c r="R217" i="7"/>
  <c r="Q217"/>
  <c r="M217"/>
  <c r="M20" i="40"/>
  <c r="R216" i="7"/>
  <c r="Q216"/>
  <c r="M216"/>
  <c r="M19" i="40"/>
  <c r="R215" i="7"/>
  <c r="Q215"/>
  <c r="M215"/>
  <c r="M18" i="40"/>
  <c r="R214" i="7"/>
  <c r="Q214"/>
  <c r="M214"/>
  <c r="M17" i="40"/>
  <c r="R213" i="7"/>
  <c r="Q213"/>
  <c r="M213"/>
  <c r="M16" i="40"/>
  <c r="R212" i="7"/>
  <c r="Q212"/>
  <c r="M212"/>
  <c r="M15" i="40"/>
  <c r="R211" i="7"/>
  <c r="Q211"/>
  <c r="M211"/>
  <c r="M14" i="40"/>
  <c r="R210" i="7"/>
  <c r="Q210"/>
  <c r="M210"/>
  <c r="M13" i="40"/>
  <c r="M207" i="7"/>
  <c r="O207"/>
  <c r="O45" i="83"/>
  <c r="M206" i="7"/>
  <c r="O206"/>
  <c r="O44" i="83"/>
  <c r="M205" i="7"/>
  <c r="O205"/>
  <c r="O43" i="83"/>
  <c r="M204" i="7"/>
  <c r="O204"/>
  <c r="O42" i="83"/>
  <c r="M203" i="7"/>
  <c r="O203"/>
  <c r="O41" i="83"/>
  <c r="M202" i="7"/>
  <c r="O202"/>
  <c r="O40" i="83"/>
  <c r="M201" i="7"/>
  <c r="O201"/>
  <c r="M199"/>
  <c r="O199"/>
  <c r="M198"/>
  <c r="O198"/>
  <c r="M197"/>
  <c r="O197"/>
  <c r="M196"/>
  <c r="O196"/>
  <c r="R195"/>
  <c r="R194"/>
  <c r="Q194"/>
  <c r="M194"/>
  <c r="M27" i="54"/>
  <c r="R193" i="7"/>
  <c r="Q193"/>
  <c r="M193"/>
  <c r="M26" i="54"/>
  <c r="R192" i="7"/>
  <c r="Q192"/>
  <c r="M192"/>
  <c r="M25" i="54"/>
  <c r="R191" i="7"/>
  <c r="Q191"/>
  <c r="M191"/>
  <c r="M24" i="54"/>
  <c r="R190" i="7"/>
  <c r="Q190"/>
  <c r="M190"/>
  <c r="M23" i="54"/>
  <c r="R188" i="7"/>
  <c r="Q188"/>
  <c r="M188"/>
  <c r="M12" i="61"/>
  <c r="R187" i="7"/>
  <c r="Q187"/>
  <c r="M187"/>
  <c r="M11" i="61"/>
  <c r="R186" i="7"/>
  <c r="Q186"/>
  <c r="M186"/>
  <c r="R185"/>
  <c r="Q185"/>
  <c r="M185"/>
  <c r="M9" i="61"/>
  <c r="M183" i="7"/>
  <c r="O183"/>
  <c r="M182"/>
  <c r="O182"/>
  <c r="M181"/>
  <c r="O181"/>
  <c r="R180"/>
  <c r="M180"/>
  <c r="O180"/>
  <c r="J180"/>
  <c r="M179"/>
  <c r="O179"/>
  <c r="M178"/>
  <c r="O178"/>
  <c r="R176"/>
  <c r="Q176"/>
  <c r="M176"/>
  <c r="M13" i="35"/>
  <c r="R175" i="7"/>
  <c r="Q175"/>
  <c r="M175"/>
  <c r="M12" i="35"/>
  <c r="M173" i="7"/>
  <c r="O173"/>
  <c r="M172"/>
  <c r="O172"/>
  <c r="M171"/>
  <c r="O171"/>
  <c r="M170"/>
  <c r="O170"/>
  <c r="R169"/>
  <c r="R168"/>
  <c r="Q168"/>
  <c r="M168"/>
  <c r="M93" i="27"/>
  <c r="R167" i="7"/>
  <c r="Q167"/>
  <c r="M167"/>
  <c r="M92" i="27"/>
  <c r="R166" i="7"/>
  <c r="Q166"/>
  <c r="M166"/>
  <c r="M91" i="27"/>
  <c r="R165" i="7"/>
  <c r="Q165"/>
  <c r="M165"/>
  <c r="M90" i="27"/>
  <c r="R164" i="7"/>
  <c r="Q164"/>
  <c r="M164"/>
  <c r="M89" i="27"/>
  <c r="M162" i="7"/>
  <c r="O162"/>
  <c r="M161"/>
  <c r="O161"/>
  <c r="M160"/>
  <c r="O160"/>
  <c r="R159"/>
  <c r="M158"/>
  <c r="O158"/>
  <c r="M157"/>
  <c r="O157"/>
  <c r="M156"/>
  <c r="O156"/>
  <c r="R155"/>
  <c r="M154"/>
  <c r="O154"/>
  <c r="M153"/>
  <c r="O153"/>
  <c r="M152"/>
  <c r="O152"/>
  <c r="R151"/>
  <c r="R149"/>
  <c r="Q149"/>
  <c r="M149"/>
  <c r="M22" i="45"/>
  <c r="R148" i="7"/>
  <c r="Q148"/>
  <c r="M148"/>
  <c r="M21" i="45"/>
  <c r="R147" i="7"/>
  <c r="Q147"/>
  <c r="M147"/>
  <c r="M20" i="45"/>
  <c r="R144" i="7"/>
  <c r="Q144"/>
  <c r="M144"/>
  <c r="M442" i="38"/>
  <c r="R143" i="7"/>
  <c r="Q143"/>
  <c r="M143"/>
  <c r="M441" i="38"/>
  <c r="R141" i="7"/>
  <c r="Q141"/>
  <c r="M141"/>
  <c r="M416" i="38"/>
  <c r="R140" i="7"/>
  <c r="Q140"/>
  <c r="M140"/>
  <c r="M415" i="38"/>
  <c r="R139" i="7"/>
  <c r="R138"/>
  <c r="Q138"/>
  <c r="M138"/>
  <c r="M382" i="38"/>
  <c r="R137" i="7"/>
  <c r="Q137"/>
  <c r="M137"/>
  <c r="M381" i="38"/>
  <c r="R136" i="7"/>
  <c r="Q136"/>
  <c r="M136"/>
  <c r="M380" i="38"/>
  <c r="R135" i="7"/>
  <c r="Q135"/>
  <c r="M135"/>
  <c r="M379" i="38"/>
  <c r="R133" i="7"/>
  <c r="Q133"/>
  <c r="M133"/>
  <c r="M369" i="38"/>
  <c r="R132" i="7"/>
  <c r="Q132"/>
  <c r="M132"/>
  <c r="M368" i="38"/>
  <c r="R131" i="7"/>
  <c r="Q131"/>
  <c r="M131"/>
  <c r="M367" i="38"/>
  <c r="Q130" i="7"/>
  <c r="M130"/>
  <c r="M366" i="38"/>
  <c r="R129" i="7"/>
  <c r="Q129"/>
  <c r="M129"/>
  <c r="M365" i="38"/>
  <c r="R127" i="7"/>
  <c r="Q127"/>
  <c r="M127"/>
  <c r="M329" i="38"/>
  <c r="R126" i="7"/>
  <c r="Q126"/>
  <c r="M126"/>
  <c r="M328" i="38"/>
  <c r="R125" i="7"/>
  <c r="Q125"/>
  <c r="M125"/>
  <c r="M327" i="38"/>
  <c r="R124" i="7"/>
  <c r="Q124"/>
  <c r="M124"/>
  <c r="M326" i="38"/>
  <c r="R123" i="7"/>
  <c r="R122"/>
  <c r="Q122"/>
  <c r="M122"/>
  <c r="M325" i="38"/>
  <c r="R121" i="7"/>
  <c r="Q121"/>
  <c r="M121"/>
  <c r="M324" i="38"/>
  <c r="R120" i="7"/>
  <c r="Q120"/>
  <c r="M120"/>
  <c r="M323" i="38"/>
  <c r="R119" i="7"/>
  <c r="Q119"/>
  <c r="M119"/>
  <c r="M322" i="38"/>
  <c r="R118" i="7"/>
  <c r="Q118"/>
  <c r="M118"/>
  <c r="M321" i="38"/>
  <c r="R117" i="7"/>
  <c r="Q117"/>
  <c r="M117"/>
  <c r="M320" i="38"/>
  <c r="R116" i="7"/>
  <c r="Q116"/>
  <c r="M116"/>
  <c r="M319" i="38"/>
  <c r="R115" i="7"/>
  <c r="Q115"/>
  <c r="M115"/>
  <c r="M318" i="38"/>
  <c r="R114" i="7"/>
  <c r="Q114"/>
  <c r="M114"/>
  <c r="M317" i="38"/>
  <c r="R113" i="7"/>
  <c r="Q113"/>
  <c r="M113"/>
  <c r="M316" i="38"/>
  <c r="R112" i="7"/>
  <c r="Q112"/>
  <c r="M112"/>
  <c r="M315" i="38"/>
  <c r="R111" i="7"/>
  <c r="Q111"/>
  <c r="M111"/>
  <c r="M314" i="38"/>
  <c r="R109" i="7"/>
  <c r="Q109"/>
  <c r="M109"/>
  <c r="M269" i="38"/>
  <c r="R108" i="7"/>
  <c r="Q108"/>
  <c r="M108"/>
  <c r="M268" i="38"/>
  <c r="R107" i="7"/>
  <c r="Q107"/>
  <c r="M107"/>
  <c r="M267" i="38"/>
  <c r="R106" i="7"/>
  <c r="Q106"/>
  <c r="M106"/>
  <c r="M266" i="38"/>
  <c r="R105" i="7"/>
  <c r="Q105"/>
  <c r="M105"/>
  <c r="M265" i="38"/>
  <c r="R104" i="7"/>
  <c r="Q104"/>
  <c r="M104"/>
  <c r="M264" i="38"/>
  <c r="R103" i="7"/>
  <c r="Q103"/>
  <c r="M103"/>
  <c r="M263" i="38"/>
  <c r="R102" i="7"/>
  <c r="Q102"/>
  <c r="M102"/>
  <c r="M262" i="38"/>
  <c r="R101" i="7"/>
  <c r="Q101"/>
  <c r="M101"/>
  <c r="M261" i="38"/>
  <c r="R100" i="7"/>
  <c r="Q100"/>
  <c r="M100"/>
  <c r="M260" i="38"/>
  <c r="R99" i="7"/>
  <c r="Q99"/>
  <c r="M99"/>
  <c r="M259" i="38"/>
  <c r="R98" i="7"/>
  <c r="Q98"/>
  <c r="M98"/>
  <c r="M258" i="38"/>
  <c r="R97" i="7"/>
  <c r="Q97"/>
  <c r="M97"/>
  <c r="M257" i="38"/>
  <c r="R96" i="7"/>
  <c r="Q96"/>
  <c r="M96"/>
  <c r="M256" i="38"/>
  <c r="R95" i="7"/>
  <c r="Q95"/>
  <c r="M95"/>
  <c r="M255" i="38"/>
  <c r="R94" i="7"/>
  <c r="Q94"/>
  <c r="M94"/>
  <c r="M254" i="38"/>
  <c r="R93" i="7"/>
  <c r="Q93"/>
  <c r="M93"/>
  <c r="M253" i="38"/>
  <c r="R92" i="7"/>
  <c r="Q92"/>
  <c r="M92"/>
  <c r="M252" i="38"/>
  <c r="R91" i="7"/>
  <c r="Q91"/>
  <c r="M91"/>
  <c r="M251" i="38"/>
  <c r="R90" i="7"/>
  <c r="Q90"/>
  <c r="M90"/>
  <c r="M250" i="38"/>
  <c r="R89" i="7"/>
  <c r="Q89"/>
  <c r="M89"/>
  <c r="M249" i="38"/>
  <c r="R88" i="7"/>
  <c r="Q88"/>
  <c r="M88"/>
  <c r="M248" i="38"/>
  <c r="Q87" i="7"/>
  <c r="M87"/>
  <c r="M247" i="38"/>
  <c r="R86" i="7"/>
  <c r="Q86"/>
  <c r="M86"/>
  <c r="M246" i="38"/>
  <c r="R85" i="7"/>
  <c r="Q85"/>
  <c r="M85"/>
  <c r="M245" i="38"/>
  <c r="R84" i="7"/>
  <c r="Q84"/>
  <c r="M84"/>
  <c r="M244" i="38"/>
  <c r="R83" i="7"/>
  <c r="Q83"/>
  <c r="M83"/>
  <c r="M243" i="38"/>
  <c r="R82" i="7"/>
  <c r="Q82"/>
  <c r="M82"/>
  <c r="M242" i="38"/>
  <c r="R80" i="7"/>
  <c r="Q80"/>
  <c r="M80"/>
  <c r="M172" i="38"/>
  <c r="R79" i="7"/>
  <c r="Q79"/>
  <c r="M79"/>
  <c r="M171" i="38"/>
  <c r="R78" i="7"/>
  <c r="Q78"/>
  <c r="M78"/>
  <c r="M170" i="38"/>
  <c r="R77" i="7"/>
  <c r="Q77"/>
  <c r="M77"/>
  <c r="M169" i="38"/>
  <c r="R76" i="7"/>
  <c r="Q76"/>
  <c r="M76"/>
  <c r="M168" i="38"/>
  <c r="R75" i="7"/>
  <c r="Q75"/>
  <c r="M75"/>
  <c r="M167" i="38"/>
  <c r="R74" i="7"/>
  <c r="Q74"/>
  <c r="M74"/>
  <c r="M166" i="38"/>
  <c r="Q73" i="7"/>
  <c r="M73"/>
  <c r="M165" i="38"/>
  <c r="R72" i="7"/>
  <c r="Q72"/>
  <c r="M72"/>
  <c r="M164" i="38"/>
  <c r="R71" i="7"/>
  <c r="Q71"/>
  <c r="M71"/>
  <c r="M163" i="38"/>
  <c r="R70" i="7"/>
  <c r="Q70"/>
  <c r="M70"/>
  <c r="M162" i="38"/>
  <c r="R69" i="7"/>
  <c r="Q69"/>
  <c r="M69"/>
  <c r="M161" i="38"/>
  <c r="Q68" i="7"/>
  <c r="M68"/>
  <c r="M160" i="38"/>
  <c r="R67" i="7"/>
  <c r="Q67"/>
  <c r="M67"/>
  <c r="M159" i="38"/>
  <c r="R66" i="7"/>
  <c r="Q66"/>
  <c r="M66"/>
  <c r="M158" i="38"/>
  <c r="R65" i="7"/>
  <c r="Q65"/>
  <c r="M65"/>
  <c r="M157" i="38"/>
  <c r="R64" i="7"/>
  <c r="Q64"/>
  <c r="M64"/>
  <c r="M156" i="38"/>
  <c r="R63" i="7"/>
  <c r="Q63"/>
  <c r="M63"/>
  <c r="M155" i="38"/>
  <c r="R62" i="7"/>
  <c r="Q62"/>
  <c r="M62"/>
  <c r="M154" i="38"/>
  <c r="R61" i="7"/>
  <c r="Q61"/>
  <c r="M61"/>
  <c r="M153" i="38"/>
  <c r="R60" i="7"/>
  <c r="Q60"/>
  <c r="M60"/>
  <c r="M152" i="38"/>
  <c r="Q59" i="7"/>
  <c r="M59"/>
  <c r="M151" i="38"/>
  <c r="R58" i="7"/>
  <c r="Q58"/>
  <c r="M58"/>
  <c r="M150" i="38"/>
  <c r="Q57" i="7"/>
  <c r="M57"/>
  <c r="M149" i="38"/>
  <c r="R56" i="7"/>
  <c r="Q56"/>
  <c r="M56"/>
  <c r="M148" i="38"/>
  <c r="R55" i="7"/>
  <c r="Q55"/>
  <c r="M55"/>
  <c r="M147" i="38"/>
  <c r="R53" i="7"/>
  <c r="Q53"/>
  <c r="M53"/>
  <c r="M89" i="38"/>
  <c r="R52" i="7"/>
  <c r="Q52"/>
  <c r="M52"/>
  <c r="M88" i="38"/>
  <c r="Q51" i="7"/>
  <c r="M51"/>
  <c r="M87" i="38"/>
  <c r="R50" i="7"/>
  <c r="Q50"/>
  <c r="M50"/>
  <c r="M86" i="38"/>
  <c r="R49" i="7"/>
  <c r="Q49"/>
  <c r="M49"/>
  <c r="M85" i="38"/>
  <c r="Q48" i="7"/>
  <c r="M48"/>
  <c r="M84" i="38"/>
  <c r="R47" i="7"/>
  <c r="Q47"/>
  <c r="M47"/>
  <c r="M83" i="38"/>
  <c r="R46" i="7"/>
  <c r="Q46"/>
  <c r="M46"/>
  <c r="M82" i="38"/>
  <c r="R45" i="7"/>
  <c r="Q45"/>
  <c r="M45"/>
  <c r="M81" i="38"/>
  <c r="R44" i="7"/>
  <c r="Q44"/>
  <c r="M44"/>
  <c r="M80" i="38"/>
  <c r="R43" i="7"/>
  <c r="Q43"/>
  <c r="M43"/>
  <c r="M79" i="38"/>
  <c r="R42" i="7"/>
  <c r="Q42"/>
  <c r="M42"/>
  <c r="M78" i="38"/>
  <c r="R41" i="7"/>
  <c r="Q41"/>
  <c r="M41"/>
  <c r="M77" i="38"/>
  <c r="R40" i="7"/>
  <c r="Q40"/>
  <c r="M40"/>
  <c r="M76" i="38"/>
  <c r="R39" i="7"/>
  <c r="Q39"/>
  <c r="M39"/>
  <c r="M75" i="38"/>
  <c r="R38" i="7"/>
  <c r="Q38"/>
  <c r="M38"/>
  <c r="M74" i="38"/>
  <c r="R37" i="7"/>
  <c r="Q37"/>
  <c r="M37"/>
  <c r="M73" i="38"/>
  <c r="R36" i="7"/>
  <c r="Q36"/>
  <c r="M36"/>
  <c r="M72" i="38"/>
  <c r="R35" i="7"/>
  <c r="Q35"/>
  <c r="M35"/>
  <c r="M71" i="38"/>
  <c r="R34" i="7"/>
  <c r="Q34"/>
  <c r="M34"/>
  <c r="M70" i="38"/>
  <c r="R33" i="7"/>
  <c r="Q33"/>
  <c r="M33"/>
  <c r="M69" i="38"/>
  <c r="R32" i="7"/>
  <c r="Q32"/>
  <c r="M32"/>
  <c r="M68" i="38"/>
  <c r="R31" i="7"/>
  <c r="Q31"/>
  <c r="M31"/>
  <c r="M67" i="38"/>
  <c r="Q30" i="7"/>
  <c r="M30"/>
  <c r="M66" i="38"/>
  <c r="R29" i="7"/>
  <c r="Q29"/>
  <c r="M29"/>
  <c r="M65" i="38"/>
  <c r="Q28" i="7"/>
  <c r="M28"/>
  <c r="M64" i="38"/>
  <c r="R27" i="7"/>
  <c r="Q27"/>
  <c r="M27"/>
  <c r="M63" i="38"/>
  <c r="M26" i="7"/>
  <c r="O26"/>
  <c r="M22"/>
  <c r="M18" i="83"/>
  <c r="M21" i="7"/>
  <c r="O21"/>
  <c r="O17" i="83"/>
  <c r="M20" i="7"/>
  <c r="O20"/>
  <c r="O16" i="83"/>
  <c r="R19" i="7"/>
  <c r="Q19"/>
  <c r="Q15" i="83"/>
  <c r="M19" i="7"/>
  <c r="M62" i="38"/>
  <c r="R18" i="7"/>
  <c r="Q18"/>
  <c r="Q14" i="83"/>
  <c r="M18" i="7"/>
  <c r="M443" i="38"/>
  <c r="R17" i="7"/>
  <c r="M17"/>
  <c r="M61" i="38"/>
  <c r="M15" i="7"/>
  <c r="O15"/>
  <c r="M14"/>
  <c r="O14"/>
  <c r="M13"/>
  <c r="O13"/>
  <c r="R12"/>
  <c r="M11"/>
  <c r="K222" i="72"/>
  <c r="M10" i="7"/>
  <c r="O10"/>
  <c r="M221" i="72"/>
  <c r="M9" i="7"/>
  <c r="O9"/>
  <c r="M8"/>
  <c r="M7"/>
  <c r="O7"/>
  <c r="R6"/>
  <c r="C2"/>
  <c r="B2"/>
  <c r="A2"/>
  <c r="R56" i="83"/>
  <c r="R45"/>
  <c r="R44"/>
  <c r="R43"/>
  <c r="R42"/>
  <c r="R41"/>
  <c r="R40"/>
  <c r="R39"/>
  <c r="R33"/>
  <c r="R18"/>
  <c r="Q18"/>
  <c r="P18"/>
  <c r="N18"/>
  <c r="L18"/>
  <c r="K18"/>
  <c r="R17"/>
  <c r="Q17"/>
  <c r="P17"/>
  <c r="N17"/>
  <c r="L17"/>
  <c r="K17"/>
  <c r="R16"/>
  <c r="Q16"/>
  <c r="P16"/>
  <c r="N16"/>
  <c r="L16"/>
  <c r="K16"/>
  <c r="P15"/>
  <c r="N15"/>
  <c r="L15"/>
  <c r="K15"/>
  <c r="P14"/>
  <c r="N14"/>
  <c r="L14"/>
  <c r="K14"/>
  <c r="Q13"/>
  <c r="P13"/>
  <c r="N13"/>
  <c r="L13"/>
  <c r="K13"/>
  <c r="R10"/>
  <c r="B4"/>
  <c r="B3"/>
  <c r="B2"/>
  <c r="A2"/>
  <c r="M175" i="6"/>
  <c r="O175"/>
  <c r="Q174"/>
  <c r="M174"/>
  <c r="M23" i="68"/>
  <c r="M173" i="6"/>
  <c r="M21" i="54"/>
  <c r="Q172" i="6"/>
  <c r="M172"/>
  <c r="M20" i="54"/>
  <c r="Q171" i="6"/>
  <c r="M171"/>
  <c r="M240" i="38"/>
  <c r="Q170" i="6"/>
  <c r="M170"/>
  <c r="M239" i="38"/>
  <c r="Q169" i="6"/>
  <c r="M169"/>
  <c r="M238" i="38"/>
  <c r="Q168" i="6"/>
  <c r="M168"/>
  <c r="M237" i="38"/>
  <c r="Q167" i="6"/>
  <c r="M167"/>
  <c r="M312" i="38"/>
  <c r="Q166" i="6"/>
  <c r="M166"/>
  <c r="M363" i="38"/>
  <c r="M165" i="6"/>
  <c r="O165"/>
  <c r="M164"/>
  <c r="O164"/>
  <c r="M162"/>
  <c r="O162"/>
  <c r="M161"/>
  <c r="O161"/>
  <c r="M160"/>
  <c r="O160"/>
  <c r="M159"/>
  <c r="O159"/>
  <c r="M154"/>
  <c r="O154"/>
  <c r="M152"/>
  <c r="O152"/>
  <c r="M150"/>
  <c r="O150"/>
  <c r="O149"/>
  <c r="M138"/>
  <c r="O138"/>
  <c r="M132"/>
  <c r="O132"/>
  <c r="M109"/>
  <c r="O109"/>
  <c r="Q107"/>
  <c r="M107"/>
  <c r="M19" i="54"/>
  <c r="Q106" i="6"/>
  <c r="M106"/>
  <c r="M18" i="54"/>
  <c r="M100" i="6"/>
  <c r="O100"/>
  <c r="O99"/>
  <c r="M95"/>
  <c r="O95"/>
  <c r="M88"/>
  <c r="O88"/>
  <c r="M81"/>
  <c r="O81"/>
  <c r="M68"/>
  <c r="O68"/>
  <c r="M62"/>
  <c r="O62"/>
  <c r="M57"/>
  <c r="O57"/>
  <c r="O56"/>
  <c r="M54"/>
  <c r="O54"/>
  <c r="M46"/>
  <c r="O46"/>
  <c r="M35"/>
  <c r="O35"/>
  <c r="M28"/>
  <c r="O28"/>
  <c r="M10"/>
  <c r="O10"/>
  <c r="B4"/>
  <c r="I3"/>
  <c r="B3"/>
  <c r="B2"/>
  <c r="A2"/>
  <c r="M29" i="5"/>
  <c r="O29"/>
  <c r="R28"/>
  <c r="Q28"/>
  <c r="M28"/>
  <c r="M17" i="23"/>
  <c r="R27" i="5"/>
  <c r="Q27"/>
  <c r="M27"/>
  <c r="M34" i="24"/>
  <c r="R26" i="5"/>
  <c r="Q26"/>
  <c r="M26"/>
  <c r="M33" i="24"/>
  <c r="R25" i="5"/>
  <c r="R24"/>
  <c r="Q24"/>
  <c r="M24"/>
  <c r="M31" i="41"/>
  <c r="R23" i="5"/>
  <c r="Q23"/>
  <c r="M23"/>
  <c r="M30" i="41"/>
  <c r="R22" i="5"/>
  <c r="M21"/>
  <c r="K216" i="72"/>
  <c r="M20" i="5"/>
  <c r="O20"/>
  <c r="O19"/>
  <c r="R19"/>
  <c r="M18"/>
  <c r="O18"/>
  <c r="J18"/>
  <c r="M17"/>
  <c r="O17"/>
  <c r="M16"/>
  <c r="O16"/>
  <c r="M15"/>
  <c r="O15"/>
  <c r="J15"/>
  <c r="R14"/>
  <c r="M13"/>
  <c r="O13"/>
  <c r="R10"/>
  <c r="Q10"/>
  <c r="M10"/>
  <c r="M235" i="38"/>
  <c r="R9" i="5"/>
  <c r="Q9"/>
  <c r="M9"/>
  <c r="M145" i="38"/>
  <c r="Q8" i="5"/>
  <c r="M8"/>
  <c r="M55" i="38"/>
  <c r="B4" i="5"/>
  <c r="R3"/>
  <c r="B3"/>
  <c r="B2"/>
  <c r="A2"/>
  <c r="R280" i="15"/>
  <c r="Q280"/>
  <c r="M280"/>
  <c r="M28" i="41"/>
  <c r="R279" i="15"/>
  <c r="Q279"/>
  <c r="M279"/>
  <c r="M27" i="41"/>
  <c r="M278" i="15"/>
  <c r="O278"/>
  <c r="R275"/>
  <c r="Q275"/>
  <c r="M275"/>
  <c r="M11" i="33"/>
  <c r="R274" i="15"/>
  <c r="R273"/>
  <c r="Q273"/>
  <c r="M273"/>
  <c r="M14" i="53"/>
  <c r="R272" i="15"/>
  <c r="Q272"/>
  <c r="M272"/>
  <c r="M13" i="53"/>
  <c r="R271" i="15"/>
  <c r="R270"/>
  <c r="Q270"/>
  <c r="M270"/>
  <c r="M31" i="24"/>
  <c r="J270" i="15"/>
  <c r="J31" i="24"/>
  <c r="R269" i="15"/>
  <c r="M269"/>
  <c r="M30" i="24"/>
  <c r="R268" i="15"/>
  <c r="Q268"/>
  <c r="M268"/>
  <c r="M29" i="24"/>
  <c r="R267" i="15"/>
  <c r="Q267"/>
  <c r="M267"/>
  <c r="R266"/>
  <c r="Q266"/>
  <c r="M266"/>
  <c r="R265"/>
  <c r="Q265"/>
  <c r="M265"/>
  <c r="R264"/>
  <c r="Q264"/>
  <c r="M264"/>
  <c r="R263"/>
  <c r="Q263"/>
  <c r="M263"/>
  <c r="R261"/>
  <c r="Q261"/>
  <c r="M261"/>
  <c r="M16" i="32"/>
  <c r="R260" i="15"/>
  <c r="Q260"/>
  <c r="M260"/>
  <c r="M15" i="32"/>
  <c r="R258" i="15"/>
  <c r="Q258"/>
  <c r="M258"/>
  <c r="M19" i="42"/>
  <c r="R257" i="15"/>
  <c r="Q257"/>
  <c r="M257"/>
  <c r="M18" i="42"/>
  <c r="R255" i="15"/>
  <c r="Q255"/>
  <c r="M255"/>
  <c r="O255"/>
  <c r="O15" i="23"/>
  <c r="M15"/>
  <c r="R254" i="15"/>
  <c r="Q254"/>
  <c r="M254"/>
  <c r="O254"/>
  <c r="O14" i="23"/>
  <c r="M14"/>
  <c r="R253" i="15"/>
  <c r="R252"/>
  <c r="Q252"/>
  <c r="M252"/>
  <c r="R251"/>
  <c r="Q251"/>
  <c r="M251"/>
  <c r="R248"/>
  <c r="M248"/>
  <c r="M8" i="75"/>
  <c r="R247" i="15"/>
  <c r="Q247"/>
  <c r="M247"/>
  <c r="M7" i="75"/>
  <c r="R245" i="15"/>
  <c r="Q245"/>
  <c r="M245"/>
  <c r="M8" i="70"/>
  <c r="R243" i="15"/>
  <c r="Q243"/>
  <c r="M243"/>
  <c r="M21" i="68"/>
  <c r="R242" i="15"/>
  <c r="Q242"/>
  <c r="M242"/>
  <c r="M20" i="68"/>
  <c r="R241" i="15"/>
  <c r="Q241"/>
  <c r="M241"/>
  <c r="M19" i="68"/>
  <c r="R240" i="15"/>
  <c r="Q240"/>
  <c r="M240"/>
  <c r="M18" i="68"/>
  <c r="R238" i="15"/>
  <c r="Q238"/>
  <c r="M238"/>
  <c r="R237"/>
  <c r="Q237"/>
  <c r="M237"/>
  <c r="R236"/>
  <c r="Q236"/>
  <c r="M236"/>
  <c r="R234"/>
  <c r="Q234"/>
  <c r="M234"/>
  <c r="M22" i="20"/>
  <c r="R233" i="15"/>
  <c r="Q233"/>
  <c r="M233"/>
  <c r="R231"/>
  <c r="Q231"/>
  <c r="M231"/>
  <c r="M60" i="30"/>
  <c r="R230" i="15"/>
  <c r="Q230"/>
  <c r="M230"/>
  <c r="M59" i="30"/>
  <c r="R229" i="15"/>
  <c r="Q229"/>
  <c r="M229"/>
  <c r="M58" i="30"/>
  <c r="R228" i="15"/>
  <c r="Q228"/>
  <c r="M228"/>
  <c r="M57" i="30"/>
  <c r="R227" i="15"/>
  <c r="Q227"/>
  <c r="M227"/>
  <c r="M56" i="30"/>
  <c r="R226" i="15"/>
  <c r="Q226"/>
  <c r="M226"/>
  <c r="M55" i="30"/>
  <c r="R225" i="15"/>
  <c r="Q225"/>
  <c r="M225"/>
  <c r="M54" i="30"/>
  <c r="R224" i="15"/>
  <c r="Q224"/>
  <c r="M224"/>
  <c r="R223"/>
  <c r="Q223"/>
  <c r="M223"/>
  <c r="R222"/>
  <c r="Q222"/>
  <c r="M222"/>
  <c r="R221"/>
  <c r="Q221"/>
  <c r="M221"/>
  <c r="R220"/>
  <c r="Q220"/>
  <c r="M220"/>
  <c r="R219"/>
  <c r="Q219"/>
  <c r="M219"/>
  <c r="R218"/>
  <c r="Q218"/>
  <c r="M218"/>
  <c r="R217"/>
  <c r="Q217"/>
  <c r="M217"/>
  <c r="R216"/>
  <c r="Q216"/>
  <c r="M216"/>
  <c r="R215"/>
  <c r="Q215"/>
  <c r="M215"/>
  <c r="M212"/>
  <c r="O212"/>
  <c r="O211"/>
  <c r="O70" i="82"/>
  <c r="R211" i="15"/>
  <c r="R210"/>
  <c r="Q210"/>
  <c r="M210"/>
  <c r="R209"/>
  <c r="Q209"/>
  <c r="M209"/>
  <c r="M207"/>
  <c r="O207"/>
  <c r="M206"/>
  <c r="O206"/>
  <c r="R205"/>
  <c r="R204"/>
  <c r="Q204"/>
  <c r="M204"/>
  <c r="R203"/>
  <c r="Q203"/>
  <c r="M203"/>
  <c r="M201"/>
  <c r="O201"/>
  <c r="O200"/>
  <c r="O66" i="82"/>
  <c r="R200" i="15"/>
  <c r="R199"/>
  <c r="Q199"/>
  <c r="M199"/>
  <c r="R198"/>
  <c r="Q198"/>
  <c r="M198"/>
  <c r="R196"/>
  <c r="Q196"/>
  <c r="M196"/>
  <c r="O196"/>
  <c r="O87" i="27"/>
  <c r="M87"/>
  <c r="R195" i="15"/>
  <c r="Q195"/>
  <c r="M195"/>
  <c r="M86" i="27"/>
  <c r="R194" i="15"/>
  <c r="Q194"/>
  <c r="M194"/>
  <c r="M85" i="27"/>
  <c r="R193" i="15"/>
  <c r="Q193"/>
  <c r="M193"/>
  <c r="M84" i="27"/>
  <c r="R192" i="15"/>
  <c r="Q192"/>
  <c r="M192"/>
  <c r="M83" i="27"/>
  <c r="R189" i="15"/>
  <c r="Q189"/>
  <c r="M189"/>
  <c r="R188"/>
  <c r="Q188"/>
  <c r="M188"/>
  <c r="R186"/>
  <c r="Q186"/>
  <c r="M186"/>
  <c r="M413" i="38"/>
  <c r="R185" i="15"/>
  <c r="Q185"/>
  <c r="M185"/>
  <c r="M412" i="38"/>
  <c r="R183" i="15"/>
  <c r="Q183"/>
  <c r="M183"/>
  <c r="R182"/>
  <c r="Q182"/>
  <c r="M182"/>
  <c r="R181"/>
  <c r="R180"/>
  <c r="Q180"/>
  <c r="M180"/>
  <c r="M310" i="38"/>
  <c r="R179" i="15"/>
  <c r="Q179"/>
  <c r="M179"/>
  <c r="O179"/>
  <c r="O309" i="38"/>
  <c r="M309"/>
  <c r="R178" i="15"/>
  <c r="Q178"/>
  <c r="M178"/>
  <c r="M308" i="38"/>
  <c r="R177" i="15"/>
  <c r="Q177"/>
  <c r="M177"/>
  <c r="M307" i="38"/>
  <c r="R175" i="15"/>
  <c r="Q175"/>
  <c r="M175"/>
  <c r="R174"/>
  <c r="Q174"/>
  <c r="M174"/>
  <c r="R173"/>
  <c r="R172"/>
  <c r="Q172"/>
  <c r="M172"/>
  <c r="M143" i="38"/>
  <c r="R171" i="15"/>
  <c r="Q171"/>
  <c r="M171"/>
  <c r="O171"/>
  <c r="O142" i="38"/>
  <c r="M142"/>
  <c r="R170" i="15"/>
  <c r="Q170"/>
  <c r="M170"/>
  <c r="M141" i="38"/>
  <c r="J170" i="15"/>
  <c r="J141" i="38"/>
  <c r="R169" i="15"/>
  <c r="Q169"/>
  <c r="M169"/>
  <c r="M140" i="38"/>
  <c r="J169" i="15"/>
  <c r="J140" i="38"/>
  <c r="R167" i="15"/>
  <c r="Q167"/>
  <c r="M167"/>
  <c r="M139" i="38"/>
  <c r="R166" i="15"/>
  <c r="Q166"/>
  <c r="M166"/>
  <c r="O166"/>
  <c r="O138" i="38"/>
  <c r="M138"/>
  <c r="R165" i="15"/>
  <c r="Q165"/>
  <c r="M165"/>
  <c r="O165"/>
  <c r="O137" i="38"/>
  <c r="M137"/>
  <c r="R164" i="15"/>
  <c r="Q164"/>
  <c r="M164"/>
  <c r="M136" i="38"/>
  <c r="R163" i="15"/>
  <c r="Q163"/>
  <c r="M163"/>
  <c r="O163"/>
  <c r="O135" i="38"/>
  <c r="M135"/>
  <c r="R162" i="15"/>
  <c r="Q162"/>
  <c r="M162"/>
  <c r="O162"/>
  <c r="O134" i="38"/>
  <c r="M134"/>
  <c r="Q161" i="15"/>
  <c r="M161"/>
  <c r="M133" i="38"/>
  <c r="R159" i="15"/>
  <c r="Q159"/>
  <c r="M159"/>
  <c r="M53" i="38"/>
  <c r="R158" i="15"/>
  <c r="Q158"/>
  <c r="M158"/>
  <c r="M52" i="38"/>
  <c r="R157" i="15"/>
  <c r="Q157"/>
  <c r="M157"/>
  <c r="M51" i="38"/>
  <c r="R156" i="15"/>
  <c r="Q156"/>
  <c r="M156"/>
  <c r="O156"/>
  <c r="O50" i="38"/>
  <c r="M50"/>
  <c r="R155" i="15"/>
  <c r="Q155"/>
  <c r="M155"/>
  <c r="O155"/>
  <c r="O49" i="38"/>
  <c r="M49"/>
  <c r="R154" i="15"/>
  <c r="Q154"/>
  <c r="M154"/>
  <c r="M48" i="38"/>
  <c r="R152" i="15"/>
  <c r="Q152"/>
  <c r="M152"/>
  <c r="R151"/>
  <c r="Q151"/>
  <c r="M151"/>
  <c r="R150"/>
  <c r="Q150"/>
  <c r="M150"/>
  <c r="R149"/>
  <c r="Q149"/>
  <c r="M149"/>
  <c r="R148"/>
  <c r="Q148"/>
  <c r="M148"/>
  <c r="R147"/>
  <c r="Q147"/>
  <c r="M147"/>
  <c r="M143"/>
  <c r="O143"/>
  <c r="O53" i="82"/>
  <c r="M142" i="15"/>
  <c r="R141"/>
  <c r="Q141"/>
  <c r="Q51" i="82"/>
  <c r="M141" i="15"/>
  <c r="R140"/>
  <c r="Q140"/>
  <c r="M140"/>
  <c r="Q139"/>
  <c r="Q49" i="82"/>
  <c r="M139" i="15"/>
  <c r="M49" i="82"/>
  <c r="R138" i="15"/>
  <c r="Q138"/>
  <c r="M138"/>
  <c r="R137"/>
  <c r="Q137"/>
  <c r="M137"/>
  <c r="M231" i="38"/>
  <c r="R136" i="15"/>
  <c r="M134"/>
  <c r="O134"/>
  <c r="M133"/>
  <c r="O133"/>
  <c r="R132"/>
  <c r="M131"/>
  <c r="O131"/>
  <c r="M130"/>
  <c r="O130"/>
  <c r="R129"/>
  <c r="M128"/>
  <c r="O128"/>
  <c r="M127"/>
  <c r="O127"/>
  <c r="M125"/>
  <c r="M124"/>
  <c r="R123"/>
  <c r="M122"/>
  <c r="M121"/>
  <c r="R120"/>
  <c r="M119"/>
  <c r="M118"/>
  <c r="M117"/>
  <c r="M116"/>
  <c r="M115"/>
  <c r="M114"/>
  <c r="R113"/>
  <c r="M112"/>
  <c r="M111"/>
  <c r="M110"/>
  <c r="R109"/>
  <c r="M108"/>
  <c r="M107"/>
  <c r="M106"/>
  <c r="M105"/>
  <c r="M104"/>
  <c r="M103"/>
  <c r="M102"/>
  <c r="R101"/>
  <c r="M100"/>
  <c r="R99"/>
  <c r="M98"/>
  <c r="M97"/>
  <c r="M96"/>
  <c r="M95"/>
  <c r="M94"/>
  <c r="R93"/>
  <c r="R91"/>
  <c r="Q91"/>
  <c r="M91"/>
  <c r="M89"/>
  <c r="R88"/>
  <c r="M87"/>
  <c r="M86"/>
  <c r="M85"/>
  <c r="M84"/>
  <c r="R83"/>
  <c r="M82"/>
  <c r="M81"/>
  <c r="M80"/>
  <c r="M79"/>
  <c r="M78"/>
  <c r="M77"/>
  <c r="R76"/>
  <c r="M75"/>
  <c r="M74"/>
  <c r="R73"/>
  <c r="R71"/>
  <c r="Q71"/>
  <c r="M71"/>
  <c r="R70"/>
  <c r="Q70"/>
  <c r="M70"/>
  <c r="M68"/>
  <c r="O68"/>
  <c r="M67"/>
  <c r="O67"/>
  <c r="M66"/>
  <c r="O66"/>
  <c r="R65"/>
  <c r="M63"/>
  <c r="M62"/>
  <c r="R61"/>
  <c r="M60"/>
  <c r="R59"/>
  <c r="M58"/>
  <c r="O58"/>
  <c r="M57"/>
  <c r="O57"/>
  <c r="M56"/>
  <c r="K193" i="72"/>
  <c r="R55" i="15"/>
  <c r="M54"/>
  <c r="K143" i="72"/>
  <c r="R53" i="15"/>
  <c r="M52"/>
  <c r="M51"/>
  <c r="R50"/>
  <c r="M49"/>
  <c r="M48"/>
  <c r="R47"/>
  <c r="M46"/>
  <c r="K134" i="72"/>
  <c r="M45" i="15"/>
  <c r="M44"/>
  <c r="K131" i="72"/>
  <c r="M43" i="15"/>
  <c r="R42"/>
  <c r="M40"/>
  <c r="M39"/>
  <c r="R38"/>
  <c r="R37"/>
  <c r="Q37"/>
  <c r="M37"/>
  <c r="M36"/>
  <c r="M34"/>
  <c r="M33"/>
  <c r="M32"/>
  <c r="M31"/>
  <c r="M30"/>
  <c r="M28"/>
  <c r="M27"/>
  <c r="R26"/>
  <c r="M25"/>
  <c r="M24"/>
  <c r="M23"/>
  <c r="M22"/>
  <c r="M21"/>
  <c r="M20"/>
  <c r="M18"/>
  <c r="M17"/>
  <c r="R16"/>
  <c r="Q16"/>
  <c r="M16"/>
  <c r="R15"/>
  <c r="Q15"/>
  <c r="M15"/>
  <c r="M14"/>
  <c r="M12"/>
  <c r="M11"/>
  <c r="M10"/>
  <c r="M9"/>
  <c r="M8"/>
  <c r="C2"/>
  <c r="B2"/>
  <c r="A2"/>
  <c r="R85" i="82"/>
  <c r="R66"/>
  <c r="R53"/>
  <c r="Q53"/>
  <c r="P53"/>
  <c r="M53"/>
  <c r="K53"/>
  <c r="R52"/>
  <c r="Q52"/>
  <c r="P52"/>
  <c r="K52"/>
  <c r="R51"/>
  <c r="P51"/>
  <c r="M51"/>
  <c r="K51"/>
  <c r="Q50"/>
  <c r="P50"/>
  <c r="M50"/>
  <c r="K50"/>
  <c r="R49"/>
  <c r="P49"/>
  <c r="K49"/>
  <c r="Q48"/>
  <c r="P48"/>
  <c r="K48"/>
  <c r="Q47"/>
  <c r="P47"/>
  <c r="M47"/>
  <c r="K47"/>
  <c r="R45"/>
  <c r="BA3"/>
  <c r="R42"/>
  <c r="AZ3"/>
  <c r="R39"/>
  <c r="R38"/>
  <c r="R37"/>
  <c r="R32"/>
  <c r="R30"/>
  <c r="R26"/>
  <c r="Z3"/>
  <c r="R22"/>
  <c r="R21"/>
  <c r="R13"/>
  <c r="B4"/>
  <c r="B3"/>
  <c r="A2"/>
  <c r="M98" i="4"/>
  <c r="M97"/>
  <c r="M96"/>
  <c r="M95"/>
  <c r="M94"/>
  <c r="M93"/>
  <c r="M92"/>
  <c r="M91"/>
  <c r="M90"/>
  <c r="M89"/>
  <c r="M88"/>
  <c r="M87"/>
  <c r="K91" i="72"/>
  <c r="M86" i="4"/>
  <c r="M85"/>
  <c r="K89" i="72"/>
  <c r="M84" i="4"/>
  <c r="M83"/>
  <c r="K87" i="72"/>
  <c r="R82" i="4"/>
  <c r="M81"/>
  <c r="K85" i="72"/>
  <c r="M80" i="4"/>
  <c r="M79"/>
  <c r="K83" i="72"/>
  <c r="M78" i="4"/>
  <c r="M77"/>
  <c r="M76"/>
  <c r="M75"/>
  <c r="K79" i="72"/>
  <c r="M74" i="4"/>
  <c r="M73"/>
  <c r="K77" i="72"/>
  <c r="M72" i="4"/>
  <c r="R71"/>
  <c r="M70"/>
  <c r="M69"/>
  <c r="K73" i="72"/>
  <c r="M68" i="4"/>
  <c r="M67"/>
  <c r="K71" i="72"/>
  <c r="M66" i="4"/>
  <c r="L65"/>
  <c r="M65"/>
  <c r="M64"/>
  <c r="K68" i="72"/>
  <c r="M63" i="4"/>
  <c r="O63"/>
  <c r="M62"/>
  <c r="O62"/>
  <c r="M61"/>
  <c r="K65" i="72"/>
  <c r="M60" i="4"/>
  <c r="M59"/>
  <c r="K63" i="72"/>
  <c r="M58" i="4"/>
  <c r="K62" i="72"/>
  <c r="M57" i="4"/>
  <c r="M54"/>
  <c r="K58" i="72"/>
  <c r="M53" i="4"/>
  <c r="K57" i="72"/>
  <c r="M52" i="4"/>
  <c r="M51"/>
  <c r="K55" i="72"/>
  <c r="M50" i="4"/>
  <c r="K54" i="72"/>
  <c r="M49" i="4"/>
  <c r="M48"/>
  <c r="K52" i="72"/>
  <c r="M47" i="4"/>
  <c r="K51" i="72"/>
  <c r="R46" i="4"/>
  <c r="M45"/>
  <c r="K49" i="72"/>
  <c r="M44" i="4"/>
  <c r="K48" i="72"/>
  <c r="M43" i="4"/>
  <c r="O43"/>
  <c r="M42"/>
  <c r="O42"/>
  <c r="M41"/>
  <c r="O41"/>
  <c r="M40"/>
  <c r="K44" i="72"/>
  <c r="M39" i="4"/>
  <c r="K43" i="72"/>
  <c r="M38" i="4"/>
  <c r="K42" i="72"/>
  <c r="M37" i="4"/>
  <c r="K41" i="72"/>
  <c r="R36" i="4"/>
  <c r="M35"/>
  <c r="K39" i="72"/>
  <c r="M34" i="4"/>
  <c r="O34"/>
  <c r="M33"/>
  <c r="O33"/>
  <c r="M32"/>
  <c r="K36" i="72"/>
  <c r="M31" i="4"/>
  <c r="K35" i="72"/>
  <c r="R30" i="4"/>
  <c r="R21"/>
  <c r="Q30"/>
  <c r="M30"/>
  <c r="M11" i="54"/>
  <c r="M29" i="4"/>
  <c r="O29"/>
  <c r="M28"/>
  <c r="O28"/>
  <c r="M27"/>
  <c r="K32" i="72"/>
  <c r="M26" i="4"/>
  <c r="K31" i="72"/>
  <c r="M25" i="4"/>
  <c r="K30" i="72"/>
  <c r="M24" i="4"/>
  <c r="O24"/>
  <c r="AX4"/>
  <c r="M23"/>
  <c r="O23"/>
  <c r="AW4"/>
  <c r="M22"/>
  <c r="K27" i="72"/>
  <c r="M20" i="4"/>
  <c r="K25" i="72"/>
  <c r="M19" i="4"/>
  <c r="K24" i="72"/>
  <c r="M18" i="4"/>
  <c r="O18"/>
  <c r="M17"/>
  <c r="K22" i="72"/>
  <c r="M16" i="4"/>
  <c r="K21" i="72"/>
  <c r="M15" i="4"/>
  <c r="K20" i="72"/>
  <c r="M14" i="4"/>
  <c r="K19" i="72"/>
  <c r="M13" i="4"/>
  <c r="K18" i="72"/>
  <c r="M12" i="4"/>
  <c r="K17" i="72"/>
  <c r="M11" i="4"/>
  <c r="K16" i="72"/>
  <c r="R10" i="4"/>
  <c r="B4"/>
  <c r="BA3"/>
  <c r="AX3"/>
  <c r="AW3"/>
  <c r="AV3"/>
  <c r="AT3"/>
  <c r="AR3"/>
  <c r="AQ3"/>
  <c r="AP3"/>
  <c r="AL3"/>
  <c r="AJ3"/>
  <c r="AF3"/>
  <c r="Q3"/>
  <c r="N3"/>
  <c r="L3"/>
  <c r="G3"/>
  <c r="B3"/>
  <c r="A2"/>
  <c r="M15" i="60"/>
  <c r="O15"/>
  <c r="M14"/>
  <c r="O14"/>
  <c r="M13"/>
  <c r="O13"/>
  <c r="M12"/>
  <c r="O12"/>
  <c r="M11"/>
  <c r="O11"/>
  <c r="M10"/>
  <c r="O10"/>
  <c r="M9"/>
  <c r="O9"/>
  <c r="R8"/>
  <c r="B4"/>
  <c r="W3"/>
  <c r="B3"/>
  <c r="A2"/>
  <c r="M123" i="3"/>
  <c r="O123"/>
  <c r="M122"/>
  <c r="O122"/>
  <c r="M121"/>
  <c r="O121"/>
  <c r="M120"/>
  <c r="O120"/>
  <c r="R119"/>
  <c r="R117"/>
  <c r="Q117"/>
  <c r="M117"/>
  <c r="M9" i="23"/>
  <c r="R114" i="3"/>
  <c r="Q114"/>
  <c r="M114"/>
  <c r="M16" i="68"/>
  <c r="R113" i="3"/>
  <c r="Q113"/>
  <c r="M113"/>
  <c r="M15" i="68"/>
  <c r="R111" i="3"/>
  <c r="Q111"/>
  <c r="M111"/>
  <c r="M17" i="41"/>
  <c r="R110" i="3"/>
  <c r="Q110"/>
  <c r="M110"/>
  <c r="M16" i="41"/>
  <c r="R109" i="3"/>
  <c r="Q109"/>
  <c r="Q43" i="81"/>
  <c r="M109" i="3"/>
  <c r="M15" i="41"/>
  <c r="R108" i="3"/>
  <c r="Q108"/>
  <c r="Q42" i="81"/>
  <c r="M108" i="3"/>
  <c r="M14" i="41"/>
  <c r="R107" i="3"/>
  <c r="Q107"/>
  <c r="Q41" i="81"/>
  <c r="M107" i="3"/>
  <c r="O107"/>
  <c r="R105"/>
  <c r="Q105"/>
  <c r="M105"/>
  <c r="M31" i="30"/>
  <c r="R104" i="3"/>
  <c r="Q104"/>
  <c r="M104"/>
  <c r="M30" i="30"/>
  <c r="R103" i="3"/>
  <c r="Q103"/>
  <c r="M103"/>
  <c r="M29" i="30"/>
  <c r="R102" i="3"/>
  <c r="Q102"/>
  <c r="M102"/>
  <c r="O102"/>
  <c r="R100"/>
  <c r="Q100"/>
  <c r="M100"/>
  <c r="M27" i="30"/>
  <c r="R99" i="3"/>
  <c r="Q99"/>
  <c r="M99"/>
  <c r="M26" i="30"/>
  <c r="R98" i="3"/>
  <c r="Q98"/>
  <c r="M98"/>
  <c r="M25" i="30"/>
  <c r="R97" i="3"/>
  <c r="Q97"/>
  <c r="M97"/>
  <c r="O97"/>
  <c r="O24" i="30"/>
  <c r="R96" i="3"/>
  <c r="Q96"/>
  <c r="M96"/>
  <c r="M23" i="30"/>
  <c r="R95" i="3"/>
  <c r="Q95"/>
  <c r="M95"/>
  <c r="M22" i="30"/>
  <c r="Q91" i="3"/>
  <c r="M91"/>
  <c r="M301" i="38"/>
  <c r="R89" i="3"/>
  <c r="Q89"/>
  <c r="M89"/>
  <c r="O89"/>
  <c r="R85"/>
  <c r="Q85"/>
  <c r="M85"/>
  <c r="M81" i="27"/>
  <c r="R84" i="3"/>
  <c r="Q84"/>
  <c r="M84"/>
  <c r="O84"/>
  <c r="R83"/>
  <c r="Q83"/>
  <c r="M83"/>
  <c r="O83"/>
  <c r="O79" i="27"/>
  <c r="R82" i="3"/>
  <c r="Q82"/>
  <c r="M82"/>
  <c r="O82"/>
  <c r="O78" i="27"/>
  <c r="R81" i="3"/>
  <c r="Q81"/>
  <c r="M81"/>
  <c r="O81"/>
  <c r="O77" i="27"/>
  <c r="R80" i="3"/>
  <c r="Q80"/>
  <c r="M80"/>
  <c r="M76" i="27"/>
  <c r="R79" i="3"/>
  <c r="Q79"/>
  <c r="M79"/>
  <c r="O79"/>
  <c r="O75" i="27"/>
  <c r="R78" i="3"/>
  <c r="Q78"/>
  <c r="M78"/>
  <c r="O78"/>
  <c r="R75"/>
  <c r="Q75"/>
  <c r="M75"/>
  <c r="M72" i="27"/>
  <c r="R74" i="3"/>
  <c r="Q74"/>
  <c r="M74"/>
  <c r="M71" i="27"/>
  <c r="R73" i="3"/>
  <c r="Q73"/>
  <c r="M73"/>
  <c r="M70" i="27"/>
  <c r="R71" i="3"/>
  <c r="Q71"/>
  <c r="M71"/>
  <c r="M68" i="27"/>
  <c r="R70" i="3"/>
  <c r="Q70"/>
  <c r="M70"/>
  <c r="M67" i="27"/>
  <c r="R69" i="3"/>
  <c r="Q69"/>
  <c r="M69"/>
  <c r="M66" i="27"/>
  <c r="R68" i="3"/>
  <c r="Q68"/>
  <c r="M68"/>
  <c r="M65" i="27"/>
  <c r="M67" i="3"/>
  <c r="M64" i="27"/>
  <c r="R66" i="3"/>
  <c r="Q66"/>
  <c r="M66"/>
  <c r="O66"/>
  <c r="O63" i="27"/>
  <c r="R65" i="3"/>
  <c r="Q65"/>
  <c r="M65"/>
  <c r="O65"/>
  <c r="O62" i="27"/>
  <c r="R64" i="3"/>
  <c r="Q64"/>
  <c r="M64"/>
  <c r="O64"/>
  <c r="O61" i="27"/>
  <c r="R63" i="3"/>
  <c r="Q63"/>
  <c r="M63"/>
  <c r="O63"/>
  <c r="O60" i="27"/>
  <c r="R62" i="3"/>
  <c r="Q62"/>
  <c r="M62"/>
  <c r="O62"/>
  <c r="R59"/>
  <c r="Q59"/>
  <c r="M59"/>
  <c r="M57" i="27"/>
  <c r="R58" i="3"/>
  <c r="Q58"/>
  <c r="M58"/>
  <c r="M56" i="27"/>
  <c r="R56" i="3"/>
  <c r="Q56"/>
  <c r="M56"/>
  <c r="O56"/>
  <c r="O54" i="27"/>
  <c r="R55" i="3"/>
  <c r="Q55"/>
  <c r="M55"/>
  <c r="O55"/>
  <c r="O53" i="27"/>
  <c r="R54" i="3"/>
  <c r="Q54"/>
  <c r="M54"/>
  <c r="O54"/>
  <c r="R51"/>
  <c r="Q51"/>
  <c r="M51"/>
  <c r="M50" i="27"/>
  <c r="R50" i="3"/>
  <c r="Q50"/>
  <c r="M50"/>
  <c r="M49" i="27"/>
  <c r="Q49" i="3"/>
  <c r="M49"/>
  <c r="M48" i="27"/>
  <c r="R48" i="3"/>
  <c r="Q48"/>
  <c r="M48"/>
  <c r="M13" i="20"/>
  <c r="R46" i="3"/>
  <c r="Q46"/>
  <c r="M46"/>
  <c r="M21" i="30"/>
  <c r="R45" i="3"/>
  <c r="Q45"/>
  <c r="M45"/>
  <c r="M20" i="30"/>
  <c r="R44" i="3"/>
  <c r="M44"/>
  <c r="O44"/>
  <c r="R43"/>
  <c r="M43"/>
  <c r="M18" i="30"/>
  <c r="R42" i="3"/>
  <c r="Q42"/>
  <c r="M42"/>
  <c r="M17" i="30"/>
  <c r="R41" i="3"/>
  <c r="Q41"/>
  <c r="M41"/>
  <c r="M16" i="30"/>
  <c r="R40" i="3"/>
  <c r="M40"/>
  <c r="M15" i="30"/>
  <c r="R37" i="3"/>
  <c r="Q37"/>
  <c r="M37"/>
  <c r="M37" i="27"/>
  <c r="R36" i="3"/>
  <c r="Q36"/>
  <c r="M36"/>
  <c r="M36" i="27"/>
  <c r="R35" i="3"/>
  <c r="Q35"/>
  <c r="M35"/>
  <c r="M35" i="27"/>
  <c r="R34" i="3"/>
  <c r="Q34"/>
  <c r="M34"/>
  <c r="M299" i="38"/>
  <c r="R32" i="3"/>
  <c r="Q32"/>
  <c r="M32"/>
  <c r="M32" i="27"/>
  <c r="R31" i="3"/>
  <c r="Q31"/>
  <c r="M31"/>
  <c r="M31" i="27"/>
  <c r="R30" i="3"/>
  <c r="Q30"/>
  <c r="M30"/>
  <c r="M220" i="38"/>
  <c r="R29" i="3"/>
  <c r="Q29"/>
  <c r="M29"/>
  <c r="M219" i="38"/>
  <c r="R28" i="3"/>
  <c r="Q28"/>
  <c r="M28"/>
  <c r="M218" i="38"/>
  <c r="Q27" i="3"/>
  <c r="M27"/>
  <c r="M217" i="38"/>
  <c r="R26" i="3"/>
  <c r="M26"/>
  <c r="M26" i="27"/>
  <c r="R25" i="3"/>
  <c r="M25"/>
  <c r="M25" i="27"/>
  <c r="R24" i="3"/>
  <c r="Q24"/>
  <c r="M24"/>
  <c r="M214" i="38"/>
  <c r="R22" i="3"/>
  <c r="Q22"/>
  <c r="M22"/>
  <c r="M22" i="27"/>
  <c r="R21" i="3"/>
  <c r="Q21"/>
  <c r="M21"/>
  <c r="M405" i="38"/>
  <c r="R19" i="3"/>
  <c r="Q19"/>
  <c r="M19"/>
  <c r="M19" i="27"/>
  <c r="J19" i="3"/>
  <c r="J120" i="38"/>
  <c r="Q18" i="3"/>
  <c r="M18"/>
  <c r="O18"/>
  <c r="J18"/>
  <c r="J18" i="27"/>
  <c r="R17" i="3"/>
  <c r="Q17"/>
  <c r="M17"/>
  <c r="M17" i="27"/>
  <c r="R16" i="3"/>
  <c r="Q16"/>
  <c r="M16"/>
  <c r="M16" i="27"/>
  <c r="R15" i="3"/>
  <c r="Q15"/>
  <c r="M15"/>
  <c r="O15"/>
  <c r="J15"/>
  <c r="J116" i="38"/>
  <c r="R14" i="3"/>
  <c r="Q14"/>
  <c r="M14"/>
  <c r="M14" i="27"/>
  <c r="J14" i="3"/>
  <c r="J14" i="27"/>
  <c r="Q13" i="3"/>
  <c r="M13"/>
  <c r="O13"/>
  <c r="O114" i="38"/>
  <c r="J13" i="3"/>
  <c r="J114" i="38"/>
  <c r="Q11" i="3"/>
  <c r="M11"/>
  <c r="M11" i="27"/>
  <c r="M10" i="3"/>
  <c r="M29" i="38"/>
  <c r="R9" i="3"/>
  <c r="M9"/>
  <c r="M9" i="27"/>
  <c r="Q8" i="3"/>
  <c r="M8"/>
  <c r="M27" i="38"/>
  <c r="C2" i="3"/>
  <c r="B2"/>
  <c r="A2"/>
  <c r="M56" i="81"/>
  <c r="O56"/>
  <c r="R55"/>
  <c r="Q55"/>
  <c r="M55"/>
  <c r="M7" i="71"/>
  <c r="R54" i="81"/>
  <c r="Q54"/>
  <c r="M54"/>
  <c r="M10" i="32"/>
  <c r="R53" i="81"/>
  <c r="Q53"/>
  <c r="M53"/>
  <c r="O53"/>
  <c r="O7" i="40"/>
  <c r="O6"/>
  <c r="M7"/>
  <c r="M51" i="81"/>
  <c r="O51"/>
  <c r="M50"/>
  <c r="O50"/>
  <c r="M48"/>
  <c r="O48"/>
  <c r="N43"/>
  <c r="L43"/>
  <c r="K43"/>
  <c r="J43"/>
  <c r="I43"/>
  <c r="H43"/>
  <c r="G43"/>
  <c r="F43"/>
  <c r="R42"/>
  <c r="N42"/>
  <c r="L42"/>
  <c r="K42"/>
  <c r="J42"/>
  <c r="I42"/>
  <c r="H42"/>
  <c r="G42"/>
  <c r="F42"/>
  <c r="N41"/>
  <c r="L41"/>
  <c r="K41"/>
  <c r="J41"/>
  <c r="I41"/>
  <c r="H41"/>
  <c r="G41"/>
  <c r="F41"/>
  <c r="R17"/>
  <c r="B4"/>
  <c r="AH3"/>
  <c r="B3"/>
  <c r="A2"/>
  <c r="M65" i="2"/>
  <c r="O65"/>
  <c r="R64"/>
  <c r="Q64"/>
  <c r="M64"/>
  <c r="R60"/>
  <c r="Q60"/>
  <c r="M60"/>
  <c r="R58"/>
  <c r="Q58"/>
  <c r="M58"/>
  <c r="M10" i="31"/>
  <c r="R57" i="2"/>
  <c r="Q57"/>
  <c r="M57"/>
  <c r="M9" i="31"/>
  <c r="R56" i="2"/>
  <c r="Q56"/>
  <c r="M56"/>
  <c r="R54"/>
  <c r="Q54"/>
  <c r="M54"/>
  <c r="R53"/>
  <c r="Q53"/>
  <c r="M53"/>
  <c r="R52"/>
  <c r="Q52"/>
  <c r="M52"/>
  <c r="R50"/>
  <c r="Q50"/>
  <c r="M50"/>
  <c r="M49"/>
  <c r="M7" i="23"/>
  <c r="R48" i="2"/>
  <c r="Q48"/>
  <c r="M48"/>
  <c r="M11" i="20"/>
  <c r="R47" i="2"/>
  <c r="Q47"/>
  <c r="M47"/>
  <c r="M14" i="24"/>
  <c r="R45" i="2"/>
  <c r="Q45"/>
  <c r="M45"/>
  <c r="R44"/>
  <c r="Q44"/>
  <c r="M44"/>
  <c r="R43"/>
  <c r="Q43"/>
  <c r="M43"/>
  <c r="R42"/>
  <c r="Q42"/>
  <c r="M42"/>
  <c r="R41"/>
  <c r="Q41"/>
  <c r="M41"/>
  <c r="R40"/>
  <c r="Q40"/>
  <c r="M40"/>
  <c r="Q39"/>
  <c r="M39"/>
  <c r="R38"/>
  <c r="Q38"/>
  <c r="M38"/>
  <c r="R37"/>
  <c r="Q37"/>
  <c r="M37"/>
  <c r="R36"/>
  <c r="Q36"/>
  <c r="M36"/>
  <c r="R35"/>
  <c r="Q35"/>
  <c r="M35"/>
  <c r="R34"/>
  <c r="Q34"/>
  <c r="M34"/>
  <c r="M30"/>
  <c r="O30"/>
  <c r="R29"/>
  <c r="Q29"/>
  <c r="M29"/>
  <c r="M12" i="30"/>
  <c r="R28" i="2"/>
  <c r="Q28"/>
  <c r="M28"/>
  <c r="M401" i="38"/>
  <c r="R27" i="2"/>
  <c r="Q27"/>
  <c r="M27"/>
  <c r="M400" i="38"/>
  <c r="J27" i="2"/>
  <c r="J400" i="38"/>
  <c r="R26" i="2"/>
  <c r="Q26"/>
  <c r="M26"/>
  <c r="M399" i="38"/>
  <c r="R25" i="2"/>
  <c r="Q25"/>
  <c r="M25"/>
  <c r="M398" i="38"/>
  <c r="M24" i="2"/>
  <c r="O24"/>
  <c r="R23"/>
  <c r="Q23"/>
  <c r="M23"/>
  <c r="M350" i="38"/>
  <c r="R22" i="2"/>
  <c r="Q22"/>
  <c r="M22"/>
  <c r="M349" i="38"/>
  <c r="R21" i="2"/>
  <c r="Q21"/>
  <c r="L21"/>
  <c r="L295" i="38"/>
  <c r="R20" i="2"/>
  <c r="Q20"/>
  <c r="M20"/>
  <c r="O20"/>
  <c r="O212" i="38"/>
  <c r="O211"/>
  <c r="M18" i="2"/>
  <c r="O18"/>
  <c r="AH4"/>
  <c r="R17"/>
  <c r="Q17"/>
  <c r="M17"/>
  <c r="M7" i="31"/>
  <c r="R16" i="2"/>
  <c r="Q16"/>
  <c r="M16"/>
  <c r="M10" i="45"/>
  <c r="M14" i="2"/>
  <c r="O14"/>
  <c r="M13"/>
  <c r="R12"/>
  <c r="M11"/>
  <c r="O11"/>
  <c r="M10"/>
  <c r="K9" i="72"/>
  <c r="R9" i="2"/>
  <c r="B4"/>
  <c r="AM3"/>
  <c r="AH3"/>
  <c r="S3"/>
  <c r="G3"/>
  <c r="B3"/>
  <c r="A2"/>
  <c r="M114" i="16"/>
  <c r="O114"/>
  <c r="R113"/>
  <c r="Q113"/>
  <c r="M113"/>
  <c r="M7" i="26"/>
  <c r="R112" i="16"/>
  <c r="M112"/>
  <c r="M396" i="38"/>
  <c r="R111" i="16"/>
  <c r="Q111"/>
  <c r="M111"/>
  <c r="M10" i="44"/>
  <c r="R110" i="16"/>
  <c r="Q110"/>
  <c r="M110"/>
  <c r="M9" i="44"/>
  <c r="M109" i="16"/>
  <c r="O109"/>
  <c r="M107"/>
  <c r="O107"/>
  <c r="Q106"/>
  <c r="M106"/>
  <c r="R105"/>
  <c r="Q105"/>
  <c r="M105"/>
  <c r="R104"/>
  <c r="Q104"/>
  <c r="M104"/>
  <c r="R102"/>
  <c r="Q102"/>
  <c r="M102"/>
  <c r="M9" i="68"/>
  <c r="R101" i="16"/>
  <c r="Q101"/>
  <c r="M101"/>
  <c r="M8" i="68"/>
  <c r="R99" i="16"/>
  <c r="Q99"/>
  <c r="M99"/>
  <c r="R98"/>
  <c r="Q98"/>
  <c r="M98"/>
  <c r="R97"/>
  <c r="Q97"/>
  <c r="M97"/>
  <c r="R96"/>
  <c r="Q96"/>
  <c r="M96"/>
  <c r="R95"/>
  <c r="Q95"/>
  <c r="M95"/>
  <c r="R94"/>
  <c r="Q94"/>
  <c r="M94"/>
  <c r="R93"/>
  <c r="Q93"/>
  <c r="M93"/>
  <c r="R92"/>
  <c r="Q92"/>
  <c r="M92"/>
  <c r="R91"/>
  <c r="Q91"/>
  <c r="M91"/>
  <c r="Q90"/>
  <c r="M90"/>
  <c r="R89"/>
  <c r="Q89"/>
  <c r="M89"/>
  <c r="Q88"/>
  <c r="M88"/>
  <c r="R87"/>
  <c r="Q87"/>
  <c r="M87"/>
  <c r="R86"/>
  <c r="Q86"/>
  <c r="M86"/>
  <c r="R85"/>
  <c r="Q85"/>
  <c r="M85"/>
  <c r="Q84"/>
  <c r="M84"/>
  <c r="M81"/>
  <c r="O81"/>
  <c r="R80"/>
  <c r="Q80"/>
  <c r="M80"/>
  <c r="M10" i="30"/>
  <c r="R79" i="16"/>
  <c r="Q79"/>
  <c r="M79"/>
  <c r="M8" i="41"/>
  <c r="R78" i="16"/>
  <c r="Q78"/>
  <c r="M78"/>
  <c r="M9" i="20"/>
  <c r="R76" i="16"/>
  <c r="Q76"/>
  <c r="M76"/>
  <c r="R75"/>
  <c r="Q75"/>
  <c r="M75"/>
  <c r="R74"/>
  <c r="Q74"/>
  <c r="M74"/>
  <c r="R73"/>
  <c r="Q73"/>
  <c r="M73"/>
  <c r="R72"/>
  <c r="Q72"/>
  <c r="M72"/>
  <c r="R71"/>
  <c r="Q71"/>
  <c r="M71"/>
  <c r="R69"/>
  <c r="Q69"/>
  <c r="M69"/>
  <c r="M204" i="38"/>
  <c r="R68" i="16"/>
  <c r="Q68"/>
  <c r="M68"/>
  <c r="M203" i="38"/>
  <c r="R65" i="16"/>
  <c r="Q65"/>
  <c r="M65"/>
  <c r="M19" i="38"/>
  <c r="R64" i="16"/>
  <c r="Q64"/>
  <c r="M64"/>
  <c r="M18" i="38"/>
  <c r="R63" i="16"/>
  <c r="Q63"/>
  <c r="M63"/>
  <c r="M17" i="38"/>
  <c r="R61" i="16"/>
  <c r="Q61"/>
  <c r="M61"/>
  <c r="M58"/>
  <c r="O58"/>
  <c r="R57"/>
  <c r="Q57"/>
  <c r="M57"/>
  <c r="M8" i="45"/>
  <c r="R56" i="16"/>
  <c r="Q56"/>
  <c r="M56"/>
  <c r="R55"/>
  <c r="Q55"/>
  <c r="M55"/>
  <c r="M7" i="54"/>
  <c r="M54" i="16"/>
  <c r="O54"/>
  <c r="R53"/>
  <c r="Q53"/>
  <c r="M53"/>
  <c r="R52"/>
  <c r="Q52"/>
  <c r="M52"/>
  <c r="R51"/>
  <c r="Q51"/>
  <c r="M51"/>
  <c r="M49"/>
  <c r="O49"/>
  <c r="R48"/>
  <c r="Q48"/>
  <c r="M48"/>
  <c r="R47"/>
  <c r="Q47"/>
  <c r="M47"/>
  <c r="R46"/>
  <c r="Q46"/>
  <c r="M46"/>
  <c r="R44"/>
  <c r="Q44"/>
  <c r="M44"/>
  <c r="M8" i="44"/>
  <c r="R43" i="16"/>
  <c r="Q43"/>
  <c r="M43"/>
  <c r="M7" i="44"/>
  <c r="R42" i="16"/>
  <c r="Q42"/>
  <c r="M42"/>
  <c r="M8" i="24"/>
  <c r="R41" i="16"/>
  <c r="Q41"/>
  <c r="M41"/>
  <c r="M7" i="24"/>
  <c r="M39" i="16"/>
  <c r="O39"/>
  <c r="R38"/>
  <c r="M38"/>
  <c r="M7" i="41"/>
  <c r="R37" i="16"/>
  <c r="Q37"/>
  <c r="M37"/>
  <c r="M8" i="20"/>
  <c r="R36" i="16"/>
  <c r="Q36"/>
  <c r="M36"/>
  <c r="M7" i="20"/>
  <c r="R35" i="16"/>
  <c r="Q35"/>
  <c r="M35"/>
  <c r="M9" i="30"/>
  <c r="R34" i="16"/>
  <c r="Q34"/>
  <c r="M34"/>
  <c r="M8" i="30"/>
  <c r="R33" i="16"/>
  <c r="Q33"/>
  <c r="M33"/>
  <c r="M7" i="30"/>
  <c r="R31" i="16"/>
  <c r="M31"/>
  <c r="M291" i="38"/>
  <c r="R30" i="16"/>
  <c r="M30"/>
  <c r="M290" i="38"/>
  <c r="R28" i="16"/>
  <c r="Q28"/>
  <c r="M28"/>
  <c r="M202" i="38"/>
  <c r="R27" i="16"/>
  <c r="Q27"/>
  <c r="M27"/>
  <c r="M201" i="38"/>
  <c r="R26" i="16"/>
  <c r="Q26"/>
  <c r="M26"/>
  <c r="M200" i="38"/>
  <c r="Q24" i="16"/>
  <c r="M24"/>
  <c r="M199" i="38"/>
  <c r="R23" i="16"/>
  <c r="Q23"/>
  <c r="M23"/>
  <c r="M198" i="38"/>
  <c r="R20" i="16"/>
  <c r="Q20"/>
  <c r="M20"/>
  <c r="M346" i="38"/>
  <c r="R19" i="16"/>
  <c r="Q19"/>
  <c r="M19"/>
  <c r="M345" i="38"/>
  <c r="R18" i="16"/>
  <c r="Q18"/>
  <c r="M18"/>
  <c r="M344" i="38"/>
  <c r="R17" i="16"/>
  <c r="Q17"/>
  <c r="M17"/>
  <c r="M343" i="38"/>
  <c r="R15" i="16"/>
  <c r="Q15"/>
  <c r="M15"/>
  <c r="M13" i="38"/>
  <c r="R14" i="16"/>
  <c r="Q14"/>
  <c r="M14"/>
  <c r="M12" i="38"/>
  <c r="R13" i="16"/>
  <c r="Q13"/>
  <c r="M13"/>
  <c r="M11" i="38"/>
  <c r="R12" i="16"/>
  <c r="Q12"/>
  <c r="M12"/>
  <c r="M10" i="38"/>
  <c r="R11" i="16"/>
  <c r="Q11"/>
  <c r="M11"/>
  <c r="M9" i="38"/>
  <c r="Q10" i="16"/>
  <c r="M10"/>
  <c r="M8" i="38"/>
  <c r="B4" i="16"/>
  <c r="AH3"/>
  <c r="B3"/>
  <c r="A2"/>
  <c r="K61" i="72"/>
  <c r="O57" i="4"/>
  <c r="M61" i="72"/>
  <c r="M21" i="20"/>
  <c r="O233" i="15"/>
  <c r="AQ3" i="5"/>
  <c r="M10" i="61"/>
  <c r="O186" i="7"/>
  <c r="O10" i="61"/>
  <c r="M272" i="38"/>
  <c r="O17" i="12"/>
  <c r="O272" i="38"/>
  <c r="O19" i="53"/>
  <c r="O18"/>
  <c r="O39" i="85"/>
  <c r="AU4"/>
  <c r="AU3" i="11"/>
  <c r="K56" i="72"/>
  <c r="O52" i="4"/>
  <c r="M56" i="72"/>
  <c r="M11" i="40"/>
  <c r="M48" i="82"/>
  <c r="O142" i="15"/>
  <c r="O52" i="82"/>
  <c r="M52"/>
  <c r="R27" i="83"/>
  <c r="AP3" i="8"/>
  <c r="AJ3" i="11"/>
  <c r="K287" i="72"/>
  <c r="N111" i="66"/>
  <c r="R28" i="81"/>
  <c r="K53" i="72"/>
  <c r="O49" i="4"/>
  <c r="M53" i="72"/>
  <c r="R259" i="15"/>
  <c r="N3" i="6"/>
  <c r="R29" i="12"/>
  <c r="R17" i="84"/>
  <c r="R30"/>
  <c r="O14" i="75"/>
  <c r="O13"/>
  <c r="AO4" i="84"/>
  <c r="R35"/>
  <c r="AM3" i="10"/>
  <c r="Q10" i="66"/>
  <c r="R298" i="38"/>
  <c r="R91" i="3"/>
  <c r="R334" i="38"/>
  <c r="R34" i="13"/>
  <c r="K64" i="72"/>
  <c r="O60" i="4"/>
  <c r="M64" i="72"/>
  <c r="K235"/>
  <c r="O16" i="58"/>
  <c r="M235" i="72"/>
  <c r="M4" i="66"/>
  <c r="R54" i="38"/>
  <c r="R8" i="5"/>
  <c r="F3"/>
  <c r="R18" i="82"/>
  <c r="R36"/>
  <c r="R40"/>
  <c r="R35" i="38"/>
  <c r="R12" i="41"/>
  <c r="F249" i="72"/>
  <c r="H277"/>
  <c r="R20" i="82"/>
  <c r="R27"/>
  <c r="O205" i="15"/>
  <c r="O68" i="82"/>
  <c r="Y4"/>
  <c r="R174" i="7"/>
  <c r="AS3" i="8"/>
  <c r="O8" i="12"/>
  <c r="O94" i="38"/>
  <c r="O9" i="12"/>
  <c r="O95" i="38"/>
  <c r="O93" i="12"/>
  <c r="O50" i="24"/>
  <c r="AJ3" i="10"/>
  <c r="R20"/>
  <c r="N74" i="66"/>
  <c r="F2" i="61"/>
  <c r="F2" i="34"/>
  <c r="P50" i="72"/>
  <c r="F75"/>
  <c r="F109"/>
  <c r="H122"/>
  <c r="F126"/>
  <c r="H207"/>
  <c r="Q38" i="66"/>
  <c r="N87"/>
  <c r="P66" i="72"/>
  <c r="F112"/>
  <c r="N225" i="66"/>
  <c r="N163"/>
  <c r="R177" i="7"/>
  <c r="O188"/>
  <c r="O12" i="61"/>
  <c r="O43" i="12"/>
  <c r="N76" i="66"/>
  <c r="N185"/>
  <c r="Q210"/>
  <c r="O137" i="15"/>
  <c r="O231" i="38"/>
  <c r="O138" i="15"/>
  <c r="O11" i="40"/>
  <c r="R153" i="15"/>
  <c r="O158"/>
  <c r="O52" i="38"/>
  <c r="O159" i="15"/>
  <c r="O53" i="38"/>
  <c r="O24" i="5"/>
  <c r="O31" i="41"/>
  <c r="R272" i="7"/>
  <c r="O102" i="12"/>
  <c r="O18" i="26"/>
  <c r="R8" i="11"/>
  <c r="P67" i="72"/>
  <c r="H249"/>
  <c r="R47" i="3"/>
  <c r="O274" i="7"/>
  <c r="O15" i="26"/>
  <c r="R15" i="12"/>
  <c r="R37"/>
  <c r="R12" i="11"/>
  <c r="AA4" i="58"/>
  <c r="N207" i="66"/>
  <c r="N251"/>
  <c r="R197" i="38"/>
  <c r="F7" i="72"/>
  <c r="F6"/>
  <c r="F15"/>
  <c r="H112"/>
  <c r="H119"/>
  <c r="H126"/>
  <c r="F141"/>
  <c r="H156"/>
  <c r="F173"/>
  <c r="G179"/>
  <c r="H183"/>
  <c r="P257"/>
  <c r="P273"/>
  <c r="O22" i="4"/>
  <c r="M27" i="72"/>
  <c r="O25" i="4"/>
  <c r="M30" i="72"/>
  <c r="O193" i="15"/>
  <c r="O84" i="27"/>
  <c r="O194" i="15"/>
  <c r="O85" i="27"/>
  <c r="R244" i="15"/>
  <c r="O260"/>
  <c r="O15" i="32"/>
  <c r="O261" i="15"/>
  <c r="O16" i="32"/>
  <c r="O273" i="15"/>
  <c r="O14" i="53"/>
  <c r="R54" i="7"/>
  <c r="R104" i="12"/>
  <c r="O29" i="10"/>
  <c r="N17" i="65"/>
  <c r="G7" i="72"/>
  <c r="G6"/>
  <c r="H50"/>
  <c r="F50"/>
  <c r="H129"/>
  <c r="G141"/>
  <c r="G150"/>
  <c r="F153"/>
  <c r="H179"/>
  <c r="F207"/>
  <c r="P249"/>
  <c r="H281"/>
  <c r="H280"/>
  <c r="F281"/>
  <c r="F280"/>
  <c r="N33" i="66"/>
  <c r="H4"/>
  <c r="H3" i="2"/>
  <c r="F3"/>
  <c r="AT3"/>
  <c r="R35" i="15"/>
  <c r="R191"/>
  <c r="R68" i="82"/>
  <c r="Y3"/>
  <c r="M16" i="83"/>
  <c r="R184" i="7"/>
  <c r="R231"/>
  <c r="O9" i="8"/>
  <c r="O18" i="12"/>
  <c r="O273" i="38"/>
  <c r="O21" i="12"/>
  <c r="O276" i="38"/>
  <c r="R26" i="12"/>
  <c r="O28"/>
  <c r="O419" i="38"/>
  <c r="O33" i="12"/>
  <c r="O41"/>
  <c r="O95" i="27"/>
  <c r="R46" i="12"/>
  <c r="R66"/>
  <c r="O68"/>
  <c r="O30" i="20"/>
  <c r="O88" i="12"/>
  <c r="O103"/>
  <c r="O19" i="26"/>
  <c r="R8" i="9"/>
  <c r="O23" i="10"/>
  <c r="O428" i="38"/>
  <c r="O26" i="10"/>
  <c r="O431" i="38"/>
  <c r="O30" i="10"/>
  <c r="O50" i="41"/>
  <c r="R23" i="11"/>
  <c r="R103" i="47"/>
  <c r="R102" i="38"/>
  <c r="P254" i="72"/>
  <c r="O54" i="81"/>
  <c r="O10" i="32"/>
  <c r="O9"/>
  <c r="O48" i="4"/>
  <c r="M52" i="72"/>
  <c r="O51" i="4"/>
  <c r="M55" i="72"/>
  <c r="O54" i="4"/>
  <c r="M58" i="72"/>
  <c r="O59" i="4"/>
  <c r="M63" i="72"/>
  <c r="O240" i="15"/>
  <c r="O243"/>
  <c r="O21" i="68"/>
  <c r="R6" i="12"/>
  <c r="R84"/>
  <c r="O86"/>
  <c r="O29" i="42"/>
  <c r="O92" i="12"/>
  <c r="O49" i="24"/>
  <c r="O95" i="12"/>
  <c r="R39" i="85"/>
  <c r="U3" i="84"/>
  <c r="O42" i="47"/>
  <c r="N53" i="65"/>
  <c r="Q195" i="66"/>
  <c r="R241" i="38"/>
  <c r="F2" i="53"/>
  <c r="W207" i="65"/>
  <c r="W150"/>
  <c r="Q92"/>
  <c r="W92"/>
  <c r="Q64"/>
  <c r="W65"/>
  <c r="Q38"/>
  <c r="W39"/>
  <c r="AP3" i="2"/>
  <c r="AJ3"/>
  <c r="R7" i="60"/>
  <c r="O26" i="4"/>
  <c r="M31" i="72"/>
  <c r="O31" i="4"/>
  <c r="M35" i="72"/>
  <c r="O170" i="15"/>
  <c r="O141" i="38"/>
  <c r="R176" i="15"/>
  <c r="O178"/>
  <c r="O308" i="38"/>
  <c r="R184" i="15"/>
  <c r="O186"/>
  <c r="O413" i="38"/>
  <c r="O192" i="15"/>
  <c r="O83" i="27"/>
  <c r="O195" i="15"/>
  <c r="O86" i="27"/>
  <c r="R11" i="83"/>
  <c r="O185" i="7"/>
  <c r="O9" i="61"/>
  <c r="R38" i="83"/>
  <c r="O232" i="7"/>
  <c r="O33" i="41"/>
  <c r="R11" i="85"/>
  <c r="O28" i="20"/>
  <c r="R41" i="85"/>
  <c r="O22" i="10"/>
  <c r="O427" i="38"/>
  <c r="O25" i="10"/>
  <c r="O430" i="38"/>
  <c r="AI3" i="47"/>
  <c r="N104" i="66"/>
  <c r="R16" i="38"/>
  <c r="R14"/>
  <c r="R7"/>
  <c r="R294"/>
  <c r="G15" i="72"/>
  <c r="D50"/>
  <c r="G104"/>
  <c r="G173"/>
  <c r="W204" i="65"/>
  <c r="W30"/>
  <c r="AK3" i="2"/>
  <c r="O242" i="15"/>
  <c r="O20" i="68"/>
  <c r="O272" i="15"/>
  <c r="O13" i="53"/>
  <c r="O280" i="15"/>
  <c r="O28" i="41"/>
  <c r="G3" i="5"/>
  <c r="O23"/>
  <c r="AL4"/>
  <c r="O7" i="12"/>
  <c r="R14" i="85"/>
  <c r="R18"/>
  <c r="R69" i="12"/>
  <c r="R28" i="85"/>
  <c r="AN3"/>
  <c r="R30"/>
  <c r="O85" i="12"/>
  <c r="O28" i="42"/>
  <c r="O27"/>
  <c r="R89" i="12"/>
  <c r="O91"/>
  <c r="O48" i="24"/>
  <c r="O46"/>
  <c r="O94" i="12"/>
  <c r="R38" i="85"/>
  <c r="O98" i="12"/>
  <c r="R42" i="85"/>
  <c r="AO3" i="84"/>
  <c r="R21" i="9"/>
  <c r="AD3" i="56"/>
  <c r="P280" i="72"/>
  <c r="F2" i="54"/>
  <c r="H15" i="72"/>
  <c r="G60"/>
  <c r="H104"/>
  <c r="H165"/>
  <c r="F277"/>
  <c r="W227" i="65"/>
  <c r="N258" i="72"/>
  <c r="W115" i="65"/>
  <c r="W84"/>
  <c r="W57"/>
  <c r="O23" i="16"/>
  <c r="AR3" i="2"/>
  <c r="AL3"/>
  <c r="R59"/>
  <c r="O27" i="4"/>
  <c r="M32" i="72"/>
  <c r="O30" i="4"/>
  <c r="O11" i="54"/>
  <c r="O32" i="4"/>
  <c r="M36" i="72"/>
  <c r="O35" i="4"/>
  <c r="M39" i="72"/>
  <c r="O172" i="15"/>
  <c r="O177"/>
  <c r="O180"/>
  <c r="O310" i="38"/>
  <c r="O185" i="15"/>
  <c r="O412" i="38"/>
  <c r="O187" i="7"/>
  <c r="O11" i="61"/>
  <c r="O234" i="7"/>
  <c r="O35" i="41"/>
  <c r="O273" i="7"/>
  <c r="O10" i="8"/>
  <c r="O174" i="38"/>
  <c r="O173"/>
  <c r="O16" i="12"/>
  <c r="O19"/>
  <c r="O274" i="38"/>
  <c r="R32" i="12"/>
  <c r="O34"/>
  <c r="O20" i="37"/>
  <c r="R40" i="12"/>
  <c r="O42"/>
  <c r="O96" i="27"/>
  <c r="R20" i="85"/>
  <c r="O3"/>
  <c r="R87" i="12"/>
  <c r="O101"/>
  <c r="O17" i="26"/>
  <c r="AR3" i="84"/>
  <c r="O34" i="9"/>
  <c r="O21" i="10"/>
  <c r="O24"/>
  <c r="O429" i="38"/>
  <c r="O27" i="10"/>
  <c r="O31"/>
  <c r="BC3" i="56"/>
  <c r="R121" i="38"/>
  <c r="F2" i="42"/>
  <c r="F2" i="31"/>
  <c r="H109" i="72"/>
  <c r="F119"/>
  <c r="F129"/>
  <c r="H147"/>
  <c r="H153"/>
  <c r="G228"/>
  <c r="G226"/>
  <c r="K250"/>
  <c r="G266"/>
  <c r="P270"/>
  <c r="Q223" i="65"/>
  <c r="W225"/>
  <c r="AF3" i="2"/>
  <c r="O55" i="81"/>
  <c r="R47"/>
  <c r="T3"/>
  <c r="O47" i="4"/>
  <c r="M51" i="72"/>
  <c r="O50" i="4"/>
  <c r="M54" i="72"/>
  <c r="O53" i="4"/>
  <c r="M57" i="72"/>
  <c r="O58" i="4"/>
  <c r="M62" i="72"/>
  <c r="O61" i="4"/>
  <c r="M65" i="72"/>
  <c r="O64" i="4"/>
  <c r="O154" i="15"/>
  <c r="O48" i="38"/>
  <c r="O157" i="15"/>
  <c r="O51" i="38"/>
  <c r="O161" i="15"/>
  <c r="O133" i="38"/>
  <c r="O164" i="15"/>
  <c r="O136" i="38"/>
  <c r="O167" i="15"/>
  <c r="O139" i="38"/>
  <c r="R187" i="15"/>
  <c r="R70" i="82"/>
  <c r="R232" i="15"/>
  <c r="R73" i="82"/>
  <c r="AK3"/>
  <c r="O234" i="15"/>
  <c r="O22" i="20"/>
  <c r="R239" i="15"/>
  <c r="O241"/>
  <c r="O19" i="68"/>
  <c r="O279" i="15"/>
  <c r="O27" i="41"/>
  <c r="R12" i="5"/>
  <c r="R275" i="7"/>
  <c r="R62" i="83"/>
  <c r="O14" i="8"/>
  <c r="R22" i="12"/>
  <c r="R57"/>
  <c r="R37" i="85"/>
  <c r="AW3"/>
  <c r="N72" i="66"/>
  <c r="N75"/>
  <c r="N115"/>
  <c r="G50" i="72"/>
  <c r="P68"/>
  <c r="F86"/>
  <c r="G119"/>
  <c r="G144"/>
  <c r="G183"/>
  <c r="H228"/>
  <c r="J253"/>
  <c r="F273"/>
  <c r="Q250" i="65"/>
  <c r="W251"/>
  <c r="Q210"/>
  <c r="W210"/>
  <c r="Q178"/>
  <c r="Q70"/>
  <c r="W70"/>
  <c r="BD3" i="56"/>
  <c r="AI3" i="81"/>
  <c r="AS3"/>
  <c r="AV3"/>
  <c r="R24"/>
  <c r="R31"/>
  <c r="R88" i="3"/>
  <c r="R43" i="81"/>
  <c r="R44"/>
  <c r="R235" i="15"/>
  <c r="R256"/>
  <c r="R82" i="82"/>
  <c r="H3" i="5"/>
  <c r="L3" i="83"/>
  <c r="AQ3"/>
  <c r="R13"/>
  <c r="R15"/>
  <c r="R81" i="7"/>
  <c r="R134"/>
  <c r="R163"/>
  <c r="R34" i="83"/>
  <c r="R228" i="7"/>
  <c r="R50" i="83"/>
  <c r="R243" i="7"/>
  <c r="R248"/>
  <c r="R262"/>
  <c r="F3" i="8"/>
  <c r="G3"/>
  <c r="R42"/>
  <c r="AK3"/>
  <c r="AO3" i="85"/>
  <c r="K3"/>
  <c r="AM3"/>
  <c r="AV3"/>
  <c r="AU3"/>
  <c r="AY3"/>
  <c r="AI3" i="84"/>
  <c r="R82" i="13"/>
  <c r="R40" i="84"/>
  <c r="R42"/>
  <c r="R44"/>
  <c r="H3" i="10"/>
  <c r="R20" i="11"/>
  <c r="AK3"/>
  <c r="R26"/>
  <c r="R12" i="47"/>
  <c r="R10"/>
  <c r="R11"/>
  <c r="P70" i="72"/>
  <c r="P23"/>
  <c r="P15"/>
  <c r="P45"/>
  <c r="P81"/>
  <c r="P82"/>
  <c r="P75"/>
  <c r="P101"/>
  <c r="P110"/>
  <c r="P111"/>
  <c r="P109"/>
  <c r="P113"/>
  <c r="P114"/>
  <c r="P115"/>
  <c r="P120"/>
  <c r="P121"/>
  <c r="P127"/>
  <c r="P128"/>
  <c r="P132"/>
  <c r="P129"/>
  <c r="P136"/>
  <c r="P137"/>
  <c r="P139"/>
  <c r="P140"/>
  <c r="P145"/>
  <c r="P146"/>
  <c r="P148"/>
  <c r="P154"/>
  <c r="P155"/>
  <c r="P162"/>
  <c r="P161"/>
  <c r="P166"/>
  <c r="P167"/>
  <c r="P168"/>
  <c r="P169"/>
  <c r="P170"/>
  <c r="P174"/>
  <c r="P175"/>
  <c r="P176"/>
  <c r="P177"/>
  <c r="P178"/>
  <c r="P184"/>
  <c r="P185"/>
  <c r="P186"/>
  <c r="P187"/>
  <c r="P188"/>
  <c r="P190"/>
  <c r="P191"/>
  <c r="P225"/>
  <c r="P224"/>
  <c r="P223"/>
  <c r="P230"/>
  <c r="Q10" i="65"/>
  <c r="W10"/>
  <c r="W11"/>
  <c r="P46" i="72"/>
  <c r="P47"/>
  <c r="P227"/>
  <c r="P229"/>
  <c r="F226"/>
  <c r="P232"/>
  <c r="N3" i="81"/>
  <c r="R16"/>
  <c r="R21"/>
  <c r="R32"/>
  <c r="R90" i="3"/>
  <c r="R116"/>
  <c r="O3" i="4"/>
  <c r="R16" i="82"/>
  <c r="R19"/>
  <c r="R23"/>
  <c r="R24"/>
  <c r="AE3"/>
  <c r="R28"/>
  <c r="R31"/>
  <c r="R33"/>
  <c r="R90" i="15"/>
  <c r="R41" i="82"/>
  <c r="R44"/>
  <c r="AX3"/>
  <c r="R47"/>
  <c r="R48"/>
  <c r="R50"/>
  <c r="R58"/>
  <c r="R60"/>
  <c r="R62"/>
  <c r="R250" i="15"/>
  <c r="R80" i="82"/>
  <c r="R84"/>
  <c r="R277" i="15"/>
  <c r="AL3" i="5"/>
  <c r="J3" i="6"/>
  <c r="R9" i="83"/>
  <c r="R14"/>
  <c r="R22"/>
  <c r="R128" i="7"/>
  <c r="R142"/>
  <c r="R189"/>
  <c r="R235"/>
  <c r="R245"/>
  <c r="R254"/>
  <c r="R61" i="83"/>
  <c r="R278" i="7"/>
  <c r="R18" i="8"/>
  <c r="AL3"/>
  <c r="U3" i="85"/>
  <c r="Z3"/>
  <c r="AQ3"/>
  <c r="H3"/>
  <c r="AX3"/>
  <c r="AN3" i="84"/>
  <c r="AP3"/>
  <c r="R12" i="13"/>
  <c r="R47"/>
  <c r="R58"/>
  <c r="R64"/>
  <c r="R67"/>
  <c r="R21" i="84"/>
  <c r="R84" i="13"/>
  <c r="R39" i="84"/>
  <c r="R41"/>
  <c r="R43"/>
  <c r="R45"/>
  <c r="AL3" i="10"/>
  <c r="BB3" i="11"/>
  <c r="O3"/>
  <c r="R31"/>
  <c r="AP3"/>
  <c r="R8" i="56"/>
  <c r="P123" i="72"/>
  <c r="P28"/>
  <c r="P29"/>
  <c r="P33"/>
  <c r="P34"/>
  <c r="P37"/>
  <c r="P38"/>
  <c r="P26"/>
  <c r="P88"/>
  <c r="P92"/>
  <c r="P93"/>
  <c r="P94"/>
  <c r="P95"/>
  <c r="P96"/>
  <c r="P97"/>
  <c r="P98"/>
  <c r="P99"/>
  <c r="P100"/>
  <c r="P105"/>
  <c r="P106"/>
  <c r="P108"/>
  <c r="P117"/>
  <c r="P118"/>
  <c r="P124"/>
  <c r="P125"/>
  <c r="P142"/>
  <c r="P141"/>
  <c r="R126" i="15"/>
  <c r="P151" i="72"/>
  <c r="P152"/>
  <c r="P157"/>
  <c r="P158"/>
  <c r="P160"/>
  <c r="P159"/>
  <c r="P164"/>
  <c r="P163"/>
  <c r="P172"/>
  <c r="P171"/>
  <c r="P180"/>
  <c r="P181"/>
  <c r="P182"/>
  <c r="P195"/>
  <c r="P196"/>
  <c r="P197"/>
  <c r="P198"/>
  <c r="P199"/>
  <c r="P200"/>
  <c r="P201"/>
  <c r="P202"/>
  <c r="P203"/>
  <c r="P204"/>
  <c r="P205"/>
  <c r="P206"/>
  <c r="P208"/>
  <c r="P209"/>
  <c r="P213"/>
  <c r="P212"/>
  <c r="P218"/>
  <c r="P219"/>
  <c r="P220"/>
  <c r="P221"/>
  <c r="P236"/>
  <c r="W14" i="65"/>
  <c r="R197" i="15"/>
  <c r="R202"/>
  <c r="R208"/>
  <c r="R214"/>
  <c r="R146" i="7"/>
  <c r="R209"/>
  <c r="R219"/>
  <c r="R259"/>
  <c r="R281"/>
  <c r="N3" i="8"/>
  <c r="AR3"/>
  <c r="R10" i="12"/>
  <c r="AQ3" i="84"/>
  <c r="R27" i="13"/>
  <c r="R77"/>
  <c r="R37" i="11"/>
  <c r="F122" i="72"/>
  <c r="G40"/>
  <c r="AK3" i="16"/>
  <c r="R67"/>
  <c r="AX3"/>
  <c r="AA3" i="10"/>
  <c r="R9"/>
  <c r="AU3" i="16"/>
  <c r="AQ3" i="82"/>
  <c r="R262" i="15"/>
  <c r="R110" i="7"/>
  <c r="AJ3" i="8"/>
  <c r="AT3"/>
  <c r="BB3" i="56"/>
  <c r="L3" i="9"/>
  <c r="R32"/>
  <c r="AZ3" i="11"/>
  <c r="R47"/>
  <c r="AT3"/>
  <c r="P116" i="72"/>
  <c r="R19" i="15"/>
  <c r="R47" i="8"/>
  <c r="P122" i="72"/>
  <c r="F40"/>
  <c r="F3" i="16"/>
  <c r="R16"/>
  <c r="R25"/>
  <c r="AJ3"/>
  <c r="R45"/>
  <c r="M3"/>
  <c r="O3"/>
  <c r="R77"/>
  <c r="G3"/>
  <c r="I3"/>
  <c r="AT3"/>
  <c r="AM3"/>
  <c r="AY3"/>
  <c r="S112"/>
  <c r="J3" i="2"/>
  <c r="R33" i="3"/>
  <c r="R39"/>
  <c r="R29" i="15"/>
  <c r="R69"/>
  <c r="R168"/>
  <c r="AT3" i="5"/>
  <c r="H3" i="6"/>
  <c r="R21" i="8"/>
  <c r="R35"/>
  <c r="R55"/>
  <c r="R77" i="12"/>
  <c r="R6" i="13"/>
  <c r="R40"/>
  <c r="R50"/>
  <c r="R95"/>
  <c r="H3" i="11"/>
  <c r="AL3"/>
  <c r="R13" i="47"/>
  <c r="F60" i="72"/>
  <c r="H60"/>
  <c r="G122"/>
  <c r="H144"/>
  <c r="F245"/>
  <c r="G253"/>
  <c r="G252"/>
  <c r="P266"/>
  <c r="P265"/>
  <c r="P264"/>
  <c r="H266"/>
  <c r="R20" i="3"/>
  <c r="R67"/>
  <c r="R72"/>
  <c r="R52" i="81"/>
  <c r="R33" i="2"/>
  <c r="M3"/>
  <c r="R15"/>
  <c r="AS3"/>
  <c r="R46"/>
  <c r="AF3" i="16"/>
  <c r="R103"/>
  <c r="L3"/>
  <c r="R32"/>
  <c r="R22"/>
  <c r="R100"/>
  <c r="R9"/>
  <c r="O11"/>
  <c r="O9" i="38"/>
  <c r="O14" i="16"/>
  <c r="O12" i="38"/>
  <c r="R29" i="16"/>
  <c r="S31"/>
  <c r="R40"/>
  <c r="R62"/>
  <c r="O10"/>
  <c r="O8" i="38"/>
  <c r="O13" i="16"/>
  <c r="O11" i="38"/>
  <c r="O24" i="16"/>
  <c r="O199" i="38"/>
  <c r="O12" i="16"/>
  <c r="O10" i="38"/>
  <c r="O15" i="16"/>
  <c r="O13" i="38"/>
  <c r="J3" i="16"/>
  <c r="R50"/>
  <c r="R70"/>
  <c r="S42" i="47"/>
  <c r="O129" i="7"/>
  <c r="O365" i="38"/>
  <c r="O130" i="7"/>
  <c r="O366" i="38"/>
  <c r="O131" i="7"/>
  <c r="O367" i="38"/>
  <c r="O132" i="7"/>
  <c r="O368" i="38"/>
  <c r="O133" i="7"/>
  <c r="O369" i="38"/>
  <c r="O190" i="7"/>
  <c r="O23" i="54"/>
  <c r="O191" i="7"/>
  <c r="O24" i="54"/>
  <c r="O192" i="7"/>
  <c r="O25" i="54"/>
  <c r="O193" i="7"/>
  <c r="O26" i="54"/>
  <c r="O194" i="7"/>
  <c r="O27" i="54"/>
  <c r="O236" i="7"/>
  <c r="O25" i="68"/>
  <c r="O237" i="7"/>
  <c r="O26" i="68"/>
  <c r="O238" i="7"/>
  <c r="O27" i="68"/>
  <c r="O239" i="7"/>
  <c r="O28" i="68"/>
  <c r="O240" i="7"/>
  <c r="O29" i="68"/>
  <c r="O241" i="7"/>
  <c r="O30" i="68"/>
  <c r="O242" i="7"/>
  <c r="O31" i="68"/>
  <c r="O62" i="7"/>
  <c r="O154" i="38"/>
  <c r="O63" i="7"/>
  <c r="O155" i="38"/>
  <c r="O64" i="7"/>
  <c r="O156" i="38"/>
  <c r="O65" i="7"/>
  <c r="O157" i="38"/>
  <c r="O66" i="7"/>
  <c r="O158" i="38"/>
  <c r="O67" i="7"/>
  <c r="O159" i="38"/>
  <c r="O68" i="7"/>
  <c r="O160" i="38"/>
  <c r="O69" i="7"/>
  <c r="O161" i="38"/>
  <c r="O70" i="7"/>
  <c r="O162" i="38"/>
  <c r="O71" i="7"/>
  <c r="O163" i="38"/>
  <c r="O72" i="7"/>
  <c r="O164" i="38"/>
  <c r="O73" i="7"/>
  <c r="O165" i="38"/>
  <c r="O74" i="7"/>
  <c r="O166" i="38"/>
  <c r="O75" i="7"/>
  <c r="O167" i="38"/>
  <c r="O76" i="7"/>
  <c r="O168" i="38"/>
  <c r="O77" i="7"/>
  <c r="O169" i="38"/>
  <c r="O78" i="7"/>
  <c r="O170" i="38"/>
  <c r="O79" i="7"/>
  <c r="O171" i="38"/>
  <c r="O80" i="7"/>
  <c r="O172" i="38"/>
  <c r="O151" i="7"/>
  <c r="O155"/>
  <c r="O263"/>
  <c r="O264"/>
  <c r="O37" i="24"/>
  <c r="O265" i="7"/>
  <c r="O38" i="24"/>
  <c r="O266" i="7"/>
  <c r="O39" i="24"/>
  <c r="O268" i="7"/>
  <c r="O10" i="43"/>
  <c r="F217" i="72"/>
  <c r="H217"/>
  <c r="N112" i="65"/>
  <c r="N156"/>
  <c r="P239" i="72"/>
  <c r="H245"/>
  <c r="N196" i="65"/>
  <c r="H239" i="72"/>
  <c r="I240"/>
  <c r="N84" i="65"/>
  <c r="N15"/>
  <c r="K246" i="72"/>
  <c r="K247"/>
  <c r="P245"/>
  <c r="F253"/>
  <c r="F252"/>
  <c r="N106" i="65"/>
  <c r="K256" i="72"/>
  <c r="Q162" i="65"/>
  <c r="N60"/>
  <c r="N12"/>
  <c r="M138" i="30"/>
  <c r="F239" i="72"/>
  <c r="F238"/>
  <c r="D253"/>
  <c r="H253"/>
  <c r="H252"/>
  <c r="N42" i="65"/>
  <c r="N150"/>
  <c r="O38" i="40"/>
  <c r="N83" i="65"/>
  <c r="I244" i="72"/>
  <c r="M251"/>
  <c r="M249"/>
  <c r="N88" i="65"/>
  <c r="Q257"/>
  <c r="W257"/>
  <c r="N175"/>
  <c r="N262"/>
  <c r="N134"/>
  <c r="L253" i="72"/>
  <c r="Q195" i="65"/>
  <c r="N166"/>
  <c r="N185"/>
  <c r="O18" i="49"/>
  <c r="O152"/>
  <c r="O129" i="30"/>
  <c r="O154" i="49"/>
  <c r="O35" i="40"/>
  <c r="O155" i="49"/>
  <c r="O130" i="30"/>
  <c r="O156" i="49"/>
  <c r="O47" i="20"/>
  <c r="O157" i="49"/>
  <c r="O63" i="41"/>
  <c r="O147" i="49"/>
  <c r="S147"/>
  <c r="O150"/>
  <c r="O30" i="45"/>
  <c r="O29"/>
  <c r="O22" i="49"/>
  <c r="O454" i="38"/>
  <c r="O23" i="49"/>
  <c r="O455" i="38"/>
  <c r="O24" i="49"/>
  <c r="O456" i="38"/>
  <c r="O25" i="49"/>
  <c r="O26"/>
  <c r="O27"/>
  <c r="O459" i="38"/>
  <c r="O28" i="49"/>
  <c r="O460" i="38"/>
  <c r="O174" i="49"/>
  <c r="O173"/>
  <c r="O54" i="47"/>
  <c r="S54"/>
  <c r="S55"/>
  <c r="O79"/>
  <c r="S79"/>
  <c r="S80"/>
  <c r="O104"/>
  <c r="S104"/>
  <c r="S105"/>
  <c r="O67"/>
  <c r="S67"/>
  <c r="S68"/>
  <c r="O91"/>
  <c r="S91"/>
  <c r="S92"/>
  <c r="O116"/>
  <c r="S116"/>
  <c r="S117"/>
  <c r="O29"/>
  <c r="S29"/>
  <c r="S30"/>
  <c r="O195" i="7"/>
  <c r="O38" i="83"/>
  <c r="M14"/>
  <c r="O18" i="7"/>
  <c r="O443" i="38"/>
  <c r="O19" i="7"/>
  <c r="O62" i="38"/>
  <c r="O22" i="7"/>
  <c r="O18" i="83"/>
  <c r="O27" i="7"/>
  <c r="O63" i="38"/>
  <c r="O28" i="7"/>
  <c r="O64" i="38"/>
  <c r="O29" i="7"/>
  <c r="O65" i="38"/>
  <c r="O30" i="7"/>
  <c r="O66" i="38"/>
  <c r="O31" i="7"/>
  <c r="O67" i="38"/>
  <c r="O32" i="7"/>
  <c r="O68" i="38"/>
  <c r="O33" i="7"/>
  <c r="O69" i="38"/>
  <c r="O34" i="7"/>
  <c r="O70" i="38"/>
  <c r="O35" i="7"/>
  <c r="O71" i="38"/>
  <c r="O36" i="7"/>
  <c r="O72" i="38"/>
  <c r="O37" i="7"/>
  <c r="O73" i="38"/>
  <c r="O38" i="7"/>
  <c r="O74" i="38"/>
  <c r="O39" i="7"/>
  <c r="O75" i="38"/>
  <c r="O40" i="7"/>
  <c r="O76" i="38"/>
  <c r="O41" i="7"/>
  <c r="O77" i="38"/>
  <c r="O42" i="7"/>
  <c r="O78" i="38"/>
  <c r="O43" i="7"/>
  <c r="O79" i="38"/>
  <c r="O44" i="7"/>
  <c r="O80" i="38"/>
  <c r="O45" i="7"/>
  <c r="O81" i="38"/>
  <c r="O46" i="7"/>
  <c r="O82" i="38"/>
  <c r="O47" i="7"/>
  <c r="O83" i="38"/>
  <c r="O48" i="7"/>
  <c r="O84" i="38"/>
  <c r="O49" i="7"/>
  <c r="O85" i="38"/>
  <c r="O50" i="7"/>
  <c r="O86" i="38"/>
  <c r="O51" i="7"/>
  <c r="O87" i="38"/>
  <c r="O111" i="7"/>
  <c r="O314" i="38"/>
  <c r="O112" i="7"/>
  <c r="O315" i="38"/>
  <c r="O113" i="7"/>
  <c r="O316" i="38"/>
  <c r="O114" i="7"/>
  <c r="O317" i="38"/>
  <c r="O115" i="7"/>
  <c r="O318" i="38"/>
  <c r="O116" i="7"/>
  <c r="O319" i="38"/>
  <c r="O117" i="7"/>
  <c r="O320" i="38"/>
  <c r="O118" i="7"/>
  <c r="O321" i="38"/>
  <c r="O119" i="7"/>
  <c r="O322" i="38"/>
  <c r="O120" i="7"/>
  <c r="O323" i="38"/>
  <c r="O121" i="7"/>
  <c r="O324" i="38"/>
  <c r="O122" i="7"/>
  <c r="O325" i="38"/>
  <c r="O140" i="7"/>
  <c r="O415" i="38"/>
  <c r="O141" i="7"/>
  <c r="O416" i="38"/>
  <c r="O147" i="7"/>
  <c r="O20" i="45"/>
  <c r="O148" i="7"/>
  <c r="O21" i="45"/>
  <c r="O149" i="7"/>
  <c r="O22" i="45"/>
  <c r="O164" i="7"/>
  <c r="O89" i="27"/>
  <c r="O165" i="7"/>
  <c r="O90" i="27"/>
  <c r="O166" i="7"/>
  <c r="O91" i="27"/>
  <c r="O167" i="7"/>
  <c r="O92" i="27"/>
  <c r="O168" i="7"/>
  <c r="O93" i="27"/>
  <c r="O175" i="7"/>
  <c r="O12" i="35"/>
  <c r="O176" i="7"/>
  <c r="O13" i="35"/>
  <c r="O177" i="7"/>
  <c r="O35" i="83"/>
  <c r="U4"/>
  <c r="O244" i="7"/>
  <c r="O10" i="70"/>
  <c r="O9"/>
  <c r="O276" i="7"/>
  <c r="O12" i="44"/>
  <c r="O277" i="7"/>
  <c r="O13" i="44"/>
  <c r="O280" i="7"/>
  <c r="O12" i="71"/>
  <c r="O210" i="7"/>
  <c r="O13" i="40"/>
  <c r="O211" i="7"/>
  <c r="O14" i="40"/>
  <c r="O212" i="7"/>
  <c r="O15" i="40"/>
  <c r="O213" i="7"/>
  <c r="O16" i="40"/>
  <c r="O214" i="7"/>
  <c r="O17" i="40"/>
  <c r="O215" i="7"/>
  <c r="O18" i="40"/>
  <c r="O216" i="7"/>
  <c r="O19" i="40"/>
  <c r="O217" i="7"/>
  <c r="O20" i="40"/>
  <c r="O218" i="7"/>
  <c r="O21" i="40"/>
  <c r="O253" i="7"/>
  <c r="O20" i="23"/>
  <c r="M15" i="83"/>
  <c r="M17"/>
  <c r="O55" i="7"/>
  <c r="O147" i="38"/>
  <c r="O56" i="7"/>
  <c r="O148" i="38"/>
  <c r="O57" i="7"/>
  <c r="O149" i="38"/>
  <c r="O58" i="7"/>
  <c r="O150" i="38"/>
  <c r="O59" i="7"/>
  <c r="O151" i="38"/>
  <c r="O60" i="7"/>
  <c r="O152" i="38"/>
  <c r="O61" i="7"/>
  <c r="O153" i="38"/>
  <c r="O67" i="6"/>
  <c r="O45"/>
  <c r="O53"/>
  <c r="O80"/>
  <c r="O108"/>
  <c r="O153"/>
  <c r="O34"/>
  <c r="O61"/>
  <c r="O60"/>
  <c r="O94"/>
  <c r="O27"/>
  <c r="O87"/>
  <c r="O131"/>
  <c r="R55" i="2"/>
  <c r="R106" i="3"/>
  <c r="R9" i="4"/>
  <c r="M44" i="38"/>
  <c r="O149" i="15"/>
  <c r="O44" i="38"/>
  <c r="M10" i="35"/>
  <c r="O204" i="15"/>
  <c r="O10" i="35"/>
  <c r="M16" i="54"/>
  <c r="O210" i="15"/>
  <c r="O16" i="54"/>
  <c r="M47" i="30"/>
  <c r="O218" i="15"/>
  <c r="O47" i="30"/>
  <c r="M51"/>
  <c r="O222" i="15"/>
  <c r="O51" i="30"/>
  <c r="M23" i="41"/>
  <c r="O236" i="15"/>
  <c r="O23" i="41"/>
  <c r="M20" i="31"/>
  <c r="O251" i="15"/>
  <c r="M27" i="24"/>
  <c r="O266" i="15"/>
  <c r="O27" i="24"/>
  <c r="O17" i="16"/>
  <c r="O18"/>
  <c r="O344" i="38"/>
  <c r="O19" i="16"/>
  <c r="O345" i="38"/>
  <c r="O20" i="16"/>
  <c r="O346" i="38"/>
  <c r="O33" i="16"/>
  <c r="O34"/>
  <c r="O8" i="30"/>
  <c r="O35" i="16"/>
  <c r="O9" i="30"/>
  <c r="O36" i="16"/>
  <c r="O7" i="20"/>
  <c r="O37" i="16"/>
  <c r="O8" i="20"/>
  <c r="O38" i="16"/>
  <c r="O7" i="41"/>
  <c r="H4" i="2"/>
  <c r="R19"/>
  <c r="O25"/>
  <c r="O398" i="38"/>
  <c r="O26" i="2"/>
  <c r="O399" i="38"/>
  <c r="AI4" i="81"/>
  <c r="O8" i="60"/>
  <c r="O7"/>
  <c r="O11" i="4"/>
  <c r="O13"/>
  <c r="M18" i="72"/>
  <c r="O15" i="4"/>
  <c r="M20" i="72"/>
  <c r="O17" i="4"/>
  <c r="M22" i="72"/>
  <c r="O19" i="4"/>
  <c r="M24" i="72"/>
  <c r="O37" i="4"/>
  <c r="M41" i="72"/>
  <c r="O39" i="4"/>
  <c r="M43" i="72"/>
  <c r="O45" i="4"/>
  <c r="M49" i="72"/>
  <c r="M19" i="31"/>
  <c r="O141" i="15"/>
  <c r="O19" i="31"/>
  <c r="M43" i="38"/>
  <c r="O148" i="15"/>
  <c r="O43" i="38"/>
  <c r="M47"/>
  <c r="O152" i="15"/>
  <c r="O47" i="38"/>
  <c r="M9" i="35"/>
  <c r="O203" i="15"/>
  <c r="M15" i="54"/>
  <c r="O209" i="15"/>
  <c r="O208"/>
  <c r="O69" i="82"/>
  <c r="M46" i="30"/>
  <c r="O217" i="15"/>
  <c r="O46" i="30"/>
  <c r="M50"/>
  <c r="O221" i="15"/>
  <c r="O50" i="30"/>
  <c r="M26" i="24"/>
  <c r="O265" i="15"/>
  <c r="O26" i="24"/>
  <c r="O56" i="16"/>
  <c r="O436" i="38"/>
  <c r="M436"/>
  <c r="M43" i="30"/>
  <c r="O140" i="15"/>
  <c r="O43" i="30"/>
  <c r="M42" i="38"/>
  <c r="O147" i="15"/>
  <c r="O42" i="38"/>
  <c r="M46"/>
  <c r="O151" i="15"/>
  <c r="O46" i="38"/>
  <c r="M233"/>
  <c r="O175" i="15"/>
  <c r="O233" i="38"/>
  <c r="M361"/>
  <c r="O183" i="15"/>
  <c r="O361" i="38"/>
  <c r="M14" i="37"/>
  <c r="O189" i="15"/>
  <c r="O14" i="37"/>
  <c r="M18" i="45"/>
  <c r="O199" i="15"/>
  <c r="O18" i="45"/>
  <c r="M45" i="30"/>
  <c r="O216" i="15"/>
  <c r="O45" i="30"/>
  <c r="M49"/>
  <c r="O220" i="15"/>
  <c r="O49" i="30"/>
  <c r="M53"/>
  <c r="O224" i="15"/>
  <c r="O53" i="30"/>
  <c r="M25" i="41"/>
  <c r="O238" i="15"/>
  <c r="O25" i="41"/>
  <c r="M25" i="24"/>
  <c r="O264" i="15"/>
  <c r="O25" i="24"/>
  <c r="AL3" i="16"/>
  <c r="O26"/>
  <c r="O200" i="38"/>
  <c r="O27" i="16"/>
  <c r="O201" i="38"/>
  <c r="O28" i="16"/>
  <c r="O202" i="38"/>
  <c r="O30" i="16"/>
  <c r="R108"/>
  <c r="O22" i="2"/>
  <c r="O23"/>
  <c r="O350" i="38"/>
  <c r="L3" i="2"/>
  <c r="R77" i="3"/>
  <c r="R101"/>
  <c r="R112"/>
  <c r="O12" i="4"/>
  <c r="M17" i="72"/>
  <c r="O14" i="4"/>
  <c r="M19" i="72"/>
  <c r="O16" i="4"/>
  <c r="M21" i="72"/>
  <c r="O20" i="4"/>
  <c r="M25" i="72"/>
  <c r="O38" i="4"/>
  <c r="M42" i="72"/>
  <c r="O40" i="4"/>
  <c r="M44" i="72"/>
  <c r="O44" i="4"/>
  <c r="M48" i="72"/>
  <c r="M22" i="41"/>
  <c r="O139" i="15"/>
  <c r="O22" i="41"/>
  <c r="M45" i="38"/>
  <c r="O150" i="15"/>
  <c r="O45" i="38"/>
  <c r="M232"/>
  <c r="O174" i="15"/>
  <c r="O232" i="38"/>
  <c r="M360"/>
  <c r="O182" i="15"/>
  <c r="O360" i="38"/>
  <c r="M13" i="37"/>
  <c r="O188" i="15"/>
  <c r="O13" i="37"/>
  <c r="M17" i="45"/>
  <c r="O198" i="15"/>
  <c r="O17" i="45"/>
  <c r="AH3" i="82"/>
  <c r="M44" i="30"/>
  <c r="O215" i="15"/>
  <c r="O44" i="30"/>
  <c r="M48"/>
  <c r="O219" i="15"/>
  <c r="O48" i="30"/>
  <c r="M52"/>
  <c r="O223" i="15"/>
  <c r="O52" i="30"/>
  <c r="M24" i="41"/>
  <c r="O237" i="15"/>
  <c r="O24" i="41"/>
  <c r="M21" i="31"/>
  <c r="O252" i="15"/>
  <c r="O21" i="31"/>
  <c r="M24" i="24"/>
  <c r="O263" i="15"/>
  <c r="M28" i="24"/>
  <c r="O267" i="15"/>
  <c r="O28" i="24"/>
  <c r="O225" i="15"/>
  <c r="O54" i="30"/>
  <c r="O226" i="15"/>
  <c r="O55" i="30"/>
  <c r="O227" i="15"/>
  <c r="O56" i="30"/>
  <c r="O228" i="15"/>
  <c r="O57" i="30"/>
  <c r="O229" i="15"/>
  <c r="O58" i="30"/>
  <c r="O230" i="15"/>
  <c r="O59" i="30"/>
  <c r="O231" i="15"/>
  <c r="O60" i="30"/>
  <c r="O245" i="15"/>
  <c r="O8" i="70"/>
  <c r="O257" i="15"/>
  <c r="O258"/>
  <c r="O19" i="42"/>
  <c r="O275" i="15"/>
  <c r="O274"/>
  <c r="O85" i="82"/>
  <c r="O21" i="5"/>
  <c r="M216" i="72"/>
  <c r="M215"/>
  <c r="M214"/>
  <c r="O26" i="5"/>
  <c r="O27"/>
  <c r="O34" i="24"/>
  <c r="O28" i="5"/>
  <c r="O17" i="23"/>
  <c r="O16"/>
  <c r="O174" i="6"/>
  <c r="O23" i="68"/>
  <c r="O22"/>
  <c r="O11" i="7"/>
  <c r="M222" i="72"/>
  <c r="R16" i="7"/>
  <c r="O52"/>
  <c r="O88" i="38"/>
  <c r="O53" i="7"/>
  <c r="O89" i="38"/>
  <c r="O124" i="7"/>
  <c r="O125"/>
  <c r="O327" i="38"/>
  <c r="O126" i="7"/>
  <c r="O328" i="38"/>
  <c r="O127" i="7"/>
  <c r="O329" i="38"/>
  <c r="O143" i="7"/>
  <c r="O144"/>
  <c r="O442" i="38"/>
  <c r="O169" i="7"/>
  <c r="O33" i="83"/>
  <c r="O249" i="7"/>
  <c r="O23" i="31"/>
  <c r="O250" i="7"/>
  <c r="O24" i="31"/>
  <c r="O260" i="7"/>
  <c r="O18" i="32"/>
  <c r="O261" i="7"/>
  <c r="O19" i="32"/>
  <c r="O279" i="7"/>
  <c r="O11" i="71"/>
  <c r="M16" i="53"/>
  <c r="O282" i="7"/>
  <c r="O16" i="53"/>
  <c r="O24" i="9"/>
  <c r="O21"/>
  <c r="N122" i="65"/>
  <c r="N199"/>
  <c r="N207"/>
  <c r="N265"/>
  <c r="N57" i="66"/>
  <c r="N112"/>
  <c r="N138"/>
  <c r="K219" i="72"/>
  <c r="M58" i="38"/>
  <c r="M13" i="43"/>
  <c r="O271" i="7"/>
  <c r="O13" i="43"/>
  <c r="N130" i="66"/>
  <c r="N270"/>
  <c r="N4"/>
  <c r="O268" i="15"/>
  <c r="O29" i="24"/>
  <c r="O269" i="15"/>
  <c r="O30" i="24"/>
  <c r="O270" i="15"/>
  <c r="O31" i="24"/>
  <c r="O8" i="5"/>
  <c r="O9"/>
  <c r="O145" i="38"/>
  <c r="O144"/>
  <c r="O10" i="5"/>
  <c r="O14"/>
  <c r="O166" i="6"/>
  <c r="O167"/>
  <c r="O312" i="38"/>
  <c r="O311"/>
  <c r="O168" i="6"/>
  <c r="O169"/>
  <c r="O238" i="38"/>
  <c r="O170" i="6"/>
  <c r="O171"/>
  <c r="O172"/>
  <c r="O173"/>
  <c r="O8" i="7"/>
  <c r="M219" i="72"/>
  <c r="O17" i="7"/>
  <c r="O61" i="38"/>
  <c r="O82" i="7"/>
  <c r="O83"/>
  <c r="O243" i="38"/>
  <c r="O84" i="7"/>
  <c r="O244" i="38"/>
  <c r="O85" i="7"/>
  <c r="O245" i="38"/>
  <c r="O86" i="7"/>
  <c r="O246" i="38"/>
  <c r="O87" i="7"/>
  <c r="O247" i="38"/>
  <c r="O88" i="7"/>
  <c r="O248" i="38"/>
  <c r="O89" i="7"/>
  <c r="O249" i="38"/>
  <c r="O90" i="7"/>
  <c r="O250" i="38"/>
  <c r="O91" i="7"/>
  <c r="O251" i="38"/>
  <c r="O92" i="7"/>
  <c r="O252" i="38"/>
  <c r="O93" i="7"/>
  <c r="O253" i="38"/>
  <c r="O94" i="7"/>
  <c r="O254" i="38"/>
  <c r="O95" i="7"/>
  <c r="O255" i="38"/>
  <c r="O96" i="7"/>
  <c r="O256" i="38"/>
  <c r="O97" i="7"/>
  <c r="O257" i="38"/>
  <c r="O98" i="7"/>
  <c r="O258" i="38"/>
  <c r="O99" i="7"/>
  <c r="O259" i="38"/>
  <c r="O100" i="7"/>
  <c r="O260" i="38"/>
  <c r="O101" i="7"/>
  <c r="O261" i="38"/>
  <c r="O102" i="7"/>
  <c r="O262" i="38"/>
  <c r="O103" i="7"/>
  <c r="O263" i="38"/>
  <c r="O104" i="7"/>
  <c r="O264" i="38"/>
  <c r="O105" i="7"/>
  <c r="O265" i="38"/>
  <c r="O106" i="7"/>
  <c r="O266" i="38"/>
  <c r="O107" i="7"/>
  <c r="O267" i="38"/>
  <c r="O108" i="7"/>
  <c r="O268" i="38"/>
  <c r="O109" i="7"/>
  <c r="O269" i="38"/>
  <c r="O135" i="7"/>
  <c r="O136"/>
  <c r="O380" i="38"/>
  <c r="O137" i="7"/>
  <c r="O381" i="38"/>
  <c r="O138" i="7"/>
  <c r="O382" i="38"/>
  <c r="O220" i="7"/>
  <c r="O62" i="30"/>
  <c r="O221" i="7"/>
  <c r="O63" i="30"/>
  <c r="O222" i="7"/>
  <c r="O64" i="30"/>
  <c r="O223" i="7"/>
  <c r="O65" i="30"/>
  <c r="O224" i="7"/>
  <c r="O66" i="30"/>
  <c r="O225" i="7"/>
  <c r="O67" i="30"/>
  <c r="O226" i="7"/>
  <c r="O68" i="30"/>
  <c r="O227" i="7"/>
  <c r="O69" i="30"/>
  <c r="M12" i="43"/>
  <c r="O270" i="7"/>
  <c r="O12" i="43"/>
  <c r="T13" i="47"/>
  <c r="L3"/>
  <c r="N122" i="66"/>
  <c r="N156"/>
  <c r="R246" i="15"/>
  <c r="AS3" i="82"/>
  <c r="M13" i="83"/>
  <c r="O12" i="7"/>
  <c r="O11" i="83"/>
  <c r="O229" i="7"/>
  <c r="O24" i="20"/>
  <c r="O230" i="7"/>
  <c r="O25" i="20"/>
  <c r="O246" i="7"/>
  <c r="O245"/>
  <c r="O53" i="83"/>
  <c r="AO4"/>
  <c r="O255" i="7"/>
  <c r="O21" i="42"/>
  <c r="O256" i="7"/>
  <c r="O22" i="42"/>
  <c r="O257" i="7"/>
  <c r="O23" i="42"/>
  <c r="O258" i="7"/>
  <c r="O24" i="42"/>
  <c r="M11" i="43"/>
  <c r="O269" i="7"/>
  <c r="O11" i="43"/>
  <c r="M17" i="53"/>
  <c r="O283" i="7"/>
  <c r="O17" i="53"/>
  <c r="O32" i="9"/>
  <c r="AH4"/>
  <c r="N99" i="65"/>
  <c r="N138"/>
  <c r="N45" i="66"/>
  <c r="O23" i="12"/>
  <c r="O331" i="38"/>
  <c r="O24" i="12"/>
  <c r="O332" i="38"/>
  <c r="O25" i="12"/>
  <c r="O333" i="38"/>
  <c r="O99" i="12"/>
  <c r="O16" i="43"/>
  <c r="N65" i="65"/>
  <c r="N71"/>
  <c r="N233"/>
  <c r="N251"/>
  <c r="Q9" i="66"/>
  <c r="N53"/>
  <c r="N65"/>
  <c r="N134"/>
  <c r="N265"/>
  <c r="R348" i="38"/>
  <c r="F2" i="45"/>
  <c r="M67" i="41"/>
  <c r="O26" i="47"/>
  <c r="O159" i="49"/>
  <c r="O69" i="24"/>
  <c r="O160" i="49"/>
  <c r="O70" i="24"/>
  <c r="O161" i="49"/>
  <c r="O44" i="68"/>
  <c r="O162" i="49"/>
  <c r="O131" i="30"/>
  <c r="O164" i="49"/>
  <c r="O475" i="38"/>
  <c r="O176" i="49"/>
  <c r="O72" i="24"/>
  <c r="O177" i="49"/>
  <c r="O73" i="24"/>
  <c r="N45" i="65"/>
  <c r="N153"/>
  <c r="N79" i="66"/>
  <c r="N81"/>
  <c r="N83"/>
  <c r="N90"/>
  <c r="Q103"/>
  <c r="Q174"/>
  <c r="R146" i="38"/>
  <c r="N13" i="65"/>
  <c r="O11" i="12"/>
  <c r="O176" i="38"/>
  <c r="O12" i="12"/>
  <c r="O177" i="38"/>
  <c r="O13" i="12"/>
  <c r="O178" i="38"/>
  <c r="O14" i="12"/>
  <c r="O179" i="38"/>
  <c r="O30" i="12"/>
  <c r="O384" i="38"/>
  <c r="O31" i="12"/>
  <c r="O385" i="38"/>
  <c r="O38" i="12"/>
  <c r="O39"/>
  <c r="O25" i="45"/>
  <c r="O58" i="12"/>
  <c r="O59"/>
  <c r="O91" i="30"/>
  <c r="O60" i="12"/>
  <c r="O92" i="30"/>
  <c r="O61" i="12"/>
  <c r="O93" i="30"/>
  <c r="O62" i="12"/>
  <c r="O94" i="30"/>
  <c r="O63" i="12"/>
  <c r="O95" i="30"/>
  <c r="O64" i="12"/>
  <c r="O96" i="30"/>
  <c r="O65" i="12"/>
  <c r="O97" i="30"/>
  <c r="O81" i="12"/>
  <c r="O82"/>
  <c r="O23" i="23"/>
  <c r="O83" i="12"/>
  <c r="O24" i="23"/>
  <c r="O105" i="12"/>
  <c r="O106"/>
  <c r="O16" i="44"/>
  <c r="O100" i="13"/>
  <c r="O53" i="24"/>
  <c r="O101" i="13"/>
  <c r="O54" i="24"/>
  <c r="O102" i="13"/>
  <c r="O55" i="24"/>
  <c r="O103" i="13"/>
  <c r="O104"/>
  <c r="O40" i="84"/>
  <c r="AV4"/>
  <c r="O105" i="13"/>
  <c r="O106"/>
  <c r="O107"/>
  <c r="O108"/>
  <c r="O109"/>
  <c r="L3" i="10"/>
  <c r="O9" i="11"/>
  <c r="O10"/>
  <c r="O287" i="38"/>
  <c r="O11" i="11"/>
  <c r="R17" i="47"/>
  <c r="O12" i="49"/>
  <c r="O448" i="38"/>
  <c r="O13" i="49"/>
  <c r="O449" i="38"/>
  <c r="O14" i="49"/>
  <c r="O15"/>
  <c r="O451" i="38"/>
  <c r="O16" i="49"/>
  <c r="O17"/>
  <c r="Q52" i="66"/>
  <c r="Q91"/>
  <c r="N235"/>
  <c r="F2" i="30"/>
  <c r="O50" i="12"/>
  <c r="AH3" i="84"/>
  <c r="O18" i="10"/>
  <c r="O19"/>
  <c r="O17" i="11"/>
  <c r="R66" i="47"/>
  <c r="O30" i="49"/>
  <c r="O104" i="27"/>
  <c r="O33" i="49"/>
  <c r="O20" i="44"/>
  <c r="O34" i="49"/>
  <c r="O461" i="38"/>
  <c r="O168" i="49"/>
  <c r="O132" i="30"/>
  <c r="O169" i="49"/>
  <c r="O133" i="30"/>
  <c r="O170" i="49"/>
  <c r="O171"/>
  <c r="O41" i="31"/>
  <c r="O40"/>
  <c r="O172" i="49"/>
  <c r="O35" i="32"/>
  <c r="O14" i="56"/>
  <c r="AD4"/>
  <c r="O26"/>
  <c r="BD4"/>
  <c r="N39" i="65"/>
  <c r="N80" i="66"/>
  <c r="N89"/>
  <c r="N88"/>
  <c r="Q152"/>
  <c r="R180" i="38"/>
  <c r="R236"/>
  <c r="R313"/>
  <c r="R364"/>
  <c r="R377"/>
  <c r="F2" i="35"/>
  <c r="P138" i="72"/>
  <c r="H189"/>
  <c r="P253"/>
  <c r="P252"/>
  <c r="F26"/>
  <c r="F14"/>
  <c r="F13"/>
  <c r="E26"/>
  <c r="G138"/>
  <c r="F150"/>
  <c r="H226"/>
  <c r="M245"/>
  <c r="N115" i="65"/>
  <c r="I259" i="72"/>
  <c r="F265"/>
  <c r="F264"/>
  <c r="Q103" i="65"/>
  <c r="W103"/>
  <c r="Q52"/>
  <c r="W52"/>
  <c r="M20" i="70"/>
  <c r="F2" i="71"/>
  <c r="H7" i="72"/>
  <c r="H6"/>
  <c r="P7"/>
  <c r="P6"/>
  <c r="D40"/>
  <c r="H40"/>
  <c r="E50"/>
  <c r="H75"/>
  <c r="H86"/>
  <c r="F104"/>
  <c r="G112"/>
  <c r="G129"/>
  <c r="F144"/>
  <c r="F156"/>
  <c r="P156"/>
  <c r="G207"/>
  <c r="K234"/>
  <c r="E253"/>
  <c r="I253"/>
  <c r="F2" i="24"/>
  <c r="F2" i="26"/>
  <c r="G26" i="72"/>
  <c r="G14"/>
  <c r="G13"/>
  <c r="G126"/>
  <c r="F179"/>
  <c r="F183"/>
  <c r="G189"/>
  <c r="M239"/>
  <c r="I241"/>
  <c r="I242"/>
  <c r="G245"/>
  <c r="K248"/>
  <c r="K251"/>
  <c r="R24" i="47"/>
  <c r="E4" i="60"/>
  <c r="R46" i="82"/>
  <c r="O7" i="30"/>
  <c r="M9" i="53"/>
  <c r="O48" i="16"/>
  <c r="O9" i="53"/>
  <c r="M435" i="38"/>
  <c r="O52" i="16"/>
  <c r="O435" i="38"/>
  <c r="M208"/>
  <c r="O74" i="16"/>
  <c r="O208" i="38"/>
  <c r="M106"/>
  <c r="O87" i="16"/>
  <c r="O106" i="38"/>
  <c r="M9" i="24"/>
  <c r="O91" i="16"/>
  <c r="O9" i="24"/>
  <c r="M9" i="41"/>
  <c r="O95" i="16"/>
  <c r="O9" i="41"/>
  <c r="M7" i="68"/>
  <c r="O99" i="16"/>
  <c r="M10" i="68"/>
  <c r="O104" i="16"/>
  <c r="M24" i="38"/>
  <c r="O37" i="2"/>
  <c r="O24" i="38"/>
  <c r="M438"/>
  <c r="O41" i="2"/>
  <c r="M13" i="68"/>
  <c r="O45" i="2"/>
  <c r="M11" i="41"/>
  <c r="O54" i="2"/>
  <c r="M28" i="72"/>
  <c r="O7" i="33"/>
  <c r="O6"/>
  <c r="M34" i="72"/>
  <c r="O10" i="54"/>
  <c r="M38" i="72"/>
  <c r="O9" i="71"/>
  <c r="O8"/>
  <c r="AV4" i="4"/>
  <c r="K72" i="72"/>
  <c r="O68" i="4"/>
  <c r="M72" i="72"/>
  <c r="K76"/>
  <c r="O72" i="4"/>
  <c r="K80" i="72"/>
  <c r="O76" i="4"/>
  <c r="M80" i="72"/>
  <c r="K84"/>
  <c r="O80" i="4"/>
  <c r="M84" i="72"/>
  <c r="AI3" i="82"/>
  <c r="M129" i="38"/>
  <c r="O16" i="15"/>
  <c r="O129" i="38"/>
  <c r="K114" i="72"/>
  <c r="M226" i="38"/>
  <c r="O21" i="15"/>
  <c r="K118" i="72"/>
  <c r="M230" i="38"/>
  <c r="O25" i="15"/>
  <c r="K128" i="72"/>
  <c r="M12" i="37"/>
  <c r="O40" i="15"/>
  <c r="K133" i="72"/>
  <c r="O45" i="15"/>
  <c r="M133" i="72"/>
  <c r="M132" i="38"/>
  <c r="O71" i="15"/>
  <c r="K160" i="72"/>
  <c r="M37" i="30"/>
  <c r="O77" i="15"/>
  <c r="K200" i="72"/>
  <c r="M41" i="30"/>
  <c r="O81" i="15"/>
  <c r="K181" i="72"/>
  <c r="M13" i="32"/>
  <c r="O111" i="15"/>
  <c r="K146" i="72"/>
  <c r="M8" i="43"/>
  <c r="O125" i="15"/>
  <c r="M154" i="72"/>
  <c r="O9" i="34"/>
  <c r="O132" i="15"/>
  <c r="O45" i="82"/>
  <c r="BA4"/>
  <c r="R146" i="15"/>
  <c r="O143" i="38"/>
  <c r="O18" i="68"/>
  <c r="O17"/>
  <c r="O239" i="15"/>
  <c r="O75" i="82"/>
  <c r="AM4"/>
  <c r="R12" i="83"/>
  <c r="AA3"/>
  <c r="O242" i="38"/>
  <c r="O379"/>
  <c r="O200" i="7"/>
  <c r="O39" i="83"/>
  <c r="M82" i="30"/>
  <c r="O39" i="8"/>
  <c r="O82" i="30"/>
  <c r="O271" i="38"/>
  <c r="O19" i="37"/>
  <c r="O18"/>
  <c r="O32" i="12"/>
  <c r="O15" i="85"/>
  <c r="N4"/>
  <c r="M42" i="41"/>
  <c r="O71" i="12"/>
  <c r="O42" i="41"/>
  <c r="M33" i="68"/>
  <c r="O75" i="12"/>
  <c r="O22" i="23"/>
  <c r="O21"/>
  <c r="O15" i="44"/>
  <c r="O104" i="12"/>
  <c r="O42" i="85"/>
  <c r="AY4"/>
  <c r="M185" i="38"/>
  <c r="O16" i="13"/>
  <c r="O185" i="38"/>
  <c r="M189"/>
  <c r="O20" i="13"/>
  <c r="O189" i="38"/>
  <c r="M193"/>
  <c r="O24" i="13"/>
  <c r="O193" i="38"/>
  <c r="M421"/>
  <c r="O48" i="13"/>
  <c r="M27" i="45"/>
  <c r="O65" i="13"/>
  <c r="M26" i="32"/>
  <c r="O96" i="13"/>
  <c r="AE3" i="10"/>
  <c r="R16"/>
  <c r="M34" i="20"/>
  <c r="O24" i="11"/>
  <c r="M128" i="30"/>
  <c r="O139" i="49"/>
  <c r="O128" i="30"/>
  <c r="M33" i="23"/>
  <c r="O143" i="49"/>
  <c r="N211" i="66"/>
  <c r="N250"/>
  <c r="O60" i="38"/>
  <c r="Q233" i="65"/>
  <c r="W233"/>
  <c r="Q9"/>
  <c r="W9"/>
  <c r="O198" i="38"/>
  <c r="O22" i="16"/>
  <c r="M8" i="53"/>
  <c r="O47" i="16"/>
  <c r="O8" i="53"/>
  <c r="M434" i="38"/>
  <c r="O51" i="16"/>
  <c r="M207" i="38"/>
  <c r="O73" i="16"/>
  <c r="O207" i="38"/>
  <c r="M105"/>
  <c r="O86" i="16"/>
  <c r="O105" i="38"/>
  <c r="M347"/>
  <c r="O90" i="16"/>
  <c r="O347" i="38"/>
  <c r="M12" i="24"/>
  <c r="O94" i="16"/>
  <c r="O12" i="24"/>
  <c r="M110" i="38"/>
  <c r="O98" i="16"/>
  <c r="O110" i="38"/>
  <c r="K11" i="72"/>
  <c r="O13" i="2"/>
  <c r="O349" i="38"/>
  <c r="O348"/>
  <c r="J4" i="2"/>
  <c r="M23" i="38"/>
  <c r="O36" i="2"/>
  <c r="O23" i="38"/>
  <c r="M297"/>
  <c r="O40" i="2"/>
  <c r="O297" i="38"/>
  <c r="M403"/>
  <c r="O44" i="2"/>
  <c r="O403" i="38"/>
  <c r="M13" i="30"/>
  <c r="O53" i="2"/>
  <c r="O13" i="30"/>
  <c r="AH4" i="81"/>
  <c r="M16" i="72"/>
  <c r="K88"/>
  <c r="M13" i="45"/>
  <c r="O84" i="4"/>
  <c r="K92" i="72"/>
  <c r="M7" i="34"/>
  <c r="O88" i="4"/>
  <c r="K96" i="72"/>
  <c r="M34" i="30"/>
  <c r="O92" i="4"/>
  <c r="K100" i="72"/>
  <c r="M9" i="42"/>
  <c r="O96" i="4"/>
  <c r="R25" i="82"/>
  <c r="K132" i="72"/>
  <c r="M39" i="38"/>
  <c r="O11" i="15"/>
  <c r="M128" i="38"/>
  <c r="O15" i="15"/>
  <c r="O128" i="38"/>
  <c r="K196" i="72"/>
  <c r="M358" i="38"/>
  <c r="O33" i="15"/>
  <c r="K137" i="72"/>
  <c r="M8" i="35"/>
  <c r="O49" i="15"/>
  <c r="O65"/>
  <c r="O26" i="82"/>
  <c r="M41" i="38"/>
  <c r="O70" i="15"/>
  <c r="K202" i="72"/>
  <c r="M18" i="20"/>
  <c r="O85" i="15"/>
  <c r="K164" i="72"/>
  <c r="M21" i="41"/>
  <c r="O89" i="15"/>
  <c r="K167" i="72"/>
  <c r="M15" i="31"/>
  <c r="O95" i="15"/>
  <c r="K177" i="72"/>
  <c r="M14" i="42"/>
  <c r="O105" i="15"/>
  <c r="K185" i="72"/>
  <c r="M19" i="24"/>
  <c r="O115" i="15"/>
  <c r="K188" i="72"/>
  <c r="M22" i="24"/>
  <c r="O119" i="15"/>
  <c r="M152" i="72"/>
  <c r="O12" i="26"/>
  <c r="O15" i="54"/>
  <c r="O18" i="42"/>
  <c r="O256" i="15"/>
  <c r="O81" i="82"/>
  <c r="O11" i="33"/>
  <c r="O12" i="5"/>
  <c r="O11"/>
  <c r="O30" i="41"/>
  <c r="O29"/>
  <c r="O22" i="5"/>
  <c r="O9" i="6"/>
  <c r="Z3"/>
  <c r="O10" i="75"/>
  <c r="O9"/>
  <c r="O14" i="26"/>
  <c r="O13"/>
  <c r="O272" i="7"/>
  <c r="O61" i="83"/>
  <c r="AX4"/>
  <c r="AH4" i="8"/>
  <c r="M75" i="30"/>
  <c r="O20" i="8"/>
  <c r="O75" i="30"/>
  <c r="M81"/>
  <c r="O38" i="8"/>
  <c r="O81" i="30"/>
  <c r="O46" i="12"/>
  <c r="O23" i="85"/>
  <c r="V4"/>
  <c r="M41" i="41"/>
  <c r="O70" i="12"/>
  <c r="M12" i="75"/>
  <c r="O74" i="12"/>
  <c r="M99" i="38"/>
  <c r="O9" i="13"/>
  <c r="O99" i="38"/>
  <c r="M371"/>
  <c r="O41" i="13"/>
  <c r="M375" i="38"/>
  <c r="O45" i="13"/>
  <c r="O375" i="38"/>
  <c r="O55" i="13"/>
  <c r="O17" i="84"/>
  <c r="M101" i="27"/>
  <c r="O62" i="13"/>
  <c r="O101" i="27"/>
  <c r="M28" i="40"/>
  <c r="O88" i="13"/>
  <c r="M26" i="23"/>
  <c r="O93" i="13"/>
  <c r="O9" i="9"/>
  <c r="O8"/>
  <c r="U4"/>
  <c r="M106" i="30"/>
  <c r="O21" i="11"/>
  <c r="M34" i="31"/>
  <c r="O38" i="11"/>
  <c r="M38" i="31"/>
  <c r="O42" i="11"/>
  <c r="O38" i="31"/>
  <c r="M59" i="24"/>
  <c r="O50" i="11"/>
  <c r="O59" i="24"/>
  <c r="M125" i="30"/>
  <c r="O126" i="49"/>
  <c r="O125" i="30"/>
  <c r="M62" i="41"/>
  <c r="O130" i="49"/>
  <c r="M43" i="68"/>
  <c r="O134" i="49"/>
  <c r="O43" i="68"/>
  <c r="N166" i="66"/>
  <c r="K4"/>
  <c r="O290" i="38"/>
  <c r="AH4" i="16"/>
  <c r="M7" i="53"/>
  <c r="O46" i="16"/>
  <c r="M206" i="38"/>
  <c r="O72" i="16"/>
  <c r="O206" i="38"/>
  <c r="M210"/>
  <c r="O76" i="16"/>
  <c r="O210" i="38"/>
  <c r="M104"/>
  <c r="O85" i="16"/>
  <c r="O104" i="38"/>
  <c r="M292"/>
  <c r="O89" i="16"/>
  <c r="O292" i="38"/>
  <c r="M11" i="24"/>
  <c r="O93" i="16"/>
  <c r="O11" i="24"/>
  <c r="M109" i="38"/>
  <c r="O97" i="16"/>
  <c r="O109" i="38"/>
  <c r="M293"/>
  <c r="O106" i="16"/>
  <c r="O293" i="38"/>
  <c r="M22"/>
  <c r="O35" i="2"/>
  <c r="O22" i="38"/>
  <c r="M296"/>
  <c r="O39" i="2"/>
  <c r="O296" i="38"/>
  <c r="M402"/>
  <c r="O43" i="2"/>
  <c r="O402" i="38"/>
  <c r="M7" i="42"/>
  <c r="O52" i="2"/>
  <c r="M8" i="32"/>
  <c r="O64" i="2"/>
  <c r="O8" i="32"/>
  <c r="R53" i="3"/>
  <c r="R94"/>
  <c r="K70" i="72"/>
  <c r="M124" i="38"/>
  <c r="O66" i="4"/>
  <c r="K74" i="72"/>
  <c r="O70" i="4"/>
  <c r="M74" i="72"/>
  <c r="K78"/>
  <c r="O74" i="4"/>
  <c r="M78" i="72"/>
  <c r="K82"/>
  <c r="M353" i="38"/>
  <c r="O78" i="4"/>
  <c r="R17" i="82"/>
  <c r="K116" i="72"/>
  <c r="M228" i="38"/>
  <c r="O23" i="15"/>
  <c r="K120" i="72"/>
  <c r="M305" i="38"/>
  <c r="O27" i="15"/>
  <c r="M411" i="38"/>
  <c r="O37" i="15"/>
  <c r="O411" i="38"/>
  <c r="K130" i="72"/>
  <c r="O43" i="15"/>
  <c r="K158" i="72"/>
  <c r="M10" i="40"/>
  <c r="O75" i="15"/>
  <c r="K198" i="72"/>
  <c r="M39" i="30"/>
  <c r="O79" i="15"/>
  <c r="M148" i="72"/>
  <c r="O9" i="33"/>
  <c r="O126" i="15"/>
  <c r="O43" i="82"/>
  <c r="O307" i="38"/>
  <c r="O176" i="15"/>
  <c r="O59" i="82"/>
  <c r="O191" i="15"/>
  <c r="O64" i="82"/>
  <c r="O21" i="20"/>
  <c r="O232" i="15"/>
  <c r="O73" i="82"/>
  <c r="O58" i="38"/>
  <c r="O326"/>
  <c r="O441"/>
  <c r="O440"/>
  <c r="R150" i="7"/>
  <c r="O159"/>
  <c r="O16" i="37"/>
  <c r="M74" i="30"/>
  <c r="O19" i="8"/>
  <c r="M80" i="30"/>
  <c r="O37" i="8"/>
  <c r="O80" i="30"/>
  <c r="M84"/>
  <c r="O41" i="8"/>
  <c r="O84" i="30"/>
  <c r="O93" i="38"/>
  <c r="O92"/>
  <c r="O6" i="12"/>
  <c r="O9" i="85"/>
  <c r="O418" i="38"/>
  <c r="M12" i="70"/>
  <c r="O73" i="12"/>
  <c r="O24" i="32"/>
  <c r="O23"/>
  <c r="O87" i="12"/>
  <c r="O35" i="85"/>
  <c r="AS4"/>
  <c r="M335" i="38"/>
  <c r="O34" i="13"/>
  <c r="M339" i="38"/>
  <c r="O38" i="13"/>
  <c r="O339" i="38"/>
  <c r="M99" i="30"/>
  <c r="O78" i="13"/>
  <c r="M21" i="43"/>
  <c r="O35" i="11"/>
  <c r="M465" i="38"/>
  <c r="O71" i="49"/>
  <c r="O465" i="38"/>
  <c r="M30" i="32"/>
  <c r="O87" i="49"/>
  <c r="M470" i="38"/>
  <c r="O101" i="49"/>
  <c r="M41" i="20"/>
  <c r="O105" i="49"/>
  <c r="O41" i="20"/>
  <c r="M66" i="24"/>
  <c r="O109" i="49"/>
  <c r="O66" i="24"/>
  <c r="M472" i="38"/>
  <c r="O113" i="49"/>
  <c r="O472" i="38"/>
  <c r="N245" i="65"/>
  <c r="M267" i="72"/>
  <c r="N71" i="66"/>
  <c r="M269" i="72"/>
  <c r="M271"/>
  <c r="N108" i="66"/>
  <c r="M287" i="72"/>
  <c r="M286"/>
  <c r="N126" i="66"/>
  <c r="N142"/>
  <c r="N199"/>
  <c r="O343" i="38"/>
  <c r="H3" i="16"/>
  <c r="M7" i="45"/>
  <c r="O53" i="16"/>
  <c r="M15" i="38"/>
  <c r="O61" i="16"/>
  <c r="M205" i="38"/>
  <c r="O71" i="16"/>
  <c r="M209" i="38"/>
  <c r="O75" i="16"/>
  <c r="O209" i="38"/>
  <c r="M103"/>
  <c r="O84" i="16"/>
  <c r="M107" i="38"/>
  <c r="O88" i="16"/>
  <c r="O107" i="38"/>
  <c r="M10" i="24"/>
  <c r="O92" i="16"/>
  <c r="O10" i="24"/>
  <c r="M108" i="38"/>
  <c r="O96" i="16"/>
  <c r="O108" i="38"/>
  <c r="M11" i="68"/>
  <c r="O105" i="16"/>
  <c r="O11" i="68"/>
  <c r="M21" i="38"/>
  <c r="O34" i="2"/>
  <c r="M25" i="38"/>
  <c r="O38" i="2"/>
  <c r="O25" i="38"/>
  <c r="M439"/>
  <c r="O42" i="2"/>
  <c r="O439" i="38"/>
  <c r="M8" i="31"/>
  <c r="O50" i="2"/>
  <c r="O8" i="31"/>
  <c r="M7" i="32"/>
  <c r="O60" i="2"/>
  <c r="R23" i="81"/>
  <c r="R57" i="3"/>
  <c r="R61"/>
  <c r="W4" i="60"/>
  <c r="M46" i="72"/>
  <c r="O33" i="38"/>
  <c r="M66" i="72"/>
  <c r="O34" i="38"/>
  <c r="M68" i="72"/>
  <c r="O352" i="38"/>
  <c r="K90" i="72"/>
  <c r="O86" i="4"/>
  <c r="M90" i="72"/>
  <c r="K94"/>
  <c r="M9" i="37"/>
  <c r="O90" i="4"/>
  <c r="K98" i="72"/>
  <c r="M19" i="41"/>
  <c r="O94" i="4"/>
  <c r="K102" i="72"/>
  <c r="O98" i="4"/>
  <c r="M102" i="72"/>
  <c r="K106"/>
  <c r="M37" i="38"/>
  <c r="O9" i="15"/>
  <c r="K194" i="72"/>
  <c r="M130" i="38"/>
  <c r="O17" i="15"/>
  <c r="K124" i="72"/>
  <c r="M356" i="38"/>
  <c r="O31" i="15"/>
  <c r="K139" i="72"/>
  <c r="M15" i="45"/>
  <c r="O51" i="15"/>
  <c r="K211" i="72"/>
  <c r="O63" i="15"/>
  <c r="M211" i="72"/>
  <c r="K204"/>
  <c r="M20" i="20"/>
  <c r="O87" i="15"/>
  <c r="M7" i="70"/>
  <c r="O91" i="15"/>
  <c r="K169" i="72"/>
  <c r="M17" i="31"/>
  <c r="O97" i="15"/>
  <c r="K175" i="72"/>
  <c r="M12" i="42"/>
  <c r="O103" i="15"/>
  <c r="K205" i="72"/>
  <c r="M16" i="42"/>
  <c r="O107" i="15"/>
  <c r="K187" i="72"/>
  <c r="M21" i="24"/>
  <c r="O117" i="15"/>
  <c r="K190" i="72"/>
  <c r="M11" i="53"/>
  <c r="O121" i="15"/>
  <c r="O9" i="35"/>
  <c r="O202" i="15"/>
  <c r="O67" i="82"/>
  <c r="O20" i="31"/>
  <c r="O250" i="15"/>
  <c r="O79" i="82"/>
  <c r="O24" i="24"/>
  <c r="O262" i="15"/>
  <c r="O83" i="82"/>
  <c r="O137" i="6"/>
  <c r="O36" i="24"/>
  <c r="O278" i="7"/>
  <c r="O63" i="83"/>
  <c r="AV4"/>
  <c r="M79" i="30"/>
  <c r="O36" i="8"/>
  <c r="M83" i="30"/>
  <c r="O40" i="8"/>
  <c r="O83" i="30"/>
  <c r="O24" i="45"/>
  <c r="O23"/>
  <c r="O37" i="12"/>
  <c r="O18" i="85"/>
  <c r="AF4"/>
  <c r="O90" i="30"/>
  <c r="M43" i="41"/>
  <c r="O72" i="12"/>
  <c r="O43" i="41"/>
  <c r="O15" i="43"/>
  <c r="O97" i="12"/>
  <c r="O40" i="85"/>
  <c r="AZ4"/>
  <c r="M281" i="38"/>
  <c r="O31" i="13"/>
  <c r="O281" i="38"/>
  <c r="O51" i="13"/>
  <c r="M387" i="38"/>
  <c r="M14" i="61"/>
  <c r="O68" i="13"/>
  <c r="M31" i="54"/>
  <c r="O72" i="13"/>
  <c r="O21" i="53"/>
  <c r="O20"/>
  <c r="O39" i="84"/>
  <c r="AU4"/>
  <c r="O18" i="71"/>
  <c r="O17"/>
  <c r="O18" i="43"/>
  <c r="O17"/>
  <c r="O41" i="84"/>
  <c r="AZ4"/>
  <c r="O15" i="33"/>
  <c r="O14"/>
  <c r="O43" i="84"/>
  <c r="AW4"/>
  <c r="O21" i="26"/>
  <c r="O44" i="84"/>
  <c r="AX4"/>
  <c r="O12" i="34"/>
  <c r="O11"/>
  <c r="O45" i="84"/>
  <c r="BA4"/>
  <c r="M52" i="41"/>
  <c r="O27" i="11"/>
  <c r="O30" i="23"/>
  <c r="M463" i="38"/>
  <c r="O36" i="49"/>
  <c r="M111" i="30"/>
  <c r="O40" i="49"/>
  <c r="O111" i="30"/>
  <c r="M20" i="71"/>
  <c r="O44" i="49"/>
  <c r="M16" i="75"/>
  <c r="O48" i="49"/>
  <c r="O16" i="75"/>
  <c r="N39" i="66"/>
  <c r="N196"/>
  <c r="R56" i="38"/>
  <c r="R51" i="7"/>
  <c r="I3" i="2"/>
  <c r="R41" i="81"/>
  <c r="R40"/>
  <c r="K23" i="72"/>
  <c r="M12" i="31"/>
  <c r="K29" i="72"/>
  <c r="M9" i="26"/>
  <c r="K33" i="72"/>
  <c r="M9" i="54"/>
  <c r="K37" i="72"/>
  <c r="M32" i="38"/>
  <c r="K45" i="72"/>
  <c r="M12" i="54"/>
  <c r="K47" i="72"/>
  <c r="M122" i="38"/>
  <c r="K67" i="72"/>
  <c r="M123" i="38"/>
  <c r="J69" i="72"/>
  <c r="L303" i="38"/>
  <c r="O47" i="82"/>
  <c r="O49"/>
  <c r="O51"/>
  <c r="M10" i="33"/>
  <c r="K149" i="72"/>
  <c r="K151"/>
  <c r="M11" i="26"/>
  <c r="K155" i="72"/>
  <c r="M10" i="34"/>
  <c r="K213" i="72"/>
  <c r="M26" i="41"/>
  <c r="G4" i="5"/>
  <c r="AQ4"/>
  <c r="K218" i="72"/>
  <c r="M57" i="38"/>
  <c r="K220" i="72"/>
  <c r="M59" i="38"/>
  <c r="G4" i="8"/>
  <c r="M98" i="38"/>
  <c r="O8" i="13"/>
  <c r="O98" i="38"/>
  <c r="M184"/>
  <c r="O15" i="13"/>
  <c r="O184" i="38"/>
  <c r="M188"/>
  <c r="O19" i="13"/>
  <c r="O188" i="38"/>
  <c r="M192"/>
  <c r="O23" i="13"/>
  <c r="O192" i="38"/>
  <c r="O30" i="13"/>
  <c r="O280" i="38"/>
  <c r="M280"/>
  <c r="M338"/>
  <c r="O37" i="13"/>
  <c r="O338" i="38"/>
  <c r="M374"/>
  <c r="O44" i="13"/>
  <c r="O374" i="38"/>
  <c r="M100" i="27"/>
  <c r="O61" i="13"/>
  <c r="O100" i="27"/>
  <c r="M17" i="61"/>
  <c r="O71" i="13"/>
  <c r="O17" i="61"/>
  <c r="M102" i="30"/>
  <c r="O81" i="13"/>
  <c r="O102" i="30"/>
  <c r="M35" i="68"/>
  <c r="O87" i="13"/>
  <c r="M31" i="31"/>
  <c r="O92" i="13"/>
  <c r="AA4" i="10"/>
  <c r="O9"/>
  <c r="O8"/>
  <c r="AH4"/>
  <c r="O286" i="38"/>
  <c r="O285"/>
  <c r="M55" i="41"/>
  <c r="O30" i="11"/>
  <c r="O55" i="41"/>
  <c r="M37" i="31"/>
  <c r="O41" i="11"/>
  <c r="O37" i="31"/>
  <c r="M58" i="24"/>
  <c r="O49" i="11"/>
  <c r="O58" i="24"/>
  <c r="M393" i="38"/>
  <c r="O16" i="47"/>
  <c r="O393" i="38"/>
  <c r="M462"/>
  <c r="O35" i="49"/>
  <c r="O462" i="38"/>
  <c r="M110" i="30"/>
  <c r="O39" i="49"/>
  <c r="O110" i="30"/>
  <c r="M29" i="32"/>
  <c r="O43" i="49"/>
  <c r="O29" i="32"/>
  <c r="M33" i="42"/>
  <c r="O47" i="49"/>
  <c r="O33" i="42"/>
  <c r="O32"/>
  <c r="M464" i="38"/>
  <c r="O51" i="49"/>
  <c r="M469" i="38"/>
  <c r="O96" i="49"/>
  <c r="M21" i="44"/>
  <c r="O100" i="49"/>
  <c r="O21" i="44"/>
  <c r="M40" i="20"/>
  <c r="O104" i="49"/>
  <c r="O40" i="20"/>
  <c r="M31" i="32"/>
  <c r="O108" i="49"/>
  <c r="O31" i="32"/>
  <c r="M471" i="38"/>
  <c r="O112" i="49"/>
  <c r="M34" i="40"/>
  <c r="O125" i="49"/>
  <c r="O34" i="40"/>
  <c r="M44" i="20"/>
  <c r="O129" i="49"/>
  <c r="O44" i="20"/>
  <c r="M67" i="24"/>
  <c r="O133" i="49"/>
  <c r="O67" i="24"/>
  <c r="M23" i="26"/>
  <c r="O138" i="49"/>
  <c r="O23" i="26"/>
  <c r="O22"/>
  <c r="M32" i="23"/>
  <c r="O142" i="49"/>
  <c r="S142"/>
  <c r="M233" i="72"/>
  <c r="U4" i="58"/>
  <c r="M236" i="72"/>
  <c r="O28" i="61"/>
  <c r="N30" i="65"/>
  <c r="N33"/>
  <c r="N130"/>
  <c r="N142"/>
  <c r="N239"/>
  <c r="N30" i="66"/>
  <c r="N42"/>
  <c r="Q77"/>
  <c r="N159"/>
  <c r="N171"/>
  <c r="I4"/>
  <c r="N216"/>
  <c r="L4"/>
  <c r="N227"/>
  <c r="N245"/>
  <c r="N257"/>
  <c r="M212" i="38"/>
  <c r="M11" i="45"/>
  <c r="M112" i="38"/>
  <c r="M23" i="72"/>
  <c r="O12" i="31"/>
  <c r="O11"/>
  <c r="M29" i="72"/>
  <c r="O9" i="26"/>
  <c r="O8"/>
  <c r="M33" i="72"/>
  <c r="O9" i="54"/>
  <c r="M37" i="72"/>
  <c r="O32" i="38"/>
  <c r="M45" i="72"/>
  <c r="O12" i="54"/>
  <c r="M47" i="72"/>
  <c r="O122" i="38"/>
  <c r="M67" i="72"/>
  <c r="O123" i="38"/>
  <c r="K69" i="72"/>
  <c r="M303" i="38"/>
  <c r="K81" i="72"/>
  <c r="M125" i="38"/>
  <c r="K93" i="72"/>
  <c r="M408" i="38"/>
  <c r="K95" i="72"/>
  <c r="M33" i="30"/>
  <c r="K97" i="72"/>
  <c r="M35" i="30"/>
  <c r="M11" i="23"/>
  <c r="K99" i="72"/>
  <c r="K101"/>
  <c r="M16" i="24"/>
  <c r="K105" i="72"/>
  <c r="M36" i="38"/>
  <c r="K107" i="72"/>
  <c r="M38" i="38"/>
  <c r="K108" i="72"/>
  <c r="M40" i="38"/>
  <c r="K110" i="72"/>
  <c r="M127" i="38"/>
  <c r="K111" i="72"/>
  <c r="M131" i="38"/>
  <c r="K113" i="72"/>
  <c r="M225" i="38"/>
  <c r="K115" i="72"/>
  <c r="M227" i="38"/>
  <c r="K117" i="72"/>
  <c r="M229" i="38"/>
  <c r="K121" i="72"/>
  <c r="M306" i="38"/>
  <c r="K123" i="72"/>
  <c r="M355" i="38"/>
  <c r="K195" i="72"/>
  <c r="M357" i="38"/>
  <c r="K125" i="72"/>
  <c r="M359" i="38"/>
  <c r="K142" i="72"/>
  <c r="M410" i="38"/>
  <c r="K127" i="72"/>
  <c r="M11" i="37"/>
  <c r="K136" i="72"/>
  <c r="M7" i="35"/>
  <c r="K140" i="72"/>
  <c r="M16" i="45"/>
  <c r="K208" i="72"/>
  <c r="M14" i="54"/>
  <c r="K209" i="72"/>
  <c r="M7" i="61"/>
  <c r="K157" i="72"/>
  <c r="M9" i="40"/>
  <c r="K197" i="72"/>
  <c r="M38" i="30"/>
  <c r="K199" i="72"/>
  <c r="M40" i="30"/>
  <c r="K201" i="72"/>
  <c r="M42" i="30"/>
  <c r="K162" i="72"/>
  <c r="M17" i="20"/>
  <c r="K203" i="72"/>
  <c r="M19" i="20"/>
  <c r="K166" i="72"/>
  <c r="M14" i="31"/>
  <c r="K168" i="72"/>
  <c r="M16" i="31"/>
  <c r="K170" i="72"/>
  <c r="M18" i="31"/>
  <c r="K172" i="72"/>
  <c r="M13" i="23"/>
  <c r="K174" i="72"/>
  <c r="M11" i="42"/>
  <c r="K176" i="72"/>
  <c r="M13" i="42"/>
  <c r="K178" i="72"/>
  <c r="M15" i="42"/>
  <c r="K206" i="72"/>
  <c r="M17" i="42"/>
  <c r="K180" i="72"/>
  <c r="M12" i="32"/>
  <c r="K182" i="72"/>
  <c r="M14" i="32"/>
  <c r="K184" i="72"/>
  <c r="M18" i="24"/>
  <c r="K186" i="72"/>
  <c r="M20" i="24"/>
  <c r="K210" i="72"/>
  <c r="M23" i="24"/>
  <c r="M12" i="53"/>
  <c r="K191" i="72"/>
  <c r="K145"/>
  <c r="M7" i="43"/>
  <c r="M149" i="72"/>
  <c r="O10" i="33"/>
  <c r="M151" i="72"/>
  <c r="M150"/>
  <c r="O11" i="26"/>
  <c r="O10"/>
  <c r="M155" i="72"/>
  <c r="O10" i="34"/>
  <c r="M213" i="72"/>
  <c r="M212"/>
  <c r="O26" i="41"/>
  <c r="M218" i="72"/>
  <c r="O57" i="38"/>
  <c r="M220" i="72"/>
  <c r="O59" i="38"/>
  <c r="R10" i="43"/>
  <c r="M97" i="38"/>
  <c r="O7" i="13"/>
  <c r="M100" i="38"/>
  <c r="O11" i="13"/>
  <c r="O100" i="38"/>
  <c r="M183"/>
  <c r="O14" i="13"/>
  <c r="O183" i="38"/>
  <c r="M187"/>
  <c r="O18" i="13"/>
  <c r="O187" i="38"/>
  <c r="M191"/>
  <c r="O22" i="13"/>
  <c r="O191" i="38"/>
  <c r="M195"/>
  <c r="O26" i="13"/>
  <c r="O195" i="38"/>
  <c r="M279"/>
  <c r="O29" i="13"/>
  <c r="O279" i="38"/>
  <c r="M337"/>
  <c r="O36" i="13"/>
  <c r="O337" i="38"/>
  <c r="M373"/>
  <c r="O43" i="13"/>
  <c r="O373" i="38"/>
  <c r="M389"/>
  <c r="O53" i="13"/>
  <c r="O389" i="38"/>
  <c r="M99" i="27"/>
  <c r="O60" i="13"/>
  <c r="O99" i="27"/>
  <c r="M16" i="61"/>
  <c r="O70" i="13"/>
  <c r="O16" i="61"/>
  <c r="M101" i="30"/>
  <c r="O80" i="13"/>
  <c r="O101" i="30"/>
  <c r="M32" i="20"/>
  <c r="O83" i="13"/>
  <c r="M46" i="41"/>
  <c r="O86" i="13"/>
  <c r="O46" i="41"/>
  <c r="O284" i="38"/>
  <c r="O283"/>
  <c r="H4" i="10"/>
  <c r="O12" i="11"/>
  <c r="O33" i="54"/>
  <c r="O32"/>
  <c r="O4" i="11"/>
  <c r="M54" i="41"/>
  <c r="O29" i="11"/>
  <c r="O54" i="41"/>
  <c r="M39" i="68"/>
  <c r="O32" i="11"/>
  <c r="M36" i="31"/>
  <c r="O40" i="11"/>
  <c r="O36" i="31"/>
  <c r="M28" i="23"/>
  <c r="O46" i="11"/>
  <c r="M57" i="24"/>
  <c r="O48" i="11"/>
  <c r="M23" i="53"/>
  <c r="O52" i="11"/>
  <c r="M392" i="38"/>
  <c r="O15" i="47"/>
  <c r="O392" i="38"/>
  <c r="O8" i="49"/>
  <c r="M109" i="30"/>
  <c r="O38" i="49"/>
  <c r="O109" i="30"/>
  <c r="M57" i="41"/>
  <c r="O42" i="49"/>
  <c r="M41" i="68"/>
  <c r="O46" i="49"/>
  <c r="O41" i="68"/>
  <c r="M17" i="75"/>
  <c r="O89" i="49"/>
  <c r="O17" i="75"/>
  <c r="M106" i="27"/>
  <c r="O99" i="49"/>
  <c r="O106" i="27"/>
  <c r="M124" i="30"/>
  <c r="O103" i="49"/>
  <c r="M31" i="23"/>
  <c r="O107" i="49"/>
  <c r="M22" i="44"/>
  <c r="O124" i="49"/>
  <c r="O22" i="44"/>
  <c r="M43" i="20"/>
  <c r="O128" i="49"/>
  <c r="O43" i="20"/>
  <c r="M33" i="32"/>
  <c r="O132" i="49"/>
  <c r="O33" i="32"/>
  <c r="M46" i="20"/>
  <c r="O141" i="49"/>
  <c r="O46" i="20"/>
  <c r="M68" i="24"/>
  <c r="O145" i="49"/>
  <c r="O68" i="24"/>
  <c r="O20" i="56"/>
  <c r="BC4"/>
  <c r="N18" i="65"/>
  <c r="N126"/>
  <c r="N163"/>
  <c r="N171"/>
  <c r="H4"/>
  <c r="N211"/>
  <c r="N216"/>
  <c r="N227"/>
  <c r="L4"/>
  <c r="N258"/>
  <c r="N18" i="66"/>
  <c r="N60"/>
  <c r="N84"/>
  <c r="N175"/>
  <c r="Q231"/>
  <c r="N239"/>
  <c r="M352" i="38"/>
  <c r="O25" i="16"/>
  <c r="O31"/>
  <c r="O41"/>
  <c r="O42"/>
  <c r="O8" i="24"/>
  <c r="O43" i="16"/>
  <c r="O44"/>
  <c r="O8" i="44"/>
  <c r="O55" i="16"/>
  <c r="O57"/>
  <c r="O8" i="45"/>
  <c r="O63" i="16"/>
  <c r="O64"/>
  <c r="O18" i="38"/>
  <c r="O65" i="16"/>
  <c r="O19" i="38"/>
  <c r="O68" i="16"/>
  <c r="O69"/>
  <c r="O204" i="38"/>
  <c r="O78" i="16"/>
  <c r="O79"/>
  <c r="O8" i="41"/>
  <c r="O80" i="16"/>
  <c r="O10" i="30"/>
  <c r="O101" i="16"/>
  <c r="O102"/>
  <c r="O9" i="68"/>
  <c r="O110" i="16"/>
  <c r="O9" i="44"/>
  <c r="O111" i="16"/>
  <c r="O10" i="44"/>
  <c r="O112" i="16"/>
  <c r="O113"/>
  <c r="O10" i="2"/>
  <c r="O16"/>
  <c r="O17"/>
  <c r="M21"/>
  <c r="O27"/>
  <c r="O400" i="38"/>
  <c r="O28" i="2"/>
  <c r="O401" i="38"/>
  <c r="O29" i="2"/>
  <c r="O47"/>
  <c r="O48"/>
  <c r="O49"/>
  <c r="O56"/>
  <c r="O57"/>
  <c r="O9" i="31"/>
  <c r="O58" i="2"/>
  <c r="O10" i="31"/>
  <c r="AS4" i="81"/>
  <c r="O52"/>
  <c r="O49"/>
  <c r="O14" i="3"/>
  <c r="O115" i="38"/>
  <c r="O73" i="3"/>
  <c r="O70" i="27"/>
  <c r="O74" i="3"/>
  <c r="O71" i="27"/>
  <c r="O75" i="3"/>
  <c r="O72" i="27"/>
  <c r="AP4" i="4"/>
  <c r="K28" i="72"/>
  <c r="M7" i="33"/>
  <c r="K34" i="72"/>
  <c r="M10" i="54"/>
  <c r="K38" i="72"/>
  <c r="M9" i="71"/>
  <c r="O36" i="4"/>
  <c r="K46" i="72"/>
  <c r="M33" i="38"/>
  <c r="O46" i="4"/>
  <c r="K66" i="72"/>
  <c r="M34" i="38"/>
  <c r="O65" i="4"/>
  <c r="O67"/>
  <c r="M71" i="72"/>
  <c r="O69" i="4"/>
  <c r="M73" i="72"/>
  <c r="O73" i="4"/>
  <c r="M77" i="72"/>
  <c r="O75" i="4"/>
  <c r="M79" i="72"/>
  <c r="O77" i="4"/>
  <c r="O79"/>
  <c r="M83" i="72"/>
  <c r="O81" i="4"/>
  <c r="M85" i="72"/>
  <c r="O83" i="4"/>
  <c r="O85"/>
  <c r="M89" i="72"/>
  <c r="O87" i="4"/>
  <c r="M91" i="72"/>
  <c r="O89" i="4"/>
  <c r="O91"/>
  <c r="O93"/>
  <c r="O95"/>
  <c r="O97"/>
  <c r="O48" i="82"/>
  <c r="O50"/>
  <c r="O8" i="15"/>
  <c r="O10"/>
  <c r="O12"/>
  <c r="O14"/>
  <c r="O18"/>
  <c r="O20"/>
  <c r="O22"/>
  <c r="O24"/>
  <c r="O28"/>
  <c r="O30"/>
  <c r="O32"/>
  <c r="O34"/>
  <c r="O36"/>
  <c r="O39"/>
  <c r="O44"/>
  <c r="M131" i="72"/>
  <c r="O46" i="15"/>
  <c r="M134" i="72"/>
  <c r="O48" i="15"/>
  <c r="O52"/>
  <c r="O54"/>
  <c r="O56"/>
  <c r="O60"/>
  <c r="O62"/>
  <c r="O74"/>
  <c r="O78"/>
  <c r="O80"/>
  <c r="O82"/>
  <c r="O84"/>
  <c r="O86"/>
  <c r="O94"/>
  <c r="O96"/>
  <c r="O98"/>
  <c r="O100"/>
  <c r="O102"/>
  <c r="O104"/>
  <c r="O106"/>
  <c r="O108"/>
  <c r="O110"/>
  <c r="O112"/>
  <c r="O114"/>
  <c r="O116"/>
  <c r="O118"/>
  <c r="O122"/>
  <c r="O124"/>
  <c r="K148" i="72"/>
  <c r="M9" i="33"/>
  <c r="O129" i="15"/>
  <c r="O44" i="82"/>
  <c r="AX4"/>
  <c r="K152" i="72"/>
  <c r="M12" i="26"/>
  <c r="K154" i="72"/>
  <c r="M9" i="34"/>
  <c r="O136" i="15"/>
  <c r="O153"/>
  <c r="O146"/>
  <c r="O56" i="82"/>
  <c r="O169" i="15"/>
  <c r="O173"/>
  <c r="O58" i="82"/>
  <c r="O181" i="15"/>
  <c r="O60" i="82"/>
  <c r="O197" i="15"/>
  <c r="O65" i="82"/>
  <c r="O214" i="15"/>
  <c r="O72" i="82"/>
  <c r="O244" i="15"/>
  <c r="O76" i="82"/>
  <c r="O247" i="15"/>
  <c r="O248"/>
  <c r="O8" i="75"/>
  <c r="O253" i="15"/>
  <c r="O80" i="82"/>
  <c r="O259" i="15"/>
  <c r="O82" i="82"/>
  <c r="O271" i="15"/>
  <c r="O84" i="82"/>
  <c r="O277" i="15"/>
  <c r="O87" i="82"/>
  <c r="O86"/>
  <c r="O25" i="5"/>
  <c r="O106" i="6"/>
  <c r="O107"/>
  <c r="O13" i="83"/>
  <c r="O15"/>
  <c r="K221" i="72"/>
  <c r="M60" i="38"/>
  <c r="O139" i="7"/>
  <c r="O27" i="83"/>
  <c r="L4"/>
  <c r="O231" i="7"/>
  <c r="O50" i="83"/>
  <c r="AL4"/>
  <c r="O243" i="7"/>
  <c r="O52" i="83"/>
  <c r="AN4"/>
  <c r="O252" i="7"/>
  <c r="O8" i="8"/>
  <c r="O15"/>
  <c r="O16"/>
  <c r="O72" i="30"/>
  <c r="O17" i="8"/>
  <c r="O73" i="30"/>
  <c r="O22" i="8"/>
  <c r="O23"/>
  <c r="O77" i="30"/>
  <c r="O24" i="8"/>
  <c r="O78" i="30"/>
  <c r="O25" i="8"/>
  <c r="O26"/>
  <c r="O38" i="41"/>
  <c r="O27" i="8"/>
  <c r="O28"/>
  <c r="O22" i="32"/>
  <c r="O29" i="8"/>
  <c r="O30"/>
  <c r="O42" i="24"/>
  <c r="O31" i="8"/>
  <c r="O32"/>
  <c r="O43"/>
  <c r="O44"/>
  <c r="O44" i="24"/>
  <c r="O45" i="8"/>
  <c r="O45" i="24"/>
  <c r="O48" i="8"/>
  <c r="O49"/>
  <c r="O50"/>
  <c r="O24" i="40"/>
  <c r="O51" i="8"/>
  <c r="O25" i="40"/>
  <c r="O52" i="8"/>
  <c r="O26" i="40"/>
  <c r="O53" i="8"/>
  <c r="O85" i="30"/>
  <c r="O56" i="8"/>
  <c r="O57"/>
  <c r="O58"/>
  <c r="O86" i="30"/>
  <c r="O59" i="8"/>
  <c r="O87" i="30"/>
  <c r="O60" i="8"/>
  <c r="O88" i="30"/>
  <c r="O61" i="8"/>
  <c r="O10" i="12"/>
  <c r="O10" i="85"/>
  <c r="G4"/>
  <c r="O22" i="12"/>
  <c r="O12" i="85"/>
  <c r="I4"/>
  <c r="O29" i="12"/>
  <c r="O14" i="85"/>
  <c r="K4"/>
  <c r="O40" i="12"/>
  <c r="O19" i="85"/>
  <c r="P4"/>
  <c r="O78" i="12"/>
  <c r="O79"/>
  <c r="O29" i="31"/>
  <c r="O84" i="12"/>
  <c r="O34" i="85"/>
  <c r="AR4"/>
  <c r="O89" i="12"/>
  <c r="O36" i="85"/>
  <c r="AT4"/>
  <c r="O100" i="12"/>
  <c r="O41" i="85"/>
  <c r="AX4"/>
  <c r="M181" i="38"/>
  <c r="O10" i="13"/>
  <c r="O181" i="38"/>
  <c r="M182"/>
  <c r="O13" i="13"/>
  <c r="M186" i="38"/>
  <c r="O17" i="13"/>
  <c r="O186" i="38"/>
  <c r="M190"/>
  <c r="O21" i="13"/>
  <c r="O190" i="38"/>
  <c r="M194"/>
  <c r="O25" i="13"/>
  <c r="O194" i="38"/>
  <c r="M278"/>
  <c r="O28" i="13"/>
  <c r="M282" i="38"/>
  <c r="O32" i="13"/>
  <c r="O282" i="38"/>
  <c r="M336"/>
  <c r="O35" i="13"/>
  <c r="O336" i="38"/>
  <c r="M340"/>
  <c r="O39" i="13"/>
  <c r="O340" i="38"/>
  <c r="M372"/>
  <c r="O42" i="13"/>
  <c r="O372" i="38"/>
  <c r="M376"/>
  <c r="O46" i="13"/>
  <c r="O376" i="38"/>
  <c r="M422"/>
  <c r="O49" i="13"/>
  <c r="O422" i="38"/>
  <c r="M388"/>
  <c r="O52" i="13"/>
  <c r="O388" i="38"/>
  <c r="M98" i="27"/>
  <c r="O59" i="13"/>
  <c r="M102" i="27"/>
  <c r="O63" i="13"/>
  <c r="O102" i="27"/>
  <c r="M28" i="45"/>
  <c r="O66" i="13"/>
  <c r="O28" i="45"/>
  <c r="M15" i="61"/>
  <c r="O69" i="13"/>
  <c r="O15" i="61"/>
  <c r="M100" i="30"/>
  <c r="O79" i="13"/>
  <c r="O100" i="30"/>
  <c r="M45" i="41"/>
  <c r="O85" i="13"/>
  <c r="M14" i="70"/>
  <c r="O89" i="13"/>
  <c r="M31" i="42"/>
  <c r="O94" i="13"/>
  <c r="M27" i="32"/>
  <c r="O97" i="13"/>
  <c r="O27" i="32"/>
  <c r="M52" i="24"/>
  <c r="O99" i="13"/>
  <c r="O426" i="38"/>
  <c r="O20" i="10"/>
  <c r="O49" i="41"/>
  <c r="O47"/>
  <c r="AL4" i="10"/>
  <c r="AH4" i="11"/>
  <c r="M107" i="30"/>
  <c r="O22" i="11"/>
  <c r="O107" i="30"/>
  <c r="M35" i="20"/>
  <c r="O25" i="11"/>
  <c r="O35" i="20"/>
  <c r="M53" i="41"/>
  <c r="O28" i="11"/>
  <c r="O53" i="41"/>
  <c r="M33" i="31"/>
  <c r="O36" i="11"/>
  <c r="M35" i="31"/>
  <c r="O39" i="11"/>
  <c r="O35" i="31"/>
  <c r="M39"/>
  <c r="O45" i="11"/>
  <c r="O39" i="31"/>
  <c r="M60" i="24"/>
  <c r="O51" i="11"/>
  <c r="O60" i="24"/>
  <c r="M391" i="38"/>
  <c r="O14" i="47"/>
  <c r="M25" i="61"/>
  <c r="O22" i="47"/>
  <c r="M30" i="40"/>
  <c r="O37" i="49"/>
  <c r="M37" i="20"/>
  <c r="O41" i="49"/>
  <c r="O37" i="20"/>
  <c r="M21" i="71"/>
  <c r="O45" i="49"/>
  <c r="O21" i="71"/>
  <c r="M65" i="24"/>
  <c r="O88" i="49"/>
  <c r="M123" i="30"/>
  <c r="O92" i="49"/>
  <c r="M468" i="38"/>
  <c r="O95" i="49"/>
  <c r="S95"/>
  <c r="M32" i="40"/>
  <c r="O102" i="49"/>
  <c r="M61" i="41"/>
  <c r="O106" i="49"/>
  <c r="O61" i="41"/>
  <c r="M126" i="30"/>
  <c r="O127" i="49"/>
  <c r="O126" i="30"/>
  <c r="M32" i="32"/>
  <c r="O131" i="49"/>
  <c r="O32" i="32"/>
  <c r="M127" i="30"/>
  <c r="O135" i="49"/>
  <c r="O127" i="30"/>
  <c r="M45" i="20"/>
  <c r="O140" i="49"/>
  <c r="O45" i="20"/>
  <c r="M34" i="32"/>
  <c r="O144" i="49"/>
  <c r="O34" i="32"/>
  <c r="O71" i="24"/>
  <c r="K230" i="72"/>
  <c r="M36" i="54"/>
  <c r="O11" i="58"/>
  <c r="N57" i="65"/>
  <c r="N159"/>
  <c r="I4"/>
  <c r="N204"/>
  <c r="N270"/>
  <c r="N99" i="66"/>
  <c r="G4"/>
  <c r="N178"/>
  <c r="N204"/>
  <c r="K227" i="72"/>
  <c r="M43" i="31"/>
  <c r="K229" i="72"/>
  <c r="M35" i="54"/>
  <c r="K232" i="72"/>
  <c r="M32" i="45"/>
  <c r="G4" i="65"/>
  <c r="R8" i="27"/>
  <c r="R8" i="3"/>
  <c r="R26" i="38"/>
  <c r="K225" i="72"/>
  <c r="M24" i="61"/>
  <c r="M118" i="30"/>
  <c r="M64" i="24"/>
  <c r="O43" i="31"/>
  <c r="O42"/>
  <c r="M227" i="72"/>
  <c r="M229"/>
  <c r="O35" i="54"/>
  <c r="J231" i="72"/>
  <c r="L27" i="61"/>
  <c r="M232" i="72"/>
  <c r="O32" i="45"/>
  <c r="O31"/>
  <c r="R394" i="38"/>
  <c r="M480"/>
  <c r="M31" i="40"/>
  <c r="O18" i="47"/>
  <c r="O19"/>
  <c r="O22" i="61"/>
  <c r="O20" i="47"/>
  <c r="O21"/>
  <c r="O55" i="49"/>
  <c r="O112" i="30"/>
  <c r="O56" i="49"/>
  <c r="O113" i="30"/>
  <c r="O57" i="49"/>
  <c r="O114" i="30"/>
  <c r="O58" i="49"/>
  <c r="O115" i="30"/>
  <c r="O59" i="49"/>
  <c r="O116" i="30"/>
  <c r="O60" i="49"/>
  <c r="O117" i="30"/>
  <c r="O61" i="49"/>
  <c r="O62" i="24"/>
  <c r="O62" i="49"/>
  <c r="O63" i="24"/>
  <c r="O63" i="49"/>
  <c r="O64"/>
  <c r="O65"/>
  <c r="O16" i="70"/>
  <c r="O15"/>
  <c r="O73" i="49"/>
  <c r="O105" i="27"/>
  <c r="O74" i="49"/>
  <c r="O75"/>
  <c r="O467" i="38"/>
  <c r="O77" i="49"/>
  <c r="O119" i="30"/>
  <c r="O78" i="49"/>
  <c r="O120" i="30"/>
  <c r="O79" i="49"/>
  <c r="O121" i="30"/>
  <c r="O80" i="49"/>
  <c r="O38" i="20"/>
  <c r="O81" i="49"/>
  <c r="O39" i="20"/>
  <c r="O82" i="49"/>
  <c r="O83"/>
  <c r="O84"/>
  <c r="O122" i="30"/>
  <c r="O85" i="49"/>
  <c r="O42" i="68"/>
  <c r="O115" i="49"/>
  <c r="O107" i="27"/>
  <c r="O118" i="49"/>
  <c r="O121"/>
  <c r="O122"/>
  <c r="O33" i="40"/>
  <c r="J230" i="72"/>
  <c r="L36" i="54"/>
  <c r="M12" i="58"/>
  <c r="K236" i="72"/>
  <c r="M28" i="61"/>
  <c r="O9" i="56"/>
  <c r="O10"/>
  <c r="O478" i="38"/>
  <c r="O11" i="56"/>
  <c r="O479" i="38"/>
  <c r="O13" i="56"/>
  <c r="O481" i="38"/>
  <c r="N11" i="66"/>
  <c r="N12"/>
  <c r="N13"/>
  <c r="N14"/>
  <c r="N15"/>
  <c r="N16"/>
  <c r="N17"/>
  <c r="N78"/>
  <c r="R354" i="38"/>
  <c r="R113"/>
  <c r="R13" i="27"/>
  <c r="R13" i="3"/>
  <c r="R65" i="4"/>
  <c r="R302" i="38"/>
  <c r="R288"/>
  <c r="R342"/>
  <c r="R447"/>
  <c r="R446"/>
  <c r="F2" i="37"/>
  <c r="R17" i="15"/>
  <c r="R126" i="38"/>
  <c r="R27" i="27"/>
  <c r="R27" i="3"/>
  <c r="R213" i="38"/>
  <c r="R196"/>
  <c r="F2" i="41"/>
  <c r="F2" i="20"/>
  <c r="F2" i="70"/>
  <c r="R12" i="58"/>
  <c r="R15"/>
  <c r="F2" i="68"/>
  <c r="F2" i="75"/>
  <c r="E40" i="72"/>
  <c r="D26"/>
  <c r="H26"/>
  <c r="H14"/>
  <c r="H13"/>
  <c r="G86"/>
  <c r="G75"/>
  <c r="G147"/>
  <c r="M256"/>
  <c r="N104" i="65"/>
  <c r="R7" i="15"/>
  <c r="F165" i="72"/>
  <c r="H173"/>
  <c r="F2" i="33"/>
  <c r="F2" i="23"/>
  <c r="G281" i="72"/>
  <c r="G280"/>
  <c r="G239"/>
  <c r="I243"/>
  <c r="K255"/>
  <c r="G273"/>
  <c r="N253"/>
  <c r="Q77" i="65"/>
  <c r="G217" i="72"/>
  <c r="N108" i="65"/>
  <c r="P217" i="72"/>
  <c r="G277"/>
  <c r="Q152" i="65"/>
  <c r="P107" i="72"/>
  <c r="P104"/>
  <c r="P149"/>
  <c r="P147"/>
  <c r="M54" i="27"/>
  <c r="M24" i="30"/>
  <c r="O58" i="3"/>
  <c r="O23" i="81"/>
  <c r="O59" i="3"/>
  <c r="O24" i="81"/>
  <c r="M114" i="38"/>
  <c r="M13" i="27"/>
  <c r="J19"/>
  <c r="O19" i="3"/>
  <c r="O120" i="38"/>
  <c r="O24" i="3"/>
  <c r="O214" i="38"/>
  <c r="O25" i="3"/>
  <c r="O215" i="38"/>
  <c r="O26" i="3"/>
  <c r="O26" i="27"/>
  <c r="O27" i="3"/>
  <c r="O27" i="27"/>
  <c r="O28" i="3"/>
  <c r="O28" i="27"/>
  <c r="O29" i="3"/>
  <c r="O29" i="27"/>
  <c r="O30" i="3"/>
  <c r="O30" i="27"/>
  <c r="O31" i="3"/>
  <c r="O221" i="38"/>
  <c r="O32" i="3"/>
  <c r="O32" i="27"/>
  <c r="O91" i="3"/>
  <c r="M120" i="38"/>
  <c r="M216"/>
  <c r="J13" i="27"/>
  <c r="J15"/>
  <c r="M30"/>
  <c r="O13" i="41"/>
  <c r="O41" i="81"/>
  <c r="M14" i="20"/>
  <c r="M41" i="81"/>
  <c r="M42"/>
  <c r="M43"/>
  <c r="O95" i="3"/>
  <c r="O96"/>
  <c r="O23" i="30"/>
  <c r="O98" i="3"/>
  <c r="O25" i="30"/>
  <c r="O99" i="3"/>
  <c r="O26" i="30"/>
  <c r="O100" i="3"/>
  <c r="O27" i="30"/>
  <c r="O117" i="3"/>
  <c r="O119"/>
  <c r="O47" i="81"/>
  <c r="T4"/>
  <c r="M115" i="38"/>
  <c r="M215"/>
  <c r="M8" i="27"/>
  <c r="M52"/>
  <c r="M15" i="20"/>
  <c r="M28" i="38"/>
  <c r="M13" i="41"/>
  <c r="M221" i="38"/>
  <c r="M10" i="27"/>
  <c r="M28"/>
  <c r="M47"/>
  <c r="O8" i="3"/>
  <c r="O8" i="27"/>
  <c r="O9" i="3"/>
  <c r="O28" i="38"/>
  <c r="O10" i="3"/>
  <c r="O10" i="27"/>
  <c r="O11" i="3"/>
  <c r="O30" i="38"/>
  <c r="O48" i="3"/>
  <c r="O13" i="20"/>
  <c r="O49" i="3"/>
  <c r="O50"/>
  <c r="O49" i="27"/>
  <c r="O51" i="3"/>
  <c r="O108"/>
  <c r="O109"/>
  <c r="O110"/>
  <c r="O111"/>
  <c r="O17" i="41"/>
  <c r="M119" i="38"/>
  <c r="M222"/>
  <c r="M24" i="27"/>
  <c r="M53"/>
  <c r="O116" i="38"/>
  <c r="O15" i="27"/>
  <c r="O59"/>
  <c r="O74"/>
  <c r="O119" i="38"/>
  <c r="O18" i="27"/>
  <c r="O31" i="81"/>
  <c r="O80" i="27"/>
  <c r="O28" i="30"/>
  <c r="O19"/>
  <c r="O43" i="27"/>
  <c r="O52"/>
  <c r="O53" i="3"/>
  <c r="O88"/>
  <c r="O35" i="81"/>
  <c r="O223" i="38"/>
  <c r="M116"/>
  <c r="M117"/>
  <c r="M118"/>
  <c r="M21" i="27"/>
  <c r="M34"/>
  <c r="M223" i="38"/>
  <c r="O14" i="27"/>
  <c r="M15"/>
  <c r="M41"/>
  <c r="M43"/>
  <c r="M45"/>
  <c r="M74"/>
  <c r="M75"/>
  <c r="M77"/>
  <c r="M78"/>
  <c r="M79"/>
  <c r="M80"/>
  <c r="M19" i="30"/>
  <c r="M28"/>
  <c r="O16" i="3"/>
  <c r="O17"/>
  <c r="O21"/>
  <c r="O22"/>
  <c r="O34"/>
  <c r="O35"/>
  <c r="O36"/>
  <c r="O37"/>
  <c r="O40"/>
  <c r="O41"/>
  <c r="O42"/>
  <c r="O43"/>
  <c r="O45"/>
  <c r="O46"/>
  <c r="O68"/>
  <c r="O69"/>
  <c r="O66" i="27"/>
  <c r="O70" i="3"/>
  <c r="O67" i="27"/>
  <c r="O71" i="3"/>
  <c r="O68" i="27"/>
  <c r="O80" i="3"/>
  <c r="O76" i="27"/>
  <c r="O85" i="3"/>
  <c r="O103"/>
  <c r="O29" i="30"/>
  <c r="O104" i="3"/>
  <c r="O30" i="30"/>
  <c r="O105" i="3"/>
  <c r="O31" i="30"/>
  <c r="O113" i="3"/>
  <c r="O114"/>
  <c r="O16" i="68"/>
  <c r="J115" i="38"/>
  <c r="J119"/>
  <c r="M7" i="37"/>
  <c r="O13" i="27"/>
  <c r="M18"/>
  <c r="M27"/>
  <c r="M29"/>
  <c r="M40"/>
  <c r="M42"/>
  <c r="M44"/>
  <c r="M59"/>
  <c r="M60"/>
  <c r="M61"/>
  <c r="M62"/>
  <c r="M63"/>
  <c r="M300" i="38"/>
  <c r="M30"/>
  <c r="M39" i="27"/>
  <c r="M406" i="38"/>
  <c r="M282" i="72"/>
  <c r="O89" i="30"/>
  <c r="AW4" i="82"/>
  <c r="F59" i="72"/>
  <c r="O16" i="26"/>
  <c r="O10" i="4"/>
  <c r="O14" i="44"/>
  <c r="O10" i="71"/>
  <c r="S7" i="16"/>
  <c r="Q174" i="65"/>
  <c r="W178"/>
  <c r="O11" i="27"/>
  <c r="O80" i="12"/>
  <c r="O33" i="85"/>
  <c r="AQ4"/>
  <c r="F12" i="72"/>
  <c r="R8" i="2"/>
  <c r="H265" i="72"/>
  <c r="R33" i="13"/>
  <c r="R35" i="83"/>
  <c r="U3"/>
  <c r="O222" i="38"/>
  <c r="O218"/>
  <c r="P119" i="72"/>
  <c r="R6" i="38"/>
  <c r="R76" i="82"/>
  <c r="O29" i="54"/>
  <c r="O28"/>
  <c r="O20" i="85"/>
  <c r="O4"/>
  <c r="N162" i="66"/>
  <c r="H59" i="72"/>
  <c r="H12"/>
  <c r="R38" i="3"/>
  <c r="P86" i="72"/>
  <c r="P228"/>
  <c r="P183"/>
  <c r="P112"/>
  <c r="P40"/>
  <c r="P14"/>
  <c r="P13"/>
  <c r="O8" i="61"/>
  <c r="O21" i="75"/>
  <c r="O7" i="5"/>
  <c r="O414" i="38"/>
  <c r="M50" i="72"/>
  <c r="N223" i="66"/>
  <c r="W174" i="65"/>
  <c r="R34" i="85"/>
  <c r="R36" i="83"/>
  <c r="O28" i="81"/>
  <c r="R101" i="38"/>
  <c r="I4" i="6"/>
  <c r="O15" i="12"/>
  <c r="O11" i="85"/>
  <c r="H4"/>
  <c r="O184" i="15"/>
  <c r="O61" i="82"/>
  <c r="O22" i="31"/>
  <c r="R11" i="5"/>
  <c r="L4" i="10"/>
  <c r="AF3" i="85"/>
  <c r="R9"/>
  <c r="R26"/>
  <c r="R13"/>
  <c r="W64" i="65"/>
  <c r="K253" i="72"/>
  <c r="N178" i="65"/>
  <c r="O16" i="10"/>
  <c r="O66" i="12"/>
  <c r="O187" i="15"/>
  <c r="O62" i="82"/>
  <c r="O31" i="38"/>
  <c r="O26" i="12"/>
  <c r="O13" i="85"/>
  <c r="L4"/>
  <c r="O184" i="7"/>
  <c r="O36" i="83"/>
  <c r="AE4"/>
  <c r="O270" i="38"/>
  <c r="O103" i="47"/>
  <c r="S103"/>
  <c r="J4" i="16"/>
  <c r="W195" i="65"/>
  <c r="R25" i="85"/>
  <c r="O424" i="38"/>
  <c r="O423"/>
  <c r="L4" i="9"/>
  <c r="O13" i="33"/>
  <c r="O12"/>
  <c r="O37" i="85"/>
  <c r="AW4"/>
  <c r="R61" i="82"/>
  <c r="R10" i="85"/>
  <c r="G3"/>
  <c r="O425" i="38"/>
  <c r="O14" i="83"/>
  <c r="R4" i="5"/>
  <c r="AK4" i="16"/>
  <c r="O10" i="83"/>
  <c r="O417" i="38"/>
  <c r="H264" i="72"/>
  <c r="M270"/>
  <c r="R19" i="85"/>
  <c r="O32" i="41"/>
  <c r="E3" i="60"/>
  <c r="R16"/>
  <c r="O16" i="71"/>
  <c r="O15"/>
  <c r="O38" i="85"/>
  <c r="AV4"/>
  <c r="R23"/>
  <c r="R32" i="2"/>
  <c r="W223" i="65"/>
  <c r="G59" i="72"/>
  <c r="G12"/>
  <c r="O189" i="7"/>
  <c r="O37" i="83"/>
  <c r="O4"/>
  <c r="O21" i="4"/>
  <c r="O235" i="7"/>
  <c r="O51" i="83"/>
  <c r="AM4"/>
  <c r="O228" i="7"/>
  <c r="O49" i="83"/>
  <c r="AK4"/>
  <c r="R21" i="16"/>
  <c r="R19" i="11"/>
  <c r="W250" i="65"/>
  <c r="R12" i="85"/>
  <c r="R75" i="82"/>
  <c r="AM3"/>
  <c r="O37" i="68"/>
  <c r="O36"/>
  <c r="AM4" i="10"/>
  <c r="R36" i="85"/>
  <c r="R59" i="82"/>
  <c r="I3"/>
  <c r="W38" i="65"/>
  <c r="O91" i="38"/>
  <c r="O90"/>
  <c r="F4" i="8"/>
  <c r="R64" i="82"/>
  <c r="P3"/>
  <c r="W152" i="65"/>
  <c r="O24" i="27"/>
  <c r="O217" i="38"/>
  <c r="W77" i="65"/>
  <c r="R341" i="38"/>
  <c r="F2"/>
  <c r="O235" i="15"/>
  <c r="O74" i="82"/>
  <c r="O9" i="16"/>
  <c r="O8" i="11"/>
  <c r="O57" i="12"/>
  <c r="O25" i="85"/>
  <c r="O16" i="16"/>
  <c r="R31" i="83"/>
  <c r="O4" i="4"/>
  <c r="O32" i="16"/>
  <c r="W162" i="65"/>
  <c r="H238" i="72"/>
  <c r="R32" i="85"/>
  <c r="O7" i="71"/>
  <c r="O6"/>
  <c r="AV4" i="81"/>
  <c r="O104" i="30"/>
  <c r="O103"/>
  <c r="AJ4" i="10"/>
  <c r="R35" i="85"/>
  <c r="R15"/>
  <c r="R27"/>
  <c r="R15" i="82"/>
  <c r="O23" i="20"/>
  <c r="O26" i="85"/>
  <c r="AK4"/>
  <c r="R10" i="82"/>
  <c r="R23" i="3"/>
  <c r="R12"/>
  <c r="R7"/>
  <c r="AL3" i="81"/>
  <c r="R25" i="7"/>
  <c r="R26" i="81"/>
  <c r="R22"/>
  <c r="R8" i="83"/>
  <c r="R39" i="81"/>
  <c r="R30"/>
  <c r="R27"/>
  <c r="R13"/>
  <c r="R15" i="84"/>
  <c r="R9"/>
  <c r="R34" i="8"/>
  <c r="R15" i="81"/>
  <c r="R24" i="83"/>
  <c r="R83" i="82"/>
  <c r="R26" i="84"/>
  <c r="R11"/>
  <c r="R58" i="83"/>
  <c r="R47"/>
  <c r="R72" i="82"/>
  <c r="R67"/>
  <c r="R43"/>
  <c r="R7" i="56"/>
  <c r="BA3" i="84"/>
  <c r="AW3"/>
  <c r="AZ3"/>
  <c r="AU3"/>
  <c r="R28"/>
  <c r="O3"/>
  <c r="R20"/>
  <c r="R19"/>
  <c r="R18"/>
  <c r="R14"/>
  <c r="R10"/>
  <c r="R63" i="83"/>
  <c r="AX3"/>
  <c r="R57"/>
  <c r="R53"/>
  <c r="R51"/>
  <c r="R37"/>
  <c r="R28"/>
  <c r="R25"/>
  <c r="G3"/>
  <c r="R87" i="82"/>
  <c r="R86"/>
  <c r="R79"/>
  <c r="AP3"/>
  <c r="R34"/>
  <c r="R46" i="81"/>
  <c r="R36"/>
  <c r="BC3" i="47"/>
  <c r="AD3"/>
  <c r="BD3"/>
  <c r="AX3" i="84"/>
  <c r="AY3"/>
  <c r="AV3"/>
  <c r="R27"/>
  <c r="AY3" i="83"/>
  <c r="R59"/>
  <c r="R55"/>
  <c r="R52"/>
  <c r="AL3"/>
  <c r="R49"/>
  <c r="AG3"/>
  <c r="R32"/>
  <c r="R26"/>
  <c r="R23"/>
  <c r="R81" i="82"/>
  <c r="AR3"/>
  <c r="R74"/>
  <c r="AL3"/>
  <c r="R35" i="81"/>
  <c r="P207" i="72"/>
  <c r="P179"/>
  <c r="P150"/>
  <c r="AU3" i="82"/>
  <c r="AG3"/>
  <c r="N3"/>
  <c r="P189" i="72"/>
  <c r="P173"/>
  <c r="P165"/>
  <c r="P153"/>
  <c r="P144"/>
  <c r="P135"/>
  <c r="P126"/>
  <c r="R93" i="3"/>
  <c r="R56" i="82"/>
  <c r="R77"/>
  <c r="AO3"/>
  <c r="R20" i="81"/>
  <c r="R8" i="4"/>
  <c r="R49" i="81"/>
  <c r="R37" i="84"/>
  <c r="R13"/>
  <c r="AP3" i="85"/>
  <c r="R12" i="8"/>
  <c r="R160" i="15"/>
  <c r="R14" i="82"/>
  <c r="J3"/>
  <c r="R19" i="81"/>
  <c r="R12" i="82"/>
  <c r="H3"/>
  <c r="R8" i="10"/>
  <c r="R12" i="84"/>
  <c r="R64" i="83"/>
  <c r="R48"/>
  <c r="R30"/>
  <c r="R69" i="82"/>
  <c r="O3"/>
  <c r="R65"/>
  <c r="O383" i="38"/>
  <c r="P238" i="72"/>
  <c r="R66" i="16"/>
  <c r="R60"/>
  <c r="R9" i="47"/>
  <c r="R7" i="9"/>
  <c r="F237" i="72"/>
  <c r="F5"/>
  <c r="O397" i="38"/>
  <c r="O146"/>
  <c r="O24" i="68"/>
  <c r="P3" i="81"/>
  <c r="R31" i="2"/>
  <c r="R83" i="16"/>
  <c r="O342" i="38"/>
  <c r="O20" i="42"/>
  <c r="O9" i="43"/>
  <c r="O12" i="40"/>
  <c r="O313" i="38"/>
  <c r="O22" i="54"/>
  <c r="O174" i="7"/>
  <c r="O34" i="83"/>
  <c r="AG4"/>
  <c r="O262" i="7"/>
  <c r="O59" i="83"/>
  <c r="AT4"/>
  <c r="O364" i="38"/>
  <c r="O248" i="7"/>
  <c r="O55" i="83"/>
  <c r="O267" i="7"/>
  <c r="O60" i="83"/>
  <c r="AZ4"/>
  <c r="O128" i="7"/>
  <c r="O25" i="83"/>
  <c r="J4"/>
  <c r="O35" i="24"/>
  <c r="O150" i="7"/>
  <c r="O31" i="83"/>
  <c r="O378" i="38"/>
  <c r="N195" i="65"/>
  <c r="O48" i="68"/>
  <c r="Q91" i="65"/>
  <c r="W91"/>
  <c r="G238" i="72"/>
  <c r="G237"/>
  <c r="N92" i="65"/>
  <c r="K244" i="72"/>
  <c r="H237"/>
  <c r="N78" i="65"/>
  <c r="N38"/>
  <c r="P237" i="72"/>
  <c r="O138" i="30"/>
  <c r="O31" i="23"/>
  <c r="S107" i="49"/>
  <c r="O474" i="38"/>
  <c r="O175" i="49"/>
  <c r="O163"/>
  <c r="S163"/>
  <c r="O146"/>
  <c r="S146"/>
  <c r="O58" i="41"/>
  <c r="S63" i="49"/>
  <c r="O463" i="38"/>
  <c r="S36" i="49"/>
  <c r="O59" i="41"/>
  <c r="S82" i="49"/>
  <c r="O149"/>
  <c r="O33" i="23"/>
  <c r="S143" i="49"/>
  <c r="O453" i="38"/>
  <c r="S17" i="49"/>
  <c r="O458" i="38"/>
  <c r="S26" i="49"/>
  <c r="O32" i="40"/>
  <c r="S102" i="49"/>
  <c r="O470" i="38"/>
  <c r="S101" i="49"/>
  <c r="O452" i="38"/>
  <c r="S16" i="49"/>
  <c r="O457" i="38"/>
  <c r="S25" i="49"/>
  <c r="O60" i="41"/>
  <c r="S83" i="49"/>
  <c r="O466" i="38"/>
  <c r="S74" i="49"/>
  <c r="O469" i="38"/>
  <c r="S96" i="49"/>
  <c r="O20" i="71"/>
  <c r="O19"/>
  <c r="S44" i="49"/>
  <c r="O450" i="38"/>
  <c r="S14" i="49"/>
  <c r="O124" i="30"/>
  <c r="S103" i="49"/>
  <c r="O57" i="41"/>
  <c r="S42" i="49"/>
  <c r="O62" i="41"/>
  <c r="S130" i="49"/>
  <c r="O134" i="30"/>
  <c r="S170" i="49"/>
  <c r="O19" i="44"/>
  <c r="O158" i="49"/>
  <c r="O153"/>
  <c r="O7"/>
  <c r="S7"/>
  <c r="O23" i="61"/>
  <c r="S20" i="47"/>
  <c r="O24"/>
  <c r="S24"/>
  <c r="AI4"/>
  <c r="S26"/>
  <c r="O66"/>
  <c r="S66"/>
  <c r="O25" i="61"/>
  <c r="S22" i="47"/>
  <c r="O259" i="7"/>
  <c r="O58" i="83"/>
  <c r="AS4"/>
  <c r="O163" i="7"/>
  <c r="O32" i="83"/>
  <c r="P4"/>
  <c r="O6" i="7"/>
  <c r="O9" i="83"/>
  <c r="O254" i="7"/>
  <c r="O57" i="83"/>
  <c r="AR4"/>
  <c r="O81" i="7"/>
  <c r="O23" i="83"/>
  <c r="H4"/>
  <c r="O11" i="44"/>
  <c r="O11" i="35"/>
  <c r="O19" i="45"/>
  <c r="O54" i="7"/>
  <c r="O22" i="83"/>
  <c r="G4"/>
  <c r="O209" i="7"/>
  <c r="O47" i="83"/>
  <c r="AI4"/>
  <c r="O281" i="7"/>
  <c r="O64" i="83"/>
  <c r="AU4"/>
  <c r="O219" i="7"/>
  <c r="O48" i="83"/>
  <c r="AJ4"/>
  <c r="O146" i="7"/>
  <c r="O30" i="83"/>
  <c r="AF4"/>
  <c r="O16" i="7"/>
  <c r="O123"/>
  <c r="O110"/>
  <c r="O24" i="83"/>
  <c r="I4"/>
  <c r="O241" i="38"/>
  <c r="O275" i="7"/>
  <c r="O62" i="83"/>
  <c r="AY4"/>
  <c r="O142" i="7"/>
  <c r="O28" i="83"/>
  <c r="M4"/>
  <c r="O25" i="7"/>
  <c r="O21" i="83"/>
  <c r="O134" i="7"/>
  <c r="O26" i="83"/>
  <c r="K4"/>
  <c r="O19" i="54"/>
  <c r="O239" i="38"/>
  <c r="O20" i="54"/>
  <c r="O240" i="38"/>
  <c r="O237"/>
  <c r="O21" i="54"/>
  <c r="O163" i="6"/>
  <c r="H4"/>
  <c r="Z4"/>
  <c r="O56" i="4"/>
  <c r="M153" i="72"/>
  <c r="M276"/>
  <c r="N250" i="65"/>
  <c r="O61" i="30"/>
  <c r="O15" i="53"/>
  <c r="O17" i="32"/>
  <c r="M40" i="72"/>
  <c r="M26"/>
  <c r="N52" i="65"/>
  <c r="H4" i="16"/>
  <c r="M238" i="72"/>
  <c r="Q51" i="65"/>
  <c r="W51"/>
  <c r="M258" i="72"/>
  <c r="Q121" i="66"/>
  <c r="O19" i="61"/>
  <c r="O18"/>
  <c r="AE4" i="10"/>
  <c r="H4" i="11"/>
  <c r="O175" i="38"/>
  <c r="M274" i="72"/>
  <c r="N64" i="66"/>
  <c r="O330" i="38"/>
  <c r="O235"/>
  <c r="O234"/>
  <c r="H4" i="5"/>
  <c r="N233" i="66"/>
  <c r="O32" i="23"/>
  <c r="O20" i="26"/>
  <c r="M284" i="72"/>
  <c r="F4" i="66"/>
  <c r="T17" i="47"/>
  <c r="AF3"/>
  <c r="O18" i="44"/>
  <c r="O17"/>
  <c r="O42" i="84"/>
  <c r="AY4"/>
  <c r="O51" i="20"/>
  <c r="N10" i="65"/>
  <c r="M285" i="72"/>
  <c r="N70" i="65"/>
  <c r="O363" i="38"/>
  <c r="O362"/>
  <c r="J4" i="6"/>
  <c r="L4" i="2"/>
  <c r="O9" i="4"/>
  <c r="O8"/>
  <c r="M275" i="72"/>
  <c r="Q51" i="66"/>
  <c r="O445" i="38"/>
  <c r="O444"/>
  <c r="BB4" i="11"/>
  <c r="M278" i="72"/>
  <c r="Q8" i="66"/>
  <c r="N64" i="65"/>
  <c r="O55" i="38"/>
  <c r="O54"/>
  <c r="F4" i="5"/>
  <c r="O33" i="24"/>
  <c r="O32"/>
  <c r="AT4" i="5"/>
  <c r="R7" i="10"/>
  <c r="R6" i="3"/>
  <c r="M257" i="72"/>
  <c r="P69"/>
  <c r="P60"/>
  <c r="P59"/>
  <c r="P12"/>
  <c r="R56" i="4"/>
  <c r="I3"/>
  <c r="O50" i="68"/>
  <c r="O477" i="38"/>
  <c r="O476"/>
  <c r="O8" i="56"/>
  <c r="O42" i="20"/>
  <c r="O36"/>
  <c r="O117" i="49"/>
  <c r="M230" i="72"/>
  <c r="M228"/>
  <c r="O36" i="54"/>
  <c r="O4" i="58"/>
  <c r="O28" i="31"/>
  <c r="O27"/>
  <c r="O77" i="12"/>
  <c r="O32" i="85"/>
  <c r="O41" i="24"/>
  <c r="AT4" i="8"/>
  <c r="M191" i="72"/>
  <c r="O12" i="53"/>
  <c r="M176" i="72"/>
  <c r="O13" i="42"/>
  <c r="M209" i="72"/>
  <c r="O7" i="61"/>
  <c r="O6"/>
  <c r="O61" i="15"/>
  <c r="O24" i="82"/>
  <c r="AE4"/>
  <c r="M127" i="72"/>
  <c r="O11" i="37"/>
  <c r="O38" i="15"/>
  <c r="O16" i="82"/>
  <c r="N4"/>
  <c r="M107" i="72"/>
  <c r="O38" i="38"/>
  <c r="M93" i="72"/>
  <c r="O408" i="38"/>
  <c r="O407"/>
  <c r="L4" i="4"/>
  <c r="O7" i="31"/>
  <c r="O6"/>
  <c r="AP4" i="2"/>
  <c r="O7" i="26"/>
  <c r="O6"/>
  <c r="F3"/>
  <c r="AX4" i="16"/>
  <c r="N257" i="65"/>
  <c r="O23" i="53"/>
  <c r="O22"/>
  <c r="AU4" i="11"/>
  <c r="O28" i="23"/>
  <c r="O27"/>
  <c r="AQ4" i="11"/>
  <c r="O39" i="68"/>
  <c r="O38"/>
  <c r="AM4" i="11"/>
  <c r="O31"/>
  <c r="R9" i="43"/>
  <c r="R268" i="7"/>
  <c r="N51" i="65"/>
  <c r="O35" i="68"/>
  <c r="O34"/>
  <c r="O29" i="84"/>
  <c r="AM4"/>
  <c r="N195" i="66"/>
  <c r="O11" i="53"/>
  <c r="M190" i="72"/>
  <c r="M189"/>
  <c r="O120" i="15"/>
  <c r="O41" i="82"/>
  <c r="AU4"/>
  <c r="M194" i="72"/>
  <c r="O130" i="38"/>
  <c r="M98" i="72"/>
  <c r="O19" i="41"/>
  <c r="O18"/>
  <c r="AL4" i="4"/>
  <c r="O103" i="38"/>
  <c r="O102"/>
  <c r="G4" i="16"/>
  <c r="O7" i="45"/>
  <c r="O6"/>
  <c r="AF4" i="16"/>
  <c r="O21" i="43"/>
  <c r="O20"/>
  <c r="AZ4" i="11"/>
  <c r="F4" i="85"/>
  <c r="M198" i="72"/>
  <c r="O39" i="30"/>
  <c r="M70" i="72"/>
  <c r="O124" i="38"/>
  <c r="G4" i="4"/>
  <c r="O7" i="9"/>
  <c r="M167" i="72"/>
  <c r="O15" i="31"/>
  <c r="M137" i="72"/>
  <c r="O8" i="35"/>
  <c r="M132" i="72"/>
  <c r="O39" i="38"/>
  <c r="O421"/>
  <c r="O420"/>
  <c r="O47" i="13"/>
  <c r="O14" i="84"/>
  <c r="L4"/>
  <c r="O7" i="68"/>
  <c r="AM4" i="16"/>
  <c r="O19" i="27"/>
  <c r="O31"/>
  <c r="O57"/>
  <c r="G265" i="72"/>
  <c r="G264"/>
  <c r="M254"/>
  <c r="M253"/>
  <c r="N103" i="65"/>
  <c r="P234" i="72"/>
  <c r="AH3" i="58"/>
  <c r="P194" i="72"/>
  <c r="R13" i="15"/>
  <c r="N77" i="66"/>
  <c r="O69" i="41"/>
  <c r="O21" i="49"/>
  <c r="S21"/>
  <c r="O34" i="54"/>
  <c r="O123" i="30"/>
  <c r="O91" i="49"/>
  <c r="O30" i="40"/>
  <c r="G2" i="49"/>
  <c r="O11" i="47"/>
  <c r="BC4"/>
  <c r="O52" i="24"/>
  <c r="O51"/>
  <c r="O98" i="13"/>
  <c r="O38" i="84"/>
  <c r="AT4"/>
  <c r="O31" i="42"/>
  <c r="O30"/>
  <c r="O36" i="84"/>
  <c r="AR4"/>
  <c r="O45" i="41"/>
  <c r="O44"/>
  <c r="O84" i="13"/>
  <c r="O28" i="84"/>
  <c r="AL4"/>
  <c r="O17" i="37"/>
  <c r="O47" i="8"/>
  <c r="O26" i="42"/>
  <c r="O25"/>
  <c r="AR4" i="8"/>
  <c r="AP4" i="83"/>
  <c r="O7" i="75"/>
  <c r="O6"/>
  <c r="O246" i="15"/>
  <c r="O77" i="82"/>
  <c r="AO4"/>
  <c r="O140" i="38"/>
  <c r="O168" i="15"/>
  <c r="O160"/>
  <c r="O57" i="82"/>
  <c r="M210" i="72"/>
  <c r="O23" i="24"/>
  <c r="M180" i="72"/>
  <c r="O12" i="32"/>
  <c r="O109" i="15"/>
  <c r="O39" i="82"/>
  <c r="AS4"/>
  <c r="M174" i="72"/>
  <c r="O11" i="42"/>
  <c r="O101" i="15"/>
  <c r="O38" i="82"/>
  <c r="AR4"/>
  <c r="M166" i="72"/>
  <c r="O14" i="31"/>
  <c r="O93" i="15"/>
  <c r="O36" i="82"/>
  <c r="M199" i="72"/>
  <c r="O40" i="30"/>
  <c r="M208" i="72"/>
  <c r="O14" i="54"/>
  <c r="O13"/>
  <c r="O59" i="15"/>
  <c r="O23" i="82"/>
  <c r="O4"/>
  <c r="M136" i="72"/>
  <c r="O7" i="35"/>
  <c r="O47" i="15"/>
  <c r="O19" i="82"/>
  <c r="AG4"/>
  <c r="M142" i="72"/>
  <c r="O410" i="38"/>
  <c r="O409"/>
  <c r="O35" i="15"/>
  <c r="O15" i="82"/>
  <c r="L4"/>
  <c r="M121" i="72"/>
  <c r="O306" i="38"/>
  <c r="M111" i="72"/>
  <c r="O131" i="38"/>
  <c r="M105" i="72"/>
  <c r="O36" i="38"/>
  <c r="O7" i="15"/>
  <c r="O10" i="82"/>
  <c r="M99" i="72"/>
  <c r="O11" i="23"/>
  <c r="O10"/>
  <c r="AQ4" i="4"/>
  <c r="O7" i="23"/>
  <c r="O6"/>
  <c r="AQ4" i="2"/>
  <c r="O10" i="45"/>
  <c r="AF4" i="2"/>
  <c r="O15"/>
  <c r="O396" i="38"/>
  <c r="O395"/>
  <c r="L4" i="16"/>
  <c r="O8" i="68"/>
  <c r="O100" i="16"/>
  <c r="O17" i="38"/>
  <c r="O62" i="16"/>
  <c r="O16" i="38"/>
  <c r="O7" i="44"/>
  <c r="O6"/>
  <c r="AY4" i="16"/>
  <c r="Q230" i="66"/>
  <c r="O97" i="38"/>
  <c r="O96"/>
  <c r="O6" i="13"/>
  <c r="O9" i="84"/>
  <c r="O56" i="38"/>
  <c r="N231" i="66"/>
  <c r="N103"/>
  <c r="O464" i="38"/>
  <c r="O50" i="49"/>
  <c r="S50"/>
  <c r="O46" i="82"/>
  <c r="O15" i="75"/>
  <c r="H2" i="49"/>
  <c r="O12" i="47"/>
  <c r="BD4"/>
  <c r="O31" i="54"/>
  <c r="O30"/>
  <c r="O21" i="84"/>
  <c r="O4"/>
  <c r="R15" i="43"/>
  <c r="O14"/>
  <c r="O79" i="30"/>
  <c r="O35" i="8"/>
  <c r="M175" i="72"/>
  <c r="O12" i="42"/>
  <c r="M204" i="72"/>
  <c r="O20" i="20"/>
  <c r="M124" i="72"/>
  <c r="O356" i="38"/>
  <c r="O63" i="82"/>
  <c r="P4"/>
  <c r="M116" i="72"/>
  <c r="O228" i="38"/>
  <c r="M82" i="72"/>
  <c r="O353" i="38"/>
  <c r="O106" i="30"/>
  <c r="O105"/>
  <c r="AJ4" i="11"/>
  <c r="O20"/>
  <c r="O26" i="23"/>
  <c r="O25"/>
  <c r="O35" i="84"/>
  <c r="AQ4"/>
  <c r="M177" i="72"/>
  <c r="O14" i="42"/>
  <c r="O41" i="38"/>
  <c r="O69" i="15"/>
  <c r="O27" i="82"/>
  <c r="M88" i="72"/>
  <c r="O13" i="45"/>
  <c r="O12"/>
  <c r="AF4" i="4"/>
  <c r="Q4"/>
  <c r="N152" i="66"/>
  <c r="O33" i="68"/>
  <c r="O32"/>
  <c r="O30" i="85"/>
  <c r="AM4"/>
  <c r="M146" i="72"/>
  <c r="O8" i="43"/>
  <c r="O132" i="38"/>
  <c r="O28" i="82"/>
  <c r="M128" i="72"/>
  <c r="O12" i="37"/>
  <c r="M283" i="72"/>
  <c r="O40" i="40"/>
  <c r="N10" i="66"/>
  <c r="N174" i="65"/>
  <c r="O23" i="40"/>
  <c r="O22"/>
  <c r="AI4" i="8"/>
  <c r="O37" i="41"/>
  <c r="AL4" i="8"/>
  <c r="O18" i="54"/>
  <c r="O17"/>
  <c r="N4" i="6"/>
  <c r="O105"/>
  <c r="O71" i="82"/>
  <c r="M182" i="72"/>
  <c r="O14" i="32"/>
  <c r="M168" i="72"/>
  <c r="O16" i="31"/>
  <c r="M140" i="72"/>
  <c r="O16" i="45"/>
  <c r="M123" i="72"/>
  <c r="O355" i="38"/>
  <c r="O29" i="15"/>
  <c r="O14" i="82"/>
  <c r="J4"/>
  <c r="M101" i="72"/>
  <c r="O16" i="24"/>
  <c r="O15"/>
  <c r="AT4" i="4"/>
  <c r="O12" i="30"/>
  <c r="O11"/>
  <c r="AJ4" i="2"/>
  <c r="O291" i="38"/>
  <c r="O289"/>
  <c r="I4" i="16"/>
  <c r="M279" i="72"/>
  <c r="M277"/>
  <c r="O7" i="10"/>
  <c r="O55" i="82"/>
  <c r="F4" i="16"/>
  <c r="M169" i="72"/>
  <c r="O17" i="31"/>
  <c r="O351" i="38"/>
  <c r="O205"/>
  <c r="O70" i="16"/>
  <c r="O30" i="32"/>
  <c r="O28"/>
  <c r="O86" i="49"/>
  <c r="O69"/>
  <c r="S69"/>
  <c r="O12" i="70"/>
  <c r="O11"/>
  <c r="O28" i="85"/>
  <c r="AN4"/>
  <c r="O74" i="30"/>
  <c r="O18" i="8"/>
  <c r="O7" i="42"/>
  <c r="O6"/>
  <c r="AR4" i="2"/>
  <c r="O108" i="16"/>
  <c r="O41" i="41"/>
  <c r="O40"/>
  <c r="O69" i="12"/>
  <c r="O27" i="85"/>
  <c r="AL4"/>
  <c r="M100" i="72"/>
  <c r="O9" i="42"/>
  <c r="O8"/>
  <c r="AR4" i="4"/>
  <c r="O136" i="49"/>
  <c r="S136"/>
  <c r="O26" i="32"/>
  <c r="O25"/>
  <c r="O95" i="13"/>
  <c r="O37" i="84"/>
  <c r="AS4"/>
  <c r="M181" i="72"/>
  <c r="O13" i="32"/>
  <c r="M118" i="72"/>
  <c r="O230" i="38"/>
  <c r="O13" i="68"/>
  <c r="O12"/>
  <c r="AM4" i="2"/>
  <c r="O216" i="38"/>
  <c r="O72" i="3"/>
  <c r="O27" i="81"/>
  <c r="P231" i="72"/>
  <c r="P226"/>
  <c r="AE3" i="58"/>
  <c r="R7"/>
  <c r="O23" i="75"/>
  <c r="O53" i="20"/>
  <c r="O9" i="58"/>
  <c r="F2" i="49"/>
  <c r="O10" i="47"/>
  <c r="AD4"/>
  <c r="O21" i="61"/>
  <c r="O17" i="47"/>
  <c r="S17"/>
  <c r="O391" i="38"/>
  <c r="O390"/>
  <c r="O13" i="47"/>
  <c r="S13"/>
  <c r="O33" i="31"/>
  <c r="AP4" i="11"/>
  <c r="O26" i="31"/>
  <c r="O25"/>
  <c r="AP4" i="8"/>
  <c r="O27" i="20"/>
  <c r="O26"/>
  <c r="AK4" i="8"/>
  <c r="O14" i="71"/>
  <c r="O13"/>
  <c r="AV4" i="8"/>
  <c r="O21" i="32"/>
  <c r="O20"/>
  <c r="AS4" i="8"/>
  <c r="O71" i="30"/>
  <c r="AJ4" i="8"/>
  <c r="O12" i="83"/>
  <c r="O8"/>
  <c r="AA4"/>
  <c r="E4" i="5"/>
  <c r="M186" i="72"/>
  <c r="O20" i="24"/>
  <c r="M206" i="72"/>
  <c r="O17" i="42"/>
  <c r="M172" i="72"/>
  <c r="M171"/>
  <c r="O13" i="23"/>
  <c r="O12"/>
  <c r="O99" i="15"/>
  <c r="O37" i="82"/>
  <c r="AQ4"/>
  <c r="M203" i="72"/>
  <c r="O19" i="20"/>
  <c r="M197" i="72"/>
  <c r="O38" i="30"/>
  <c r="M193" i="72"/>
  <c r="M192"/>
  <c r="O55" i="15"/>
  <c r="O22" i="82"/>
  <c r="M125" i="72"/>
  <c r="O359" i="38"/>
  <c r="M117" i="72"/>
  <c r="O229" i="38"/>
  <c r="M110" i="72"/>
  <c r="M109"/>
  <c r="O127" i="38"/>
  <c r="O13" i="15"/>
  <c r="O11" i="82"/>
  <c r="M97" i="72"/>
  <c r="O35" i="30"/>
  <c r="M81" i="72"/>
  <c r="O125" i="38"/>
  <c r="O121"/>
  <c r="O11" i="20"/>
  <c r="O10"/>
  <c r="AK4" i="2"/>
  <c r="M9" i="72"/>
  <c r="M8"/>
  <c r="S4" i="2"/>
  <c r="O9"/>
  <c r="O203" i="38"/>
  <c r="O67" i="16"/>
  <c r="N174" i="66"/>
  <c r="N52"/>
  <c r="O57" i="24"/>
  <c r="O56"/>
  <c r="AT4" i="11"/>
  <c r="O47"/>
  <c r="M217" i="72"/>
  <c r="O8" i="54"/>
  <c r="N272" i="72"/>
  <c r="O31" i="31"/>
  <c r="O30"/>
  <c r="O34" i="84"/>
  <c r="N38" i="66"/>
  <c r="O52" i="41"/>
  <c r="O51"/>
  <c r="AL4" i="11"/>
  <c r="O26"/>
  <c r="O387" i="38"/>
  <c r="O386"/>
  <c r="O377"/>
  <c r="O50" i="13"/>
  <c r="O15" i="84"/>
  <c r="K4"/>
  <c r="AJ4" i="85"/>
  <c r="M205" i="72"/>
  <c r="O16" i="42"/>
  <c r="M139" i="72"/>
  <c r="O15" i="45"/>
  <c r="O14"/>
  <c r="O50" i="15"/>
  <c r="O20" i="82"/>
  <c r="AF4"/>
  <c r="O7" i="32"/>
  <c r="O6"/>
  <c r="AS4" i="2"/>
  <c r="O59"/>
  <c r="O55"/>
  <c r="O33"/>
  <c r="O32"/>
  <c r="F4"/>
  <c r="O21" i="38"/>
  <c r="O20"/>
  <c r="O15"/>
  <c r="N70" i="66"/>
  <c r="O99" i="30"/>
  <c r="O98"/>
  <c r="O77" i="13"/>
  <c r="O26" i="84"/>
  <c r="O335" i="38"/>
  <c r="O334"/>
  <c r="O33" i="13"/>
  <c r="O12" i="84"/>
  <c r="I4"/>
  <c r="O16" i="85"/>
  <c r="N4" i="8"/>
  <c r="O8" i="33"/>
  <c r="F3"/>
  <c r="M130" i="72"/>
  <c r="O42" i="15"/>
  <c r="O18" i="82"/>
  <c r="M120" i="72"/>
  <c r="O305" i="38"/>
  <c r="O304"/>
  <c r="O26" i="15"/>
  <c r="O13" i="82"/>
  <c r="I4"/>
  <c r="O29" i="16"/>
  <c r="O371" i="38"/>
  <c r="O370"/>
  <c r="O40" i="13"/>
  <c r="O13" i="84"/>
  <c r="J4"/>
  <c r="O12" i="75"/>
  <c r="O11"/>
  <c r="O29" i="85"/>
  <c r="AO4"/>
  <c r="O8" i="6"/>
  <c r="M185" i="72"/>
  <c r="O19" i="24"/>
  <c r="M202" i="72"/>
  <c r="O18" i="20"/>
  <c r="M92" i="72"/>
  <c r="O7" i="34"/>
  <c r="O6"/>
  <c r="BA4" i="4"/>
  <c r="M15" i="72"/>
  <c r="Q8" i="65"/>
  <c r="W8"/>
  <c r="Q231"/>
  <c r="W231"/>
  <c r="O27" i="45"/>
  <c r="O26"/>
  <c r="O64" i="13"/>
  <c r="O19" i="84"/>
  <c r="AF4"/>
  <c r="AH3" i="83"/>
  <c r="M160" i="72"/>
  <c r="M159"/>
  <c r="O37" i="30"/>
  <c r="O76" i="15"/>
  <c r="O31" i="82"/>
  <c r="AJ4"/>
  <c r="M76" i="72"/>
  <c r="O71" i="4"/>
  <c r="O11" i="41"/>
  <c r="O10"/>
  <c r="AL4" i="2"/>
  <c r="O438" i="38"/>
  <c r="O437"/>
  <c r="M4" i="2"/>
  <c r="O10" i="68"/>
  <c r="O103" i="16"/>
  <c r="AL4"/>
  <c r="AJ4"/>
  <c r="O43" i="24"/>
  <c r="O42" i="8"/>
  <c r="O19" i="23"/>
  <c r="O18"/>
  <c r="O251" i="7"/>
  <c r="O56" i="83"/>
  <c r="AQ4"/>
  <c r="M201" i="72"/>
  <c r="O42" i="30"/>
  <c r="M113" i="72"/>
  <c r="O225" i="38"/>
  <c r="O19" i="15"/>
  <c r="O12" i="82"/>
  <c r="H4"/>
  <c r="O11" i="45"/>
  <c r="O112" i="38"/>
  <c r="O111"/>
  <c r="G4" i="2"/>
  <c r="O9" i="20"/>
  <c r="O6"/>
  <c r="O77" i="16"/>
  <c r="N210" i="65"/>
  <c r="Q121"/>
  <c r="W121"/>
  <c r="O22" i="70"/>
  <c r="O140" i="30"/>
  <c r="K231" i="72"/>
  <c r="M27" i="61"/>
  <c r="O12" i="58"/>
  <c r="O473" i="38"/>
  <c r="O120" i="49"/>
  <c r="S120"/>
  <c r="O64" i="24"/>
  <c r="O118" i="30"/>
  <c r="M225" i="72"/>
  <c r="M224"/>
  <c r="M223"/>
  <c r="O24" i="61"/>
  <c r="O468" i="38"/>
  <c r="O94" i="49"/>
  <c r="S94"/>
  <c r="O65" i="24"/>
  <c r="O14" i="70"/>
  <c r="O13"/>
  <c r="O31" i="84"/>
  <c r="AN4"/>
  <c r="O98" i="27"/>
  <c r="O58" i="13"/>
  <c r="O18" i="84"/>
  <c r="P4"/>
  <c r="O278" i="38"/>
  <c r="O277"/>
  <c r="O27" i="13"/>
  <c r="O11" i="84"/>
  <c r="H4"/>
  <c r="O182" i="38"/>
  <c r="O180"/>
  <c r="O12" i="13"/>
  <c r="O10" i="84"/>
  <c r="G4"/>
  <c r="O39" i="41"/>
  <c r="O55" i="8"/>
  <c r="O76" i="30"/>
  <c r="O21" i="8"/>
  <c r="F4" i="83"/>
  <c r="M145" i="72"/>
  <c r="O7" i="43"/>
  <c r="O123" i="15"/>
  <c r="O42" i="82"/>
  <c r="AZ4"/>
  <c r="M184" i="72"/>
  <c r="O18" i="24"/>
  <c r="O113" i="15"/>
  <c r="O40" i="82"/>
  <c r="AT4"/>
  <c r="M178" i="72"/>
  <c r="O15" i="42"/>
  <c r="M170" i="72"/>
  <c r="O18" i="31"/>
  <c r="M162" i="72"/>
  <c r="M161"/>
  <c r="O17" i="20"/>
  <c r="O83" i="15"/>
  <c r="O32" i="82"/>
  <c r="AK4"/>
  <c r="M157" i="72"/>
  <c r="O9" i="40"/>
  <c r="O73" i="15"/>
  <c r="O30" i="82"/>
  <c r="M143" i="72"/>
  <c r="O53" i="15"/>
  <c r="O21" i="82"/>
  <c r="M195" i="72"/>
  <c r="O357" i="38"/>
  <c r="M115" i="72"/>
  <c r="O227" i="38"/>
  <c r="M108" i="72"/>
  <c r="O40" i="38"/>
  <c r="M95" i="72"/>
  <c r="O33" i="30"/>
  <c r="AJ4" i="4"/>
  <c r="M87" i="72"/>
  <c r="O82" i="4"/>
  <c r="M69" i="72"/>
  <c r="O303" i="38"/>
  <c r="O302"/>
  <c r="I4" i="4"/>
  <c r="O14" i="24"/>
  <c r="O13"/>
  <c r="O46" i="2"/>
  <c r="AT4"/>
  <c r="M295" i="38"/>
  <c r="O21" i="2"/>
  <c r="O7" i="54"/>
  <c r="O6"/>
  <c r="O4" i="16"/>
  <c r="O7" i="24"/>
  <c r="O6"/>
  <c r="AT4" i="16"/>
  <c r="N92" i="66"/>
  <c r="N162" i="65"/>
  <c r="O40" i="68"/>
  <c r="O32" i="20"/>
  <c r="O31"/>
  <c r="O82" i="13"/>
  <c r="O27" i="84"/>
  <c r="AK4"/>
  <c r="M290" i="72"/>
  <c r="O471" i="38"/>
  <c r="O111" i="49"/>
  <c r="S111"/>
  <c r="AH4" i="83"/>
  <c r="E2" i="49"/>
  <c r="O14" i="61"/>
  <c r="O13"/>
  <c r="O67" i="13"/>
  <c r="O20" i="84"/>
  <c r="AE4"/>
  <c r="O78" i="82"/>
  <c r="M187" i="72"/>
  <c r="O21" i="24"/>
  <c r="O7" i="70"/>
  <c r="O6"/>
  <c r="O90" i="15"/>
  <c r="O34" i="82"/>
  <c r="AN4"/>
  <c r="M106" i="72"/>
  <c r="O37" i="38"/>
  <c r="M94" i="72"/>
  <c r="O9" i="37"/>
  <c r="O8"/>
  <c r="N4" i="4"/>
  <c r="M266" i="72"/>
  <c r="O15" i="37"/>
  <c r="M147" i="72"/>
  <c r="M158"/>
  <c r="O10" i="40"/>
  <c r="O7" i="53"/>
  <c r="O6"/>
  <c r="O45" i="16"/>
  <c r="O40"/>
  <c r="AU4"/>
  <c r="O34" i="31"/>
  <c r="O37" i="11"/>
  <c r="O34"/>
  <c r="O28" i="40"/>
  <c r="O27"/>
  <c r="O30" i="84"/>
  <c r="AI4"/>
  <c r="AH4"/>
  <c r="M188" i="72"/>
  <c r="O22" i="24"/>
  <c r="M164" i="72"/>
  <c r="M163"/>
  <c r="O21" i="41"/>
  <c r="O20"/>
  <c r="O88" i="15"/>
  <c r="O33" i="82"/>
  <c r="AL4"/>
  <c r="Z4"/>
  <c r="M196" i="72"/>
  <c r="O358" i="38"/>
  <c r="M96" i="72"/>
  <c r="O34" i="30"/>
  <c r="M11" i="72"/>
  <c r="M10"/>
  <c r="O12" i="2"/>
  <c r="O434" i="38"/>
  <c r="O433"/>
  <c r="M4" i="16"/>
  <c r="O50"/>
  <c r="O21"/>
  <c r="N210" i="66"/>
  <c r="N152" i="65"/>
  <c r="O34" i="20"/>
  <c r="O33"/>
  <c r="O23" i="11"/>
  <c r="AK4"/>
  <c r="O8" i="34"/>
  <c r="M200" i="72"/>
  <c r="O41" i="30"/>
  <c r="M114" i="72"/>
  <c r="O226" i="38"/>
  <c r="O6" i="41"/>
  <c r="O6" i="30"/>
  <c r="O9" i="27"/>
  <c r="O25"/>
  <c r="O220" i="38"/>
  <c r="O219"/>
  <c r="O301"/>
  <c r="O90" i="3"/>
  <c r="O36" i="81"/>
  <c r="O34"/>
  <c r="O57" i="3"/>
  <c r="O56" i="27"/>
  <c r="O23" i="3"/>
  <c r="O14" i="81"/>
  <c r="H4"/>
  <c r="O15" i="41"/>
  <c r="O43" i="81"/>
  <c r="O16" i="41"/>
  <c r="O44" i="81"/>
  <c r="O50" i="27"/>
  <c r="O21" i="81"/>
  <c r="O22" i="30"/>
  <c r="O94" i="3"/>
  <c r="O47" i="27"/>
  <c r="O47" i="3"/>
  <c r="O20" i="81"/>
  <c r="AK4"/>
  <c r="O9" i="23"/>
  <c r="O8"/>
  <c r="O116" i="3"/>
  <c r="O46" i="81"/>
  <c r="O106" i="3"/>
  <c r="O27" i="38"/>
  <c r="O15" i="20"/>
  <c r="O29" i="38"/>
  <c r="O7" i="3"/>
  <c r="O11" i="81"/>
  <c r="O101" i="3"/>
  <c r="O14" i="41"/>
  <c r="O42" i="81"/>
  <c r="O14" i="20"/>
  <c r="O48" i="27"/>
  <c r="O112" i="3"/>
  <c r="O39" i="81"/>
  <c r="AM4"/>
  <c r="O15" i="68"/>
  <c r="O14"/>
  <c r="O40" i="27"/>
  <c r="O16" i="30"/>
  <c r="O118" i="38"/>
  <c r="O17" i="27"/>
  <c r="O41"/>
  <c r="O17" i="30"/>
  <c r="O16" i="81"/>
  <c r="O36" i="27"/>
  <c r="O21"/>
  <c r="O20" i="3"/>
  <c r="O13" i="81"/>
  <c r="L4"/>
  <c r="O405" i="38"/>
  <c r="O67" i="3"/>
  <c r="O65" i="27"/>
  <c r="O18" i="30"/>
  <c r="O42" i="27"/>
  <c r="O7" i="37"/>
  <c r="O6"/>
  <c r="O17" i="81"/>
  <c r="N4"/>
  <c r="O37" i="27"/>
  <c r="O22"/>
  <c r="O406" i="38"/>
  <c r="O77" i="3"/>
  <c r="O30" i="81"/>
  <c r="O45" i="27"/>
  <c r="O21" i="30"/>
  <c r="O300" i="38"/>
  <c r="O35" i="27"/>
  <c r="O81"/>
  <c r="O32" i="81"/>
  <c r="O20" i="30"/>
  <c r="O44" i="27"/>
  <c r="O39" i="3"/>
  <c r="O15" i="30"/>
  <c r="O39" i="27"/>
  <c r="O34"/>
  <c r="O33" i="3"/>
  <c r="O15" i="81"/>
  <c r="O299" i="38"/>
  <c r="O117"/>
  <c r="O16" i="27"/>
  <c r="O52" i="3"/>
  <c r="O22" i="81"/>
  <c r="O12" i="3"/>
  <c r="O12" i="81"/>
  <c r="G4"/>
  <c r="M129" i="72"/>
  <c r="N9" i="65"/>
  <c r="R14" i="81"/>
  <c r="R8" i="85"/>
  <c r="R86" i="3"/>
  <c r="G5" i="72"/>
  <c r="O8" i="85"/>
  <c r="R8" i="84"/>
  <c r="R7" i="8"/>
  <c r="AJ3" i="85"/>
  <c r="R24"/>
  <c r="O55" i="4"/>
  <c r="M119" i="72"/>
  <c r="R7" i="2"/>
  <c r="O236" i="38"/>
  <c r="AL3" i="85"/>
  <c r="P3"/>
  <c r="R16"/>
  <c r="F3"/>
  <c r="AR3"/>
  <c r="M75" i="72"/>
  <c r="R7" i="5"/>
  <c r="M207" i="72"/>
  <c r="N3" i="85"/>
  <c r="R8" i="16"/>
  <c r="V3" i="85"/>
  <c r="L3"/>
  <c r="O9" i="47"/>
  <c r="I2" i="49"/>
  <c r="O66" i="16"/>
  <c r="O25" i="82"/>
  <c r="H5" i="72"/>
  <c r="N91" i="65"/>
  <c r="R59" i="16"/>
  <c r="L3" i="82"/>
  <c r="AS3" i="85"/>
  <c r="AE3" i="83"/>
  <c r="M281" i="72"/>
  <c r="M280"/>
  <c r="O6" i="35"/>
  <c r="F3"/>
  <c r="R11" i="81"/>
  <c r="AT3" i="85"/>
  <c r="I3"/>
  <c r="AK3"/>
  <c r="BB3" i="47"/>
  <c r="AF3" i="82"/>
  <c r="R63"/>
  <c r="AF3" i="83"/>
  <c r="AJ3"/>
  <c r="AU3"/>
  <c r="I3" i="84"/>
  <c r="R18" i="81"/>
  <c r="R57" i="82"/>
  <c r="J3" i="84"/>
  <c r="AS3"/>
  <c r="R33"/>
  <c r="AK3" i="81"/>
  <c r="R38"/>
  <c r="R34"/>
  <c r="H3" i="83"/>
  <c r="K3"/>
  <c r="P3"/>
  <c r="AK3"/>
  <c r="AN3"/>
  <c r="AP3"/>
  <c r="AT3"/>
  <c r="AK3" i="84"/>
  <c r="R45" i="81"/>
  <c r="AQ3"/>
  <c r="AN3" i="82"/>
  <c r="R29"/>
  <c r="M3" i="83"/>
  <c r="O3"/>
  <c r="AM3"/>
  <c r="AO3"/>
  <c r="AR3"/>
  <c r="AV3"/>
  <c r="G3" i="84"/>
  <c r="L3"/>
  <c r="R16"/>
  <c r="P3"/>
  <c r="AF3"/>
  <c r="AE3"/>
  <c r="AL3"/>
  <c r="E3" i="56"/>
  <c r="AW3" i="82"/>
  <c r="R35"/>
  <c r="AJ3"/>
  <c r="R71"/>
  <c r="AI3" i="83"/>
  <c r="R46"/>
  <c r="AS3"/>
  <c r="AJ3" i="84"/>
  <c r="R25"/>
  <c r="R78" i="82"/>
  <c r="AT3"/>
  <c r="I3" i="83"/>
  <c r="I3" i="81"/>
  <c r="F3" i="84"/>
  <c r="K3"/>
  <c r="AT3"/>
  <c r="L3" i="81"/>
  <c r="R29"/>
  <c r="AM3"/>
  <c r="R25"/>
  <c r="R21" i="83"/>
  <c r="F3" i="81"/>
  <c r="R12"/>
  <c r="O10" i="53"/>
  <c r="F3"/>
  <c r="R55" i="82"/>
  <c r="R29" i="83"/>
  <c r="F3" i="82"/>
  <c r="R11"/>
  <c r="R267" i="7"/>
  <c r="R55" i="4"/>
  <c r="E3" i="10"/>
  <c r="R33"/>
  <c r="J3" i="83"/>
  <c r="H3" i="84"/>
  <c r="O16"/>
  <c r="F3" i="70"/>
  <c r="O6" i="43"/>
  <c r="G4" i="82"/>
  <c r="O16" i="20"/>
  <c r="M60" i="72"/>
  <c r="M14"/>
  <c r="M13"/>
  <c r="R82" i="16"/>
  <c r="E3" i="9"/>
  <c r="R36"/>
  <c r="O432" i="38"/>
  <c r="O197"/>
  <c r="O8" i="16"/>
  <c r="O46" i="83"/>
  <c r="N77" i="65"/>
  <c r="M252" i="72"/>
  <c r="M237"/>
  <c r="O56" i="41"/>
  <c r="O29" i="40"/>
  <c r="O148" i="49"/>
  <c r="S148"/>
  <c r="O108" i="30"/>
  <c r="O29" i="23"/>
  <c r="F3"/>
  <c r="O119" i="49"/>
  <c r="S119"/>
  <c r="O23" i="47"/>
  <c r="O20" i="83"/>
  <c r="O29"/>
  <c r="M183" i="72"/>
  <c r="O447" i="38"/>
  <c r="O446"/>
  <c r="N231" i="65"/>
  <c r="O61" i="24"/>
  <c r="Q120" i="66"/>
  <c r="M273" i="72"/>
  <c r="M265"/>
  <c r="M264"/>
  <c r="O24" i="85"/>
  <c r="N121" i="66"/>
  <c r="O19" i="11"/>
  <c r="O7"/>
  <c r="O34" i="8"/>
  <c r="O8" i="84"/>
  <c r="F4"/>
  <c r="O9" i="45"/>
  <c r="F3"/>
  <c r="M104" i="72"/>
  <c r="O35" i="82"/>
  <c r="AP4"/>
  <c r="O10" i="42"/>
  <c r="F3"/>
  <c r="M179" i="72"/>
  <c r="O54" i="83"/>
  <c r="R9" i="82"/>
  <c r="R8"/>
  <c r="O6" i="68"/>
  <c r="F3"/>
  <c r="F3" i="43"/>
  <c r="M126" i="72"/>
  <c r="AP4" i="85"/>
  <c r="O31"/>
  <c r="O7"/>
  <c r="P5" i="72"/>
  <c r="M86"/>
  <c r="O29" i="82"/>
  <c r="AI4"/>
  <c r="O12" i="41"/>
  <c r="BB4" i="47"/>
  <c r="O8"/>
  <c r="N91" i="66"/>
  <c r="O8" i="40"/>
  <c r="O25" i="84"/>
  <c r="AJ4"/>
  <c r="O8" i="2"/>
  <c r="O32" i="31"/>
  <c r="AF4" i="47"/>
  <c r="O7" i="58"/>
  <c r="O12" i="8"/>
  <c r="O54" i="82"/>
  <c r="O354" i="38"/>
  <c r="O341"/>
  <c r="N8" i="65"/>
  <c r="O13" i="31"/>
  <c r="M173" i="72"/>
  <c r="BB4" i="56"/>
  <c r="O7"/>
  <c r="O113" i="38"/>
  <c r="O26"/>
  <c r="F3" i="54"/>
  <c r="O32" i="30"/>
  <c r="M156" i="72"/>
  <c r="M231"/>
  <c r="M226"/>
  <c r="AE4" i="58"/>
  <c r="O27" i="61"/>
  <c r="O26"/>
  <c r="O224" i="38"/>
  <c r="O7" i="6"/>
  <c r="O17" i="82"/>
  <c r="AH4"/>
  <c r="O60" i="16"/>
  <c r="O31" i="2"/>
  <c r="O33" i="84"/>
  <c r="AP4"/>
  <c r="L4" i="47"/>
  <c r="O20" i="61"/>
  <c r="F3"/>
  <c r="E3" i="58"/>
  <c r="M122" i="72"/>
  <c r="O36" i="41"/>
  <c r="N230" i="66"/>
  <c r="O83" i="16"/>
  <c r="O82"/>
  <c r="F4" i="82"/>
  <c r="O9"/>
  <c r="O8"/>
  <c r="M135" i="72"/>
  <c r="M165"/>
  <c r="F3" i="75"/>
  <c r="E4" i="9"/>
  <c r="R7" i="4"/>
  <c r="F3" i="34"/>
  <c r="O295" i="38"/>
  <c r="O294"/>
  <c r="I4" i="2"/>
  <c r="O19"/>
  <c r="O17" i="24"/>
  <c r="M144" i="72"/>
  <c r="O68" i="49"/>
  <c r="S68"/>
  <c r="Q120" i="65"/>
  <c r="W120"/>
  <c r="M112" i="72"/>
  <c r="O36" i="30"/>
  <c r="Q230" i="65"/>
  <c r="N121"/>
  <c r="M138" i="72"/>
  <c r="N51" i="66"/>
  <c r="M7" i="72"/>
  <c r="M6"/>
  <c r="O126" i="38"/>
  <c r="O70" i="30"/>
  <c r="F3" i="71"/>
  <c r="E4" i="10"/>
  <c r="N9" i="66"/>
  <c r="R14" i="43"/>
  <c r="F2"/>
  <c r="R98" i="12"/>
  <c r="O35" i="38"/>
  <c r="M141" i="72"/>
  <c r="O11" i="32"/>
  <c r="O20" i="49"/>
  <c r="M272" i="72"/>
  <c r="O10" i="37"/>
  <c r="F3"/>
  <c r="O40" i="24"/>
  <c r="H3" i="81"/>
  <c r="AL4"/>
  <c r="O12" i="20"/>
  <c r="O93" i="3"/>
  <c r="O38" i="81"/>
  <c r="O37"/>
  <c r="I4"/>
  <c r="O213" i="38"/>
  <c r="O298"/>
  <c r="O14" i="30"/>
  <c r="O6" i="3"/>
  <c r="O40" i="81"/>
  <c r="AQ4"/>
  <c r="O45"/>
  <c r="O404" i="38"/>
  <c r="O394"/>
  <c r="F4" i="81"/>
  <c r="O10"/>
  <c r="O19"/>
  <c r="O38" i="3"/>
  <c r="O64" i="27"/>
  <c r="O61" i="3"/>
  <c r="O26" i="81"/>
  <c r="O29"/>
  <c r="R32" i="56"/>
  <c r="F3" i="31"/>
  <c r="R54" i="82"/>
  <c r="E3" i="8"/>
  <c r="R63"/>
  <c r="E3" i="5"/>
  <c r="R30"/>
  <c r="F3" i="40"/>
  <c r="R97" i="12"/>
  <c r="O7" i="4"/>
  <c r="R7" i="16"/>
  <c r="G3" i="82"/>
  <c r="R66" i="2"/>
  <c r="E3"/>
  <c r="M59" i="72"/>
  <c r="G3" i="81"/>
  <c r="R20" i="83"/>
  <c r="F3"/>
  <c r="R60"/>
  <c r="AJ3" i="81"/>
  <c r="R37"/>
  <c r="O288" i="38"/>
  <c r="R10" i="81"/>
  <c r="F3" i="24"/>
  <c r="M12" i="72"/>
  <c r="M5"/>
  <c r="R7" i="84"/>
  <c r="F3" i="20"/>
  <c r="O19" i="83"/>
  <c r="O196" i="38"/>
  <c r="O6" i="49"/>
  <c r="S6"/>
  <c r="S20"/>
  <c r="N230" i="65"/>
  <c r="Q7" i="66"/>
  <c r="O86" i="3"/>
  <c r="O101" i="38"/>
  <c r="F3" i="41"/>
  <c r="O7" i="82"/>
  <c r="E4" i="56"/>
  <c r="O7" i="2"/>
  <c r="N120" i="65"/>
  <c r="E3" i="4"/>
  <c r="R99"/>
  <c r="O14" i="38"/>
  <c r="O7"/>
  <c r="O6"/>
  <c r="O59" i="16"/>
  <c r="E4" i="6"/>
  <c r="O7" i="8"/>
  <c r="E4" i="58"/>
  <c r="R18"/>
  <c r="E4" i="11"/>
  <c r="E4" i="85"/>
  <c r="Q7" i="65"/>
  <c r="W7"/>
  <c r="O7" i="47"/>
  <c r="O7" i="84"/>
  <c r="N120" i="66"/>
  <c r="F3" i="30"/>
  <c r="N8" i="66"/>
  <c r="O33" i="81"/>
  <c r="O25"/>
  <c r="P4"/>
  <c r="AJ4"/>
  <c r="O18"/>
  <c r="O9"/>
  <c r="R7" i="82"/>
  <c r="V230" i="65"/>
  <c r="W230"/>
  <c r="R40" i="85"/>
  <c r="E4" i="4"/>
  <c r="R115" i="16"/>
  <c r="E3"/>
  <c r="E3" i="84"/>
  <c r="R110" i="13"/>
  <c r="R9" i="81"/>
  <c r="R33"/>
  <c r="R54" i="83"/>
  <c r="AZ3"/>
  <c r="O7"/>
  <c r="E4"/>
  <c r="O8" i="81"/>
  <c r="F3" i="38"/>
  <c r="N7" i="65"/>
  <c r="D3" i="66"/>
  <c r="D3" i="65"/>
  <c r="Q275"/>
  <c r="O7" i="16"/>
  <c r="N7" i="66"/>
  <c r="E4" i="84"/>
  <c r="F4" i="47"/>
  <c r="E4" i="8"/>
  <c r="E4" i="2"/>
  <c r="E4" i="82"/>
  <c r="O7" i="81"/>
  <c r="V275" i="65"/>
  <c r="X275"/>
  <c r="E3" i="82"/>
  <c r="AZ3" i="85"/>
  <c r="R31"/>
  <c r="R19" i="83"/>
  <c r="R8" i="81"/>
  <c r="D4" i="65"/>
  <c r="D4" i="66"/>
  <c r="E4" i="16"/>
  <c r="E4" i="81"/>
  <c r="Q97" i="4"/>
  <c r="O101" i="72"/>
  <c r="R7" i="85"/>
  <c r="R7" i="81"/>
  <c r="R7" i="83"/>
  <c r="E3" i="85"/>
  <c r="R107" i="12"/>
  <c r="E3" i="83"/>
  <c r="R284" i="7"/>
  <c r="E3" i="81"/>
  <c r="R34" i="11"/>
  <c r="R7"/>
  <c r="R54"/>
  <c r="BD3"/>
  <c r="E3"/>
  <c r="R23" i="47"/>
  <c r="T23"/>
  <c r="T7"/>
  <c r="U7"/>
  <c r="S23"/>
  <c r="R179" i="49"/>
  <c r="R7" i="47"/>
  <c r="S8"/>
  <c r="F3"/>
  <c r="S7"/>
</calcChain>
</file>

<file path=xl/sharedStrings.xml><?xml version="1.0" encoding="utf-8"?>
<sst xmlns="http://schemas.openxmlformats.org/spreadsheetml/2006/main" count="16987" uniqueCount="6002">
  <si>
    <t>Service Delivery - Facility Based</t>
  </si>
  <si>
    <t>Service Delivery</t>
  </si>
  <si>
    <t>Service Delivery - Community Based</t>
  </si>
  <si>
    <t>Mobile Units</t>
  </si>
  <si>
    <t>Recurring/ Operational cost</t>
  </si>
  <si>
    <t xml:space="preserve">Outreach activities </t>
  </si>
  <si>
    <t>Community Interventions</t>
  </si>
  <si>
    <t>ASHA Activities</t>
  </si>
  <si>
    <t>Other Community Interventions</t>
  </si>
  <si>
    <t>Panchayati Raj Institutions (PRIs)</t>
  </si>
  <si>
    <t>Infrastructure</t>
  </si>
  <si>
    <t>Upgradation of existing facilities</t>
  </si>
  <si>
    <t xml:space="preserve">New Constructions </t>
  </si>
  <si>
    <t>Other construction/ Civil works</t>
  </si>
  <si>
    <t>Procurement</t>
  </si>
  <si>
    <t>Procurement of Drugs</t>
  </si>
  <si>
    <t>Referral Transport</t>
  </si>
  <si>
    <t>Service Delivery - Human Resource</t>
  </si>
  <si>
    <t>Setting Up &amp; Strengthening of Skill Lab/ Other Training Centres</t>
  </si>
  <si>
    <t>Review, Research, Surveillance &amp; Surveys</t>
  </si>
  <si>
    <t>Reviews</t>
  </si>
  <si>
    <t>Research &amp; Surveys</t>
  </si>
  <si>
    <t>Surveillance</t>
  </si>
  <si>
    <t xml:space="preserve">Other Recurring cost </t>
  </si>
  <si>
    <t>IEC/ BCC</t>
  </si>
  <si>
    <t>Printing</t>
  </si>
  <si>
    <t>Quality Assurance</t>
  </si>
  <si>
    <t>Kayakalp</t>
  </si>
  <si>
    <t>Other Logistics</t>
  </si>
  <si>
    <t>PPP</t>
  </si>
  <si>
    <t>Programme Management</t>
  </si>
  <si>
    <t>Planning Activities</t>
  </si>
  <si>
    <t>Mobility Support</t>
  </si>
  <si>
    <t>Monitoring &amp; Data Management</t>
  </si>
  <si>
    <t>PM HR Increment</t>
  </si>
  <si>
    <t>PM HR EPF</t>
  </si>
  <si>
    <t>Human Resources</t>
  </si>
  <si>
    <t>Beneficiary Compensation</t>
  </si>
  <si>
    <t>Procurement (Others)</t>
  </si>
  <si>
    <t>Others (including PMSMA, any other)</t>
  </si>
  <si>
    <t>Operating Expenses</t>
  </si>
  <si>
    <t>3.1.1</t>
  </si>
  <si>
    <t>3.1.2</t>
  </si>
  <si>
    <t>3.1.3</t>
  </si>
  <si>
    <t>1.2.1</t>
  </si>
  <si>
    <t>1.2.2</t>
  </si>
  <si>
    <t>1.2.3</t>
  </si>
  <si>
    <t>Training &amp; Capacity Building</t>
  </si>
  <si>
    <t>New FMR</t>
  </si>
  <si>
    <t>Old FMR</t>
  </si>
  <si>
    <t>Particulars</t>
  </si>
  <si>
    <t>Pool</t>
  </si>
  <si>
    <t>Programme Division</t>
  </si>
  <si>
    <t>Unit of Measure</t>
  </si>
  <si>
    <t xml:space="preserve">Unit Cost 
(Rs)  </t>
  </si>
  <si>
    <t xml:space="preserve">Unit Cost
(Rs. Lakhs) </t>
  </si>
  <si>
    <t>Quantity/ Target</t>
  </si>
  <si>
    <t>Budget 
(Rs. Lakhs)</t>
  </si>
  <si>
    <t>State Remarks</t>
  </si>
  <si>
    <t>2.1.1</t>
  </si>
  <si>
    <t>B11</t>
  </si>
  <si>
    <t>National Mobile Medical Units (MMU)</t>
  </si>
  <si>
    <t>2.1.1.1</t>
  </si>
  <si>
    <t>B11.1.1</t>
  </si>
  <si>
    <t>Capex</t>
  </si>
  <si>
    <t>HSS</t>
  </si>
  <si>
    <t>2.1.1.2</t>
  </si>
  <si>
    <t>B11.1.2</t>
  </si>
  <si>
    <t>Opex</t>
  </si>
  <si>
    <t>2.1.2</t>
  </si>
  <si>
    <t>B11.2</t>
  </si>
  <si>
    <t>National Mobile Medical Vans (smaller vehicles) and specialised Mobile Medical Units</t>
  </si>
  <si>
    <t>2.1.2.1</t>
  </si>
  <si>
    <t>B11.2.1</t>
  </si>
  <si>
    <t>2.1.2.2</t>
  </si>
  <si>
    <t>B11.2.2</t>
  </si>
  <si>
    <t>2.1.3</t>
  </si>
  <si>
    <t>B11.2.4</t>
  </si>
  <si>
    <t>I.2.8</t>
  </si>
  <si>
    <t xml:space="preserve">Grant in aid for Mobile Ophthalmic Units </t>
  </si>
  <si>
    <t>NCD</t>
  </si>
  <si>
    <t>NPCB</t>
  </si>
  <si>
    <t>2.2.1</t>
  </si>
  <si>
    <t>A.3.3</t>
  </si>
  <si>
    <t>POL for Family Planning/ Others (including additional mobility support to surgeon's team if req)</t>
  </si>
  <si>
    <t>RCH</t>
  </si>
  <si>
    <t>FP</t>
  </si>
  <si>
    <t>2.2.2</t>
  </si>
  <si>
    <t>A.4.1.4</t>
  </si>
  <si>
    <t>2.2.3</t>
  </si>
  <si>
    <t>A.5.1.3</t>
  </si>
  <si>
    <t>RBSK</t>
  </si>
  <si>
    <t>2.2.4</t>
  </si>
  <si>
    <t>B11.2.5</t>
  </si>
  <si>
    <t>2.2.5</t>
  </si>
  <si>
    <t>C.1.r</t>
  </si>
  <si>
    <t xml:space="preserve">Teeka Express Operational Cost </t>
  </si>
  <si>
    <t>2.2.6</t>
  </si>
  <si>
    <t>C.1.t</t>
  </si>
  <si>
    <t xml:space="preserve">JE Campaign Operational Cost </t>
  </si>
  <si>
    <t>2.2.7</t>
  </si>
  <si>
    <t>C.6</t>
  </si>
  <si>
    <t>Pulse Polio operating costs</t>
  </si>
  <si>
    <t>2.2.8</t>
  </si>
  <si>
    <t>C.1.s</t>
  </si>
  <si>
    <t>Measles Rubella SIA operational Cost</t>
  </si>
  <si>
    <t>2.2.9</t>
  </si>
  <si>
    <t>F.1.5.c</t>
  </si>
  <si>
    <t>DCP</t>
  </si>
  <si>
    <t>NVBDCP</t>
  </si>
  <si>
    <t>2.3.1</t>
  </si>
  <si>
    <t>A.1.2</t>
  </si>
  <si>
    <t>Integrated outreach RCH services (state should focus on facility based services and outreach camps to be restricted only to areas without functional health facilities)</t>
  </si>
  <si>
    <t>MH</t>
  </si>
  <si>
    <t>2.3.2</t>
  </si>
  <si>
    <t>A.1.2.1</t>
  </si>
  <si>
    <t>Outreach camps</t>
  </si>
  <si>
    <t>2.3.3</t>
  </si>
  <si>
    <t>A.1.2.2</t>
  </si>
  <si>
    <t>Monthly Village Health and Nutrition Days</t>
  </si>
  <si>
    <t>2.3.4</t>
  </si>
  <si>
    <t>A.1.5.1</t>
  </si>
  <si>
    <t>Line listing and follow-up of severely anaemic women</t>
  </si>
  <si>
    <t>A.1.5.2</t>
  </si>
  <si>
    <t>Line listing of the women with blood disorders</t>
  </si>
  <si>
    <t>A.1.5.3</t>
  </si>
  <si>
    <t>CH</t>
  </si>
  <si>
    <t>A.2.7</t>
  </si>
  <si>
    <t>A.2.10.1</t>
  </si>
  <si>
    <t>A.4.2.2</t>
  </si>
  <si>
    <t>Organizing Adolescent Health day</t>
  </si>
  <si>
    <t>A.5.1.5</t>
  </si>
  <si>
    <t>New born screening-  Inborn error of metabolism (please give details per unit cost of screening, number of children to be screened and the delivery points Add details)</t>
  </si>
  <si>
    <t>A.5.1.6</t>
  </si>
  <si>
    <t>A.6.2</t>
  </si>
  <si>
    <t>A.11.2</t>
  </si>
  <si>
    <t>Services for Vulnerable groups</t>
  </si>
  <si>
    <t>B18.2</t>
  </si>
  <si>
    <t>C.1.f</t>
  </si>
  <si>
    <t>Focus on slum &amp; underserved areas in urban areas/alternative vaccinator for slums (only where regular ANM under NUHM not engaged)</t>
  </si>
  <si>
    <t>G.2.5</t>
  </si>
  <si>
    <t>NLEP</t>
  </si>
  <si>
    <t>I.1.3</t>
  </si>
  <si>
    <t>I.1.4</t>
  </si>
  <si>
    <t>J.1.3</t>
  </si>
  <si>
    <t>NMHP</t>
  </si>
  <si>
    <t>M.1.2</t>
  </si>
  <si>
    <t>NTCP</t>
  </si>
  <si>
    <t>M.1.2.1</t>
  </si>
  <si>
    <t>M.1.2.2</t>
  </si>
  <si>
    <t>Coverage of Pvt. School</t>
  </si>
  <si>
    <t>M.1.2.3</t>
  </si>
  <si>
    <t>Coverage of Public School in other's school programme</t>
  </si>
  <si>
    <t>M.1.2.4</t>
  </si>
  <si>
    <t>Coverage of Pvt. School in other's school programme</t>
  </si>
  <si>
    <t>M.1.2.5</t>
  </si>
  <si>
    <t>M.2.1.1</t>
  </si>
  <si>
    <t>Annexure for Community Intervention</t>
  </si>
  <si>
    <t>Performance Incentive/Other Incentive to ASHAs</t>
  </si>
  <si>
    <t>3.1.1.1</t>
  </si>
  <si>
    <t xml:space="preserve">A.1.3.4 </t>
  </si>
  <si>
    <t xml:space="preserve">JSY Incentive to ASHA </t>
  </si>
  <si>
    <t>3.1.1.2</t>
  </si>
  <si>
    <t>A.3.7.1</t>
  </si>
  <si>
    <t>ASHA Incentives under Saas Bahu Sammellan</t>
  </si>
  <si>
    <t>3.1.1.3</t>
  </si>
  <si>
    <t>A.3.7.2</t>
  </si>
  <si>
    <t>ASHA Incentives under Nayi Pehl Kit</t>
  </si>
  <si>
    <t>3.1.1.4</t>
  </si>
  <si>
    <t>B1.1.3.2.1</t>
  </si>
  <si>
    <t>3.1.1.5</t>
  </si>
  <si>
    <t>B1.1.3.2.2</t>
  </si>
  <si>
    <t>B1.1.3.2.4</t>
  </si>
  <si>
    <t>B1.1.3.2.6</t>
  </si>
  <si>
    <t xml:space="preserve">ASHA incentive under MAA programme @ Rs 100 per ASHA for quarterly mother's meeting </t>
  </si>
  <si>
    <t>B1.1.3.2.7</t>
  </si>
  <si>
    <t>Incentive for National Deworming Day  for mobilising out of school children</t>
  </si>
  <si>
    <t>B1.1.3.2.8</t>
  </si>
  <si>
    <t xml:space="preserve">Incentive for IDCF for prophylactic distribution of ORS  to family with under-five children. </t>
  </si>
  <si>
    <t>B1.1.3.3.1</t>
  </si>
  <si>
    <t>ASHA PPIUCD incentive for accompanying the client for PPIUCD insertion (@ Rs. 150/ASHA/insertion)</t>
  </si>
  <si>
    <t>B1.1.3.3.2</t>
  </si>
  <si>
    <t>ASHA PAIUCD incentive for accompanying the client for PAIUCD insertion (@ Rs. 150/ASHA/insertion)</t>
  </si>
  <si>
    <t>B1.1.3.3.3</t>
  </si>
  <si>
    <t>ASHA incentive under ESB scheme for promoting spacing of births</t>
  </si>
  <si>
    <t>B1.1.3.3.4</t>
  </si>
  <si>
    <t>B.1.1.3.4.1</t>
  </si>
  <si>
    <t>Incentive for support to Peer Educator</t>
  </si>
  <si>
    <t>AH</t>
  </si>
  <si>
    <t>B.1.1.3.4.2</t>
  </si>
  <si>
    <t>Incentive for mobilizing adolescents  and community for AHD</t>
  </si>
  <si>
    <t>B1.1.3.5.1</t>
  </si>
  <si>
    <t>National Iron Plus Incentive for mobilizing WRA (non pregnant &amp; non-lactating Women 20-49 years)</t>
  </si>
  <si>
    <t>B1.1.3.5.2</t>
  </si>
  <si>
    <t>National Iron Plus Incentive for mobilizing children and/or ensuring compliance and reporting (6-59 months)</t>
  </si>
  <si>
    <t>B1.1.3.5.3</t>
  </si>
  <si>
    <t>National Iron Plus Others</t>
  </si>
  <si>
    <t>B1.1.3.6.1</t>
  </si>
  <si>
    <t xml:space="preserve">ASHA incentives for routine activities </t>
  </si>
  <si>
    <t>C.5</t>
  </si>
  <si>
    <t>RI</t>
  </si>
  <si>
    <t>D.5</t>
  </si>
  <si>
    <t>ASHA Incentive under NIDDCP</t>
  </si>
  <si>
    <t>NIDDCP</t>
  </si>
  <si>
    <t>F.1.1.b</t>
  </si>
  <si>
    <t>F.1.2.i</t>
  </si>
  <si>
    <t>ASHA Incentive for Dengue and Chikungunya</t>
  </si>
  <si>
    <t>F.1.3.k</t>
  </si>
  <si>
    <t xml:space="preserve">ASHA Incentivization for sensitizing community for AES/JE </t>
  </si>
  <si>
    <t>F.1.3.m</t>
  </si>
  <si>
    <t>ASHA incentive for referral of AES/JE cases to the nearest CHC/DH/Medical College</t>
  </si>
  <si>
    <t>F.1.4.e</t>
  </si>
  <si>
    <t>Honorarium  for Drug Distribution including ASHAs and supervisors involved in MDA</t>
  </si>
  <si>
    <t>F.1.4.i</t>
  </si>
  <si>
    <t>G.1.3.a</t>
  </si>
  <si>
    <t>G.1.3.b.i</t>
  </si>
  <si>
    <t>G.1.3.b.ii</t>
  </si>
  <si>
    <t>G.1.3.b.iii</t>
  </si>
  <si>
    <t>B1.1.1</t>
  </si>
  <si>
    <t>Selection &amp; Training of ASHA</t>
  </si>
  <si>
    <t>3.1.2.1</t>
  </si>
  <si>
    <t>A.3.2.6</t>
  </si>
  <si>
    <t xml:space="preserve">Orientation/review  of ASHAs (as applicable) for New Contraceptives, Post partum and post abortion Family Planning, Scheme for home delivery of contraceptives (HDC), Ensuring spacing at birth (ESB {wherever applicable}), Pregnancy Testing Kits (PTK) </t>
  </si>
  <si>
    <t>3.1.2.2</t>
  </si>
  <si>
    <t>B1.1.1.1</t>
  </si>
  <si>
    <t>Induction training</t>
  </si>
  <si>
    <t>3.1.2.3</t>
  </si>
  <si>
    <t>B1.1.1.2</t>
  </si>
  <si>
    <t xml:space="preserve">Module VI &amp; VII </t>
  </si>
  <si>
    <t>3.1.2.4</t>
  </si>
  <si>
    <t>B1.1.1.3</t>
  </si>
  <si>
    <t>3.1.2.5</t>
  </si>
  <si>
    <t>B1.2</t>
  </si>
  <si>
    <t>Certification of ASHA by NIOS</t>
  </si>
  <si>
    <t>3.1.3.1</t>
  </si>
  <si>
    <t>B1.1.1.4.1</t>
  </si>
  <si>
    <t>Supervision costs  by ASHA facilitators(12 months)</t>
  </si>
  <si>
    <t>3.1.3.2</t>
  </si>
  <si>
    <t>B1.1.3.7</t>
  </si>
  <si>
    <t>3.1.3.3</t>
  </si>
  <si>
    <t>B1.1.4</t>
  </si>
  <si>
    <t>3.1.3.4</t>
  </si>
  <si>
    <t>C.1.g</t>
  </si>
  <si>
    <t>Mobilization of children through ASHA or other mobilizers</t>
  </si>
  <si>
    <t>3.2.1</t>
  </si>
  <si>
    <t>A.3.7.5</t>
  </si>
  <si>
    <t>3.2.2</t>
  </si>
  <si>
    <t>A.4.2.1</t>
  </si>
  <si>
    <t>Incentives for Peer Educators</t>
  </si>
  <si>
    <t>3.2.3</t>
  </si>
  <si>
    <t>B15.1</t>
  </si>
  <si>
    <t>Community Action for Health (Visioning workshops at state, dist., block level, Training of VHSNC, Training of RKS)</t>
  </si>
  <si>
    <t>B15.1.1</t>
  </si>
  <si>
    <t>State level</t>
  </si>
  <si>
    <t>B15.1.2</t>
  </si>
  <si>
    <t>District level</t>
  </si>
  <si>
    <t>B15.1.3</t>
  </si>
  <si>
    <t xml:space="preserve">Block level </t>
  </si>
  <si>
    <t>B15.1.4.1</t>
  </si>
  <si>
    <t>Constitution / Reconstitution of VHSNC</t>
  </si>
  <si>
    <t>3.2.5</t>
  </si>
  <si>
    <t>3.2.5.1</t>
  </si>
  <si>
    <t>F.1.1.c</t>
  </si>
  <si>
    <t>3.2.5.2</t>
  </si>
  <si>
    <t>F.1.1.c.i</t>
  </si>
  <si>
    <t>3.2.5.3</t>
  </si>
  <si>
    <t>F.1.1.c.ii</t>
  </si>
  <si>
    <t>Operational cost for IRS</t>
  </si>
  <si>
    <t>F.1.1.c.iii</t>
  </si>
  <si>
    <t>F.1.1.h</t>
  </si>
  <si>
    <t>Biological and Environmental Management through VHSC</t>
  </si>
  <si>
    <t>F.1.1.i</t>
  </si>
  <si>
    <t>Larvivorous Fish support</t>
  </si>
  <si>
    <t>F.1.2.f</t>
  </si>
  <si>
    <t>F.1.3.g</t>
  </si>
  <si>
    <t>F.1.5.b</t>
  </si>
  <si>
    <t>F.1.5.e</t>
  </si>
  <si>
    <t>3.3.1</t>
  </si>
  <si>
    <t>B8.1</t>
  </si>
  <si>
    <t>Orientation of Community leader &amp; of VHSC,SHC,PHC,CHC etc.</t>
  </si>
  <si>
    <t>3.3.2</t>
  </si>
  <si>
    <t>B8.2</t>
  </si>
  <si>
    <t xml:space="preserve">Orientation Workshops, Trainings and capacity building of PRI  for RKS at District Health Societies, CHC and PHC </t>
  </si>
  <si>
    <t>3.3.3</t>
  </si>
  <si>
    <t>PRI Sensitization/Trainings</t>
  </si>
  <si>
    <t>3.3.3.1</t>
  </si>
  <si>
    <t>E.2.9</t>
  </si>
  <si>
    <t>One day sensitization for PRIs</t>
  </si>
  <si>
    <t>IDSP</t>
  </si>
  <si>
    <t>3.3.3.2</t>
  </si>
  <si>
    <t>M.1.1.4</t>
  </si>
  <si>
    <t>Training of PRI's representatives/ Police personnel/ Teachers/ Transport personnel/ NGO personnel/ other stakeholders</t>
  </si>
  <si>
    <t>Annexure for Infrastructure Strengthening</t>
  </si>
  <si>
    <t>5.1.1</t>
  </si>
  <si>
    <t>B.4.1</t>
  </si>
  <si>
    <t>5.1.1.1</t>
  </si>
  <si>
    <t>District Hospitals (As per the DH Strengthening Guidelines)</t>
  </si>
  <si>
    <t>CHCs</t>
  </si>
  <si>
    <t>PHCs</t>
  </si>
  <si>
    <t>Sub Centres</t>
  </si>
  <si>
    <t>SDH</t>
  </si>
  <si>
    <t>Training Institutions</t>
  </si>
  <si>
    <t>Others</t>
  </si>
  <si>
    <t>5.1.1.2</t>
  </si>
  <si>
    <t>Upgradation/ Renovation</t>
  </si>
  <si>
    <t>B.26.1.1</t>
  </si>
  <si>
    <t xml:space="preserve">Renovation, Dental Chair, Equipment - District Hospitals </t>
  </si>
  <si>
    <t>NOHP</t>
  </si>
  <si>
    <t>B.27.1.4</t>
  </si>
  <si>
    <t>NPPC</t>
  </si>
  <si>
    <t>5.1.1.3</t>
  </si>
  <si>
    <t>5.1.1.4</t>
  </si>
  <si>
    <t>Staff Quarters</t>
  </si>
  <si>
    <t>5.1.2</t>
  </si>
  <si>
    <t>I.2.1.</t>
  </si>
  <si>
    <t>Grant-in-aid for District Hospitals</t>
  </si>
  <si>
    <t>I.2.2.</t>
  </si>
  <si>
    <t>Grant-in-aid for Sub Divisional Hospitals</t>
  </si>
  <si>
    <t>I.2.3</t>
  </si>
  <si>
    <t>I.2.4</t>
  </si>
  <si>
    <t>I.2.5</t>
  </si>
  <si>
    <t>I.2.7</t>
  </si>
  <si>
    <t>Grant-in-aid for construction of Eye Wards and Eye OTS (renamed as  dedicated eye unit)</t>
  </si>
  <si>
    <t>B.4.3</t>
  </si>
  <si>
    <t>Sub Centre Rent and Contingencies</t>
  </si>
  <si>
    <t>5.2.1</t>
  </si>
  <si>
    <t>5.2.1.1</t>
  </si>
  <si>
    <t>5.2.1.2</t>
  </si>
  <si>
    <t>5.2.1.3</t>
  </si>
  <si>
    <t>SHCs/Sub Centres</t>
  </si>
  <si>
    <t>5.2.1.4</t>
  </si>
  <si>
    <t>5.2.1.5</t>
  </si>
  <si>
    <t>B5.5</t>
  </si>
  <si>
    <t>Govt. Dispensaries/ others</t>
  </si>
  <si>
    <t>5.2.1.6</t>
  </si>
  <si>
    <t>5.2.1.7</t>
  </si>
  <si>
    <t>5.2.1.8</t>
  </si>
  <si>
    <t>DH</t>
  </si>
  <si>
    <t>5.2.1.9</t>
  </si>
  <si>
    <t>5.2.1.10</t>
  </si>
  <si>
    <t>5.2.1.11</t>
  </si>
  <si>
    <t>A.4.1.2</t>
  </si>
  <si>
    <t xml:space="preserve">AFHCs at Medical college/ DH/CHC/PHC level  </t>
  </si>
  <si>
    <t>5.2.1.12</t>
  </si>
  <si>
    <t>A.2.5</t>
  </si>
  <si>
    <t>Establishment of NRCs</t>
  </si>
  <si>
    <t>5.2.1.13</t>
  </si>
  <si>
    <t>5.2.2</t>
  </si>
  <si>
    <t>Carry forward of new construction initiated last year, or the year before</t>
  </si>
  <si>
    <t>5.2.2.1</t>
  </si>
  <si>
    <t>5.2.2.2</t>
  </si>
  <si>
    <t>5.2.2.3</t>
  </si>
  <si>
    <t>5.2.2.4</t>
  </si>
  <si>
    <t>5.2.2.5</t>
  </si>
  <si>
    <t>5.2.2.6</t>
  </si>
  <si>
    <t>5.2.2.7</t>
  </si>
  <si>
    <t>5.2.2.8</t>
  </si>
  <si>
    <t>5.2.2.9</t>
  </si>
  <si>
    <t>5.2.2.10</t>
  </si>
  <si>
    <t>5.3.1</t>
  </si>
  <si>
    <t>B4.1.5.4</t>
  </si>
  <si>
    <t>Civil Works</t>
  </si>
  <si>
    <t xml:space="preserve">ASHA Ghar </t>
  </si>
  <si>
    <t>5.3.3</t>
  </si>
  <si>
    <t>B4.1.5.4.1</t>
  </si>
  <si>
    <t>5.3.4</t>
  </si>
  <si>
    <t>B.5.7</t>
  </si>
  <si>
    <t>Operationalization of FRUS</t>
  </si>
  <si>
    <t>5.3.5</t>
  </si>
  <si>
    <t>B.5.8</t>
  </si>
  <si>
    <t>Operationalization of 24 hour services at PHCs</t>
  </si>
  <si>
    <t>5.3.6</t>
  </si>
  <si>
    <t>B.5.9</t>
  </si>
  <si>
    <t>Operationalising Infection Management &amp; Environment Plan at health facilities</t>
  </si>
  <si>
    <t>B.28.1</t>
  </si>
  <si>
    <t>5.3.8</t>
  </si>
  <si>
    <t>C.1.p</t>
  </si>
  <si>
    <t>Safety Pits</t>
  </si>
  <si>
    <t>5.3.9</t>
  </si>
  <si>
    <t>D.2</t>
  </si>
  <si>
    <t>Establishment of IDD Monitoring Lab</t>
  </si>
  <si>
    <t>5.3.10</t>
  </si>
  <si>
    <t>F.1.1.j</t>
  </si>
  <si>
    <t>Construction and maintenance of Hatcheries</t>
  </si>
  <si>
    <t>5.3.11</t>
  </si>
  <si>
    <t>F.2.1.e</t>
  </si>
  <si>
    <t>Infrastructure (INF)</t>
  </si>
  <si>
    <t>5.3.12</t>
  </si>
  <si>
    <t>5.3.13</t>
  </si>
  <si>
    <t>H.1</t>
  </si>
  <si>
    <t>5.3.14</t>
  </si>
  <si>
    <t>J.1.1</t>
  </si>
  <si>
    <t>5.3.15</t>
  </si>
  <si>
    <t>K.2.1.1</t>
  </si>
  <si>
    <t>NPHCE</t>
  </si>
  <si>
    <t>Annexure for Referral Transport</t>
  </si>
  <si>
    <t>A.1.6.4</t>
  </si>
  <si>
    <t>Free Referral Transport - JSSK for Pregnant Women</t>
  </si>
  <si>
    <t>A.2.9.2</t>
  </si>
  <si>
    <t>Free Referral Transport - JSSK for Sick Infants</t>
  </si>
  <si>
    <t>A.5.2</t>
  </si>
  <si>
    <t>Referral Support for Secondary/ Tertiary care (pl give unit cost and unit of measure as per RBSK guidelines) - RBSK</t>
  </si>
  <si>
    <t>B12</t>
  </si>
  <si>
    <t>National Ambulance Service</t>
  </si>
  <si>
    <t>B12.2.9.1</t>
  </si>
  <si>
    <t>Drop back scheme for sterilization clients</t>
  </si>
  <si>
    <t>H.18</t>
  </si>
  <si>
    <t>Patient Support &amp; Transportation Charges</t>
  </si>
  <si>
    <t>O.2.2.1.6</t>
  </si>
  <si>
    <t>Transport of referred cases including home based care</t>
  </si>
  <si>
    <t>NPCDCS</t>
  </si>
  <si>
    <t>O.2.1.6.6.i</t>
  </si>
  <si>
    <t>District NCD Clinic</t>
  </si>
  <si>
    <t>O.2.1.6.6.ii</t>
  </si>
  <si>
    <t>CHC NCD Clinic</t>
  </si>
  <si>
    <t>Annexure for Human Resources - Service Delivery</t>
  </si>
  <si>
    <t>8.1.1</t>
  </si>
  <si>
    <t>B.30.1</t>
  </si>
  <si>
    <t>Nurses and Paramedical Staff</t>
  </si>
  <si>
    <t>8.1.1.1</t>
  </si>
  <si>
    <t>B.30.1.1</t>
  </si>
  <si>
    <t>ANMs</t>
  </si>
  <si>
    <t>8.1.1.2</t>
  </si>
  <si>
    <t>B.30.1.2</t>
  </si>
  <si>
    <t>Staff Nurses</t>
  </si>
  <si>
    <t>8.1.1.3</t>
  </si>
  <si>
    <t>B.30.1.3</t>
  </si>
  <si>
    <t>Health Assistant/ Lady Health Visitor/ Public Health Nurse</t>
  </si>
  <si>
    <t>8.1.1.4</t>
  </si>
  <si>
    <t>B.30.1.4</t>
  </si>
  <si>
    <t>8.1.1.5</t>
  </si>
  <si>
    <t>B.30.1.5</t>
  </si>
  <si>
    <t>OT Technician</t>
  </si>
  <si>
    <t>8.1.1.6</t>
  </si>
  <si>
    <t>B.30.1.6</t>
  </si>
  <si>
    <t>Other Technicians at DH (ECG/ ECO, EEG, Dermatology, Cyto, PFT etc.)</t>
  </si>
  <si>
    <t>8.1.1.7</t>
  </si>
  <si>
    <t>B.30.1.7</t>
  </si>
  <si>
    <t>Pharmacist</t>
  </si>
  <si>
    <t>8.1.1.8</t>
  </si>
  <si>
    <t>B.30.1.8</t>
  </si>
  <si>
    <t>8.1.1.9</t>
  </si>
  <si>
    <t>B.30.1.9</t>
  </si>
  <si>
    <t>Physiotherapist/ Occupational Therapist</t>
  </si>
  <si>
    <t>8.1.1.10</t>
  </si>
  <si>
    <t>B.30.1.10</t>
  </si>
  <si>
    <t>Dietician/ Nutritionist</t>
  </si>
  <si>
    <t>8.1.1.11</t>
  </si>
  <si>
    <t>B.30.1.11</t>
  </si>
  <si>
    <t>8.1.2</t>
  </si>
  <si>
    <t>B.30.2</t>
  </si>
  <si>
    <t>Specialists</t>
  </si>
  <si>
    <t>8.1.2.1</t>
  </si>
  <si>
    <t>B.30.2.1</t>
  </si>
  <si>
    <t>Obstetricians and Gynaecologists</t>
  </si>
  <si>
    <t>8.1.2.2</t>
  </si>
  <si>
    <t>B.30.2.2</t>
  </si>
  <si>
    <t>Paediatricians</t>
  </si>
  <si>
    <t>8.1.2.3</t>
  </si>
  <si>
    <t>B.30.2.3</t>
  </si>
  <si>
    <t>Anaesthetists</t>
  </si>
  <si>
    <t>8.1.2.4</t>
  </si>
  <si>
    <t>8.1.2.5</t>
  </si>
  <si>
    <t>B.30.2.5</t>
  </si>
  <si>
    <t>Surgeons</t>
  </si>
  <si>
    <t>8.1.2.6</t>
  </si>
  <si>
    <t>B.30.2.6</t>
  </si>
  <si>
    <t>Radiologists</t>
  </si>
  <si>
    <t>B.30.2.7</t>
  </si>
  <si>
    <t>B.30.2.8</t>
  </si>
  <si>
    <t>ENT</t>
  </si>
  <si>
    <t>8.1.3</t>
  </si>
  <si>
    <t>B.30.3</t>
  </si>
  <si>
    <t>Other Specialists</t>
  </si>
  <si>
    <t>8.1.3.1</t>
  </si>
  <si>
    <t>8.1.3.2</t>
  </si>
  <si>
    <t>B.30.3.2</t>
  </si>
  <si>
    <t>Psychiatrists</t>
  </si>
  <si>
    <t>8.1.3.3</t>
  </si>
  <si>
    <t>B.30.3.3</t>
  </si>
  <si>
    <t xml:space="preserve">Orthopaedics </t>
  </si>
  <si>
    <t>8.1.3.4</t>
  </si>
  <si>
    <t>B.30.3.4</t>
  </si>
  <si>
    <t>Ophthalmologists</t>
  </si>
  <si>
    <t>8.1.3.5</t>
  </si>
  <si>
    <t>B.30.3.5</t>
  </si>
  <si>
    <t>Dermatologists</t>
  </si>
  <si>
    <t>8.1.3.6</t>
  </si>
  <si>
    <t>B.30.3.6</t>
  </si>
  <si>
    <t>Venereologist</t>
  </si>
  <si>
    <t>8.1.3.7</t>
  </si>
  <si>
    <t>B.30.3.7</t>
  </si>
  <si>
    <t>Microbiologists</t>
  </si>
  <si>
    <t>8.1.3.8</t>
  </si>
  <si>
    <t>B.30.3.8</t>
  </si>
  <si>
    <t>Forensic Specialist</t>
  </si>
  <si>
    <t>8.1.3.9</t>
  </si>
  <si>
    <t>B.30.3.9</t>
  </si>
  <si>
    <t>8.1.4</t>
  </si>
  <si>
    <t>B.30.4</t>
  </si>
  <si>
    <t>Dental Staff</t>
  </si>
  <si>
    <t>8.1.4.1</t>
  </si>
  <si>
    <t>B.30.4.1</t>
  </si>
  <si>
    <t>Dental Surgeons</t>
  </si>
  <si>
    <t>8.1.4.2</t>
  </si>
  <si>
    <t>B.30.4.2</t>
  </si>
  <si>
    <t>Dental MO</t>
  </si>
  <si>
    <t>8.1.4.3</t>
  </si>
  <si>
    <t>B.30.4.3</t>
  </si>
  <si>
    <t>Other Dental Staff</t>
  </si>
  <si>
    <t>B.30.4.3.a</t>
  </si>
  <si>
    <t>Dental Hygienist</t>
  </si>
  <si>
    <t>B.30.4.3.b</t>
  </si>
  <si>
    <t>Dental Technician</t>
  </si>
  <si>
    <t>B.30.4.3.c</t>
  </si>
  <si>
    <t>Dental Assistants</t>
  </si>
  <si>
    <t>B.30.4.4</t>
  </si>
  <si>
    <t>8.1.5</t>
  </si>
  <si>
    <t>B.30.5</t>
  </si>
  <si>
    <t xml:space="preserve">Medical Officers </t>
  </si>
  <si>
    <t>8.1.6</t>
  </si>
  <si>
    <t>B.30.6</t>
  </si>
  <si>
    <t>AYUSH Staff</t>
  </si>
  <si>
    <t>8.1.6.1</t>
  </si>
  <si>
    <t>B.30.6.1</t>
  </si>
  <si>
    <t>AYUSH MOs</t>
  </si>
  <si>
    <t>8.1.6.2</t>
  </si>
  <si>
    <t>B.30.6.2</t>
  </si>
  <si>
    <t>Pharmacist - AYUSH</t>
  </si>
  <si>
    <t>8.1.6.3</t>
  </si>
  <si>
    <t>B.30.6.3</t>
  </si>
  <si>
    <t>8.1.7</t>
  </si>
  <si>
    <t>B.30.7</t>
  </si>
  <si>
    <t>RBSK teams (Exclusive mobile health team &amp; DEIC Staff)</t>
  </si>
  <si>
    <t>8.1.7.1</t>
  </si>
  <si>
    <t>B.30.7.1</t>
  </si>
  <si>
    <t>RBSK mobile teams</t>
  </si>
  <si>
    <t>8.1.7.2</t>
  </si>
  <si>
    <t>B.30.7.1.a</t>
  </si>
  <si>
    <t xml:space="preserve">MOs- AYUSH </t>
  </si>
  <si>
    <t>B.30.7.1.b</t>
  </si>
  <si>
    <t>MOs- MBBS</t>
  </si>
  <si>
    <t>B.30.7.1.c</t>
  </si>
  <si>
    <t>Staff Nurse</t>
  </si>
  <si>
    <t>B.30.7.1.d</t>
  </si>
  <si>
    <t>ANM</t>
  </si>
  <si>
    <t>B.30.7.1.e</t>
  </si>
  <si>
    <t>Pharmacists</t>
  </si>
  <si>
    <t>B.30.7.2</t>
  </si>
  <si>
    <t>DEIC</t>
  </si>
  <si>
    <t>B.30.7.2.a</t>
  </si>
  <si>
    <t>Paediatrician</t>
  </si>
  <si>
    <t>B.30.7.2.b</t>
  </si>
  <si>
    <t>MO, MBBS</t>
  </si>
  <si>
    <t>B.30.7.2.c</t>
  </si>
  <si>
    <t>MO, Dental</t>
  </si>
  <si>
    <t>B.30.7.2.d</t>
  </si>
  <si>
    <t>B.30.7.2.e</t>
  </si>
  <si>
    <t>Physiotherapist</t>
  </si>
  <si>
    <t>B.30.7.2.f</t>
  </si>
  <si>
    <t>Audiologist &amp; speech therapist</t>
  </si>
  <si>
    <t>B.30.7.2.g</t>
  </si>
  <si>
    <t>Psychologist</t>
  </si>
  <si>
    <t>B.30.7.2.h</t>
  </si>
  <si>
    <t>Optometrist</t>
  </si>
  <si>
    <t>B.30.7.2.i</t>
  </si>
  <si>
    <t>Early interventionist cum special educator</t>
  </si>
  <si>
    <t>B.30.7.2.j</t>
  </si>
  <si>
    <t>Social worker</t>
  </si>
  <si>
    <t>B.30.7.2.k</t>
  </si>
  <si>
    <t>Lab technician</t>
  </si>
  <si>
    <t>B.30.7.2.l</t>
  </si>
  <si>
    <t>Dental technician</t>
  </si>
  <si>
    <t>8.1.8</t>
  </si>
  <si>
    <t>B.30.8</t>
  </si>
  <si>
    <t>Staff for NRC</t>
  </si>
  <si>
    <t>8.1.8.1</t>
  </si>
  <si>
    <t>B.30.8.1</t>
  </si>
  <si>
    <t>8.1.8.2</t>
  </si>
  <si>
    <t>B.30.8.2</t>
  </si>
  <si>
    <t>8.1.8.3</t>
  </si>
  <si>
    <t>B.30.8.3</t>
  </si>
  <si>
    <t>Cook cum caretaker</t>
  </si>
  <si>
    <t>8.1.8.4</t>
  </si>
  <si>
    <t>B.30.8.4</t>
  </si>
  <si>
    <t>Medical Social worker for NRC</t>
  </si>
  <si>
    <t>8.1.8.5</t>
  </si>
  <si>
    <t>B.30.17.3</t>
  </si>
  <si>
    <t>Feeding demonstrator for NRC</t>
  </si>
  <si>
    <t>8.1.8.6</t>
  </si>
  <si>
    <t>B.30.8.5</t>
  </si>
  <si>
    <t>8.1.9</t>
  </si>
  <si>
    <t>B.30.9</t>
  </si>
  <si>
    <t>8.1.9.1</t>
  </si>
  <si>
    <t>B.30.9.1</t>
  </si>
  <si>
    <t>8.1.9.2</t>
  </si>
  <si>
    <t>B.30.9.2</t>
  </si>
  <si>
    <t>8.1.9.3</t>
  </si>
  <si>
    <t>B.30.9.3</t>
  </si>
  <si>
    <t>8.1.9.4</t>
  </si>
  <si>
    <t>B.30.9.4</t>
  </si>
  <si>
    <t xml:space="preserve">Others </t>
  </si>
  <si>
    <t>8.1.10</t>
  </si>
  <si>
    <t>B.30.10</t>
  </si>
  <si>
    <t>Staff for MMU/ MHV</t>
  </si>
  <si>
    <t>8.1.10.1</t>
  </si>
  <si>
    <t>B.30.10.1</t>
  </si>
  <si>
    <t>8.1.10.2</t>
  </si>
  <si>
    <t>B.30.10.2</t>
  </si>
  <si>
    <t>Staff Nurse/ ANM</t>
  </si>
  <si>
    <t>8.1.10.3</t>
  </si>
  <si>
    <t>B.30.10.3</t>
  </si>
  <si>
    <t>8.1.10.4</t>
  </si>
  <si>
    <t>B.30.10.4</t>
  </si>
  <si>
    <t>B.30.10.5</t>
  </si>
  <si>
    <t>8.1.11</t>
  </si>
  <si>
    <t>B.30.11</t>
  </si>
  <si>
    <t>Other Staff</t>
  </si>
  <si>
    <t>8.1.11.1</t>
  </si>
  <si>
    <t>B.30.11.1</t>
  </si>
  <si>
    <t xml:space="preserve">Counsellor </t>
  </si>
  <si>
    <t>8.1.11.2</t>
  </si>
  <si>
    <t>B.30.11.2</t>
  </si>
  <si>
    <t>B.30.11.3</t>
  </si>
  <si>
    <t>Multi Rehabilitation worker</t>
  </si>
  <si>
    <t>B.30.11.4</t>
  </si>
  <si>
    <t xml:space="preserve">Social Worker </t>
  </si>
  <si>
    <t>B.30.11.5</t>
  </si>
  <si>
    <t>Rehabilitation Therapist</t>
  </si>
  <si>
    <t>B.30.11.6</t>
  </si>
  <si>
    <t>Biomedical Engineer</t>
  </si>
  <si>
    <t>B.30.11.7</t>
  </si>
  <si>
    <t>Lab Attendant/ Assistant</t>
  </si>
  <si>
    <t>B.30.11.8</t>
  </si>
  <si>
    <t>OT Assistant</t>
  </si>
  <si>
    <t>B.30.11.9</t>
  </si>
  <si>
    <t>B.30.11.10</t>
  </si>
  <si>
    <t>CSSD Asstt.</t>
  </si>
  <si>
    <t>B.30.11.11</t>
  </si>
  <si>
    <t>Darkroom Asstt.</t>
  </si>
  <si>
    <t>B.30.11.12</t>
  </si>
  <si>
    <t>Cold Chain &amp; Vaccine Logistic Assistant</t>
  </si>
  <si>
    <t>B.30.11.13</t>
  </si>
  <si>
    <t>Ophthalmic Assistant/ Refractionist</t>
  </si>
  <si>
    <t>B.30.11.14</t>
  </si>
  <si>
    <t>Audiometrician/ Audiologist</t>
  </si>
  <si>
    <t>B.30.11.15</t>
  </si>
  <si>
    <t>Health Educator</t>
  </si>
  <si>
    <t>B.30.11.16</t>
  </si>
  <si>
    <t>Store Keeper/ Store Asstt</t>
  </si>
  <si>
    <t>B.30.17.2</t>
  </si>
  <si>
    <t>Lactation Counsellors for high case load facilities</t>
  </si>
  <si>
    <t>B.30.11.17</t>
  </si>
  <si>
    <t>8.1.12</t>
  </si>
  <si>
    <t>B.30.12</t>
  </si>
  <si>
    <t>Blood Bank/ BSU/Mobile Blood Vehicle</t>
  </si>
  <si>
    <t>8.1.12.1</t>
  </si>
  <si>
    <t>B.30.12.1</t>
  </si>
  <si>
    <t>Doctor - Pathologist</t>
  </si>
  <si>
    <t>8.1.12.2</t>
  </si>
  <si>
    <t>B.30.12.2</t>
  </si>
  <si>
    <t>B.30.12.3</t>
  </si>
  <si>
    <t>Male/ Female Nursing Attendant</t>
  </si>
  <si>
    <t>B.30.12.4</t>
  </si>
  <si>
    <t>Blood Bank Technician</t>
  </si>
  <si>
    <t>B.30.12.5</t>
  </si>
  <si>
    <t>8.1.13</t>
  </si>
  <si>
    <t>B.30.13</t>
  </si>
  <si>
    <t>Administrative Staff</t>
  </si>
  <si>
    <t>8.1.13.1</t>
  </si>
  <si>
    <t>B.30.13.1</t>
  </si>
  <si>
    <t>Hospital Administrator</t>
  </si>
  <si>
    <t>8.1.13.2</t>
  </si>
  <si>
    <t>B.30.13.2</t>
  </si>
  <si>
    <t>Hospital Superintendent</t>
  </si>
  <si>
    <t>8.1.13.3</t>
  </si>
  <si>
    <t>B.30.13.3</t>
  </si>
  <si>
    <t>Block Medical Officer/ Medical Superintendent</t>
  </si>
  <si>
    <t>8.1.13.4</t>
  </si>
  <si>
    <t>B.30.13.4</t>
  </si>
  <si>
    <t>8.1.13.5</t>
  </si>
  <si>
    <t>B.30.13.5</t>
  </si>
  <si>
    <t>Housekeeper/ Manager</t>
  </si>
  <si>
    <t>B.30.13.6</t>
  </si>
  <si>
    <t>Medical Records Officer</t>
  </si>
  <si>
    <t>B.30.13.7</t>
  </si>
  <si>
    <t>Medical Records Asstt./ Case Registry Asstt.</t>
  </si>
  <si>
    <t>B.30.13.8</t>
  </si>
  <si>
    <t>Accounts/ Finance</t>
  </si>
  <si>
    <t>B.30.13.9</t>
  </si>
  <si>
    <t>Admin Officer/ Asstt</t>
  </si>
  <si>
    <t>B.30.13.10</t>
  </si>
  <si>
    <t>Statistical Asstt.</t>
  </si>
  <si>
    <t>B.30.13.11</t>
  </si>
  <si>
    <t>Office Asstt</t>
  </si>
  <si>
    <t>B.30.13.12</t>
  </si>
  <si>
    <t>B.30.13.13</t>
  </si>
  <si>
    <t>Ambulance Services (1 driver + 2 Tech.)</t>
  </si>
  <si>
    <t>B.30.13.13.a</t>
  </si>
  <si>
    <t>Driver</t>
  </si>
  <si>
    <t>B.30.13.13.b</t>
  </si>
  <si>
    <t>Technician</t>
  </si>
  <si>
    <t>B.30.13.14</t>
  </si>
  <si>
    <t>8.1.14</t>
  </si>
  <si>
    <t>B.30.14</t>
  </si>
  <si>
    <t>Support Staff for Health Facilities on outsourcing basis</t>
  </si>
  <si>
    <t>8.1.14.1</t>
  </si>
  <si>
    <t>8.1.14.2</t>
  </si>
  <si>
    <t>8.1.14.3</t>
  </si>
  <si>
    <t>B.30.14.3</t>
  </si>
  <si>
    <t>B.30.20</t>
  </si>
  <si>
    <t xml:space="preserve">Annual increment for all the existing positions </t>
  </si>
  <si>
    <t>B.30.21</t>
  </si>
  <si>
    <t>EPF (Employer's contribution) @ 13.36% for salaries &lt;= Rs.15,000 pm</t>
  </si>
  <si>
    <t>Incentives and Allowances</t>
  </si>
  <si>
    <t>8.4.1</t>
  </si>
  <si>
    <t>B.30.15</t>
  </si>
  <si>
    <t>Additional Allowances/ Incentives to Medical Officers</t>
  </si>
  <si>
    <t>8.4.2</t>
  </si>
  <si>
    <t>B.30.18</t>
  </si>
  <si>
    <t>Incentive/ Awards etc. to SN, ANMs etc. (Including group/team based incentives at sub-centre/PHC for primary care)</t>
  </si>
  <si>
    <t>8.4.3</t>
  </si>
  <si>
    <t>B.30.16</t>
  </si>
  <si>
    <t>Honorarium for Paediatric ECO, ENT specialist, Orthopediatrician, Ophthalmologist, Psychiatrics</t>
  </si>
  <si>
    <t>8.4.4</t>
  </si>
  <si>
    <t>B.30.17.1</t>
  </si>
  <si>
    <t>8.4.5</t>
  </si>
  <si>
    <t>A.3.5.3</t>
  </si>
  <si>
    <t>Performance reward if any</t>
  </si>
  <si>
    <t>8.4.6</t>
  </si>
  <si>
    <t>A.3.2.2</t>
  </si>
  <si>
    <t>8.4.7</t>
  </si>
  <si>
    <t>A.3.2.3</t>
  </si>
  <si>
    <t>8.4.8</t>
  </si>
  <si>
    <t>A.3.2.4</t>
  </si>
  <si>
    <t>8.4.9</t>
  </si>
  <si>
    <t>Annexure for Training and Capacity Building</t>
  </si>
  <si>
    <t>Training</t>
  </si>
  <si>
    <t>9.1.1</t>
  </si>
  <si>
    <t>A.9.1.2.2</t>
  </si>
  <si>
    <t>Setting up of Skill Lab</t>
  </si>
  <si>
    <t>9.1.2</t>
  </si>
  <si>
    <t>A.9.3.1.1</t>
  </si>
  <si>
    <t>Setting up of SBA Training Centres</t>
  </si>
  <si>
    <t>9.1.3</t>
  </si>
  <si>
    <t>A.9.3.2.1</t>
  </si>
  <si>
    <t>Setting up of EmOC Training Centres</t>
  </si>
  <si>
    <t>9.1.4</t>
  </si>
  <si>
    <t>A.9.3.3.1</t>
  </si>
  <si>
    <t>Setting up of Life saving Anaesthesia skills Training Centres</t>
  </si>
  <si>
    <t>9.1.5</t>
  </si>
  <si>
    <t>A.9.10.1</t>
  </si>
  <si>
    <t>Strengthening of Existing Training Institutions/Nursing School (excluding infrastructure and HR)</t>
  </si>
  <si>
    <t>9.1.6.1</t>
  </si>
  <si>
    <t>A.9.2.1</t>
  </si>
  <si>
    <t>9.1.6.2</t>
  </si>
  <si>
    <t>A.9.6.8</t>
  </si>
  <si>
    <t>Training / Orientation technical manuals</t>
  </si>
  <si>
    <t>9.2.1</t>
  </si>
  <si>
    <t>A.9.1.2.1</t>
  </si>
  <si>
    <t xml:space="preserve">HR for Skill Lab </t>
  </si>
  <si>
    <t>9.5.1</t>
  </si>
  <si>
    <t>Maternal Health Trainings</t>
  </si>
  <si>
    <t>9.5.1.1</t>
  </si>
  <si>
    <t>A.1.4</t>
  </si>
  <si>
    <t xml:space="preserve">Maternal Death Review Trainings </t>
  </si>
  <si>
    <t>9.5.1.2</t>
  </si>
  <si>
    <t>A.9.1.2.3</t>
  </si>
  <si>
    <t>Onsite mentoring at Delivery Points</t>
  </si>
  <si>
    <t>9.5.1.3</t>
  </si>
  <si>
    <t>A.9.3.1.2</t>
  </si>
  <si>
    <t>TOT for SBA</t>
  </si>
  <si>
    <t>9.5.1.4</t>
  </si>
  <si>
    <t>A.9.3.1.3</t>
  </si>
  <si>
    <t>Training of Staff Nurses/ANMs / LHVs in SBA</t>
  </si>
  <si>
    <t>9.5.1.5</t>
  </si>
  <si>
    <t>A.9.3.2.2</t>
  </si>
  <si>
    <t>TOT for EmOC</t>
  </si>
  <si>
    <t>9.5.1.6</t>
  </si>
  <si>
    <t>A.9.3.2.3</t>
  </si>
  <si>
    <t>Training of Medical Officers in EmOC</t>
  </si>
  <si>
    <t>9.5.1.7</t>
  </si>
  <si>
    <t>A.9.3.3.2</t>
  </si>
  <si>
    <t>TOT for Anaesthesia skills training</t>
  </si>
  <si>
    <t>9.5.1.8</t>
  </si>
  <si>
    <t>A.9.3.3.3</t>
  </si>
  <si>
    <t>Training of Medical Officers in life saving Anaesthesia skills</t>
  </si>
  <si>
    <t>9.5.1.9</t>
  </si>
  <si>
    <t>A.9.3.4.1</t>
  </si>
  <si>
    <t>TOT on safe abortion services</t>
  </si>
  <si>
    <t>9.5.1.10</t>
  </si>
  <si>
    <t>A.9.3.4.2, A.1.1</t>
  </si>
  <si>
    <t>Training of Medical Officers in safe abortion</t>
  </si>
  <si>
    <t>9.5.1.11</t>
  </si>
  <si>
    <t>A.9.3.5.1</t>
  </si>
  <si>
    <t>TOT for RTI/STI training</t>
  </si>
  <si>
    <t>9.5.1.12</t>
  </si>
  <si>
    <t>A.9.3.5.2</t>
  </si>
  <si>
    <t>Training of laboratory technicians in RTI/STI</t>
  </si>
  <si>
    <t>9.5.1.13</t>
  </si>
  <si>
    <t>A.9.3.5.3</t>
  </si>
  <si>
    <t>Training of Medical Officers in RTI/STI</t>
  </si>
  <si>
    <t>9.5.1.14</t>
  </si>
  <si>
    <t>A.9.3.6.1</t>
  </si>
  <si>
    <t>TOT for BEmOC training</t>
  </si>
  <si>
    <t>9.5.1.15</t>
  </si>
  <si>
    <t>A.9.3.6.2</t>
  </si>
  <si>
    <t>BEmOC training  for MOs/LMOs</t>
  </si>
  <si>
    <t>9.5.1.16</t>
  </si>
  <si>
    <t>A.9.3.7</t>
  </si>
  <si>
    <t>A.9.3.8</t>
  </si>
  <si>
    <t>Blood Bank/Blood Storage Unit (BSU) Training</t>
  </si>
  <si>
    <t>A.9.4</t>
  </si>
  <si>
    <t>IMEP Training</t>
  </si>
  <si>
    <t>A.9.4.1</t>
  </si>
  <si>
    <t>TOT on IMEP</t>
  </si>
  <si>
    <t>A.9.4.2</t>
  </si>
  <si>
    <t>IMEP training for state and district programme managers</t>
  </si>
  <si>
    <t>A.9.4.3</t>
  </si>
  <si>
    <t>IMEP training for medical officers</t>
  </si>
  <si>
    <t>A.9.4.4</t>
  </si>
  <si>
    <t>9.5.2</t>
  </si>
  <si>
    <t>Child Health Trainings</t>
  </si>
  <si>
    <t>9.5.2.1</t>
  </si>
  <si>
    <t>A.2.1</t>
  </si>
  <si>
    <t>IMNCI (including F-IMNCI; primarily budget for  planning for pre-service IMNCI activities in medical colleges, nursing colleges, and ANMTCs other training)</t>
  </si>
  <si>
    <t>9.5.2.2</t>
  </si>
  <si>
    <t>A.2.6</t>
  </si>
  <si>
    <t>9.5.2.3</t>
  </si>
  <si>
    <t>9.5.2.4</t>
  </si>
  <si>
    <t>A.2.8</t>
  </si>
  <si>
    <t xml:space="preserve">Child Death Review Trainings </t>
  </si>
  <si>
    <t>9.5.2.5</t>
  </si>
  <si>
    <t>A.2.11.1</t>
  </si>
  <si>
    <t>Provision for State &amp; District level (Training and Workshops) (Dissemination to be budgeted under IEC; Meetings/ review meetings to be budgeted under PM)</t>
  </si>
  <si>
    <t>9.5.2.6</t>
  </si>
  <si>
    <t>A.9.5.1.1</t>
  </si>
  <si>
    <t>TOT on IMNCI (pre-service and in-service)</t>
  </si>
  <si>
    <t>9.5.2.7</t>
  </si>
  <si>
    <t>A.9.5.1.2</t>
  </si>
  <si>
    <t>IMNCI Training for ANMs / LHVs</t>
  </si>
  <si>
    <t>9.5.2.8</t>
  </si>
  <si>
    <t>A.9.5.2.1</t>
  </si>
  <si>
    <t>TOT on F-IMNCI</t>
  </si>
  <si>
    <t>9.5.2.9</t>
  </si>
  <si>
    <t>A.9.5.2.2</t>
  </si>
  <si>
    <t>F-IMNCI Training for Medical Officers</t>
  </si>
  <si>
    <t>9.5.2.10</t>
  </si>
  <si>
    <t>A.9.5.2.3</t>
  </si>
  <si>
    <t>F-IMNCI Training for Staff Nurses</t>
  </si>
  <si>
    <t>9.5.2.11</t>
  </si>
  <si>
    <t>9.5.2.12</t>
  </si>
  <si>
    <t>9.5.2.13</t>
  </si>
  <si>
    <t>A.9.5.4.1</t>
  </si>
  <si>
    <t>Training on facility based management of Severe Acute Malnutrition (including refreshers)</t>
  </si>
  <si>
    <t>9.5.2.14</t>
  </si>
  <si>
    <t>A.9.5.5.1.1</t>
  </si>
  <si>
    <t>TOT for NSSK</t>
  </si>
  <si>
    <t>9.5.2.15</t>
  </si>
  <si>
    <t>A.9.5.5.1.2</t>
  </si>
  <si>
    <t>NSSK Training for Medical Officers</t>
  </si>
  <si>
    <t>9.5.2.16</t>
  </si>
  <si>
    <t>A.9.5.5.1.3</t>
  </si>
  <si>
    <t>NSSK Training for SNs</t>
  </si>
  <si>
    <t>9.5.2.17</t>
  </si>
  <si>
    <t>A.9.5.5.1.4</t>
  </si>
  <si>
    <t>NSSK Training for ANMs</t>
  </si>
  <si>
    <t>9.5.2.18</t>
  </si>
  <si>
    <t>A.9.5.5.2.a</t>
  </si>
  <si>
    <t>9.5.2.19</t>
  </si>
  <si>
    <t>A.9.5.5.2.b</t>
  </si>
  <si>
    <t>9.5.2.20</t>
  </si>
  <si>
    <t>A.9.5.5.2.c</t>
  </si>
  <si>
    <t>9.5.2.21</t>
  </si>
  <si>
    <t>A.9.5.5.2.d</t>
  </si>
  <si>
    <t>Orientation on National Deworming Day</t>
  </si>
  <si>
    <t>9.5.3</t>
  </si>
  <si>
    <t>Family Planning Trainings</t>
  </si>
  <si>
    <t>9.5.3.1</t>
  </si>
  <si>
    <t>9.5.3.2</t>
  </si>
  <si>
    <t>A.3.2.7</t>
  </si>
  <si>
    <t>Dissemination of FP manuals and guidelines (workshops only)</t>
  </si>
  <si>
    <t>9.5.3.3</t>
  </si>
  <si>
    <t>9.5.3.4</t>
  </si>
  <si>
    <t>A.9.6.1.1</t>
  </si>
  <si>
    <t>TOT on laparoscopic sterilization</t>
  </si>
  <si>
    <t>9.5.3.5</t>
  </si>
  <si>
    <t>A.9.6.1.2</t>
  </si>
  <si>
    <t>Laparoscopic sterilization training for doctors (teams of doctor, SN and OT assistant)</t>
  </si>
  <si>
    <t>9.5.3.6</t>
  </si>
  <si>
    <t>A.9.6.1.3</t>
  </si>
  <si>
    <t>Refresher training on laparoscopic sterilization</t>
  </si>
  <si>
    <t>9.5.3.7</t>
  </si>
  <si>
    <t>A.9.6.2.1</t>
  </si>
  <si>
    <t>TOT on Minilap</t>
  </si>
  <si>
    <t>9.5.3.8</t>
  </si>
  <si>
    <t>A.9.6.2.2</t>
  </si>
  <si>
    <t>Minilap training for medical officers</t>
  </si>
  <si>
    <t>9.5.3.9</t>
  </si>
  <si>
    <t>A.9.6.2.3</t>
  </si>
  <si>
    <t>Refresher training on Minilap sterilization</t>
  </si>
  <si>
    <t>9.5.3.10</t>
  </si>
  <si>
    <t>A.9.6.3.1</t>
  </si>
  <si>
    <t>TOT on NSV</t>
  </si>
  <si>
    <t>9.5.3.11</t>
  </si>
  <si>
    <t>A.9.6.3.3</t>
  </si>
  <si>
    <t>Refresher training on NSV sterilization</t>
  </si>
  <si>
    <t>9.5.3.12</t>
  </si>
  <si>
    <t>A.9.6.4.1</t>
  </si>
  <si>
    <t>TOT (IUCD insertion training)</t>
  </si>
  <si>
    <t>9.5.3.13</t>
  </si>
  <si>
    <t>A.9.6.4.2</t>
  </si>
  <si>
    <t>Training of Medical officers  (IUCD insertion training)</t>
  </si>
  <si>
    <t>9.5.3.14</t>
  </si>
  <si>
    <t>A.9.6.4.3</t>
  </si>
  <si>
    <t>Training of AYUSH doctors  (IUCD insertion training)</t>
  </si>
  <si>
    <t>9.5.3.15</t>
  </si>
  <si>
    <t>A.9.6.4.4</t>
  </si>
  <si>
    <t>Training of Nurses (Staff Nurse/LHV/ANM)  (IUCD insertion training)</t>
  </si>
  <si>
    <t>9.5.3.16</t>
  </si>
  <si>
    <t>A.9.6.5.1</t>
  </si>
  <si>
    <t>TOT (PPIUCD insertion training)</t>
  </si>
  <si>
    <t>9.5.3.17</t>
  </si>
  <si>
    <t>A.9.6.5.2</t>
  </si>
  <si>
    <t>Training of Medical officers (PPIUCD insertion training)</t>
  </si>
  <si>
    <t>9.5.3.18</t>
  </si>
  <si>
    <t>A.9.6.5.3</t>
  </si>
  <si>
    <t>Training of AYUSH doctors (PPIUCD insertion training)</t>
  </si>
  <si>
    <t>9.5.3.19</t>
  </si>
  <si>
    <t>A.9.6.5.4</t>
  </si>
  <si>
    <t>Training of Nurses (Staff Nurse/LHV/ANM) (PPIUCD insertion training)</t>
  </si>
  <si>
    <t>9.5.3.20</t>
  </si>
  <si>
    <t>A.9.6.6.1</t>
  </si>
  <si>
    <t xml:space="preserve">Training for Post abortion Family Planning </t>
  </si>
  <si>
    <t>9.5.3.21</t>
  </si>
  <si>
    <t>A.9.6.7</t>
  </si>
  <si>
    <t>Training of RMNCH+A/ FP Counsellors</t>
  </si>
  <si>
    <t>9.5.3.22</t>
  </si>
  <si>
    <t>A.9.6.9.1</t>
  </si>
  <si>
    <t>9.5.3.23</t>
  </si>
  <si>
    <t>A.9.6.9.2</t>
  </si>
  <si>
    <t>9.5.3.24</t>
  </si>
  <si>
    <t>A.9.6.9.3</t>
  </si>
  <si>
    <t>9.5.3.25</t>
  </si>
  <si>
    <t>A.9.6.9.4</t>
  </si>
  <si>
    <t>9.5.3.26</t>
  </si>
  <si>
    <t>A.9.6.10</t>
  </si>
  <si>
    <t>Oral Pills Training</t>
  </si>
  <si>
    <t>9.5.4</t>
  </si>
  <si>
    <t>Adolescent Health Trainings</t>
  </si>
  <si>
    <t>9.5.4.1</t>
  </si>
  <si>
    <t>A.4.1.1</t>
  </si>
  <si>
    <t xml:space="preserve">Dissemination workshops under RKSK </t>
  </si>
  <si>
    <t>9.5.4.2</t>
  </si>
  <si>
    <t>A.9.7.1.1</t>
  </si>
  <si>
    <t xml:space="preserve">TOT for Adolescent Friendly Health Service training </t>
  </si>
  <si>
    <t>9.5.4.3</t>
  </si>
  <si>
    <t>A.9.7.1.2</t>
  </si>
  <si>
    <t xml:space="preserve">AFHS training of Medical Officers </t>
  </si>
  <si>
    <t>9.5.4.4</t>
  </si>
  <si>
    <t>A.9.7.1.3</t>
  </si>
  <si>
    <t>9.5.4.6</t>
  </si>
  <si>
    <t>A.9.7.1.5</t>
  </si>
  <si>
    <t>Training of AH counsellors</t>
  </si>
  <si>
    <t>9.5.4.7</t>
  </si>
  <si>
    <t>A.9.7.2.1</t>
  </si>
  <si>
    <t>Training of Peer Educator (District level)</t>
  </si>
  <si>
    <t>9.5.4.8</t>
  </si>
  <si>
    <t>A.9.7.2.2</t>
  </si>
  <si>
    <t>Training of Peer Educator (Block Level)</t>
  </si>
  <si>
    <t>9.5.4.9</t>
  </si>
  <si>
    <t>A.9.7.2.3</t>
  </si>
  <si>
    <t>Training of Peer Educator (Sub block level)</t>
  </si>
  <si>
    <t>9.5.4.10</t>
  </si>
  <si>
    <t>A.9.7.3.1</t>
  </si>
  <si>
    <t>WIFS trainings (District)</t>
  </si>
  <si>
    <t>9.5.4.11</t>
  </si>
  <si>
    <t>A.9.7.3.2</t>
  </si>
  <si>
    <t>WIFS trainings (Block)</t>
  </si>
  <si>
    <t>9.5.4.12</t>
  </si>
  <si>
    <t>A.9.7.4.1</t>
  </si>
  <si>
    <t>MHS Trainings (District)</t>
  </si>
  <si>
    <t>9.5.4.13</t>
  </si>
  <si>
    <t>A.9.7.4.2</t>
  </si>
  <si>
    <t>MHS Trainings (Block)</t>
  </si>
  <si>
    <t>A.9.7.5</t>
  </si>
  <si>
    <t>9.5.5</t>
  </si>
  <si>
    <t>9.5.5.1</t>
  </si>
  <si>
    <t>A.9.12.1</t>
  </si>
  <si>
    <t>RBSK Training -Training of Mobile health team – technical and managerial (5 days)</t>
  </si>
  <si>
    <t>9.5.5.2</t>
  </si>
  <si>
    <t>A.9.12.2</t>
  </si>
  <si>
    <t>RBSK DEIC Staff training (15 days)</t>
  </si>
  <si>
    <t>9.5.5.3</t>
  </si>
  <si>
    <t>A.9.12.3</t>
  </si>
  <si>
    <t>One day orientation for  MO / other staff Delivery points (RBSK trainings)</t>
  </si>
  <si>
    <t>9.5.5.4</t>
  </si>
  <si>
    <t>A.9.12.4</t>
  </si>
  <si>
    <t>Training/Refresher training -ANM (one day) (RBSK trainings)</t>
  </si>
  <si>
    <t>A.9.12.5</t>
  </si>
  <si>
    <t>Training/Refresher training -ASHA (one day) (RBSK trainings)</t>
  </si>
  <si>
    <t>A.9.12.6</t>
  </si>
  <si>
    <t>A.9.12.6.1</t>
  </si>
  <si>
    <t>A.9.12.6.2</t>
  </si>
  <si>
    <t xml:space="preserve">Training of two nodal teachers per school </t>
  </si>
  <si>
    <t>9.5.6</t>
  </si>
  <si>
    <t>9.5.6.1</t>
  </si>
  <si>
    <t>A.9.11.1</t>
  </si>
  <si>
    <t>Promotional Training of ANMs to lady health visitor etc.</t>
  </si>
  <si>
    <t>A.9.11.2</t>
  </si>
  <si>
    <t>Training of ANMs, Staff nurses, AWW, AWS</t>
  </si>
  <si>
    <t>9.5.7</t>
  </si>
  <si>
    <t>Trainings under NPPCD</t>
  </si>
  <si>
    <t>9.5.7.1</t>
  </si>
  <si>
    <t>NPPCD</t>
  </si>
  <si>
    <t>B.25.2.1.b</t>
  </si>
  <si>
    <t>B.25.2.1.c</t>
  </si>
  <si>
    <t>B.25.2.1.d</t>
  </si>
  <si>
    <t>9.5.8</t>
  </si>
  <si>
    <t>Trainings under NPPC</t>
  </si>
  <si>
    <t>9.5.8.1</t>
  </si>
  <si>
    <t>B.27.1.2</t>
  </si>
  <si>
    <t>Training of PHC Medical Officers, nurses, Paramedical Workers &amp; Other Health Staff under NPPC</t>
  </si>
  <si>
    <t>9.5.9</t>
  </si>
  <si>
    <t>Trainings under NPPCF</t>
  </si>
  <si>
    <t>9.5.9.1</t>
  </si>
  <si>
    <t>B.29.1.4</t>
  </si>
  <si>
    <t>Training of medical and paramedical personnel at district level under NPPCF</t>
  </si>
  <si>
    <t>NPPCF</t>
  </si>
  <si>
    <t>9.5.10</t>
  </si>
  <si>
    <t>Trainings under Routine Immunisation</t>
  </si>
  <si>
    <t>9.5.10.1</t>
  </si>
  <si>
    <t>C.3</t>
  </si>
  <si>
    <t>Training under Immunisation</t>
  </si>
  <si>
    <t>9.5.11</t>
  </si>
  <si>
    <t>Trainings under IDSP</t>
  </si>
  <si>
    <t>9.5.11.1</t>
  </si>
  <si>
    <t>E.2.1</t>
  </si>
  <si>
    <t>Medical Officers (1 day)</t>
  </si>
  <si>
    <t>E.2.2</t>
  </si>
  <si>
    <t>Medical College Doctors (1 day)</t>
  </si>
  <si>
    <t>E.2.3</t>
  </si>
  <si>
    <t>Hospital Pharmacists/Nurses Training (1 day)</t>
  </si>
  <si>
    <t>E.2.4</t>
  </si>
  <si>
    <t>Lab. Technician (3 days)</t>
  </si>
  <si>
    <t>E.2.5</t>
  </si>
  <si>
    <t>Data Managers (2days)</t>
  </si>
  <si>
    <t>E.2.6</t>
  </si>
  <si>
    <t>Date Entry Operators cum Accountant (2 days)</t>
  </si>
  <si>
    <t>E.2.7</t>
  </si>
  <si>
    <t>ASHA &amp; MPWs, AWW &amp; Community volunteers (1 day)</t>
  </si>
  <si>
    <t>E.2.8</t>
  </si>
  <si>
    <t>One day training for Data entry and analysis for Block Health Team (including Block Programme Manager)</t>
  </si>
  <si>
    <t>E.2.10</t>
  </si>
  <si>
    <t>9.5.12</t>
  </si>
  <si>
    <t>Trainings under NVBDCP</t>
  </si>
  <si>
    <t>9.5.12.1</t>
  </si>
  <si>
    <t>F.1.1.f</t>
  </si>
  <si>
    <t>Training / Capacity Building (Malaria)</t>
  </si>
  <si>
    <t>9.5.12.2</t>
  </si>
  <si>
    <t>F.1.2.h</t>
  </si>
  <si>
    <t>Training / Workshop (Dengue and Chikungunya)</t>
  </si>
  <si>
    <t>9.5.12.3</t>
  </si>
  <si>
    <t>F.1.3.b</t>
  </si>
  <si>
    <t>Capacity Building (AES/ JE)</t>
  </si>
  <si>
    <t>9.5.12.4</t>
  </si>
  <si>
    <t>F.1.3.c</t>
  </si>
  <si>
    <t>Training specific for JE prevention and management</t>
  </si>
  <si>
    <t>9.5.12.5</t>
  </si>
  <si>
    <t>F.1.3.l</t>
  </si>
  <si>
    <t>Other Charges for  Training /Workshop Meeting (AES/ JE)</t>
  </si>
  <si>
    <t>9.5.12.6</t>
  </si>
  <si>
    <t>F.1.4.d</t>
  </si>
  <si>
    <t>Training/sensitization of district level officers on ELF and drug distributors including peripheral health workers (AES/ JE)</t>
  </si>
  <si>
    <t>9.5.13</t>
  </si>
  <si>
    <t>Trainings under NLEP</t>
  </si>
  <si>
    <t>9.5.13.1</t>
  </si>
  <si>
    <t>G.3.1</t>
  </si>
  <si>
    <t>Capacity building under NLEP</t>
  </si>
  <si>
    <t>9.5.14</t>
  </si>
  <si>
    <t>9.5.14.1</t>
  </si>
  <si>
    <t>H.6</t>
  </si>
  <si>
    <t>H.10</t>
  </si>
  <si>
    <t>9.5.15</t>
  </si>
  <si>
    <t>Trainings under NPCB</t>
  </si>
  <si>
    <t>9.5.15.1</t>
  </si>
  <si>
    <t>I.1.6</t>
  </si>
  <si>
    <t>Training of PMOA under NPCB</t>
  </si>
  <si>
    <t>9.5.16</t>
  </si>
  <si>
    <t>Trainings under NMHP</t>
  </si>
  <si>
    <t>9.5.16.1</t>
  </si>
  <si>
    <t>J.1.2</t>
  </si>
  <si>
    <t>Training of PHC Medical Officers, Nurses, Paramedical Workers &amp; Other Health Staff working under NMHP</t>
  </si>
  <si>
    <t>9.5.17</t>
  </si>
  <si>
    <t>Trainings under NPHCE</t>
  </si>
  <si>
    <t>9.5.17.1</t>
  </si>
  <si>
    <t>K.1.1.2</t>
  </si>
  <si>
    <t>K.1.2.1</t>
  </si>
  <si>
    <t>K.1.3.1.</t>
  </si>
  <si>
    <t>9.5.18</t>
  </si>
  <si>
    <t>Trainings under NTCP</t>
  </si>
  <si>
    <t>9.5.18.1</t>
  </si>
  <si>
    <t>M.1.1</t>
  </si>
  <si>
    <t>9.5.18.2</t>
  </si>
  <si>
    <t>M.3.1</t>
  </si>
  <si>
    <t>9.5.19</t>
  </si>
  <si>
    <t>O.2.3</t>
  </si>
  <si>
    <t>Trainings under NPCDCS</t>
  </si>
  <si>
    <t>9.5.19.1</t>
  </si>
  <si>
    <t>O.2.3.1</t>
  </si>
  <si>
    <t>State NCD  Cell</t>
  </si>
  <si>
    <t>9.5.19.2</t>
  </si>
  <si>
    <t>O.2.3.2</t>
  </si>
  <si>
    <t>District  NCD Cell</t>
  </si>
  <si>
    <t>9.5.20</t>
  </si>
  <si>
    <t>PMU Trainings</t>
  </si>
  <si>
    <t>9.5.20.1</t>
  </si>
  <si>
    <t>A.9.8.1</t>
  </si>
  <si>
    <t xml:space="preserve">Training of SPMSU staff </t>
  </si>
  <si>
    <t>9.5.20.2</t>
  </si>
  <si>
    <t>A.9.8.2</t>
  </si>
  <si>
    <t xml:space="preserve">Training of DPMSU staff </t>
  </si>
  <si>
    <t>A.9.8.3</t>
  </si>
  <si>
    <t>Training of BPMSU staff</t>
  </si>
  <si>
    <t>9.5.21</t>
  </si>
  <si>
    <t>PNDT Trainings</t>
  </si>
  <si>
    <t>9.5.21.1</t>
  </si>
  <si>
    <t>A.9.9.1</t>
  </si>
  <si>
    <t>PNDT</t>
  </si>
  <si>
    <t>9.5.22</t>
  </si>
  <si>
    <t>9.5.22.1</t>
  </si>
  <si>
    <t>B1.1.1.5.1</t>
  </si>
  <si>
    <t>Training of ASHA facilitator</t>
  </si>
  <si>
    <t>B1.1.1.5.2</t>
  </si>
  <si>
    <t>B1.1.6.1</t>
  </si>
  <si>
    <t>B1.1.6.2</t>
  </si>
  <si>
    <t>B1.1.6.3</t>
  </si>
  <si>
    <t>B11.1.4</t>
  </si>
  <si>
    <t>Training/orientation (MMU)</t>
  </si>
  <si>
    <t>B11.2.3</t>
  </si>
  <si>
    <t>Training/orientation (MMV)</t>
  </si>
  <si>
    <t>B12.2.6</t>
  </si>
  <si>
    <t>Training/orientation (Ambulance)</t>
  </si>
  <si>
    <t>Trainings under AYUSH</t>
  </si>
  <si>
    <t>B9.2</t>
  </si>
  <si>
    <t>Training under AYUSH</t>
  </si>
  <si>
    <t>Quality Assurance Trainings</t>
  </si>
  <si>
    <t>B15.2.3</t>
  </si>
  <si>
    <t>B15.2.6</t>
  </si>
  <si>
    <t>B15.2.7.1</t>
  </si>
  <si>
    <t>Kayakalp Trainings</t>
  </si>
  <si>
    <t>B15.3.1.4.1</t>
  </si>
  <si>
    <t>Training cum review meeting for HMIS &amp; MCTS at State level</t>
  </si>
  <si>
    <t>B15.3.1.4.2</t>
  </si>
  <si>
    <t>Training cum review meeting for HMIS &amp; MCTS at District level</t>
  </si>
  <si>
    <t>B15.3.1.4.3</t>
  </si>
  <si>
    <t>Training cum review meeting for HMIS &amp; MCTS at Block level</t>
  </si>
  <si>
    <t>A.9.11.3.1</t>
  </si>
  <si>
    <t>PGDHM Courses</t>
  </si>
  <si>
    <t>B3.4</t>
  </si>
  <si>
    <t>B6.3</t>
  </si>
  <si>
    <t>Training (Implementation of Clinical Establishment Act)</t>
  </si>
  <si>
    <t>Annexure for Review, Research &amp; Surveys and Surveillance</t>
  </si>
  <si>
    <t>10.1.1</t>
  </si>
  <si>
    <t>Maternal Death Review (both in institutions and community)</t>
  </si>
  <si>
    <t>Child Death Review</t>
  </si>
  <si>
    <t>10.2.1</t>
  </si>
  <si>
    <t>B.20</t>
  </si>
  <si>
    <t>Research, Studies, Analysis</t>
  </si>
  <si>
    <t>10.2.2</t>
  </si>
  <si>
    <t>D.3</t>
  </si>
  <si>
    <t>IDD Surveys/Re-surveys</t>
  </si>
  <si>
    <t>10.2.3</t>
  </si>
  <si>
    <t>F.1.3.h</t>
  </si>
  <si>
    <t>Operational Research - AES/ JE</t>
  </si>
  <si>
    <t>10.2.4</t>
  </si>
  <si>
    <t>F.1.4.b</t>
  </si>
  <si>
    <t>Microfilaria Survey - Lymphatic Filariasis</t>
  </si>
  <si>
    <t>10.2.5</t>
  </si>
  <si>
    <t>F.1.4.c</t>
  </si>
  <si>
    <t>Monitoring  &amp;Evaluation (Post MDA assessment by medical colleges (Govt. &amp; private)/ICMR institutions )</t>
  </si>
  <si>
    <t>10.2.6</t>
  </si>
  <si>
    <t>F.1.4.f</t>
  </si>
  <si>
    <t>Verification and validation for stoppage of MDA in LF endemic districts</t>
  </si>
  <si>
    <t>10.2.7</t>
  </si>
  <si>
    <t>F.1.4.f.i</t>
  </si>
  <si>
    <t>10.2.8</t>
  </si>
  <si>
    <t>F.1.4.f.ii</t>
  </si>
  <si>
    <t>10.2.9</t>
  </si>
  <si>
    <t>F.1.4.g</t>
  </si>
  <si>
    <t>Verification of LF endemicity in non-endemic districts</t>
  </si>
  <si>
    <t>10.2.10</t>
  </si>
  <si>
    <t>F.1.4.g.i</t>
  </si>
  <si>
    <t>10.2.11</t>
  </si>
  <si>
    <t>F.1.4.g.ii</t>
  </si>
  <si>
    <t>F.1.4.g.iii</t>
  </si>
  <si>
    <t>H.14</t>
  </si>
  <si>
    <t>Research &amp; Studies &amp; Consultancy</t>
  </si>
  <si>
    <t>M.1.3.4</t>
  </si>
  <si>
    <t>Baseline/Endline surveys/ Research studies (DTCC)</t>
  </si>
  <si>
    <t>M.3.2.2</t>
  </si>
  <si>
    <t>Baseline/Endline surveys/ Research studies (STCC)</t>
  </si>
  <si>
    <t>O.2.7</t>
  </si>
  <si>
    <t>O.2.7.1</t>
  </si>
  <si>
    <t>State NCD Cell</t>
  </si>
  <si>
    <t>O.2.7.2</t>
  </si>
  <si>
    <t>10.3.1</t>
  </si>
  <si>
    <t>10.3.2</t>
  </si>
  <si>
    <t>F.1.2.a(i)</t>
  </si>
  <si>
    <t xml:space="preserve">Apex Referral Labs recurrent </t>
  </si>
  <si>
    <t>10.3.3</t>
  </si>
  <si>
    <t>F.1.2.a(ii)</t>
  </si>
  <si>
    <t xml:space="preserve">Sentinel surveillance Hospital recurrent </t>
  </si>
  <si>
    <t>F.1.2.a(iii)</t>
  </si>
  <si>
    <t>F.1.4.h</t>
  </si>
  <si>
    <t xml:space="preserve">Post-MDA surveillance </t>
  </si>
  <si>
    <t>10.4.1</t>
  </si>
  <si>
    <t>D.6</t>
  </si>
  <si>
    <t>Management of IDD Monitoring Laboratory</t>
  </si>
  <si>
    <t>10.4.2</t>
  </si>
  <si>
    <t>E.3.2</t>
  </si>
  <si>
    <t>Recurring costs on account of Consumables, kits, communication, misc. expenses etc. at each  district public health lab (applicable only for functional labs having requisite manpower)</t>
  </si>
  <si>
    <t>10.4.3</t>
  </si>
  <si>
    <t>E.3.4</t>
  </si>
  <si>
    <t>Referral Network of laboratories (Govt. Medical College labs) Reimbursement based payment for laboratory tests (to be calculated for already approved labs in previous PIPs of States for corresponding next years)</t>
  </si>
  <si>
    <t>10.4.4</t>
  </si>
  <si>
    <t>E.3.5</t>
  </si>
  <si>
    <t xml:space="preserve">Expenses on account of consumables, operating expenses, office expenses, transport of samples, miscellaneous etc.    </t>
  </si>
  <si>
    <t>10.4.5</t>
  </si>
  <si>
    <t>E.5.1</t>
  </si>
  <si>
    <t>Costs on Account of newly formed districts</t>
  </si>
  <si>
    <t>10.4.6</t>
  </si>
  <si>
    <t>F.1.4.f.iii</t>
  </si>
  <si>
    <t>ICT Cost</t>
  </si>
  <si>
    <t>Annexure for Quality Assurance</t>
  </si>
  <si>
    <t>13.1.1</t>
  </si>
  <si>
    <t>B15.2.4</t>
  </si>
  <si>
    <t>Quality Assurance Implementation (for traversing gaps)</t>
  </si>
  <si>
    <t>13.1.2</t>
  </si>
  <si>
    <t>B15.2.5</t>
  </si>
  <si>
    <t>13.1.3</t>
  </si>
  <si>
    <t>13.2.1</t>
  </si>
  <si>
    <t>B15.2.7. 2</t>
  </si>
  <si>
    <t>Assessments</t>
  </si>
  <si>
    <t>13.2.2</t>
  </si>
  <si>
    <t>B15.2.7.3</t>
  </si>
  <si>
    <t>Kayakalp Awards</t>
  </si>
  <si>
    <t>13.2.3</t>
  </si>
  <si>
    <t>B15.2.7.4</t>
  </si>
  <si>
    <t>Support for Implementation of Kayakalp</t>
  </si>
  <si>
    <t>13.2.4</t>
  </si>
  <si>
    <t>B15.2.7.5</t>
  </si>
  <si>
    <t>Contingencies</t>
  </si>
  <si>
    <t>13.2.5</t>
  </si>
  <si>
    <t>B15.2.7.6</t>
  </si>
  <si>
    <t>Swachh Swasth Sarvatra</t>
  </si>
  <si>
    <t>13.3.1</t>
  </si>
  <si>
    <t>Annexure for Drug Warehouse and Logistics</t>
  </si>
  <si>
    <t>Drug Warehousing and Logistics</t>
  </si>
  <si>
    <t>B.17</t>
  </si>
  <si>
    <t xml:space="preserve">Drug Ware Housing </t>
  </si>
  <si>
    <t>14.1.1</t>
  </si>
  <si>
    <t>B.17.1</t>
  </si>
  <si>
    <t>B.17.1.1</t>
  </si>
  <si>
    <t>14.1.2</t>
  </si>
  <si>
    <t>B.17.2</t>
  </si>
  <si>
    <t>14.2.1</t>
  </si>
  <si>
    <t>B15.3.3.1</t>
  </si>
  <si>
    <t xml:space="preserve">Implementation of DVDMS </t>
  </si>
  <si>
    <t>14.2.2</t>
  </si>
  <si>
    <t>C.1.h</t>
  </si>
  <si>
    <t>Alternative vaccine delivery in hard to reach areas</t>
  </si>
  <si>
    <t>14.2.3</t>
  </si>
  <si>
    <t>C.1.i</t>
  </si>
  <si>
    <t>Alternative Vaccine Delivery in other areas</t>
  </si>
  <si>
    <t>14.2.4</t>
  </si>
  <si>
    <t>C.1.l</t>
  </si>
  <si>
    <t>POL for vaccine delivery from State to district and from district to PHC/CHCs</t>
  </si>
  <si>
    <t>14.2.5</t>
  </si>
  <si>
    <t>C.4</t>
  </si>
  <si>
    <t xml:space="preserve">Cold chain maintenance </t>
  </si>
  <si>
    <t>14.2.6</t>
  </si>
  <si>
    <t>C.1.u</t>
  </si>
  <si>
    <t>14.2.7</t>
  </si>
  <si>
    <t>F.2.1.d</t>
  </si>
  <si>
    <t>14.2.8</t>
  </si>
  <si>
    <t>H.7</t>
  </si>
  <si>
    <t>Vehicle Operation (POL &amp; Maintenance)</t>
  </si>
  <si>
    <t>14.2.9</t>
  </si>
  <si>
    <t>H.8</t>
  </si>
  <si>
    <t>Vehicle hiring</t>
  </si>
  <si>
    <t>10.3.1.1</t>
  </si>
  <si>
    <t>10.3.1.2</t>
  </si>
  <si>
    <t>10.3.1.3</t>
  </si>
  <si>
    <t>10.2.6.1</t>
  </si>
  <si>
    <t>10.2.6.2</t>
  </si>
  <si>
    <t>10.2.7.1</t>
  </si>
  <si>
    <t>10.2.7.2</t>
  </si>
  <si>
    <t>10.2.7.3</t>
  </si>
  <si>
    <t>Annexure for PPP</t>
  </si>
  <si>
    <t>15.1.1</t>
  </si>
  <si>
    <t>A.3.1.5</t>
  </si>
  <si>
    <t xml:space="preserve">Processing accreditation/empanelment for private facilities/providers to provide sterilization services </t>
  </si>
  <si>
    <t xml:space="preserve">RCH </t>
  </si>
  <si>
    <t>Any other (please specify)</t>
  </si>
  <si>
    <t>15.2.1</t>
  </si>
  <si>
    <t>PPP under NVBDCP</t>
  </si>
  <si>
    <t>15.3.1</t>
  </si>
  <si>
    <t xml:space="preserve">PPP / NGO and Intersectoral Convergence </t>
  </si>
  <si>
    <t>NVBDCP - Malaria</t>
  </si>
  <si>
    <t>15.3.2</t>
  </si>
  <si>
    <t>Inter-sectoral convergence</t>
  </si>
  <si>
    <t>NVBDCP - Dengue Chikungunya</t>
  </si>
  <si>
    <t>PPP under NLEP</t>
  </si>
  <si>
    <t>15.4.1</t>
  </si>
  <si>
    <t>NGO -  Scheme</t>
  </si>
  <si>
    <t>15.4.2</t>
  </si>
  <si>
    <t>15.6.2.1</t>
  </si>
  <si>
    <t>15.6.2.2</t>
  </si>
  <si>
    <t>15.6.2.3</t>
  </si>
  <si>
    <t>15.6.2.4</t>
  </si>
  <si>
    <t>15.6.2.5</t>
  </si>
  <si>
    <t>15.6.5</t>
  </si>
  <si>
    <t>15.7.1</t>
  </si>
  <si>
    <t>PPP (NGO, Civil Society, Pvt. Sector) under NPCDCS</t>
  </si>
  <si>
    <t>PPP at State NCD Cell</t>
  </si>
  <si>
    <t>PPP at District NCD Cell / Clinic</t>
  </si>
  <si>
    <t>PPP at CHC NCD Clinic</t>
  </si>
  <si>
    <t>15.8.4</t>
  </si>
  <si>
    <t>Non governmental providers of health care RMPs</t>
  </si>
  <si>
    <t>Public Private Partnerships (Out Sourcing set up, if applicable for State, to be budgeted under this head)</t>
  </si>
  <si>
    <t>NGO Programme/ Grant in Aid to NGO</t>
  </si>
  <si>
    <t>B.13.4</t>
  </si>
  <si>
    <t>Pradhan Mantri National Dialysis Programme</t>
  </si>
  <si>
    <t>Intersectoral convergence</t>
  </si>
  <si>
    <t>Annexure for IEC/BCC</t>
  </si>
  <si>
    <t>IEC/BCC</t>
  </si>
  <si>
    <t>B.10.3.1</t>
  </si>
  <si>
    <t>IEC/BCC activities under MH</t>
  </si>
  <si>
    <t>B.10.3.1.1</t>
  </si>
  <si>
    <t>Media Mix of Mid Media/ Mass Media</t>
  </si>
  <si>
    <t>B.10.3.1.2</t>
  </si>
  <si>
    <t>Inter Personal Communication</t>
  </si>
  <si>
    <t>Any other IEC/BCC activities (please specify)</t>
  </si>
  <si>
    <t>B.10.3.2</t>
  </si>
  <si>
    <t>IEC/BCC activities under CH</t>
  </si>
  <si>
    <t>B.10.3.2.1</t>
  </si>
  <si>
    <t>B.10.3.2.2</t>
  </si>
  <si>
    <t>B.10.3.3</t>
  </si>
  <si>
    <t>IEC/BCC activities under FP</t>
  </si>
  <si>
    <t>B.10.3.3.1</t>
  </si>
  <si>
    <t>B.10.3.3.2</t>
  </si>
  <si>
    <t>A.3.5.4</t>
  </si>
  <si>
    <t>A.3.5.5</t>
  </si>
  <si>
    <t>A.3.7.4</t>
  </si>
  <si>
    <t>IEC activities for Mission Parivar Vikas Campaign (Frequency-at least 4/year)</t>
  </si>
  <si>
    <t>B.10.3.4</t>
  </si>
  <si>
    <t>11.4.1</t>
  </si>
  <si>
    <t>B.10.3.4.1</t>
  </si>
  <si>
    <t>11.4.2</t>
  </si>
  <si>
    <t>B.10.3.4.2</t>
  </si>
  <si>
    <t>11.4.3</t>
  </si>
  <si>
    <t>IEC/BCC activities under PNDT</t>
  </si>
  <si>
    <t>11.5.1</t>
  </si>
  <si>
    <t>B.10.3.5</t>
  </si>
  <si>
    <t>Creating awareness on declining sex ratio issue (PNDT)</t>
  </si>
  <si>
    <t>11.6.1</t>
  </si>
  <si>
    <t>B.10.7.4.5</t>
  </si>
  <si>
    <t>IEC/BCC activities under NPPCD</t>
  </si>
  <si>
    <t>11.7.1</t>
  </si>
  <si>
    <t>B.10.6.5</t>
  </si>
  <si>
    <t>IEC/BCC activities under NPPC</t>
  </si>
  <si>
    <t>11.8.1</t>
  </si>
  <si>
    <t>B.27.1.3</t>
  </si>
  <si>
    <t>IEC for DH</t>
  </si>
  <si>
    <t>11.8.2</t>
  </si>
  <si>
    <t>B.27.2.2</t>
  </si>
  <si>
    <t>IEC for State Palliative care cell</t>
  </si>
  <si>
    <t>IEC/BCC activities under NPPCF</t>
  </si>
  <si>
    <t>11.9.1</t>
  </si>
  <si>
    <t>B.10.6.6</t>
  </si>
  <si>
    <t>Health Education &amp; Publicity for National Programme for Fluorosis (State and District Level)</t>
  </si>
  <si>
    <t>IEC/BCC activities under NIDDCP</t>
  </si>
  <si>
    <t>11.10.1</t>
  </si>
  <si>
    <t>B.10.6.7</t>
  </si>
  <si>
    <t>Health Education &amp; Publicity for NIDDCP</t>
  </si>
  <si>
    <t>IEC/BCC activities under NVBDCP</t>
  </si>
  <si>
    <t>11.11.1</t>
  </si>
  <si>
    <t>B.10.6.9.a</t>
  </si>
  <si>
    <t>IEC/BCC for Malaria</t>
  </si>
  <si>
    <t>B.10.6.9.b</t>
  </si>
  <si>
    <t>IEC/BCC for Social mobilization (Dengue and Chikungunya)</t>
  </si>
  <si>
    <t>B.10.6.9.c</t>
  </si>
  <si>
    <t>IEC/BCC specific to J.E. in endemic areas</t>
  </si>
  <si>
    <t>B.10.6.9.d</t>
  </si>
  <si>
    <t>Specific IEC/BCC for Lymphatic Filariasis at State, District, PHC, Sub-centre and village level including VHSC/GKs for community mobilization efforts to realize the desired drug compliance of 85% during MDA</t>
  </si>
  <si>
    <t>B.10.6.9.e</t>
  </si>
  <si>
    <t>IEC/BCC/Advocacy for Kala-azar</t>
  </si>
  <si>
    <t>B.10.6.9.f</t>
  </si>
  <si>
    <t>IEC/BCC activities as per the GFATM project</t>
  </si>
  <si>
    <t>IEC/BCC activities under NLEP</t>
  </si>
  <si>
    <t>11.12.1</t>
  </si>
  <si>
    <t>B.10.6.10</t>
  </si>
  <si>
    <t>H.4</t>
  </si>
  <si>
    <t>ACSM (State &amp; district)</t>
  </si>
  <si>
    <t>IEC/BCC activities under NPCB</t>
  </si>
  <si>
    <t>11.14.1</t>
  </si>
  <si>
    <t>B.10.6.11</t>
  </si>
  <si>
    <t>B.10.6.12</t>
  </si>
  <si>
    <t>IEC/BCC activities under NMHP</t>
  </si>
  <si>
    <t>11.15.1</t>
  </si>
  <si>
    <t>B.10.6.12.a</t>
  </si>
  <si>
    <t>Translation of IEC material and distribution</t>
  </si>
  <si>
    <t>11.15.2</t>
  </si>
  <si>
    <t>B.10.6.12.b</t>
  </si>
  <si>
    <t>Awareness generation activities in the community, schools, workplaces with community involvement</t>
  </si>
  <si>
    <t>IEC/BCC activities under NPHCE</t>
  </si>
  <si>
    <t>11.16.1</t>
  </si>
  <si>
    <t>B.10.6.13</t>
  </si>
  <si>
    <t>IEC/BCC activities under NTCP</t>
  </si>
  <si>
    <t>B.10.6.14</t>
  </si>
  <si>
    <t>IEC/BCC activities under NPCDCS</t>
  </si>
  <si>
    <t>11.18.1</t>
  </si>
  <si>
    <t>IEC/BCC for State NCD  Cell</t>
  </si>
  <si>
    <t>IEC/BCC for District  NCD Cell</t>
  </si>
  <si>
    <t>Other IEC/BCC activities</t>
  </si>
  <si>
    <t>11.19.1</t>
  </si>
  <si>
    <t>B.10.2</t>
  </si>
  <si>
    <t>Development of State Communication strategy (comprising of district plans)</t>
  </si>
  <si>
    <t>B.10.4</t>
  </si>
  <si>
    <t>Interpersonal Communication Tools for the frontline health workers</t>
  </si>
  <si>
    <t>B.10.5</t>
  </si>
  <si>
    <t>Targeting Naturally Occurring Gathering of People/ Health Mela</t>
  </si>
  <si>
    <t>B.10.6.1</t>
  </si>
  <si>
    <t>B.10.6.14.1</t>
  </si>
  <si>
    <t>B.10.6.14.1.b</t>
  </si>
  <si>
    <t>Places covered with hoardings/ bill boards/ signage etc.</t>
  </si>
  <si>
    <t>B.10.6.14.1.c</t>
  </si>
  <si>
    <t>Usage of Folk media such as Nukkad Natak/ mobile audio visual services/ local radio etc.</t>
  </si>
  <si>
    <t>B.10.6.14.3.a</t>
  </si>
  <si>
    <t>Development of IEC Material</t>
  </si>
  <si>
    <t>B.10.6.14.3.b</t>
  </si>
  <si>
    <t>State-level IEC Campaigns/Other IEC Campaigns</t>
  </si>
  <si>
    <t>Annexure for Printing</t>
  </si>
  <si>
    <t>Printing activities under MH</t>
  </si>
  <si>
    <t>12.1.1</t>
  </si>
  <si>
    <t>Printing of MDR formats</t>
  </si>
  <si>
    <t>12.1.2</t>
  </si>
  <si>
    <t>B.10.7.1</t>
  </si>
  <si>
    <t>Printing of MCP cards,  safe motherhood booklets  etc.</t>
  </si>
  <si>
    <t>12.1.3</t>
  </si>
  <si>
    <t>Printing activities under CH</t>
  </si>
  <si>
    <t>12.2.1</t>
  </si>
  <si>
    <t>12.2.2</t>
  </si>
  <si>
    <t>12.2.3</t>
  </si>
  <si>
    <t>12.2.4</t>
  </si>
  <si>
    <t>Printing of Child Death Review formats</t>
  </si>
  <si>
    <t>12.2.5</t>
  </si>
  <si>
    <t>B.10.7.4.1</t>
  </si>
  <si>
    <t>Printing of compliance cards and reporting formats for National Iron Plus Initiative-for 6-59 months  age group and for 5-10 years age group</t>
  </si>
  <si>
    <t>12.2.6</t>
  </si>
  <si>
    <t>B.10.7.4.7</t>
  </si>
  <si>
    <t>Printing of IEC materials and reporting formats etc.  for National Deworming Day</t>
  </si>
  <si>
    <t>12.2.7</t>
  </si>
  <si>
    <t>B.10.7.4.8</t>
  </si>
  <si>
    <t>Printing of IEC Materials and monitoring formats for IDCF</t>
  </si>
  <si>
    <t>12.2.8</t>
  </si>
  <si>
    <t>B.10.7.4.9</t>
  </si>
  <si>
    <t>Printing cost of IEC materials, monitoring forms etc. for intensification of school health activities</t>
  </si>
  <si>
    <t>12.2.9</t>
  </si>
  <si>
    <t>Printing activities under FP</t>
  </si>
  <si>
    <t>12.3.1</t>
  </si>
  <si>
    <t>Dissemination of FP manuals and guidelines</t>
  </si>
  <si>
    <t>12.3.2</t>
  </si>
  <si>
    <t xml:space="preserve">Printing for Mission Parivar Vikas Campaign </t>
  </si>
  <si>
    <t>12.3.3</t>
  </si>
  <si>
    <t>A.3.5.6.1</t>
  </si>
  <si>
    <t>Printing of FP Manuals, Guidelines, etc.</t>
  </si>
  <si>
    <t>12.3.4</t>
  </si>
  <si>
    <t>B.10.7.3</t>
  </si>
  <si>
    <t>Printing of IUCD cards, MPA Card, FP manuals, guidelines etc.</t>
  </si>
  <si>
    <t>12.3.5</t>
  </si>
  <si>
    <t>Printing activities under AH</t>
  </si>
  <si>
    <t>12.4.1</t>
  </si>
  <si>
    <t>A.4.2.4</t>
  </si>
  <si>
    <t xml:space="preserve">PE Kit and PE Diary  </t>
  </si>
  <si>
    <t>12.4.2</t>
  </si>
  <si>
    <t>B.10.7.2</t>
  </si>
  <si>
    <t>12.4.3</t>
  </si>
  <si>
    <t>B.10.7.4.6</t>
  </si>
  <si>
    <t>12.4.4</t>
  </si>
  <si>
    <t>Printing activities under RBSK</t>
  </si>
  <si>
    <t>12.5.1</t>
  </si>
  <si>
    <t>A.5.1.1</t>
  </si>
  <si>
    <t>Prepare and disseminate guidelines for RBSK</t>
  </si>
  <si>
    <t>12.5.2</t>
  </si>
  <si>
    <t>A 5.3.1</t>
  </si>
  <si>
    <t xml:space="preserve">Training kits for teachers </t>
  </si>
  <si>
    <t>12.5.3</t>
  </si>
  <si>
    <t>A 5.3.2</t>
  </si>
  <si>
    <t>School Kits</t>
  </si>
  <si>
    <t>12.5.4</t>
  </si>
  <si>
    <t>B.10.7.4.3</t>
  </si>
  <si>
    <t>Printing of RBSK card and registers</t>
  </si>
  <si>
    <t>12.5.5</t>
  </si>
  <si>
    <t>B.10.7.4.4</t>
  </si>
  <si>
    <t>Printing cost for DEIC</t>
  </si>
  <si>
    <t>12.5.6</t>
  </si>
  <si>
    <t>Printing activities under Training</t>
  </si>
  <si>
    <t>12.6.1</t>
  </si>
  <si>
    <t>Duplication of training materials</t>
  </si>
  <si>
    <t>12.6.2</t>
  </si>
  <si>
    <t>Printing activities under ASHA</t>
  </si>
  <si>
    <t>12.7.1</t>
  </si>
  <si>
    <t>Printing of ASHA diary</t>
  </si>
  <si>
    <t>12.7.2</t>
  </si>
  <si>
    <t>12.8.1</t>
  </si>
  <si>
    <t>Printing of  cards for screening of  children for hemoglobinopathies</t>
  </si>
  <si>
    <t>12.8.2</t>
  </si>
  <si>
    <t>Printing activities under HMIS/MCTS</t>
  </si>
  <si>
    <t>12.9.1</t>
  </si>
  <si>
    <t>B15.3.1.6</t>
  </si>
  <si>
    <t xml:space="preserve">Printing of HMIS Formats </t>
  </si>
  <si>
    <t>12.9.2</t>
  </si>
  <si>
    <t>B15.3.2.1</t>
  </si>
  <si>
    <t xml:space="preserve">Printing of RCH Registers </t>
  </si>
  <si>
    <t>12.9.3</t>
  </si>
  <si>
    <t>B15.3.2.2</t>
  </si>
  <si>
    <t>Printing of MCTS follow-up formats/ services due list/ work plan</t>
  </si>
  <si>
    <t>12.9.4</t>
  </si>
  <si>
    <t>Printing activities under Immunization</t>
  </si>
  <si>
    <t>12.10.1</t>
  </si>
  <si>
    <t>B.10.7.4.10</t>
  </si>
  <si>
    <t>Printing and dissemination of Immunization cards, tally sheets, monitoring forms etc.</t>
  </si>
  <si>
    <t>12.10.2</t>
  </si>
  <si>
    <t>Printing activities under NVBDCP</t>
  </si>
  <si>
    <t>12.11.1</t>
  </si>
  <si>
    <t>F.1.4.a</t>
  </si>
  <si>
    <t>Printing of forms/registers for Lymphatic Filariasis</t>
  </si>
  <si>
    <t>12.11.2</t>
  </si>
  <si>
    <t>F.2.1.g</t>
  </si>
  <si>
    <t>Communication Material and Publications (CMP) - GFATM</t>
  </si>
  <si>
    <t>NVBDCP - GFATM</t>
  </si>
  <si>
    <t>12.11.3</t>
  </si>
  <si>
    <t>Printing activities under NLEP</t>
  </si>
  <si>
    <t>12.12.1</t>
  </si>
  <si>
    <t>G.1.4</t>
  </si>
  <si>
    <t>Printing works</t>
  </si>
  <si>
    <t>12.13.1</t>
  </si>
  <si>
    <t>Printing (ACSM)</t>
  </si>
  <si>
    <t>12.13.2</t>
  </si>
  <si>
    <t>H.13</t>
  </si>
  <si>
    <t>Printing activities under NTCP</t>
  </si>
  <si>
    <t>12.14.1</t>
  </si>
  <si>
    <t>B.10.7.4.11</t>
  </si>
  <si>
    <t>Printing of Challan Books under NTCP</t>
  </si>
  <si>
    <t>12.14.2</t>
  </si>
  <si>
    <t>Printing activities under NPCDCS</t>
  </si>
  <si>
    <t>12.15.1</t>
  </si>
  <si>
    <t>O.2.2.1.8.i</t>
  </si>
  <si>
    <t>Patient referral cards at PHC Level</t>
  </si>
  <si>
    <t>12.15.2</t>
  </si>
  <si>
    <t>O.2.2.1.8.ii</t>
  </si>
  <si>
    <t>Patient referral cards at Sub-centre level</t>
  </si>
  <si>
    <t>12.15.3</t>
  </si>
  <si>
    <t>12.16.1</t>
  </si>
  <si>
    <t>B.10.6.14.2</t>
  </si>
  <si>
    <t>B2</t>
  </si>
  <si>
    <t>B2.1</t>
  </si>
  <si>
    <t xml:space="preserve">District Hospitals </t>
  </si>
  <si>
    <t>B2.2</t>
  </si>
  <si>
    <t>B2.3</t>
  </si>
  <si>
    <t>B2.4</t>
  </si>
  <si>
    <t>B2.5</t>
  </si>
  <si>
    <t>B2.6</t>
  </si>
  <si>
    <t>VHSC</t>
  </si>
  <si>
    <t>B2.7</t>
  </si>
  <si>
    <t>Annexure for Procurement</t>
  </si>
  <si>
    <t>B.16.1</t>
  </si>
  <si>
    <t>Procurement of Equipment</t>
  </si>
  <si>
    <t>6.1.1</t>
  </si>
  <si>
    <t>6.1.1.1</t>
  </si>
  <si>
    <t>B16.1.1</t>
  </si>
  <si>
    <t>MVA /EVA for Safe Abortion services</t>
  </si>
  <si>
    <t>B16.1.1.3</t>
  </si>
  <si>
    <t>Any other equipment (please specify)</t>
  </si>
  <si>
    <t>6.1.1.2</t>
  </si>
  <si>
    <t>B16.1.2</t>
  </si>
  <si>
    <t>B16.1.2.1</t>
  </si>
  <si>
    <t>B16.1.2.2</t>
  </si>
  <si>
    <t>6.1.1.3</t>
  </si>
  <si>
    <t>B16.1.3</t>
  </si>
  <si>
    <t>B16.1.3.1</t>
  </si>
  <si>
    <t>NSV kits</t>
  </si>
  <si>
    <t>B16.1.3.2</t>
  </si>
  <si>
    <t>IUCD kits</t>
  </si>
  <si>
    <t>B16.1.3.3</t>
  </si>
  <si>
    <t>minilap kits</t>
  </si>
  <si>
    <t>B16.1.3.4</t>
  </si>
  <si>
    <t>laparoscopes</t>
  </si>
  <si>
    <t>B16.1.3.5</t>
  </si>
  <si>
    <t>PPIUCD forceps</t>
  </si>
  <si>
    <t>Nayi Pehl Kit</t>
  </si>
  <si>
    <t>B16.1.3.6</t>
  </si>
  <si>
    <t>6.1.1.4</t>
  </si>
  <si>
    <t>B16.1.6</t>
  </si>
  <si>
    <t>B16.1.6.1</t>
  </si>
  <si>
    <t>B16.1.6.2</t>
  </si>
  <si>
    <t>6.1.1.5</t>
  </si>
  <si>
    <t>B16.1.6.3</t>
  </si>
  <si>
    <t>B16.1.6.3.1</t>
  </si>
  <si>
    <t xml:space="preserve">Equipment for Mobile health teams </t>
  </si>
  <si>
    <t>B16.1.6.3.2</t>
  </si>
  <si>
    <t xml:space="preserve">Equipment for DEIC </t>
  </si>
  <si>
    <t>B16.1.6.3.3</t>
  </si>
  <si>
    <t>Laptop for mobile health teams</t>
  </si>
  <si>
    <t>B16.1.6.3.4</t>
  </si>
  <si>
    <t>Desktop for DEIC</t>
  </si>
  <si>
    <t>6.1.1.6</t>
  </si>
  <si>
    <t>B16.1.7</t>
  </si>
  <si>
    <t>B3.3</t>
  </si>
  <si>
    <t>Equipment for Rollout of B.Sc. (Community Health)</t>
  </si>
  <si>
    <t>6.1.1.7</t>
  </si>
  <si>
    <t>B16.1.8</t>
  </si>
  <si>
    <t>6.1.1.8</t>
  </si>
  <si>
    <t>B16.1.1.1</t>
  </si>
  <si>
    <t>6.1.1.9</t>
  </si>
  <si>
    <t>B16.1.4</t>
  </si>
  <si>
    <t>Procurement of equipment: IMEP</t>
  </si>
  <si>
    <t>C.1.o</t>
  </si>
  <si>
    <t>Hub Cutter</t>
  </si>
  <si>
    <t>6.1.1.10</t>
  </si>
  <si>
    <t>B.25.2.1.a</t>
  </si>
  <si>
    <t>6.1.1.11</t>
  </si>
  <si>
    <t>Dental Chair, Equipment</t>
  </si>
  <si>
    <t>6.1.1.12</t>
  </si>
  <si>
    <t>Equipment</t>
  </si>
  <si>
    <t>6.1.1.13</t>
  </si>
  <si>
    <t>B.28.2</t>
  </si>
  <si>
    <t>6.1.1.14</t>
  </si>
  <si>
    <t>E.3.1</t>
  </si>
  <si>
    <t xml:space="preserve">Non-recurring costs on account of equipment for District Public Health Labs requiring strengthening. </t>
  </si>
  <si>
    <t>6.1.1.15</t>
  </si>
  <si>
    <t>F.2.1.c</t>
  </si>
  <si>
    <t>6.1.1.16</t>
  </si>
  <si>
    <t>6.1.1.17</t>
  </si>
  <si>
    <t>H.17</t>
  </si>
  <si>
    <t>6.1.1.18</t>
  </si>
  <si>
    <t>J.1.4</t>
  </si>
  <si>
    <t>6.1.1.19</t>
  </si>
  <si>
    <t>B16.1.10</t>
  </si>
  <si>
    <t>K.1.1.1</t>
  </si>
  <si>
    <t>K.1.4.1</t>
  </si>
  <si>
    <t>K.2.1.2</t>
  </si>
  <si>
    <t>K.2.2</t>
  </si>
  <si>
    <t>K.2.3</t>
  </si>
  <si>
    <t>6.1.1.20</t>
  </si>
  <si>
    <t>M.1.5.1</t>
  </si>
  <si>
    <t>Non-recurring: Equipment for DTCC</t>
  </si>
  <si>
    <t>M.2.3.1</t>
  </si>
  <si>
    <t>Non-recurring: Equipment for TCC</t>
  </si>
  <si>
    <t>6.1.1.21</t>
  </si>
  <si>
    <t>O1.1.2.1</t>
  </si>
  <si>
    <t>Non-recurring: Equipping Cardiac Care Unit (CCU)/ICU</t>
  </si>
  <si>
    <t>O1.1.2.2</t>
  </si>
  <si>
    <t>O1.1.3.2</t>
  </si>
  <si>
    <t>Non-recurring: Equipment at District NCD clinic</t>
  </si>
  <si>
    <t>O1.1.4.1</t>
  </si>
  <si>
    <t>Non-recurring: Equipment at CHC NCD clinic</t>
  </si>
  <si>
    <t>6.1.1.22</t>
  </si>
  <si>
    <t>6.1.2</t>
  </si>
  <si>
    <t>6.1.2.1</t>
  </si>
  <si>
    <t>6.1.2.2</t>
  </si>
  <si>
    <t>F.1.3.f</t>
  </si>
  <si>
    <t>Fogging Machine</t>
  </si>
  <si>
    <t>NVBDCP - AES/JE</t>
  </si>
  <si>
    <t>F.1.5.a</t>
  </si>
  <si>
    <t>Spray Pumps &amp; accessories</t>
  </si>
  <si>
    <t>NVBDCP - KalaAzar</t>
  </si>
  <si>
    <t>F.2.1.f</t>
  </si>
  <si>
    <t>Non-Health Equipment (NHP) - GFATM</t>
  </si>
  <si>
    <t>6.1.2.3</t>
  </si>
  <si>
    <t>G.2.1</t>
  </si>
  <si>
    <t>MCR</t>
  </si>
  <si>
    <t>G.2.2</t>
  </si>
  <si>
    <t>Aids/Appliance</t>
  </si>
  <si>
    <t>6.1.2.4</t>
  </si>
  <si>
    <t>Non-recurring GIA: Furniture of Geriatrics Unit with 10 beds and OPD facilities at DH</t>
  </si>
  <si>
    <t>6.1.2.5</t>
  </si>
  <si>
    <t>Procurement of any other equipment</t>
  </si>
  <si>
    <t>6.1.3</t>
  </si>
  <si>
    <t>6.1.3.1</t>
  </si>
  <si>
    <t>A.3.4</t>
  </si>
  <si>
    <t>Repairs of Laparoscopes</t>
  </si>
  <si>
    <t>E.3.3</t>
  </si>
  <si>
    <t>Equipment AMC cost (DPHL)</t>
  </si>
  <si>
    <t>H.5</t>
  </si>
  <si>
    <t>Equipment Maintenance</t>
  </si>
  <si>
    <t>I.1.8</t>
  </si>
  <si>
    <t>6.1.3.2</t>
  </si>
  <si>
    <t>B.16.2</t>
  </si>
  <si>
    <t xml:space="preserve">Procurement of Drugs and supplies </t>
  </si>
  <si>
    <t>6.2.1</t>
  </si>
  <si>
    <t>B.16.2.1</t>
  </si>
  <si>
    <t>Drugs &amp; supplies for MH</t>
  </si>
  <si>
    <t>6.2.1.1</t>
  </si>
  <si>
    <t>B.16.2.1.1</t>
  </si>
  <si>
    <t xml:space="preserve">RTI /STI drugs and consumables </t>
  </si>
  <si>
    <t>6.2.1.2</t>
  </si>
  <si>
    <t>B.16.2.1.2</t>
  </si>
  <si>
    <t>6.2.1.3</t>
  </si>
  <si>
    <t>B.16.2.1.4</t>
  </si>
  <si>
    <t>RPR Kits</t>
  </si>
  <si>
    <t>6.2.1.4</t>
  </si>
  <si>
    <t>B.16.2.1.5</t>
  </si>
  <si>
    <t>Whole blood finger prick test for HIV</t>
  </si>
  <si>
    <t>6.2.1.5</t>
  </si>
  <si>
    <t>B.16.2.6.4.a</t>
  </si>
  <si>
    <t xml:space="preserve">IFA tablets for non-pregnant &amp; non-lactating women in Reproductive Age (20-49 years) </t>
  </si>
  <si>
    <t>6.2.1.6</t>
  </si>
  <si>
    <t>B.16.2.6.4.b</t>
  </si>
  <si>
    <t xml:space="preserve">Albendazole Tablets for non-pregnant &amp; non-lactating women in Reproductive Age (20-49 years) </t>
  </si>
  <si>
    <t>6.2.1.7</t>
  </si>
  <si>
    <t>B.16.2.1.3.1</t>
  </si>
  <si>
    <t>JSSK drugs and consumables</t>
  </si>
  <si>
    <t>B.16.2.6.5.a</t>
  </si>
  <si>
    <t>IFA tablets for Pregnant &amp; Lactating Mothers</t>
  </si>
  <si>
    <t>B.16.2.6.5.b</t>
  </si>
  <si>
    <t>Folic Acid Tablets (400 mcg) for Pregnant &amp; Lactating Mothers</t>
  </si>
  <si>
    <t>Other JSSK drugs &amp; consumables</t>
  </si>
  <si>
    <t>6.2.1.8</t>
  </si>
  <si>
    <t>B.16.2.1.3</t>
  </si>
  <si>
    <t>Any other Drugs &amp; Supplies (Please specify)</t>
  </si>
  <si>
    <t>6.2.2</t>
  </si>
  <si>
    <t>B.16.2.2</t>
  </si>
  <si>
    <t>Drugs &amp; supplies for CH</t>
  </si>
  <si>
    <t>6.2.2.1</t>
  </si>
  <si>
    <t>B.16.2.2.1</t>
  </si>
  <si>
    <t>6.2.2.2</t>
  </si>
  <si>
    <t>B.16.2.6</t>
  </si>
  <si>
    <t>Drugs &amp; Supplies for NIPI and National Deworming Day</t>
  </si>
  <si>
    <t>6.2.2.3</t>
  </si>
  <si>
    <t>B.16.2.6.1.a</t>
  </si>
  <si>
    <t>IFA syrups (with auto dispenser) for children (6-60months)</t>
  </si>
  <si>
    <t>6.2.2.4</t>
  </si>
  <si>
    <t>B.16.2.6.1.b</t>
  </si>
  <si>
    <t>Albendazole Tablets for children (6-60months)</t>
  </si>
  <si>
    <t>6.2.2.5</t>
  </si>
  <si>
    <t>B.16.2.6.2.a</t>
  </si>
  <si>
    <t>6.2.2.6</t>
  </si>
  <si>
    <t>B.16.2.6.2.b</t>
  </si>
  <si>
    <t>6.2.2.7</t>
  </si>
  <si>
    <t>B.16.2.2.2</t>
  </si>
  <si>
    <t>Vitamin A syrup</t>
  </si>
  <si>
    <t>6.2.2.8</t>
  </si>
  <si>
    <t>Drugs for Management of Diarrhoea &amp; ARI &amp; micronutrient malnutrition</t>
  </si>
  <si>
    <t>B.16.2.2.3</t>
  </si>
  <si>
    <t>ORS</t>
  </si>
  <si>
    <t>B.16.2.2.4</t>
  </si>
  <si>
    <t>Zinc</t>
  </si>
  <si>
    <t>Others (please specify)</t>
  </si>
  <si>
    <t>6.2.2.9</t>
  </si>
  <si>
    <t>6.2.3</t>
  </si>
  <si>
    <t>B.16.2.3</t>
  </si>
  <si>
    <t>Drugs &amp; supplies for FP</t>
  </si>
  <si>
    <t>6.2.3.1</t>
  </si>
  <si>
    <t>6.2.3.2</t>
  </si>
  <si>
    <t>6.2.4</t>
  </si>
  <si>
    <t>Drugs &amp; supplies for AH</t>
  </si>
  <si>
    <t>6.2.4.1</t>
  </si>
  <si>
    <t>B.16.2.6.3.a</t>
  </si>
  <si>
    <t>6.2.4.2</t>
  </si>
  <si>
    <t>B.16.2.6.3.b</t>
  </si>
  <si>
    <t>6.2.4.3</t>
  </si>
  <si>
    <t>B.16.2.9.1</t>
  </si>
  <si>
    <t>Sanitary napkins procurement</t>
  </si>
  <si>
    <t>6.2.4.4</t>
  </si>
  <si>
    <t>6.2.5</t>
  </si>
  <si>
    <t>Drugs &amp; supplies for RBSK</t>
  </si>
  <si>
    <t>6.2.5.1</t>
  </si>
  <si>
    <t>B.16.2.7.1</t>
  </si>
  <si>
    <t>Medicine for Mobile health team</t>
  </si>
  <si>
    <t>6.2.5.2</t>
  </si>
  <si>
    <t>6.2.6</t>
  </si>
  <si>
    <t>Drugs &amp; supplies for ASHA</t>
  </si>
  <si>
    <t>6.2.6.1</t>
  </si>
  <si>
    <t>B.16.2.10.1</t>
  </si>
  <si>
    <t>New ASHA Drug Kits</t>
  </si>
  <si>
    <t>6.2.6.2</t>
  </si>
  <si>
    <t>B.16.2.10.2</t>
  </si>
  <si>
    <t>Replenishment of ASHA drug kits</t>
  </si>
  <si>
    <t>6.2.6.3</t>
  </si>
  <si>
    <t>B.16.2.10.3.1</t>
  </si>
  <si>
    <t>New ASHA HBNC Kits</t>
  </si>
  <si>
    <t>6.2.6.4</t>
  </si>
  <si>
    <t>B.16.2.10.3.1.2</t>
  </si>
  <si>
    <t>6.2.7</t>
  </si>
  <si>
    <t>6.2.7.1</t>
  </si>
  <si>
    <t>B.16.2.11.1</t>
  </si>
  <si>
    <t>6.2.8</t>
  </si>
  <si>
    <t>B.16.2.4</t>
  </si>
  <si>
    <t>Supplies for IMEP</t>
  </si>
  <si>
    <t>6.2.8.1</t>
  </si>
  <si>
    <t>C.1.n</t>
  </si>
  <si>
    <t>Red/Black plastic bags etc.</t>
  </si>
  <si>
    <t>6.2.8.2</t>
  </si>
  <si>
    <t>Bleach/Hypochlorite solution/ Twin bucket</t>
  </si>
  <si>
    <t>6.2.8.3</t>
  </si>
  <si>
    <t>Any other supplies (please specify)</t>
  </si>
  <si>
    <t>6.2.9</t>
  </si>
  <si>
    <t>B.16.2.8</t>
  </si>
  <si>
    <t>Drugs &amp; supplies for AYUSH</t>
  </si>
  <si>
    <t>6.2.9.1</t>
  </si>
  <si>
    <t>6.2.9.2</t>
  </si>
  <si>
    <t>6.2.10</t>
  </si>
  <si>
    <t>Supplies for NOHP</t>
  </si>
  <si>
    <t>6.2.10.1</t>
  </si>
  <si>
    <t>B.16.2.11.2</t>
  </si>
  <si>
    <t>Consumables for NOHP</t>
  </si>
  <si>
    <t>6.2.11</t>
  </si>
  <si>
    <t>Supplies for NIDDCP</t>
  </si>
  <si>
    <t>6.2.11.1</t>
  </si>
  <si>
    <t>D.4</t>
  </si>
  <si>
    <t>6.2.11.2</t>
  </si>
  <si>
    <t>6.2.12</t>
  </si>
  <si>
    <t>Drugs &amp; supplies for NVBDCP</t>
  </si>
  <si>
    <t>6.2.12.1</t>
  </si>
  <si>
    <t>B.16.2.11.3.a</t>
  </si>
  <si>
    <t>Chloroquine phosphate tablets</t>
  </si>
  <si>
    <t>6.2.12.2</t>
  </si>
  <si>
    <t>B.16.2.11.3.b</t>
  </si>
  <si>
    <t>Primaquine tablets 2.5 mg</t>
  </si>
  <si>
    <t>6.2.12.3</t>
  </si>
  <si>
    <t>B.16.2.11.3.c</t>
  </si>
  <si>
    <t>Primaquine tablets 7.5 mg</t>
  </si>
  <si>
    <t>6.2.12.4</t>
  </si>
  <si>
    <t>B.16.2.11.3.d</t>
  </si>
  <si>
    <t>Quinine sulphate tablets</t>
  </si>
  <si>
    <t>6.2.12.5</t>
  </si>
  <si>
    <t>B.16.2.11.3.e</t>
  </si>
  <si>
    <t>6.2.12.6</t>
  </si>
  <si>
    <t>B.16.2.11.3.f</t>
  </si>
  <si>
    <t>DEC 100 mg tablets</t>
  </si>
  <si>
    <t>6.2.12.7</t>
  </si>
  <si>
    <t>B.16.2.11.3.g</t>
  </si>
  <si>
    <t>Albendazole 400 mg tablets</t>
  </si>
  <si>
    <t>6.2.12.8</t>
  </si>
  <si>
    <t>B.16.2.11.3.h</t>
  </si>
  <si>
    <t>Dengue NS1 antigen kit</t>
  </si>
  <si>
    <t>6.2.12.9</t>
  </si>
  <si>
    <t>B.16.2.11.3.i</t>
  </si>
  <si>
    <t>Temephos, Bti (AS) / Bti (wp) (for polluted &amp; non polluted water)</t>
  </si>
  <si>
    <t>6.2.12.10</t>
  </si>
  <si>
    <t>B.16.2.11.3.j</t>
  </si>
  <si>
    <t>Pyrethrum extract 2% for spare spray</t>
  </si>
  <si>
    <t>6.2.12.11</t>
  </si>
  <si>
    <t>B.16.2.11.3.k</t>
  </si>
  <si>
    <t>ACT ( For Non Project states)</t>
  </si>
  <si>
    <t>6.2.12.12</t>
  </si>
  <si>
    <t>B.16.2.11.3.l</t>
  </si>
  <si>
    <t>RDT Malaria – bi-valent (For Non Project states)</t>
  </si>
  <si>
    <t>6.2.12.13</t>
  </si>
  <si>
    <t>F.1.2.b</t>
  </si>
  <si>
    <t>Test kits (Nos.) to be supplied by GoI (kindly indicate numbers of ELISA based NS1 kit and Mac ELISA Kits required separately)</t>
  </si>
  <si>
    <t>6.2.12.14</t>
  </si>
  <si>
    <t>F.1.3.e</t>
  </si>
  <si>
    <t>6.2.12.15</t>
  </si>
  <si>
    <t>Payment to NIV towards JE kits at Head Quarter</t>
  </si>
  <si>
    <t>6.2.12.16</t>
  </si>
  <si>
    <t>6.2.12.17</t>
  </si>
  <si>
    <t>B.16.2.11.3.m</t>
  </si>
  <si>
    <t>Any other drugs &amp; supplies (please specify)</t>
  </si>
  <si>
    <t>6.2.13</t>
  </si>
  <si>
    <t>Drugs &amp; supplies for NLEP</t>
  </si>
  <si>
    <t>6.2.13.1</t>
  </si>
  <si>
    <t>Supportive drugs, lab. Reagents</t>
  </si>
  <si>
    <t>6.2.13.2</t>
  </si>
  <si>
    <t>6.2.14</t>
  </si>
  <si>
    <t>6.2.14.1</t>
  </si>
  <si>
    <t>H.2</t>
  </si>
  <si>
    <t>Laboratory Materials</t>
  </si>
  <si>
    <t>6.2.14.2</t>
  </si>
  <si>
    <t>H.15</t>
  </si>
  <si>
    <t>6.2.14.3</t>
  </si>
  <si>
    <t>6.2.15</t>
  </si>
  <si>
    <t>B.16.2.11.4</t>
  </si>
  <si>
    <t>Drugs and supplies for NPCB</t>
  </si>
  <si>
    <t>6.2.15.1</t>
  </si>
  <si>
    <t>B.16.2.11.4.a</t>
  </si>
  <si>
    <t>6.2.15.2</t>
  </si>
  <si>
    <t>6.2.16</t>
  </si>
  <si>
    <t>B.16.2.11.5</t>
  </si>
  <si>
    <t>Drugs and supplies for NMHP</t>
  </si>
  <si>
    <t>6.2.16.1</t>
  </si>
  <si>
    <t>6.2.16.2</t>
  </si>
  <si>
    <t>6.2.17</t>
  </si>
  <si>
    <t>B.16.2.11.6</t>
  </si>
  <si>
    <t>Drugs and supplies for NPHCE</t>
  </si>
  <si>
    <t>6.2.17.1</t>
  </si>
  <si>
    <t>6.2.17.2</t>
  </si>
  <si>
    <t>6.2.18</t>
  </si>
  <si>
    <t>Drugs and supplies for NTCP</t>
  </si>
  <si>
    <t>6.2.18.1</t>
  </si>
  <si>
    <t>B.16.2.11.7</t>
  </si>
  <si>
    <t>Procurement of medicine &amp; consumables for TCC under NTCP</t>
  </si>
  <si>
    <t>6.2.18.2</t>
  </si>
  <si>
    <t>6.2.19</t>
  </si>
  <si>
    <t>B.16.2.11.8</t>
  </si>
  <si>
    <t>Drugs &amp; Supplies for NPCDCS</t>
  </si>
  <si>
    <t>6.2.19.1</t>
  </si>
  <si>
    <t>B.16.2.11.8.a</t>
  </si>
  <si>
    <t>6.2.19.2</t>
  </si>
  <si>
    <t>B.16.2.11.8.b</t>
  </si>
  <si>
    <t>6.2.19.3</t>
  </si>
  <si>
    <t>B.16.2.11.8.c</t>
  </si>
  <si>
    <t>6.2.19.4</t>
  </si>
  <si>
    <t>B.16.2.11.8.d</t>
  </si>
  <si>
    <t>6.2.19.5</t>
  </si>
  <si>
    <t>B.16.2.11.8.e</t>
  </si>
  <si>
    <t>6.2.20</t>
  </si>
  <si>
    <t>B.16.2.5</t>
  </si>
  <si>
    <t>Free drug services</t>
  </si>
  <si>
    <t>6.2.20.1</t>
  </si>
  <si>
    <t>B.16.2.5.1</t>
  </si>
  <si>
    <t>6.2.20.2</t>
  </si>
  <si>
    <t>B.16.2.5.2</t>
  </si>
  <si>
    <t>Other Free Drug Services (State not opted 16.2.5.1)</t>
  </si>
  <si>
    <t>6.3.1</t>
  </si>
  <si>
    <t>H.16</t>
  </si>
  <si>
    <t>B.16.3</t>
  </si>
  <si>
    <t>National Free Diagnostic services</t>
  </si>
  <si>
    <t>6.4.1</t>
  </si>
  <si>
    <t>B.16.3.1</t>
  </si>
  <si>
    <t>Free Pathological services</t>
  </si>
  <si>
    <t>6.4.2</t>
  </si>
  <si>
    <t>B.16.3.2</t>
  </si>
  <si>
    <t>Free Radiological services</t>
  </si>
  <si>
    <t>6.4.3</t>
  </si>
  <si>
    <t>A.1.6.1</t>
  </si>
  <si>
    <t>Free Diagnostics for Pregnant women under JSSK</t>
  </si>
  <si>
    <t>A.2.9.1</t>
  </si>
  <si>
    <t>Free Diagnostics for Sick infants under JSSK</t>
  </si>
  <si>
    <t>F.1.3.a</t>
  </si>
  <si>
    <t>Strengthening of Sentinel sites which will include Diagnostics and Case Management, supply of kits by GoI</t>
  </si>
  <si>
    <t>Annexure for Service Delivery (Facility Based)</t>
  </si>
  <si>
    <t>1.1.1</t>
  </si>
  <si>
    <t>1.1.1.1</t>
  </si>
  <si>
    <t>A.1.5.4</t>
  </si>
  <si>
    <t>PMSMA activities at State/ District level</t>
  </si>
  <si>
    <t>1.1.1.2</t>
  </si>
  <si>
    <t>A.1.6.3</t>
  </si>
  <si>
    <t>1.1.1.3</t>
  </si>
  <si>
    <t>A.1.6.2</t>
  </si>
  <si>
    <t>Blood Transfusion for JSSK Beneficiaries</t>
  </si>
  <si>
    <t>1.1.1.4</t>
  </si>
  <si>
    <t>A.1.6.5.1</t>
  </si>
  <si>
    <t>1.1.1.5</t>
  </si>
  <si>
    <t>1.1.2</t>
  </si>
  <si>
    <t>Strengthening CH Services</t>
  </si>
  <si>
    <t>1.1.2.1</t>
  </si>
  <si>
    <t>1.1.2.2</t>
  </si>
  <si>
    <t>1.1.2.3</t>
  </si>
  <si>
    <t>1.1.3</t>
  </si>
  <si>
    <t>Strengthening FP Services</t>
  </si>
  <si>
    <t>1.1.3.1</t>
  </si>
  <si>
    <t>A.3.1</t>
  </si>
  <si>
    <t>Terminal/Limiting Methods</t>
  </si>
  <si>
    <t>A.3.1.1</t>
  </si>
  <si>
    <t>Female sterilization fixed day services</t>
  </si>
  <si>
    <t>A.3.1.2</t>
  </si>
  <si>
    <t>Male Sterilization fixed day services</t>
  </si>
  <si>
    <t>1.1.3.2</t>
  </si>
  <si>
    <t>A.3.2</t>
  </si>
  <si>
    <t>Spacing Methods</t>
  </si>
  <si>
    <t>A.3.2.1</t>
  </si>
  <si>
    <t>IUCD fixed day services</t>
  </si>
  <si>
    <t>Other activities (demand generation, strengthening service delivery etc.)</t>
  </si>
  <si>
    <t>1.1.4</t>
  </si>
  <si>
    <t>Strengthening AH Services</t>
  </si>
  <si>
    <t>1.1.4.1</t>
  </si>
  <si>
    <t>A.4.2.3</t>
  </si>
  <si>
    <t xml:space="preserve">Organising Adolescent Friendly Club  meetings at subcentre level </t>
  </si>
  <si>
    <t>1.1.4.2</t>
  </si>
  <si>
    <t>1.1.5</t>
  </si>
  <si>
    <t>Strengthening DCP Services</t>
  </si>
  <si>
    <t>1.1.5.1</t>
  </si>
  <si>
    <t>F.1.2.e</t>
  </si>
  <si>
    <t>Dengue &amp; Chikungunya: Case management</t>
  </si>
  <si>
    <t>1.1.5.2</t>
  </si>
  <si>
    <t>F.1.3.i</t>
  </si>
  <si>
    <t>Acute Encephalitis Syndrome (AES)/ Japanese Encephalitis (JE): Rehabilitation Setup for selected endemic districts</t>
  </si>
  <si>
    <t>1.1.5.3</t>
  </si>
  <si>
    <t>Lymphatic Filariasis: Morbidity Management</t>
  </si>
  <si>
    <t>1.1.5.4</t>
  </si>
  <si>
    <t>G.2.3</t>
  </si>
  <si>
    <t>Welfare  allowance to patients for RCS</t>
  </si>
  <si>
    <t>1.1.5.6</t>
  </si>
  <si>
    <t>G.2.4</t>
  </si>
  <si>
    <t>Support to govt. institutions for RCS</t>
  </si>
  <si>
    <t>1.1.6</t>
  </si>
  <si>
    <t>Strengthening NCD Services</t>
  </si>
  <si>
    <t>1.1.6.1</t>
  </si>
  <si>
    <t>1.1.6.2</t>
  </si>
  <si>
    <t>O.2.8.2</t>
  </si>
  <si>
    <t>Integration with AYUSH at District NCD Cell / Clinic</t>
  </si>
  <si>
    <t>1.1.6.3</t>
  </si>
  <si>
    <t>O.2.8.3</t>
  </si>
  <si>
    <t>Integration with AYUSH at CHC NCD Clinic</t>
  </si>
  <si>
    <t>1.1.6.4</t>
  </si>
  <si>
    <t>B.29.1.6</t>
  </si>
  <si>
    <t>Recurring Grant-in-aid (For newly selected district): Medical Management including Treatment, surgery and rehab</t>
  </si>
  <si>
    <t>1.1.6.5</t>
  </si>
  <si>
    <t>B.29.2.3</t>
  </si>
  <si>
    <t>Recurring Grant-in-aid (For ongoing selected district): Medical Management including Treatment, surgery and rehab</t>
  </si>
  <si>
    <t>1.1.6.6</t>
  </si>
  <si>
    <t>I.2.9</t>
  </si>
  <si>
    <t>1.1.7</t>
  </si>
  <si>
    <t>Strengthening Other Services</t>
  </si>
  <si>
    <t>1.1.7.1</t>
  </si>
  <si>
    <t>A.6.1</t>
  </si>
  <si>
    <t>Special plans for tribal areas</t>
  </si>
  <si>
    <t>1.1.7.2</t>
  </si>
  <si>
    <t>A.11.3</t>
  </si>
  <si>
    <t>LWE affected areas special plan</t>
  </si>
  <si>
    <t>1.1.7.3</t>
  </si>
  <si>
    <t>B14.3</t>
  </si>
  <si>
    <t>Transfusion support to patients with blood disorders  and for prevention programs</t>
  </si>
  <si>
    <t>1.1.7.4</t>
  </si>
  <si>
    <t>B18.1</t>
  </si>
  <si>
    <t>Universal Health Coverage (pilot)</t>
  </si>
  <si>
    <t>1.1.7.5</t>
  </si>
  <si>
    <t>B18.3</t>
  </si>
  <si>
    <t>Beneficiary Compensation under Janani Suraksha Yojana (JSY)</t>
  </si>
  <si>
    <t>1.2.1.1</t>
  </si>
  <si>
    <t>A.1.3.1</t>
  </si>
  <si>
    <t>Home deliveries</t>
  </si>
  <si>
    <t>1.2.1.2</t>
  </si>
  <si>
    <t>A.1.3.2</t>
  </si>
  <si>
    <t xml:space="preserve">Institutional deliveries </t>
  </si>
  <si>
    <t>A.1.3.2.a</t>
  </si>
  <si>
    <t>Rural</t>
  </si>
  <si>
    <t>A.1.3.2.b</t>
  </si>
  <si>
    <t>Urban</t>
  </si>
  <si>
    <t>A.1.3.2.c</t>
  </si>
  <si>
    <t>C-sections</t>
  </si>
  <si>
    <t>Beneficiary Compensation under FP Services</t>
  </si>
  <si>
    <t>1.2.2.1</t>
  </si>
  <si>
    <t>A.3.1.3</t>
  </si>
  <si>
    <t>Compensation for female sterilization
(Provide breakup for cases covered in public facility, private facility. 
Enhanced Compensation Scheme (if applicable) additionally provide number of PPS done. 
Female sterilization done in MPV districts may also be budgeted in this head and the break up to be reflected)</t>
  </si>
  <si>
    <t>A.3.1.4</t>
  </si>
  <si>
    <t>Compensation for male sterilization/NSV 
(Provide breakup for cases covered in public facility, private facility. 
Male sterilization done in MPV districts may also be budgeted in this head and the break up to be reflected)</t>
  </si>
  <si>
    <t>1.2.2.2</t>
  </si>
  <si>
    <t>A.3.7.3</t>
  </si>
  <si>
    <t>Injectable contraceptive incentive for beneficiaries</t>
  </si>
  <si>
    <t>1.2.2.3</t>
  </si>
  <si>
    <t>A.3.6</t>
  </si>
  <si>
    <t>Family Planning Indemnity Scheme</t>
  </si>
  <si>
    <t>1.2.3.1</t>
  </si>
  <si>
    <t>1.2.3.2</t>
  </si>
  <si>
    <t>1.3.1</t>
  </si>
  <si>
    <t>A.2.2.1</t>
  </si>
  <si>
    <t>A.2.2.2</t>
  </si>
  <si>
    <t>A.2.2.3</t>
  </si>
  <si>
    <t>A.4.1.3</t>
  </si>
  <si>
    <t>O.2.2.1.3/ O1.1.3.1</t>
  </si>
  <si>
    <t>O.2.2.1.4</t>
  </si>
  <si>
    <t>O.2.2.1.5</t>
  </si>
  <si>
    <t>O.2.2.1.7</t>
  </si>
  <si>
    <t>1.3.2</t>
  </si>
  <si>
    <t>Other operating expenses</t>
  </si>
  <si>
    <t>1.3.2.1</t>
  </si>
  <si>
    <t>B.23.1</t>
  </si>
  <si>
    <t>Power Back-up for blood bank/storage (ideally integrated power back up for facility)</t>
  </si>
  <si>
    <t>1.3.2.2</t>
  </si>
  <si>
    <t>B.29.1.3</t>
  </si>
  <si>
    <t>1.3.2.3</t>
  </si>
  <si>
    <t>B.29.2.2</t>
  </si>
  <si>
    <t>1.3.2.4</t>
  </si>
  <si>
    <t>C.1.m</t>
  </si>
  <si>
    <t>Consumables for computer including provision for internet access  for strengthening RI</t>
  </si>
  <si>
    <t>1.3.2.5</t>
  </si>
  <si>
    <t>Blood Services</t>
  </si>
  <si>
    <t>1.3.1.2</t>
  </si>
  <si>
    <t>1.3.1.3</t>
  </si>
  <si>
    <t>1.3.1.4</t>
  </si>
  <si>
    <t>1.3.1.5</t>
  </si>
  <si>
    <t>1.3.1.6</t>
  </si>
  <si>
    <t>1.3.1.8</t>
  </si>
  <si>
    <t>1.3.1.9</t>
  </si>
  <si>
    <t>1.3.1.10</t>
  </si>
  <si>
    <t>B16.1.1.2</t>
  </si>
  <si>
    <t>10.1.2</t>
  </si>
  <si>
    <t>9.5.6.2</t>
  </si>
  <si>
    <t>Abstract for NLEP</t>
  </si>
  <si>
    <t>Abstract for NMHP</t>
  </si>
  <si>
    <t>Abstract for NVBDCP</t>
  </si>
  <si>
    <t>Abstract for NPCDCS</t>
  </si>
  <si>
    <t>F.1.3.j</t>
  </si>
  <si>
    <t>ICU Establishment in Endemic District</t>
  </si>
  <si>
    <t>5.3.16</t>
  </si>
  <si>
    <t>Cardiac Care Unit (CCU/ ICU)</t>
  </si>
  <si>
    <t>9.5.23</t>
  </si>
  <si>
    <t>9.5.23.1</t>
  </si>
  <si>
    <t>9.5.23.2</t>
  </si>
  <si>
    <t>9.5.23.3</t>
  </si>
  <si>
    <t>9.5.24</t>
  </si>
  <si>
    <t>9.5.24.1</t>
  </si>
  <si>
    <t>9.5.25</t>
  </si>
  <si>
    <t>9.5.25.1</t>
  </si>
  <si>
    <t>9.5.26</t>
  </si>
  <si>
    <t>9.5.26.1</t>
  </si>
  <si>
    <t>9.5.26.2</t>
  </si>
  <si>
    <t>9.5.26.3</t>
  </si>
  <si>
    <t>9.5.27</t>
  </si>
  <si>
    <t>9.5.27.1</t>
  </si>
  <si>
    <t>9.5.27.2</t>
  </si>
  <si>
    <t>9.5.27.3</t>
  </si>
  <si>
    <t>Abstract for NPPC</t>
  </si>
  <si>
    <t>Abstract for ASHA</t>
  </si>
  <si>
    <t>Abstract for NTCP</t>
  </si>
  <si>
    <t>Abstract for NOHP</t>
  </si>
  <si>
    <t>Abstract for AYUSH</t>
  </si>
  <si>
    <t>Abstract for NIDDCP</t>
  </si>
  <si>
    <t>Abstract for IDSP</t>
  </si>
  <si>
    <t>Abstract for NPHCE</t>
  </si>
  <si>
    <t>Abstract for NPPCD</t>
  </si>
  <si>
    <t>Abstract for NPPCF</t>
  </si>
  <si>
    <t>Annexure for Service Delivery (Community Based)</t>
  </si>
  <si>
    <t>Operational Cost</t>
  </si>
  <si>
    <t>Programme Managers</t>
  </si>
  <si>
    <t xml:space="preserve">Staff for civil / infrastructure work </t>
  </si>
  <si>
    <t>Programme Assistants</t>
  </si>
  <si>
    <t>Programme Coordinators</t>
  </si>
  <si>
    <t>MIS/ IT Staff</t>
  </si>
  <si>
    <t>H.12</t>
  </si>
  <si>
    <t>Supervisors</t>
  </si>
  <si>
    <t>Accounts Staff</t>
  </si>
  <si>
    <t>Salaries for Staff on Deputation (Please specify)</t>
  </si>
  <si>
    <t>B.21.1</t>
  </si>
  <si>
    <t>Staffs under SHSRC</t>
  </si>
  <si>
    <t>Data Entry Operation</t>
  </si>
  <si>
    <t>Support Staff (Kindly Specify)</t>
  </si>
  <si>
    <t>Programme Manager</t>
  </si>
  <si>
    <t xml:space="preserve">Support Staff </t>
  </si>
  <si>
    <t>Strengthening of Block PMU &amp; Facilities</t>
  </si>
  <si>
    <t>MIS/ Staff</t>
  </si>
  <si>
    <t>Annexure for Programme Management</t>
  </si>
  <si>
    <t>Programme Management Activities</t>
  </si>
  <si>
    <t>Planning</t>
  </si>
  <si>
    <t>Health Action Plans</t>
  </si>
  <si>
    <t>State</t>
  </si>
  <si>
    <t>Block</t>
  </si>
  <si>
    <t>Prepare detailed operational plan for RBSK across districts (including cost of plan)</t>
  </si>
  <si>
    <t>Planning, including mapping and co-ordination with other departments</t>
  </si>
  <si>
    <t>For consolidation of micro plans at block level</t>
  </si>
  <si>
    <t>Preparatory phase : Development of district plan</t>
  </si>
  <si>
    <t>Meetings, Workshops and Conferences</t>
  </si>
  <si>
    <t>Provision for State &amp; District level (Meetings/ review meetings)</t>
  </si>
  <si>
    <t xml:space="preserve">Review meetings/ workshops under RKSK </t>
  </si>
  <si>
    <t xml:space="preserve">RBSK Convergence/Monitoring meetings   </t>
  </si>
  <si>
    <t>Workshops and Conferences</t>
  </si>
  <si>
    <t xml:space="preserve">Monthly Review meeting of ASHA facilitators with BCM at block level-Meeting Expenses </t>
  </si>
  <si>
    <t>State Quality Assurance Unit (Review meeting)</t>
  </si>
  <si>
    <t>District Quality Assurance Unit (Review Meeting)</t>
  </si>
  <si>
    <t>NPPCF Coordination Meeting (Newly Selected Districts and On-going Districts)</t>
  </si>
  <si>
    <t>Support for Quarterly State level review meetings of district officer</t>
  </si>
  <si>
    <t>Quarterly review meetings exclusive for RI at district level with Block MOs, CDPO, and other stake holders</t>
  </si>
  <si>
    <t>Quarterly review meetings exclusive for RI at block level</t>
  </si>
  <si>
    <t xml:space="preserve">IDSP Meetings </t>
  </si>
  <si>
    <t>State Task Force, State Technical Advisory Committee meeting, District coordination meeting (Lymphatic Filariasis)</t>
  </si>
  <si>
    <t>GFATM Review Meeting</t>
  </si>
  <si>
    <t xml:space="preserve">NLEP Review Meetings </t>
  </si>
  <si>
    <t>Medical Colleges (Any meetings)</t>
  </si>
  <si>
    <t>Monitoring, Evaluation and Supervision</t>
  </si>
  <si>
    <t>Monitoring and Award/ Recognition  for MAA programme</t>
  </si>
  <si>
    <t>Monitoring of IEC/ BCC Activities</t>
  </si>
  <si>
    <t>Monitoring , Evaluation &amp; Supervision (Malaria)</t>
  </si>
  <si>
    <t>Monitoring/supervision and Rapid response (Dengue and Chikungunya)</t>
  </si>
  <si>
    <t>Monitoring and supervision (JE/ AE)</t>
  </si>
  <si>
    <t>Monitoring &amp; Supervision (Lymphatic Filariasis)</t>
  </si>
  <si>
    <t>Monitoring &amp; Evaluation (Kala Azar)</t>
  </si>
  <si>
    <t>Supervision and Monitoring</t>
  </si>
  <si>
    <t>Miscellaneous (Monitoring)</t>
  </si>
  <si>
    <t xml:space="preserve">Mobility Support, Field Visits </t>
  </si>
  <si>
    <t>A.7.3</t>
  </si>
  <si>
    <t>Mobility Support for SPMU/State</t>
  </si>
  <si>
    <t xml:space="preserve">Mobility Support for Implementation of Clinical Establishment Act </t>
  </si>
  <si>
    <t>Mobility Costs for ASHA Resource Centre/ASHA Mentoring Group (Kindly Specify)</t>
  </si>
  <si>
    <t>Mobility support for staff for E-Vin (VCCM)</t>
  </si>
  <si>
    <t xml:space="preserve">MOBILITY: Travel Cost, POL, etc. during outbreak investigations and field visits for monitoring programme activities at SSU on need basis </t>
  </si>
  <si>
    <t>Monitoring , Evaluation &amp; Supervision &amp; Epidemic Preparedness (Only Mobility Expenses)</t>
  </si>
  <si>
    <t xml:space="preserve">Mobility support for Rapid Response Team </t>
  </si>
  <si>
    <t>GFATM Project: Travel related Cost (TRC), Mobility</t>
  </si>
  <si>
    <t>Travel expenses - Contractual Staff at State level</t>
  </si>
  <si>
    <t>Mobility Support: State Cell</t>
  </si>
  <si>
    <t>Vehicle Operation (POL)</t>
  </si>
  <si>
    <t>State Tobacco Control Cell (STCC): Mobility Support</t>
  </si>
  <si>
    <t>State NCD Cell (TA,DA, POL)</t>
  </si>
  <si>
    <t xml:space="preserve">Regional </t>
  </si>
  <si>
    <t>Zonal Entomological units</t>
  </si>
  <si>
    <t>District</t>
  </si>
  <si>
    <t>PM activities for World Population Day’ celebration (Only mobility cost): funds earmarked for district level activities</t>
  </si>
  <si>
    <t>Travel costs under NPPCF</t>
  </si>
  <si>
    <t>Mobility Support for supervision for district level officers.</t>
  </si>
  <si>
    <t xml:space="preserve">MOBILITY: Travel Cost, POL, etc. during outbreak investigations and field visits for monitoring programme activities at DSU on need basis </t>
  </si>
  <si>
    <t>Travel expenses - Contractual Staff at District level</t>
  </si>
  <si>
    <t>Mobility Support: District Cell</t>
  </si>
  <si>
    <t>Medical Colleges (All service delivery to be budgeted under B.30)</t>
  </si>
  <si>
    <t>Miscellaneous/ Travel</t>
  </si>
  <si>
    <t>Enforcement Squads</t>
  </si>
  <si>
    <t>District NCD Cell (TA,DA, POL)</t>
  </si>
  <si>
    <t>PM activities for World Population Day’ celebration (Only mobility cost): funds earmarked for block level activities</t>
  </si>
  <si>
    <t>Mobility Support - BPMU/Block</t>
  </si>
  <si>
    <t xml:space="preserve">Monthly Review meeting of ASHA facilitators with BCM at block level-cost of travel and meeting expenses </t>
  </si>
  <si>
    <t>Any Other Mobility Expenses</t>
  </si>
  <si>
    <t>Others: travel expenses  for regular staff.</t>
  </si>
  <si>
    <t>Operational Cost (Expenses on account of consumables, operating expenses, office expenses, admin expenses, contingencies, transport of samples, miscellaneous etc.)</t>
  </si>
  <si>
    <t>Information, Communication and Technology under IDSP</t>
  </si>
  <si>
    <t>State Quality Assurance Unit (Operational cost)</t>
  </si>
  <si>
    <t>Office expenses on telephone, fax, Broadband Expenses &amp; Other Miscellaneous Expenditures</t>
  </si>
  <si>
    <t xml:space="preserve">contingency support </t>
  </si>
  <si>
    <t>GFATM Project: Programme Administration Costs (PA)</t>
  </si>
  <si>
    <t>Office operation &amp; Maintenance - State Cell</t>
  </si>
  <si>
    <t>State Cell - Consumables</t>
  </si>
  <si>
    <t>H.11</t>
  </si>
  <si>
    <t>Office Operation (Miscellaneous)</t>
  </si>
  <si>
    <t>Tobacco Cessation Centre (TCC): Office Expenses</t>
  </si>
  <si>
    <t>State Tobacco Control Cell (STCC): Misc./Office Expenses</t>
  </si>
  <si>
    <t>State NCD Cell (Contingency)</t>
  </si>
  <si>
    <t>District Quality Assurance Unit (Operational cost)</t>
  </si>
  <si>
    <t>Contingencies under NPPCF</t>
  </si>
  <si>
    <t>Office operation &amp; Maintenance - District Cell</t>
  </si>
  <si>
    <t>District Cell - Consumables</t>
  </si>
  <si>
    <t>Operational expenses of the district centre : rent, telephone expenses, website etc.</t>
  </si>
  <si>
    <t>Contingency under NMHP</t>
  </si>
  <si>
    <t>District Tobacco Control Cell (DTCC): Misc./Office Expenses</t>
  </si>
  <si>
    <t>District NCD Cell (Contingency)</t>
  </si>
  <si>
    <t>SNCU Data management (excluding HR)</t>
  </si>
  <si>
    <t>Any Other Programme Management Cost</t>
  </si>
  <si>
    <t>E-Governance Initiatives</t>
  </si>
  <si>
    <t>B14.2</t>
  </si>
  <si>
    <t>QAC Misc. (IT Based application  etc.)</t>
  </si>
  <si>
    <t>B15.3.4.1</t>
  </si>
  <si>
    <t xml:space="preserve">Implementation of Hospital Management System </t>
  </si>
  <si>
    <t>Monitoring , Evaluation &amp; Supervision &amp; Epidemic Preparedness - Cost of NAMMIS</t>
  </si>
  <si>
    <t>Procurement and Maintenance of Office Equipment</t>
  </si>
  <si>
    <t>Minor repairs and AMC of IT/office equipment supplied under IDSP</t>
  </si>
  <si>
    <t>Travel related Cost (TRC) - GFATM</t>
  </si>
  <si>
    <t>Vehicle Operation (Maintenance)</t>
  </si>
  <si>
    <t>Renovation and furnishing, furniture, computers, office equipment (fax, phone, photocopier etc.)</t>
  </si>
  <si>
    <t>District NCD Cell</t>
  </si>
  <si>
    <t>PM activities under Micronutrient Supplementation Programme</t>
  </si>
  <si>
    <t>A.7.1</t>
  </si>
  <si>
    <t>A.7.2</t>
  </si>
  <si>
    <t>Audit Fees</t>
  </si>
  <si>
    <t>Concurrent Audit system</t>
  </si>
  <si>
    <t>Comprehensive Grievance Redressal Mechanism</t>
  </si>
  <si>
    <t xml:space="preserve">SHSRC: Other cost </t>
  </si>
  <si>
    <t>Management of Health Society (State to provide details of PM Staff in the remarks column separately)</t>
  </si>
  <si>
    <t>Setting up of STCC</t>
  </si>
  <si>
    <t>Integration with Ayush</t>
  </si>
  <si>
    <t xml:space="preserve">District NCD Cell </t>
  </si>
  <si>
    <t>Drugs for Safe Abortion (MMA)</t>
  </si>
  <si>
    <t>Calcium tablets</t>
  </si>
  <si>
    <t>Albendazole tablets</t>
  </si>
  <si>
    <t>H.3</t>
  </si>
  <si>
    <t>1.3.1.11</t>
  </si>
  <si>
    <t>CME (Medical Colleges)</t>
  </si>
  <si>
    <t>Public Private Support Agency (PPSA)</t>
  </si>
  <si>
    <t>Research for medical colleges</t>
  </si>
  <si>
    <t>14.2.10</t>
  </si>
  <si>
    <t>Drug transportation charges</t>
  </si>
  <si>
    <t>Procurement of sleeves and drug boxes</t>
  </si>
  <si>
    <t>TBHV</t>
  </si>
  <si>
    <t>B.30.1.7/H.12</t>
  </si>
  <si>
    <t>DAKSHTA training</t>
  </si>
  <si>
    <t>TOT for Dakshta</t>
  </si>
  <si>
    <t>Training of MOs/SNs</t>
  </si>
  <si>
    <t>9.5.1.17</t>
  </si>
  <si>
    <t>9.5.1.18</t>
  </si>
  <si>
    <t>9.5.1.19</t>
  </si>
  <si>
    <t>9.5.1.20</t>
  </si>
  <si>
    <t>6.2.7.2</t>
  </si>
  <si>
    <t xml:space="preserve">Drugs and Supplies for blood services </t>
  </si>
  <si>
    <t xml:space="preserve">Training for Haemoglobinopathies </t>
  </si>
  <si>
    <t>9.5.7.2</t>
  </si>
  <si>
    <t>9.5.7.3</t>
  </si>
  <si>
    <t>9.5.12.7</t>
  </si>
  <si>
    <t>9.5.13.2</t>
  </si>
  <si>
    <t>9.5.15.2</t>
  </si>
  <si>
    <t>9.5.21.2</t>
  </si>
  <si>
    <t>9.5.24.2</t>
  </si>
  <si>
    <t>9.5.28</t>
  </si>
  <si>
    <t>HMIS/ MCTS</t>
  </si>
  <si>
    <t>J.1.6</t>
  </si>
  <si>
    <t>Ambulatory Services</t>
  </si>
  <si>
    <t>Abstract for Pradhan Mantri National Dialysis Programme</t>
  </si>
  <si>
    <t>6.1.1.23</t>
  </si>
  <si>
    <t>6.2.21</t>
  </si>
  <si>
    <t>6.2.21.1</t>
  </si>
  <si>
    <t>6.2.21.2</t>
  </si>
  <si>
    <t>Drugs &amp; Supplies for National Dialysis Programme</t>
  </si>
  <si>
    <t xml:space="preserve">JSY Administrative Expenses </t>
  </si>
  <si>
    <t xml:space="preserve">Supply of Salt Testing Kit </t>
  </si>
  <si>
    <t>Procurement of lab equipment</t>
  </si>
  <si>
    <t>6.1.2.6</t>
  </si>
  <si>
    <t>A.10.1.10/ D.1.a/ D.1.b/ D.1.c</t>
  </si>
  <si>
    <t>11.20.1</t>
  </si>
  <si>
    <t>1.1.2.4</t>
  </si>
  <si>
    <t>Drug Warehouses</t>
  </si>
  <si>
    <t>5.2.1.14</t>
  </si>
  <si>
    <t>1.1.1.6</t>
  </si>
  <si>
    <t>MH/ HSS</t>
  </si>
  <si>
    <t>Upgradation/ Renovation of Obstetric ICUs/ HDUs (as per operational guidelines of ICUs and HDUs, 2017)</t>
  </si>
  <si>
    <t>Equipment for  Obstetric ICUs/ HDUs (as per operational guidelines of ICUs and HDUs, 2017)</t>
  </si>
  <si>
    <t>Onsite mentoring at Delivery Points/ Nursing Institutions/ Nursing Schools</t>
  </si>
  <si>
    <t>9.5.1.21</t>
  </si>
  <si>
    <t>TOT for Skill Lab</t>
  </si>
  <si>
    <t>9.5.1.22</t>
  </si>
  <si>
    <t>9.5.1.23</t>
  </si>
  <si>
    <t>Onsite Mentoring for DAKSHATA</t>
  </si>
  <si>
    <t>9.5.1.24</t>
  </si>
  <si>
    <t>9.5.1.25</t>
  </si>
  <si>
    <t>9.2.2</t>
  </si>
  <si>
    <t>1.1.7.7</t>
  </si>
  <si>
    <t>Procurement of equipment for ICT</t>
  </si>
  <si>
    <t>Tablets; software for implementation of ANMOL</t>
  </si>
  <si>
    <t>6.2.22</t>
  </si>
  <si>
    <t>6.2.22.1</t>
  </si>
  <si>
    <t>6.2.22.2</t>
  </si>
  <si>
    <t>8.4.10</t>
  </si>
  <si>
    <t>Staff for Health &amp; Wellness Centre (H&amp;WC)</t>
  </si>
  <si>
    <t>Mid-level Service Provider</t>
  </si>
  <si>
    <t>Performance incentive for Mid-level service providers</t>
  </si>
  <si>
    <t>15.9.7</t>
  </si>
  <si>
    <t>Independent Monitoring Cost for performance assessment of Health &amp; Wellness Centre (H&amp;WC)</t>
  </si>
  <si>
    <t>Psychiatric Nurse</t>
  </si>
  <si>
    <t>Nurses for Geriatric care/ palliative care</t>
  </si>
  <si>
    <t>Other Nurses</t>
  </si>
  <si>
    <t>Community Nurse</t>
  </si>
  <si>
    <t>8.1.1.12</t>
  </si>
  <si>
    <t>Radiographer/ X-ray technician</t>
  </si>
  <si>
    <t>Physician/Consultant Medicine</t>
  </si>
  <si>
    <t>B.30.3.1/B.30.2.4</t>
  </si>
  <si>
    <t>Microbiologists (MD)</t>
  </si>
  <si>
    <t>8.1.3.10</t>
  </si>
  <si>
    <t>Support Staff for Health Facilities</t>
  </si>
  <si>
    <t xml:space="preserve">General Duty Attendant/ Hospital Worker </t>
  </si>
  <si>
    <t>Cold Chain Handlers</t>
  </si>
  <si>
    <t>Multi Task Worker</t>
  </si>
  <si>
    <t>Field Worker</t>
  </si>
  <si>
    <t>Others (incl. Community Health Worker, PMW)</t>
  </si>
  <si>
    <t>Hospital Attendant</t>
  </si>
  <si>
    <t>Sanitary Attendant</t>
  </si>
  <si>
    <t>8.1.14.4</t>
  </si>
  <si>
    <t>8.1.14.5</t>
  </si>
  <si>
    <t>Public Health Manager/ Specialist</t>
  </si>
  <si>
    <t>Facility based Data Entry Operation (DEO)</t>
  </si>
  <si>
    <t>8.1.15</t>
  </si>
  <si>
    <t>8.1.15.1</t>
  </si>
  <si>
    <t>8.1.15.2</t>
  </si>
  <si>
    <t>8.1.15.3</t>
  </si>
  <si>
    <t>8.1.15.4</t>
  </si>
  <si>
    <t>8.1.15.5</t>
  </si>
  <si>
    <t>8.1.15.6</t>
  </si>
  <si>
    <t>8.1.15.7</t>
  </si>
  <si>
    <t>LaQshya Related Activities</t>
  </si>
  <si>
    <t>Procurement under LaQshya</t>
  </si>
  <si>
    <t>Trainings at Skill Lab</t>
  </si>
  <si>
    <t>Training of ANM/staff nurses in RTI/STI</t>
  </si>
  <si>
    <t>LaQshya trainings/workshops</t>
  </si>
  <si>
    <t>Other maternal health trainings (please specify)</t>
  </si>
  <si>
    <t>Equipment for nursing schools/institutions</t>
  </si>
  <si>
    <t>Any other ASHA incentives (please specify)</t>
  </si>
  <si>
    <t>12.1.4</t>
  </si>
  <si>
    <t>12.2.10</t>
  </si>
  <si>
    <t>Printing (SNCU data management)</t>
  </si>
  <si>
    <t>1.3.1.12</t>
  </si>
  <si>
    <t>12.2.11</t>
  </si>
  <si>
    <t>Printing &amp; translation cost for Family participatory care (KMC)</t>
  </si>
  <si>
    <t>IEC for family participatory care</t>
  </si>
  <si>
    <t>9.5.2.22</t>
  </si>
  <si>
    <t>TOT (MO, SN) for Family participatory care (KMC)</t>
  </si>
  <si>
    <t>Trainings for Family participatory care (KMC)</t>
  </si>
  <si>
    <t>5.3.17</t>
  </si>
  <si>
    <t>5.3.18</t>
  </si>
  <si>
    <t>New Born Stabilization training Package for Medical Officers and Staff nurses</t>
  </si>
  <si>
    <t>Review/orientation meetings for HBNC</t>
  </si>
  <si>
    <t>12.2.12</t>
  </si>
  <si>
    <t>Printing of HBNC referral cards and other formats</t>
  </si>
  <si>
    <t>4 days Trainings on IYCF for MOs, SNs, ANMs of all DPs and SCs (ToT, 4 days IYCF Trainings &amp; 1 day Sensitisation on MAA Program)</t>
  </si>
  <si>
    <t>12.1.5</t>
  </si>
  <si>
    <t>Printing cost for MAA programme</t>
  </si>
  <si>
    <t>B16.1.6.3.6</t>
  </si>
  <si>
    <t>A.5.1.4/ B16.1.6.3.5</t>
  </si>
  <si>
    <t>DEIC (including Data card internet connection for laptops and rental)</t>
  </si>
  <si>
    <t>IEC/BCC activities under Immunization</t>
  </si>
  <si>
    <t>IEC activities for Immunization</t>
  </si>
  <si>
    <t>ASHA incentive for updation of EC survey before each MPV campaign</t>
  </si>
  <si>
    <t>Other activities under Mission Parivar Vikas : Demand Generation (Saarthi, Saas Bahu Sammellan, Creating enabling environment)</t>
  </si>
  <si>
    <t xml:space="preserve">Orientation/review  of ANM/AWW (as applicable) for New schemes, FP-LMIS, new contraceptives, Post partum and post abortion Family Planning, Scheme for home delivery of contraceptives (HDC), Ensuring spacing at birth (ESB {wherever applicable}), Pregnancy Testing Kits (PTK) </t>
  </si>
  <si>
    <t>FP-LMIS training</t>
  </si>
  <si>
    <t>IEC &amp; promotional activities for World Population Day celebration</t>
  </si>
  <si>
    <t xml:space="preserve">IEC &amp; promotional activities for Vasectomy Fortnight celebration </t>
  </si>
  <si>
    <t>14.2.11</t>
  </si>
  <si>
    <t>Implementation of FP-LMIS</t>
  </si>
  <si>
    <t>FP QAC meetings (Minimum frequency of QAC meetings as per Supreme court mandate: State level - Biannual meeting; District level - Quarterly)</t>
  </si>
  <si>
    <t>FP review meetings (As per Hon'ble SC judgement)</t>
  </si>
  <si>
    <t>AFHS training of ANM/LHV/MPW</t>
  </si>
  <si>
    <t>Printing under WIFS -WIFS cards, WIFS registers, reporting  format etc</t>
  </si>
  <si>
    <t>12.4.5</t>
  </si>
  <si>
    <t>Printing for AFHC-AFHC Registers, reporting formats, AFHC cards etc</t>
  </si>
  <si>
    <t>Media Mix of Mass Media/ Mid Media including promotion of menstrual hygiene scheme</t>
  </si>
  <si>
    <t>Innovative IEC/ BCC Strategies including mobile based solutions, social media and engagement of youth</t>
  </si>
  <si>
    <t>11.5.2</t>
  </si>
  <si>
    <t>11.5.3</t>
  </si>
  <si>
    <t>11.5.4</t>
  </si>
  <si>
    <t>11.6.2</t>
  </si>
  <si>
    <t>11.6.3</t>
  </si>
  <si>
    <t>11.6.4</t>
  </si>
  <si>
    <t>11.6.5</t>
  </si>
  <si>
    <t>11.6.6</t>
  </si>
  <si>
    <t>11.7.2</t>
  </si>
  <si>
    <t>11.7.3</t>
  </si>
  <si>
    <t>11.10</t>
  </si>
  <si>
    <t>11.12.2</t>
  </si>
  <si>
    <t>11.13.1</t>
  </si>
  <si>
    <t>11.15.3</t>
  </si>
  <si>
    <t>11.15.4</t>
  </si>
  <si>
    <t>11.15.5</t>
  </si>
  <si>
    <t>11.15.6</t>
  </si>
  <si>
    <t>11.19.2</t>
  </si>
  <si>
    <t>11.20</t>
  </si>
  <si>
    <t>11.21.1</t>
  </si>
  <si>
    <t>11.22.1</t>
  </si>
  <si>
    <t>11.22.2</t>
  </si>
  <si>
    <t>11.23.1</t>
  </si>
  <si>
    <t>11.24.1</t>
  </si>
  <si>
    <t>Incentive to ASHA for follow up of SNCU discharge babies and for follow up of LBW babies</t>
  </si>
  <si>
    <t>Incentive for referral of SAM cases to NRC and for follow up of discharge SAM children from NRCs</t>
  </si>
  <si>
    <t>3.1.2.6</t>
  </si>
  <si>
    <t>IEC/BCC activities under ASHA</t>
  </si>
  <si>
    <t>12.7.3</t>
  </si>
  <si>
    <t>12.7.4</t>
  </si>
  <si>
    <t>Printing of ASHA Modules and formats</t>
  </si>
  <si>
    <t>Printing of CBAC format</t>
  </si>
  <si>
    <t>12.17.1</t>
  </si>
  <si>
    <t>12.17.2</t>
  </si>
  <si>
    <t>Committed unspent  balance (as on ______)</t>
  </si>
  <si>
    <t>Procurement for Universal Screening of NCDs</t>
  </si>
  <si>
    <t>GoI Remarks</t>
  </si>
  <si>
    <t>Training for Universal Screening for NCDs</t>
  </si>
  <si>
    <t>Drugs &amp; supplies for Universal Screening of NCDs</t>
  </si>
  <si>
    <t>6.4.4</t>
  </si>
  <si>
    <t>6.5.1</t>
  </si>
  <si>
    <t>6.5.2</t>
  </si>
  <si>
    <t>6.5.3</t>
  </si>
  <si>
    <t>IEC/BCC activities for Universal Screening of NCDs</t>
  </si>
  <si>
    <t>Printing activities for Universal Screening of NCDs - printing of cards and modules</t>
  </si>
  <si>
    <t>7.4.1</t>
  </si>
  <si>
    <t>7.4.2</t>
  </si>
  <si>
    <t>7.4.3</t>
  </si>
  <si>
    <t>7.6.1</t>
  </si>
  <si>
    <t>7.6.2</t>
  </si>
  <si>
    <t>Any other activity (please specify)</t>
  </si>
  <si>
    <t>15.1.2</t>
  </si>
  <si>
    <t>Annexure for Innovations</t>
  </si>
  <si>
    <t>HSS/NPCDCS</t>
  </si>
  <si>
    <t>1.1.3.3</t>
  </si>
  <si>
    <t>1.2.2.4</t>
  </si>
  <si>
    <t>2.2.10</t>
  </si>
  <si>
    <t>2.2.11</t>
  </si>
  <si>
    <t>3.1.2.7</t>
  </si>
  <si>
    <t>3.1.3.5</t>
  </si>
  <si>
    <t>3.2.4</t>
  </si>
  <si>
    <t>3.2.4.1</t>
  </si>
  <si>
    <t>3.2.4.2</t>
  </si>
  <si>
    <t>3.2.4.3</t>
  </si>
  <si>
    <t>3.2.4.4</t>
  </si>
  <si>
    <t>3.3.4</t>
  </si>
  <si>
    <t>6.1.1.24</t>
  </si>
  <si>
    <t>Drugs &amp; supplies for Blood services &amp; disorders</t>
  </si>
  <si>
    <t>Drugs &amp; Supplies for Health &amp; Wellness Centres (H&amp;WC)</t>
  </si>
  <si>
    <t>6.4.5</t>
  </si>
  <si>
    <t>9.1.7</t>
  </si>
  <si>
    <t>9.2.3</t>
  </si>
  <si>
    <t>9.5.2.23</t>
  </si>
  <si>
    <t>Other Child Health trainings (please specify)</t>
  </si>
  <si>
    <t>9.5.3.27</t>
  </si>
  <si>
    <t>Other Family Planning trainings (please specify)</t>
  </si>
  <si>
    <t>9.5.4.5</t>
  </si>
  <si>
    <t>Other Adolescent Health trainings (please specify)</t>
  </si>
  <si>
    <t>RBSK Trainings</t>
  </si>
  <si>
    <t>9.5.5.5</t>
  </si>
  <si>
    <t>Other RBSK trainings (please specify)</t>
  </si>
  <si>
    <t>Trainings for Blood Services &amp; disorders</t>
  </si>
  <si>
    <t>9.5.6.3</t>
  </si>
  <si>
    <t>9.5.7.4</t>
  </si>
  <si>
    <t>9.5.8.2</t>
  </si>
  <si>
    <t>9.5.9.2</t>
  </si>
  <si>
    <t>9.5.10.2</t>
  </si>
  <si>
    <t>9.5.11.2</t>
  </si>
  <si>
    <t>9.5.11.3</t>
  </si>
  <si>
    <t>9.5.11.4</t>
  </si>
  <si>
    <t>9.5.11.5</t>
  </si>
  <si>
    <t>9.5.11.6</t>
  </si>
  <si>
    <t>9.5.11.7</t>
  </si>
  <si>
    <t>9.5.11.8</t>
  </si>
  <si>
    <t>9.5.11.9</t>
  </si>
  <si>
    <t>9.5.14.2</t>
  </si>
  <si>
    <t>9.5.14.3</t>
  </si>
  <si>
    <t>9.5.16.2</t>
  </si>
  <si>
    <t>9.5.17.2</t>
  </si>
  <si>
    <t>9.5.17.3</t>
  </si>
  <si>
    <t>9.5.17.4</t>
  </si>
  <si>
    <t>9.5.19.3</t>
  </si>
  <si>
    <t>9.5.20.3</t>
  </si>
  <si>
    <t>9.5.22.3</t>
  </si>
  <si>
    <t>ASHA facilitator/ARC trainings</t>
  </si>
  <si>
    <t>9.5.23.4</t>
  </si>
  <si>
    <t>9.5.25.2</t>
  </si>
  <si>
    <t>9.5.25.3</t>
  </si>
  <si>
    <t>9.5.25.4</t>
  </si>
  <si>
    <t>9.5.26.4</t>
  </si>
  <si>
    <t>9.5.27.4</t>
  </si>
  <si>
    <t>9.5.28.1</t>
  </si>
  <si>
    <t>9.5.28.2</t>
  </si>
  <si>
    <t>9.5.28.3</t>
  </si>
  <si>
    <t>9.5.28.4</t>
  </si>
  <si>
    <t>9.5.28.5</t>
  </si>
  <si>
    <t>9.5.28.6</t>
  </si>
  <si>
    <t>Supply Chain Management cost under GFATM</t>
  </si>
  <si>
    <t>10.1.3</t>
  </si>
  <si>
    <t>10.2.12</t>
  </si>
  <si>
    <t>10.2.13</t>
  </si>
  <si>
    <t>Research at State NCD Cell</t>
  </si>
  <si>
    <t>Research at Institutes</t>
  </si>
  <si>
    <t>10.2.14</t>
  </si>
  <si>
    <t>Strengthening surveillance under NVBDCP</t>
  </si>
  <si>
    <t>NVBDCP - Dengue/Chikungunya</t>
  </si>
  <si>
    <t>10.3.1.4</t>
  </si>
  <si>
    <t>10.3.1.5</t>
  </si>
  <si>
    <t>10.3.1.6</t>
  </si>
  <si>
    <t>Surveillance under NPCDCS</t>
  </si>
  <si>
    <t>At State NCD Cell</t>
  </si>
  <si>
    <t>At Institutes</t>
  </si>
  <si>
    <t>10.3.2.1</t>
  </si>
  <si>
    <t>10.3.2.2</t>
  </si>
  <si>
    <t>10.3.2.3</t>
  </si>
  <si>
    <t>Any Other surveillance activities (please specify)</t>
  </si>
  <si>
    <t>10.4.7</t>
  </si>
  <si>
    <t>IEC/BCC activities under AH</t>
  </si>
  <si>
    <t>11.9.2</t>
  </si>
  <si>
    <t>IEC/BCC activities under Blood services &amp; disorders</t>
  </si>
  <si>
    <t>11.10.2</t>
  </si>
  <si>
    <t>11.11.2</t>
  </si>
  <si>
    <t>11.12.3</t>
  </si>
  <si>
    <t>11.13.2</t>
  </si>
  <si>
    <t>11.14.2</t>
  </si>
  <si>
    <t>11.15.7</t>
  </si>
  <si>
    <t>11.16.2</t>
  </si>
  <si>
    <t>11.17.1</t>
  </si>
  <si>
    <t>11.17.2</t>
  </si>
  <si>
    <t>11.18.2</t>
  </si>
  <si>
    <t>11.19.3</t>
  </si>
  <si>
    <t>11.20.2</t>
  </si>
  <si>
    <t>11.22.3</t>
  </si>
  <si>
    <t>11.23.2</t>
  </si>
  <si>
    <t>11.24.2</t>
  </si>
  <si>
    <t>11.24.3</t>
  </si>
  <si>
    <t xml:space="preserve">SBCC/IEC/Advocacy campaigns </t>
  </si>
  <si>
    <t>Printing activities under Blood services &amp; disorders</t>
  </si>
  <si>
    <t>13.1.4</t>
  </si>
  <si>
    <t>13.2.6</t>
  </si>
  <si>
    <t>Human Resources for Drug warehouses</t>
  </si>
  <si>
    <t>Other activities including operating cost etc. (please specify)</t>
  </si>
  <si>
    <t>Logistics and supply chain</t>
  </si>
  <si>
    <t>Supply chain logistic system for drug warehouses</t>
  </si>
  <si>
    <t>14.2.12</t>
  </si>
  <si>
    <t>14.2.13</t>
  </si>
  <si>
    <t>FP/NHSRC-CP</t>
  </si>
  <si>
    <t>CH/NHSRC-CP</t>
  </si>
  <si>
    <t>AH/NHSRC-CP</t>
  </si>
  <si>
    <t>NHSRC-CP</t>
  </si>
  <si>
    <t>RI/NHSRC-CP</t>
  </si>
  <si>
    <t>NIDDCP/NHSRC-CP</t>
  </si>
  <si>
    <t>NLEP/NHSRC-CP</t>
  </si>
  <si>
    <t>1.1.3.1.1</t>
  </si>
  <si>
    <t>1.1.3.1.2</t>
  </si>
  <si>
    <t>1.1.3.2.1</t>
  </si>
  <si>
    <t>Beneficiary Compensation/ Allowances</t>
  </si>
  <si>
    <t>CHC NCD Clinic: Mobility , Miscellaneous &amp; Contingencies</t>
  </si>
  <si>
    <t>Sub-Centre level: Mobility , Miscellaneous &amp; Contingencies</t>
  </si>
  <si>
    <t>Annexure for IT Initiatives - Service Delivery</t>
  </si>
  <si>
    <t>1.3.2.6</t>
  </si>
  <si>
    <t>1.3.1.13</t>
  </si>
  <si>
    <t>2.3.1.1</t>
  </si>
  <si>
    <t>2.3.1.2</t>
  </si>
  <si>
    <t>Other Mobile Units</t>
  </si>
  <si>
    <t>2.1.3.1</t>
  </si>
  <si>
    <t>2.1.3.2</t>
  </si>
  <si>
    <t>2.1.3.3</t>
  </si>
  <si>
    <t>Mobility support  for RBSK Mobile health team</t>
  </si>
  <si>
    <t>Support for RBSK: CUG connection per team and rental</t>
  </si>
  <si>
    <t>National Mobile Medical Vans (smaller vehicles) and specialised Mobile Medical Units: Recurring grants for POL and others</t>
  </si>
  <si>
    <t>Kala-azar Case search/ Camp Approach: Mobility/POL/supervision</t>
  </si>
  <si>
    <t xml:space="preserve">Tribal RCH: Outreach activities </t>
  </si>
  <si>
    <t>Outreach activities for RMNCH+A services</t>
  </si>
  <si>
    <t>2.3.1.3</t>
  </si>
  <si>
    <t>2.3.1.4</t>
  </si>
  <si>
    <t>2.3.1.5</t>
  </si>
  <si>
    <t>2.3.1.6</t>
  </si>
  <si>
    <t>2.3.1.7</t>
  </si>
  <si>
    <t>2.3.1.8</t>
  </si>
  <si>
    <t>2.3.1.9</t>
  </si>
  <si>
    <t>2.3.1.10</t>
  </si>
  <si>
    <t>2.3.2.1</t>
  </si>
  <si>
    <t>2.3.2.2</t>
  </si>
  <si>
    <t>2.3.2.3</t>
  </si>
  <si>
    <t>2.3.2.4</t>
  </si>
  <si>
    <t>2.3.2.5</t>
  </si>
  <si>
    <t>DPMR: At camps</t>
  </si>
  <si>
    <t>Outreach activities for controlling DCPs &amp; NCDs</t>
  </si>
  <si>
    <t>Tobacco Cessation Centre (TCC): Weekly FGD with the tobacco users</t>
  </si>
  <si>
    <t>DMHP: Targeted interventions at community level Activities &amp; interventions targeted at schools, colleges, workplaces, out of school adolescents, urban slums and suicide prevention.</t>
  </si>
  <si>
    <t>Outreach activities at School level</t>
  </si>
  <si>
    <t>2.3.3.1</t>
  </si>
  <si>
    <t>2.3.3.2</t>
  </si>
  <si>
    <t>2.3.3.3</t>
  </si>
  <si>
    <t>2.3.3.4</t>
  </si>
  <si>
    <t>2.3.3.4.1</t>
  </si>
  <si>
    <t>2.3.3.4.2</t>
  </si>
  <si>
    <t>2.3.3.4.3</t>
  </si>
  <si>
    <t>2.3.3.4.4</t>
  </si>
  <si>
    <t>2.3.3.4.5</t>
  </si>
  <si>
    <t>B8</t>
  </si>
  <si>
    <t>Untied Fund</t>
  </si>
  <si>
    <t>4.1.1</t>
  </si>
  <si>
    <t>4.1.2</t>
  </si>
  <si>
    <t>4.1.3</t>
  </si>
  <si>
    <t>4.1.4</t>
  </si>
  <si>
    <t>4.1.5</t>
  </si>
  <si>
    <t>4.1.6</t>
  </si>
  <si>
    <t>4.1.7</t>
  </si>
  <si>
    <t>Incentive for FP Services</t>
  </si>
  <si>
    <t>Incentive for AH/ RKSK Services</t>
  </si>
  <si>
    <t>3.1.1.1.1</t>
  </si>
  <si>
    <t>3.1.1.1.2</t>
  </si>
  <si>
    <t>3.1.1.1.3</t>
  </si>
  <si>
    <t>3.1.1.1.4</t>
  </si>
  <si>
    <t>3.1.1.1.5</t>
  </si>
  <si>
    <t>3.1.1.1.6</t>
  </si>
  <si>
    <t>3.1.1.1.7</t>
  </si>
  <si>
    <t>3.1.1.1.8</t>
  </si>
  <si>
    <t>3.1.1.1.9</t>
  </si>
  <si>
    <t>3.1.1.1.10</t>
  </si>
  <si>
    <t>3.1.1.1.11</t>
  </si>
  <si>
    <t>3.1.1.1.12</t>
  </si>
  <si>
    <t>3.1.1.2.1</t>
  </si>
  <si>
    <t>3.1.1.2.2</t>
  </si>
  <si>
    <t>3.1.1.2.3</t>
  </si>
  <si>
    <t>3.1.1.2.4</t>
  </si>
  <si>
    <t>3.1.1.2.5</t>
  </si>
  <si>
    <t>3.1.1.2.6</t>
  </si>
  <si>
    <t>3.1.1.2.7</t>
  </si>
  <si>
    <t>3.1.1.3.1</t>
  </si>
  <si>
    <t>3.1.1.3.2</t>
  </si>
  <si>
    <t>3.1.1.3.3</t>
  </si>
  <si>
    <t>3.1.1.4.1</t>
  </si>
  <si>
    <t>3.1.1.4.2</t>
  </si>
  <si>
    <t>3.1.1.4.3</t>
  </si>
  <si>
    <t>3.1.1.4.4</t>
  </si>
  <si>
    <t>3.1.1.4.5</t>
  </si>
  <si>
    <t>3.1.1.4.6</t>
  </si>
  <si>
    <t>3.1.1.4.7</t>
  </si>
  <si>
    <t>3.1.1.5.1</t>
  </si>
  <si>
    <t>3.1.1.5.2</t>
  </si>
  <si>
    <t>District counselling centre (DCC) and crisis helpline outsourced to psychology department/ NGO per year</t>
  </si>
  <si>
    <t>Preventive strategies for Malaria</t>
  </si>
  <si>
    <t xml:space="preserve">Operational cost for Spray Wages </t>
  </si>
  <si>
    <t>Operational cost for Impregnation  of Bed nets-  for NE states</t>
  </si>
  <si>
    <t>Preventive strategies for vector born diseases</t>
  </si>
  <si>
    <t>Dengue &amp; Chikungunya: Vector Control,  environmental management &amp; fogging machine</t>
  </si>
  <si>
    <t>Acute Encephalitis Syndrome (AES)/ Japanese Encephalitis (JE): Operational costs for malathion  fogging</t>
  </si>
  <si>
    <t>Kala-azar: Operational cost for spray including spray wages</t>
  </si>
  <si>
    <t>Kala-azar: Training for spraying</t>
  </si>
  <si>
    <t>3.2.5.1.1</t>
  </si>
  <si>
    <t>3.2.5.1.2</t>
  </si>
  <si>
    <t>3.2.5.1.3</t>
  </si>
  <si>
    <t>3.2.5.1.4</t>
  </si>
  <si>
    <t>3.2.5.1.5</t>
  </si>
  <si>
    <t>3.2.5.2.1</t>
  </si>
  <si>
    <t>3.2.5.2.2</t>
  </si>
  <si>
    <t>3.2.5.2.3</t>
  </si>
  <si>
    <t>3.2.5.2.4</t>
  </si>
  <si>
    <t>Innovations (if any)</t>
  </si>
  <si>
    <t>B14</t>
  </si>
  <si>
    <t>IT Initiatives for strengthening Service Delivery</t>
  </si>
  <si>
    <t>B4.1.1.1</t>
  </si>
  <si>
    <t>B4.1.2.1</t>
  </si>
  <si>
    <t>B4.1.3.1</t>
  </si>
  <si>
    <t>B4.1.4.1</t>
  </si>
  <si>
    <t>B4.1.5.2</t>
  </si>
  <si>
    <t>B4.1.6.1</t>
  </si>
  <si>
    <t>B.5.6.3</t>
  </si>
  <si>
    <t>B4.1.1.2</t>
  </si>
  <si>
    <t>B4.1.2.2</t>
  </si>
  <si>
    <t>B4.1.3.2</t>
  </si>
  <si>
    <t>B4.1.4.2</t>
  </si>
  <si>
    <t>B4.1.6.2</t>
  </si>
  <si>
    <t>B.5.10.1.2</t>
  </si>
  <si>
    <t>B4.1.1/ B4.1.2/ B4.1.3/ B4.1.4/ B4.1.6/ B.5.10</t>
  </si>
  <si>
    <t>B.5.10.1.1</t>
  </si>
  <si>
    <t>B4.1.1.3</t>
  </si>
  <si>
    <t>B4.1.2.3</t>
  </si>
  <si>
    <t>B4.1.3.3</t>
  </si>
  <si>
    <t>B4.1.4.3</t>
  </si>
  <si>
    <t>B4.1.5.3</t>
  </si>
  <si>
    <t>B4.1.6.3</t>
  </si>
  <si>
    <t>B.5.10.1.3</t>
  </si>
  <si>
    <t>B4.1.1/ B4.1.2/ B4.1.3/ B4.1.4/ B4.1.5/ B4.1.6/ B.5.10</t>
  </si>
  <si>
    <t>B4.1.1.4</t>
  </si>
  <si>
    <t>B4.1.2.4</t>
  </si>
  <si>
    <t>B4.1.3.4</t>
  </si>
  <si>
    <t>B4.1.4.4</t>
  </si>
  <si>
    <t>B4.1.6.4</t>
  </si>
  <si>
    <t>B.5.10.1.4</t>
  </si>
  <si>
    <t>Training Institutions (incl. hostels/residential facilities)</t>
  </si>
  <si>
    <t>B5.1/ B5.2/ B5.3/ B5.5/ B5.10/ A.9.10.2/ B.5.11/ B.5.12/B.5.13/ B4.1.5/ A.4.1.2/ A.2.5</t>
  </si>
  <si>
    <t>B5.1.1</t>
  </si>
  <si>
    <t>B5.2.1</t>
  </si>
  <si>
    <t>B5.3.1</t>
  </si>
  <si>
    <t>B.5.6.1</t>
  </si>
  <si>
    <t>B5.11.1</t>
  </si>
  <si>
    <t>B5.12.1</t>
  </si>
  <si>
    <t>B5.13.1</t>
  </si>
  <si>
    <t>B4.1.5.1</t>
  </si>
  <si>
    <t>B5.10.2/ B5.10.3</t>
  </si>
  <si>
    <t>B5.1/ B5.2/ B5.3/ B5.6/ B5.5/ B5.10/ B.5.11/ B.5.12/ B.5.13</t>
  </si>
  <si>
    <t>B5.1.2</t>
  </si>
  <si>
    <t>B5.2.2</t>
  </si>
  <si>
    <t>B5.3.2</t>
  </si>
  <si>
    <t>B.5.6.2</t>
  </si>
  <si>
    <t>B5.10.4</t>
  </si>
  <si>
    <t>B.5.11.2</t>
  </si>
  <si>
    <t>B.5.12.2</t>
  </si>
  <si>
    <t>B.5.13.2</t>
  </si>
  <si>
    <t>Assistance to State for Capacity building (Burns &amp; injury): Civil Work</t>
  </si>
  <si>
    <t>Recurring grant for collection of eye balls by eye banks and eye donation centres</t>
  </si>
  <si>
    <t>I.1.5</t>
  </si>
  <si>
    <t>6.1.1.25</t>
  </si>
  <si>
    <t>Furniture for paediatric OPD and ward</t>
  </si>
  <si>
    <t>Non-recurring GIA: Machinery &amp; Equipment for DH</t>
  </si>
  <si>
    <t>Non-recurring GIA: Machinery &amp; Equipment for CHC</t>
  </si>
  <si>
    <t>Non-recurring GIA: Machinery &amp; Equipment for PHC</t>
  </si>
  <si>
    <t>Non recurring: Equipment for Cancer  Care</t>
  </si>
  <si>
    <t>B16.1.7/ A.9.1.2.2</t>
  </si>
  <si>
    <t>B16.1.7/ A.9.10.1</t>
  </si>
  <si>
    <t>B.18.2</t>
  </si>
  <si>
    <t>Miscellaneous including Travel/ POL/ Stationary/ Communications/ Drugs etc.</t>
  </si>
  <si>
    <t>Maintenance of Ophthalmic Equipment</t>
  </si>
  <si>
    <t>B.16.2.3.1</t>
  </si>
  <si>
    <t>6.2.19.6</t>
  </si>
  <si>
    <t>HSS/ AYUSH</t>
  </si>
  <si>
    <t>9.5.4.14</t>
  </si>
  <si>
    <t>HSS/AYUSH</t>
  </si>
  <si>
    <t>HMIS/MCTS Trainings</t>
  </si>
  <si>
    <t>9.5.19.4</t>
  </si>
  <si>
    <t>Reviews, Research, Surveys and Surveillance</t>
  </si>
  <si>
    <t>11.22.4</t>
  </si>
  <si>
    <t>11.24.3.1</t>
  </si>
  <si>
    <t>11.24.3.2</t>
  </si>
  <si>
    <t>11.24.3.3</t>
  </si>
  <si>
    <t>11.24.3.4</t>
  </si>
  <si>
    <t>12.7.5</t>
  </si>
  <si>
    <t>ASHA communication kit</t>
  </si>
  <si>
    <t>Printing activities for H&amp;WC</t>
  </si>
  <si>
    <t>12.15.4</t>
  </si>
  <si>
    <t>14.1.1.1</t>
  </si>
  <si>
    <t>14.1.1.2</t>
  </si>
  <si>
    <t>14.1.1.3</t>
  </si>
  <si>
    <t>Other IT Initiatives for Service Delivery (please specify)</t>
  </si>
  <si>
    <t>Annexure for Untied Fund</t>
  </si>
  <si>
    <t>8.1.11.3</t>
  </si>
  <si>
    <t>8.1.11.4</t>
  </si>
  <si>
    <t>8.1.11.5</t>
  </si>
  <si>
    <t>8.1.13.6</t>
  </si>
  <si>
    <t>8.1.13.7</t>
  </si>
  <si>
    <t>8.1.13.8</t>
  </si>
  <si>
    <t>8.1.13.9</t>
  </si>
  <si>
    <t>8.1.13.10</t>
  </si>
  <si>
    <t>8.1.13.11</t>
  </si>
  <si>
    <t>8.1.13.12</t>
  </si>
  <si>
    <t>8.1.13.13</t>
  </si>
  <si>
    <t>8.1.13.14</t>
  </si>
  <si>
    <t>8.1.13.15</t>
  </si>
  <si>
    <t>8.1.13.16</t>
  </si>
  <si>
    <t>8.1.13.17</t>
  </si>
  <si>
    <t>8.1.13.18</t>
  </si>
  <si>
    <t>8.1.13.19</t>
  </si>
  <si>
    <t>8.1.13.20</t>
  </si>
  <si>
    <t>8.1.13.21</t>
  </si>
  <si>
    <t>8.1.13.22</t>
  </si>
  <si>
    <t>8.1.15.8</t>
  </si>
  <si>
    <t>8.1.15.9</t>
  </si>
  <si>
    <t>8.1.15.10</t>
  </si>
  <si>
    <t>8.1.15.11</t>
  </si>
  <si>
    <t>8.1.15.12</t>
  </si>
  <si>
    <t>8.1.15.13</t>
  </si>
  <si>
    <t>8.1.16</t>
  </si>
  <si>
    <t>8.1.16.1</t>
  </si>
  <si>
    <t>8.1.16.2</t>
  </si>
  <si>
    <t>8.1.16.3</t>
  </si>
  <si>
    <t>8.1.16.4</t>
  </si>
  <si>
    <t>8.1.16.5</t>
  </si>
  <si>
    <t>8.1.16.6</t>
  </si>
  <si>
    <t>8.1.16.7</t>
  </si>
  <si>
    <t>Training on Finance</t>
  </si>
  <si>
    <t>Training on HR</t>
  </si>
  <si>
    <t>Training of District trainers</t>
  </si>
  <si>
    <t>PC&amp;PNDT Activities</t>
  </si>
  <si>
    <t>Mobility support</t>
  </si>
  <si>
    <t>HMIS &amp; MCTS</t>
  </si>
  <si>
    <t>B15.3.1.1/ B15.3.1.2</t>
  </si>
  <si>
    <t>B15.3.1.5.1/ B15.3.1.5.2</t>
  </si>
  <si>
    <t xml:space="preserve">Mobility Support for HMIS &amp; MCTS </t>
  </si>
  <si>
    <t>B15.3.2.5/ B15.3.2.6/ B15.3.2.9/ B15.3.2.12/ B15.3.2.13</t>
  </si>
  <si>
    <t>Operational cost for HMIS &amp; MCTS (incl. Internet connectivity; AMC of Laptop, printers, computers, UPS; Office expenditure; Mobile reimbursement)</t>
  </si>
  <si>
    <t>B15.3.2.3/ B15.3.2.4/ B15.3.2.7/ B15.3.2.8</t>
  </si>
  <si>
    <t>Procurement of Computer/Printer/UPS/ Laptop/ VSAT</t>
  </si>
  <si>
    <t>B15.3.2.10/ B15.3.2.11</t>
  </si>
  <si>
    <t>Call Centre (Capex/ Opex)</t>
  </si>
  <si>
    <t>Human Resource</t>
  </si>
  <si>
    <t xml:space="preserve">Strengthening of State/ Regional PMU </t>
  </si>
  <si>
    <t>State level HR under RMNCH+A &amp; HSS</t>
  </si>
  <si>
    <t>Consultants/ Programme Officers</t>
  </si>
  <si>
    <t>State level HR under DCP</t>
  </si>
  <si>
    <t>State level HR under NCD</t>
  </si>
  <si>
    <t>Strengthening of District PMU</t>
  </si>
  <si>
    <t>District level HR under RMNCH+A &amp; HSS</t>
  </si>
  <si>
    <t>District level HR under DCP</t>
  </si>
  <si>
    <t>District level HR under NCD</t>
  </si>
  <si>
    <t>Block level HR under RMNCH+A &amp; HSS</t>
  </si>
  <si>
    <t xml:space="preserve">Consultants/ Programme Officers </t>
  </si>
  <si>
    <t>Block level HR under DCP</t>
  </si>
  <si>
    <t>Block level HR under NCD</t>
  </si>
  <si>
    <t>Monitoring and Data Management</t>
  </si>
  <si>
    <t>Abstract for Blood services &amp; Disorders</t>
  </si>
  <si>
    <t>HMIS-MCTS</t>
  </si>
  <si>
    <t>Blood cell/ HSS</t>
  </si>
  <si>
    <t>P.10.1</t>
  </si>
  <si>
    <t>Support for control of Communicable Disease</t>
  </si>
  <si>
    <t xml:space="preserve">Support for control of Non Communicable Disease Control </t>
  </si>
  <si>
    <t>JSY</t>
  </si>
  <si>
    <t>Family Planning</t>
  </si>
  <si>
    <t>P.4.2.3.2</t>
  </si>
  <si>
    <t>Operational Expenses of UPHCs (excluding rent)</t>
  </si>
  <si>
    <t>P.4.2.3.3</t>
  </si>
  <si>
    <t>Operational Expenses of Maternity Homes(excluding rent)</t>
  </si>
  <si>
    <t>P.4.2.3.4</t>
  </si>
  <si>
    <t>Operational Expenses of Health Kiosks</t>
  </si>
  <si>
    <t>P.4.5.4</t>
  </si>
  <si>
    <t>Mobile Medical Units (MMU) / Mobile Health Units (MHU)</t>
  </si>
  <si>
    <t>P.4.5.3</t>
  </si>
  <si>
    <t>Mobility support for ANM/LHV</t>
  </si>
  <si>
    <t>P.4.5.1</t>
  </si>
  <si>
    <t xml:space="preserve">UHNDs </t>
  </si>
  <si>
    <t>P.4.5.2</t>
  </si>
  <si>
    <t>P.6.1.2</t>
  </si>
  <si>
    <t>ASHA Incentives</t>
  </si>
  <si>
    <t>P.6.1.2.1</t>
  </si>
  <si>
    <t xml:space="preserve">Incentives for routine activities </t>
  </si>
  <si>
    <t>P.6.1.2.2</t>
  </si>
  <si>
    <t>Other Incentive to ASHAs (please specify)</t>
  </si>
  <si>
    <t>P.6.1.1</t>
  </si>
  <si>
    <t>ASHA Trainings</t>
  </si>
  <si>
    <t>P.6.1.5</t>
  </si>
  <si>
    <t>P.6.2</t>
  </si>
  <si>
    <t>MAS/community groups</t>
  </si>
  <si>
    <t>P.6.2.2</t>
  </si>
  <si>
    <t>Training of MAS</t>
  </si>
  <si>
    <t>P.6.3</t>
  </si>
  <si>
    <t>Support to organization engaged for community processes</t>
  </si>
  <si>
    <t>Any Other</t>
  </si>
  <si>
    <t>Untied grants</t>
  </si>
  <si>
    <t>P.4.3.1</t>
  </si>
  <si>
    <t xml:space="preserve">Untied grants to UPHCs </t>
  </si>
  <si>
    <t>P.4.3.1.a</t>
  </si>
  <si>
    <t>Government Building</t>
  </si>
  <si>
    <t>P.4.3.1.b</t>
  </si>
  <si>
    <t>Rented Building</t>
  </si>
  <si>
    <t>P.4.3.2</t>
  </si>
  <si>
    <t>Untied grants to UCHCs</t>
  </si>
  <si>
    <t>P.4.3.3</t>
  </si>
  <si>
    <t>Untied grants to Maternity Homes</t>
  </si>
  <si>
    <t>P.6.2.1</t>
  </si>
  <si>
    <t>Untied grants to MAS</t>
  </si>
  <si>
    <t>P.4.2.2.1</t>
  </si>
  <si>
    <t>UPHC</t>
  </si>
  <si>
    <t>P.4.2.2.2</t>
  </si>
  <si>
    <t>UCHC</t>
  </si>
  <si>
    <t>Maternity Homes</t>
  </si>
  <si>
    <t>P.4.2.3.1</t>
  </si>
  <si>
    <t>Rent for UPHC</t>
  </si>
  <si>
    <t>P.4.2.1.1</t>
  </si>
  <si>
    <t>P.4.2.1.2</t>
  </si>
  <si>
    <t>P.4.2.1.3</t>
  </si>
  <si>
    <t>Health Kiosk (for establishment)</t>
  </si>
  <si>
    <t>P.4.4.2.1</t>
  </si>
  <si>
    <t>Equipment for UPHC</t>
  </si>
  <si>
    <t>P.4.4.2.2</t>
  </si>
  <si>
    <t>Equipment for UCHC</t>
  </si>
  <si>
    <t>P.4.4.2.3</t>
  </si>
  <si>
    <t>Equipment for Maternity Homes</t>
  </si>
  <si>
    <t>P.4.4.1.1</t>
  </si>
  <si>
    <t>P.6.1.3</t>
  </si>
  <si>
    <t xml:space="preserve">ASHA Drug kits </t>
  </si>
  <si>
    <t>P.6.1.4</t>
  </si>
  <si>
    <t>P.4.4.1.4</t>
  </si>
  <si>
    <t>P.4.1.1</t>
  </si>
  <si>
    <t>ANMs/LHVs</t>
  </si>
  <si>
    <t>P.4.1.1.1</t>
  </si>
  <si>
    <t>P.4.1.1.2</t>
  </si>
  <si>
    <t>P.4.1.1.3</t>
  </si>
  <si>
    <t>P.4.1.2</t>
  </si>
  <si>
    <t>Staff nurse</t>
  </si>
  <si>
    <t>P.4.1.2.1</t>
  </si>
  <si>
    <t>P.4.1.2.2</t>
  </si>
  <si>
    <t>P.4.1.2.3</t>
  </si>
  <si>
    <t>P.4.1.6</t>
  </si>
  <si>
    <t>Lab Technicians</t>
  </si>
  <si>
    <t>P.4.1.6.1</t>
  </si>
  <si>
    <t>P.4.1.6.2</t>
  </si>
  <si>
    <t>P.4.1.6.3</t>
  </si>
  <si>
    <t>P.4.1.7</t>
  </si>
  <si>
    <t>P.4.1.7.1</t>
  </si>
  <si>
    <t>P.4.1.7.2</t>
  </si>
  <si>
    <t>P.4.1.7.3</t>
  </si>
  <si>
    <t>P.4.1.8</t>
  </si>
  <si>
    <t>Other staff</t>
  </si>
  <si>
    <t>P.4.1.8.1</t>
  </si>
  <si>
    <t>X-ray technicians</t>
  </si>
  <si>
    <t>P.4.1.9.2</t>
  </si>
  <si>
    <t>P.4.1.8.3</t>
  </si>
  <si>
    <t>P.4.1.5</t>
  </si>
  <si>
    <t>Specialists (at UCHC)</t>
  </si>
  <si>
    <t>P.4.1.5.1</t>
  </si>
  <si>
    <t>Obstetrician / Gynaecologist</t>
  </si>
  <si>
    <t>P.4.1.5.2</t>
  </si>
  <si>
    <t>P.4.1.5.3</t>
  </si>
  <si>
    <t>Anaesthetist</t>
  </si>
  <si>
    <t>P.4.1.5.4</t>
  </si>
  <si>
    <t>Surgeon</t>
  </si>
  <si>
    <t>P.4.1.5.5</t>
  </si>
  <si>
    <t>Pathologist</t>
  </si>
  <si>
    <t>P.4.1.5.6</t>
  </si>
  <si>
    <t>Radiologist</t>
  </si>
  <si>
    <t>P.4.1.5.7</t>
  </si>
  <si>
    <t>Dentists</t>
  </si>
  <si>
    <t>P.4.1.3.1</t>
  </si>
  <si>
    <t>MO at UPHC</t>
  </si>
  <si>
    <t>P.4.1.3.1.1</t>
  </si>
  <si>
    <t>Full-time</t>
  </si>
  <si>
    <t>P.4.1.3.1.2</t>
  </si>
  <si>
    <t>Part-time</t>
  </si>
  <si>
    <t>P.4.1.3.2</t>
  </si>
  <si>
    <t>MO at Maternity Homes</t>
  </si>
  <si>
    <t>P.4.1.3.2.1</t>
  </si>
  <si>
    <t>P.4.1.3.2.2</t>
  </si>
  <si>
    <t>P.4.1.4</t>
  </si>
  <si>
    <t>MO at UCHC</t>
  </si>
  <si>
    <t>P.4.1.4.1</t>
  </si>
  <si>
    <t>P.4.1.9</t>
  </si>
  <si>
    <t>Public Health Manager/Facility Manager</t>
  </si>
  <si>
    <t>P.4.1.9.1</t>
  </si>
  <si>
    <t>P.4.1.11</t>
  </si>
  <si>
    <t>Other Support staff</t>
  </si>
  <si>
    <t>P.4.1.10</t>
  </si>
  <si>
    <t>DEO cum Accountant</t>
  </si>
  <si>
    <t>Incentives/ Allowances/ Awards</t>
  </si>
  <si>
    <t>P.3.3</t>
  </si>
  <si>
    <t xml:space="preserve">Support for Identified Training Institutions </t>
  </si>
  <si>
    <t>Training/ orientation of ANM and other paramedical staff</t>
  </si>
  <si>
    <t>Training/ orientation of Medical Officers</t>
  </si>
  <si>
    <t>Training/ Orientation of Specialists</t>
  </si>
  <si>
    <t>Training/ Orientation of RKS</t>
  </si>
  <si>
    <t>Training on Quality Assurance</t>
  </si>
  <si>
    <t>Training / orientation on HMIS/ICT</t>
  </si>
  <si>
    <t>P.8.2</t>
  </si>
  <si>
    <t>Research Studies</t>
  </si>
  <si>
    <t>P.1.1.1/ P.1.2.1</t>
  </si>
  <si>
    <t>Mapping of slums and vulnerable population in Metro cities/ other cities &amp; towns</t>
  </si>
  <si>
    <t>P.9.1</t>
  </si>
  <si>
    <t>Printing activities</t>
  </si>
  <si>
    <t>Drug Warehousing &amp; Logistics</t>
  </si>
  <si>
    <t>Drug Ware Housing (All operating costs including HR, etc.)</t>
  </si>
  <si>
    <t>Logistic support for Urban Health Facilities</t>
  </si>
  <si>
    <t>P.5.1</t>
  </si>
  <si>
    <t>QA committees at city level (meetings, workshops, etc.)</t>
  </si>
  <si>
    <t>P.5.2</t>
  </si>
  <si>
    <t>Review meetings</t>
  </si>
  <si>
    <t>P.8.3</t>
  </si>
  <si>
    <t>ICT Initiatives</t>
  </si>
  <si>
    <t>P.8.3.1</t>
  </si>
  <si>
    <t>Hardware &amp; Connectivity</t>
  </si>
  <si>
    <t>P.8.3.2</t>
  </si>
  <si>
    <t>Software</t>
  </si>
  <si>
    <t>P.2.1</t>
  </si>
  <si>
    <t>State PMU</t>
  </si>
  <si>
    <t>P.2.1.1</t>
  </si>
  <si>
    <t>P.2.1.2</t>
  </si>
  <si>
    <t>P.2.1.3</t>
  </si>
  <si>
    <t>P.2.1.4</t>
  </si>
  <si>
    <t>Salaries for staff on deputation</t>
  </si>
  <si>
    <t>P.2.1.5</t>
  </si>
  <si>
    <t>P.2.2</t>
  </si>
  <si>
    <t>District PMU</t>
  </si>
  <si>
    <t>P.2.2.1</t>
  </si>
  <si>
    <t>P.2.2.2</t>
  </si>
  <si>
    <t>P.2.2.3</t>
  </si>
  <si>
    <t>P.2.2.4</t>
  </si>
  <si>
    <t>P.2.3</t>
  </si>
  <si>
    <t>City PMU</t>
  </si>
  <si>
    <t>P.2.3.1</t>
  </si>
  <si>
    <t>P.2.3.2</t>
  </si>
  <si>
    <t>P.2.3.3</t>
  </si>
  <si>
    <t>P.2.3.4</t>
  </si>
  <si>
    <t>IT Support</t>
  </si>
  <si>
    <t>Innovations</t>
  </si>
  <si>
    <t>A.9.1.1</t>
  </si>
  <si>
    <t>HR for Skill Lab/ Training Institutes/ SIHFW</t>
  </si>
  <si>
    <t>Mobility &amp; Communication support for AH counsellors</t>
  </si>
  <si>
    <t>Mobility and communication support for RKSK district coordinator/ consultant</t>
  </si>
  <si>
    <t>NUHM: Abstract for Non-Metro cities</t>
  </si>
  <si>
    <t>U.1</t>
  </si>
  <si>
    <t>U.1.1</t>
  </si>
  <si>
    <t>U.1.1.1</t>
  </si>
  <si>
    <t>U.1.1.2</t>
  </si>
  <si>
    <t>U.1.2</t>
  </si>
  <si>
    <t>U.1.2.1</t>
  </si>
  <si>
    <t>U.1.2.2</t>
  </si>
  <si>
    <t>U.1.3</t>
  </si>
  <si>
    <t>U.1.3.1</t>
  </si>
  <si>
    <t>U.1.3.2</t>
  </si>
  <si>
    <t>U.1.3.3</t>
  </si>
  <si>
    <t>U.1.3.4</t>
  </si>
  <si>
    <t>U.2</t>
  </si>
  <si>
    <t>U.2.1</t>
  </si>
  <si>
    <t>U.2.1.1</t>
  </si>
  <si>
    <t>U.2.1.2</t>
  </si>
  <si>
    <t>U.2.2</t>
  </si>
  <si>
    <t>U.2.2.1</t>
  </si>
  <si>
    <t>U.2.2.2</t>
  </si>
  <si>
    <t>U.2.3</t>
  </si>
  <si>
    <t>U.2.3.1</t>
  </si>
  <si>
    <t>U.2.3.2</t>
  </si>
  <si>
    <t>U.2.3.5</t>
  </si>
  <si>
    <t>U.3</t>
  </si>
  <si>
    <t>U.3.1</t>
  </si>
  <si>
    <t>U.3.1.1</t>
  </si>
  <si>
    <t>U.3.1.1.1</t>
  </si>
  <si>
    <t>U.3.1.1.2</t>
  </si>
  <si>
    <t>U.3.1.1.3</t>
  </si>
  <si>
    <t>U.3.1.2</t>
  </si>
  <si>
    <t>U.3.1.3</t>
  </si>
  <si>
    <t>U.3.1.3.1</t>
  </si>
  <si>
    <t>U.3.2</t>
  </si>
  <si>
    <t>U.3.2.1</t>
  </si>
  <si>
    <t>U.3.2.1.1</t>
  </si>
  <si>
    <t>U.3.2.1.2</t>
  </si>
  <si>
    <t>U.3.3</t>
  </si>
  <si>
    <t>U.4</t>
  </si>
  <si>
    <t>U.4.1.1</t>
  </si>
  <si>
    <t>U.4.1.1.1</t>
  </si>
  <si>
    <t>U.4.1.1.2</t>
  </si>
  <si>
    <t>U.4.1.2</t>
  </si>
  <si>
    <t>U.4.1.3</t>
  </si>
  <si>
    <t>U.4.1.4</t>
  </si>
  <si>
    <t>U.5</t>
  </si>
  <si>
    <t>U.5.1</t>
  </si>
  <si>
    <t>U.5.1.1</t>
  </si>
  <si>
    <t>U.5.1.2</t>
  </si>
  <si>
    <t>U.5.1.3</t>
  </si>
  <si>
    <t>U.5.1.4</t>
  </si>
  <si>
    <t>U.5.2</t>
  </si>
  <si>
    <t>U.5.2.1</t>
  </si>
  <si>
    <t>U.5.2.2</t>
  </si>
  <si>
    <t>U.5.2.3</t>
  </si>
  <si>
    <t>U.5.3</t>
  </si>
  <si>
    <t>U.5.3.1</t>
  </si>
  <si>
    <t>U.6</t>
  </si>
  <si>
    <t>U.6.1</t>
  </si>
  <si>
    <t>U.6.1.1</t>
  </si>
  <si>
    <t>U.6.1.2</t>
  </si>
  <si>
    <t>U.6.1.3</t>
  </si>
  <si>
    <t>U.6.2</t>
  </si>
  <si>
    <t>U.6.2.1</t>
  </si>
  <si>
    <t>U.6.2.2</t>
  </si>
  <si>
    <t>U.6.2.3</t>
  </si>
  <si>
    <t>U.6.2.4</t>
  </si>
  <si>
    <t>U.6.2.4.1</t>
  </si>
  <si>
    <t>U.6.2.4.2</t>
  </si>
  <si>
    <t>U.6.3</t>
  </si>
  <si>
    <t>U.6.4</t>
  </si>
  <si>
    <t>U.7</t>
  </si>
  <si>
    <t>U.7.1</t>
  </si>
  <si>
    <t>U.8</t>
  </si>
  <si>
    <t>U.8.1</t>
  </si>
  <si>
    <t>U.8.1.1</t>
  </si>
  <si>
    <t>U.8.1.1.1</t>
  </si>
  <si>
    <t>U.8.1.1.2</t>
  </si>
  <si>
    <t>U.8.1.1.3</t>
  </si>
  <si>
    <t>U.8.1.2</t>
  </si>
  <si>
    <t>U.8.1.2.1</t>
  </si>
  <si>
    <t>U.8.1.2.2</t>
  </si>
  <si>
    <t>U.8.1.2.3</t>
  </si>
  <si>
    <t>U.8.1.3</t>
  </si>
  <si>
    <t>U.8.1.3.1</t>
  </si>
  <si>
    <t>U.8.1.3.2</t>
  </si>
  <si>
    <t>U.8.1.3.3</t>
  </si>
  <si>
    <t>U.8.1.4</t>
  </si>
  <si>
    <t>U.8.1.4.1</t>
  </si>
  <si>
    <t>U.8.1.4.2</t>
  </si>
  <si>
    <t>U.8.1.4.3</t>
  </si>
  <si>
    <t>U.8.1.5</t>
  </si>
  <si>
    <t>U.8.1.5.1</t>
  </si>
  <si>
    <t>U.8.1.5.2</t>
  </si>
  <si>
    <t>U.8.1.5.3</t>
  </si>
  <si>
    <t>U.8.1.6</t>
  </si>
  <si>
    <t>U.8.1.6.1</t>
  </si>
  <si>
    <t>U.8.1.6.2</t>
  </si>
  <si>
    <t>U.8.1.6.3</t>
  </si>
  <si>
    <t>U.8.1.6.4</t>
  </si>
  <si>
    <t>U.8.1.6.5</t>
  </si>
  <si>
    <t>U.8.1.6.6</t>
  </si>
  <si>
    <t>U.8.1.6.7</t>
  </si>
  <si>
    <t>U.8.1.7</t>
  </si>
  <si>
    <t>U.8.1.7.1</t>
  </si>
  <si>
    <t>U.8.1.8</t>
  </si>
  <si>
    <t>U.8.1.8.1</t>
  </si>
  <si>
    <t>U.8.1.8.1.1</t>
  </si>
  <si>
    <t>U.8.1.8.1.2</t>
  </si>
  <si>
    <t>U.8.1.8.2</t>
  </si>
  <si>
    <t>U.8.1.8.2.1</t>
  </si>
  <si>
    <t>U.8.1.8.2.2</t>
  </si>
  <si>
    <t>U.8.1.8.3</t>
  </si>
  <si>
    <t>U.8.1.8.3.1</t>
  </si>
  <si>
    <t>U.8.1.8.3.2</t>
  </si>
  <si>
    <t>U.8.1.9</t>
  </si>
  <si>
    <t>U.8.1.9.1</t>
  </si>
  <si>
    <t>U.8.1.9.1.1</t>
  </si>
  <si>
    <t>U.8.1.9.1.2</t>
  </si>
  <si>
    <t>U.8.1.10</t>
  </si>
  <si>
    <t>U.8.1.10.1</t>
  </si>
  <si>
    <t>U.8.1.10.2</t>
  </si>
  <si>
    <t>U.8.2</t>
  </si>
  <si>
    <t>U.8.3</t>
  </si>
  <si>
    <t>U.8.4</t>
  </si>
  <si>
    <t>U.8.4.1</t>
  </si>
  <si>
    <t>U.9</t>
  </si>
  <si>
    <t>U.9.1</t>
  </si>
  <si>
    <t>U.9.1.1</t>
  </si>
  <si>
    <t>U.9.1.2</t>
  </si>
  <si>
    <t>U.9.2</t>
  </si>
  <si>
    <t>U.9.5</t>
  </si>
  <si>
    <t>U.9.5.7</t>
  </si>
  <si>
    <t>U.10</t>
  </si>
  <si>
    <t>U.10.1</t>
  </si>
  <si>
    <t>U.10.1.1</t>
  </si>
  <si>
    <t>U.10.1.2</t>
  </si>
  <si>
    <t>U.10.2</t>
  </si>
  <si>
    <t>U.10.2.1</t>
  </si>
  <si>
    <t>U.10.2.3</t>
  </si>
  <si>
    <t>U.10.3</t>
  </si>
  <si>
    <t>U.10.4</t>
  </si>
  <si>
    <t>U.11</t>
  </si>
  <si>
    <t>U.11.1</t>
  </si>
  <si>
    <t>U.11.2</t>
  </si>
  <si>
    <t>U.11.5</t>
  </si>
  <si>
    <t>U.12</t>
  </si>
  <si>
    <t>U.12.1</t>
  </si>
  <si>
    <t>U.13</t>
  </si>
  <si>
    <t>U.13.1</t>
  </si>
  <si>
    <t>U.13.1.1</t>
  </si>
  <si>
    <t>U.13.2</t>
  </si>
  <si>
    <t>U.13.2.1</t>
  </si>
  <si>
    <t>U.13.2.2</t>
  </si>
  <si>
    <t>U.13.3</t>
  </si>
  <si>
    <t>U.14</t>
  </si>
  <si>
    <t>U.14.1</t>
  </si>
  <si>
    <t>U.14.2</t>
  </si>
  <si>
    <t>U.14.2.1</t>
  </si>
  <si>
    <t>U.15</t>
  </si>
  <si>
    <t>U.15.1</t>
  </si>
  <si>
    <t>U.16</t>
  </si>
  <si>
    <t>U.16.1</t>
  </si>
  <si>
    <t>U.16.1.1</t>
  </si>
  <si>
    <t>U.16.2</t>
  </si>
  <si>
    <t>U.16.3</t>
  </si>
  <si>
    <t>U.16.4</t>
  </si>
  <si>
    <t>U.16.4.1</t>
  </si>
  <si>
    <t>U.17</t>
  </si>
  <si>
    <t>U.17.1</t>
  </si>
  <si>
    <t>U.18</t>
  </si>
  <si>
    <t>NUHM</t>
  </si>
  <si>
    <t>U.6.5</t>
  </si>
  <si>
    <t>RMNCH+A Abstract</t>
  </si>
  <si>
    <t>3.1.2.8</t>
  </si>
  <si>
    <t>3.1.1.2.8</t>
  </si>
  <si>
    <t>3.1.1.4.8</t>
  </si>
  <si>
    <t>Incentive for NCDs</t>
  </si>
  <si>
    <t>3.1.1.6</t>
  </si>
  <si>
    <t>3.1.1.6.1</t>
  </si>
  <si>
    <t>Blood Cell</t>
  </si>
  <si>
    <t>Blood cell</t>
  </si>
  <si>
    <t>U.6.1.4</t>
  </si>
  <si>
    <t>1.3.1.7</t>
  </si>
  <si>
    <t>1.1.7.6</t>
  </si>
  <si>
    <t>Provision of free medical and surgical care to survivors of gender based violence</t>
  </si>
  <si>
    <t>PHC level: Mobility, Miscellaneous &amp; Contingencies</t>
  </si>
  <si>
    <t>State lab: Meeting Costs/Office expenses/Contingency</t>
  </si>
  <si>
    <t>Model Treatment Centres</t>
  </si>
  <si>
    <t>Treatment Centres</t>
  </si>
  <si>
    <t>NVHCP</t>
  </si>
  <si>
    <t xml:space="preserve">Incentive to ASHA for quarterly visits under HBYC </t>
  </si>
  <si>
    <t>ASHA incentive for accompanying the client for Injectable MPA (Antara Prog) administration ( @Rs 100/dose/beneficiary)- Only for 146 Mission Parivar Vikas districts</t>
  </si>
  <si>
    <t>Trainings under HBYC</t>
  </si>
  <si>
    <t>A.3.7.3/ 3.1.1.2.8</t>
  </si>
  <si>
    <t>Equipment for Paediatric HDU, Emergency, OPD and Ward</t>
  </si>
  <si>
    <t>Drugs</t>
  </si>
  <si>
    <t>Drugs and supplies for NVHCP</t>
  </si>
  <si>
    <t>Kits</t>
  </si>
  <si>
    <t>Consumables for treatment sites (plasticware, RUP, evacuated vacuum tubes, waste disposal bags etc)</t>
  </si>
  <si>
    <t>6.2.23</t>
  </si>
  <si>
    <t>6.2.23.1</t>
  </si>
  <si>
    <t>6.2.23.2</t>
  </si>
  <si>
    <t>6.2.23.3</t>
  </si>
  <si>
    <t>6.2.23.4</t>
  </si>
  <si>
    <t>HRH&amp;HPIP/HSS</t>
  </si>
  <si>
    <t>Full time</t>
  </si>
  <si>
    <t>Part time</t>
  </si>
  <si>
    <t>HRH&amp;HPIP/CH</t>
  </si>
  <si>
    <t>Staff for SNCU/NBSU/Lactation Management Centres</t>
  </si>
  <si>
    <t>Staffs for CLMC at Medical colleges/ DHs</t>
  </si>
  <si>
    <t>Staff for LMU at DH/ SDH/ high caseload CHC</t>
  </si>
  <si>
    <t>HRH&amp;HPIP/NVHCP</t>
  </si>
  <si>
    <t>8.1.5.1</t>
  </si>
  <si>
    <t>8.1.5.2</t>
  </si>
  <si>
    <t xml:space="preserve">Training of master trainers at State, district and block level </t>
  </si>
  <si>
    <t>Training of district Appropriate Authorities and district PNDT Nodal Officers</t>
  </si>
  <si>
    <t>Training of Medical officers conducting pre-natal diagnostic procedures in public health facilities</t>
  </si>
  <si>
    <t>Training of Public prosecutors</t>
  </si>
  <si>
    <t>Trainings for NVHCP</t>
  </si>
  <si>
    <t>3 day training of Medical Officer of the Model Treatment Centre  (15 Medical officers in each batch)</t>
  </si>
  <si>
    <t>5 day training of the lab technicians (15 Lab Technicians in each batch)</t>
  </si>
  <si>
    <t xml:space="preserve">1 day training of Peer support of the Treatment sites (MTC/TCs) </t>
  </si>
  <si>
    <t xml:space="preserve">1 day training of pharmacist of the Treatment sites (MTC/TCs) </t>
  </si>
  <si>
    <t xml:space="preserve">1 day training of DEO of the Treatment sites (MTC/TCs) </t>
  </si>
  <si>
    <t>9.5.2.24</t>
  </si>
  <si>
    <t>9.5.21.3</t>
  </si>
  <si>
    <t>9.5.21.4</t>
  </si>
  <si>
    <t>9.5.29.1</t>
  </si>
  <si>
    <t>9.5.29.2</t>
  </si>
  <si>
    <t>9.5.29.3</t>
  </si>
  <si>
    <t>9.5.29.4</t>
  </si>
  <si>
    <t>9.5.29.5</t>
  </si>
  <si>
    <t>9.5.29.6</t>
  </si>
  <si>
    <t>9.5.29.7</t>
  </si>
  <si>
    <t>Printing for IMNCI, FIMNCI, FBNC, NBSU training packages and the translation</t>
  </si>
  <si>
    <t>Printing for Micronutrient Supplementation Programme including IEC materials, reporting formats, guidelines / training materials etc. (For AMB and Vitamin A supplementation programmes)</t>
  </si>
  <si>
    <t>Printing cost for HBYC</t>
  </si>
  <si>
    <t>Printing of training material</t>
  </si>
  <si>
    <t>Printing of PC&amp;PNDT Act and Rules</t>
  </si>
  <si>
    <t>12.2.13</t>
  </si>
  <si>
    <t>16.1.1</t>
  </si>
  <si>
    <t>16.1.1.1</t>
  </si>
  <si>
    <t>16.1.1.1.1</t>
  </si>
  <si>
    <t>16.1.1.1.2</t>
  </si>
  <si>
    <t>16.1.1.2</t>
  </si>
  <si>
    <t>16.1.1.1.3</t>
  </si>
  <si>
    <t>16.1.1.3</t>
  </si>
  <si>
    <t>16.1.2</t>
  </si>
  <si>
    <t>16.1.3</t>
  </si>
  <si>
    <t>16.1.1.4</t>
  </si>
  <si>
    <t>16.1.4</t>
  </si>
  <si>
    <t>16.1.1.5</t>
  </si>
  <si>
    <t>16.1.5</t>
  </si>
  <si>
    <t>16.1.1.6</t>
  </si>
  <si>
    <t>16.1.6</t>
  </si>
  <si>
    <t>16.1.1.7</t>
  </si>
  <si>
    <t>16.1.7</t>
  </si>
  <si>
    <t>16.1.1.8</t>
  </si>
  <si>
    <t>16.1.8</t>
  </si>
  <si>
    <t>16.1.1.9</t>
  </si>
  <si>
    <t>16.1.9</t>
  </si>
  <si>
    <t>16.1.2.1</t>
  </si>
  <si>
    <t>16.2.1</t>
  </si>
  <si>
    <t>16.1.2.1.1</t>
  </si>
  <si>
    <t>16.2.1.1</t>
  </si>
  <si>
    <t>16.1.2.1.2</t>
  </si>
  <si>
    <t>16.2.1.2</t>
  </si>
  <si>
    <t>16.1.2.1.3</t>
  </si>
  <si>
    <t>16.2.1.3</t>
  </si>
  <si>
    <t>16.1.2.1.4</t>
  </si>
  <si>
    <t>16.2.1.4</t>
  </si>
  <si>
    <t>16.1.2.1.5</t>
  </si>
  <si>
    <t>16.2.1.5</t>
  </si>
  <si>
    <t>16.1.2.1.6</t>
  </si>
  <si>
    <t>16.2.1.6</t>
  </si>
  <si>
    <t>16.1.2.1.7</t>
  </si>
  <si>
    <t>16.2.1.7</t>
  </si>
  <si>
    <t>16.1.2.1.8</t>
  </si>
  <si>
    <t>16.2.1.8</t>
  </si>
  <si>
    <t>16.1.2.1.9</t>
  </si>
  <si>
    <t>16.2.1.9</t>
  </si>
  <si>
    <t>16.1.2.1.10</t>
  </si>
  <si>
    <t>16.2.1.10</t>
  </si>
  <si>
    <t>16.1.2.1.11</t>
  </si>
  <si>
    <t>16.2.1.11</t>
  </si>
  <si>
    <t>16.1.2.1.12</t>
  </si>
  <si>
    <t>16.2.1.12</t>
  </si>
  <si>
    <t>16.1.2.1.13</t>
  </si>
  <si>
    <t>16.2.1.13</t>
  </si>
  <si>
    <t>16.1.2.1.14</t>
  </si>
  <si>
    <t>16.2.1.14</t>
  </si>
  <si>
    <t>16.1.2.1.15</t>
  </si>
  <si>
    <t>16.2.1.15</t>
  </si>
  <si>
    <t>16.1.2.1.16</t>
  </si>
  <si>
    <t>16.2.1.16</t>
  </si>
  <si>
    <t>16.1.2.1.17</t>
  </si>
  <si>
    <t>16.2.1.17</t>
  </si>
  <si>
    <t>16.1.2.1.18</t>
  </si>
  <si>
    <t>16.2.1.18</t>
  </si>
  <si>
    <t>16.1.2.1.19</t>
  </si>
  <si>
    <t>16.2.1.19</t>
  </si>
  <si>
    <t>16.1.2.1.20</t>
  </si>
  <si>
    <t>16.2.1.20</t>
  </si>
  <si>
    <t>16.2.1.21</t>
  </si>
  <si>
    <t>16.1.2.2</t>
  </si>
  <si>
    <t>16.2.2</t>
  </si>
  <si>
    <t>16.1.2.2.1</t>
  </si>
  <si>
    <t>16.2.2.1</t>
  </si>
  <si>
    <t>16.1.2.2.2</t>
  </si>
  <si>
    <t>16.2.2.2</t>
  </si>
  <si>
    <t>16.1.2.2.3</t>
  </si>
  <si>
    <t>16.2.2.3</t>
  </si>
  <si>
    <t>16.1.2.2.4</t>
  </si>
  <si>
    <t>16.2.2.4</t>
  </si>
  <si>
    <t>16.1.2.2.5</t>
  </si>
  <si>
    <t>16.1.2.2.6</t>
  </si>
  <si>
    <t>16.2.2.6</t>
  </si>
  <si>
    <t>16.1.2.2.7</t>
  </si>
  <si>
    <t>16.2.2.7</t>
  </si>
  <si>
    <t>16.1.2.2.8</t>
  </si>
  <si>
    <t>16.2.2.8</t>
  </si>
  <si>
    <t>16.1.2.2.9</t>
  </si>
  <si>
    <t>16.2.2.9</t>
  </si>
  <si>
    <t>16.1.2.2.10</t>
  </si>
  <si>
    <t>16.2.2.10</t>
  </si>
  <si>
    <t>16.1.2.2.11</t>
  </si>
  <si>
    <t>16.2.2.11</t>
  </si>
  <si>
    <t>16.1.2.2.12</t>
  </si>
  <si>
    <t>16.2.2.12</t>
  </si>
  <si>
    <t>16.1.2.2.13</t>
  </si>
  <si>
    <t>16.2.2.13</t>
  </si>
  <si>
    <t>16.2.2.14</t>
  </si>
  <si>
    <t>16.1.2.2.15</t>
  </si>
  <si>
    <t>16.1.2.2.16</t>
  </si>
  <si>
    <t>16.2.2.16</t>
  </si>
  <si>
    <t>16.1.3.1</t>
  </si>
  <si>
    <t>16.3.1</t>
  </si>
  <si>
    <t>16.1.3.1.1</t>
  </si>
  <si>
    <t>16.3.1.1</t>
  </si>
  <si>
    <t>16.1.3.1.2</t>
  </si>
  <si>
    <t>16.3.1.2</t>
  </si>
  <si>
    <t>16.1.3.1.3</t>
  </si>
  <si>
    <t>16.3.1.3</t>
  </si>
  <si>
    <t>16.1.3.1.4</t>
  </si>
  <si>
    <t>16.3.1.4</t>
  </si>
  <si>
    <t>16.1.3.1.5</t>
  </si>
  <si>
    <t>16.3.1.5</t>
  </si>
  <si>
    <t>16.1.3.1.6</t>
  </si>
  <si>
    <t>16.3.1.6</t>
  </si>
  <si>
    <t>16.1.3.1.7</t>
  </si>
  <si>
    <t>16.3.1.7</t>
  </si>
  <si>
    <t>16.1.3.1.8</t>
  </si>
  <si>
    <t>16.3.1.8</t>
  </si>
  <si>
    <t>16.1.3.1.9</t>
  </si>
  <si>
    <t>16.3.1.9</t>
  </si>
  <si>
    <t>16.1.3.1.10</t>
  </si>
  <si>
    <t>16.3.1.10</t>
  </si>
  <si>
    <t>16.1.3.1.11</t>
  </si>
  <si>
    <t>16.3.1.11</t>
  </si>
  <si>
    <t>16.1.3.1.12</t>
  </si>
  <si>
    <t>16.3.1.12</t>
  </si>
  <si>
    <t>16.1.3.1.13</t>
  </si>
  <si>
    <t>16.3.1.13</t>
  </si>
  <si>
    <t>16.1.3.1.14</t>
  </si>
  <si>
    <t>16.3.1.14</t>
  </si>
  <si>
    <t>16.1.3.1.16</t>
  </si>
  <si>
    <t>16.1.3.1.17</t>
  </si>
  <si>
    <t>16.3.1.16</t>
  </si>
  <si>
    <t>16.1.3.1.18</t>
  </si>
  <si>
    <t>16.3.1.17</t>
  </si>
  <si>
    <t>16.1.3.1.19</t>
  </si>
  <si>
    <t>16.3.1.18</t>
  </si>
  <si>
    <t>16.3.1.19</t>
  </si>
  <si>
    <t>16.3.1.20</t>
  </si>
  <si>
    <t>16.1.3.2</t>
  </si>
  <si>
    <t>16.3.2</t>
  </si>
  <si>
    <t>16.1.3.2.1</t>
  </si>
  <si>
    <t>16.3.2.1</t>
  </si>
  <si>
    <t>16.1.3.2.2</t>
  </si>
  <si>
    <t>16.3.2.2</t>
  </si>
  <si>
    <t>16.1.3.3</t>
  </si>
  <si>
    <t>16.3.3</t>
  </si>
  <si>
    <t>16.1.3.3.1</t>
  </si>
  <si>
    <t>16.3.3.1</t>
  </si>
  <si>
    <t>16.1.3.3.2</t>
  </si>
  <si>
    <t>16.3.3.2</t>
  </si>
  <si>
    <t>16.1.3.3.3</t>
  </si>
  <si>
    <t>16.3.3.3</t>
  </si>
  <si>
    <t>16.1.3.3.4</t>
  </si>
  <si>
    <t>16.3.3.4</t>
  </si>
  <si>
    <t>16.1.3.3.5</t>
  </si>
  <si>
    <t>16.3.3.5</t>
  </si>
  <si>
    <t>16.1.3.3.6</t>
  </si>
  <si>
    <t>16.3.3.6</t>
  </si>
  <si>
    <t>16.1.3.3.7</t>
  </si>
  <si>
    <t>16.3.3.7</t>
  </si>
  <si>
    <t>16.1.3.3.8</t>
  </si>
  <si>
    <t>16.3.3.8</t>
  </si>
  <si>
    <t>16.1.3.3.9</t>
  </si>
  <si>
    <t>16.3.3.9</t>
  </si>
  <si>
    <t>16.1.3.3.10</t>
  </si>
  <si>
    <t>16.3.3.10</t>
  </si>
  <si>
    <t>16.1.3.3.11</t>
  </si>
  <si>
    <t>16.3.3.11</t>
  </si>
  <si>
    <t>16.1.3.3.12</t>
  </si>
  <si>
    <t>16.3.3.12</t>
  </si>
  <si>
    <t>16.1.3.3.13</t>
  </si>
  <si>
    <t>16.3.3.13</t>
  </si>
  <si>
    <t>16.1.3.3.14</t>
  </si>
  <si>
    <t>16.3.3.14</t>
  </si>
  <si>
    <t>16.1.3.3.16</t>
  </si>
  <si>
    <t>16.3.3.16</t>
  </si>
  <si>
    <t>16.3.3.17</t>
  </si>
  <si>
    <t>16.1.3.4</t>
  </si>
  <si>
    <t>16.3.4</t>
  </si>
  <si>
    <t>16.1.3.4.1</t>
  </si>
  <si>
    <t>16.3.4.1</t>
  </si>
  <si>
    <t>16.1.3.4.2</t>
  </si>
  <si>
    <t>16.3.4.2</t>
  </si>
  <si>
    <t>16.1.3.4.3</t>
  </si>
  <si>
    <t>16.3.4.3</t>
  </si>
  <si>
    <t>16.1.3.4.4</t>
  </si>
  <si>
    <t>16.3.4.4</t>
  </si>
  <si>
    <t>16.1.3.4.5</t>
  </si>
  <si>
    <t>16.3.4.5</t>
  </si>
  <si>
    <t>16.1.3.5</t>
  </si>
  <si>
    <t>16.3.5</t>
  </si>
  <si>
    <t>16.1.3.5.1</t>
  </si>
  <si>
    <t>16.3.5.1</t>
  </si>
  <si>
    <t>16.1.4.1</t>
  </si>
  <si>
    <t>16.4.1</t>
  </si>
  <si>
    <t>16.1.4.1.1</t>
  </si>
  <si>
    <t>16.4.1.1</t>
  </si>
  <si>
    <t>16.1.4.1.2</t>
  </si>
  <si>
    <t>16.4.1.2</t>
  </si>
  <si>
    <t>16.1.4.1.3</t>
  </si>
  <si>
    <t>16.4.1.3</t>
  </si>
  <si>
    <t>16.1.4.1.4</t>
  </si>
  <si>
    <t>16.4.1.4</t>
  </si>
  <si>
    <t>16.1.4.1.5</t>
  </si>
  <si>
    <t>16.4.1.5</t>
  </si>
  <si>
    <t>16.1.4.1.6</t>
  </si>
  <si>
    <t>16.4.1.6</t>
  </si>
  <si>
    <t>16.1.4.1.7</t>
  </si>
  <si>
    <t>16.4.1.7</t>
  </si>
  <si>
    <t>16.1.4.1.8</t>
  </si>
  <si>
    <t>16.4.1.8</t>
  </si>
  <si>
    <t>16.1.4.1.9</t>
  </si>
  <si>
    <t>16.4.1.9</t>
  </si>
  <si>
    <t>16.1.4.1.10</t>
  </si>
  <si>
    <t>16.4.1.10</t>
  </si>
  <si>
    <t>16.1.4.1.11</t>
  </si>
  <si>
    <t>16.4.1.11</t>
  </si>
  <si>
    <t>16.1.4.1.12</t>
  </si>
  <si>
    <t>16.4.1.12</t>
  </si>
  <si>
    <t>16.1.4.1.13</t>
  </si>
  <si>
    <t>16.4.1.13</t>
  </si>
  <si>
    <t>16.1.4.1.14</t>
  </si>
  <si>
    <t>16.1.4.2</t>
  </si>
  <si>
    <t>16.4.2</t>
  </si>
  <si>
    <t>16.1.4.2.1</t>
  </si>
  <si>
    <t>16.4.2.1</t>
  </si>
  <si>
    <t>16.1.4.2.2</t>
  </si>
  <si>
    <t>16.4.2.2</t>
  </si>
  <si>
    <t>16.1.4.2.3</t>
  </si>
  <si>
    <t>16.4.2.3</t>
  </si>
  <si>
    <t>16.1.4.2.4</t>
  </si>
  <si>
    <t>16.4.2.4</t>
  </si>
  <si>
    <t>16.1.4.2.5</t>
  </si>
  <si>
    <t>16.4.2.5</t>
  </si>
  <si>
    <t>16.1.4.2.6</t>
  </si>
  <si>
    <t>16.4.2.6</t>
  </si>
  <si>
    <t>16.1.4.2.7</t>
  </si>
  <si>
    <t>16.4.2.7</t>
  </si>
  <si>
    <t>16.1.4.2.8</t>
  </si>
  <si>
    <t>16.4.2.8</t>
  </si>
  <si>
    <t>16.1.4.2.9</t>
  </si>
  <si>
    <t>16.4.2.9</t>
  </si>
  <si>
    <t>16.1.4.3</t>
  </si>
  <si>
    <t>16.4.3</t>
  </si>
  <si>
    <t>16.1.4.3.1</t>
  </si>
  <si>
    <t>16.4.3.1</t>
  </si>
  <si>
    <t>16.1.5.1</t>
  </si>
  <si>
    <t>16.7.1</t>
  </si>
  <si>
    <t>16.1.5.1.1</t>
  </si>
  <si>
    <t>16.7.1.1</t>
  </si>
  <si>
    <t>16.1.5.1.2</t>
  </si>
  <si>
    <t>16.7.1.2</t>
  </si>
  <si>
    <t>16.1.5.1.3</t>
  </si>
  <si>
    <t>16.7.1.3</t>
  </si>
  <si>
    <t>16.1.5.2</t>
  </si>
  <si>
    <t>16.7.2</t>
  </si>
  <si>
    <t>16.1.5.2.1</t>
  </si>
  <si>
    <t>16.7.2.1</t>
  </si>
  <si>
    <t>16.1.5.2.2</t>
  </si>
  <si>
    <t>16.7.2.2</t>
  </si>
  <si>
    <t>16.1.5.2.3</t>
  </si>
  <si>
    <t>16.7.2.3</t>
  </si>
  <si>
    <t>16.1.5.2.4</t>
  </si>
  <si>
    <t>16.7.2.4</t>
  </si>
  <si>
    <t>16.1.5.2.5</t>
  </si>
  <si>
    <t>16.7.2.5</t>
  </si>
  <si>
    <t>16.1.5.2.6</t>
  </si>
  <si>
    <t>16.7.2.6</t>
  </si>
  <si>
    <t>16.1.5.2.7</t>
  </si>
  <si>
    <t>16.7.2.7</t>
  </si>
  <si>
    <t>16.1.5.3</t>
  </si>
  <si>
    <t>16.7.3</t>
  </si>
  <si>
    <t>16.1.5.3.1</t>
  </si>
  <si>
    <t>16.7.3.1</t>
  </si>
  <si>
    <t>16.1.5.3.2</t>
  </si>
  <si>
    <t>16.7.3.2</t>
  </si>
  <si>
    <t>16.1.5.3.3</t>
  </si>
  <si>
    <t>16.7.3.3</t>
  </si>
  <si>
    <t>16.1.5.3.4</t>
  </si>
  <si>
    <t>16.7.3.4</t>
  </si>
  <si>
    <t>16.1.5.3.7</t>
  </si>
  <si>
    <t>16.7.3.7</t>
  </si>
  <si>
    <t>16.1.5.3.8</t>
  </si>
  <si>
    <t>16.7.3.8</t>
  </si>
  <si>
    <t>16.1.5.3.9</t>
  </si>
  <si>
    <t>16.7.3.9</t>
  </si>
  <si>
    <t>16.1.5.3.10</t>
  </si>
  <si>
    <t>16.7.3.12</t>
  </si>
  <si>
    <t>16.1.5.3.13</t>
  </si>
  <si>
    <t>16.7.3.13</t>
  </si>
  <si>
    <t>16.1.5.3.14</t>
  </si>
  <si>
    <t>16.7.3.14</t>
  </si>
  <si>
    <t>16.1.5.3.15</t>
  </si>
  <si>
    <t>16.7.3.15</t>
  </si>
  <si>
    <t>16.7.3.16</t>
  </si>
  <si>
    <t>16.7.3.17</t>
  </si>
  <si>
    <t>SVHMU: Meeting Costs/Office expenses/Contingency</t>
  </si>
  <si>
    <t>SVHMU: Cost of travel for supervision and monitoring</t>
  </si>
  <si>
    <t>HRH&amp;HPIP/RBSK</t>
  </si>
  <si>
    <t>HRH&amp;HPIP/RCH</t>
  </si>
  <si>
    <t>HRH&amp;HPIP/RI</t>
  </si>
  <si>
    <t>HRH&amp;HPIP/NMHP</t>
  </si>
  <si>
    <t>Review/orientation meetings for child health programmes</t>
  </si>
  <si>
    <t>HRH&amp;HPIP/FP</t>
  </si>
  <si>
    <t>HRH&amp;HPIP/AH</t>
  </si>
  <si>
    <t>HRH&amp;HPIP/NHSRC-CP</t>
  </si>
  <si>
    <t>HRH&amp;HPIP/IDSP</t>
  </si>
  <si>
    <t>HRH&amp;HPIP/NVBDCP</t>
  </si>
  <si>
    <t>HRH&amp;HPIP/NLEP</t>
  </si>
  <si>
    <t>HRH&amp;HPIP/NTCP</t>
  </si>
  <si>
    <t>HRH&amp;HPIP/HSS/IEC</t>
  </si>
  <si>
    <t>HRH&amp;HPIP/NPCDCS</t>
  </si>
  <si>
    <t>HRH&amp;HPIP</t>
  </si>
  <si>
    <t>HRH&amp;HPIP/MH</t>
  </si>
  <si>
    <t>HRH&amp;HPIP/NHSRC-QA</t>
  </si>
  <si>
    <t>Facility/Block</t>
  </si>
  <si>
    <t>HRH&amp;HPIP/Blood cell</t>
  </si>
  <si>
    <t>SVHMU: Non-recurring Equipment- (computer, printer photocopier scanner etc)</t>
  </si>
  <si>
    <t>HRH&amp;HPIP/IEC</t>
  </si>
  <si>
    <t>HRH&amp;HPIP/NPCB</t>
  </si>
  <si>
    <t>Programme Management Activities (as per PM sub annex)</t>
  </si>
  <si>
    <t>16.2.3</t>
  </si>
  <si>
    <t>Others (decoy operations, Mapping or surveys of ultrasound  machines etc )</t>
  </si>
  <si>
    <t>16.4.1.3.1</t>
  </si>
  <si>
    <t>16.4.1.3.2</t>
  </si>
  <si>
    <t>16.4.1.3.3</t>
  </si>
  <si>
    <t>16.4.1.3.4</t>
  </si>
  <si>
    <t>16.4.1.3.5</t>
  </si>
  <si>
    <t>16.4.1.3.6</t>
  </si>
  <si>
    <t>16.4.1.3.7</t>
  </si>
  <si>
    <t>16.4.1.3.8</t>
  </si>
  <si>
    <t>16.4.1.3.9</t>
  </si>
  <si>
    <t>16.4.1.3.10</t>
  </si>
  <si>
    <t>16.4.1.3.11</t>
  </si>
  <si>
    <t>16.4.1.3.12</t>
  </si>
  <si>
    <t>16.4.1.4.1</t>
  </si>
  <si>
    <t>16.4.1.4.2</t>
  </si>
  <si>
    <t>16.4.1.4.3</t>
  </si>
  <si>
    <t>16.4.1.4.4</t>
  </si>
  <si>
    <t>16.4.1.4.5</t>
  </si>
  <si>
    <t>16.4.1.4.6</t>
  </si>
  <si>
    <t>16.4.1.4.7</t>
  </si>
  <si>
    <t>16.4.1.4.8</t>
  </si>
  <si>
    <t>16.4.1.4.9</t>
  </si>
  <si>
    <t>16.4.1.4.10</t>
  </si>
  <si>
    <t>16.4.1.4.11</t>
  </si>
  <si>
    <t>16.4.1.5.1</t>
  </si>
  <si>
    <t>16.4.1.5.2</t>
  </si>
  <si>
    <t>16.4.1.5.3</t>
  </si>
  <si>
    <t>16.4.1.5.4</t>
  </si>
  <si>
    <t>16.4.1.5.5</t>
  </si>
  <si>
    <t>16.4.1.5.6</t>
  </si>
  <si>
    <t>16.4.1.5.7</t>
  </si>
  <si>
    <t>16.4.1.5.8</t>
  </si>
  <si>
    <t>16.4.1.5.9</t>
  </si>
  <si>
    <t>16.4.1.5.10</t>
  </si>
  <si>
    <t>16.4.1.5.11</t>
  </si>
  <si>
    <t>16.4.2.1.1</t>
  </si>
  <si>
    <t>16.4.2.1.2</t>
  </si>
  <si>
    <t>16.4.2.1.3</t>
  </si>
  <si>
    <t>16.4.2.1.4</t>
  </si>
  <si>
    <t>16.4.2.1.5</t>
  </si>
  <si>
    <t>16.4.2.1.6</t>
  </si>
  <si>
    <t>16.4.2.1.7</t>
  </si>
  <si>
    <t>16.4.2.1.8</t>
  </si>
  <si>
    <t>16.4.2.1.9</t>
  </si>
  <si>
    <t>16.4.2.1.10</t>
  </si>
  <si>
    <t>16.4.2.1.11</t>
  </si>
  <si>
    <t>16.4.2.2.1</t>
  </si>
  <si>
    <t>16.4.2.2.2</t>
  </si>
  <si>
    <t>16.4.2.2.3</t>
  </si>
  <si>
    <t>16.4.2.2.4</t>
  </si>
  <si>
    <t>16.4.2.2.5</t>
  </si>
  <si>
    <t>16.4.2.2.6</t>
  </si>
  <si>
    <t>16.4.2.2.7</t>
  </si>
  <si>
    <t>16.4.2.2.8</t>
  </si>
  <si>
    <t>16.4.2.2.9</t>
  </si>
  <si>
    <t>16.4.2.2.10</t>
  </si>
  <si>
    <t>16.4.2.2.11</t>
  </si>
  <si>
    <t>16.4.2.3.1</t>
  </si>
  <si>
    <t>16.4.2.3.2</t>
  </si>
  <si>
    <t>16.4.2.3.3</t>
  </si>
  <si>
    <t>16.4.2.3.4</t>
  </si>
  <si>
    <t>16.4.2.3.5</t>
  </si>
  <si>
    <t>16.4.2.3.6</t>
  </si>
  <si>
    <t>16.4.2.3.7</t>
  </si>
  <si>
    <t>16.4.2.3.8</t>
  </si>
  <si>
    <t>16.4.2.3.9</t>
  </si>
  <si>
    <t>16.4.2.3.10</t>
  </si>
  <si>
    <t>16.4.2.3.11</t>
  </si>
  <si>
    <t>16.4.3.1.1</t>
  </si>
  <si>
    <t>16.4.3.1.2</t>
  </si>
  <si>
    <t>16.4.3.1.3</t>
  </si>
  <si>
    <t>16.4.3.1.4</t>
  </si>
  <si>
    <t>16.4.3.1.5</t>
  </si>
  <si>
    <t>16.4.3.1.6</t>
  </si>
  <si>
    <t>16.4.3.1.7</t>
  </si>
  <si>
    <t>16.4.3.1.8</t>
  </si>
  <si>
    <t>16.4.3.1.9</t>
  </si>
  <si>
    <t>16.4.3.1.10</t>
  </si>
  <si>
    <t>16.4.3.1.11</t>
  </si>
  <si>
    <t>16.4.3.2</t>
  </si>
  <si>
    <t>16.4.3.2.1</t>
  </si>
  <si>
    <t>16.4.3.2.2</t>
  </si>
  <si>
    <t>16.4.3.2.3</t>
  </si>
  <si>
    <t>16.4.3.2.4</t>
  </si>
  <si>
    <t>16.4.3.2.5</t>
  </si>
  <si>
    <t>16.4.3.2.6</t>
  </si>
  <si>
    <t>16.4.3.2.7</t>
  </si>
  <si>
    <t>16.4.3.2.8</t>
  </si>
  <si>
    <t>16.4.3.2.9</t>
  </si>
  <si>
    <t>16.4.3.2.10</t>
  </si>
  <si>
    <t>16.4.3.2.11</t>
  </si>
  <si>
    <t>16.4.3.3</t>
  </si>
  <si>
    <t>16.4.3.3.1</t>
  </si>
  <si>
    <t>16.4.3.3.2</t>
  </si>
  <si>
    <t>16.4.3.3.3</t>
  </si>
  <si>
    <t>16.4.3.3.4</t>
  </si>
  <si>
    <t>16.4.3.3.5</t>
  </si>
  <si>
    <t>16.4.3.3.6</t>
  </si>
  <si>
    <t>16.4.3.3.7</t>
  </si>
  <si>
    <t>16.4.3.3.8</t>
  </si>
  <si>
    <t>16.4.3.3.9</t>
  </si>
  <si>
    <t>16.4.3.3.10</t>
  </si>
  <si>
    <t>16.4.3.3.11</t>
  </si>
  <si>
    <t>16.4.4</t>
  </si>
  <si>
    <t>16.4.5</t>
  </si>
  <si>
    <t>1.3.1.14</t>
  </si>
  <si>
    <t>1.3.1.15</t>
  </si>
  <si>
    <t>1.3.1.16</t>
  </si>
  <si>
    <t>1.3.1.17</t>
  </si>
  <si>
    <t>1.3.1.17.1</t>
  </si>
  <si>
    <t>1.3.1.17.2</t>
  </si>
  <si>
    <t>1.3.1.18</t>
  </si>
  <si>
    <t>1.3.1.19</t>
  </si>
  <si>
    <t>3.1.2.9</t>
  </si>
  <si>
    <t>3.1.1.2.9</t>
  </si>
  <si>
    <t>12.18.1</t>
  </si>
  <si>
    <t>12.18.2</t>
  </si>
  <si>
    <t>3.1.1.6.3</t>
  </si>
  <si>
    <t>8.1.9.5</t>
  </si>
  <si>
    <t>8.1.9.6</t>
  </si>
  <si>
    <t>NHSRC - HCT</t>
  </si>
  <si>
    <t>HSS/ NHSRC -HCT</t>
  </si>
  <si>
    <t>9.5.1.26</t>
  </si>
  <si>
    <t>Travel Cost of State Midwifery Educators: State to National Institute</t>
  </si>
  <si>
    <t xml:space="preserve">Training of Nurse Practitioners in Midwifery </t>
  </si>
  <si>
    <t>9.5.1.27</t>
  </si>
  <si>
    <t>16.1.2.1.23</t>
  </si>
  <si>
    <t>16.2.1.23</t>
  </si>
  <si>
    <t>9.2.4</t>
  </si>
  <si>
    <t>State level Midwifery Educators</t>
  </si>
  <si>
    <t>Monitoring &amp; Evaluation under MVCR</t>
  </si>
  <si>
    <t>Logistic for Entomological Lab Strengthening and others under MVCR</t>
  </si>
  <si>
    <t>9.5.12.8</t>
  </si>
  <si>
    <t>Training under MVCR</t>
  </si>
  <si>
    <t>11.15.8</t>
  </si>
  <si>
    <t>IEC/ BCC activities under MVCR</t>
  </si>
  <si>
    <t>1.1.7.8</t>
  </si>
  <si>
    <t>Patient requiring Blood Transfusion: 1) Patients with blood disorders 2) Patients in Trauma 3) Other requiring blood transfusion</t>
  </si>
  <si>
    <t>IEC/BCC activities under Blood Services</t>
  </si>
  <si>
    <t>IEC/BCC activities under Blood Disorders</t>
  </si>
  <si>
    <t>Hemo-Dialysis Services under PMNDP</t>
  </si>
  <si>
    <t>Peritoneal Dialysis Services under PMNDP</t>
  </si>
  <si>
    <t>1.1.6.5.1</t>
  </si>
  <si>
    <t>1.1.6.5.2</t>
  </si>
  <si>
    <t>14.1.1.4</t>
  </si>
  <si>
    <t>14.1.1.5</t>
  </si>
  <si>
    <t>Mobility support for SPMU</t>
  </si>
  <si>
    <t>Mobility support for DPMU</t>
  </si>
  <si>
    <t>Administrative expenses (including Review meetings, workshops,  etc.) for SPMU</t>
  </si>
  <si>
    <t>Administrative expenses (including Review meetings, workshops,  etc.) for DPMU</t>
  </si>
  <si>
    <t>U.16.4.2</t>
  </si>
  <si>
    <t>U.16.4.3</t>
  </si>
  <si>
    <t>U.16.4.4</t>
  </si>
  <si>
    <t xml:space="preserve">Office Operational Cost </t>
  </si>
  <si>
    <t>Abstract for NVHCP</t>
  </si>
  <si>
    <t>1.3.1.18.1</t>
  </si>
  <si>
    <t>1.3.1.18.2</t>
  </si>
  <si>
    <t>RMNCH+A</t>
  </si>
  <si>
    <t>AYUSH</t>
  </si>
  <si>
    <t>ASHA</t>
  </si>
  <si>
    <t>Incentives for Peer Educators under NVHCP</t>
  </si>
  <si>
    <t>Any Other (please specify)</t>
  </si>
  <si>
    <t>FP/ RC-CP</t>
  </si>
  <si>
    <t>IEC activities for Ayushman Bharat Health &amp; Wellness centre (H&amp;WC)</t>
  </si>
  <si>
    <t>ASHA incentives for Ayushman Bharat Health &amp; Wellness Centres (H&amp;WC)</t>
  </si>
  <si>
    <t>Printing activities for Ayushman Bharat H&amp;WC</t>
  </si>
  <si>
    <t>Strengthening of diagnostic services of Ayushman Bharat H&amp;WC through PPP</t>
  </si>
  <si>
    <t>Blood bank/ BCSU/ BSU/ Day care centre for hemoglobinopathies</t>
  </si>
  <si>
    <t>HRH</t>
  </si>
  <si>
    <t>Trainings at District Hospital</t>
  </si>
  <si>
    <t>Trainings at CHC/Sub-Divisional Hospital</t>
  </si>
  <si>
    <t>Trainings at PHC</t>
  </si>
  <si>
    <t>11.24.4.1</t>
  </si>
  <si>
    <t>11.24.4.2</t>
  </si>
  <si>
    <t>IEC/BCC for NTCP</t>
  </si>
  <si>
    <t>IEC/BCC material used for patient counselling</t>
  </si>
  <si>
    <t>MH/ HRH</t>
  </si>
  <si>
    <t>HSS/NHSRC QA</t>
  </si>
  <si>
    <t>Vehicle hiring for drug transportation</t>
  </si>
  <si>
    <t>15.5.1.1</t>
  </si>
  <si>
    <t>For GIA to NGOs for setting up/expanding eye care unit in semi-urban/ rural area</t>
  </si>
  <si>
    <t>SHSRC</t>
  </si>
  <si>
    <t>16.4.1.2.1</t>
  </si>
  <si>
    <t>16.4.1.2.2</t>
  </si>
  <si>
    <t>All district level PM staff under RMNCH+A, A.10, Burn &amp; Injury, Blood Services &amp; Disorders, ASHA programme, Quality Assurance, CPHC and other HSS components</t>
  </si>
  <si>
    <t>All state level PM staff under RMNCH+A, A.10, Burn &amp; Injury, Blood Services &amp; Disorders, ASHA programme, Quality Assurance, CPHC and other HSS components</t>
  </si>
  <si>
    <t>All block level PM staff under RMNCH+A, A.10, Burn &amp; Injury, Blood Services &amp; Disorders, ASHA programme, Quality Assurance, CPHC and other HSS components</t>
  </si>
  <si>
    <t xml:space="preserve">Annual increment for all the existing SD positions </t>
  </si>
  <si>
    <t>Annual increment for all the existing positions</t>
  </si>
  <si>
    <t>Annual increment for all the existing PM positions</t>
  </si>
  <si>
    <t>13.3.2</t>
  </si>
  <si>
    <t>HSS/NHSRC PHA</t>
  </si>
  <si>
    <t>B15.2.8/ 16.1.5.3.5</t>
  </si>
  <si>
    <t>16.1.5.3.14.1</t>
  </si>
  <si>
    <t>Any Other Activity</t>
  </si>
  <si>
    <t>NIDDCP Grand Total</t>
  </si>
  <si>
    <t>Blood Services Grand Total</t>
  </si>
  <si>
    <t>Training of MO and Staff Nurse for H&amp;WC</t>
  </si>
  <si>
    <t>Training of Staff for Ayushman Bharat Health &amp; Wellness Centre (H&amp;WC)</t>
  </si>
  <si>
    <t>Infrastructure strengthening of UPHC to H&amp;WC</t>
  </si>
  <si>
    <t>U.6.5.1</t>
  </si>
  <si>
    <t>U.6.5.2</t>
  </si>
  <si>
    <t>Tablets/ software for IT support of Ayushman Bharat H&amp;WC</t>
  </si>
  <si>
    <t>Telemedicine/ teleconsultation facility at Ayushman Bharat H&amp;WC</t>
  </si>
  <si>
    <t>U.17.2</t>
  </si>
  <si>
    <t>U.18.1</t>
  </si>
  <si>
    <t>U.15.2</t>
  </si>
  <si>
    <t>U.8.4.2</t>
  </si>
  <si>
    <t>U.12.2</t>
  </si>
  <si>
    <t>IEC activities for Health &amp; Wellness centre (H&amp;WC)</t>
  </si>
  <si>
    <t>U.16.1.2</t>
  </si>
  <si>
    <t>U.16.1.3</t>
  </si>
  <si>
    <t>U.16.1.4</t>
  </si>
  <si>
    <t>U.16.4.1.1</t>
  </si>
  <si>
    <t>U.16.4.1.2</t>
  </si>
  <si>
    <t>U.16.4.1.3</t>
  </si>
  <si>
    <t>U.16.4.2.1</t>
  </si>
  <si>
    <t>U.16.4.2.2</t>
  </si>
  <si>
    <t>U.16.4.3.1</t>
  </si>
  <si>
    <t>U.16.4.3.2</t>
  </si>
  <si>
    <t>U.16.4.5</t>
  </si>
  <si>
    <t>U.16.1.5</t>
  </si>
  <si>
    <t>U.16.1.5.1</t>
  </si>
  <si>
    <t>U.16.1.5.1.1</t>
  </si>
  <si>
    <t>U.16.1.5.1.2</t>
  </si>
  <si>
    <t>U.16.1.5.1.3</t>
  </si>
  <si>
    <t>Non-Metro Sub Total</t>
  </si>
  <si>
    <t>PMNDP Grand Total</t>
  </si>
  <si>
    <t>Abstract for Ayushman Bharat Health &amp; Wellness Centres (H&amp;WC)</t>
  </si>
  <si>
    <t>Ayushman Bharat- H&amp;WC Grand Total</t>
  </si>
  <si>
    <t>ASHA Grand Total</t>
  </si>
  <si>
    <t>AYUSH Grand Total</t>
  </si>
  <si>
    <t>HMIS-MCTS Grand Total</t>
  </si>
  <si>
    <t>Implementation of Human Resource Information System (HRIS)</t>
  </si>
  <si>
    <t>HRH-HPIP NHSRC</t>
  </si>
  <si>
    <t>NPPCD Grand Total</t>
  </si>
  <si>
    <t>HSS-FMG</t>
  </si>
  <si>
    <t>Abstract for Prevention and Management of Burn &amp; Injuries</t>
  </si>
  <si>
    <t>IDSP Grand Total</t>
  </si>
  <si>
    <t>NVBDCP Grand Total</t>
  </si>
  <si>
    <t>NLEP Grand Total</t>
  </si>
  <si>
    <t>NVHCP Grand Total</t>
  </si>
  <si>
    <t>NPCB Grand Total</t>
  </si>
  <si>
    <t>Fixed tele- ophthalmic network unit in Got. Set up/ internet based ophthalmic consultation unit)</t>
  </si>
  <si>
    <t>Compensation for IUCD insertion at health facilities (including fixed day services at SHC and PHC)
[Provide breakup: Private Sector]</t>
  </si>
  <si>
    <t>PPIUCD services: Compensation to beneficiary for PPIUCD insertion</t>
  </si>
  <si>
    <t>PAIUCD Services: Compensation to beneficiary per PAIUCD insertion</t>
  </si>
  <si>
    <t>Screening and free spectacles to school children</t>
  </si>
  <si>
    <t>Screening and free spectacles for near work to Old Person</t>
  </si>
  <si>
    <t>Assistance for consumables/drugs/medicines to the Govt./District Hospital for Cat sx etc</t>
  </si>
  <si>
    <t>Incentive to provider for IUCD insertion at health facilities (including fixed day services at SHC and PHC) [Provide breakup: Public Sector]</t>
  </si>
  <si>
    <t>Incentive to provider for PPIUCD services</t>
  </si>
  <si>
    <t>Incentive to provider for PAIUCD Services</t>
  </si>
  <si>
    <t>NMHP Grand Total</t>
  </si>
  <si>
    <t>NPHCE Grand Total</t>
  </si>
  <si>
    <t>NTCP Grand Total</t>
  </si>
  <si>
    <t>NPCDCS Grand Total</t>
  </si>
  <si>
    <t>Additional MF Survey</t>
  </si>
  <si>
    <t>ICT Survey</t>
  </si>
  <si>
    <t>LY &amp; Hy Survey in 350 dist.</t>
  </si>
  <si>
    <t>Mf Survey in Non- endemic dist.</t>
  </si>
  <si>
    <t>ICT survey in 200 dist.</t>
  </si>
  <si>
    <t>9.5.29.8</t>
  </si>
  <si>
    <t>NRCP</t>
  </si>
  <si>
    <t>Abstract for NRCP</t>
  </si>
  <si>
    <t>NRCP Grand Total</t>
  </si>
  <si>
    <t>17.2.1</t>
  </si>
  <si>
    <t>17.2.2</t>
  </si>
  <si>
    <t>IT Initiatives under Ayushman Bharat H&amp;WC</t>
  </si>
  <si>
    <t>Other IT Initiatives (please specify)</t>
  </si>
  <si>
    <t>Telemedicine/ teleconsultation facility under Ayushman Bharat H&amp;WC</t>
  </si>
  <si>
    <t>11.24.4.4</t>
  </si>
  <si>
    <t>12.17.3</t>
  </si>
  <si>
    <t>16.1.2.2.17</t>
  </si>
  <si>
    <t>Monitoring and Surveillance (review meetings , Travel) under NRCP</t>
  </si>
  <si>
    <t>HRH&amp;HPIP/NRCP</t>
  </si>
  <si>
    <t>All state level PM staff under NPPCF, NPPC, NOHP, NPPCD, NPCB, NTCP, NPHCE, NPCDCS, NMHP, CCHHP</t>
  </si>
  <si>
    <t>All district level PM staff under NPPCF, NPPC, NOHP, NPPCD, NPCB, NTCP, NPHCE, NPCDCS, NMHP, CCHHP</t>
  </si>
  <si>
    <t>All block level PM staff under NPPCF, NPPC, NOHP, NPPCD, NPCB, NTCP, NPHCE, NPCDCS, NMHP, CCHHP</t>
  </si>
  <si>
    <t>Task force Meeting to draft health sector plan for Heat and Air Pollution</t>
  </si>
  <si>
    <t>Hiring of Operational Vehicle under NTCP</t>
  </si>
  <si>
    <t>16.1.2.1.22</t>
  </si>
  <si>
    <t xml:space="preserve">Sensitization workshop/ Meeting of  the State Program Officers and District level Health Officers   </t>
  </si>
  <si>
    <t>16.1.2.1.24</t>
  </si>
  <si>
    <t>11.24.4.5</t>
  </si>
  <si>
    <t>U.3.2.1.3</t>
  </si>
  <si>
    <t>U.5.3.2</t>
  </si>
  <si>
    <t>3.2.3.1</t>
  </si>
  <si>
    <t>3.2.3.2</t>
  </si>
  <si>
    <t>3.2.3.3</t>
  </si>
  <si>
    <t>Swachh Swasth Sarvatra Training</t>
  </si>
  <si>
    <t>Mera Aspataal Training</t>
  </si>
  <si>
    <t>9.5.25.5</t>
  </si>
  <si>
    <t>9.5.25.6</t>
  </si>
  <si>
    <t>11.24.4.6</t>
  </si>
  <si>
    <t>IEC Activity under NQAP, LaQshya, Kayakalp &amp; Mera-Aspataal (Signages- Approach road, Departmental, Directional and other facility level signage's)</t>
  </si>
  <si>
    <t>12.18.3</t>
  </si>
  <si>
    <t>Printing of SOPs for implementation of NQAS, Kayakalp &amp; LaQshya</t>
  </si>
  <si>
    <t>Calibration</t>
  </si>
  <si>
    <t xml:space="preserve">AERB </t>
  </si>
  <si>
    <t>EQAS for Labs</t>
  </si>
  <si>
    <t>Mera-Aspataal Implementation/ Operationalisation of Patient Feedback System</t>
  </si>
  <si>
    <t>Specific Interventions for promotion of patient safety</t>
  </si>
  <si>
    <t>13.1.1.1</t>
  </si>
  <si>
    <t>13.1.1.2</t>
  </si>
  <si>
    <t>13.1.1.3</t>
  </si>
  <si>
    <t>13.1.1.4</t>
  </si>
  <si>
    <t>13.1.1.5</t>
  </si>
  <si>
    <t>13.1.1.6</t>
  </si>
  <si>
    <t>Quality Assurance Assessment (State &amp; district Level assessment cum Mentoring Visit)</t>
  </si>
  <si>
    <t>Quality Assurance Certifications, Re-certification (National &amp; State Certification) under NQAS</t>
  </si>
  <si>
    <t>LaQshya certifications and recertification (National &amp; State Certification) under LaQshya</t>
  </si>
  <si>
    <t>Incentivisation on attainment of NQAS certification (Please provide details in Annexure)</t>
  </si>
  <si>
    <t>13.1.5</t>
  </si>
  <si>
    <t>13.1.6</t>
  </si>
  <si>
    <t>13.2.3.1</t>
  </si>
  <si>
    <t>13.2.3.2</t>
  </si>
  <si>
    <t>13.2.3.3</t>
  </si>
  <si>
    <t>13.2.3.4</t>
  </si>
  <si>
    <t>Biomedical Waste Management</t>
  </si>
  <si>
    <t>Consumables &amp; PPE</t>
  </si>
  <si>
    <t>State/ District Quality Assurance Unit (Monitoring &amp; Supervision)</t>
  </si>
  <si>
    <t>Any Other (Please specify)</t>
  </si>
  <si>
    <t>Training on Kayakalp</t>
  </si>
  <si>
    <t>Training on Swachh Swasth Sarvatra</t>
  </si>
  <si>
    <t>Training on Mera Aspataal</t>
  </si>
  <si>
    <t>Quality Assurance Assessments (State &amp; National)</t>
  </si>
  <si>
    <t>Quality Assurance incentives</t>
  </si>
  <si>
    <t>U.13.1.2</t>
  </si>
  <si>
    <t>U.13.1.3</t>
  </si>
  <si>
    <t>U.13.1.4</t>
  </si>
  <si>
    <t>Kayakalp Assessments</t>
  </si>
  <si>
    <t>Mera Aspataal/Patient feedback system</t>
  </si>
  <si>
    <t>U.13.2.3</t>
  </si>
  <si>
    <t>U.13.2.4</t>
  </si>
  <si>
    <t>U.13.2.5</t>
  </si>
  <si>
    <t xml:space="preserve">Private Provider Incentive </t>
  </si>
  <si>
    <t>7.5.1</t>
  </si>
  <si>
    <t>7.5.2</t>
  </si>
  <si>
    <t>Tribal Patient Support and transportation charges</t>
  </si>
  <si>
    <t>Child Health</t>
  </si>
  <si>
    <t>PC-PNDT</t>
  </si>
  <si>
    <t>Immunization</t>
  </si>
  <si>
    <t>1.2.3.3</t>
  </si>
  <si>
    <t xml:space="preserve">H.3.5 </t>
  </si>
  <si>
    <t>3.2.3.1.1</t>
  </si>
  <si>
    <t>3.2.3.1.2</t>
  </si>
  <si>
    <t>Diet services for JSSK Beneficiaries (3 days for Normal Delivery and 7 days for Caesarean)</t>
  </si>
  <si>
    <t>Antenatal Screening of all pregnant women coming to the facilities in their first trimester for Sickle cell trait, β Thalassemia, Haemoglobin variants esp. Haemoglobin E and Anaemia  -Refer Hemoglobinopathies guidelines</t>
  </si>
  <si>
    <t>New born screening as per  RBSK Comprehensive New-born Screening: Handbook for screening visible birth defects at all delivery points (please give details per unit cost , number of deliveries to be screened and the delivery points Add details)</t>
  </si>
  <si>
    <t>Blood collection and Transport Vans (including POL and TA /DA of HR of BCTV and other contingency)</t>
  </si>
  <si>
    <t>Follow up mechanism for the severely anaemic women and the women with blood disorders</t>
  </si>
  <si>
    <t>Mobility support for mobile health team/  TA/DA to vaccinators for coverage in vacant sub-centres</t>
  </si>
  <si>
    <t>Incentive for Home Based New-born Care programme</t>
  </si>
  <si>
    <t>ASHA Incentive under Immunization</t>
  </si>
  <si>
    <t>ASHA Incentive under ESB scheme for promoting adoption of limiting method up to two children</t>
  </si>
  <si>
    <t>ASHA incentive for one time line listing of Lymphoedema and Hydrocele cases in non-endemic dist.</t>
  </si>
  <si>
    <t>District DMHP Centre, Counselling Centre under psychology dept.. In a selected college including crisis helpline</t>
  </si>
  <si>
    <t>Equipment for AFHCs</t>
  </si>
  <si>
    <t xml:space="preserve">Equipment and mannequin </t>
  </si>
  <si>
    <t>Models and Equipment for DAKSHATA training</t>
  </si>
  <si>
    <t>Equipment for Blood Banks/BSU/BCSU</t>
  </si>
  <si>
    <t>Equipment for Day Care Centre</t>
  </si>
  <si>
    <t>Health Products- Equipment (HPE) - GFATM</t>
  </si>
  <si>
    <t>IFA tablets  (IFA WIFS Junior tablets- pink sugar coated) for children (5-10 yrs.)</t>
  </si>
  <si>
    <t>Albendazole Tablets for children (5-10 yrs.)</t>
  </si>
  <si>
    <t>IFA tablets under WIFS (10-19 yrs.)</t>
  </si>
  <si>
    <t>Albendazole Tablets under WIFS (10-19 yrs.)</t>
  </si>
  <si>
    <t xml:space="preserve">Drugs and Supplies for blood related disorders- Haemoglobinopathies &amp; Haemophilia </t>
  </si>
  <si>
    <t>Quinine Injections and Artesunate Injection</t>
  </si>
  <si>
    <t>Procurement under GFATM</t>
  </si>
  <si>
    <t>Consumables for laboratory under NVHCP (plasticware, RUP, evacuated vacuum tubes, waste disposal bags, Kit for HBsAg titre, grant for calibration of small equipment, money for EQAS)</t>
  </si>
  <si>
    <t>Pathologists/ Haematologists</t>
  </si>
  <si>
    <t>Audiometric Asstt.</t>
  </si>
  <si>
    <t>Instructor for Hearing Impaired Children</t>
  </si>
  <si>
    <t>Orientation activities on vitamin A supplementation and Anaemia Mukta Bharat Programme</t>
  </si>
  <si>
    <t xml:space="preserve">4 days Training for facility based new-born care </t>
  </si>
  <si>
    <t>2 weeks observership for facility based new-born care</t>
  </si>
  <si>
    <t>One day Orientation of frontline workers (ASHA/ANM) and allied department workers (Teachers/AWW) on Anaemia Mukt Bharat strategy. As per RCH training norms</t>
  </si>
  <si>
    <t>TOT (Injectable Contraceptive Trainings)</t>
  </si>
  <si>
    <t>Training of Medical officers (Injectable Contraceptive Trainings)</t>
  </si>
  <si>
    <t>Training of AYUSH doctors (Injectable Contraceptive Trainings)</t>
  </si>
  <si>
    <t>Training of Nurses (Staff Nurse/LHV/ANM) (Injectable Contraceptive Trainings)</t>
  </si>
  <si>
    <t>Orientation and training of Human Resources for Health (HRH) and counsellors in public health response to Violence against women</t>
  </si>
  <si>
    <t xml:space="preserve">Printing of labour room registers and case sheets/ LaQshya related printing </t>
  </si>
  <si>
    <t xml:space="preserve">Printing of AFHS Training manuals for  MO,  ANM and Counsellor; ANM  training manual for PE training </t>
  </si>
  <si>
    <t>Liquid Waste Treatment &amp; Disposal</t>
  </si>
  <si>
    <t>HR Support for PC&amp;PNDT Cell</t>
  </si>
  <si>
    <t>HR Support for HMIS &amp; MCTS</t>
  </si>
  <si>
    <t>To develop micro plan at sub-centre level</t>
  </si>
  <si>
    <t>PM activities for Vasectomy Fortnight celebration  (Only mobility cost): funds earmarked for district level activities</t>
  </si>
  <si>
    <t>PM activities for Vasectomy Fortnight celebration  (Only mobility cost): funds earmarked for block level activities</t>
  </si>
  <si>
    <t>Miscellaneous including Travel/POL/Stationary etc.</t>
  </si>
  <si>
    <t>Office equipment maintenance State</t>
  </si>
  <si>
    <t>Implementation of ANMOL (Excel Procurement)</t>
  </si>
  <si>
    <t xml:space="preserve">E-rakt kosh- refer to strengthening of blood services guidelines &amp; Software for hemoglobinopathies &amp; Haemophilia </t>
  </si>
  <si>
    <t>Training of PRI under National Program for Climate Change and Human Health (NPCCHH)</t>
  </si>
  <si>
    <t>NPCCHH</t>
  </si>
  <si>
    <t>3.3.3.3</t>
  </si>
  <si>
    <t>Abstract for NPCCHH</t>
  </si>
  <si>
    <t>Greening of Health sector: DH/ CHC as per IPHS guidelines</t>
  </si>
  <si>
    <t>Trainings of Medical Officers and Health Workers under NRCP</t>
  </si>
  <si>
    <t>Trainings of Medical Officers, Health Workers and Programme officers under NPCCHH</t>
  </si>
  <si>
    <t>9.5.29.9</t>
  </si>
  <si>
    <t>10.2.15</t>
  </si>
  <si>
    <t>Surveillance/ Vulnerability assessment/ Research related to Climate Change, Air Pollution and Heat related illness</t>
  </si>
  <si>
    <t>12.17.4</t>
  </si>
  <si>
    <t>Printing activities for NPCCHH</t>
  </si>
  <si>
    <t>14.2.4.1</t>
  </si>
  <si>
    <t>AVD in hard areas</t>
  </si>
  <si>
    <t>14.2.4.2</t>
  </si>
  <si>
    <t>AVD in very hard to reach areas esp. notified by States/districts</t>
  </si>
  <si>
    <t>Activity for Strengthening AH Services</t>
  </si>
  <si>
    <t>Honorarium to ICTC and other Counsellors for outreach AH activities</t>
  </si>
  <si>
    <t>School Health Programme</t>
  </si>
  <si>
    <t>12.4.6</t>
  </si>
  <si>
    <t>Printing teachers training manual, training curriculum and facilitators guide</t>
  </si>
  <si>
    <t>District NCD Clinic: Strengthening of lab, Mobility, Miscellaneous &amp; Contingencies</t>
  </si>
  <si>
    <t>1.3.1.20</t>
  </si>
  <si>
    <t>Any Other (Specify)</t>
  </si>
  <si>
    <t>Operational cost of e-VIN (like temperature logger sim card and  Data sim card for e-VIN)</t>
  </si>
  <si>
    <t>Total Capex Budget</t>
  </si>
  <si>
    <t>1.2.1.2.1</t>
  </si>
  <si>
    <t>1.2.1.2.2</t>
  </si>
  <si>
    <t>1.2.1.2.3</t>
  </si>
  <si>
    <t>1.2.2.1.1</t>
  </si>
  <si>
    <t>1.2.2.1.2</t>
  </si>
  <si>
    <t>1.2.2.2.1</t>
  </si>
  <si>
    <t>1.2.2.2.2</t>
  </si>
  <si>
    <t>1.2.2.2.3</t>
  </si>
  <si>
    <t>1.2.2.2.4</t>
  </si>
  <si>
    <t>1.3.1.1</t>
  </si>
  <si>
    <t>2.3.1.1.1</t>
  </si>
  <si>
    <t>2.3.1.1.2</t>
  </si>
  <si>
    <t>5.1.1.1.1</t>
  </si>
  <si>
    <t>5.1.1.1.2</t>
  </si>
  <si>
    <t>5.1.1.1.3</t>
  </si>
  <si>
    <t>5.1.1.1.4</t>
  </si>
  <si>
    <t>5.1.1.1.5</t>
  </si>
  <si>
    <t>5.1.1.1.6</t>
  </si>
  <si>
    <t>5.1.1.1.7</t>
  </si>
  <si>
    <t>5.1.1.1.8</t>
  </si>
  <si>
    <t>5.1.1.1.9</t>
  </si>
  <si>
    <t>5.1.1.1.10</t>
  </si>
  <si>
    <t>5.1.1.2.1</t>
  </si>
  <si>
    <t>5.1.1.2.2</t>
  </si>
  <si>
    <t>5.1.1.2.3</t>
  </si>
  <si>
    <t>5.1.1.2.4</t>
  </si>
  <si>
    <t>5.1.1.2.5</t>
  </si>
  <si>
    <t>5.1.1.2.6</t>
  </si>
  <si>
    <t>5.1.1.2.7</t>
  </si>
  <si>
    <t>5.1.1.2.8</t>
  </si>
  <si>
    <t>5.1.1.2.9</t>
  </si>
  <si>
    <t>5.1.1.2.10</t>
  </si>
  <si>
    <t>5.1.1.2.11</t>
  </si>
  <si>
    <t>5.1.1.2.12</t>
  </si>
  <si>
    <t>5.1.1.2.13</t>
  </si>
  <si>
    <t>5.1.1.3.1</t>
  </si>
  <si>
    <t>5.1.1.3.2</t>
  </si>
  <si>
    <t>5.1.1.3.3</t>
  </si>
  <si>
    <t>5.1.1.3.4</t>
  </si>
  <si>
    <t>5.1.1.3.5</t>
  </si>
  <si>
    <t>5.1.1.3.6</t>
  </si>
  <si>
    <t>5.1.1.3.7</t>
  </si>
  <si>
    <t>5.1.1.3.8</t>
  </si>
  <si>
    <t>5.1.1.3.9</t>
  </si>
  <si>
    <t>5.1.1.4.1</t>
  </si>
  <si>
    <t>5.1.1.4.2</t>
  </si>
  <si>
    <t>5.1.1.4.3</t>
  </si>
  <si>
    <t>5.1.1.4.4</t>
  </si>
  <si>
    <t>5.1.1.4.5</t>
  </si>
  <si>
    <t>5.1.1.4.6</t>
  </si>
  <si>
    <t>5.1.1.4.7</t>
  </si>
  <si>
    <t>6.1.1.1.1</t>
  </si>
  <si>
    <t>6.1.1.1.2</t>
  </si>
  <si>
    <t>6.1.1.1.3</t>
  </si>
  <si>
    <t>6.1.1.1.4</t>
  </si>
  <si>
    <t>6.1.1.2.1</t>
  </si>
  <si>
    <t>6.1.1.2.2</t>
  </si>
  <si>
    <t>6.1.1.3.1</t>
  </si>
  <si>
    <t>6.1.1.3.2</t>
  </si>
  <si>
    <t>6.1.1.3.3</t>
  </si>
  <si>
    <t>6.1.1.3.4</t>
  </si>
  <si>
    <t>6.1.1.3.5</t>
  </si>
  <si>
    <t>6.1.1.3.6</t>
  </si>
  <si>
    <t>6.1.1.4.1</t>
  </si>
  <si>
    <t>6.1.1.4.2</t>
  </si>
  <si>
    <t>6.1.1.5.1</t>
  </si>
  <si>
    <t>6.1.1.5.2</t>
  </si>
  <si>
    <t>6.1.1.5.3</t>
  </si>
  <si>
    <t>6.1.1.6.1</t>
  </si>
  <si>
    <t>6.1.1.6.2</t>
  </si>
  <si>
    <t>6.1.1.7.1</t>
  </si>
  <si>
    <t>6.1.1.7.2</t>
  </si>
  <si>
    <t>6.1.1.7.3</t>
  </si>
  <si>
    <t>6.1.1.7.4</t>
  </si>
  <si>
    <t>6.1.1.7.5</t>
  </si>
  <si>
    <t>6.1.1.8.1</t>
  </si>
  <si>
    <t>6.1.1.8.2</t>
  </si>
  <si>
    <t>6.1.1.9.1</t>
  </si>
  <si>
    <t>6.1.1.9.2</t>
  </si>
  <si>
    <t>6.1.1.10.1</t>
  </si>
  <si>
    <t>6.1.1.10.2</t>
  </si>
  <si>
    <t>6.1.1.11.1</t>
  </si>
  <si>
    <t>6.1.1.11.2</t>
  </si>
  <si>
    <t>6.1.1.12.1</t>
  </si>
  <si>
    <t>6.1.1.12.2</t>
  </si>
  <si>
    <t>6.1.1.13.1</t>
  </si>
  <si>
    <t>6.1.1.13.2</t>
  </si>
  <si>
    <t>6.1.1.14.1</t>
  </si>
  <si>
    <t>6.1.1.14.2</t>
  </si>
  <si>
    <t>6.1.1.15.1</t>
  </si>
  <si>
    <t>6.1.1.15.2</t>
  </si>
  <si>
    <t>6.1.1.16.1</t>
  </si>
  <si>
    <t>6.1.1.17.1</t>
  </si>
  <si>
    <t>6.1.1.18.1</t>
  </si>
  <si>
    <t>6.1.1.19.1</t>
  </si>
  <si>
    <t>6.1.1.19.2</t>
  </si>
  <si>
    <t>6.1.1.19.3</t>
  </si>
  <si>
    <t>6.1.1.19.4</t>
  </si>
  <si>
    <t>6.1.1.19.5</t>
  </si>
  <si>
    <t>6.1.1.20.1</t>
  </si>
  <si>
    <t>6.1.1.21.1</t>
  </si>
  <si>
    <t>6.1.1.21.2</t>
  </si>
  <si>
    <t>6.1.1.21.3</t>
  </si>
  <si>
    <t>6.1.1.21.4</t>
  </si>
  <si>
    <t>6.1.1.21.5</t>
  </si>
  <si>
    <t>6.1.1.22.1</t>
  </si>
  <si>
    <t>6.1.1.22.2</t>
  </si>
  <si>
    <t>6.1.1.22.3</t>
  </si>
  <si>
    <t>6.1.1.23.1</t>
  </si>
  <si>
    <t>6.1.1.23.2</t>
  </si>
  <si>
    <t>6.1.1.23.3</t>
  </si>
  <si>
    <t>6.1.1.23.4</t>
  </si>
  <si>
    <t>6.1.1.23.5</t>
  </si>
  <si>
    <t>6.1.1.24.1</t>
  </si>
  <si>
    <t>6.1.1.24.2</t>
  </si>
  <si>
    <t>6.1.1.25.1</t>
  </si>
  <si>
    <t>6.1.1.25.2</t>
  </si>
  <si>
    <t>6.1.2.1.1</t>
  </si>
  <si>
    <t>6.1.2.1.2</t>
  </si>
  <si>
    <t>6.1.2.1.3</t>
  </si>
  <si>
    <t>6.1.2.2.1</t>
  </si>
  <si>
    <t>6.1.2.2.2</t>
  </si>
  <si>
    <t>6.1.2.2.3</t>
  </si>
  <si>
    <t>6.1.2.2.4</t>
  </si>
  <si>
    <t>6.1.2.3.1</t>
  </si>
  <si>
    <t>6.1.2.3.2</t>
  </si>
  <si>
    <t>6.1.2.3.3</t>
  </si>
  <si>
    <t>6.1.2.4.1</t>
  </si>
  <si>
    <t>6.1.2.4.2</t>
  </si>
  <si>
    <t>6.1.2.5.1</t>
  </si>
  <si>
    <t>6.1.2.5.2</t>
  </si>
  <si>
    <t>6.1.2.6.1</t>
  </si>
  <si>
    <t>6.1.2.6.2</t>
  </si>
  <si>
    <t>6.1.3.1.1</t>
  </si>
  <si>
    <t>6.1.3.1.2</t>
  </si>
  <si>
    <t>6.1.3.1.3</t>
  </si>
  <si>
    <t>6.1.3.1.4</t>
  </si>
  <si>
    <t>6.1.3.1.5</t>
  </si>
  <si>
    <t>6.1.3.2.1</t>
  </si>
  <si>
    <t>6.1.3.2.2</t>
  </si>
  <si>
    <t>6.2.1.7.1</t>
  </si>
  <si>
    <t>6.2.1.7.2</t>
  </si>
  <si>
    <t>6.2.1.7.3</t>
  </si>
  <si>
    <t>6.2.1.7.4</t>
  </si>
  <si>
    <t>6.2.1.7.5</t>
  </si>
  <si>
    <t>6.2.2.8.1</t>
  </si>
  <si>
    <t>6.2.2.8.2</t>
  </si>
  <si>
    <t>6.2.2.8.3</t>
  </si>
  <si>
    <t>8.1.1.3.1</t>
  </si>
  <si>
    <t>8.1.1.3.2</t>
  </si>
  <si>
    <t>8.1.1.3.3</t>
  </si>
  <si>
    <t>8.1.4.3.1</t>
  </si>
  <si>
    <t>8.1.4.3.2</t>
  </si>
  <si>
    <t>8.1.4.3.3</t>
  </si>
  <si>
    <t>8.1.4.3.4</t>
  </si>
  <si>
    <t>8.1.7.1.1</t>
  </si>
  <si>
    <t>8.1.7.1.2</t>
  </si>
  <si>
    <t>8.1.7.1.3</t>
  </si>
  <si>
    <t>8.1.7.1.4</t>
  </si>
  <si>
    <t>8.1.7.1.5</t>
  </si>
  <si>
    <t>8.1.7.2.1</t>
  </si>
  <si>
    <t>8.1.7.2.2</t>
  </si>
  <si>
    <t>8.1.7.2.3</t>
  </si>
  <si>
    <t>8.1.7.2.4</t>
  </si>
  <si>
    <t>8.1.7.2.5</t>
  </si>
  <si>
    <t>8.1.7.2.6</t>
  </si>
  <si>
    <t>8.1.7.2.7</t>
  </si>
  <si>
    <t>8.1.7.2.8</t>
  </si>
  <si>
    <t>8.1.7.2.9</t>
  </si>
  <si>
    <t>8.1.7.2.10</t>
  </si>
  <si>
    <t>8.1.7.2.11</t>
  </si>
  <si>
    <t>8.1.7.2.12</t>
  </si>
  <si>
    <t>8.1.15.12.1</t>
  </si>
  <si>
    <t>8.1.15.12.2</t>
  </si>
  <si>
    <t>9.5.4.13.1</t>
  </si>
  <si>
    <t>9.5.4.13.2</t>
  </si>
  <si>
    <t>9.5.4.13.3</t>
  </si>
  <si>
    <t>9.5.20.1.1</t>
  </si>
  <si>
    <t>9.5.20.1.2</t>
  </si>
  <si>
    <t>9.5.20.1.3</t>
  </si>
  <si>
    <t>9.5.20.2.1</t>
  </si>
  <si>
    <t>9.5.20.2.2</t>
  </si>
  <si>
    <t>9.5.20.2.3</t>
  </si>
  <si>
    <t>9.5.20.3.1</t>
  </si>
  <si>
    <t>9.5.20.3.2</t>
  </si>
  <si>
    <t>9.5.20.3.3</t>
  </si>
  <si>
    <t>9.5.22.2.1</t>
  </si>
  <si>
    <t>9.5.22.2.2</t>
  </si>
  <si>
    <t>9.5.22.2.3</t>
  </si>
  <si>
    <t>9.5.29.5.1</t>
  </si>
  <si>
    <t>9.5.29.5.2</t>
  </si>
  <si>
    <t>9.5.29.5.3</t>
  </si>
  <si>
    <t>9.5.29.5.4</t>
  </si>
  <si>
    <t>Setting Up &amp; Strengthening of Skill Lab/ Other Training Centres or institutes including medical (DNB/CPS)/paramedical/nursing courses</t>
  </si>
  <si>
    <t>SUMAN Activities</t>
  </si>
  <si>
    <t>Upgradation of existing facilities as per IPHS norms including staff quarters</t>
  </si>
  <si>
    <t>HWC-HSCs</t>
  </si>
  <si>
    <t>New construction (to be initiated this year) as per the IPHS norms including staff quarters</t>
  </si>
  <si>
    <t>Summary of Capex Expenditure</t>
  </si>
  <si>
    <t>A</t>
  </si>
  <si>
    <t>B</t>
  </si>
  <si>
    <t>C</t>
  </si>
  <si>
    <t>D</t>
  </si>
  <si>
    <t>E</t>
  </si>
  <si>
    <t>CPHC</t>
  </si>
  <si>
    <t>NDCP</t>
  </si>
  <si>
    <t>1.1.5.7</t>
  </si>
  <si>
    <t>Engagement with NGO CBO(Community Based Organisations) for outreach</t>
  </si>
  <si>
    <t>Orientation/Planning Meeting/Launch on SAANS initiative at State or District (Pneumonia)/IDCF orientation</t>
  </si>
  <si>
    <t>9.5.2.25</t>
  </si>
  <si>
    <t>State/District ToT of SAANS, Skill Stations under SAANS</t>
  </si>
  <si>
    <t>Any other IEC/BCC activities (please specify) including SAANS campaign IEC at state/district level</t>
  </si>
  <si>
    <t>Mobility support for supervision at State level (including SAANS supportive supervision)</t>
  </si>
  <si>
    <t>HRH&amp;HPIP/RI/CH</t>
  </si>
  <si>
    <t>Printing for National Childhood Pneumonia Management Guidelines under SAANS</t>
  </si>
  <si>
    <t>3.1.2.10</t>
  </si>
  <si>
    <t>Training of ASHAs in National Childhood Pneumonia Management Guidelines under SAANS</t>
  </si>
  <si>
    <t>CH/ NHSRC-CP</t>
  </si>
  <si>
    <t>Mobility Support for DPMU/District (including SAANS supportive supervision)</t>
  </si>
  <si>
    <t>Any other trainings (please specify) related to BB and blood disorders</t>
  </si>
  <si>
    <t>One time Screening to Identify the carriers of Sickle cell trait, β Thalassemia, Haemoglobin variants at school especially class 8 students and in newborns</t>
  </si>
  <si>
    <t>Quality Assurance Training (including training for internal assessors, service providers at State and District levels)</t>
  </si>
  <si>
    <t>Treatment Supporter Honorarium (Rs 1000)</t>
  </si>
  <si>
    <t>Treatment Supporter Honorarium (Rs 5000)</t>
  </si>
  <si>
    <t>H.3.1</t>
  </si>
  <si>
    <t>H.3.4</t>
  </si>
  <si>
    <t>Grant-in-aid (For newly selected districts under NPPCF):  Laboratory Diagnostic facilities</t>
  </si>
  <si>
    <t>Recurring Grant-in-aid (For ongoing selected districts under NPPCF):  Laboratory Diagnostic facilities</t>
  </si>
  <si>
    <t xml:space="preserve">Medical devices as per National Dialysis Programme </t>
  </si>
  <si>
    <t>Any other equipment for hospital strengthening as per IPHS (please specify)</t>
  </si>
  <si>
    <t>Drugs &amp; Consumables for Haemodialysis (Erythropoietin, iron, vitamin, etc) &amp; Peritoneal dialysis (refer page 17 of guideline)</t>
  </si>
  <si>
    <t>Any other drug (please specify)</t>
  </si>
  <si>
    <t>U.16.1.2.1</t>
  </si>
  <si>
    <t>U.16.1.2.2</t>
  </si>
  <si>
    <t>U.16.1.2.3</t>
  </si>
  <si>
    <t>U.16.1.3.1</t>
  </si>
  <si>
    <t>U.16.1.3.2</t>
  </si>
  <si>
    <t>U.16.1.3.3</t>
  </si>
  <si>
    <t>U.16.1.3.4</t>
  </si>
  <si>
    <t>U.16.1.3.5</t>
  </si>
  <si>
    <t>U.16.1.4.1</t>
  </si>
  <si>
    <t>U.16.1.4.2</t>
  </si>
  <si>
    <t>U.16.1.4.3</t>
  </si>
  <si>
    <t>U.16.1.4.4</t>
  </si>
  <si>
    <t>Mobility support for CPMU</t>
  </si>
  <si>
    <t>Administrative expenses (including Review meetings, workshops,  etc.) for CPMU</t>
  </si>
  <si>
    <t>Multi-skilling of ASHA for H&amp;WC</t>
  </si>
  <si>
    <t>(Please specify)</t>
  </si>
  <si>
    <t>2.3.1.11</t>
  </si>
  <si>
    <t>Outreach for demand generation, testing and treatment of Viral Hepatitis through Mobile Medical Units/NGOs/CBOs/etc</t>
  </si>
  <si>
    <t>9.5.28.7</t>
  </si>
  <si>
    <t>Training for Community Volunteers</t>
  </si>
  <si>
    <t>12.17.5</t>
  </si>
  <si>
    <t>Printing for formats/registers under NVHCP</t>
  </si>
  <si>
    <t>15.9.8</t>
  </si>
  <si>
    <t>PPP initiative under NVHCP</t>
  </si>
  <si>
    <t>14.2.14</t>
  </si>
  <si>
    <t>Sample transportation cost under NVHCP</t>
  </si>
  <si>
    <t>16.1.2.1.25</t>
  </si>
  <si>
    <t>State level review meeting under NVHCP</t>
  </si>
  <si>
    <t>Non-recurring GIA: New Construction @80  lakh/ Extension of existing ward @ 40 lakh/ Renovation @20 lakh/ for Geriatrics Unit with 10 beds and OPD facilities at DH</t>
  </si>
  <si>
    <t>Recurring GIA: Machinery &amp; Equipment for DH @ 3 lakh/ CHC @ 0.50 lakh/ PHC @ 0.20 lakh</t>
  </si>
  <si>
    <t>Aids and Appliances for Sub-Centre/HWC Sub Centre</t>
  </si>
  <si>
    <t>Training of doctors and staff at DH level under NPHCE</t>
  </si>
  <si>
    <t>Training of doctors and staff at CHC level under NPHCE</t>
  </si>
  <si>
    <t>Training of doctors and staff at PHC level under NPHCE</t>
  </si>
  <si>
    <t>IPC,Group activities and mass media for NPHCE</t>
  </si>
  <si>
    <t>Celebration of days-ie International Day for older persons</t>
  </si>
  <si>
    <t>10.2.16</t>
  </si>
  <si>
    <t>Research in the field of Geriatric health</t>
  </si>
  <si>
    <t>2.3.2.6</t>
  </si>
  <si>
    <t>Home based care for bed-ridden elderly under NPHCE</t>
  </si>
  <si>
    <t>16.1.2.1.26</t>
  </si>
  <si>
    <t>Workshops, Conferences &amp; review meetings under NPHCE</t>
  </si>
  <si>
    <t>HRH&amp;HPIP/NPHCE</t>
  </si>
  <si>
    <t>16.1.2.1.27</t>
  </si>
  <si>
    <t>State Task Force, State Technical Advisory Committee meeting, District coordination meeting, Cross border meetings Sub National Malaria Elimination Certification process (Malaria)</t>
  </si>
  <si>
    <t>16.1.5.3.15.1</t>
  </si>
  <si>
    <t>16.1.5.3.15.2</t>
  </si>
  <si>
    <t>16.1.5.3.16</t>
  </si>
  <si>
    <t>Epidemic preparedness &amp; Response (Malaria)</t>
  </si>
  <si>
    <t>2.3.2.7</t>
  </si>
  <si>
    <t>Special anti-malarial interventions for high risk groups, for tribal population, for hard to reach areas to control and prevent resurgence of Malaria cases</t>
  </si>
  <si>
    <t>Maintenance cost of vehicles</t>
  </si>
  <si>
    <t>Comprehensive Bio-Medical Equipment Mainteance Programme</t>
  </si>
  <si>
    <t>Maintenance of Microscope</t>
  </si>
  <si>
    <t>16.1.4.1.15</t>
  </si>
  <si>
    <t>Programme Administrative Costs</t>
  </si>
  <si>
    <t>ASHA Incentive/ Honorarium for Malaria and LLIN distribution</t>
  </si>
  <si>
    <t>3.2.5.1.6</t>
  </si>
  <si>
    <t>Community Health Volunteers (CHVs) for inaccessible villages</t>
  </si>
  <si>
    <t>12.11.4</t>
  </si>
  <si>
    <t>Printing of recording and reporting forms/registers for Malaria</t>
  </si>
  <si>
    <t>Support for referral transport</t>
  </si>
  <si>
    <t>7.4.1.1</t>
  </si>
  <si>
    <t>7.4.1.2</t>
  </si>
  <si>
    <t>7.4.1.2.1</t>
  </si>
  <si>
    <t>7.4.1.2.2</t>
  </si>
  <si>
    <t>Support for Call Centre</t>
  </si>
  <si>
    <t>7.4.2.1</t>
  </si>
  <si>
    <t>7.4.1.3</t>
  </si>
  <si>
    <t>7.4.1.4</t>
  </si>
  <si>
    <t>Bike ambulance</t>
  </si>
  <si>
    <t>Boat ambulance</t>
  </si>
  <si>
    <t>State basic ambulance/Dial 102/Dial 104</t>
  </si>
  <si>
    <t xml:space="preserve">Emergency ambulance/Dial 108 </t>
  </si>
  <si>
    <t>Emergency ambulance/Dial 108 -BLS</t>
  </si>
  <si>
    <t>Emergency ambulance/Dial 108 -ALS</t>
  </si>
  <si>
    <t>District - Plan as per DHAP/Aspirational District/Model Health District Plans.</t>
  </si>
  <si>
    <t>16.1.2.2.18</t>
  </si>
  <si>
    <t>Monitoring visists - DHAP implementation in Aspirational districts/model health districts</t>
  </si>
  <si>
    <t>Other construction/ Civil works except IPHS Infrastructure</t>
  </si>
  <si>
    <t>FMR removed</t>
  </si>
  <si>
    <t>Non-recurring grant-in-aid for  Vision Centre (PHC) (NGO)</t>
  </si>
  <si>
    <t xml:space="preserve">Grant-in-aid for Vision Centre (PHC) (Govt.) </t>
  </si>
  <si>
    <t>Grant-in-aid for Eye Bank (Govt.)</t>
  </si>
  <si>
    <t>Grant-in-aid for Eye Donation Centre (Govt.)</t>
  </si>
  <si>
    <t>State level IEC for Minor State @ Rs. 10 lakh and for Major States @ Rs. 20 lakh under NPCB&amp;VI</t>
  </si>
  <si>
    <t>Reimbursement for cataract operation for NGO and Private  Practitioners as per NGO norms @ Rs. 2000</t>
  </si>
  <si>
    <t>Diabetic Retinopathy @ Rs. 2000</t>
  </si>
  <si>
    <t>Childhood Blindness @ Rs. 2000</t>
  </si>
  <si>
    <t>Glaucoma @ Rs. 2000</t>
  </si>
  <si>
    <t>Keratoplasty @ Rs. 5000</t>
  </si>
  <si>
    <t>Vitreoretinal Surgery@ Rs. 7500</t>
  </si>
  <si>
    <t>Incentive for ASHA/AWW/Volunteer/etc for detection of Leprosy (Rs 250 for detection of an early case before onset of any visible deformity, Rs 200 for detection of new case with visible deformity in hands, feet or eye)</t>
  </si>
  <si>
    <t>Call centre-OPEX</t>
  </si>
  <si>
    <t xml:space="preserve">NHM Free Drug services </t>
  </si>
  <si>
    <t>Provision of Anti-Rabies Vaccine/Anti-Rabies Serum for animal bite victims</t>
  </si>
  <si>
    <t xml:space="preserve">Procurement of drugs, diagnostic kits, supplies etc under Programme for Prevention and Control of Leptospirosis </t>
  </si>
  <si>
    <t>6.2.24</t>
  </si>
  <si>
    <t>6.2.24.1</t>
  </si>
  <si>
    <t>6.2.24.2</t>
  </si>
  <si>
    <t>6.2.24.3</t>
  </si>
  <si>
    <t>Other Drugs (please specify)</t>
  </si>
  <si>
    <t>Training at State and District level under Programme for Prevention and Control of Leptospirosis</t>
  </si>
  <si>
    <t>11.24.4.7</t>
  </si>
  <si>
    <t>16.1.2.1.28</t>
  </si>
  <si>
    <t>Review meetings under Programme for Prevention and Control of Leptospirosis</t>
  </si>
  <si>
    <t>HRH&amp;HPIP/PPCL</t>
  </si>
  <si>
    <t>16.1.3.1.20</t>
  </si>
  <si>
    <t>Mobility support under Programme for Prevention and Control of Leptospirosis</t>
  </si>
  <si>
    <t>Abstract for PPCL</t>
  </si>
  <si>
    <t>9.5.29.10</t>
  </si>
  <si>
    <t>9.5.29.11</t>
  </si>
  <si>
    <t>Training on Training Management Information System</t>
  </si>
  <si>
    <t>Procurement of equipment &amp; computer for district level Model Anti Rabies Clinics in existing health facilities</t>
  </si>
  <si>
    <t>ASHA Involvement under NLEP</t>
  </si>
  <si>
    <t>ASHA Incentive for Treatment completion of PB cases (@ Rs 400)</t>
  </si>
  <si>
    <t>HRH&amp;HPIP/NPCCHH</t>
  </si>
  <si>
    <t>3.2.6.1</t>
  </si>
  <si>
    <t>State/District TB Forums</t>
  </si>
  <si>
    <t>3.2.6.2</t>
  </si>
  <si>
    <t>Community engagement activities</t>
  </si>
  <si>
    <t>11.17.3</t>
  </si>
  <si>
    <t>TB Harega Desh Jeetega' Campaign</t>
  </si>
  <si>
    <t>10.5.1</t>
  </si>
  <si>
    <t>Sub-national Disease Free Certification</t>
  </si>
  <si>
    <t>1.1.5.8</t>
  </si>
  <si>
    <t>Diagnosis and Management under Latent TB Infection Management</t>
  </si>
  <si>
    <t>2.3.2.8</t>
  </si>
  <si>
    <t>Screening, referral linkages and follow-up under Latent TB Infection Management</t>
  </si>
  <si>
    <t>Any other</t>
  </si>
  <si>
    <t>10.5.2</t>
  </si>
  <si>
    <t>10.5.3</t>
  </si>
  <si>
    <t>10.5.4</t>
  </si>
  <si>
    <t>10.5.5</t>
  </si>
  <si>
    <t>10.5.6</t>
  </si>
  <si>
    <t>10.5.7</t>
  </si>
  <si>
    <t>15.5.4</t>
  </si>
  <si>
    <t>Multi-sectoral collaboration activities</t>
  </si>
  <si>
    <t>13.3.3</t>
  </si>
  <si>
    <t>Quality Management System for AEFI surveillance under Universal Immunisation Programme</t>
  </si>
  <si>
    <t>IEC under Programme for Prevention and Control of Leptospirosis</t>
  </si>
  <si>
    <t>IEC on Climate Sensitive Diseases at Block , District and State level  – Air pollution, Heat and other relevant Climate Sensitive diseases</t>
  </si>
  <si>
    <t>IEC/BCC under NOHP</t>
  </si>
  <si>
    <t>Digital hemoglobinometer (One digital hemoglobinometer per RBSK Team and One at each Sub-centre/ testing strip)</t>
  </si>
  <si>
    <t>6.1.1.2.3</t>
  </si>
  <si>
    <t>Handheld Pulse Oximeter and nebulizer under SAANS</t>
  </si>
  <si>
    <t>6.1.1.2.4</t>
  </si>
  <si>
    <t>1.1.6.5.3</t>
  </si>
  <si>
    <t>RO water testing (Bacteriological, endotoxin, Chemical) and tank/pipes disinfection (peracetic acid) for Dialysis</t>
  </si>
  <si>
    <t>11.24.4.8</t>
  </si>
  <si>
    <t>11.24.4.9</t>
  </si>
  <si>
    <t>HSS/NHSRC-HCT</t>
  </si>
  <si>
    <t>IEC/BCC- Free Diagnostic Service Initiative (Pathology &amp; Radiology)</t>
  </si>
  <si>
    <t>IEC/BCC - National Dialysis Programme (Haemodialysis and Peritoneal Dialysis)</t>
  </si>
  <si>
    <t>6.1.1.25.3</t>
  </si>
  <si>
    <t>9.5.29.12</t>
  </si>
  <si>
    <t>Training (quality, record keeping etc) for  lab technician on tests that are not covered under National disease control programs (Communicable and non-communicable).</t>
  </si>
  <si>
    <t>Training for Nurse, medical officer, Nephrologist, ANM/ASHA, patients &amp; bystanders on peritoneal dialysis/Haemodialysis</t>
  </si>
  <si>
    <t>9.5.29.13</t>
  </si>
  <si>
    <t>PPCL</t>
  </si>
  <si>
    <t>Spill over of Ongoing Upgradation Works approved in previous years</t>
  </si>
  <si>
    <t>H.18.1</t>
  </si>
  <si>
    <t>3.2.3.1.3</t>
  </si>
  <si>
    <t>Incentive for informant (Rs 500)</t>
  </si>
  <si>
    <t>9.1.7.1</t>
  </si>
  <si>
    <t>Support for setting up of ECHO hub at State &amp; District levels and spokes</t>
  </si>
  <si>
    <t>HSS/e-Gov</t>
  </si>
  <si>
    <t>9.1.7.2</t>
  </si>
  <si>
    <t xml:space="preserve">Honorarium/Incentive for trainers for trainings through ECHO </t>
  </si>
  <si>
    <t>9.1.7.3</t>
  </si>
  <si>
    <t>FMR Removed</t>
  </si>
  <si>
    <t>U.2.3.6</t>
  </si>
  <si>
    <t>U.6.1.5</t>
  </si>
  <si>
    <t>Equipment for AB-HWCs</t>
  </si>
  <si>
    <t>NHM Free Drug Services</t>
  </si>
  <si>
    <t>U.2.3.7</t>
  </si>
  <si>
    <t>Community based service delivery by AB-H&amp;WCs</t>
  </si>
  <si>
    <t xml:space="preserve">Procurement of Drugs &amp; Supplies </t>
  </si>
  <si>
    <t>U.16.1.2.2.1</t>
  </si>
  <si>
    <t>U.16.1.2.2.2</t>
  </si>
  <si>
    <t>P.4.4.1.1/P.4.4.1.2/P.4.4.1.3</t>
  </si>
  <si>
    <t>Procurement of drugs for facilities other than AB-HWCs (including UPHCs, UCHCs, Maternity Homes, etc)</t>
  </si>
  <si>
    <t>U.6.2.1.1</t>
  </si>
  <si>
    <t>U.6.2.1.2</t>
  </si>
  <si>
    <t>U.6.2.2.1</t>
  </si>
  <si>
    <t>U.6.2.2.2</t>
  </si>
  <si>
    <t>Supplies for Ayushman Bharat Health &amp; Wellness Centres (AB-H&amp;WC)</t>
  </si>
  <si>
    <t>Procurement of drugs for AB-H&amp;WCs</t>
  </si>
  <si>
    <t>Consumables/Supplies</t>
  </si>
  <si>
    <t>Supplies for facilities other than AB-HWCs (including UPHCs, UCHCs, Maternity Homes, etc)</t>
  </si>
  <si>
    <t>Provision of Free diagnostics at Ayushman Bharat Health &amp; Wellness Centres (AB-H&amp;WC)</t>
  </si>
  <si>
    <t>Provision of free diagnostics at facilities other than AB-HWCs (including UPHCs, UCHCs, Maternity Homes, etc)</t>
  </si>
  <si>
    <t>U.6.4.1</t>
  </si>
  <si>
    <t>U.6.4.2</t>
  </si>
  <si>
    <t>U.6.4.3</t>
  </si>
  <si>
    <t>1.2.3.4</t>
  </si>
  <si>
    <t>TB Patient Nutritional Support under Nikshay Poshan Yojana</t>
  </si>
  <si>
    <t>Patient wage loss for VL and PKDL</t>
  </si>
  <si>
    <t>3.1.1.4.8.1</t>
  </si>
  <si>
    <t>3.1.1.4.8.2</t>
  </si>
  <si>
    <t>3.1.1.4.8.3</t>
  </si>
  <si>
    <t>8.4.11</t>
  </si>
  <si>
    <t>B18.4</t>
  </si>
  <si>
    <t>U.9.5.7.1</t>
  </si>
  <si>
    <t>U.9.5.7.2</t>
  </si>
  <si>
    <t>U.9.5.7.3</t>
  </si>
  <si>
    <t>U.9.5.8.1</t>
  </si>
  <si>
    <t>U.9.5.8.2</t>
  </si>
  <si>
    <t>U.9.5.8.3</t>
  </si>
  <si>
    <t>U.9.5.8.5</t>
  </si>
  <si>
    <t>U.9.5.8.4</t>
  </si>
  <si>
    <t>U.6.3.1</t>
  </si>
  <si>
    <t>PPCL Grand Total</t>
  </si>
  <si>
    <t>PMNDP</t>
  </si>
  <si>
    <t>Approved</t>
  </si>
  <si>
    <t>Proposed</t>
  </si>
  <si>
    <t>Establishment of District level Adolescent Friendly Health Resource Centre (AFHRC)</t>
  </si>
  <si>
    <t>Infrastructure strengthening of SC  to H&amp;WC</t>
  </si>
  <si>
    <t>Infrastructure strengthening of PHC  to H&amp;WC</t>
  </si>
  <si>
    <t>Abstract for NPCB &amp; VI</t>
  </si>
  <si>
    <t>Operating Cost /OPEX for ambulances</t>
  </si>
  <si>
    <t>Trainings for Ayushman Bharat Health &amp; Wellness Centre (AB-H&amp;WC)</t>
  </si>
  <si>
    <t>Miscellaneous Activities under QA (Quality Course, etc.)</t>
  </si>
  <si>
    <t>Quality Assurance Monitoring cum Mentoring</t>
  </si>
  <si>
    <t>16.1.5.2.5.1</t>
  </si>
  <si>
    <t>16.1.5.2.5.2</t>
  </si>
  <si>
    <t>.</t>
  </si>
  <si>
    <t>8.4.12</t>
  </si>
  <si>
    <t>Incentives under NVHCP for MO, Pharmacist and LT</t>
  </si>
  <si>
    <t>16.1.3.1.18.2</t>
  </si>
  <si>
    <t>16.1.3.1.21</t>
  </si>
  <si>
    <t>16.1.3.3.17</t>
  </si>
  <si>
    <t>As in RoP 2020-21</t>
  </si>
  <si>
    <t>Physical Targets 2020-21</t>
  </si>
  <si>
    <t>Budget 2020-21</t>
  </si>
  <si>
    <t>Support for replacement of equipments (for meeting obligations of existing contract- signed before FY 2020-21, till tenancy of the same)</t>
  </si>
  <si>
    <t xml:space="preserve">Physical Achievement (as on Dec'20) </t>
  </si>
  <si>
    <t>Expenditure (as on Dec'20)</t>
  </si>
  <si>
    <t>Proposal for 2021-22</t>
  </si>
  <si>
    <t>Any Others</t>
  </si>
  <si>
    <t>8.1.1.5.1</t>
  </si>
  <si>
    <t>8.1.1.5.2</t>
  </si>
  <si>
    <t>Lab Technician</t>
  </si>
  <si>
    <t>Sr. Lab Technician 
(Graduate/ Post graduate in Biotech/ Microbiology/ Any science graduate (B.Sc) with DMLT</t>
  </si>
  <si>
    <t>18.1.1</t>
  </si>
  <si>
    <t>18.1.2</t>
  </si>
  <si>
    <t>18.1.3</t>
  </si>
  <si>
    <t>18.1.4</t>
  </si>
  <si>
    <t>18.1.5</t>
  </si>
  <si>
    <t>Innovations under RMNCH+A</t>
  </si>
  <si>
    <t>Innovations under HSS</t>
  </si>
  <si>
    <t>18.2.1</t>
  </si>
  <si>
    <t>18.2.2</t>
  </si>
  <si>
    <t>18.2.3</t>
  </si>
  <si>
    <t>18.2.4</t>
  </si>
  <si>
    <t>18.2.5</t>
  </si>
  <si>
    <t>Innovations under NDCP</t>
  </si>
  <si>
    <t>18.3.1</t>
  </si>
  <si>
    <t>18.3.2</t>
  </si>
  <si>
    <t>18.3.3</t>
  </si>
  <si>
    <t>18.3.4</t>
  </si>
  <si>
    <t>18.3.5</t>
  </si>
  <si>
    <t>Innovations under NCD</t>
  </si>
  <si>
    <t>18.4.1</t>
  </si>
  <si>
    <t>18.4.2</t>
  </si>
  <si>
    <t>18.4.3</t>
  </si>
  <si>
    <t>18.4.4</t>
  </si>
  <si>
    <t>18.4.5</t>
  </si>
  <si>
    <t>Approval for 2021-22</t>
  </si>
  <si>
    <t>Budget (Rs. In lakhs)</t>
  </si>
  <si>
    <t>Programmes</t>
  </si>
  <si>
    <t>F</t>
  </si>
  <si>
    <t>G</t>
  </si>
  <si>
    <t>H</t>
  </si>
  <si>
    <t xml:space="preserve">PM cost for E-rakt kosh- refer to strengthening of blood services guidelines </t>
  </si>
  <si>
    <t>Only for staff on deputation</t>
  </si>
  <si>
    <t>Pool/ Programme</t>
  </si>
  <si>
    <t>Strengthening of BCC/IEC Bureaus (state and district levels excl HR)</t>
  </si>
  <si>
    <t>HRH&amp;HPIP/NTEP</t>
  </si>
  <si>
    <t>NTEP</t>
  </si>
  <si>
    <t>Budget recommended by Programme Divisions (Rs. In lakhs)</t>
  </si>
  <si>
    <t>NTEP Grand Total</t>
  </si>
  <si>
    <t>IEC</t>
  </si>
  <si>
    <r>
      <t xml:space="preserve">Operating expenses for Facilities </t>
    </r>
    <r>
      <rPr>
        <sz val="11"/>
        <color indexed="8"/>
        <rFont val="Calibri"/>
        <family val="2"/>
        <scheme val="minor"/>
      </rPr>
      <t>(e.g. operating cost rent, electricity, stationary, internet, office expense etc.)</t>
    </r>
  </si>
  <si>
    <t>RKSK/ AH</t>
  </si>
  <si>
    <t>Imz</t>
  </si>
  <si>
    <t>RCH Flexible Pool</t>
  </si>
  <si>
    <t>NPPMBI</t>
  </si>
  <si>
    <t>Total</t>
  </si>
  <si>
    <t>RCH Tribal/ Vulnerable</t>
  </si>
  <si>
    <t>Blood Cell/ HSS</t>
  </si>
  <si>
    <t>HR</t>
  </si>
  <si>
    <t>PM</t>
  </si>
  <si>
    <t>Inv</t>
  </si>
  <si>
    <t>RT</t>
  </si>
  <si>
    <t>MMU</t>
  </si>
  <si>
    <t>CA</t>
  </si>
  <si>
    <t>Inf</t>
  </si>
  <si>
    <t>QA</t>
  </si>
  <si>
    <t>UF</t>
  </si>
  <si>
    <t>NFDS</t>
  </si>
  <si>
    <t>NGDgS</t>
  </si>
  <si>
    <t>BS</t>
  </si>
  <si>
    <t>HRH&amp;HPIP/ NPPCF</t>
  </si>
  <si>
    <t>PMBI Grand Total</t>
  </si>
  <si>
    <t>Abstract for NTEP</t>
  </si>
  <si>
    <t>Operating cost for Paediatric HDU, Emergency, OPD and Ward</t>
  </si>
  <si>
    <t>6.2.6.6</t>
  </si>
  <si>
    <t>Staff for Obstetric ICUs/HDUs/ Emergency</t>
  </si>
  <si>
    <t>12.2.14</t>
  </si>
  <si>
    <t>Printing for Paediatric HDU, Emergency, OPD and Ward</t>
  </si>
  <si>
    <t>U.3.1.2.1</t>
  </si>
  <si>
    <t>U.3.1.2.2</t>
  </si>
  <si>
    <t>Abstract for HMIS-RCH (MMPC Projects)</t>
  </si>
  <si>
    <t>Universal health check-up and screening of NCDs (May propose organizing outreach activities for NCD screening in non-PBS districts)</t>
  </si>
  <si>
    <t>Drugs &amp; Diagnostics Cancer care</t>
  </si>
  <si>
    <t>Drugs &amp; consumables for NCD management (includes Diabetes, Hypertension, Stroke, etc) for whole district</t>
  </si>
  <si>
    <t>COPD Drugs and Consumables in whole district</t>
  </si>
  <si>
    <t>Drugs &amp; Diagnostics for Cardiac care</t>
  </si>
  <si>
    <t>Drugs &amp; Diagnostics for NCD management (includes Diabetes, Hypertension, etc)</t>
  </si>
  <si>
    <t>Consumables for PHC level: Glucostrips, lancet, swabs, etc</t>
  </si>
  <si>
    <t>Consumables for Sub-Centre level: Glucostrips, lancet, swabs, etc</t>
  </si>
  <si>
    <t>Upgradation</t>
  </si>
  <si>
    <t xml:space="preserve">Lab strengthening for SHC - HWC </t>
  </si>
  <si>
    <t xml:space="preserve">Lab strengthening for PHC - HWC </t>
  </si>
  <si>
    <t xml:space="preserve">Training on CPCH for CHOs </t>
  </si>
  <si>
    <t xml:space="preserve">Multiskilling of MPW and ASHAs at HWCs (SHC and PHC) </t>
  </si>
  <si>
    <t xml:space="preserve">Additional Training of CHOs </t>
  </si>
  <si>
    <t>Training of MO and Staff nurses</t>
  </si>
  <si>
    <t>U.1.1.1.1</t>
  </si>
  <si>
    <t>U.1.1.1.2</t>
  </si>
  <si>
    <t>U.1.1.1.3</t>
  </si>
  <si>
    <t>U.1.1.1.4</t>
  </si>
  <si>
    <t>Incentive for RMNCH+A Services</t>
  </si>
  <si>
    <t>Incentive for MH Services</t>
  </si>
  <si>
    <t>NVBDCP- Malaria</t>
  </si>
  <si>
    <t>Incentive for CH Services</t>
  </si>
  <si>
    <t>Incentive for Immunization services</t>
  </si>
  <si>
    <t>Incentive for Immunization Services</t>
  </si>
  <si>
    <t>Incentive for NVBDCP</t>
  </si>
  <si>
    <t>MH/ NHSRC-CP</t>
  </si>
  <si>
    <t>RI/ NHSRC-CP</t>
  </si>
  <si>
    <t>FP/ NHSRC-CP</t>
  </si>
  <si>
    <t>AH/ NHSRC-CP</t>
  </si>
  <si>
    <t>Any other ASHA incentives</t>
  </si>
  <si>
    <t xml:space="preserve">Training of ASHA </t>
  </si>
  <si>
    <t xml:space="preserve">Support Mechanisms </t>
  </si>
  <si>
    <t>Supportive provisions  (uniform/ awards etc)</t>
  </si>
  <si>
    <t>ASHA incentive for supporting IRS / sensitizing community to accept IRS and Referral / Ensuring treatment for Kala-azar cases</t>
  </si>
  <si>
    <t xml:space="preserve">Filling up of CBAC form and mobilizing for NCD screening </t>
  </si>
  <si>
    <t xml:space="preserve">Follow up of NCD patients for treatment initiation and compliance </t>
  </si>
  <si>
    <t xml:space="preserve">Training on Expanded services packages at HWCs </t>
  </si>
  <si>
    <t xml:space="preserve">Supplementary /Refresher/ Other  training for ASHAs </t>
  </si>
  <si>
    <t xml:space="preserve">Supplementary /Refresher training for ASHAs </t>
  </si>
  <si>
    <t xml:space="preserve">Other training </t>
  </si>
  <si>
    <t>Support provisions to ASHA</t>
  </si>
  <si>
    <t>Uniform</t>
  </si>
  <si>
    <t>ID cards</t>
  </si>
  <si>
    <t>Awards</t>
  </si>
  <si>
    <t>Samelan</t>
  </si>
  <si>
    <t xml:space="preserve">CUG </t>
  </si>
  <si>
    <t>5.3.2/ B1.1.3.7</t>
  </si>
  <si>
    <t>Other Community level Interventions for AH Services</t>
  </si>
  <si>
    <t>Other Community level Interventions under NTEP</t>
  </si>
  <si>
    <t>Other Community level Interventions under NVHCP</t>
  </si>
  <si>
    <t>Community level Interventions for FP Services</t>
  </si>
  <si>
    <t>Other Community level Interventions for RMNCH+A Services</t>
  </si>
  <si>
    <t>Incentive under NCD</t>
  </si>
  <si>
    <t>Incentive under NIDDCP</t>
  </si>
  <si>
    <t>3.2.1.1</t>
  </si>
  <si>
    <t>3.2.1.2</t>
  </si>
  <si>
    <t>Community level Interventions for AH Services</t>
  </si>
  <si>
    <t>Community level Interventions under NVHCP</t>
  </si>
  <si>
    <t>Community Action for Health</t>
  </si>
  <si>
    <t>Other Community level Interventions under NVBDCP</t>
  </si>
  <si>
    <t>Community level Interventions under NVBDCP</t>
  </si>
  <si>
    <t>Other Community level Interventions under NCD</t>
  </si>
  <si>
    <t>Other Community level Interventions under NMHP</t>
  </si>
  <si>
    <t>Community level Interventions under NMHP</t>
  </si>
  <si>
    <t>3.2.2.1</t>
  </si>
  <si>
    <t>3.2.2.3</t>
  </si>
  <si>
    <t>Incentive under DCPs</t>
  </si>
  <si>
    <t>Incentive underNLEP</t>
  </si>
  <si>
    <t>B4.1.1 to B4.1.6/ B5.6/ A.9.10/ B.5.10</t>
  </si>
  <si>
    <t>B4.1.1 to B4.1.4/ B4.1.6/ B.5.10</t>
  </si>
  <si>
    <t>Additional building/ Major Upgradation of existing facilities/ Structure</t>
  </si>
  <si>
    <t>HSS/ CH</t>
  </si>
  <si>
    <t>Renovation of PC unit/ OPD/ Beds/ Miscellaneous equipment etc.</t>
  </si>
  <si>
    <t>Civil Works under NTEP</t>
  </si>
  <si>
    <t>Maintenance of office equipment for DTC, DRTB centre and Labs (under NTEP)</t>
  </si>
  <si>
    <t>Drugs &amp; supplies for NTEP</t>
  </si>
  <si>
    <t>Replacement of Vehicles under NTEP</t>
  </si>
  <si>
    <t>Trainings under NTEP</t>
  </si>
  <si>
    <t>IEC/BCC activities under NTEP</t>
  </si>
  <si>
    <t>Printing activities under NTEP</t>
  </si>
  <si>
    <t>Human resources for NTEP drug store</t>
  </si>
  <si>
    <t>PPP under NTEP</t>
  </si>
  <si>
    <t>All state level PM staff under IDSP, NVBDCP, NLEP, NTEP, NVHCP</t>
  </si>
  <si>
    <t>All district level PM staff under IDSP, NVBDCP, NLEP, NTEP, NVHCP</t>
  </si>
  <si>
    <t>All block level PM staff under IDSP, NVBDCP, NLEP, NTEP, NVHCP</t>
  </si>
  <si>
    <t>HSS/ Nursing</t>
  </si>
  <si>
    <t>HSS/ NHSRC-CP</t>
  </si>
  <si>
    <t>Procurement of bio-medical and other equipment: RI</t>
  </si>
  <si>
    <t>Procurement of bio-medical and other equipment: NIDDCP</t>
  </si>
  <si>
    <t xml:space="preserve">Procurement of bio-medical and other equipment: Training </t>
  </si>
  <si>
    <t>Procurement of bio-medical and other equipment: Blood Banks/BSUs</t>
  </si>
  <si>
    <t>Procurement of bio-medical and other Equipment: IDSP</t>
  </si>
  <si>
    <t>Procurement of bio-medical and other Equipment: NVBDCP</t>
  </si>
  <si>
    <t>Procurement of bio-medical and other Equipment: NLEP</t>
  </si>
  <si>
    <t>Procurement of bio-medical and other Equipment: NTEP</t>
  </si>
  <si>
    <t>Procurement of bio-medical and other Equipment: NPCB</t>
  </si>
  <si>
    <t>Procurement of bio-medical and other Equipment: NPPCD</t>
  </si>
  <si>
    <t>Procurement of bio-medical and other Equipment: NOHP</t>
  </si>
  <si>
    <t>Procurement of bio-medical and other Equipment: NPPC</t>
  </si>
  <si>
    <t>Procurement of bio-medical and other Equipment: Burns &amp; Injury</t>
  </si>
  <si>
    <t>Procurement of bio-medical and other Equipment: NMHP</t>
  </si>
  <si>
    <t>Procurement of bio-medical and other Equipment: NPHCE</t>
  </si>
  <si>
    <t>Procurement of bio-medical and other equipment: NTCP</t>
  </si>
  <si>
    <t>Procurement of bio-medical and other equipment: NPCDCS</t>
  </si>
  <si>
    <t>Procurement of bio-medical and other equipment: National Dialysis Programme</t>
  </si>
  <si>
    <t>6.1.1.16.2/ 6.1.2.2.5</t>
  </si>
  <si>
    <t>HSS/ HMIS-MCTS</t>
  </si>
  <si>
    <t>HCT</t>
  </si>
  <si>
    <t>Any other equipment (including equipment for SRC/MNCU/SNCU/ NBSU/NBCC/NRC/ etc</t>
  </si>
  <si>
    <t>Procurement of bio-medical and other equipment:  MH</t>
  </si>
  <si>
    <t>Replenishment of ASHA HBNC and HBYC kits</t>
  </si>
  <si>
    <t>Other Procurement</t>
  </si>
  <si>
    <t>Procurement of Bio-medical and other Equipment under RMNCH+A</t>
  </si>
  <si>
    <t>Procurement of Bio-medical and other Equipment under HSS</t>
  </si>
  <si>
    <t>Procurement of bio-medical and other equipment: AYUSH</t>
  </si>
  <si>
    <t>Procurement of bio-medical and other equipment:  CH</t>
  </si>
  <si>
    <t>Procurement of bio-medical and other equipment:  FP</t>
  </si>
  <si>
    <t>Procurement of bio-medical and other equipment:  AH</t>
  </si>
  <si>
    <t>Procurement of bio-medical and other equipment:  RBSK</t>
  </si>
  <si>
    <t>Procurement of bio-medical and other Equipment: NRCP</t>
  </si>
  <si>
    <t>Maintenance of bio-medical and other equipment</t>
  </si>
  <si>
    <t>Procurement of drugs and supplies under RMNCH+A</t>
  </si>
  <si>
    <t>Drugs and supplies under NRCP</t>
  </si>
  <si>
    <t>Drugs and supplies under PPCL</t>
  </si>
  <si>
    <t>Procurement of Bio-medical and other Equipment under NDCP</t>
  </si>
  <si>
    <t>Free Diagnostic services under RMNCH+A</t>
  </si>
  <si>
    <t>Free Diagnostic Services</t>
  </si>
  <si>
    <t>6.1.4</t>
  </si>
  <si>
    <t>HSS/ Nursing/ Training</t>
  </si>
  <si>
    <t>6.1.4.1</t>
  </si>
  <si>
    <t>6.1.4.2</t>
  </si>
  <si>
    <t>6.1.4.3</t>
  </si>
  <si>
    <t>6.1.4.4</t>
  </si>
  <si>
    <t>6.1.4.5</t>
  </si>
  <si>
    <t>Procurement of Bio-medical and other Equipment under NCD</t>
  </si>
  <si>
    <t>6.1.5</t>
  </si>
  <si>
    <t>6.1.5.1</t>
  </si>
  <si>
    <t>6.1.5.2</t>
  </si>
  <si>
    <t>6.1.5.3</t>
  </si>
  <si>
    <t>6.1.5.4</t>
  </si>
  <si>
    <t>6.1.5.5</t>
  </si>
  <si>
    <t>6.1.5.6</t>
  </si>
  <si>
    <t>6.1.5.7</t>
  </si>
  <si>
    <t>Procurement of drugs and supplies under HSS</t>
  </si>
  <si>
    <t xml:space="preserve">Local purchase of spare parts ( for in-house repair of medical devices by biomedical engineers/technician) </t>
  </si>
  <si>
    <t>Comprehensive Bio-Medical Equipment Maintenance Programme</t>
  </si>
  <si>
    <t>Procurement of drugs and supplies under NDCP</t>
  </si>
  <si>
    <t>Procurement of drugs and supplies under NCD</t>
  </si>
  <si>
    <t>NVBDCP-Dengue &amp; Chikungunya</t>
  </si>
  <si>
    <t>NVBDCP-AES/JE</t>
  </si>
  <si>
    <t>NVBDCP-Lymphatic Filariasis</t>
  </si>
  <si>
    <t>NVBDCP- Kala-azar</t>
  </si>
  <si>
    <t>NVBDCP-Malaria</t>
  </si>
  <si>
    <t>NVBDCP – Malaria</t>
  </si>
  <si>
    <t>HRH&amp;HPIP/ NVBDCP – Malaria</t>
  </si>
  <si>
    <t>HRH&amp;HPIP/ NVBDCP - GFATM</t>
  </si>
  <si>
    <t>HRH&amp;HPIP/ NVBDCP-Dengue &amp; Chikungunya</t>
  </si>
  <si>
    <t>HRH&amp;HPIP/ NVBDCP-AES/JE</t>
  </si>
  <si>
    <t>HRH&amp;HPIP/ NVBDCP-Lymphatic Filariasis</t>
  </si>
  <si>
    <t>HRH&amp;HPIP/ NVBDCP- Kala-azar</t>
  </si>
  <si>
    <t>Mobility support for Field activities for State MVCR Cell</t>
  </si>
  <si>
    <t>HRH&amp;HPIP/ NVBDCP-Malaria</t>
  </si>
  <si>
    <t>CP</t>
  </si>
  <si>
    <t>Supplies for Immunization</t>
  </si>
  <si>
    <t>Procurement of Drugs and Supplies</t>
  </si>
  <si>
    <t>6.1.6</t>
  </si>
  <si>
    <t>6.1.5.8</t>
  </si>
  <si>
    <t>6.1.5.9</t>
  </si>
  <si>
    <t>6.1.5.10</t>
  </si>
  <si>
    <t>6.1.6.1</t>
  </si>
  <si>
    <t>6.1.6.2</t>
  </si>
  <si>
    <t>6.1.6.3</t>
  </si>
  <si>
    <t>6.1.6.4</t>
  </si>
  <si>
    <t>6.1.6.5</t>
  </si>
  <si>
    <t>6.1.6.6</t>
  </si>
  <si>
    <t>6.1.6.7</t>
  </si>
  <si>
    <t>6.2.3.3</t>
  </si>
  <si>
    <t>6.2.3.4</t>
  </si>
  <si>
    <t>6.2.3.5</t>
  </si>
  <si>
    <t>6.2.3.6</t>
  </si>
  <si>
    <t>6.2.4.5</t>
  </si>
  <si>
    <t>6.2.4.6</t>
  </si>
  <si>
    <t>6.2.4.7</t>
  </si>
  <si>
    <t xml:space="preserve">IT equipment for HWCs (PHC and SHCS) </t>
  </si>
  <si>
    <t>6.1.2.7</t>
  </si>
  <si>
    <t>ICT for HWC- Internet connection</t>
  </si>
  <si>
    <t>IT Equipment for HWC</t>
  </si>
  <si>
    <t>Setting up Training Institutions for MH Services</t>
  </si>
  <si>
    <t>Setting up of ECHO hub</t>
  </si>
  <si>
    <t>HR for Nursing Schools/ Institutions/ Nursing Directorate/ SIHFW supported under NHM</t>
  </si>
  <si>
    <t>Conducting Trainings including medical (DNB/CPS)/paramedical/nursing courses</t>
  </si>
  <si>
    <t>Trainings under RMNCH+A</t>
  </si>
  <si>
    <t xml:space="preserve">Development/ translation and duplication of training materials </t>
  </si>
  <si>
    <t>Development of SAANS training modules</t>
  </si>
  <si>
    <t>Trainings under HSS</t>
  </si>
  <si>
    <t>Trainings under NDCP</t>
  </si>
  <si>
    <t>Trainings under NCD</t>
  </si>
  <si>
    <t>Trainings for NRCP</t>
  </si>
  <si>
    <t>Capacity Building of ARC HR at State Level</t>
  </si>
  <si>
    <t>Capacity Building of ARC HR at District Level</t>
  </si>
  <si>
    <t>Capacity Building of ARC HR at Block Level</t>
  </si>
  <si>
    <t>Trainings under NPCCHH</t>
  </si>
  <si>
    <t>Trainings for PPCL</t>
  </si>
  <si>
    <t>Other Trainings</t>
  </si>
  <si>
    <t>Other trainings</t>
  </si>
  <si>
    <t>9.1.4.1</t>
  </si>
  <si>
    <t>9.1.4.2</t>
  </si>
  <si>
    <t>9.1.4.3</t>
  </si>
  <si>
    <t>9.1.4.4</t>
  </si>
  <si>
    <t>9.1.4.5</t>
  </si>
  <si>
    <t>9.1.4.6</t>
  </si>
  <si>
    <t>9.2.1.1</t>
  </si>
  <si>
    <t>9.2.1.2</t>
  </si>
  <si>
    <t>9.2.1.3</t>
  </si>
  <si>
    <t>9.2.1.4</t>
  </si>
  <si>
    <t>9.2.1.5</t>
  </si>
  <si>
    <t>9.2.1.6</t>
  </si>
  <si>
    <t>9.2.1.7</t>
  </si>
  <si>
    <t>9.2.1.8</t>
  </si>
  <si>
    <t>Other trainings (including training under RCH Tribal/ Vulnerable)</t>
  </si>
  <si>
    <t>9.2.2.1</t>
  </si>
  <si>
    <t>9.2.2.2</t>
  </si>
  <si>
    <t>9.2.2.3</t>
  </si>
  <si>
    <t>9.2.2.4</t>
  </si>
  <si>
    <t>9.2.2.5</t>
  </si>
  <si>
    <t>9.2.2.6</t>
  </si>
  <si>
    <t>9.2.2.7</t>
  </si>
  <si>
    <t>9.2.2.8</t>
  </si>
  <si>
    <t>9.2.2.9</t>
  </si>
  <si>
    <t>9.2.2.10</t>
  </si>
  <si>
    <t>9.2.2.11</t>
  </si>
  <si>
    <t>9.2.2.12</t>
  </si>
  <si>
    <t>9.2.2.13</t>
  </si>
  <si>
    <t>9.2.2.14</t>
  </si>
  <si>
    <t>9.2.2.15</t>
  </si>
  <si>
    <t>9.2.2.16</t>
  </si>
  <si>
    <t>HR/ FMG</t>
  </si>
  <si>
    <t>PHA/ HSS</t>
  </si>
  <si>
    <t>Training related to Implementation of Clinical Establishment Act</t>
  </si>
  <si>
    <t>Trainings under PMNDP</t>
  </si>
  <si>
    <t>9.2.3.1</t>
  </si>
  <si>
    <t>9.2.4.1</t>
  </si>
  <si>
    <t>9.2.4.2</t>
  </si>
  <si>
    <t>9.2.4.3</t>
  </si>
  <si>
    <t>9.2.4.4</t>
  </si>
  <si>
    <t>9.2.4.5</t>
  </si>
  <si>
    <t>9.2.4.6</t>
  </si>
  <si>
    <t>9.2.4.7</t>
  </si>
  <si>
    <t>9.2.4.8</t>
  </si>
  <si>
    <t>9.2.4.9</t>
  </si>
  <si>
    <t>9.2.4.10</t>
  </si>
  <si>
    <t>9.2.3.2</t>
  </si>
  <si>
    <t>9.2.3.3</t>
  </si>
  <si>
    <t>9.2.3.4</t>
  </si>
  <si>
    <t>9.2.3.5</t>
  </si>
  <si>
    <t>9.2.3.6</t>
  </si>
  <si>
    <t>9.2.3.7</t>
  </si>
  <si>
    <t>Training and Capacity Building</t>
  </si>
  <si>
    <t>HSS / Nursing Directorate</t>
  </si>
  <si>
    <t>Trainings on Outreach Services/ RT</t>
  </si>
  <si>
    <t>RCH Pool</t>
  </si>
  <si>
    <t>NDCP Pool</t>
  </si>
  <si>
    <t>e-Gov</t>
  </si>
  <si>
    <t>NTEP/ HRH</t>
  </si>
  <si>
    <t>PPP under HSS</t>
  </si>
  <si>
    <t>PPP under RMNCH+A</t>
  </si>
  <si>
    <t>15.9.1/ B13.1</t>
  </si>
  <si>
    <t>15.9.2/ B13.2</t>
  </si>
  <si>
    <t>15.9.3/ B13.3</t>
  </si>
  <si>
    <t>15.9.5/ B14.1</t>
  </si>
  <si>
    <t>15.9.6/ B18.3</t>
  </si>
  <si>
    <t>15.2.2</t>
  </si>
  <si>
    <t>15.2.3</t>
  </si>
  <si>
    <t>15.2.4</t>
  </si>
  <si>
    <t>15.2.5</t>
  </si>
  <si>
    <t>15.2.6</t>
  </si>
  <si>
    <t>Any other PPP initiative under RMNCH+A</t>
  </si>
  <si>
    <t>Any other PPP initiative under HSS</t>
  </si>
  <si>
    <t>15.1.3</t>
  </si>
  <si>
    <t>PPP under NDCP</t>
  </si>
  <si>
    <t>15.3.1/ F.1.1.e</t>
  </si>
  <si>
    <t>15.3.2/ F.1.2.g</t>
  </si>
  <si>
    <t>15.3.1.1</t>
  </si>
  <si>
    <t>15.3.1.2</t>
  </si>
  <si>
    <t>15.4.1/ G.1.5</t>
  </si>
  <si>
    <t>15.4.3.1</t>
  </si>
  <si>
    <t>15.3.2.1</t>
  </si>
  <si>
    <t>15.3.2.2</t>
  </si>
  <si>
    <t>15.5.2/ H.9.1</t>
  </si>
  <si>
    <t>15.5.3/ H.9.2</t>
  </si>
  <si>
    <t>15.3.3</t>
  </si>
  <si>
    <t>15.3.3.1</t>
  </si>
  <si>
    <t>15.3.4</t>
  </si>
  <si>
    <t>PPP under NVHCP</t>
  </si>
  <si>
    <t>15.3.4.1</t>
  </si>
  <si>
    <t>15.3.5</t>
  </si>
  <si>
    <t>Any other PPP initiative under NDCP</t>
  </si>
  <si>
    <t>Public Private Partnership under NPPCD</t>
  </si>
  <si>
    <t>15.2.1/ B.25.1.2</t>
  </si>
  <si>
    <t>Reimbursement for Other Eye Diseases</t>
  </si>
  <si>
    <t>15.6.1/ I.1.1</t>
  </si>
  <si>
    <t>15.6.2/ I.1.2</t>
  </si>
  <si>
    <t>15.6.3/ I.2.3</t>
  </si>
  <si>
    <t>15.6.4/ I.2.6</t>
  </si>
  <si>
    <t>NGO based activities under NMHP</t>
  </si>
  <si>
    <t>15.8/ O.2.6</t>
  </si>
  <si>
    <t>15.8.1/ O.2.6.1</t>
  </si>
  <si>
    <t>15.8.2/ O.2.6.2</t>
  </si>
  <si>
    <t>15.8.3/ O.2.6.3</t>
  </si>
  <si>
    <t>15.9.4/ B.13.4</t>
  </si>
  <si>
    <t>PPP under NCD</t>
  </si>
  <si>
    <t>15.4.3</t>
  </si>
  <si>
    <t>15.4.3.2</t>
  </si>
  <si>
    <t>15.4.3.4</t>
  </si>
  <si>
    <t>15.4.3.5</t>
  </si>
  <si>
    <t>15.4.3.6</t>
  </si>
  <si>
    <t>15.4.4</t>
  </si>
  <si>
    <t>15.4.5</t>
  </si>
  <si>
    <t>15.4.5.1</t>
  </si>
  <si>
    <t>15.4.5.2</t>
  </si>
  <si>
    <t>15.4.5.3</t>
  </si>
  <si>
    <t>15.4.5.4</t>
  </si>
  <si>
    <t>15.4.6</t>
  </si>
  <si>
    <t>NCD Pool</t>
  </si>
  <si>
    <t>Any other PPP initiative under NCD</t>
  </si>
  <si>
    <t>Programme Management Activities under RMNCH+A</t>
  </si>
  <si>
    <t>Programme Management Activities under HSS</t>
  </si>
  <si>
    <t>Programme Management Activities under NDCP</t>
  </si>
  <si>
    <t>Programme Management Activities under NCD</t>
  </si>
  <si>
    <t>To be allocated proportionally as ber PM cost available</t>
  </si>
  <si>
    <t>PM cost related to NPCDCS</t>
  </si>
  <si>
    <t>HRH&amp;HPIP/ NHSRC-CP</t>
  </si>
  <si>
    <t>Others (SHSRC)</t>
  </si>
  <si>
    <t>Printing under RMNCH+A</t>
  </si>
  <si>
    <t>Printing under HSS</t>
  </si>
  <si>
    <t>Printing under NDCP</t>
  </si>
  <si>
    <t>Printing of formats for Monitoring and Surveillance under NRCP</t>
  </si>
  <si>
    <t>Printing activities under PPCL</t>
  </si>
  <si>
    <t>Printing activities under NPCB+VI</t>
  </si>
  <si>
    <t>Printing activities under NMHP</t>
  </si>
  <si>
    <t>Printing activities under NPHCE</t>
  </si>
  <si>
    <t>Printing activities under PMNDP</t>
  </si>
  <si>
    <t>Printing activities under Burns and Injuries</t>
  </si>
  <si>
    <t>Printing activities under NPPC</t>
  </si>
  <si>
    <t>Printing activities under NPPCD</t>
  </si>
  <si>
    <t>Printing activities under NOHP</t>
  </si>
  <si>
    <t>Printing activities under NPPCF</t>
  </si>
  <si>
    <t>Printing activities under PC-PNDT</t>
  </si>
  <si>
    <t>Printing activities under IDSP</t>
  </si>
  <si>
    <t>Printing under NCD</t>
  </si>
  <si>
    <t>12.1.6</t>
  </si>
  <si>
    <t>12.1.7</t>
  </si>
  <si>
    <t>12.3.6</t>
  </si>
  <si>
    <t>12.3.7</t>
  </si>
  <si>
    <t>12.4.7</t>
  </si>
  <si>
    <t>12.4.8</t>
  </si>
  <si>
    <t>12.4.9</t>
  </si>
  <si>
    <t>12.4.10</t>
  </si>
  <si>
    <t>12.4.11</t>
  </si>
  <si>
    <t>12.4.12</t>
  </si>
  <si>
    <t>12.17.1/ B.10.6.14.2</t>
  </si>
  <si>
    <t>IEC/ BCC activities under RMNCH+A</t>
  </si>
  <si>
    <t>IEC/ BCC activities under HSS</t>
  </si>
  <si>
    <t>IEC/ BCC activities under NDCP</t>
  </si>
  <si>
    <t>IEC/ BCC activities under NCD</t>
  </si>
  <si>
    <t>IEC/BCC under NRCP: Rabies Awareness and Do's and Don'ts in the event of Animal Bites</t>
  </si>
  <si>
    <t>11.4/ B.10.3.1</t>
  </si>
  <si>
    <t>11.5/ B.10.3.2</t>
  </si>
  <si>
    <t>11.6/ B.10.3.3</t>
  </si>
  <si>
    <t>11.7/ B.10.3.4</t>
  </si>
  <si>
    <t>11.1/ B.10.2</t>
  </si>
  <si>
    <t>11.10/ B.10.7.4.5</t>
  </si>
  <si>
    <t>11.24.1/ B18.3</t>
  </si>
  <si>
    <t>11.19/ B.10.6.12</t>
  </si>
  <si>
    <t>11.22/ O.2.3</t>
  </si>
  <si>
    <t>11.11/ B.10.6.5</t>
  </si>
  <si>
    <t>11.4.4</t>
  </si>
  <si>
    <t>11.4.5</t>
  </si>
  <si>
    <t>11.4.6</t>
  </si>
  <si>
    <t>11.4.7</t>
  </si>
  <si>
    <t>11.4.8</t>
  </si>
  <si>
    <t>11.4.9</t>
  </si>
  <si>
    <t>11.4.10</t>
  </si>
  <si>
    <t>11.4.11</t>
  </si>
  <si>
    <t>11.1.1</t>
  </si>
  <si>
    <t>11.2.1</t>
  </si>
  <si>
    <t>11.3.1</t>
  </si>
  <si>
    <t>11.1.2</t>
  </si>
  <si>
    <t>11.1.3</t>
  </si>
  <si>
    <t>11.1.4</t>
  </si>
  <si>
    <t>11.1.5</t>
  </si>
  <si>
    <t>11.1.6</t>
  </si>
  <si>
    <t>11.1.7</t>
  </si>
  <si>
    <t>11.2.2</t>
  </si>
  <si>
    <t>11.2.3</t>
  </si>
  <si>
    <t>11.2.4</t>
  </si>
  <si>
    <t>11.2.5</t>
  </si>
  <si>
    <t>11.2.6</t>
  </si>
  <si>
    <t>11.2.7</t>
  </si>
  <si>
    <t>11.3.2</t>
  </si>
  <si>
    <t>11.3.3</t>
  </si>
  <si>
    <t>11.3.4</t>
  </si>
  <si>
    <t>11.3.5</t>
  </si>
  <si>
    <t>IEC under NVHCP</t>
  </si>
  <si>
    <t>11.3.6</t>
  </si>
  <si>
    <t>IEC/ BCC under NVHCP</t>
  </si>
  <si>
    <t>Monthly meeting with the hospital staff, Weekly FGD with the tobacco users</t>
  </si>
  <si>
    <t>Implementation of Tobacco Free Educational Institutions (ToFEI) Guidelines in all Educational Institutions</t>
  </si>
  <si>
    <t>Coverage of Public School and Pvt School</t>
  </si>
  <si>
    <t>Sensitization campaign for college students and other educational institutions</t>
  </si>
  <si>
    <t>Trainings under NTCP at District level</t>
  </si>
  <si>
    <t>Trainings under NTCP at State level</t>
  </si>
  <si>
    <t>Support for implementation of NVBDCP</t>
  </si>
  <si>
    <t>Support for implementation of NTEP</t>
  </si>
  <si>
    <t>Support for implementation of NLEP</t>
  </si>
  <si>
    <t>Support for implementation of NRCP</t>
  </si>
  <si>
    <t>Support for implementation of NPPC</t>
  </si>
  <si>
    <t>Support for implementation of NVHCP</t>
  </si>
  <si>
    <t>Support for implementation of NMHP</t>
  </si>
  <si>
    <t>Support for implementation of NTCP</t>
  </si>
  <si>
    <t>Support for implementation of NPHCE</t>
  </si>
  <si>
    <t>Support for implementation of NPCDCS</t>
  </si>
  <si>
    <t>U.1.1.2.1</t>
  </si>
  <si>
    <t>U.1.1.2.2</t>
  </si>
  <si>
    <t>U.1.1.2.3</t>
  </si>
  <si>
    <t>U.1.1.2.4</t>
  </si>
  <si>
    <t>U.1.1.2.5</t>
  </si>
  <si>
    <t>U.1.1.2.6</t>
  </si>
  <si>
    <t>U.1.1.2.7</t>
  </si>
  <si>
    <t>Special outreach activities in slums and similar areas with focus on Communicable &amp; Non Communicable Diseases</t>
  </si>
  <si>
    <t>Module Training (Induction, VI &amp; VII)</t>
  </si>
  <si>
    <t>U.3.1.3.2</t>
  </si>
  <si>
    <t>U.3.1.3.3</t>
  </si>
  <si>
    <t>Not Applicable</t>
  </si>
  <si>
    <t>U.5.1.5</t>
  </si>
  <si>
    <t>U.6.1.6</t>
  </si>
  <si>
    <t>Biomedical Equipment Maintenance</t>
  </si>
  <si>
    <t>U.6.2.1.3</t>
  </si>
  <si>
    <t>HBNC Kits and HBYC-ECD kit</t>
  </si>
  <si>
    <t>U.6.1.7</t>
  </si>
  <si>
    <t>U.6.1.7.1</t>
  </si>
  <si>
    <t>U.6.1.7.2</t>
  </si>
  <si>
    <t>U.6.1.7.3</t>
  </si>
  <si>
    <t>U.6.3.2</t>
  </si>
  <si>
    <t>Conducting Trainings</t>
  </si>
  <si>
    <t>P.3.2.1/ U.9.5.1</t>
  </si>
  <si>
    <t>P.3.2.2/ U.9.5.2</t>
  </si>
  <si>
    <t>P.3.2.3/ U.9.5.3</t>
  </si>
  <si>
    <t>P.3.2.4/ U.9.5.4</t>
  </si>
  <si>
    <t>P.3.2.6/ U.9.5.5</t>
  </si>
  <si>
    <t>P.3.2.7/ U.9.5.6</t>
  </si>
  <si>
    <t>Training on Disease control program if required (Please specify )</t>
  </si>
  <si>
    <t>Performance linked Payment/ Team based incentives for Ayushman Bharat Health &amp; Wellness Centres (H&amp;WC)</t>
  </si>
  <si>
    <t>Multi-skilling of MPW for H&amp;WC</t>
  </si>
  <si>
    <t>Training on the Standard Treatment Protocols</t>
  </si>
  <si>
    <t>P.3.2.8/ U.9.5.7.4</t>
  </si>
  <si>
    <t>U.9.2.1</t>
  </si>
  <si>
    <t>U.9.2.2</t>
  </si>
  <si>
    <t>U.9.2.3</t>
  </si>
  <si>
    <t>U.9.2.4</t>
  </si>
  <si>
    <t>U.9.2.5</t>
  </si>
  <si>
    <t>U.9.2.6</t>
  </si>
  <si>
    <t>U.9.2.7</t>
  </si>
  <si>
    <t>U.9.2.7.1</t>
  </si>
  <si>
    <t>U.9.2.7.2</t>
  </si>
  <si>
    <t>U.9.2.7.3</t>
  </si>
  <si>
    <t>U.9.2.8</t>
  </si>
  <si>
    <t>U.9.2.9</t>
  </si>
  <si>
    <t>U.9.2.10</t>
  </si>
  <si>
    <t>U.9.2.11</t>
  </si>
  <si>
    <t>U.9.2.12</t>
  </si>
  <si>
    <t>U.9.2.13</t>
  </si>
  <si>
    <t>IEC/ BCC activities under NUHM</t>
  </si>
  <si>
    <t>Strengthening of services of AB-H&amp;WC through PPP</t>
  </si>
  <si>
    <t>E-Gov/CP-CPHC/NUHM</t>
  </si>
  <si>
    <t>PHA/ NUHM</t>
  </si>
  <si>
    <t>CPHC/ NUHM</t>
  </si>
  <si>
    <t>CP/ NUHM</t>
  </si>
  <si>
    <t>HCT/ NUHM</t>
  </si>
  <si>
    <t>HRH/ NUHM</t>
  </si>
  <si>
    <t>HMIS/ NUHM</t>
  </si>
  <si>
    <t>QA/ HRH/ NUHM</t>
  </si>
  <si>
    <t>CPHC/ HRH/ NUHM</t>
  </si>
  <si>
    <t>CPHC 2</t>
  </si>
  <si>
    <t>CPHC 5</t>
  </si>
  <si>
    <t>CPHC 6</t>
  </si>
  <si>
    <t>CPHC 8</t>
  </si>
  <si>
    <t>CPHC 9</t>
  </si>
  <si>
    <t>CPHC 11</t>
  </si>
  <si>
    <t>CPHC 12</t>
  </si>
  <si>
    <t>CPHC 15</t>
  </si>
  <si>
    <t>CPHC 16</t>
  </si>
  <si>
    <t>CPHC 17</t>
  </si>
  <si>
    <t>Maternal Health</t>
  </si>
  <si>
    <t>Operating expenses for SNCU</t>
  </si>
  <si>
    <t>Operating expenses for NBSU</t>
  </si>
  <si>
    <t>Operating expenses for NBCC</t>
  </si>
  <si>
    <t>Operating expenses for NRCs</t>
  </si>
  <si>
    <t>Operating expenses for Family participatory care (KMC)</t>
  </si>
  <si>
    <t>Operating expenses for AH/ RKSK Clinics</t>
  </si>
  <si>
    <t>Operating expenses for State new-born resource centre</t>
  </si>
  <si>
    <t>Operating expenses for Mother new-born Care Unit</t>
  </si>
  <si>
    <t>RKSK/ Adolscent health</t>
  </si>
  <si>
    <t>MTC: Meeting Costs/Office expenses/Contingency (photocopy, internet/communication/ Resistance testing in selected cases/ Printing M &amp; E tools/ Tablets for M &amp; E if needed) etc)</t>
  </si>
  <si>
    <t>MTC: Management of Hep A &amp; E</t>
  </si>
  <si>
    <t>TC: Meeting Costs/Office expenses/Contingency</t>
  </si>
  <si>
    <t>TC: Management of Hep A &amp; E</t>
  </si>
  <si>
    <t>Blood services (for MH)</t>
  </si>
  <si>
    <t>State Remarks (including key deliverable to be met)</t>
  </si>
  <si>
    <t>MH/ CP</t>
  </si>
  <si>
    <t>Nursing Directorate/ HSS</t>
  </si>
  <si>
    <t>Training division</t>
  </si>
  <si>
    <t>RCH-Others (incl Tribal/ Vulnerable Group)</t>
  </si>
  <si>
    <t>Training/ HRH</t>
  </si>
  <si>
    <t>Training division/ HRH</t>
  </si>
  <si>
    <t>Support for implementation of IDSP</t>
  </si>
  <si>
    <t>Support for implementation of PPCL</t>
  </si>
  <si>
    <t>Support for implementation of NPCB+Vi</t>
  </si>
  <si>
    <t>Support for implementation of PMNDP</t>
  </si>
  <si>
    <t>Support for implementation of NPCCHH</t>
  </si>
  <si>
    <t>Support for implementation of NPPCD</t>
  </si>
  <si>
    <t>Support for implementation of NPPCF</t>
  </si>
  <si>
    <t>Support for implementation of NOHP</t>
  </si>
  <si>
    <t>U.1.1.2.8</t>
  </si>
  <si>
    <t>U.1.1.2.9</t>
  </si>
  <si>
    <t>U.1.1.2.10</t>
  </si>
  <si>
    <t>U.1.1.2.11</t>
  </si>
  <si>
    <t>U.1.1.1.5</t>
  </si>
  <si>
    <t>U.1.1.1.6</t>
  </si>
  <si>
    <t>U.1.1.1.7</t>
  </si>
  <si>
    <t>Urban Local Bodies (ULBs)</t>
  </si>
  <si>
    <t xml:space="preserve">Untied Funds/Annual Maintenance Grants /Corpus Grants to HMS/RKS/ Jan Arogya Samiti </t>
  </si>
  <si>
    <t>HMIS/ MCTC</t>
  </si>
  <si>
    <t>Sample collection &amp; transportation charges</t>
  </si>
  <si>
    <t>15.5.3</t>
  </si>
  <si>
    <t>Any PPM-PP/NGO Support</t>
  </si>
  <si>
    <t>Upgradation/ Renovation of HWC-HSCs</t>
  </si>
  <si>
    <t>Spill over of Ongoing Upgradation Works - HWC-HSCs</t>
  </si>
  <si>
    <t>Team based incentives for Health &amp; Wellness Centres (H&amp;WC - PHC)</t>
  </si>
  <si>
    <t>Team based incentives for Health &amp; Wellness Centres (H&amp;WC - Sub Centre)</t>
  </si>
  <si>
    <t>Other Community level Interventions under NDCP- NVBDCP, NVHCP</t>
  </si>
  <si>
    <t>Other Community level Interventions under NDCP- NTEP</t>
  </si>
  <si>
    <t>3.2.3.1.4</t>
  </si>
  <si>
    <t>Other Activities</t>
  </si>
  <si>
    <t>3.2.6</t>
  </si>
  <si>
    <t>Spill over of Ongoing Upgradation-MCH Wings</t>
  </si>
  <si>
    <t>Spill over of Ongoing Upgradation-Facility based new-born care centres (SNCU/NBSU/NBCC/KMC unit)/MNCU &amp; State resource centre/CLMC units/Paediatric HDUs</t>
  </si>
  <si>
    <t>New construction: MCH Wings</t>
  </si>
  <si>
    <t>New construction: Facility based new-born care centres (SNCU/NBSU/NBCC/KMC unit)</t>
  </si>
  <si>
    <t>New construction: DEIC (RBSK)</t>
  </si>
  <si>
    <t>Carry forward: DEIC (RBSK)</t>
  </si>
  <si>
    <t>Carry forward: Facility based new-born care centres (SNCU/NBSU/NBCC/KMC unit/ Mother New-born Care Unit/ State Resource Centre/Paediatric HDU</t>
  </si>
  <si>
    <t>Additional building/ Major Upgradation of MCH Wings</t>
  </si>
  <si>
    <t>Additional building/ Major Upgradation of Facility based new-born care centres (SNCU/NBSU/NBCC/KMC unit)</t>
  </si>
  <si>
    <t>IEC activities</t>
  </si>
  <si>
    <t>Procurement of equipment</t>
  </si>
  <si>
    <t/>
  </si>
  <si>
    <t>Incentive under NVBDCP</t>
  </si>
  <si>
    <t>Sub-national Disease Free Certification: Tuberculosis</t>
  </si>
  <si>
    <t>Sub-national Disease Free Certification: Leprosy</t>
  </si>
  <si>
    <t>Sub-national Disease Free Certification: Kala Azar</t>
  </si>
  <si>
    <t>Sub-national Disease Free Certification: Lymphatic Filariasis</t>
  </si>
  <si>
    <t>Sub-national Disease Free Certification: Malaria</t>
  </si>
  <si>
    <t>Sub-national Disease Free Certification: Cataract/Blindness</t>
  </si>
  <si>
    <t>Any other Sub-national Disease Free Certification</t>
  </si>
  <si>
    <t>Others (please specify) including welfare fund for staff</t>
  </si>
  <si>
    <t>16.4.6</t>
  </si>
  <si>
    <t>Fund for NHM staff welfare</t>
  </si>
  <si>
    <t>NUHM Metro</t>
  </si>
  <si>
    <t>NUHM Non-Metro</t>
  </si>
  <si>
    <t>15.4.7</t>
  </si>
  <si>
    <t>G.1.1 &amp; G. 1.2</t>
  </si>
  <si>
    <t>Case detection &amp; Management</t>
  </si>
  <si>
    <t>ASHA Incentive for Treatment completion of MB cases (@ Rs 600)</t>
  </si>
  <si>
    <t>IEC/BCC: Mass media, Outdoor media, Rural media, Advocacy media for NLEP including Sparsh Leprosy Awareness Campaign</t>
  </si>
  <si>
    <t>ELISA facility to Sentinel
Surveillance Hospital/ Laboratories</t>
  </si>
  <si>
    <t>Procurement of Insecticides (Technical Malathion/Cyphenothrin)</t>
  </si>
  <si>
    <t>Epidemic preparedness (Dengue &amp; Chikungunya)</t>
  </si>
  <si>
    <t>Mobility support for ANM @ Rs. 1000 p.m.</t>
  </si>
  <si>
    <t>Proposed for UHNDs @ 100/- per ASHA per month for 118 Urban ASHA.</t>
  </si>
  <si>
    <t>0,6</t>
  </si>
  <si>
    <r>
      <t xml:space="preserve">It is proposed that the Induction training of 8 batches for newly recruited ASHAs in the State. </t>
    </r>
    <r>
      <rPr>
        <b/>
        <sz val="12"/>
        <color theme="1"/>
        <rFont val="Arial"/>
        <family val="2"/>
      </rPr>
      <t xml:space="preserve">(Annexure CP-1 (HP) </t>
    </r>
  </si>
  <si>
    <r>
      <t xml:space="preserve">It is proposed that the module 6 &amp; 7 module training of 32 batches (5 day each module) for newly recruited ASHAs in the State.           </t>
    </r>
    <r>
      <rPr>
        <b/>
        <sz val="12"/>
        <color theme="1"/>
        <rFont val="Arial"/>
        <family val="2"/>
      </rPr>
      <t xml:space="preserve">(Annexure CP-2 (HP) </t>
    </r>
  </si>
  <si>
    <r>
      <t xml:space="preserve">The AVI centers of SIHFW, Parimahal and RHFWTC, Chheb District Kangra already approved and  running the training. It is proposed that the new AVI Centers open i.e. District Kullu (Already certified) &amp; Chamba, Hamirpur and Govt. MC, Ner Chowk, Mandi for certification cost of 5 sites @ Rs. 5000/site </t>
    </r>
    <r>
      <rPr>
        <b/>
        <sz val="12"/>
        <color theme="1"/>
        <rFont val="Arial"/>
        <family val="2"/>
      </rPr>
      <t>(Annexure CP-3 (HP)).</t>
    </r>
  </si>
  <si>
    <r>
      <t>It is proposed that the amount for</t>
    </r>
    <r>
      <rPr>
        <b/>
        <sz val="16"/>
        <color indexed="8"/>
        <rFont val="Calibri"/>
        <family val="2"/>
        <scheme val="minor"/>
      </rPr>
      <t xml:space="preserve"> ASHA Benefit Package</t>
    </r>
    <r>
      <rPr>
        <sz val="11"/>
        <color indexed="8"/>
        <rFont val="Calibri"/>
        <family val="2"/>
        <scheme val="minor"/>
      </rPr>
      <t xml:space="preserve"> i.e PMJJBY (Rs. 330/- per annum) and PMSBY (Rs. 12/- per annum). </t>
    </r>
  </si>
  <si>
    <t xml:space="preserve">Rs. 100/- per diary cost </t>
  </si>
  <si>
    <t>It is proposed that the newly recruited ASHA training for module 6 &amp; 7 (250 no) for 4 round each and printing of Incentive voucher for 8066 ASHAs.</t>
  </si>
  <si>
    <t xml:space="preserve">It is proposed that the ASHA Mobile Allowance @ Rs. 150/- for 12 month . </t>
  </si>
  <si>
    <t>It is proposed that the HBYC kits needed in the five districts (Chamba, Mandi, Sirmaur, Kullu &amp; Shimla). In District Mandi and Sirmaur HBYC training still going on and this year we proposed two more district Kullu and Shimla for FY 2021-22.</t>
  </si>
  <si>
    <t>PIP 2020-21 approved budget for HBYC Hand Book @ Rs. 125/- and Job Aid in Hindi @ Rs. 125/- and next phase training HBYC is to be conducted District Kullu &amp; Shimla for the FY 2021-22.</t>
  </si>
  <si>
    <r>
      <t xml:space="preserve">It is proposed that the next FY 2021-22 for the training of HBYC i.e. District Kullu and Shimla </t>
    </r>
    <r>
      <rPr>
        <b/>
        <sz val="12"/>
        <color theme="1"/>
        <rFont val="Arial"/>
        <family val="2"/>
      </rPr>
      <t xml:space="preserve">(Annexure CP-4 (HP) </t>
    </r>
  </si>
  <si>
    <t>Any other (please specify) Yoga incentive &amp; monitoring cost</t>
  </si>
  <si>
    <t>Lumpsum cost of Rs 10 lakh for printing of modules and family folders</t>
  </si>
  <si>
    <t xml:space="preserve"> GoHP has notified guidelines for guidelines for tele-consultation hubs. The NHM would not be paying for honorarium for doctors imparting tele consultation, however a provision has been made for Rs. 30,000 per month per hub. There are 3 tele-consultation hubs in the state 30,000 X per month X per hub (3)= 30000 X 12 X 3= 10,80,000. </t>
  </si>
  <si>
    <t>The stste proposed TBIs @ Rs. 18000 per UPHCs. State has 13 UPHCs</t>
  </si>
  <si>
    <t xml:space="preserve">The state is proposing funds for training of front line teams @ Rs. 7500  x 13 UOHCs. </t>
  </si>
  <si>
    <t>Pregnant Women are dropped back from Public health care facility .</t>
  </si>
  <si>
    <r>
      <rPr>
        <b/>
        <sz val="11"/>
        <color theme="1"/>
        <rFont val="Calibri"/>
        <family val="2"/>
        <scheme val="minor"/>
      </rPr>
      <t xml:space="preserve">The following is proposed for the financial year 2021-22,    </t>
    </r>
    <r>
      <rPr>
        <sz val="11"/>
        <color theme="1"/>
        <rFont val="Calibri"/>
        <family val="2"/>
        <scheme val="minor"/>
      </rPr>
      <t xml:space="preserve">The tender has been  floated for the identification of the vendor/agency for the operation and maintenance of NAS-108 and replacement of the Ambulances on 12-12-20.The fixed cost for the NAS-108 has been kept @ Rs80000 per ambulance per month.The variable cost shall be discoverd as the lowest Bidder L-1 and presently it is proposed @Rs 11 per km( This amount shall be increased or decreased post the discovery of the final Bidder L1),The rental Cost has been fixed at Rs 50000(Inclusive of GST) per ambulance per month keeping in mind the BS-VI criteria for the new ambulances, it is pertinent to mention that the State has already identified a vendor for providing 100  Ambualances on rental mode in the year 2019-20 @Rs 46802/- per Ambulance per month Including GST for BS-IV.Accordingly The State has proposed the PIP for 2021-22.There are 198 Ambulances under NAS-108 which are plying in the State of Himachal Pradesh,                                                                                                                                                  1.     Fixed Cost Rs 80000*198*12=Rs190080000/-     1900.80/-                                                                                                                                                                                                         2       Variable Cost 3500*12*198*Rs 11=Rs914.76/-                                                                                                                                                                                                      3        Rental Cost    Rs 46802*100*12= Rs 561.62/-                                                                                                                                                                                                        4       Rental Cost for the ambulances to be replaced on rental mode Rs50000*30*12=Rs 180.00/-                                                                                                                                                                                                                                                                                                                                                                                                                                              </t>
    </r>
  </si>
  <si>
    <t>As the final asset value calculations is under process for the financial Year 2021-22 the State proposes Rs 300 lakhs for the financial Year 2021-22 till the final asset value is arrived at.The additional funds after the Asset value finalisation shall be proposed in the SPIP for 2021-22.                                                                                                                                                       Note:- Expenditure amounting to Rs. 100.00 (Lakhs) has been meet out from previous year's commited funds.</t>
  </si>
  <si>
    <t>There are 6 Bike ambulances in the state of HP ,2 at Mandi,2 at Shimla and 2 at Dharamshala with an operational cost of Rs 60000/- per bike ambulance per month.On 6-10-2020 the bike ambulances of Dharmshala and Mandi were flagged off and deployed in October 2020 due to COVID situation there was delay in fabrication of the Bikes.</t>
  </si>
  <si>
    <r>
      <t xml:space="preserve">As per approval for 13 MMU's in 2020-21 there were 3 MMU's   under operations by NGO Prayas Society Hamirpur one each in District Hamirpur, Una  and Bilaspur.  The financial support for opex for the MMU of district Bilaspur was withdrawn on request from CMO Bilaspur in  February 2020 as the funding was provided by Himachal Pradesh Power corporation and therefore now there are   2MMU's under Paryas society Hamirpur  operating at  District Una and District Hamirpur for which financial support from NHMHP is being given to CMO Hamirpur and CMO Una .The funds under Paryas Society Hamirpur includes drugs,consumables ,diagnostics and Manpower @1860000 per MMU per Year. HP State State flagged Off 10 Jeevan Dhara Mobile Health and wellness Center on </t>
    </r>
    <r>
      <rPr>
        <b/>
        <sz val="16"/>
        <color indexed="8"/>
        <rFont val="Calibri"/>
        <family val="2"/>
        <scheme val="minor"/>
      </rPr>
      <t>18-11-20</t>
    </r>
    <r>
      <rPr>
        <sz val="16"/>
        <color indexed="8"/>
        <rFont val="Calibri"/>
        <family val="2"/>
        <scheme val="minor"/>
      </rPr>
      <t xml:space="preserve"> for Chamba(1)Solan(1),Sirmaur(1),Kullu(1),Kangra(2),Shimla(2),,Mandi(2) with Drugs  and consumables from EDL,diagnostics from FDSI . The  Manpower, operation and maitainence of the MMU's is  outsourced after signing MOU on 22-02-20  with the identified agency SG Enterprises @1525000 per MMU per Year.Key deliverable under HSS serial No 27 Medical Mobile units.The MMU's are catering to the far flung areas of Himachal pradesh and the microplans are made by the respectives CMO's in consulation with the S G E nnterprise the agency for operationalisaton,  The MMU's follow  MMU guidelines and the performance is being shared with GOI as per annexures.</t>
    </r>
  </si>
  <si>
    <r>
      <rPr>
        <b/>
        <sz val="11"/>
        <color indexed="8"/>
        <rFont val="Calibri"/>
        <family val="2"/>
        <scheme val="minor"/>
      </rPr>
      <t>NTEP-3  (3,5)</t>
    </r>
    <r>
      <rPr>
        <sz val="11"/>
        <color indexed="8"/>
        <rFont val="Calibri"/>
        <family val="2"/>
        <scheme val="minor"/>
      </rPr>
      <t xml:space="preserve">        Rs 3.90 Cr for 15,000 Pt.(13,000*500*6) TB patients (including patients from private sector proposed as per GOI instructions for Nikshay Poshan Yojana (NPY) for providing nutritional support to TB patients @ Rs 500/-month during the treatment period for all the patients from public and private sector. The Total cost of Rs. 4.65 Cr. proposed under PIP 2021-22.
MDR TB Patient treatment is for 1-2 years and they are also eligible for 500 per month for DBT. Approx. MDR TB Patients are 500*6000. So  fund purposed is 30.00 Lac.
Private TB Patients 1,500*500*6 per month for DBT so we purposed fund 45.00 lac.
Total fund purposed for Nikshay Poshan Yojana are: 4,65,00,000(4.65 Cr.)
(Nutrition support at an average of Rs. 500 per month till completion of treatment).
</t>
    </r>
  </si>
  <si>
    <r>
      <rPr>
        <b/>
        <u/>
        <sz val="11"/>
        <color indexed="8"/>
        <rFont val="Calibri"/>
        <family val="2"/>
        <scheme val="minor"/>
      </rPr>
      <t>NTEP-1</t>
    </r>
    <r>
      <rPr>
        <sz val="11"/>
        <color indexed="8"/>
        <rFont val="Calibri"/>
        <family val="2"/>
        <scheme val="minor"/>
      </rPr>
      <t xml:space="preserve">     Maintenance cost of office equipments at DTCs, Nodal DRTB Centres, STDC, IRL, SDS and operational cost of generator installed at IRL . 1. Maintenance cost of printers, computer and  UPS  for DTC (36):-   Nodal DRTB Centre (4), STDC Dharampur (1), IRL (3 ), SDS (3) and STC (3) and 53  Desktops provided for DTC  and  District DR-TB Center and 12 laptops  computers procurred  under NTEP is proposed. POL worth Rs. 1,20,000/-for  genset installed at  IRL Dharampur proposed under PIP 2021-22 </t>
    </r>
  </si>
  <si>
    <r>
      <rPr>
        <b/>
        <i/>
        <sz val="11"/>
        <rFont val="Times New Roman"/>
        <family val="1"/>
      </rPr>
      <t xml:space="preserve">NTEP-3 </t>
    </r>
    <r>
      <rPr>
        <sz val="11"/>
        <rFont val="Times New Roman"/>
        <family val="1"/>
      </rPr>
      <t xml:space="preserve">   This is for Treatment Supporter Honorarium @ Rs 1000/patient (Drug Sensitive TB patient).These may be for any non-salaried person like ASHA,AWW, PRIs Any Community volunteer, previously cured TB patient and Chemists etc. The responsibility of such person will be to provide DOTS as per guideline. Approx. TB Patients are 7000*1000 and fund purposed is 70.00 lakhs.</t>
    </r>
    <r>
      <rPr>
        <sz val="11"/>
        <rFont val="Calibri"/>
        <family val="2"/>
      </rPr>
      <t>Honorarium to treatment supporter to be disbursed upon completion or cure of TB patient.</t>
    </r>
  </si>
  <si>
    <r>
      <rPr>
        <b/>
        <u/>
        <sz val="11"/>
        <rFont val="Times New Roman"/>
        <family val="1"/>
      </rPr>
      <t xml:space="preserve">NTEP-3  </t>
    </r>
    <r>
      <rPr>
        <sz val="11"/>
        <rFont val="Times New Roman"/>
        <family val="1"/>
      </rPr>
      <t xml:space="preserve">  Funds under this head has been allocated for Treatment Supporter Honorarium for providing DOTS to Drug Resistant TB cases.</t>
    </r>
    <r>
      <rPr>
        <sz val="11"/>
        <rFont val="Calibri"/>
        <family val="2"/>
      </rPr>
      <t>Honorarium to treatment supporter to be disbursed upon completion or cure of TB patient. Rs. 5000 (Rs. 2000 at the end of IP   and Rs. 3000 for CP) for Drug Resistant TB patients (including shorter regimen, MDR and XoR TB patients or as per latest programme guidelines).</t>
    </r>
    <r>
      <rPr>
        <sz val="11"/>
        <rFont val="Times New Roman"/>
        <family val="1"/>
      </rPr>
      <t xml:space="preserve"> These may be for any non-salaried person like ASHA, AWW, PRIs Any Community volunteer, previously cured TB patient and Chemists etc. So the Approx. TB patients are 100*5000 and  purposed fund is 5.00 Lakh.</t>
    </r>
  </si>
  <si>
    <r>
      <rPr>
        <b/>
        <u/>
        <sz val="11"/>
        <rFont val="Times New Roman"/>
        <family val="1"/>
      </rPr>
      <t>NTEP-1 (1)</t>
    </r>
    <r>
      <rPr>
        <sz val="11"/>
        <rFont val="Times New Roman"/>
        <family val="1"/>
      </rPr>
      <t xml:space="preserve">    Funds under this head has been allocated as Incentive for informant @ Rs 500/-patient. This scheme is launched by Government of India on 9th-July-2019 with D.O No. Z-28015/24/2017-TBto increase the TB case notification. I</t>
    </r>
    <r>
      <rPr>
        <sz val="11"/>
        <rFont val="Calibri"/>
        <family val="2"/>
      </rPr>
      <t xml:space="preserve">ncentive to informant for referral of presumptive TB patients to public health facility is to be given on diagnosis of TB. Rs. 500 for referral of presumptive TB patient to public health facility and diagnosis as TB. </t>
    </r>
    <r>
      <rPr>
        <sz val="11"/>
        <rFont val="Times New Roman"/>
        <family val="1"/>
      </rPr>
      <t>Any non-salaried person such as Patient himself/herself, ASHA, AWW, PRI, Chemists, Community Volunteers, Private practitioners etc. who refers the presumptive TB patients using the triplicate referral form/Nikshay to nearest DMC/CBNAAT and patient comes out to be Microbiologically confirmed, the “Informant” as described above is eligible to receive the informer incentive of Rs. 500/- patient. This scheme is also implemented through DBT.</t>
    </r>
  </si>
  <si>
    <r>
      <rPr>
        <b/>
        <u/>
        <sz val="11"/>
        <rFont val="Calibri"/>
        <family val="2"/>
        <scheme val="minor"/>
      </rPr>
      <t>NTEP-1.1</t>
    </r>
    <r>
      <rPr>
        <sz val="11"/>
        <rFont val="Calibri"/>
        <family val="2"/>
        <scheme val="minor"/>
      </rPr>
      <t xml:space="preserve">  AMC of  55 IRL equipments installed at Dharampur 23 Equipments installed at IRL Tanda  7 CB-NAAT machines procured under MMKRNY  and 271 Tablets /computers supplied by GOI proposed. The total cost of Rs. 27.08 lacs  proposed under PIP 2021-22</t>
    </r>
  </si>
  <si>
    <r>
      <rPr>
        <b/>
        <u/>
        <sz val="12"/>
        <rFont val="Calibri"/>
        <family val="2"/>
        <scheme val="minor"/>
      </rPr>
      <t>NTEP-3.6</t>
    </r>
    <r>
      <rPr>
        <sz val="12"/>
        <rFont val="Calibri"/>
        <family val="2"/>
        <scheme val="minor"/>
      </rPr>
      <t xml:space="preserve"> As per instructions from Gvernment of India, State has to budget 25% amount of the total cost of second line TB drugs.  State is also proposing procuremnt of INH 100 mg and 300 mg and Pyridoxine 10 mg, 25 mg and 50 mg </t>
    </r>
  </si>
  <si>
    <r>
      <rPr>
        <b/>
        <u/>
        <sz val="11"/>
        <rFont val="Calibri"/>
        <family val="2"/>
        <scheme val="minor"/>
      </rPr>
      <t>NTEP-3.6</t>
    </r>
    <r>
      <rPr>
        <sz val="11"/>
        <rFont val="Calibri"/>
        <family val="2"/>
        <scheme val="minor"/>
      </rPr>
      <t xml:space="preserve"> As per GOI instructions, the cost of  99 DOTS blisters under IT based DOTS tools need to be proposed in PIP. For 18500 patients, @ 6 sleeves on an average per month for 6 months @ Rs. 3/sleeve. 14305.55*6*6*3= 15.45 lakh  2. Monthly drug boxes for 500 DRTB patients @ Rs. 80 per patient per month * 12 months= Rs. 4.80  lakh.  </t>
    </r>
  </si>
  <si>
    <r>
      <rPr>
        <b/>
        <u/>
        <sz val="11"/>
        <rFont val="Calibri"/>
        <family val="2"/>
        <scheme val="minor"/>
      </rPr>
      <t>NTEP-3</t>
    </r>
    <r>
      <rPr>
        <sz val="11"/>
        <rFont val="Calibri"/>
        <family val="2"/>
        <scheme val="minor"/>
      </rPr>
      <t xml:space="preserve"> Incentive for Tribal TB Patients Rs. 750. one time installment for tribal area tb patients. Estimated patients 400*750 and total amount is 300000  </t>
    </r>
    <r>
      <rPr>
        <b/>
        <sz val="11"/>
        <rFont val="Calibri"/>
        <family val="2"/>
        <scheme val="minor"/>
      </rPr>
      <t xml:space="preserve">                        </t>
    </r>
  </si>
  <si>
    <r>
      <rPr>
        <b/>
        <u/>
        <sz val="11"/>
        <rFont val="Calibri"/>
        <family val="2"/>
        <scheme val="minor"/>
      </rPr>
      <t>NTEP-1</t>
    </r>
    <r>
      <rPr>
        <sz val="11"/>
        <rFont val="Calibri"/>
        <family val="2"/>
        <scheme val="minor"/>
      </rPr>
      <t xml:space="preserve"> As recently, PMDT guidelines and Pediatric TB guidelines has been revised, entire faculties/residents have to be oriented on these guidelines. Rs 7.10 lakhs has been proposed by Chairman STF, NTEP Himachal  for conducting training and CMEs of faculty members/residents/students of medical colleges in the state. Trainings/CMEs in medical colleges total 14 CMEs @50000 each . Hence total= 7.00 lacs proposed.</t>
    </r>
  </si>
  <si>
    <r>
      <rPr>
        <b/>
        <sz val="11"/>
        <rFont val="Calibri"/>
        <family val="2"/>
        <scheme val="minor"/>
      </rPr>
      <t>NTEP-1</t>
    </r>
    <r>
      <rPr>
        <sz val="11"/>
        <rFont val="Calibri"/>
        <family val="2"/>
        <scheme val="minor"/>
      </rPr>
      <t xml:space="preserve">   RS. 9.00 lacs for Operational research proposals submitted by the Chairman STF from the different medical collages in the state </t>
    </r>
  </si>
  <si>
    <r>
      <rPr>
        <b/>
        <u/>
        <sz val="12"/>
        <rFont val="Calibri"/>
        <family val="2"/>
        <scheme val="minor"/>
      </rPr>
      <t>NTEP 2.5</t>
    </r>
    <r>
      <rPr>
        <sz val="12"/>
        <rFont val="Calibri"/>
        <family val="2"/>
        <scheme val="minor"/>
      </rPr>
      <t xml:space="preserve"> Funds under this head has been allocated for IEC/ BCC under RNTCP. IEC/BCC activities to play a critical role in achieving the targets of Ending TB in India. There are specific activities under IEC/BCC such as TB Harega Desh Jitega Campaign, Patients provider meetings, community meetings, school based activities, IEC through print and electronic media. IEC activities through display of posters, leaflets, pamphlets, hoardings, bus panel and World TB Day celebration activities etc. The state IEC/ACSM plan under 360 degrees are available with State TB Division for the year 2021-22. </t>
    </r>
  </si>
  <si>
    <r>
      <rPr>
        <b/>
        <u/>
        <sz val="11"/>
        <rFont val="Calibri"/>
        <family val="2"/>
        <scheme val="minor"/>
      </rPr>
      <t>NTEP 2.5</t>
    </r>
    <r>
      <rPr>
        <sz val="11"/>
        <rFont val="Calibri"/>
        <family val="2"/>
        <scheme val="minor"/>
      </rPr>
      <t xml:space="preserve">    Special activities under TB Harega Desh Jeetega campaign in the state in all districts proposed with the coordination of IEC Division of NHM in the entire state @800000. The state has proposed Rs. 10.00 lacs for training of  elected PRIs under TB Harega Desh Jeetega Campaign i.e 12 Jeela Parisad members, 80 BDC Members and 38000 Pardhan and Up pardhan for FY. 2021-22. </t>
    </r>
  </si>
  <si>
    <r>
      <rPr>
        <b/>
        <u/>
        <sz val="11"/>
        <color theme="1"/>
        <rFont val="Calibri"/>
        <family val="2"/>
        <scheme val="minor"/>
      </rPr>
      <t>NTEP- 2.5</t>
    </r>
    <r>
      <rPr>
        <sz val="11"/>
        <color theme="1"/>
        <rFont val="Calibri"/>
        <family val="2"/>
        <scheme val="minor"/>
      </rPr>
      <t xml:space="preserve">   Printing of phamphlets and  posterd etc. for active case finding campaign  for 74 blocks and 12 DTC  have been proposed </t>
    </r>
  </si>
  <si>
    <r>
      <rPr>
        <b/>
        <sz val="11"/>
        <color theme="1"/>
        <rFont val="Calibri"/>
        <family val="2"/>
        <scheme val="minor"/>
      </rPr>
      <t>NTEP-2</t>
    </r>
    <r>
      <rPr>
        <sz val="11"/>
        <color theme="1"/>
        <rFont val="Calibri"/>
        <family val="2"/>
        <scheme val="minor"/>
      </rPr>
      <t xml:space="preserve">  The printing of Laboratory formats , Referral forms ,Laboratory Registers for all 218 DMCs , TB notification register for all 74 TB units, PMDT Register for all DR-TB Centers , TB-Center have been proposed </t>
    </r>
  </si>
  <si>
    <r>
      <rPr>
        <b/>
        <u/>
        <sz val="11"/>
        <color theme="1"/>
        <rFont val="Calibri"/>
        <family val="2"/>
        <scheme val="minor"/>
      </rPr>
      <t>NTEP-3.1</t>
    </r>
    <r>
      <rPr>
        <sz val="11"/>
        <color theme="1"/>
        <rFont val="Calibri"/>
        <family val="2"/>
        <scheme val="minor"/>
      </rPr>
      <t xml:space="preserve">    The cost for hiring of vehicles for drugs supplies for districts level to periphery  have been proposed </t>
    </r>
  </si>
  <si>
    <r>
      <rPr>
        <b/>
        <sz val="11"/>
        <color theme="1"/>
        <rFont val="Calibri"/>
        <family val="2"/>
        <scheme val="minor"/>
      </rPr>
      <t>NTEP 3-6</t>
    </r>
    <r>
      <rPr>
        <sz val="11"/>
        <color theme="1"/>
        <rFont val="Calibri"/>
        <family val="2"/>
        <scheme val="minor"/>
      </rPr>
      <t xml:space="preserve">  The funds for treansfer Drugs to SDS to DDS and out of state have been proposed. </t>
    </r>
  </si>
  <si>
    <r>
      <rPr>
        <b/>
        <u/>
        <sz val="11"/>
        <color theme="1"/>
        <rFont val="Calibri"/>
        <family val="2"/>
        <scheme val="minor"/>
      </rPr>
      <t>NTEP-1.1</t>
    </r>
    <r>
      <rPr>
        <sz val="11"/>
        <color theme="1"/>
        <rFont val="Calibri"/>
        <family val="2"/>
        <scheme val="minor"/>
      </rPr>
      <t xml:space="preserve">      1. DR-TB centers in private sector ( 2 No.) are proposed in 2020-21 PIP at Delek Hospital Mcleodganj and MMUMC Sultanpur Total=2* 250000= 500000 proposed 
2. Total 18 DMCs in private sector are currently operational in private sector.  Proposed cost @ Rs. 20000/- DMC. Proposed cost= Rs. 3,60,000
Total =  Rs. 5 Lakh+ Rs. 3.60 lacs = 8.60  Lacs proposed.  
</t>
    </r>
  </si>
  <si>
    <r>
      <rPr>
        <b/>
        <u/>
        <sz val="11"/>
        <color theme="1"/>
        <rFont val="Calibri"/>
        <family val="2"/>
        <scheme val="minor"/>
      </rPr>
      <t xml:space="preserve">NTEP-3.4  </t>
    </r>
    <r>
      <rPr>
        <sz val="11"/>
        <color theme="1"/>
        <rFont val="Calibri"/>
        <family val="2"/>
        <scheme val="minor"/>
      </rPr>
      <t xml:space="preserve"> Incentives  to private practitioners:    Rs. 12.00 lakh @ Rs. 1000/-patient to  estimated 1200 patients ( forTB notification and outcome).</t>
    </r>
  </si>
  <si>
    <r>
      <rPr>
        <b/>
        <u/>
        <sz val="11"/>
        <color theme="1"/>
        <rFont val="Calibri"/>
        <family val="2"/>
        <scheme val="minor"/>
      </rPr>
      <t xml:space="preserve">NTEP-3.3 </t>
    </r>
    <r>
      <rPr>
        <sz val="11"/>
        <color theme="1"/>
        <rFont val="Calibri"/>
        <family val="2"/>
        <scheme val="minor"/>
      </rPr>
      <t xml:space="preserve"> The funds for monthly review meeting  at  district level  ( 12 meeting* @ 50000= 6 lakh), State review meeting ( 4* 1 lakh= 4 lakh). RNTCP supervisory staff (DRTB Coordinator, STS and STLS) daily field visits ( 136 staff* 12* 1500)= 12.48 lakh. TA/DA of the 12  DTOs,  12 DPCs/74 MOTCs , STDC /IRL/SDS/STC staff during routine visits and also during the ACF campaign= 5 lakh. SIE of 2 districts @ 2 lakh= 2*2= 4 lakh and CIE @ 4 Lakh.  The total amount of Rs. 47 lacs have been proposed in the PIP 2021-22</t>
    </r>
  </si>
  <si>
    <r>
      <rPr>
        <b/>
        <u/>
        <sz val="11"/>
        <color theme="1"/>
        <rFont val="Calibri"/>
        <family val="2"/>
        <scheme val="minor"/>
      </rPr>
      <t>NTEP-2</t>
    </r>
    <r>
      <rPr>
        <sz val="11"/>
        <color theme="1"/>
        <rFont val="Calibri"/>
        <family val="2"/>
        <scheme val="minor"/>
      </rPr>
      <t xml:space="preserve"> There are 49 RNTCP Vehicles in the state  (one STC, One STDC, 12 DTOs,  28 at MOTC/ blocks level , one Mobile on Wheel) and 79 Two wheelers for supervisory staff. The Funds for the maintenance of existing  49 RNTCP four vehicles  and 79 two wheelers  of STS/ STLS and DR-TB Coordinators.  In  PIP 2020-21, 37 new 2 wheelar will be procured  shortly Hence the  POL for all above vehicles and funds for insurance of new two wheelers proposed  , The total amount of Rs. 38.70 lacs proposed in the PIP 2021-22 </t>
    </r>
  </si>
  <si>
    <t xml:space="preserve">TB Mukt Himaachal Applicattion </t>
  </si>
  <si>
    <r>
      <rPr>
        <b/>
        <u/>
        <sz val="11"/>
        <rFont val="Calibri"/>
        <family val="2"/>
        <scheme val="minor"/>
      </rPr>
      <t>NTEP-3</t>
    </r>
    <r>
      <rPr>
        <sz val="11"/>
        <rFont val="Calibri"/>
        <family val="2"/>
        <scheme val="minor"/>
      </rPr>
      <t xml:space="preserve"> The funds amount of Rs. 5.00 lacs proposed for expends and maintenance of  TB Mukt Himachal Application. </t>
    </r>
  </si>
  <si>
    <r>
      <t xml:space="preserve">Training / Workshop at State Level: (01)- 3 Batches                                                                                                </t>
    </r>
    <r>
      <rPr>
        <b/>
        <u/>
        <sz val="11"/>
        <color indexed="8"/>
        <rFont val="Calibri"/>
        <family val="2"/>
        <scheme val="minor"/>
      </rPr>
      <t xml:space="preserve">District Level Participants =  (24 ) - 2 Per District                                                                                                             </t>
    </r>
    <r>
      <rPr>
        <b/>
        <sz val="11"/>
        <color indexed="8"/>
        <rFont val="Calibri"/>
        <family val="2"/>
        <scheme val="minor"/>
      </rPr>
      <t xml:space="preserve">                                                                                                                          </t>
    </r>
    <r>
      <rPr>
        <sz val="11"/>
        <color indexed="8"/>
        <rFont val="Calibri"/>
        <family val="2"/>
        <scheme val="minor"/>
      </rPr>
      <t xml:space="preserve">                                                                                             </t>
    </r>
    <r>
      <rPr>
        <b/>
        <sz val="11"/>
        <color indexed="8"/>
        <rFont val="Calibri"/>
        <family val="2"/>
        <scheme val="minor"/>
      </rPr>
      <t>EXPENDITURE DETAILS</t>
    </r>
    <r>
      <rPr>
        <sz val="11"/>
        <color indexed="8"/>
        <rFont val="Calibri"/>
        <family val="2"/>
        <scheme val="minor"/>
      </rPr>
      <t xml:space="preserve">: DA/Per Diem (@Rs.1000/-), TA (@Rs 1500),  Food (@Rs.400/-), Incedental Charges (@Rs.500/-) </t>
    </r>
    <r>
      <rPr>
        <b/>
        <sz val="11"/>
        <color indexed="8"/>
        <rFont val="Calibri"/>
        <family val="2"/>
        <scheme val="minor"/>
      </rPr>
      <t xml:space="preserve">TOTAL </t>
    </r>
    <r>
      <rPr>
        <sz val="11"/>
        <color indexed="8"/>
        <rFont val="Calibri"/>
        <family val="2"/>
        <scheme val="minor"/>
      </rPr>
      <t xml:space="preserve">= 24 x 3400 = </t>
    </r>
    <r>
      <rPr>
        <b/>
        <sz val="11"/>
        <color indexed="8"/>
        <rFont val="Calibri"/>
        <family val="2"/>
        <scheme val="minor"/>
      </rPr>
      <t xml:space="preserve">Rs.81,600/- </t>
    </r>
    <r>
      <rPr>
        <sz val="11"/>
        <color indexed="8"/>
        <rFont val="Calibri"/>
        <family val="2"/>
        <scheme val="minor"/>
      </rPr>
      <t xml:space="preserve">                                                                                                                                                                </t>
    </r>
    <r>
      <rPr>
        <b/>
        <u/>
        <sz val="11"/>
        <color indexed="8"/>
        <rFont val="Calibri"/>
        <family val="2"/>
        <scheme val="minor"/>
      </rPr>
      <t>Block Level Participants:  (76 )- one per Block</t>
    </r>
    <r>
      <rPr>
        <u/>
        <sz val="11"/>
        <color indexed="8"/>
        <rFont val="Calibri"/>
        <family val="2"/>
        <scheme val="minor"/>
      </rPr>
      <t xml:space="preserve"> </t>
    </r>
    <r>
      <rPr>
        <sz val="11"/>
        <color indexed="8"/>
        <rFont val="Calibri"/>
        <family val="2"/>
        <scheme val="minor"/>
      </rPr>
      <t xml:space="preserve"> </t>
    </r>
    <r>
      <rPr>
        <b/>
        <u/>
        <sz val="11"/>
        <color indexed="8"/>
        <rFont val="Calibri"/>
        <family val="2"/>
        <scheme val="minor"/>
      </rPr>
      <t xml:space="preserve">    </t>
    </r>
    <r>
      <rPr>
        <u/>
        <sz val="11"/>
        <color indexed="8"/>
        <rFont val="Calibri"/>
        <family val="2"/>
        <scheme val="minor"/>
      </rPr>
      <t xml:space="preserve">                                                                                                          </t>
    </r>
    <r>
      <rPr>
        <b/>
        <sz val="11"/>
        <color indexed="8"/>
        <rFont val="Calibri"/>
        <family val="2"/>
        <scheme val="minor"/>
      </rPr>
      <t>EXPENDITURE DETAILS</t>
    </r>
    <r>
      <rPr>
        <sz val="11"/>
        <color indexed="8"/>
        <rFont val="Calibri"/>
        <family val="2"/>
        <scheme val="minor"/>
      </rPr>
      <t xml:space="preserve">:  DA/Per Diem (@Rs.1000/-), TA (@Rs 1000),  Food (@Rs.400/-), Incedental Charges (@Rs.500/-) TOTAL = 76 x 2900 = </t>
    </r>
    <r>
      <rPr>
        <b/>
        <sz val="11"/>
        <color indexed="8"/>
        <rFont val="Calibri"/>
        <family val="2"/>
        <scheme val="minor"/>
      </rPr>
      <t>Rs. 2,20,400/-</t>
    </r>
    <r>
      <rPr>
        <b/>
        <u/>
        <sz val="11"/>
        <color indexed="8"/>
        <rFont val="Calibri"/>
        <family val="2"/>
        <scheme val="minor"/>
      </rPr>
      <t xml:space="preserve">Review Meetings with Districts:  (02- Half yearly) </t>
    </r>
    <r>
      <rPr>
        <b/>
        <sz val="11"/>
        <color indexed="8"/>
        <rFont val="Calibri"/>
        <family val="2"/>
        <scheme val="minor"/>
      </rPr>
      <t xml:space="preserve">                                                                                 District level Participants:   (24 )  </t>
    </r>
    <r>
      <rPr>
        <u/>
        <sz val="11"/>
        <color indexed="8"/>
        <rFont val="Calibri"/>
        <family val="2"/>
        <scheme val="minor"/>
      </rPr>
      <t xml:space="preserve"> </t>
    </r>
    <r>
      <rPr>
        <b/>
        <u/>
        <sz val="11"/>
        <color indexed="8"/>
        <rFont val="Calibri"/>
        <family val="2"/>
        <scheme val="minor"/>
      </rPr>
      <t xml:space="preserve">2 participant per Review Meeting  </t>
    </r>
    <r>
      <rPr>
        <u/>
        <sz val="11"/>
        <color indexed="8"/>
        <rFont val="Calibri"/>
        <family val="2"/>
        <scheme val="minor"/>
      </rPr>
      <t xml:space="preserve"> </t>
    </r>
    <r>
      <rPr>
        <b/>
        <sz val="11"/>
        <color indexed="8"/>
        <rFont val="Calibri"/>
        <family val="2"/>
        <scheme val="minor"/>
      </rPr>
      <t xml:space="preserve">                                                                                 EXPENDITURE DETAILS:  </t>
    </r>
    <r>
      <rPr>
        <sz val="11"/>
        <color indexed="8"/>
        <rFont val="Calibri"/>
        <family val="2"/>
        <scheme val="minor"/>
      </rPr>
      <t xml:space="preserve">TA &amp; DA  (Nil)  Food (@Rs.400/-), </t>
    </r>
    <r>
      <rPr>
        <u/>
        <sz val="11"/>
        <color indexed="8"/>
        <rFont val="Calibri"/>
        <family val="2"/>
        <scheme val="minor"/>
      </rPr>
      <t xml:space="preserve">Incedental Charges (@Rs.500/-) TOTAL = 24 x 2900 = </t>
    </r>
    <r>
      <rPr>
        <b/>
        <u/>
        <sz val="11"/>
        <color indexed="8"/>
        <rFont val="Calibri"/>
        <family val="2"/>
        <scheme val="minor"/>
      </rPr>
      <t xml:space="preserve">Rs. 69,600/-     </t>
    </r>
    <r>
      <rPr>
        <u/>
        <sz val="11"/>
        <color indexed="8"/>
        <rFont val="Calibri"/>
        <family val="2"/>
        <scheme val="minor"/>
      </rPr>
      <t xml:space="preserve">                                                                                     </t>
    </r>
    <r>
      <rPr>
        <b/>
        <sz val="11"/>
        <color indexed="8"/>
        <rFont val="Calibri"/>
        <family val="2"/>
        <scheme val="minor"/>
      </rPr>
      <t xml:space="preserve">TOTAL Funds for Training cum Review Meetings at State Level:    Rs.81,800/- +Rs. 2,20,400/- + Rs. 69600 =    Rs.3,71,800/-                                                   </t>
    </r>
    <r>
      <rPr>
        <sz val="11"/>
        <color indexed="8"/>
        <rFont val="Calibri"/>
        <family val="2"/>
        <scheme val="minor"/>
      </rPr>
      <t xml:space="preserve">                                                                                                                                                                                                      </t>
    </r>
  </si>
  <si>
    <r>
      <t xml:space="preserve">Training / Workshop at District Level: (01)                                                                                               </t>
    </r>
    <r>
      <rPr>
        <b/>
        <u/>
        <sz val="11"/>
        <color indexed="8"/>
        <rFont val="Calibri"/>
        <family val="2"/>
        <scheme val="minor"/>
      </rPr>
      <t xml:space="preserve">District Level Participants =  (24 ) - 2 per District                                                                                                              </t>
    </r>
    <r>
      <rPr>
        <b/>
        <sz val="11"/>
        <color indexed="8"/>
        <rFont val="Calibri"/>
        <family val="2"/>
        <scheme val="minor"/>
      </rPr>
      <t xml:space="preserve">                                                                                                                          </t>
    </r>
    <r>
      <rPr>
        <sz val="11"/>
        <color indexed="8"/>
        <rFont val="Calibri"/>
        <family val="2"/>
        <scheme val="minor"/>
      </rPr>
      <t xml:space="preserve">                                                                                             </t>
    </r>
    <r>
      <rPr>
        <b/>
        <sz val="11"/>
        <color indexed="8"/>
        <rFont val="Calibri"/>
        <family val="2"/>
        <scheme val="minor"/>
      </rPr>
      <t>EXPENDITURE DETAILS</t>
    </r>
    <r>
      <rPr>
        <sz val="11"/>
        <color indexed="8"/>
        <rFont val="Calibri"/>
        <family val="2"/>
        <scheme val="minor"/>
      </rPr>
      <t xml:space="preserve">: DA/Per Diem (@Rs.1000/-), TA (Nil),  Food (@Rs.300/-), Incedental Charges (@Rs.400/-) </t>
    </r>
    <r>
      <rPr>
        <b/>
        <sz val="11"/>
        <color indexed="8"/>
        <rFont val="Calibri"/>
        <family val="2"/>
        <scheme val="minor"/>
      </rPr>
      <t xml:space="preserve">TOTAL </t>
    </r>
    <r>
      <rPr>
        <sz val="11"/>
        <color indexed="8"/>
        <rFont val="Calibri"/>
        <family val="2"/>
        <scheme val="minor"/>
      </rPr>
      <t xml:space="preserve">= 24 x 1700 = </t>
    </r>
    <r>
      <rPr>
        <b/>
        <sz val="11"/>
        <color indexed="8"/>
        <rFont val="Calibri"/>
        <family val="2"/>
        <scheme val="minor"/>
      </rPr>
      <t xml:space="preserve">Rs.40,800/- </t>
    </r>
    <r>
      <rPr>
        <sz val="11"/>
        <color indexed="8"/>
        <rFont val="Calibri"/>
        <family val="2"/>
        <scheme val="minor"/>
      </rPr>
      <t xml:space="preserve">                                                                                                                                                                </t>
    </r>
    <r>
      <rPr>
        <b/>
        <u/>
        <sz val="11"/>
        <color indexed="8"/>
        <rFont val="Calibri"/>
        <family val="2"/>
        <scheme val="minor"/>
      </rPr>
      <t xml:space="preserve">Block Level Participants:  (146 )- 2 per Block      </t>
    </r>
    <r>
      <rPr>
        <u/>
        <sz val="11"/>
        <color indexed="8"/>
        <rFont val="Calibri"/>
        <family val="2"/>
        <scheme val="minor"/>
      </rPr>
      <t xml:space="preserve">                                                                                                          </t>
    </r>
    <r>
      <rPr>
        <b/>
        <sz val="11"/>
        <color indexed="8"/>
        <rFont val="Calibri"/>
        <family val="2"/>
        <scheme val="minor"/>
      </rPr>
      <t>EXPENDITURE DETAILS</t>
    </r>
    <r>
      <rPr>
        <sz val="11"/>
        <color indexed="8"/>
        <rFont val="Calibri"/>
        <family val="2"/>
        <scheme val="minor"/>
      </rPr>
      <t xml:space="preserve">:  DA/Per Diem (@Rs.700/-), TA (@Rs 500),  Food (@Rs.300/-), Incedental Charges (@Rs.400/-) TOTAL = 146 x 1900 = </t>
    </r>
    <r>
      <rPr>
        <b/>
        <sz val="11"/>
        <color indexed="8"/>
        <rFont val="Calibri"/>
        <family val="2"/>
        <scheme val="minor"/>
      </rPr>
      <t xml:space="preserve">Rs. 2,77,400/-                                </t>
    </r>
    <r>
      <rPr>
        <b/>
        <u/>
        <sz val="11"/>
        <color indexed="8"/>
        <rFont val="Calibri"/>
        <family val="2"/>
        <scheme val="minor"/>
      </rPr>
      <t xml:space="preserve">Review Meetings with Blocks:  (02- Half yearly) </t>
    </r>
    <r>
      <rPr>
        <b/>
        <sz val="11"/>
        <color indexed="8"/>
        <rFont val="Calibri"/>
        <family val="2"/>
        <scheme val="minor"/>
      </rPr>
      <t xml:space="preserve">                                                                                 </t>
    </r>
    <r>
      <rPr>
        <b/>
        <u/>
        <sz val="11"/>
        <color indexed="8"/>
        <rFont val="Calibri"/>
        <family val="2"/>
        <scheme val="minor"/>
      </rPr>
      <t xml:space="preserve">District level Participants:   (24 )- 1 participant per District per  Review Meeting        </t>
    </r>
    <r>
      <rPr>
        <b/>
        <sz val="11"/>
        <color indexed="8"/>
        <rFont val="Calibri"/>
        <family val="2"/>
        <scheme val="minor"/>
      </rPr>
      <t xml:space="preserve">                                                                               EXPENDITURE DETAILS:  </t>
    </r>
    <r>
      <rPr>
        <sz val="11"/>
        <color indexed="8"/>
        <rFont val="Calibri"/>
        <family val="2"/>
        <scheme val="minor"/>
      </rPr>
      <t xml:space="preserve">TA &amp; DA  (Nil)  Food (@Rs.300/-), </t>
    </r>
    <r>
      <rPr>
        <u/>
        <sz val="11"/>
        <color indexed="8"/>
        <rFont val="Calibri"/>
        <family val="2"/>
        <scheme val="minor"/>
      </rPr>
      <t xml:space="preserve">Incedental Charges (@Rs.400/-) TOTAL = 24 x 700 = </t>
    </r>
    <r>
      <rPr>
        <b/>
        <u/>
        <sz val="11"/>
        <color indexed="8"/>
        <rFont val="Calibri"/>
        <family val="2"/>
        <scheme val="minor"/>
      </rPr>
      <t xml:space="preserve">Rs. 16,800/-     </t>
    </r>
    <r>
      <rPr>
        <u/>
        <sz val="11"/>
        <color indexed="8"/>
        <rFont val="Calibri"/>
        <family val="2"/>
        <scheme val="minor"/>
      </rPr>
      <t xml:space="preserve">                                                                                </t>
    </r>
    <r>
      <rPr>
        <b/>
        <u/>
        <sz val="11"/>
        <color indexed="8"/>
        <rFont val="Calibri"/>
        <family val="2"/>
        <scheme val="minor"/>
      </rPr>
      <t xml:space="preserve">Block  level Participants:   (152 )- 2 participant per Block per  Review Meeting  </t>
    </r>
    <r>
      <rPr>
        <u/>
        <sz val="11"/>
        <color indexed="8"/>
        <rFont val="Calibri"/>
        <family val="2"/>
        <scheme val="minor"/>
      </rPr>
      <t xml:space="preserve">                                                                                     </t>
    </r>
    <r>
      <rPr>
        <b/>
        <u/>
        <sz val="11"/>
        <color indexed="8"/>
        <rFont val="Calibri"/>
        <family val="2"/>
        <scheme val="minor"/>
      </rPr>
      <t>EXPENDITURE DETAILS:</t>
    </r>
    <r>
      <rPr>
        <u/>
        <sz val="11"/>
        <color indexed="8"/>
        <rFont val="Calibri"/>
        <family val="2"/>
        <scheme val="minor"/>
      </rPr>
      <t xml:space="preserve">  TA&amp;DA   (@ 650/-),  Food (@Rs.300/-), Incedental Charges    (@Rs.250/-) TOTAL = 152 x 1200 = </t>
    </r>
    <r>
      <rPr>
        <b/>
        <u/>
        <sz val="11"/>
        <color indexed="8"/>
        <rFont val="Calibri"/>
        <family val="2"/>
        <scheme val="minor"/>
      </rPr>
      <t xml:space="preserve">Rs. 182,400/- </t>
    </r>
    <r>
      <rPr>
        <u/>
        <sz val="11"/>
        <color indexed="8"/>
        <rFont val="Calibri"/>
        <family val="2"/>
        <scheme val="minor"/>
      </rPr>
      <t xml:space="preserve">                                                                                    </t>
    </r>
    <r>
      <rPr>
        <b/>
        <sz val="11"/>
        <color indexed="8"/>
        <rFont val="Calibri"/>
        <family val="2"/>
        <scheme val="minor"/>
      </rPr>
      <t xml:space="preserve">TOTAL Funds for Training cum Review Meetings at District Level:    Rs.40,800+Rs. 2,88,800 + Rs. 16,800+ Rs1,82,400 =    Rs.5,28,800/-                                                   </t>
    </r>
    <r>
      <rPr>
        <sz val="11"/>
        <color indexed="8"/>
        <rFont val="Calibri"/>
        <family val="2"/>
        <scheme val="minor"/>
      </rPr>
      <t xml:space="preserve">                                                                                                                                                                                                      </t>
    </r>
  </si>
  <si>
    <t>Batch</t>
  </si>
  <si>
    <t>Aprox. 3600 (ANMS/HWs/ Block level officials) in 76 Blocks : Total =3600  (Expenditure @ Rs.600 per participant) for  Review Meeting ofr HMIS,RCH Portal, Sensitization on New RCH Register &amp; refresher training of ANMOLapplication ( Review with ANMs /HWs is will also be done in Monthly review  meetings at Block level)</t>
  </si>
  <si>
    <t>Not Proposed</t>
  </si>
  <si>
    <r>
      <t xml:space="preserve">Internet Connectivity Charges  through  broadband and  V-SAT/ HIMSWAN ( on 02 Locations) = </t>
    </r>
    <r>
      <rPr>
        <b/>
        <sz val="11"/>
        <color rgb="FF000000"/>
        <rFont val="Calibri"/>
        <family val="2"/>
        <scheme val="minor"/>
      </rPr>
      <t xml:space="preserve">Rs.11.44 </t>
    </r>
    <r>
      <rPr>
        <sz val="11"/>
        <color rgb="FF000000"/>
        <rFont val="Calibri"/>
        <family val="2"/>
        <scheme val="minor"/>
      </rPr>
      <t>Lacs, AMC of Computers (State, District &amp; Block |Level) = R</t>
    </r>
    <r>
      <rPr>
        <b/>
        <sz val="11"/>
        <color rgb="FF000000"/>
        <rFont val="Calibri"/>
        <family val="2"/>
        <scheme val="minor"/>
      </rPr>
      <t xml:space="preserve">s. 9.76 Lacs &amp; </t>
    </r>
    <r>
      <rPr>
        <sz val="11"/>
        <color rgb="FF000000"/>
        <rFont val="Calibri"/>
        <family val="2"/>
        <scheme val="minor"/>
      </rPr>
      <t xml:space="preserve">Operational cost of stationary @ Rs. 500/- PM,  Refilled Tonners &amp; other consumable @ Rs.1000/- per month  (Total = Rs 1500/- per month per locaton)  for  100 locations </t>
    </r>
    <r>
      <rPr>
        <b/>
        <sz val="11"/>
        <color rgb="FF000000"/>
        <rFont val="Calibri"/>
        <family val="2"/>
        <scheme val="minor"/>
      </rPr>
      <t>= Rs. 18.54 Lacs  (TOTAl= Rs. 39.74  Lacs)-Detailed Breakup provided in Activity wise HMIS _MCTS Annexure</t>
    </r>
  </si>
  <si>
    <t xml:space="preserve">per Sub-centre </t>
  </si>
  <si>
    <t xml:space="preserve">Recurring cost on account of internet connection ( @ Rs. 150 /- per month  )  provided on   1990 Tablets  provided to ANMs / HWs at Sub-Centre / facility lvel  for the data entry of RCH Portral records using ANMOL application </t>
  </si>
  <si>
    <t>ONGOING ACTIVITY: to be paid to implementating agency for bearing recurring cost</t>
  </si>
  <si>
    <t>Per telemedicine centre (OPEX)</t>
  </si>
  <si>
    <r>
      <rPr>
        <b/>
        <sz val="11"/>
        <rFont val="Calibri"/>
        <family val="2"/>
        <scheme val="minor"/>
      </rPr>
      <t xml:space="preserve"> </t>
    </r>
    <r>
      <rPr>
        <sz val="11"/>
        <rFont val="Calibri"/>
        <family val="2"/>
        <scheme val="minor"/>
      </rPr>
      <t xml:space="preserve">                                                                                                                                                                                                                                                                    </t>
    </r>
    <r>
      <rPr>
        <b/>
        <sz val="11"/>
        <rFont val="Calibri"/>
        <family val="2"/>
        <scheme val="minor"/>
      </rPr>
      <t xml:space="preserve">Ongoing Activity: </t>
    </r>
    <r>
      <rPr>
        <sz val="11"/>
        <rFont val="Calibri"/>
        <family val="2"/>
        <scheme val="minor"/>
      </rPr>
      <t xml:space="preserve">Telemedicine facility has been started in 25 health facilities (in Remote CHC, PHC &amp; CH ) through M/S Piramal Swasthya. The operational cost has been reduced to Rs 33330 /per Month. Teleconsultations using  E-Sanjeevni Application  (developed by CDAC Mohali)  will be started  in these telemedicine centres  after the completion of the period of existing MOU  in April 2022
 </t>
    </r>
    <r>
      <rPr>
        <b/>
        <sz val="11"/>
        <rFont val="Calibri"/>
        <family val="2"/>
        <scheme val="minor"/>
      </rPr>
      <t>(Total= 33330 x 25 x 12 = Rs.99,99,000-00)</t>
    </r>
    <r>
      <rPr>
        <sz val="11"/>
        <rFont val="Calibri"/>
        <family val="2"/>
        <scheme val="minor"/>
      </rPr>
      <t xml:space="preserve">
                                                                                                                                                                   </t>
    </r>
    <r>
      <rPr>
        <b/>
        <sz val="11"/>
        <rFont val="Calibri"/>
        <family val="2"/>
        <scheme val="minor"/>
      </rPr>
      <t xml:space="preserve">Ongoing Activity: </t>
    </r>
    <r>
      <rPr>
        <sz val="11"/>
        <rFont val="Calibri"/>
        <family val="2"/>
        <scheme val="minor"/>
      </rPr>
      <t xml:space="preserve">Telemedicine facility has been started in 50 Rural Health Sub-Centres in 2019-20  through M/S Piramal Swasthya. The operational cost  @ Rs 33330 /per Month per Sub-Centre has been finalized  through tendering process. Teleconsultations using  E-Sanjeevni Application  (developed by CDAC Mohali)  will be started  in these telemedicine centres  after the completion of the period of existing MOU  in April 2022
</t>
    </r>
    <r>
      <rPr>
        <b/>
        <sz val="11"/>
        <rFont val="Calibri"/>
        <family val="2"/>
        <scheme val="minor"/>
      </rPr>
      <t xml:space="preserve"> (Total= 33330 x 50  x 12= Rs. 1.99,98,000-00 )</t>
    </r>
  </si>
  <si>
    <r>
      <rPr>
        <b/>
        <sz val="11"/>
        <color rgb="FF000000"/>
        <rFont val="Calibri"/>
        <family val="2"/>
        <scheme val="minor"/>
      </rPr>
      <t>ONGOING ACTIVITY :</t>
    </r>
    <r>
      <rPr>
        <sz val="11"/>
        <color rgb="FF000000"/>
        <rFont val="Calibri"/>
        <family val="2"/>
        <scheme val="minor"/>
      </rPr>
      <t xml:space="preserve"> For the operations &amp; management of </t>
    </r>
    <r>
      <rPr>
        <u/>
        <sz val="11"/>
        <color rgb="FF000000"/>
        <rFont val="Calibri"/>
        <family val="2"/>
        <scheme val="minor"/>
      </rPr>
      <t xml:space="preserve"> </t>
    </r>
    <r>
      <rPr>
        <b/>
        <u/>
        <sz val="11"/>
        <color rgb="FF000000"/>
        <rFont val="Calibri"/>
        <family val="2"/>
        <scheme val="minor"/>
      </rPr>
      <t>37 seats</t>
    </r>
    <r>
      <rPr>
        <b/>
        <sz val="11"/>
        <color rgb="FF000000"/>
        <rFont val="Calibri"/>
        <family val="2"/>
        <scheme val="minor"/>
      </rPr>
      <t xml:space="preserve"> </t>
    </r>
    <r>
      <rPr>
        <sz val="11"/>
        <color rgb="FF000000"/>
        <rFont val="Calibri"/>
        <family val="2"/>
        <scheme val="minor"/>
      </rPr>
      <t xml:space="preserve">Comprehensive Call Centre for the year 2021-22.
</t>
    </r>
    <r>
      <rPr>
        <u/>
        <sz val="11"/>
        <color rgb="FF000000"/>
        <rFont val="Calibri"/>
        <family val="2"/>
        <scheme val="minor"/>
      </rPr>
      <t xml:space="preserve">Additional 5  seats (4 Call Agents and 1 MBBS Doctor)  have been proposed / added for  the purpose of ECD Calling  and to supplement the Doctor-Patient  communication interface services of dedicated health advisory professionals  to guide and advise the patients of COVID-19 as and when they reachout for help through 104-Health Helpline.   </t>
    </r>
    <r>
      <rPr>
        <sz val="11"/>
        <color rgb="FF000000"/>
        <rFont val="Calibri"/>
        <family val="2"/>
        <scheme val="minor"/>
      </rPr>
      <t xml:space="preserve">
The per seat  /per annum is as per the rates finsalised through tendering process in 2015-16 and as per the terms and conditions of existing MOU / SLA.  </t>
    </r>
  </si>
  <si>
    <t>This year we have screened whole of the populatiopn through Him Suraksha Abhiyan. However, for the next year we will focus on ACF activity in the high risk population by covering in tribal areas, remote areas, slums and lum sum amount of Rs.5 Lakh is being proposed for this activity.</t>
  </si>
  <si>
    <t>Funds for ASHA workers as incentive for detection of leprosy cases proposed</t>
  </si>
  <si>
    <t>Funds for ASHA workers as incentive for PB Cases (Treatment completion) proposed</t>
  </si>
  <si>
    <t>Funds for ASHA workers as incentive for MB Cases (Treatment completion) proposed</t>
  </si>
  <si>
    <t>MCR culler Rabber MCR for all patients twice a year as per approved rates of GOI.</t>
  </si>
  <si>
    <t>Appliances like crutches, wheel chair, splints to NLEP Patients.</t>
  </si>
  <si>
    <t>Recommended for anti-leprosy drugs.</t>
  </si>
  <si>
    <t xml:space="preserve">Fresher training for MO, MPW, CHO and Asha Sensitization under NLEP Program proposed </t>
  </si>
  <si>
    <t>Funds for IEC from state and all district during ACF Campaign and other online activities for awareness generation of the community/ proples have been proposed</t>
  </si>
  <si>
    <t xml:space="preserve">State proposes for Asha Incentive for carrying out salt testing in 10 endemic district. Rs. 23.43 lakh fund is recommended for Asha Incentive @. 25/- per month (@ Rs. 0.50  for one salt sample test, at least 50 sample are to be tested in month for 12 month of 10 endemic district. </t>
  </si>
  <si>
    <t>State proposes Rs. 2065000/- for procurement of STK kitsfor the year 2021-22 for the 10 endemic  district in the State. Bilaspur, Chamba, Kangra, Kullu, Hamirpur, Mandi, Shimla, Solan, Sirmour, Una.</t>
  </si>
  <si>
    <t>Funds proposed by State for State IDD lab inder Fmr 10.4.1 have been considered here as the proposal is for procurement of lab equipment to replace existing functonal lab equipment in the State IDD Monitoring Lab at Kanga District.</t>
  </si>
  <si>
    <t xml:space="preserve">State proposes Rs. 1.00 lakh for Laboratory chemicals / reagents, glassware, disposables etc. for testing salt &amp; urine samples in the State IDD Monitoring Lab. </t>
  </si>
  <si>
    <t>State proposes Rs. 5.00 lakh for the celebration of Global Idd Day &amp; other IEC activites in all the 12 districts of the State @ Rs. 41667 per district.</t>
  </si>
  <si>
    <t>State proposes Rs. 5.00 lakh of IEC activites to be carried out in 12 District of the State @ Rs. 41667 per district.</t>
  </si>
  <si>
    <r>
      <rPr>
        <b/>
        <sz val="11"/>
        <color theme="1"/>
        <rFont val="Calibri Light"/>
        <family val="2"/>
        <scheme val="major"/>
      </rPr>
      <t>SPT Training:
Physical Mode:</t>
    </r>
    <r>
      <rPr>
        <sz val="11"/>
        <color theme="1"/>
        <rFont val="Calibri Light"/>
        <family val="1"/>
        <scheme val="major"/>
      </rPr>
      <t xml:space="preserve">
2 batches of service provider trainings @ Rs. 335000 each (35 participants in each batch) 
</t>
    </r>
    <r>
      <rPr>
        <b/>
        <sz val="11"/>
        <color theme="1"/>
        <rFont val="Calibri Light"/>
        <family val="2"/>
        <scheme val="major"/>
      </rPr>
      <t>Virtual Mode:</t>
    </r>
    <r>
      <rPr>
        <sz val="11"/>
        <color theme="1"/>
        <rFont val="Calibri Light"/>
        <family val="1"/>
        <scheme val="major"/>
      </rPr>
      <t xml:space="preserve">
1 batch of SPT trainings (35 participants in batch)
</t>
    </r>
    <r>
      <rPr>
        <b/>
        <sz val="11"/>
        <color theme="1"/>
        <rFont val="Calibri Light"/>
        <family val="2"/>
        <scheme val="major"/>
      </rPr>
      <t>Internal Assessor's Training:</t>
    </r>
    <r>
      <rPr>
        <sz val="11"/>
        <color theme="1"/>
        <rFont val="Calibri Light"/>
        <family val="1"/>
        <scheme val="major"/>
      </rPr>
      <t xml:space="preserve">
1 Batch of Internal Assessor training (LaQshya, NQAS &amp; Kayakalp) @ Rs 2,66,000/-  (35-40 Participants)</t>
    </r>
  </si>
  <si>
    <r>
      <t xml:space="preserve">
</t>
    </r>
    <r>
      <rPr>
        <b/>
        <sz val="11"/>
        <color theme="1"/>
        <rFont val="Calibri"/>
        <family val="2"/>
        <scheme val="minor"/>
      </rPr>
      <t>--1 Batch</t>
    </r>
    <r>
      <rPr>
        <sz val="11"/>
        <color theme="1"/>
        <rFont val="Calibri"/>
        <family val="2"/>
        <scheme val="minor"/>
      </rPr>
      <t xml:space="preserve"> of Infetcion Control &amp; Biomedical waste Training at the state Level for preparing Distt TOTs @ Rs 40,000/- (45-50 Participants) 
</t>
    </r>
    <r>
      <rPr>
        <b/>
        <sz val="11"/>
        <color theme="1"/>
        <rFont val="Calibri"/>
        <family val="2"/>
        <scheme val="minor"/>
      </rPr>
      <t xml:space="preserve">
--17 Batches</t>
    </r>
    <r>
      <rPr>
        <sz val="11"/>
        <color theme="1"/>
        <rFont val="Calibri"/>
        <family val="2"/>
        <scheme val="minor"/>
      </rPr>
      <t xml:space="preserve">  Infetcion Control &amp; Biomedical waste Training at facilitty  Level (DH, Upgraded Med Colleges, Medical Colleges, Mental Hospital &amp; Sanatorium Hospital) @ Rs 20,000/- per batch ( 3 5-40 participants each batch)
</t>
    </r>
    <r>
      <rPr>
        <b/>
        <sz val="11"/>
        <color theme="1"/>
        <rFont val="Calibri"/>
        <family val="2"/>
        <scheme val="minor"/>
      </rPr>
      <t>--12  Batches</t>
    </r>
    <r>
      <rPr>
        <sz val="11"/>
        <color theme="1"/>
        <rFont val="Calibri"/>
        <family val="2"/>
        <scheme val="minor"/>
      </rPr>
      <t xml:space="preserve"> Infetcion Control &amp; Biomedical waste Training at Distt  Level ( Preparing Block TOTs) @ Rs 40,000/- per batch ( 3 5-40 participants each batch)
--</t>
    </r>
    <r>
      <rPr>
        <b/>
        <sz val="11"/>
        <color theme="1"/>
        <rFont val="Calibri"/>
        <family val="2"/>
        <scheme val="minor"/>
      </rPr>
      <t xml:space="preserve">76 Batches </t>
    </r>
    <r>
      <rPr>
        <sz val="11"/>
        <color theme="1"/>
        <rFont val="Calibri"/>
        <family val="2"/>
        <scheme val="minor"/>
      </rPr>
      <t xml:space="preserve">Infetcion Control &amp; Biomedical waste Training at Block  Level ( Preparing of CHC &amp; PHC staff ) @ Rs 15,000/- per batch ( 3 5-40 participants each batch)
</t>
    </r>
  </si>
  <si>
    <t>No funds proposed</t>
  </si>
  <si>
    <t xml:space="preserve"> Calibration done under Biomedical Equipemnt management system therefore No funds proposed under tis head</t>
  </si>
  <si>
    <t>AERB certification of 15 civil hospitals (100-199 bedded) @ Rs. 50000; 
CH Chowari , CH Nurpur, CH Nalagarh , CH Thural, CH Badsar, CH Ghumarwin, CH Rohru, CH Rampur, CH Sarahan (Sirmaur) CH Bangana CH Amb, CH Tegubehar, CH Karsog, CH Dharampur  &amp; CH Nadaun</t>
  </si>
  <si>
    <t>No funds proposed this head</t>
  </si>
  <si>
    <r>
      <rPr>
        <b/>
        <sz val="11"/>
        <color theme="1"/>
        <rFont val="Calibri"/>
        <family val="2"/>
        <scheme val="minor"/>
      </rPr>
      <t xml:space="preserve">Assessment visits: 
- </t>
    </r>
    <r>
      <rPr>
        <sz val="11"/>
        <color theme="1"/>
        <rFont val="Calibri"/>
        <family val="2"/>
        <scheme val="minor"/>
      </rPr>
      <t>No Funds proposed for State mentoring visit by SQAU since General poolvehicle are used for mentoring visits  DA is claimed as per state Norms and the expenditure booked under general pool.</t>
    </r>
    <r>
      <rPr>
        <b/>
        <sz val="11"/>
        <color theme="1"/>
        <rFont val="Calibri"/>
        <family val="2"/>
        <scheme val="minor"/>
      </rPr>
      <t xml:space="preserve">
</t>
    </r>
    <r>
      <rPr>
        <sz val="11"/>
        <color theme="1"/>
        <rFont val="Calibri"/>
        <family val="2"/>
        <scheme val="minor"/>
      </rPr>
      <t xml:space="preserve">
- Distt Assessment: 2 facilities per month per consultant for each Distt (10 Distt) @ Rs 500/- (Rs. 120000)</t>
    </r>
  </si>
  <si>
    <r>
      <t xml:space="preserve">State qualifies only for first award each category   Category I (DH) </t>
    </r>
    <r>
      <rPr>
        <b/>
        <sz val="11"/>
        <color theme="1"/>
        <rFont val="Calibri"/>
        <family val="2"/>
        <scheme val="minor"/>
      </rPr>
      <t>Rs 5000000</t>
    </r>
    <r>
      <rPr>
        <sz val="11"/>
        <color theme="1"/>
        <rFont val="Calibri"/>
        <family val="2"/>
        <scheme val="minor"/>
      </rPr>
      <t xml:space="preserve">
 (SDH/CHC     </t>
    </r>
    <r>
      <rPr>
        <b/>
        <sz val="11"/>
        <color theme="1"/>
        <rFont val="Calibri"/>
        <family val="2"/>
        <scheme val="minor"/>
      </rPr>
      <t xml:space="preserve"> Rs 1500000</t>
    </r>
    <r>
      <rPr>
        <sz val="11"/>
        <color theme="1"/>
        <rFont val="Calibri"/>
        <family val="2"/>
        <scheme val="minor"/>
      </rPr>
      <t xml:space="preserve">
  PHC    Rs 200000 (11 Distts)  </t>
    </r>
    <r>
      <rPr>
        <b/>
        <sz val="11"/>
        <color theme="1"/>
        <rFont val="Calibri"/>
        <family val="2"/>
        <scheme val="minor"/>
      </rPr>
      <t>Rs 2200000</t>
    </r>
    <r>
      <rPr>
        <sz val="11"/>
        <color theme="1"/>
        <rFont val="Calibri"/>
        <family val="2"/>
        <scheme val="minor"/>
      </rPr>
      <t xml:space="preserve">
   HWC  Rs 100000 ( 10 Distts) </t>
    </r>
    <r>
      <rPr>
        <b/>
        <sz val="11"/>
        <color theme="1"/>
        <rFont val="Calibri"/>
        <family val="2"/>
        <scheme val="minor"/>
      </rPr>
      <t xml:space="preserve"> Rs 1000000</t>
    </r>
    <r>
      <rPr>
        <sz val="11"/>
        <color theme="1"/>
        <rFont val="Calibri"/>
        <family val="2"/>
        <scheme val="minor"/>
      </rPr>
      <t xml:space="preserve">
 Runner award  for HWC for  districts 2 x Rs 50000 </t>
    </r>
    <r>
      <rPr>
        <b/>
        <sz val="11"/>
        <color theme="1"/>
        <rFont val="Calibri"/>
        <family val="2"/>
        <scheme val="minor"/>
      </rPr>
      <t>Rs 100000</t>
    </r>
    <r>
      <rPr>
        <sz val="11"/>
        <color theme="1"/>
        <rFont val="Calibri"/>
        <family val="2"/>
        <scheme val="minor"/>
      </rPr>
      <t xml:space="preserve">
2nd runner-up  award 2x Rs 35000 = </t>
    </r>
    <r>
      <rPr>
        <b/>
        <sz val="11"/>
        <color theme="1"/>
        <rFont val="Calibri"/>
        <family val="2"/>
        <scheme val="minor"/>
      </rPr>
      <t>Rs 70000</t>
    </r>
    <r>
      <rPr>
        <sz val="11"/>
        <color theme="1"/>
        <rFont val="Calibri"/>
        <family val="2"/>
        <scheme val="minor"/>
      </rPr>
      <t xml:space="preserve">
</t>
    </r>
    <r>
      <rPr>
        <b/>
        <sz val="11"/>
        <color theme="1"/>
        <rFont val="Calibri"/>
        <family val="2"/>
        <scheme val="minor"/>
      </rPr>
      <t>Commendation Award:</t>
    </r>
    <r>
      <rPr>
        <sz val="11"/>
        <color theme="1"/>
        <rFont val="Calibri"/>
        <family val="2"/>
        <scheme val="minor"/>
      </rPr>
      <t xml:space="preserve">
DHs  @ Rs 300000 x 5 facilities = </t>
    </r>
    <r>
      <rPr>
        <b/>
        <sz val="11"/>
        <color theme="1"/>
        <rFont val="Calibri"/>
        <family val="2"/>
        <scheme val="minor"/>
      </rPr>
      <t>Rs 1500000</t>
    </r>
    <r>
      <rPr>
        <sz val="11"/>
        <color theme="1"/>
        <rFont val="Calibri"/>
        <family val="2"/>
        <scheme val="minor"/>
      </rPr>
      <t xml:space="preserve">
SDHs/CHCs @ Rs 100000 x 10 facilities = </t>
    </r>
    <r>
      <rPr>
        <b/>
        <sz val="11"/>
        <color theme="1"/>
        <rFont val="Calibri"/>
        <family val="2"/>
        <scheme val="minor"/>
      </rPr>
      <t>Rs 1000000</t>
    </r>
    <r>
      <rPr>
        <sz val="11"/>
        <color theme="1"/>
        <rFont val="Calibri"/>
        <family val="2"/>
        <scheme val="minor"/>
      </rPr>
      <t xml:space="preserve">
 PHCs  @ Rs 50000 x 50 facilities = </t>
    </r>
    <r>
      <rPr>
        <b/>
        <sz val="11"/>
        <color theme="1"/>
        <rFont val="Calibri"/>
        <family val="2"/>
        <scheme val="minor"/>
      </rPr>
      <t>Rs 2500000</t>
    </r>
    <r>
      <rPr>
        <sz val="11"/>
        <color theme="1"/>
        <rFont val="Calibri"/>
        <family val="2"/>
        <scheme val="minor"/>
      </rPr>
      <t xml:space="preserve">
HWCs@ Rs 25000 x30 facilities =</t>
    </r>
    <r>
      <rPr>
        <b/>
        <sz val="11"/>
        <color theme="1"/>
        <rFont val="Calibri"/>
        <family val="2"/>
        <scheme val="minor"/>
      </rPr>
      <t xml:space="preserve"> Rs 750000</t>
    </r>
    <r>
      <rPr>
        <sz val="11"/>
        <color theme="1"/>
        <rFont val="Calibri"/>
        <family val="2"/>
        <scheme val="minor"/>
      </rPr>
      <t xml:space="preserve">
</t>
    </r>
  </si>
  <si>
    <t>Proposed for Kayakalp Support @ Rs 10000 for 80 facilities (upto bed strength of 50) (Disinfectants, non-chlorinated poly bags, BMW bins, closed trolleys, high density gloves, storage areas, signages, needle-cutter, any other material required at facility level for BMW management)</t>
  </si>
  <si>
    <t>Being a small state as per GOI guidelines, state qualifies for amount of Rs. 200000 under contigency</t>
  </si>
  <si>
    <t>The funds will be meet out from the expenses of program management</t>
  </si>
  <si>
    <t>Operational cost for 12 districts @ Rs. 10000</t>
  </si>
  <si>
    <t>KEY DELIVERABLE ACTIVITY
Bi-annual coordination meeting between Health and Education @ Rs. 7500 per meeting under SHP/ RKSK for six districts implementing SHP.</t>
  </si>
  <si>
    <t>KEY DELIVERABLE ACTIVITY
State level convergence meeting @ Rs 35,000 per meeting under SHP</t>
  </si>
  <si>
    <t>Budget proposed for establishment of 3 AFHRC- at ZH Shimla, RH Chamba and ZH Mandi @110000</t>
  </si>
  <si>
    <t>KEY DELIVERABLE ACTIVITY
Proposed for 21 AH Counsellors for 2 visits in a month @ Rs. 250/- per visit under RKSK and 2 visits in a month @ 200/- per visit under SHP for 12 months
For 18 AH Counsellors (vacant positions) for 6 months and for 2 AH Counselors(new) for 6 months</t>
  </si>
  <si>
    <t>Ongoing activity; Amount proposed for AHDs in 3 schools/ block (75)  per quarter @ Rs 2500 each for one year</t>
  </si>
  <si>
    <t>IGMC:2 Lac, RPGMC: 0.99 lac,SLBSGMC,Mandi:1 lac</t>
  </si>
  <si>
    <t>Amount proposed for non monetory incentive for 2116 Peer Educator @ Rs. 50 for 12 months.</t>
  </si>
  <si>
    <t>The amount is required for 99 clinics (Kangra 19, Bilaspur 5, Mandi 16, Chamba 8, 51 in non RKSK districts ) for contigencies including minor repair etc. @ Rs. 10000/- per clinic 
Amount of 50,000  is required for establishment of  new Nayi Disha Kendras at PHC Sanjauli, Shimla</t>
  </si>
  <si>
    <t xml:space="preserve">There are 373864 adoloscent girls covered under the scheme. This includes all the girls in rural as well as urban areas.The state governement has commited to provide Rs 4 Crore per year for sanitary napkins @ Re 1 per pack of 6 pads </t>
  </si>
  <si>
    <t>The expenditure of the cataract surgery done in the Govt. intitution under this head is less utilized because the patients avail the benefit under Ayushman Bharat</t>
  </si>
  <si>
    <t>It has been decided that HHMH&amp;R shall procure the medicines under National Mental Health Programme and distributed to districts.</t>
  </si>
  <si>
    <t>Budget proposed for dissemination workshop under RKSK at state level @200000</t>
  </si>
  <si>
    <t>Budget proposed for training of one batch of Medical Officers on Adolescent Friendly Health Services (each batch having 30 participants)</t>
  </si>
  <si>
    <t>Budget proposed for training of 6 batches of ANM/LHV/MPW/Paramedics on Adolescent Friendly Health Services (each batch having 30 participants)</t>
  </si>
  <si>
    <t xml:space="preserve">One batch of new AH Counsellors will be trained </t>
  </si>
  <si>
    <t>Amount proposed for training of one batch of 15 Medical Officers and 15 Health Educators as Master Trainers to roll out PE programme in Shimla</t>
  </si>
  <si>
    <t>Budget proposed for training of 2116 Peer Educators in 66 batches where each batch will have 32 Peer Educators and 8 ASHAs</t>
  </si>
  <si>
    <t>One batch of nodal teachers will be oriented for half day at block level (75 blocks) of each district.</t>
  </si>
  <si>
    <t xml:space="preserve">KEY DELIVERABLE ACTIVITY
111 batches of 30 nodal teachers are to be trained @178860 per batch  = 1.99 crore.
</t>
  </si>
  <si>
    <t>Amount proposed for various innovative training programmes of Mos and paramedics to be conducted at SIHFW Parimahal and RHFWTC, Kangra</t>
  </si>
  <si>
    <t>5 batches of Mos @ 255200 and 3 batches paramedics  @ 275750 proposed to be  conducted .</t>
  </si>
  <si>
    <t>as per annexures</t>
  </si>
  <si>
    <t xml:space="preserve">1) 10 Exhibitions during International, National, State &amp; District Fiars @ Rs. 2,00,000.00 - Rs. 20 Lakhs. 2) State Level @ Rs. 50,000.00 per health day for 22 Health days including  fortnights - Rs. 11 lakhs. 3) 22 Health days in 12 districts @ Rs. 3,000.00 per health day - Rs. 7.92 lakhs. 4) 22 Health days in 76 blocks @ Rs. 1,000.00 per health day - Rs. 16.72 lakhs. </t>
  </si>
  <si>
    <t>800 flex banners @241=1,92,000; 550 sunboards @1650=9,07,500, 150 hoardings @16,000= 24,00000, signage and IEC display in institutions at district level = 40,00000: District Shimla, Kangra, Mandi @ 5 lacs, District Solan, Bilaspur, Hamirpur, Kullu, Sirmaur,Una, Chamba @3 lacs, L &amp; S, Kinnaur@ 2 lacs.</t>
  </si>
  <si>
    <t xml:space="preserve">IEC campaign through 4 private radio channels(airing in himachal), 20 spots per day for300 days @Rs 245 per spot of 30 sec including production charges </t>
  </si>
  <si>
    <t>IEC campaign through display advertisements in the newspapers, souviniers, magazines etc</t>
  </si>
  <si>
    <t>Media workshops on quarterly basis at the state level</t>
  </si>
  <si>
    <t xml:space="preserve">2.5 lacs for the state HQ, 2.5 lacs to be distributed in the 12 districts proportionately. </t>
  </si>
  <si>
    <t xml:space="preserve">Budget proposed for PE Kita and PE diary @ 500 per PE for </t>
  </si>
  <si>
    <t>Budget proposed for printing of training manuals for MO, ANM and Counsellor and ANM training manual for PE training. Detail attached in annexure Printing</t>
  </si>
  <si>
    <t>HR Cost at the level of state and 3 PE districts @ Rs 18 lakhs/year
Monitoring and travel cost @ Rs 6 lakhs per year
Review meeting of NGO staff at state/district/block level @ 1.20 Lakhs per year
Overhead charges @5%= 1.26 Lakhs</t>
  </si>
  <si>
    <t>operational expenses for the DMHT</t>
  </si>
  <si>
    <t>contingency for the DMHT</t>
  </si>
  <si>
    <t>Food is provided free to all patients in all government hospitals of the state. However, the state provides an additional amount of Rs.30 per day of hospital stay for supplementing the diet of PW. The estimated births as received from GoI vide D.O. dated 20.8.2020 is 1,15,770 and it is assumed that around 90% (1,00,000 approx.) would deliver in health institutions. Out of the 1 lakh, 90,000 is assumed to have normal delivcery and 10,000 C-Section. It is assumed that the stay of hospital would be 3 days for ND and 7 days for C-Section. The state has built proposal for food for 45000 Normal deliveries and 5000 C-sections  and therefore,  calculation is as under:   Normal Delivery = 45000 x 90(Rs. 30 for 3 days) = Rs.40.5 lac; C-Section = 5000 x 210 (Rs.30 x 7 days) = Rs. 10.5 lac Therefore total is Rs. 51 lac</t>
  </si>
  <si>
    <t>The state is providing free blood to all categories and the budget is being built by the concerned division.</t>
  </si>
  <si>
    <t>0                                  1) Mentoring visits could not be conducted         2) Review meeting held in virtual mode.          3) Dakshata Mentors on COVID duty</t>
  </si>
  <si>
    <t>LaQshya related activities
1. 4 State mentoring visit @ Rs.6800 per visitper month for 12 districts
Total = Rs. 6800 x 4 x 12 x 12 = Rs.39,16,800
2. National mentoring visit
Quarterly visit @ Rs. 44,400
Total = Rs. 44,400 x 4 visits = Rs. 1,77,600
3. DCT visit
2 visits @ Rs. 4100 per month in 7 facilities for 12 months
Total = Rs. 4100 x 2 x 7 x 12 = Rs. 6,88,800
4. Quarterly district level review meeting
Quarterly District level Review meeting @ Rs.9000 each for 12 districts
Total = Rs. 9000 x 4 x 12 = Rs. 4,32,000
5. State Level Review meeting
Quarterly State level Review meeting @ Rs. 58,000
Total = Rs. 58,000 x 4 = Rs. 2,32,000
Total fund required = Rs. 54,47,200</t>
  </si>
  <si>
    <t>Same budget proposed as in previous year</t>
  </si>
  <si>
    <t>It is pertinent to mention that state has enhanced the incentive under JSY for Rural &amp; Urban IDs to Rs.1100 from the state budget. The districts books the expenditure @Rs.1100. The additional amount of incentive is recooped in NHM budget. Same budget proposed as previous year</t>
  </si>
  <si>
    <t>Achievement by CP division</t>
  </si>
  <si>
    <t>Proposed for 14000 Rural IDs@ Rs.600 per case and 1000 Urban IDs @ Rs.400 per case. The total fund proposed is Rs.600 x 14000 IDs (Rural) + Rs.400 x 1000 IDs (Urban) = Rs.8400000 + Rs. 400000 = Rs. 8800000 (Rs. 88 lac)</t>
  </si>
  <si>
    <r>
      <rPr>
        <b/>
        <u/>
        <sz val="11"/>
        <color theme="1"/>
        <rFont val="Calibri"/>
        <family val="2"/>
        <scheme val="minor"/>
      </rPr>
      <t>Incentive to ASHAs for PMSMA</t>
    </r>
    <r>
      <rPr>
        <sz val="10"/>
        <rFont val="Arial"/>
        <family val="2"/>
      </rPr>
      <t xml:space="preserve">                                          It is assumed that 4000  of the approx. 8000 ASHA will attend one session per month. Therefore, 4000 ASHA x 100 x 12 months = Rs. 48 lacs</t>
    </r>
  </si>
  <si>
    <t>476                              Leftout funds:-        (MCH Nurpur = 2.10 cr being released; Dr. RPGMC Tanda = 2.45 cr, RH Bilaspur=0.07 cr, RH Solan=0.07 cr., Dr.YSPGMC Nahan = 0.07 cr not yet released)</t>
  </si>
  <si>
    <t>1. RH Kullu - Out of Rs.20 cr. approved, Rs.8.45 cr. stand released and another 4 cr. built in S.PIP. Work is progressing fast. Rest of fund i.e. Rs.7.55 cr built. 2. Dr.RPGMC Tanda = Out of Rs. 40 cr. approved, Rs. 18.95 cr. stand released . Work is in progress, Rs. 10 cr is built 3. CH Nurpur = Out of Rs. 10 cr. approved, Rs. 8.10 cr has been released. Remaining funds built in Supplementary PIP and funds proposed are NIL 4. RH Una = Out of Rs.20 cr., Rs. 4.57 cr. has been released and another Rs.4 cr. has been proposed in S.PIP. Work is in progress hence Rs.5 cr  built in PIP. Rs. 1 lac as token money for MCH wings at Dr.YSPGMC, Nahan, RH Bilaspur and DH Solan built as the work is about to be initiated</t>
  </si>
  <si>
    <t>The cost per Kit for HIV &amp; Syphilis arrived after tender process = Rs.12.86/kit. The estimated PW are 1,27,120. Hence the total fuds proposed is = 1,27,123 PW x Rs. 12.86 = Rs. 1634763.20</t>
  </si>
  <si>
    <t>Expected Pregnant women 1,27,120. The funds proposed as per new guidelines @ Rs.600 per PW i.e. 1,27,120 PW x Rs.600 = Rs.7,62,72,000</t>
  </si>
  <si>
    <t>The estimated PW as per D.O. dated 20.8.2020 is 1,27,120. Funds for ANCas per new guidelines  @ Rs.600 PW i.e. Rs.7,62,72,000. Out of which it is assumed that 1 lac will delivered in insitutions. Out of which 90,000 would be normal delivery and 10,000 would be C-Section. The funds proposed for 90,000 ND @ Rs. 1000 per delivery and for 10,000 C-Section @ Rs.4500 per C-Section. Total fund proposed = Rs. 7,62,72,000 for ANC + Rs. 9,00,00,000 for ND + Rs. 4,50,00,000 = Rs.21,12,72,000</t>
  </si>
  <si>
    <t>As per D.O. estimated 0-1 yr children is 113570. The budget has been built @ RS.400 per infant i.e. Rs.400 x 37500 infants = Rs. 15000000</t>
  </si>
  <si>
    <t>Incentive for Gynecologists, peadiatricians, Anesthetists, Radiologists and Staff Nurses in 16 selected FRUs</t>
  </si>
  <si>
    <t>PBIs for 4 HPDs in the state have been notified vide Letter No. HFW-H/NHM/PBI/2015-16 dated 18.9.2015 and 27.12.2017. Demand is being received for PBI for SNCU at MC Nahan and MC Chamba as they are not in the list of notified FRUs getting incentive for SNCUs.</t>
  </si>
  <si>
    <t>ToT for two Skill Labs at RHWTC Chebb and SLBSGMC, Nerchowk for batch size 6 participants/batch</t>
  </si>
  <si>
    <t>Due to COVID, no training could be conducted</t>
  </si>
  <si>
    <t>As per guidelines 1 batch can be conducted in one week. However, we have proposed 25 batches each in three Skill Labs of the state with batch size of 16 participants   (16 ANM/SN)</t>
  </si>
  <si>
    <t>We can train 3 MOs in a batch. We have proposed 30 MOs of non-FRU CHC/CH initially as Gynaecologists are available at FRUs. Funds for one batch is Rs.126615. Therefore, the amount proposed is Rs.126615 x 10 batches = 12.66 lac.</t>
  </si>
  <si>
    <t>For laQshya orientation on improving the quality of services at LR and OT in LaQshya facilities. The funds for one batch is Rs.97520. Therefore, the amount proposed is Rs. 97520 x 5 batches = Rs. 4,88,000</t>
  </si>
  <si>
    <t>Dakshata training of MOs/SNs of LaQshya facilities with a batch size of 20 Medical Officers &amp; Staff Nurses. The funds for one batch is Rs.79580. Therefore the amount proposed is Rs.79580 x 20 batches = Rs. 15,91,600</t>
  </si>
  <si>
    <t>Printing of PMSMA registers, OPD slips, HRP registers, LR registers, HRP Stickers, Birth Preparedness Plan</t>
  </si>
  <si>
    <t>Incentive for LaQshya facilities - RH Kullu, RH Chamba and DH Reckong Peo have already been Nationally certified. KNH, RH Una, RH Solan, C Palampur, CH Sundernagar are expected to be certified by March, 2021. RH Hamirpur, RH Nahan, ZH Mandi and RH Bilaspur are to be certified by March, 2022 Accordingly, for MC Rs. 12 lac, for DH Rs. 6 lac and for CH Rs. 4 lac have been proposed</t>
  </si>
  <si>
    <t xml:space="preserve">State  will condsider this activity under Free Drugs &amp; Free Diagnostics Services </t>
  </si>
  <si>
    <t xml:space="preserve">Both MTCs (IGMC Shimla &amp; Dr. RPGMC Tanda) </t>
  </si>
  <si>
    <t xml:space="preserve">IGMC Shimla &amp; Dr. RPGMC Tanda </t>
  </si>
  <si>
    <t xml:space="preserve">For Treatment Centre at 12 Districts Head Quarter </t>
  </si>
  <si>
    <t xml:space="preserve">For test kits and management at Treatment Centres </t>
  </si>
  <si>
    <t xml:space="preserve">Cash Grant </t>
  </si>
  <si>
    <t xml:space="preserve">NS1 Antigen kits requird at 7 sentinel Surveilalnce Hospital </t>
  </si>
  <si>
    <t xml:space="preserve">To be procured by GOI </t>
  </si>
  <si>
    <t xml:space="preserve">State Lab IGMC Shimla </t>
  </si>
  <si>
    <t>State propososes for IEC activities for Anti Rabbies Day @ Rs. 5000/- per district @ Rs. 3000/- per block &amp; remaining amount for newpapers advertisement at State Head Quarter</t>
  </si>
  <si>
    <t>State proposes 1 lacs for State HQ &amp; Rs. 50000/- per 10 distrcits</t>
  </si>
  <si>
    <t xml:space="preserve">       </t>
  </si>
  <si>
    <t xml:space="preserve">Peritoneal dialysis of 25 patients at IGMC Shimla and Dr RPGMC Tanda @ Rs 16666 per month per patient </t>
  </si>
  <si>
    <t xml:space="preserve">Strengthning of the labs , mobility ,misc &amp; contingencies in all 12 DH (including 10 integrtaed Nirog Clinics) in the state. The funds will be utlised mainly for minor repair works in the labs and for ensuring good elect. &amp;  water supply and ventilation etc. </t>
  </si>
  <si>
    <t xml:space="preserve">To train the key stakeholders (School management committess and teachers )about the tobacco free Edu Instt guidelines/concept  and to enfiorce it @ Rs 1000 per Edu Instt (2000Govt and 500 Pvt Edu Instt) </t>
  </si>
  <si>
    <t>Follow up of 50000 individuals @ 100 per follow up      100x50000=50 lakh</t>
  </si>
  <si>
    <t xml:space="preserve">10 Nirog sited where renovation is requird @ Rs 3 lakh per unit for patiants  especialy for user friendly  toilets  ,fallers beds  and aplinaces like walkers and sticks etc  </t>
  </si>
  <si>
    <t>National Assessment of 2 DH @ Rs. 200000  facility
National Assessment of 3 CH/CHC @ Rs. 140000/facility
State  Certification Assessment of 3 DH @ Rs. 70000/facility 
State Assessment of 4 CHC @ Rs. 50000/facility</t>
  </si>
  <si>
    <t>National assessment for LaQshya Certification of 2 Medical Colleges @ Rs. 110000/facility
National assessment for LaQshya Certification of 5 DH &amp; CH @ Rs. 110000/facility
State assesment for LaQshya Certification of 10 facilities @ Rs. 40000/facility</t>
  </si>
  <si>
    <t xml:space="preserve">1 facilty 298 beded @ 10000/- per bed (Rs 2980000/-), as per NQAS guidelines (Total Beds  x Facilities x  Rs 10000)
</t>
  </si>
  <si>
    <t>1. All tests will be made available free of cost for all categories of patients.</t>
  </si>
  <si>
    <t>2. At those DH and/or nearby CHCs where in-house hub laboratories become operational,  the laboratories operated by Service provider in the DH will be discontinued within 1 month of operationalisation of the in-house hub laboratories  to avoid duplication of huge budgets. If not done, the funds used for setting up and operationalisation of in-house hub and spoke will be significantly wasted and extra funds will be spent on payments to the service provider for the same services provided by newly set up in-house hub laboratories.</t>
  </si>
  <si>
    <t xml:space="preserve"> A deafness screning  van  has been provided by ICMR to IGMC Shimla under a projact in 2018. The project is over and the running cost of the van will be Rs 10lakh per year . (opex cost  &amp; POL for deafness van)It will help in deafness screening in the state as mobile van </t>
  </si>
  <si>
    <t xml:space="preserve">We are running 3 day care centers in colaboration with Help age NGO @ 264000 Rs per year ( 880000 [per unit) and we wish to continue it in 2021-22. The centers are providing day care facilities, health checkups, physiotherapy and recreational activities to the elderlies at Shimla, Dharamshala and Mandi </t>
  </si>
  <si>
    <t xml:space="preserve">Orientation training of Mos  and staff audiemetry and deafness screening and management as per GOI guidelines /protocols. Batch of 25 Mos &amp; Staff . The training can be clubbed with other training for 1/2 day  </t>
  </si>
  <si>
    <t xml:space="preserve">IEC activitise at state and Distt level @ Rs 1 lakh per unit </t>
  </si>
  <si>
    <t xml:space="preserve"> Prinitinmg of refferal slips and Pamphlet for distribution to the beneficiries under Nirog Yojna </t>
  </si>
  <si>
    <t>Proposed for printing of  revised CBAC Checklist/Health Cards</t>
  </si>
  <si>
    <t xml:space="preserve">Amount required for DVDMS for 2021-22 is 98.1 lakh. The details are : 1. Application software support= 12.55 lakh  2. Hosting Data Centre=12.54 Lakh 3. FMS Data centre =7.92 Lakh 4. IT cell Model=50.19 Lakh, 5. Safe to Host security certificate =1.50 lakh  Total Cost 83.20 Lakh  including 10 % increment 18 % GST =14.98 Lakh Grand Total=98.18 Lakhs </t>
  </si>
  <si>
    <t xml:space="preserve"> Free dialysis services  to the left out  BPL patiants those who are not covered under Ayushman  Scheme  and   or those whom card is exuasted </t>
  </si>
  <si>
    <t xml:space="preserve">funds under this head has been proposed for Female Sterilization fixed day camp service. 2 camps in each district(except L&amp;S) and 2 camps at all 5 Medical Colleges i.e. 32 camps @Rs. 10000/- per FDS </t>
  </si>
  <si>
    <t xml:space="preserve">Funds under this head has been proposed for Male sterilization fixed days camp services. 10 each district expect Kinnaur &amp; L&amp;S @ Rs. 20000/-per FDS. </t>
  </si>
  <si>
    <t xml:space="preserve">Funds under this head has been proposed  for recommended @Rs. 200 per unit for 40000 beneficiaries as per previous year collection of Blood Units for providing blood and its components free of cost . </t>
  </si>
  <si>
    <t xml:space="preserve">Funds under this head has been proposed for compensation amount of female sterilization to the beneficiaries@Rs1000/-per case. </t>
  </si>
  <si>
    <r>
      <t xml:space="preserve">1st Award for one UPHC Rs 200000
</t>
    </r>
    <r>
      <rPr>
        <b/>
        <sz val="11"/>
        <rFont val="Calibri"/>
        <family val="2"/>
        <scheme val="minor"/>
      </rPr>
      <t>Commendation Award:</t>
    </r>
    <r>
      <rPr>
        <sz val="11"/>
        <rFont val="Calibri"/>
        <family val="2"/>
        <scheme val="minor"/>
      </rPr>
      <t xml:space="preserve">
2 Awards UPHC Rs 50000
Note : Under NUHM 13 PHCs have been notified in the state</t>
    </r>
  </si>
  <si>
    <t xml:space="preserve">Rs 840 Lakhs as 1st Installment @ Rs 10.50 Lakh per SC i. e. 30% out of total 2800 lakhs @ Rs 35 Lakhs per SC </t>
  </si>
  <si>
    <t xml:space="preserve">Funds under this head has been proposed for compensation amount of Male Sterilization to the beneficiaries@Rs.1500/- per case </t>
  </si>
  <si>
    <t>Funds under this head has been proposed for compensation for IUCD Insertion at Health facility (including FDS services SHX &amp; PHC) to expecting 10000 IUCD insertion @20/IUCD insertion.</t>
  </si>
  <si>
    <t xml:space="preserve">Funds under this head has been proposed for PPIUCD Services: Compensation to beneficiary for PPIUCD insertion for expected 5000 PPIUCD insertion @Rs. 300/- PPIUCD insertion. </t>
  </si>
  <si>
    <t xml:space="preserve">Funds under this head  has been proposed for  PAIUCD services. Compensation to beneficiary for PAIUCD insertion for expected 500 PAIUCD@300/- PAIUCD insertion. </t>
  </si>
  <si>
    <t>Funds under this head has been proposed for Family Planning Indemnity Scheme expected 80 cases@Rs. 30000 per case.</t>
  </si>
  <si>
    <t xml:space="preserve">Funds proposed under this head for POL for FP and additional mobility support to surgeon's team </t>
  </si>
  <si>
    <t xml:space="preserve">Funds proposed under this head for ASHA PPIUCD  incentive for  accompanying the client for PPIUCD  insertion @Rs. 150/ASHA/ insertion </t>
  </si>
  <si>
    <t xml:space="preserve">Funds proposed under this head for ASHA PAIUCD  incentive for  accompanying the client for PAIUCD  insertion @Rs. 150/ASHA/ insertion </t>
  </si>
  <si>
    <t xml:space="preserve">Funds proposed under this head for purchase laparoscopes for six district @ Rs. 800000 approx. With Insuffator   </t>
  </si>
  <si>
    <t>Already buildup in FMR 1.2.2.2.1</t>
  </si>
  <si>
    <t>Funds udner this head has been proposed for incentive to provider for PPIUCD services for expected 5000 PPIUCD insertions @Rs.150 per insertion</t>
  </si>
  <si>
    <t>Funds udner this head has been proposed for incentive to provider for PAIUCD services for expected 5000 PAIUCD insertions @Rs.150 per insertion</t>
  </si>
  <si>
    <t xml:space="preserve">Funds under this head has been proposed for orientation/review of ANM/AWW (as applicable) for new schemes, FP-LMIS, new contraceptives, Post Partum and post abortion Family Planning, Scheme for home delivery of contraceptives, ensuring spacing at birth, Pregnancy Testing Kits as per NHM norms </t>
  </si>
  <si>
    <t>Funds under this head has been proposed for Refresher training on laparoscopic sterilization  for 2 batches for 3 days @Rs. 223850 each</t>
  </si>
  <si>
    <t xml:space="preserve">Fiunds proposed under this head for Blood Bank/ Blood storage Unit Training @ Rs. 90000 for 2 batches (batch size -30) for Mos and LTs </t>
  </si>
  <si>
    <t xml:space="preserve">Funds under this head has been proposed for IEC &amp; Promotional activities for Vasectomy Fortnight celebration  at district and block level. </t>
  </si>
  <si>
    <t xml:space="preserve">Funds proposed for FPQAC meeting  State level biannual and district level - quartely . </t>
  </si>
  <si>
    <t xml:space="preserve">Funds proposed for FP review meeting  State level </t>
  </si>
  <si>
    <t xml:space="preserve">Funds under this head has been proposed for World Population Day celebration at district level. </t>
  </si>
  <si>
    <t xml:space="preserve">Funds under this head has been proposed for vasectomy fortnight celebration at district level. </t>
  </si>
  <si>
    <t>Justification Annexure attahced</t>
  </si>
  <si>
    <t>On going activity. Fund proposed for operational costs of  13 SNCUs</t>
  </si>
  <si>
    <t xml:space="preserve">On going activity. Fund proposed  for 18  NBSUs @ Rs. 29000. State plans to make 8 more NBSUs functional. </t>
  </si>
  <si>
    <t>On going activity for operational cost of 124 NBCC @2000 per NBCC except HR expenditure</t>
  </si>
  <si>
    <t>Fund proposed for operational cost of 3 NRCs @ 2 lacs</t>
  </si>
  <si>
    <t>Fund proposed for FPC operational cost and KMC binders@ Rs. 200 for 5000 quantity.</t>
  </si>
  <si>
    <t>State has established 7 DEICs out of 10 and remaining DEICs  are in the pipeline to  be made functional. Hence funds proposed for internet connection of 10 DEICs</t>
  </si>
  <si>
    <t>Fund proposed for recurring cost of SRC</t>
  </si>
  <si>
    <t>Fund proposed for recurring cost of  7HDUs</t>
  </si>
  <si>
    <t>Fund proposed for hiring of dedicated RBSK vehicles for MHTs</t>
  </si>
  <si>
    <t>Fund proposed for rental of 150 data cards @ Rs. 6000 per annum</t>
  </si>
  <si>
    <t>Find proposed for ASHA incentive for mobilizing children 6–59 months, WRA and post-partum
lactating women @ Rs. 150 per month</t>
  </si>
  <si>
    <t>Fund proposed for conducting 10 mothers  meeting  per quarter</t>
  </si>
  <si>
    <t>Fund proposed for completion of 5 home visits under HBNC</t>
  </si>
  <si>
    <t xml:space="preserve">Fund proposed  for folllwup of SNCU discharged  babies for 7 districts. As HBYC will be implemented in 6 districts in FY 2021-22 </t>
  </si>
  <si>
    <t>Fund proposed for referral and followup of SAM children</t>
  </si>
  <si>
    <t xml:space="preserve">Fund proposed for incentive @Rs. 1/pack of ORS distribution to family with under 5 children                                                                                </t>
  </si>
  <si>
    <t>Fund proposed for incentive for scheduled home visits  in 5 districts (Chamba, Sirmour, Mandi, Kullu and Shimla)</t>
  </si>
  <si>
    <t>State plan to establish 4 more NRCs at Hamirpur, Chamba, Sirmour &amp; MC Nerchowk Mandi @ Rs. 2 lacs</t>
  </si>
  <si>
    <t>State is planing to provide Multimodal  Pulse Oximeter @Rs 35000 for 50 HWCs with high load OPDs in Chamba and Mandi district to facilitate early identitification of pneumonia in age group of 2 months -5 yrs children.Hence reducing IMR and U5MR</t>
  </si>
  <si>
    <t>Fund proposed for KMC chairs for the replacement of worn out KMC chairs in SNCUs</t>
  </si>
  <si>
    <t>Annexure attahced</t>
  </si>
  <si>
    <t xml:space="preserve">Fund proposed for procurement of job aids screening  for MHTs </t>
  </si>
  <si>
    <t xml:space="preserve">Central procurement to be received from GoI </t>
  </si>
  <si>
    <t xml:space="preserve">Since State STH prevalence rate is 0.3% as per survey report of GoI June 2019. Hence it is proposed that if one round of NDD is conducted then the procurement of Albendazole may be done from Free drugs (FMR 6.2.21.1) as it is part of essential drug list. </t>
  </si>
  <si>
    <t xml:space="preserve">Funds have been proposed under FMR  6.2.21.1 Free Drugs </t>
  </si>
  <si>
    <t xml:space="preserve">Funds have been proposed under FMR 6.2.21.1 Free Drugs </t>
  </si>
  <si>
    <t xml:space="preserve">Funds have been proposed under FMR 6.2.21.1  Free Drugs </t>
  </si>
  <si>
    <t>Proposed for monthly AFC meetings at sub centre @ Rs. 500 per AFCs for three months. There are 477 sub centres in selected 19 PE blocks i.e block mashobra,matiyana,sunni,chirgaon,nankhari,kumarsain,kotkhai,tikkar,rampur,nerwa,shimla urban rohanda,kataula,bagsiad,baldwara,paddar,phukri,samhote and kihar.</t>
  </si>
  <si>
    <t xml:space="preserve">Sensitization of Health funtionaries during IDCF campaign </t>
  </si>
  <si>
    <t>Orientation of officials from Health Deptt, Education and WCD for 12 districts</t>
  </si>
  <si>
    <t xml:space="preserve">State plans to reorient Mos and other health functionaires for Child death review </t>
  </si>
  <si>
    <t>State plans to make ToTs on IMNCI. Fund proposed  for 2 batches @ 30 participants per batch</t>
  </si>
  <si>
    <t>Fund proposed for training of ANMs for newborn care services at community and public health facility</t>
  </si>
  <si>
    <t>Orientation of Mos in NSSK for 12 districts (1 batch in each distt)</t>
  </si>
  <si>
    <t>Orientation of  SN in NSSK  for 12 districts (1 batch in each distt)</t>
  </si>
  <si>
    <t>Orientation of Mos in  FBNC at State</t>
  </si>
  <si>
    <t>For IYCF training of MIOs, SN, ANM at district level</t>
  </si>
  <si>
    <t>To make NBSUs functuional State plans to orient NBSU Mos/Staff nurses</t>
  </si>
  <si>
    <t>Sensatization training on pneumonia for front line workers</t>
  </si>
  <si>
    <t xml:space="preserve">Training of RBSK MHT </t>
  </si>
  <si>
    <t>Training of HR on managerial aspect as per state based guidelines</t>
  </si>
  <si>
    <t>for pinting of NBSU training modules @ 450/- per book for 300 books</t>
  </si>
  <si>
    <t>Printing of IEC and reporting formats  for one round</t>
  </si>
  <si>
    <t xml:space="preserve">Printing of IEC and reporting formats </t>
  </si>
  <si>
    <t>Printing of KMC registers for SNCU and NBSU</t>
  </si>
  <si>
    <t xml:space="preserve">Funds proposed for HBNC booklet @ Rs 200/ - per booklet </t>
  </si>
  <si>
    <t>Printing of 1000 days booklets</t>
  </si>
  <si>
    <t>fund proposed for preparing of operational plan/ microplan  at block level</t>
  </si>
  <si>
    <t>MDR training batch of 20 BMO/MO @ Rs.58650 for 12 districts</t>
  </si>
  <si>
    <t>0                                       (Dakshata mentors on COVID duty)</t>
  </si>
  <si>
    <t>LaQshya/Dakshata Mentoring visit @ Rs.24,000/ delivery point for 88 delivery points. Total funds proposed is Rs.24000 x 88 delivery points = Rs.2112000</t>
  </si>
  <si>
    <t>1) The state has build funds for 100 Maternal Deaths Review @ Rs.1250 per MDR i.e. Rs.1,25,000. 2) State has build funds for First Responder under SUMAN @ Rs.1000 per death for 150 deaths i.e. Rs. 1,50,000. Total funds proposed = Rs. 2,75,000</t>
  </si>
  <si>
    <t xml:space="preserve">IEC about the Nirog Yojna will  be carried out in the state through electronic &amp;print media ,SMS reminders, radio jingles/spots etc. (10 lakh for general IEC and 10 lakh for SMS reminders to the ebnificiaries for follow ups) </t>
  </si>
  <si>
    <t xml:space="preserve">To conduct various IEC activites in all 12 District regarding geriatric care and healthy life styles and awarenss of the  family menbers of the geriatric populations </t>
  </si>
  <si>
    <t xml:space="preserve">Celebration of the Elderly day at various levels </t>
  </si>
  <si>
    <t xml:space="preserve">Training and senstization  of the key stakeholder for tobacco control law, NTCP , Tobacco Free Edu Instt and Tobacco Free panchyat campaign  in all Health Blocks and Distt  and state level </t>
  </si>
  <si>
    <t>IEC would be carried out in the state through electronic &amp;print media , radio jingles/spots etc. (12 Distt &amp; 1 at State level ) total amount =10 lakhs</t>
  </si>
  <si>
    <t>Proposed for 9 DH/RH and 4 Civil Hospital Palampur, Rohru, Khaneri and Dharampur.</t>
  </si>
  <si>
    <t xml:space="preserve">Top up for 8000 VHSC @ Rs. 2000/- per VHSC. </t>
  </si>
  <si>
    <t>lumpsum</t>
  </si>
  <si>
    <t>fund proposed for  data management under RI @ Rs.1000/-  per district per month</t>
  </si>
  <si>
    <t>fund proposed for operating cost for conducting Pulse Polio round as per GoI guidelines</t>
  </si>
  <si>
    <t>Fund proposed for alternative vaccinator for slum areas as per HRA sites</t>
  </si>
  <si>
    <t>TA/DA to vaccinators in vacant sub centres</t>
  </si>
  <si>
    <t>funds will be utilized from BMWM</t>
  </si>
  <si>
    <t>Fund from BMWM</t>
  </si>
  <si>
    <t>Fund from BMMP</t>
  </si>
  <si>
    <t>Fund proposed for training of VCCM, Cold Chain handlers, MO and MPWs</t>
  </si>
  <si>
    <t>for pritning of immunization cards@ Rs.23/ beneficiary as per estimated target of 120000 ANC cases</t>
  </si>
  <si>
    <t>Budget for this activity will be met from 13.2.1 for district Chamba and Mandi</t>
  </si>
  <si>
    <t xml:space="preserve">Fund proposed for operational cost of E-VIN i.e Salary of SPO (1), PO (1)  = 17.40. Data Sim Cards for CCH Mobile Phones (@ Rs177/CCH) for 390
Data Sim Cards for Temperature Loggers (@ Rs 116.82/TL) for 430
Mobile voice and data SIM for UNDP staff ( @ Rs 234.82 per head)  for 3
Replacement of Temperature loggers (@20% loss/damage/New CCE) for 86
Replacement of Mobile handset (@30% loss/damage/New CCP) for 117
= 31.18 Mobile voice and data SIM for eVIN team ( @ Rs 295 per head) for 12 VCCM &amp; 
Laptop Maintainance for VCCM laptop (@Rs 5000 per VCCM per year) for 12 VCCM= 1.15, Management&amp; operational  fee 2.60
</t>
  </si>
  <si>
    <t>Fund proposed for microplan of 2083 HSCs @ Rs. 100</t>
  </si>
  <si>
    <t>Fund proposed for consolidation of microplan at block and district level</t>
  </si>
  <si>
    <t xml:space="preserve">For quaterly review meeting at block level </t>
  </si>
  <si>
    <t>Fund proposed for mobility support</t>
  </si>
  <si>
    <t>Mobility support to DPOs/SPO</t>
  </si>
  <si>
    <t>IEC activities for treatment  center</t>
  </si>
  <si>
    <r>
      <rPr>
        <b/>
        <u/>
        <sz val="11"/>
        <color indexed="8"/>
        <rFont val="Calibri"/>
        <family val="2"/>
        <scheme val="minor"/>
      </rPr>
      <t>NTEP-2</t>
    </r>
    <r>
      <rPr>
        <sz val="11"/>
        <color indexed="8"/>
        <rFont val="Calibri"/>
        <family val="2"/>
        <scheme val="minor"/>
      </rPr>
      <t xml:space="preserve">         Government of India has issued directions to identify the pools of TB Champions atleast at block level, These TB champions will successfully cured TB patients. Every Block will identify at least one TB champion in their block. built their capacity and utilize their services in spreading awareness about TB in the community..The funds   for capacity building of TB champions from all 12 districts, TA/DA and etc. proposed . Hence Total  7.50 lacs for all districts proposed. </t>
    </r>
  </si>
  <si>
    <t xml:space="preserve">NTEP-2:-   Funds for state level TB Forum Meeting 1 meetings in twice a year @ 50000 , Total =. 50000x2=1.00 lacs + District TB Forum Meetings Total 12 districts  , 1 meeting twice a year@30,000 per meeting  . Hence total = 12x2x30000= 7.20 lacs . Total funds for State and District Forum = 8.20 lacs proposed.    </t>
  </si>
  <si>
    <t>Estimated sick infant (50% of Live Births)= 33000. The funds proposed as per new guidelines @ Rs.300 per sick infant i.e. 33000 Sick infdants x Rs.300 = Rs. 99 Lakh</t>
  </si>
  <si>
    <t>Budget proposed for training of three batches of ANM for 11 new PE blocks in Shimla District and 1 old block in Chamba district</t>
  </si>
  <si>
    <t>Fund proposed for 2500 sessions @200/session</t>
  </si>
  <si>
    <t>Fund proposed for 8500 sessions @Rs. 90/session</t>
  </si>
  <si>
    <t>Fund proposed for POL for vaccine delivery for 12 districts</t>
  </si>
  <si>
    <t>Training of PRI representing/police personel</t>
  </si>
  <si>
    <t>Filling of CBAC form of 21 lakh individuals @ 10 rupees per form. Total amount required 2.1 crore</t>
  </si>
  <si>
    <r>
      <t>I</t>
    </r>
    <r>
      <rPr>
        <b/>
        <sz val="11"/>
        <color theme="1"/>
        <rFont val="Calibri"/>
        <family val="2"/>
        <scheme val="minor"/>
      </rPr>
      <t>nternal Assessment:</t>
    </r>
    <r>
      <rPr>
        <sz val="11"/>
        <color theme="1"/>
        <rFont val="Calibri"/>
        <family val="2"/>
        <scheme val="minor"/>
      </rPr>
      <t xml:space="preserve">
DH: 11 @ Rs 2000 per District Hospital=Rs. 22,000 
CH/CHCs: @ Rs. 1000 for 75 facilities=Rs. 75000 
 PHCs: @ Rs. 500 for 540  PHC= Rs. 2,70,000
 HWCs: @ Rs. 500 for 250  HSC= Rs. 1,25,000
</t>
    </r>
    <r>
      <rPr>
        <b/>
        <sz val="11"/>
        <color theme="1"/>
        <rFont val="Calibri"/>
        <family val="2"/>
        <scheme val="minor"/>
      </rPr>
      <t xml:space="preserve">Peer Assessment:
</t>
    </r>
    <r>
      <rPr>
        <sz val="11"/>
        <color theme="1"/>
        <rFont val="Calibri"/>
        <family val="2"/>
        <scheme val="minor"/>
      </rPr>
      <t xml:space="preserve">DH: @ Rs. 25,000 for 9 facilities= Rs. 2,25,000 
CH/CHC: @ Rs.13000 for 40 facilities= Rs. 5,20,000
PHCs: @Rs.5000 for 110 facilities= Rs. 5,50,000 
HWCs: @ Rs. 5000 for 80  facilities= Rs. 4,00,000
</t>
    </r>
    <r>
      <rPr>
        <b/>
        <sz val="11"/>
        <color theme="1"/>
        <rFont val="Calibri"/>
        <family val="2"/>
        <scheme val="minor"/>
      </rPr>
      <t>External Assessment:</t>
    </r>
    <r>
      <rPr>
        <sz val="11"/>
        <color theme="1"/>
        <rFont val="Calibri"/>
        <family val="2"/>
        <scheme val="minor"/>
      </rPr>
      <t xml:space="preserve">
6 DHs: @ Rs. 61,000=  Rs. 3,66,,000 
30 CH/CHCs :@ Rs. 35,000 =Rs. 1,05,000 
95 PHCs:@ Rs. 8000 =   Rs. 7,60,000
70 HWCs: @ Rs. 8000 = Rs. 5,60,000
</t>
    </r>
  </si>
  <si>
    <t>Heamoglobinometers were approved iun 2019-20 at FMR 6.1.1.2.b for an amount of Rs.112.30 LAKH. The process of procurement had been initiated. Tenders have been called and are about to be finalised. Due to no unspent balance under HSS pool, this amount cannot be comitted hence, a fresh approval is being sought.</t>
  </si>
  <si>
    <t>Funds arenproposed for reporting of deaths women of reproductive age by ASHA on 104 call centre</t>
  </si>
  <si>
    <t>State proposes for PFMS training  across the State.</t>
  </si>
  <si>
    <t>This include support staff (78)8 1 other staff for legal services lumsump amount of Rs. 86.06 lacs.</t>
  </si>
  <si>
    <t>State proposes Rs. 50 lacs for essenciation of Rare disease Diagonsitic &amp; Management.</t>
  </si>
  <si>
    <t>State proposes Rs. 1 lacs for State HQ &amp; Rs. 10000/- each per districts</t>
  </si>
  <si>
    <t>BILASPUR</t>
  </si>
  <si>
    <t>CHAMBA</t>
  </si>
  <si>
    <t>HAMIRPUR</t>
  </si>
  <si>
    <t>KANGRA</t>
  </si>
  <si>
    <t>KINNAUR</t>
  </si>
  <si>
    <t>KULLU</t>
  </si>
  <si>
    <t>MANDI</t>
  </si>
  <si>
    <t>SHIMLA</t>
  </si>
  <si>
    <t>SOLAN</t>
  </si>
  <si>
    <t>UNA</t>
  </si>
  <si>
    <t xml:space="preserve">The Funds are required  for providing Free Drugs to the Urban Population of the State of HP through UPHCs/Urban Heatlh Centres under Free Drug initiatives currently we have 402 drugs and 77 consumables approved under EDL/FDI out of which 163 medicines and 53 consumbale has to be provided at PHCs and 52 medicines has to be provided at Sub Center level.  </t>
  </si>
  <si>
    <t>Under "Mission Drishti" the screening of students from class 6th-10th will be conducted .The total number of children  to be screened are 2.86 lacs. It is anivsaged that approx. 28000 children will require spectacles, however the state is proposing funds for 10000 children initially and on achievement of this target rest of the funds would be proposed in the supplementary PIP.</t>
  </si>
  <si>
    <t>The state is proposing funds for training of front line teams @ Rs. 7500 for 1514 HSCs + 590 PHCs. Thes trainings would include yoga for CHO and MO, Induction Trainings etc.</t>
  </si>
  <si>
    <t>The state is proposing funds for yoga session, mentoring of HWCs by Medical colleges  @ Rs. 5000 per HWC. So 1514 HSCs+590 PHCs</t>
  </si>
  <si>
    <t>The state is proposing IEC @ Rs. 3500 per HWCs. So 1514 HSCs+590 PHCs</t>
  </si>
  <si>
    <t xml:space="preserve">PLI for 755 CHOs for 12 month(755 x 15000 x 12=1359)  and 759 CHOs for 3 months ahs been proposed @ Rs. 15000 per month(759 x 15000 x 3=341.55) </t>
  </si>
  <si>
    <t>The state proposes TBIs @ 20,000 per team for 1514 HSC-HWC</t>
  </si>
  <si>
    <t>The state proposes TBIs @ 18,000 per team for 590 PHCs-HWC</t>
  </si>
  <si>
    <t xml:space="preserve">2 District Public Health Laboratories (District Bilaspur, Mandi) </t>
  </si>
  <si>
    <t>IGMC Shimla, Dr. RPGMC Tanda, YSP Nahan, Pt. JLNGMC Chamba, Hamirpur, Nerchowk</t>
  </si>
  <si>
    <t>For establishing DPHL at District Solan and Kullu</t>
  </si>
  <si>
    <t>Samples will be transported for 6 months from 10 districts.</t>
  </si>
  <si>
    <t>Districts Sirmour, Una, Solan, Bilaspur, Kangra, Kullu and Hamirpur</t>
  </si>
  <si>
    <t xml:space="preserve">Number of Test kits 11000 </t>
  </si>
  <si>
    <t>Rs. 30000 per sentinel surveillance hospital</t>
  </si>
  <si>
    <t>Will be completed in this financila year.</t>
  </si>
  <si>
    <t>For Malaria Day.</t>
  </si>
  <si>
    <t>For Dengue Day.</t>
  </si>
  <si>
    <t>For mosquito and other vector control response</t>
  </si>
  <si>
    <t>Provision of funds alrady under Programme Management division of NHM.</t>
  </si>
  <si>
    <t>State action plan 35 copies and training module 15 copies.</t>
  </si>
  <si>
    <t>We are setting up 10 integrated  Nirog clinics in HP in high load facility to manage all common NCDs DM,HTN cancers/chemotherapy, palliative care,COPD etc. the cost per unit will be 5 Lakh for equipment &amp; minor repair(spirometer,Nebuliser , Peak flow meter,VIA &amp; Cryo equipment etc )  The funds under this head are proposed for the minor  repair and maintainance for setting up of the 10 integrtaed Nirog clinics @Rs 2Lac per unit.</t>
  </si>
  <si>
    <t xml:space="preserve">Day care centers under NPHCE </t>
  </si>
  <si>
    <t xml:space="preserve">Orientation training of 200  Mos for  Geriatric care at PHCs levels (batchwise trainings in  batches 8 ).We will club the training with other NCDs training so as to reduce the cost of travel and stay but the duration of training will remain the same i.e 3 days for MOs and 3 days for staff nurses </t>
  </si>
  <si>
    <t xml:space="preserve">NTEP-1
Funds under this head has been allocated for carrying out Civil Work under NTEP. Details of activities and allocated funds is as follow: -
• Rs. 50000 maintenances cost of 5 DMCs, total proposed by District Bilaspur .
• Rs.40,000/-  proposed by and  minor repair of 4  DMCs  by district Kullu district.
• Rs.100000 proposed by District L&amp;S for repair of DMC Taboo, DMC Gondhla, DMC Kaza  and DMC Udhaypur  in the district .
•  Rs.3.00 lacs Minor repair of DMC Lab IGMC Shimla for install CB-NAAT machine in the DMC Lab. 
• Rs. 5.50 lacs proposed by district Shimla for roof repair of DDS  Center DDU.
• Rs. 80,000 lacs proposed by District Sirmaur for maintenance of DMC Narag  DMC Sarahan, DMC Rajgarh, DMC Sangrah, DMC Guttadhar, DMC Shillai, DMC Haripurdhar, DMC Nauradhar,  in the district.
• Rs. 2,50000 proposed by District Hamirpur for repair and Iron paneling in the DTC Office Hamirpur. 
• Rs. 3,28,685 lacs proposed by District Kullu for repair and Iron paneling in the DTC.
• Rs. 12,73,600 proposed by roof and repair of DTC  Mandi as per estimate from PWD Division 
• Rs. 2,02,222 estimate received from CMO Sirmaur for DR-TB center Pounta Sahib.
• Rs 2,17,778 proposed by CMO Sirmaur for minor repair of TB Unit , Sarahan, Shillai and Sangrah  proposed @ 72500 each. 
• Rs. 4.00 lacs for DR-TB Center Ayurvedic Collage Paprola District kangra.
• Rs. 5.00 lacs for repair of DTC walls at  Dharamshala 
• 25.00 lacs for Establishment of electrical transformer for made BSL-III Laboratory functional as per estimate from PWD Division at Dharampur. 
• The funds for provision of lift for Nodal DR-TB Center , Dr. RPGMC Tanda , district Kangra  amount of Rs. 55,25,500/- proposed. The cost of Ramp and R/ wall amount of Rs. 22,37,215 removed as discussed in NPCC meeting. 
• Total 25 new DMC proposed @10,000 each as per details mentioned below:
1. PHC Tapri  Justifications:- Tribal Area: DMC Tapri will serve for the population of nearby PHCs i.e. PHC Urni, PHC Meeru, JSW Hospital Sholtu including PHC Tapri
2. CHC Baroh Justifications:- No service in this area, can be made a hub for surrounding PHCs and HSCs
3. Kala Amb Justifications:-Industrial Area, large no. of migrants.
4. Kola WalaBhood Justification:-Hard to reach area, no service in the vicinity
5. Dhagera Justification:- Hard to reach area, no service in the vicinity
6. Staun Justifications:- Mining and stone crushing area, vulnerable population, migrant labor
7. Majara Justifications:- Highly Populous area, industrial population.
8. Nanidhar Justifications:- Hard to reach area, no service in the vicinity
9. Kotidhiman Justifications:- Hard to reach area, no service in the vicinity
10. Kalibari PHC Justifications:- 13 KM distance from nearest DMC, high patient load, industrial area
11. PHC Kalol Justifications:- Services not available in the vicinity, can be made hub for other PHCs and HSCs
12. PHC Behal Justifications:- Services not available in the vicinity, can be made hub for other PHCs and HSCs 
13. Tihra Justifications:- Services not available in the vicinity, central point of Block Dharampur
14. Sudhar Justifications:- Very hard area: Services not available in the vicinity
15. Pandoh Justifications:-  Services not available in the vicinity; high patient load
16. Baggi Justifications:-  High footfall, can be made a hub for large no of PHCs and HSCs
17. Thalot Justifications:-  Services not available in the vicinity. Migrant labor  populous area
18. Haraboi Justifications:-  Very hard area. Services not available in the vicinity.
19. Churag Justifications:-  Hard area, Services not available in the vicinity, thickly populated. 
20. Asla Justifications Hard area, Services not available in the vicinity 
21. PHC JaonJustifications :-  PHC Jaon covers many hard areas. High footfall
22. PHC Sundla Justifications PHC is located at centre point of Block Kihar, High patient load
23. PHC SagnamJustifications :- Tribal Area, snow bound. Patient needs diagnostic service 
24. CH SantoshGarh Justifications :- Civil Hospital: High footfall, can be made a hub for large no of PHCs and HSCs
25. CHC Dhusara Justifications :- CHC: High footfall, can be made a hub for large no of PHCs and HSCs
Total= 125.59 lacs.
</t>
  </si>
  <si>
    <t>Fund proposed for CDR of 1500 cases @ Rs. 750 per child (100 Rs, ANM,250 x2 (investigation team) 100 travel cost and Rs. 50 for ASHA).</t>
  </si>
  <si>
    <t>The state has started notifying JAS. Keeping in view that all CHOs would not be available and all the JAS would not be notified in one go the stae proposes funds for JAS @ RS. 30,000  for 1000 HWC-HSC.</t>
  </si>
  <si>
    <t>Newborn screening hand book for SNs and ANMs posted at delievery points, SNCU &amp; NBSU.</t>
  </si>
  <si>
    <t>Printing of SNCU case sheets.</t>
  </si>
  <si>
    <t>Printing of NBSU case sheets @ 25/set unit cost for 10000 case sheets.</t>
  </si>
  <si>
    <t>Funds proposed for immunization activities, printing boards and posters.</t>
  </si>
  <si>
    <t>Funds under this head has been proposed for World Population Day celebration. 12 districts@Rs. 5000 and 76 blocks @ Rs. 3000.</t>
  </si>
  <si>
    <t>1 New consultant for NVBDCP programme proposed for 4 months @ 40000.</t>
  </si>
  <si>
    <r>
      <t xml:space="preserve">We are setting up 10 integrated  Nirog clinics in HP in high load facility to manage all common NCDs DM,HTN cancers/chemotherapy, palliative care,COPD etc. </t>
    </r>
    <r>
      <rPr>
        <b/>
        <sz val="11"/>
        <rFont val="Calibri"/>
        <family val="2"/>
        <scheme val="minor"/>
      </rPr>
      <t>The funds under this head are proposed for the procurement of cryoset with cyllinder @ Rs 50000 x10 =500000.</t>
    </r>
  </si>
  <si>
    <r>
      <t xml:space="preserve">We are setting up 10 integrated  Nirog clinics in HP in high load facility to manage all common NCDs DM,HTN cancers/chemotherapy, palliative care,COPD etc. </t>
    </r>
    <r>
      <rPr>
        <b/>
        <sz val="11"/>
        <rFont val="Calibri"/>
        <family val="2"/>
        <scheme val="minor"/>
      </rPr>
      <t xml:space="preserve">The funds under this head are proposed for the procurement of COPD euipments i.e Spirometer, nebuliser, peak flowmeter @ 2.5 lakh per unit x10 = 25 lakhs </t>
    </r>
  </si>
  <si>
    <t>We plan to screen 10 lakh new indivisuals in FY 2021-22 of +18 population for DM &amp; HTN.  1 lac diabetic patients diagnosed earlier will also be followed up, so total 20 lac glucostics will be required for new cases as well as for follow up cases. Rs. 134.20 lac is required for glucostrip and lansets.                                                                                  1 lakh women will be screened for cervical cancer through VIA .Tentative cost for screening of each women will be Rs. 10 per case so total requirement will be 1*10=10 Lac .</t>
  </si>
  <si>
    <r>
      <t xml:space="preserve">Orientation and capacity bulding under NIROG YOJANA for Distt and Sub Disll level Mos and staff nurses </t>
    </r>
    <r>
      <rPr>
        <b/>
        <sz val="11"/>
        <color theme="1"/>
        <rFont val="Calibri"/>
        <family val="2"/>
        <scheme val="minor"/>
      </rPr>
      <t xml:space="preserve">We will do the orientation training on NCDs screening and digital enteries of Mos and HWs )500 MO &amp; 2000 HWcs) under Nirog Yojna /NPCDCS . 20 batches of MOs and 80 Batches of HWs  (batch of 25) . There will be total 100 sessions to train all 2500 persons @ 10000 per batch for one day  </t>
    </r>
  </si>
  <si>
    <t>Earlier free radiological services were being provided to 11 selective categories only now the state proposes to widen the scope of free radiological services to all the citizens of the state as per free diagnostic initiative.</t>
  </si>
  <si>
    <t xml:space="preserve">To provide free drugs as per the EDL in the state . We have notified 402 drugs and 77 consumables under Free Drug Policy . </t>
  </si>
  <si>
    <t>State has revisited its all previous approval over the year including the year 20-21 for establishing HDU/ICU in the State. Now the state proposes to establish 12 HDUs/ICUs in high load facilities the detailed proposal is being shared by the state with MoHFW, GoI.</t>
  </si>
  <si>
    <t>State has 22 notified Laqshay facilities. A gap anaysis of equipment required in these facilities based upon the MNH toolkit was conducted. State has revisited its all previous approvals over the years. The tendor process of procurement of required Laqshay eqipment is underway and most likely will be completed in the next Financila Year. That is why approval of 20-21 has also been revisited. The detailed proposal is being shared by the state with MoHFW, GoI.</t>
  </si>
  <si>
    <t>As discussed in the NPCC the state proposed to establish one Midwifery institution at ALBSGMC, Mandi.</t>
  </si>
  <si>
    <t>Himachal Pradesh has a peculiar topography and due to inclement weather, the ASHAs require woolen garment preferably Jacket or a cardigan for carrying out the activities in the field during harsh climatic conditions. The woolen clothing would cost around Rs. 500 per ASHA per year and therefore the state has proposed Rs. 1100 (600+500) per ASHA per year as uniform allowance.</t>
  </si>
  <si>
    <t>The funds are required for free diagnostic services in the urban health facilities of the state.</t>
  </si>
  <si>
    <t>Establsihment of war room cum vaccination control centre</t>
  </si>
  <si>
    <t>The state proposes to esetablsih 3  war room cum vaccination control centres at Shimla Mandi and Kangra where datatbase of  pateints, Vaccinators and beneficiareis of vavccination would be maintained. Cost of HR, Hardware and building and running of application.</t>
  </si>
  <si>
    <t xml:space="preserve">Central TB Division Government of India has shared a “Guidance document on TB Preventive Treatment” for the upcoming PIPs for the year 2021-22 on14th December 2020. 
As per the guidance document, State will roll out LTBI management in a phased manner. State has selected 4 Districts (Bilaspur, Una, Kinnaur and Lahul &amp; Spiti) for roll out of LTBI management in the 1st phase based upon lowest TB burden in the State in 2020. District Bilaspur recorded TB burden of 115 cases/lac/annum, whereas District Una and Kinnaur has 106 cases/lac/annum and Lahul&amp; Spiti has 52 cases/lac/annum in 2020.
All the 4 districts (Bilaspur, Una, Kinnaur and Lahul &amp; Spiti) has around 1100 microbiologically confirmed TB cases in a year. Considering the family size of 5 persons in Himachal Pradesh, there are estimated 4400contacts (1100*4) of these microbiologically confirmed TB patients. Out of these 4400 contacts, about 10% will be of age &lt;5 years (440 No.). In addition, 300no. patients undergoing dialysis, 100 no. patients on chemotherapy and 70no. newly diagnosed PLHIV will also be offered LTBI management.
Total eligible for LTBI will be (4400+300+100+70) =4870
Strategies for Testing and treatment 
1. For population of age &lt; 5 years: Screening for ruling out active TB will be done by Medical Officer, once active TB is ruled out, child is put on IPT (INH @Rs.10 mg/kg) for 6 months. 
2. For newly diagnosed PLHIV: Screening for ruling out active TB will be done by ART-Medical Officer, once active TB is ruled out, PLHIV is put on IPT (INH @Rs.10 mg/kg) for 6 months. 
Paediatric contacts of age &lt; 6 years and PLHIV are already being initiated on IPT as per the existing guidelines. 
3. For population of age 5years and above (4400-440=3960No.): All contacts will be tested using IGRA. Estimated cost of IGRA including transportation of blood sample is Rs. 1300/-. Hence total estimated cost for IGRA testing will be Rs. 5148000/-.
4. Patients undergoing dialysis (300 no.) and patients on chemotherapy (100 no.) will also be offered testing with IGRA, estimated cost will be Rs. 1300* 400= Rs. 520000/- only.
5. Hence total amount of testing with IGRA proposed is Rs 5668000/-
6. It is anticipated that IGRA will be positive among 60% of this population. As per the guidelines, child of age &lt; 5years and PLHIV will be treated as per the ongoing regimen 6H, whereas adult contacts will be treated with 3HR and or3HP regimen, all drugs will be supplied by Central TB Division. 
</t>
  </si>
  <si>
    <t xml:space="preserve">Fund proposed for FIC @Rs.100/ child in 1st year, Rs 75/chid for complete immunisation upto 2nd year and DPT booster 5-6 years @ Rs. 50/ Child </t>
  </si>
  <si>
    <t xml:space="preserve">Augmentation of facility based surgical services at 6 tribal locations. </t>
  </si>
  <si>
    <t>Minimum 60 major  surgeries to be performed  (20 General surgery, 20 Obstretics &amp; Gynae surgery, and 20 eye surgery) at existing facilities where augmentation of service delivery will be carried out in PPP mode.</t>
  </si>
  <si>
    <t>Opex of Deafness Van</t>
  </si>
  <si>
    <t xml:space="preserve">Free diagnostic services were being provided to the 11 selective categories patients, now as per the budget announcement 2020-21 state will provide free diagnostic services to all   categories visiting public health facilities this is proposed to be provided under Hub &amp; Spoke model by strenthening and utilising the in house system. The estimated cost willl be about 20 crore  based on previous years expenditures.  We proposed 200 spokes with 60 Hubs on the analogy of distt. Kullu where pilot was conducted successfully.  </t>
  </si>
  <si>
    <t>The state has selected zonal hospital Dharamshala for greening as per IPHS guidelines.</t>
  </si>
  <si>
    <t xml:space="preserve">1. The State proposes to establish one Model CHC in each of the twelve districts. The CHC will  provide 24x7 hour services including deliveries and new born care and other services including dental services. It will provide all the diagnostics as per free diagnostic initiative. A gap analysis would be conducted in terms of manpower, infrastructure, equipment etc. The HR will be placed as per the state norms by the state. The infrastructure upgradation and equipement will be funded by NHM. this CHC will serve as a hub for the PHCs under it. 2. All the HWC-PHC under the model CHC will be upgraded into model HWC-PHCs. HR will be provided by the state and infrastructure upgradation and equipment by NHM. The Model HWC-PHC will be spoke for the model CHC and hub for the HWC-HSCs. 3. Likewise all the HWCs-HSCs uder the model pHCs will be upgraded to model HWC-HSC on similar pattern as for model HWC-PHCs. After the gap analysis if additional funds are required the same will be projected in the SPIP 2021-22.   </t>
  </si>
  <si>
    <t xml:space="preserve">At present 336 CHOs are working in the state (2 have left) and 419 are presently persuing the Bridge Course. Therefore salary for 755 CHOs @ Rs. 25000 per month X 12 month =2265 lakh is proposed. The state is expecting to recruit CHOs in alll the notified HSC-HWC i.e 1514. Keeping in view that the recruitment process for 1514 will take some time salary for rest 759 CHOs is being proposed for 3 months(= 569.25lakh). </t>
  </si>
  <si>
    <t>State has proposes 4 staff nurses in 8 NBSUs @ 13500 for 4 months.</t>
  </si>
  <si>
    <t>Fund proposed for SNCU data management for 20 SNCUs and rs. 2000 per month for 3 months for 8 NBSUs data management.</t>
  </si>
  <si>
    <t>Fund proposed for incentive to ASHA for two round of NDD for mobilizing out of school children</t>
  </si>
  <si>
    <t>for two round of NDD, orientation of ANMS and Nodal teachers</t>
  </si>
  <si>
    <t xml:space="preserve">State proposes  an additional 1  Accountant cum Medical Record Officer at  Kamla Nehru Hospital Shimla. </t>
  </si>
  <si>
    <t xml:space="preserve"> State proposes Rs. 38.50 for the consumables for NOHP.Consumables for 13 NOHP clinics @ Rs. 100000/- and consunables for 85  MUSKAN clinics @ Rs. 30000/- New dental clinics 9 lac is required for consumable and dental material (1 Lakh per clinic)</t>
  </si>
  <si>
    <t>21.51 lac is required for Dental chair in 9 clinics for the tentative cost of 2.39 lacs each chair. 18 lac is required for other fixed equipments ie. RvG,Ultrasonic scalers, Extractions foreceps etc at the tentative cost of Rs. 2 lac for each clinic. The new clinics are proposed to be established at CHC Baroh, PHC Geharwin, PHC Dharwas, PHC Purthi, PHC Kherian, PHC Lapiana, PHC Gadagusain, PHC Thachi and PHC Jogon.</t>
  </si>
  <si>
    <t>The State is proposing 9 new NOHP clinics. Keeping in view that in one of the proposed clinic a dental MO and dental Mechanic are already in place from the State's side only 8 dental MO s and 8 Dental Mechanics have been propsoed.</t>
  </si>
  <si>
    <t>Stste has total 2104 HSCs out of which 590 are co-located HSCs. Therefoe state is left with 1514 HSCs (2104-590 co-located HSCs=1514). GOI has approved 1321 HSCs till date. The state proposes to seek approval of all the SCs which are required to be converted to HWCs in this FY. However, the Civil Work of these 193 SCs is anticipated to be spilled over to next FY and therefore the state is proposing Rs. 1 Lakh per SC for these left out SCs. If required during FY 2021-22 only , appropriate proposal will also be built in SPIP 2021-22. Therefore funds @ Rs. 1 Lakh for 193 HSCs (1514-1321=193) are being proposed.</t>
  </si>
  <si>
    <t xml:space="preserve">The state  has 590  PHCs whereas GoI has approved 418 PHCs and 13 UPHCs =431.The state proposes to seek approval of all the PHCs which are required to be converted to HWCs in this FY. However, the Civil Work of these 159 PHCs is anticipated to be spilled over to next FY and therefore the state is proposing Rs. 1 Lakh per PHC for these left out PHCs. If required during FY 2021-22 only , appropriate proposal will also be built in SPIP 2021-22. The state has proposed the funds @ Rs. 1lakh per PHC for 159 PHCs (590-431) </t>
  </si>
  <si>
    <t>A High End Laproscope is being proposed for DDU Shimla which is a district level hospital as well as a FRU and a Laqshay facility which would be used both by OBG and Surgery Department.</t>
  </si>
  <si>
    <t>Total 5 position for IRL proposed.</t>
  </si>
  <si>
    <t>The state has identified a site for new construction of DEIC measuring 2500 Sq. feet as per thumb rule of Rs. 1000 per Sq. ft. proposal of Rs. 25 lac (2500*1000) has been built</t>
  </si>
  <si>
    <t xml:space="preserve"> </t>
  </si>
  <si>
    <t xml:space="preserve">The State is in the process of establishment of 8 DEICs in the state on a scaled down version as per the approval granted by Govt. of India in ROP 2020-21. The state now plans to establish a DEIC in RH Klllu as per Govt. of India guidelines in a PPP mode and besides proposing for equipment, the state has built in adequate HR for the same as well. Reference to the query raised by RBSK division, MoHFW vide email dated 16.03.2021 the proposal for equipment has been revised to Rs. 10 lac to Rs. 35 lac. The gap analysis is being sent by the state RBSK division to MOHFW directly. </t>
  </si>
  <si>
    <r>
      <rPr>
        <b/>
        <sz val="11"/>
        <rFont val="Calibri"/>
        <family val="2"/>
        <scheme val="minor"/>
      </rPr>
      <t>Rs.1.50 lakh</t>
    </r>
    <r>
      <rPr>
        <sz val="11"/>
        <rFont val="Calibri"/>
        <family val="2"/>
        <scheme val="minor"/>
      </rPr>
      <t xml:space="preserve"> is recommended for approval for </t>
    </r>
    <r>
      <rPr>
        <b/>
        <sz val="11"/>
        <rFont val="Calibri"/>
        <family val="2"/>
        <scheme val="minor"/>
      </rPr>
      <t>300</t>
    </r>
    <r>
      <rPr>
        <sz val="11"/>
        <rFont val="Calibri"/>
        <family val="2"/>
        <scheme val="minor"/>
      </rPr>
      <t xml:space="preserve"> home deliveries of BPL women</t>
    </r>
    <r>
      <rPr>
        <b/>
        <sz val="11"/>
        <rFont val="Calibri"/>
        <family val="2"/>
        <scheme val="minor"/>
      </rPr>
      <t xml:space="preserve"> @ Rs.500/- </t>
    </r>
    <r>
      <rPr>
        <sz val="11"/>
        <rFont val="Calibri"/>
        <family val="2"/>
        <scheme val="minor"/>
      </rPr>
      <t>per case.</t>
    </r>
  </si>
  <si>
    <r>
      <rPr>
        <b/>
        <sz val="11"/>
        <rFont val="Calibri"/>
        <family val="2"/>
        <scheme val="minor"/>
      </rPr>
      <t xml:space="preserve">Rs.98.00 Lakh </t>
    </r>
    <r>
      <rPr>
        <sz val="11"/>
        <rFont val="Calibri"/>
        <family val="2"/>
        <scheme val="minor"/>
      </rPr>
      <t xml:space="preserve">is recommended for approval for </t>
    </r>
    <r>
      <rPr>
        <b/>
        <sz val="11"/>
        <rFont val="Calibri"/>
        <family val="2"/>
        <scheme val="minor"/>
      </rPr>
      <t xml:space="preserve">14000 </t>
    </r>
    <r>
      <rPr>
        <sz val="11"/>
        <rFont val="Calibri"/>
        <family val="2"/>
        <scheme val="minor"/>
      </rPr>
      <t xml:space="preserve">rural institutional deliveries </t>
    </r>
    <r>
      <rPr>
        <b/>
        <sz val="11"/>
        <rFont val="Calibri"/>
        <family val="2"/>
        <scheme val="minor"/>
      </rPr>
      <t>@ Rs.700/-</t>
    </r>
    <r>
      <rPr>
        <sz val="11"/>
        <rFont val="Calibri"/>
        <family val="2"/>
        <scheme val="minor"/>
      </rPr>
      <t xml:space="preserve"> per case.</t>
    </r>
  </si>
  <si>
    <r>
      <rPr>
        <b/>
        <sz val="11"/>
        <rFont val="Calibri"/>
        <family val="2"/>
        <scheme val="minor"/>
      </rPr>
      <t>Rs.6.00 Lakh</t>
    </r>
    <r>
      <rPr>
        <sz val="11"/>
        <rFont val="Calibri"/>
        <family val="2"/>
        <scheme val="minor"/>
      </rPr>
      <t xml:space="preserve"> is recommended for approval  for </t>
    </r>
    <r>
      <rPr>
        <b/>
        <sz val="11"/>
        <rFont val="Calibri"/>
        <family val="2"/>
        <scheme val="minor"/>
      </rPr>
      <t>1000</t>
    </r>
    <r>
      <rPr>
        <sz val="11"/>
        <rFont val="Calibri"/>
        <family val="2"/>
        <scheme val="minor"/>
      </rPr>
      <t xml:space="preserve"> urban institutional deliveries </t>
    </r>
    <r>
      <rPr>
        <b/>
        <sz val="11"/>
        <rFont val="Calibri"/>
        <family val="2"/>
        <scheme val="minor"/>
      </rPr>
      <t>@ Rs.600/-</t>
    </r>
    <r>
      <rPr>
        <sz val="11"/>
        <rFont val="Calibri"/>
        <family val="2"/>
        <scheme val="minor"/>
      </rPr>
      <t xml:space="preserve"> per case.</t>
    </r>
    <r>
      <rPr>
        <b/>
        <sz val="11"/>
        <rFont val="Calibri"/>
        <family val="2"/>
        <scheme val="minor"/>
      </rPr>
      <t xml:space="preserve"> </t>
    </r>
  </si>
  <si>
    <r>
      <rPr>
        <b/>
        <sz val="11"/>
        <rFont val="Calibri"/>
        <family val="2"/>
        <scheme val="minor"/>
      </rPr>
      <t>Rs.3.00 Lakh</t>
    </r>
    <r>
      <rPr>
        <sz val="11"/>
        <rFont val="Calibri"/>
        <family val="2"/>
        <scheme val="minor"/>
      </rPr>
      <t xml:space="preserve"> is recommended for approval for </t>
    </r>
    <r>
      <rPr>
        <b/>
        <sz val="11"/>
        <rFont val="Calibri"/>
        <family val="2"/>
        <scheme val="minor"/>
      </rPr>
      <t>100</t>
    </r>
    <r>
      <rPr>
        <sz val="11"/>
        <rFont val="Calibri"/>
        <family val="2"/>
        <scheme val="minor"/>
      </rPr>
      <t xml:space="preserve"> C-Section cases as proposed by the State (@ Rs.3000 per Case as proposed by state). It may be ensured that the expenditure may be incurred limiting to the prevaling market situation to hire the services of private Specialists to conduct C-Sections under JSY.</t>
    </r>
  </si>
  <si>
    <r>
      <rPr>
        <b/>
        <sz val="11"/>
        <rFont val="Calibri"/>
        <family val="2"/>
        <scheme val="minor"/>
      </rPr>
      <t>Rs.88.00  lakh</t>
    </r>
    <r>
      <rPr>
        <sz val="11"/>
        <rFont val="Calibri"/>
        <family val="2"/>
        <scheme val="minor"/>
      </rPr>
      <t xml:space="preserve"> is recommended for approval for ASHA incentive to facilitate institutional deliveries in Government Health facilities i.e. upto Rs.600 per case for 14000 Rural institutional delivery and upto Rs.400 per case for 1000 Urban institutional delivery.</t>
    </r>
  </si>
  <si>
    <t>Ongoing Activity:
Recommended for approval of Rs. 1.5 Lakh for 3 Batches of CDR Training cum refresher @ Rs. 0.50 Lakh per batch.</t>
  </si>
  <si>
    <t>Ongoing activity :Rs 48.00 lakhs is approved  to procure 6 laproscopes with insuffalator @Rs 800000/laparoscope</t>
  </si>
  <si>
    <t>Recommended for NGO Model of implementation of PE Programme as follows:
A) Honorarium for the State Coordinator @ Rs 60000 per month for 12 months
B)Honorarium 3 Distt @ Rs 40000 per month for 12 months
C) Costs of travel and monitoring support to the 4 coordinators@ Rs 7500per month for 12 months
D) 5% overhead charges added</t>
  </si>
  <si>
    <t>--</t>
  </si>
  <si>
    <t>-</t>
  </si>
  <si>
    <r>
      <rPr>
        <b/>
        <u/>
        <sz val="11"/>
        <color theme="1"/>
        <rFont val="Calibri"/>
        <family val="2"/>
        <scheme val="minor"/>
      </rPr>
      <t xml:space="preserve">Activity shifted from FMR 3.1.1.1.1  </t>
    </r>
    <r>
      <rPr>
        <sz val="11"/>
        <color theme="1"/>
        <rFont val="Calibri"/>
        <family val="2"/>
        <scheme val="minor"/>
      </rPr>
      <t xml:space="preserve">
Recommended for approval of Rs. 48 lakhs for 4000 ASHAs for PMSMA activity @ Rs. 100/- per month for 12 months </t>
    </r>
  </si>
  <si>
    <t>Recommended for approval of Rs. 51 lakhs for diet services for JSSK benificiaries for 45000 Normal deliveries and 5000 C-sections
Normal Delivery = 45000 x Rs.90 (Rs. 30 for 3 days) = Rs.40.50 lakhs; 
C-Section = 5000 x Rs.210 (Rs.30 x 7 days) = Rs.10.50 lakhs.                                                                                                   Therefore total is Rs. 51.00 lakhs.</t>
  </si>
  <si>
    <t>Activity relates to Blood Cell.</t>
  </si>
  <si>
    <t xml:space="preserve">Recommended for approval of Rs. 54,47,200/- as under:                                                                                                                      Activity 1: Rs. 39,16,800/- for State mentoring visit @ Rs. 6,800/- for 4 visits per month for 12 months in 12 Districts by State mentors (Rs.6800*4*12*12 = Rs.3916800)                   
Activity 2: Rs. 1,77,600/- for quarterly National Mentoring visit @ Rs. 44,400 (Rs.44400*4 = Rs.177600)                                                
Activity 3: Rs. 6,88,800 for DCT visits @ Rs. 4100 for 2 visits per month in 7 facilities for 12 months (Rs.4100*2*7*12 = Rs.688800)                                         
Activity 4: Rs. 4,32,000 for quarterly District level review meeting in 12 Districts @ Rs. 9000 (Rs.9000*4*12 = Rs.432000) 
Activity 5: Approved for quarterly State level review meeting @ Rs-58000/- Total=58000*4=Rs.232000/- </t>
  </si>
  <si>
    <t xml:space="preserve">The State to ensure line listing and follow up of severely anemic women. </t>
  </si>
  <si>
    <t>Ongoing activity; Recommended for approval for Rs. 96 lakhs @Rs. 1200/- per camp for 8000 camps.</t>
  </si>
  <si>
    <t>The State to ensure mobilizing WRA for IFA supplementation and compliance.</t>
  </si>
  <si>
    <r>
      <t xml:space="preserve">Ongoing Activity: Recommended for approval Rs.72.59 lakh as incentive for ASHA @ Rs.150/ASHA/month for 8066 ASHAs for six months to mobilize and ensure IFA compliance and reporting in children 6-59 months, WRA and post-partum women.
</t>
    </r>
    <r>
      <rPr>
        <b/>
        <sz val="11"/>
        <rFont val="Calibri"/>
        <family val="2"/>
        <scheme val="minor"/>
      </rPr>
      <t xml:space="preserve"> </t>
    </r>
  </si>
  <si>
    <r>
      <rPr>
        <sz val="11"/>
        <color theme="1"/>
        <rFont val="Calibri"/>
        <family val="2"/>
        <scheme val="minor"/>
      </rPr>
      <t xml:space="preserve">Activity related to PMSMA. </t>
    </r>
    <r>
      <rPr>
        <b/>
        <sz val="11"/>
        <color theme="1"/>
        <rFont val="Calibri"/>
        <family val="2"/>
        <scheme val="minor"/>
      </rPr>
      <t xml:space="preserve">
Activity is recommended for approval and shifted to FMR 1.1.1.1</t>
    </r>
  </si>
  <si>
    <t>The State to ensure availability of functional MVA/EVA equipments at all the facilities providing safe abortion services.</t>
  </si>
  <si>
    <t>The State to ensure the availability of MMA drugs at all the facilities providing safe abortion services.</t>
  </si>
  <si>
    <t>The State will be provided IFA supplements thorugh central procurement under AMB.</t>
  </si>
  <si>
    <t>The State to ensure availability of albendazole tablets for NPNL women in the State.</t>
  </si>
  <si>
    <t>The State to ensure availability of folic acid tablets for pregnant women in the State.</t>
  </si>
  <si>
    <t>Ongoing activity: Recommended for approval for Rs.7.04 lakhs for MDR training @ Rs. 58650/- per batch for 12 batches; The State to ensure the training as per RCH norms.</t>
  </si>
  <si>
    <t>Ongoing activity:                                                                            Recommended for approval of Rs. 475 lakhs for Drugs and consumables under JSSK 
1. @ Rs. 350/- per case for 90000 normal deliveries (Rs.350*90000= Rs.31500000/- )
2. @ Rs. 1600/- per case for 10000 cesarean sections (Rs.1600*10000 = Rs.16000000/-)
Total (Rs.315 lakh + Rs.160 lakh = Rs.475 lakhs)</t>
  </si>
  <si>
    <t>Ongoing activity:  Recmmended for approval of Rs. 635.60 lakhs for free referral transport under JSSK for pregnant women @ Rs. 500/- for 127120 cases</t>
  </si>
  <si>
    <t>Ongoing activity; Recommended for approval of Rs. 21.12 lakhs for Onsite mentoring at delivery points @ Rs. 24000/- per delivery point for 88 delivery points; state need to follow RCH norms.</t>
  </si>
  <si>
    <t>Ongoing activity: Recommended for approval for Rs. 1.82 lakhs for 2 batches of ToT for skill lab @ Rs. 91000/-  per batch for 6 participants per batch. The State to ensure the training as per RCH norms.</t>
  </si>
  <si>
    <t>Ongoing activity; Recommended for approval for Rs. 99.30 lakhs for trainings at skill lab @ Rs.132400/- per batch for 75 batches; The State need to follow RCH norms.</t>
  </si>
  <si>
    <t xml:space="preserve">The State to ensure the availability of pool of CAC Master Trainers for conducting CAC trainings. </t>
  </si>
  <si>
    <t>Ongoing Activity:
Recommended for approval of Rs. 12.66 Lakhs for 10 batches of Medical Officer training (3 MOs per batch) on safe abortion services @ Rs. 1,26,615/- per batch</t>
  </si>
  <si>
    <t>Ongoing activity: Recommended for approval of Rs. 4,87,600/- for 5 batches of LaQshya quality training @ Rs. 97,520/- (Rs.97520*5 = Rs.487600); The State need to follow RCH training norms</t>
  </si>
  <si>
    <t>Ongoing activity; Recommended for approval Rs.15.92 lakh for Dakshata training of MOs/SNs @ Rs.79580/- per batch for 20 batches; The State need to follow RCH training norms.</t>
  </si>
  <si>
    <t xml:space="preserve">Ongoing activity:  Recommended for approval for Rs. 2.25 lakhs for:
Activity 1: Rs. 1.25 lakhs for MDR @ Rs. 1250/- per case for 100 cases
Activity 2: Rs. 1 lakh for first responder under SUMAN @ Rs. 1000/- for 100 deaths
</t>
  </si>
  <si>
    <r>
      <rPr>
        <b/>
        <u/>
        <sz val="11"/>
        <rFont val="Calibri"/>
        <family val="2"/>
        <scheme val="minor"/>
      </rPr>
      <t>Ongoing Activity:</t>
    </r>
    <r>
      <rPr>
        <sz val="11"/>
        <rFont val="Calibri"/>
        <family val="2"/>
        <scheme val="minor"/>
      </rPr>
      <t xml:space="preserve">
Rs. 130 lakh is recommended for approval for operational cost for 13 SNCUs @ Rs. 10 lakh INR for each SNCU.
The State to ensure not to book any HR related expenses under this budget head and book the expenditure as per actual.</t>
    </r>
  </si>
  <si>
    <r>
      <rPr>
        <b/>
        <u/>
        <sz val="11"/>
        <rFont val="Calibri"/>
        <family val="2"/>
        <scheme val="minor"/>
      </rPr>
      <t>Ongoing Activity:</t>
    </r>
    <r>
      <rPr>
        <sz val="11"/>
        <rFont val="Calibri"/>
        <family val="2"/>
        <scheme val="minor"/>
      </rPr>
      <t xml:space="preserve">
Rs. 5.22 Lakhs is recommended for approval as Operational Cost @ Rs. 29000 per NBSU for 18 NBSUs. 
This budget may be used for strengthening of NBSU services and clinical practices.
</t>
    </r>
  </si>
  <si>
    <r>
      <rPr>
        <b/>
        <u/>
        <sz val="11"/>
        <rFont val="Calibri"/>
        <family val="2"/>
        <scheme val="minor"/>
      </rPr>
      <t>Ongoing Activity:</t>
    </r>
    <r>
      <rPr>
        <sz val="11"/>
        <rFont val="Calibri"/>
        <family val="2"/>
        <scheme val="minor"/>
      </rPr>
      <t xml:space="preserve">
Rs. 2.48 lakh is recommended for approval as operational cost for 124 NBCC @ Rs. 2000 INR for each NBCC.
The State to ensure not to book any HR related expenses under this budget head and book the expenditure as per actual.</t>
    </r>
  </si>
  <si>
    <t>Ongoing activity: Rs. 6 lakh is recommended for approval for opex of three functional NRCs (Shimla, Kangra &amp; Una) @ Rs. 2 lakh per NRC for 12 months, as per State's proposal.
The State to ensure the optimum utilization of resources as bed occupancy rate was only 51% in FY 2019-20 and 29% in FY 2002-21, upto Q-3 reported data.</t>
  </si>
  <si>
    <r>
      <rPr>
        <b/>
        <u/>
        <sz val="11"/>
        <rFont val="Calibri"/>
        <family val="2"/>
        <scheme val="minor"/>
      </rPr>
      <t>Ongoing Activity:</t>
    </r>
    <r>
      <rPr>
        <sz val="11"/>
        <rFont val="Calibri"/>
        <family val="2"/>
        <scheme val="minor"/>
      </rPr>
      <t xml:space="preserve">
Rs. 10 lakhs is recommended for approval for family participatory care operational cost and KMC binders as proposed by the State @ Rs. 200 unit cost for 5000 quantity. 
The State to follow procurement norms and book the expenditure as per actuals.</t>
    </r>
  </si>
  <si>
    <r>
      <rPr>
        <b/>
        <u/>
        <sz val="11"/>
        <rFont val="Calibri"/>
        <family val="2"/>
        <scheme val="minor"/>
      </rPr>
      <t>Ongoing Activity:</t>
    </r>
    <r>
      <rPr>
        <sz val="11"/>
        <rFont val="Calibri"/>
        <family val="2"/>
        <scheme val="minor"/>
      </rPr>
      <t xml:space="preserve">
Rs. 1 lakh is recommended for approval for operational cost for State Newborn Resource Center at IGMC KNH Shimla.
The State to ensure not to book any expenditure related to HR under this budget head and book expenditure as per actual.</t>
    </r>
  </si>
  <si>
    <r>
      <rPr>
        <b/>
        <u/>
        <sz val="11"/>
        <rFont val="Calibri"/>
        <family val="2"/>
        <scheme val="minor"/>
      </rPr>
      <t>Ongoing Activity:</t>
    </r>
    <r>
      <rPr>
        <sz val="11"/>
        <rFont val="Calibri"/>
        <family val="2"/>
        <scheme val="minor"/>
      </rPr>
      <t xml:space="preserve">
Rs. 7 lakh is approved for operational cost for 7 Paediatric HDUs @ Rs. 1 lakh for each unit for RH Bilaspur, RH Hamirpur, ZH Dharamshala, RH Reckong peo, RH Kullu, RH Solan and RH Una.
The State to ensure all the financial expenditure as per GoI strengthening Paediatric services guideline and book expenditure as per actual.</t>
    </r>
  </si>
  <si>
    <t>Ongoing Activity: Rs. 32.26 lakhs is recommended for approval for ASHA incentives under MAA programme for conducting 6-8 quarterly mothers meeting for 4 quarters @ Rs. 100 per quarter for 8066 ASHAs</t>
  </si>
  <si>
    <t>Ongoing Activity:
Rs.200.00 lakhs is recommended for approval as incentive to ASHAs for completion of 6/7 home visits under HBNC program as per schedule for the target of 80000 newborns @ Rs. 250 per newborn</t>
  </si>
  <si>
    <t>Ongoing Activity:
Rs. 10.0 lakhs is recommended for approval as incentive to ASHAs for follow up of SNCU discharged or LBW babies at 3rd, 6th, 9th and 12th months of age for the target of 5000 children @ Rs.200 per child.
The State should ensure that this incentive will be subsumed under HBYC program as soon as the home visits to children is initiated in the district where HBYC program is being implemented. Therefore, only HBYC incentive will be given to ASHA however incentive under this FMR will be discontinued subsequently.</t>
  </si>
  <si>
    <t>Ongoing activity: Rs. 0.75 lakh is recommended for approval for ASHA incentive for referral and four follow ups of 500 SAM children to NRC @ Rs.150 per SAM child in line with the existing national guidelines.</t>
  </si>
  <si>
    <t xml:space="preserve">Rs. 16.13 Lakhs is recommended for approval for ASHA incentive to mobilise out of school children @ Rs. 100 per ASHA for 8066 ASHAs for two rounds of NDD.
</t>
  </si>
  <si>
    <t>Rs.7 lakhs is recommended for approval  @ Rs.1 per ORS packet distributed to the families of Under-5 children for approx. 7,00,000  families with Under-5 children through ASHA workers. The State to ensure all families of Under-5 children are covered for prophylactis distribution of ORS during IDCF 2021-22.</t>
  </si>
  <si>
    <t>Ongoing Activity:
Rs. 50.00 lakhs is recommended for approval as incentive to ASHAs for scheduled home visits to children at 3rd, 6th, 9th, 12th and 15th month of life under HBYC @ Rs. 250 per child for target of 20000 children as proposed for 5 Districts (Chamba, Mandi, Sirmour, Kullu and Shimla).</t>
  </si>
  <si>
    <t>Rs. 8 lakh is recommended for approval for establishing four new NRCs at medical college Sirmaur, Mandi, Chamba &amp; Hamirpur @ Rs. 2 lakh per NRC. 
The State to share the establishment completion status.</t>
  </si>
  <si>
    <t xml:space="preserve">New Activity: Recommended for approval of Rs.112.40 lakh for procuremnt of 2248 digital invaisve hemoglobinometers @ Rs 5000/device. </t>
  </si>
  <si>
    <t>New Activity:
Rs. 3 lakh is recommended for procurement of 15 KMC Chairs @ Rs. 20000 INR each chair for replacement of old chairs at SNCUs.
The State to ensure procurement following due norms and book the expenditure as per actual.</t>
  </si>
  <si>
    <t>Ongoing Activity:
Rs. 99 lakh is recommended for approval for free diagnostics for Sick infants under JSSK for 33000 infants @ Rs. 300 each infant as proposed by the State.</t>
  </si>
  <si>
    <t>Ongoing Activity:
Rs. 150 lakh is recommended for approval for free drugs and consumables for sick infants under JSSK for 37500 infants @ Rs. 400 for each infant as proposed by the State.</t>
  </si>
  <si>
    <t>The State will be provided IFA supplements thorugh central procurement under AMB</t>
  </si>
  <si>
    <r>
      <t xml:space="preserve">Continued activity: 
As discussed during NPCC meeting, the State to countinue with the bi-annual round of NDD untill revised guidance is issued in view of STH follow-up prevalence survey findigs. Therefore, the State to ensure availibility of  Albendazole tablets for two rounds of NDD which is </t>
    </r>
    <r>
      <rPr>
        <b/>
        <sz val="11"/>
        <rFont val="Calibri"/>
        <family val="2"/>
        <scheme val="minor"/>
      </rPr>
      <t>proposed under FMR 6.2.21.1</t>
    </r>
    <r>
      <rPr>
        <sz val="11"/>
        <rFont val="Calibri"/>
        <family val="2"/>
        <scheme val="minor"/>
      </rPr>
      <t xml:space="preserve"> (Free drugs) as Albendazole is a part of essential drugs.</t>
    </r>
  </si>
  <si>
    <r>
      <t xml:space="preserve">Continued activity: 
As discussed during NPCC meeting, the State to countinue with the bi-annual round of NDD untill revised guidance is issued in view of STH follow-up prevalence survey findigs. Therefore,the State to ensure availibility of  Albendazole tablets for two rounds of NDD which is </t>
    </r>
    <r>
      <rPr>
        <b/>
        <sz val="11"/>
        <rFont val="Calibri"/>
        <family val="2"/>
        <scheme val="minor"/>
      </rPr>
      <t>proposed under FMR 6.2.21.1</t>
    </r>
    <r>
      <rPr>
        <sz val="11"/>
        <rFont val="Calibri"/>
        <family val="2"/>
        <scheme val="minor"/>
      </rPr>
      <t xml:space="preserve"> (Free drugs) as Albendazole is a part of essential drugs.</t>
    </r>
  </si>
  <si>
    <t>The State has proposed Vitamin A under free drug supply. The State to ensure availability of Vitamin-A as per guidelines.</t>
  </si>
  <si>
    <t>The State has proposed ORS under free drug supply. The State to ensure availability of ORS for IDCF campaign and at all facilities and ASHAs as per national guidelines.</t>
  </si>
  <si>
    <t>The State has proposed Zinc under free drug supply. The State to ensure availability of Zinc for IDCF campaign and at all facilities and ASHAs as per national guidelines.</t>
  </si>
  <si>
    <t>Rs. 3.00 lakhs is recommended for approval for orientation of health staff and FLWs on activities of Intenified Diarrhoea Control Fortnight (IDCF) for 12 Districts @ Rs. 25,000 per District</t>
  </si>
  <si>
    <t>New Activity: Recommended for approval of Rs.3.00 lakh for orientation of officals from from Health, Education and WCD from 12 Districts on AMB strategy @ Rs 25000/District. The State to follow revised RCH training norms and book the expemditure against actuals.</t>
  </si>
  <si>
    <t>Ongoing Activity:
Rs. 1.90 lakh is recommended for approval for 2 batches of IMNCI ToT @ Rs. 0.95 lakh each batch for 30 participants per batch.
The State to ensure training following GoI module.
The State to ensure all training related expenses as per actual following revised RCH training norms.</t>
  </si>
  <si>
    <t>Ongoing Activity:
Rs. 6.00 lakh is recommended for approval for 6 batches of IMNCI trainings for ANM/LHVs @ Rs. 1 lakh each batch.
The State to ensure training following GoI module and ensure all training related expenses following RCH training norms.</t>
  </si>
  <si>
    <t>Ongoing Activity:
Rs. 4.2 lakh is recommended for approval for 6 batches of NSSK trainings for Medical Officers @ Rs. 0.7 lakh each batch.
The State to ensure training following GoI revised NSSK training module and ensure all training related expenses following revised RCH training norms.</t>
  </si>
  <si>
    <t>Ongoing Activity:
Rs. 3.00 lakh is recommended for approval for 6 batches of NSSK trainings for Staff Nurses @ Rs.0.50 lakh each batch.
The State to ensure training following GoI revised NSSK training module and ensure all training related expenses following revised RCH training norms.</t>
  </si>
  <si>
    <t>Ongoing Activity:
Rs. 5.6 lakh is recommended for approval for 2 batches of 4 days FBNC trainings @ Rs. 2.8 lakh each batch.
The State to ensure training on GoI module.
The State should share training calender at national level.
All training related expenses to be ensured following revised RCH training norms.</t>
  </si>
  <si>
    <t xml:space="preserve">Rs. 11.2 lakhs is recommended for approval for conducting  4 batches of 4 days IYCF trainins of MOs/SNs/ANMs of Delivery Points and Sub Centres @ Rs. 2.8 lakhs per batch.
The State to follow RCH norms and expenditure to be booked as per actual.
</t>
  </si>
  <si>
    <r>
      <rPr>
        <b/>
        <sz val="11"/>
        <rFont val="Calibri"/>
        <family val="2"/>
        <scheme val="minor"/>
      </rPr>
      <t xml:space="preserve">Continued activity: </t>
    </r>
    <r>
      <rPr>
        <sz val="11"/>
        <rFont val="Calibri"/>
        <family val="2"/>
        <scheme val="minor"/>
      </rPr>
      <t xml:space="preserve">
Rs. 7.20 Lakhs is recommended for approval for orientation of ANMs and Teachers on NDD @ Rs.100 per participants for 3600 participant for two rounds of NDD as per GoI guideline.
</t>
    </r>
  </si>
  <si>
    <t>New Activity:
Rs. 14.00 Lakh is recommended for approval for 4 batches of NBSU Training as per newly launched NBSU Training Package @ Rs.3.50 lakhs per batch.
The State to book expenditure as per actuals and following RCH Training Norms</t>
  </si>
  <si>
    <t xml:space="preserve">The State to ensure training of FLWs and allied department workers on AMB as per revised RCH training norms. </t>
  </si>
  <si>
    <t>New Activity:
Rs. 5.0 Lakh is recommended for approval for 5 batches of sensitization training on Pneumonia for frontline workers @ Rs.1.00 lakh per batch.
The State to book expenditure as per actuals and following RCH Training Norms</t>
  </si>
  <si>
    <t>Ongoing Activity:
Recommended for approval of Rs. 11.25 Lakhs for implementation of CDR Mechanism as per below details:
CDR of 1500 cases @ Rs.750 per child (Rs.100 for FBIR to ANMs, Rs. 500 for Verbal Autopsy at community level (investigation team), Rs.100 to Family for Under 5 Children as travel cost to attend meeting at DM/ CMHO level and Rs.50 to ASHAs for Notification of Under 5 Deaths).</t>
  </si>
  <si>
    <t>New Activity:
Rs. 0.48 Lakh is recommended for approval for printing as per below details:
a) 100 NBSU Participants Modules for Mos and SNs @ Rs. 450 per Module.
b) 20 NBSU Facilitators Modules for Master Trainers @ Rs. 150 per Module.
The State to book expenditure as per actuals.</t>
  </si>
  <si>
    <t>The State to ensure implementation of SAANS Program as per GoI Guideline</t>
  </si>
  <si>
    <t>The State to ensure availability pf IEC material, reporting formats and training materials under AMB</t>
  </si>
  <si>
    <t xml:space="preserve">The State to ensure availability of IFA compliance cards for children 5-9 years old. For children 6-59 months, revised MCP cards to be utilized. </t>
  </si>
  <si>
    <r>
      <rPr>
        <b/>
        <sz val="11"/>
        <rFont val="Calibri"/>
        <family val="2"/>
        <scheme val="minor"/>
      </rPr>
      <t xml:space="preserve">Continued activity: </t>
    </r>
    <r>
      <rPr>
        <sz val="11"/>
        <rFont val="Calibri"/>
        <family val="2"/>
        <scheme val="minor"/>
      </rPr>
      <t xml:space="preserve">
Rs. 30 Lakhs is recommended for approval for printing of Training material, IEC and reproting format @ Rs. 2.50 lakhs per District for 12 Districts for two rounds of NDD</t>
    </r>
  </si>
  <si>
    <t xml:space="preserve">Rs. 6.00 lakhs is recommended for approval for printing of IEC, training materials and monitoring format of IDCF @ Rs. 0.5 lakhs per District for 12 Districts as per IDCF guidelines. </t>
  </si>
  <si>
    <t>Ongoing Activity:
Rs. 0.18 lakh is recommended for approval for printing of SNCU/KMC/NBSU register @ Rs. 600 each for 30 quantity as proposed by the State.</t>
  </si>
  <si>
    <t>Ongoing Activity:
Rs. 10 lakh is recommended for approval for printing of SNCU registers and formats @ Rs. 25 for 40000 quantity.
The State to ensure printing following due norms and book the expenditure as per actual.</t>
  </si>
  <si>
    <t>Ongoing Activity:
Rs. 17.00 lakhs is recommended for approval for printing of 8500 HBNC booklets @ Rs. 200/- per booklet</t>
  </si>
  <si>
    <t>Ongoing Activity:
Rs. 4.25 lakhs is recommended for approval for printing of 1700 copies of HBYC handbook @ Rs.125 and Job aid @ Rs. 125 for ASHAs in HBYC implementing Districts (Kullu &amp; Shimla)</t>
  </si>
  <si>
    <r>
      <rPr>
        <b/>
        <sz val="11"/>
        <rFont val="Calibri"/>
        <family val="2"/>
        <scheme val="minor"/>
      </rPr>
      <t>Not Recommended</t>
    </r>
    <r>
      <rPr>
        <sz val="11"/>
        <rFont val="Calibri"/>
        <family val="2"/>
        <scheme val="minor"/>
      </rPr>
      <t xml:space="preserve"> as separate budget. The State may book expenditure as per actuals and considering case load of NBSUs under FMR 1.3.1.2.</t>
    </r>
  </si>
  <si>
    <t xml:space="preserve">Ongoing activity :Rs 3.20 lakhs is recommended for approval for  32 Female sterlization  FDS @ Rs.10,000/FDS (2 FDS per District in 11 Districts   and  2 FDS per Medical colleges in 5 Medical Colleges. </t>
  </si>
  <si>
    <t xml:space="preserve">Ongoing activity :Rs 2.00 lakhs is recommended for approval for 10 Male  sterlization  FDS @ Rs.20,000/FDS.One FDS /District  in 10 Districts </t>
  </si>
  <si>
    <t>Ongoing activity : Rs 50.0 lakhs is recommended for approval  for compensation amount of female sterlization to the 5,000 beneficiaries @ Rs.1000/case</t>
  </si>
  <si>
    <t>Ongoing activity :Rs 18.75 lakhs is recommended for approval for compensation amount of male sterlization to the 1250 beneficiaries @ Rs.1500/case</t>
  </si>
  <si>
    <t xml:space="preserve">Ongoing activity :Rs 2.00 lakhs is recommended for approval  for compensation amount of IUCD insertions at health facilities to 10,000 beneficiaries @ Rs 20/insertion </t>
  </si>
  <si>
    <t>Ongoing activity :Rs 15.00 lakhs is recommended for approval  for compensation to 5,000 beneficiaries for PPIUCD   insertions at  @ Rs.300/beneficiary</t>
  </si>
  <si>
    <t>Ongoing activity :Rs 1.50 lakhs is recommended for approval  for compensation to 500 beneficiaries for PAIUCD   insertions at  @ Rs.300/beneficiary</t>
  </si>
  <si>
    <t>Ongoing activity :Rs 6 lakhs is recommended for approval for FPIS based on the average number of cases in last 3 years and as per GoI norms (average number of cases is approx 12,000 @ Rs.50 per case.</t>
  </si>
  <si>
    <t>Ongoing activity : Rs 15.00 lakhs is recommended for approval  for POL for mobility support for 10 Districts  to surgeon's team  for  FP services @ Rs.150000/District</t>
  </si>
  <si>
    <t>Ongoing activity : Rs 3.00 lakhs is recommended for approval  for ASHA PPIUCD incentive for accompanying the clients for PPIUCD insertions for 2000 insertions @ Rs 150/ASHA/Insertion</t>
  </si>
  <si>
    <t>Ongoing activity : Rs 0.30 lakhs is recommended for approval  for ASHA PAIUCD incentive for accompanying the clients for PAIUCD insertions for 200 insertions @ Rs 150/ASHA/insertion</t>
  </si>
  <si>
    <t xml:space="preserve">It is already budgeted and recommended for approval in FMR 1.2.2.2.1 </t>
  </si>
  <si>
    <t>Ongoing activity : Rs 7.50 lakhs is recommended for approval for incentive to providers for PPIUCD services  for 5000 insertions @ Rs 150/proider</t>
  </si>
  <si>
    <t xml:space="preserve">Ongoing activity : Rs 3.12 lakhs is recommended for approval for training ANMs on FPLMIS in 5 batches  @ Rs 62400/batch </t>
  </si>
  <si>
    <t>Ongoing activity : Rs 0.75  lakhs is recommended for approval for incentive to providers for PAIUCD Iinsertions  for 500 insertions @ Rs 150/provider</t>
  </si>
  <si>
    <t>Ongoing activity : Rs 1 lakh is recommended for approval to conduct  refersher training on Laproscope sterlization  for 3 days @ Rs.50000/batch as per GoI guidelines and norms.</t>
  </si>
  <si>
    <t>Ongoing activity :Rs 2.88 lakhs is recommended for approval for IEC promotional activities for World Population day Celeberation (12 Districts @ Rs.5000 + 76 Blocks @ Rs.3000)</t>
  </si>
  <si>
    <t>Ongoing activity : Rs 2.88 lakhs is recommended for approval for IEC promotional activities for Vasectomoy Fortnight   Celeberation (12 Districts @ Rs. 5000 + 76 Blocks @ Rs. 3000)</t>
  </si>
  <si>
    <t>Continued activity
Recommended for approval of Rs 0.9 lakh for bi-annual District level coordination meeting between Health and Education @ Rs.7500 per meeting under SHP for 6 School Health Program - Ayushman Bharat implementing Districts</t>
  </si>
  <si>
    <t>Continued activity
Recommended for approval of Rs 0.35 lakhs for one State level convergence meeting  @ Rs.35,000/-</t>
  </si>
  <si>
    <t>New activity
Recommended for approval of Rs 3.3 lakhs for establishment of 3 District level Adolescent Friendly Health Resource Centres at ZH Shimla, RH Chamba and ZH Mandi.</t>
  </si>
  <si>
    <t>Continued activity
Recommended for approval of Rs 3.35 lakh for outreach activities as follows:
1. for existing 21 counselors for 2 visits/month for 12 months @ Rs 250/visit
2. for existing 21 counselors for 2 visits/month for 12 months @ Rs 200/visit for supporting SHP
3. for 20 new AH counselors for 2 visits  per month for 12 months @ Rs 250/visit
4. for 20 new AH counselors for 2 visits  per month for 12 months @ Rs 200/visit for supporting SHP</t>
  </si>
  <si>
    <t>Continued activity
Recommended for approval of Rs 22.5 lakhs for quarterly AHDs in 3 schools per Block for 75 Blocks @ Rs 2500 per AHD</t>
  </si>
  <si>
    <t>Continued activity
Recommended for approval of Rs 12.7 lakhs for non monetory incentive for 2116 existing  peer educators @ Rs 50/month for 12 months</t>
  </si>
  <si>
    <r>
      <rPr>
        <b/>
        <sz val="11"/>
        <rFont val="Calibri"/>
        <family val="2"/>
        <scheme val="minor"/>
      </rPr>
      <t xml:space="preserve">Continued activity: </t>
    </r>
    <r>
      <rPr>
        <sz val="11"/>
        <rFont val="Calibri"/>
        <family val="2"/>
        <scheme val="minor"/>
      </rPr>
      <t xml:space="preserve">
As discussed during NPCC meeting, the State to countinue with the bi-annual round of NDD untill revised guidance is issued in view of STH follow-up prevalence survey findigs. Therefore, the State to ensure availibility of  Albendazole tablets for two rounds of NDD which is </t>
    </r>
    <r>
      <rPr>
        <b/>
        <sz val="11"/>
        <rFont val="Calibri"/>
        <family val="2"/>
        <scheme val="minor"/>
      </rPr>
      <t>proposed under FMR 6.2.21.1</t>
    </r>
    <r>
      <rPr>
        <sz val="11"/>
        <rFont val="Calibri"/>
        <family val="2"/>
        <scheme val="minor"/>
      </rPr>
      <t xml:space="preserve"> (Free drugs) as Albendazole is a part of essential drugs.</t>
    </r>
  </si>
  <si>
    <t xml:space="preserve">Continued activity
Recommended for approval of Rs 2 lakhs for one State level  dissemination workshop under RKSK @ Rs 200000 </t>
  </si>
  <si>
    <t>Continued activity
Recommended  for approval of Rs 2.55 lakhs for  one batch of 4 day training of MOs on AFHS @ Rs255000/batch</t>
  </si>
  <si>
    <t>Continued activity
Recomended for approval of Rs 12 lakhs for 6 batches of 30 each of ANM/LHV/MPW/ paramedics for 5 day training on AFHS  @ Rs.200000/ batch</t>
  </si>
  <si>
    <t>Continued activity
Recommended for approval of Rs 2 lakhs for one batch of 6 day training of AH counsellors on AFHS @ Rs.200000/batch</t>
  </si>
  <si>
    <t>Continued activity
Recommended for approval of Rs 2 lakhs for one batch of 30 as TOT for Medical officers and Health Educators on PE programme</t>
  </si>
  <si>
    <t>Continued activity
Recommended for approval of Rs 5.91 lakhs for 3 batches of 30 each for  ANM training on PE programme for Chamba District and Shimla District @ Rs 197000/batch</t>
  </si>
  <si>
    <t>Continued activity
Recommended for approval of Rs 46.2  lakhs for 66 batches of 6 day PE training @ Rs 70000/batch for a batch of 40 participants (32 PEs + 8 ASHAs)</t>
  </si>
  <si>
    <t>Continued activity
Recommended for approval of Rs 15 lakhs for half day orientation of nodal teachers at Block level @ Rs 20000/Block for 75 Blocks. The State to ensure coverage of menstrual hygiene along with WIFS.</t>
  </si>
  <si>
    <t>Continued activity
Recommended for approval of Rs 198.53 lakhs for trainings of 111 batches of 30 each for HWAs across 6 Districts implementing School Health Program-Ayushman Bharat @ Rs.178860/batch</t>
  </si>
  <si>
    <t xml:space="preserve">Continued activity
Recommended for approval of Rs 10.58 lakhs for PE kit +diary for selected 2116 PEs @ Rs 500/set </t>
  </si>
  <si>
    <t>Continued activity
Recommended for approval of Rs 4.84 lakhs for printing of AFHS training manuals for MOs, ANMs, Counsellors  and PE training manuals</t>
  </si>
  <si>
    <t xml:space="preserve">New activity
Recommended for approval of Rs.0.70 lakh for printing of printing of comprehensive new born screening guidelines. The State to ensure that screening and referral formats are available in adequate number in each delivery points and visible birth defect poster as per guidelines are displayed in the record room of LR.  </t>
  </si>
  <si>
    <t xml:space="preserve">Continued activity
Rs 150 lakhs as proposed by the State is recommended for approval for 1145 children for health conditions as per RBSK procedures and model costing for surgeries guidelines.
The State also has proposed to use Rs.277.1 lakhs kept as committed unspent of approved Rs.285.6 lakhs in FY 2021-22.
Illustrative details is in Annexure. Expenditure will be as per actuals. The State to follow RBSK procedures and model costing for surgeries guidelines.  Details of children supported to be included in monthly reports of RBSK. 
</t>
  </si>
  <si>
    <t xml:space="preserve">As per DEIC checklist shared by the State, it is found that none of the DEICs are functional as per RBSK DEIC guidelines as Equipment, HR and infrastructure is deficient. 
As proposed by State, Rs 0.96 lakhs is recommendded. Expenditure is as per actual and for functional DEIC only. 
The State has proposed HR 30 (212 and 5 positions each in 5 DEICs) which is partial as the Medical professionals only proposed 2 MBBS and 1 DEntal )In position) 
State to inform programme division the details of  these 5 DEICs where these HR would be positioned in the first quarter of FY 2021-22.  </t>
  </si>
  <si>
    <t xml:space="preserve">Continued activity
Recommended for approval of Rs.600 lakhs for hiring of 150 dedicated vehicles one per RBSK Mobile Health Team on monthly basis @ Rs 4.00 lakhs per annum as proposed by the State. Expenditure will be as per actuals. State rules and regulations are applicable for hiring of vehicles. The State to ensure that each vehicle bears RBSK visibility branding on vehicle as per GoI guidelines for vehicle branding. </t>
  </si>
  <si>
    <t xml:space="preserve">Continued activity
Recommended for approval of Rs.9.00 lakhs for rental of 150 data cards @ Rs 6000 per annum. The State to ensure that each RBSK team upload data in the online RBSK MIS. </t>
  </si>
  <si>
    <t xml:space="preserve">Recommended for approval of Rs.4.50 lakhs for procurement of equipments for RBSK Mobile Health Teams as per RBSK Job Aids for screening @ Rs 3000 per set for 150 teams. Expenditure is as per actuals. Equipments for RBSK mobile health teams to be as per RBSK Job Aids. </t>
  </si>
  <si>
    <t xml:space="preserve">The State to ensure that specialist services are made available as per Guidelines at DEIC to support children identified under RBSK. </t>
  </si>
  <si>
    <t xml:space="preserve">Recommended for approval of Rs.12.80 lakhs for training of RBSK MHts in 4 batches @ Rs 3.2 lakhs per batch as proposed by the State. 
Expenditure will be as per actuals and according to RCH training norms. The State to ensure that teams are trained in 5 days training as per RBSK guidelnes with field visit. 
Rs. 5.00 lakhs kept as unspent committed to be used in FY 2021-22. </t>
  </si>
  <si>
    <t xml:space="preserve">Recommended for approval of Rs.2.00 lakhs for  training of HR from 1 DEIC for 15 days in basic DEIC training at RBSK Nodal Centre @ Rs.2 lakhs per batch as proposed by the State. Expenditure will be as per actuals and according to RCH training norm. 
Rs 3.00 lakhs kept as unspent committed to be used in FY 2021-22. </t>
  </si>
  <si>
    <t xml:space="preserve">The State to ensure that MOs and ANMs from delivery ponts are training in conducting and eporting of RBSK Comprehensive Newborn Screening. 
The State to update on acheivement of Rs 15 lakhs approved in FY 2020-21 for training of HR - MO and SN and ANMs who are conducting delivery at functional delivery points in 2 days comprehensive newborn screening in 30 batches @ Rs 50000 per batch as proposed by the State. 
Rs 5.00 lakhs kept as unspent committed to be used in FY 2021-22. </t>
  </si>
  <si>
    <t xml:space="preserve">The State to ensure that each child under RbSK is screened with age appropriate updated screening formats (with TB and Leprosy screening - Ref D. O. No. Z.25O2Ol1Ol2019-HBSK-CH dated  09th August 2019). </t>
  </si>
  <si>
    <t xml:space="preserve">The State to ensure that each functional DEIC maintains details of children supported under RBSK as per guidelines. </t>
  </si>
  <si>
    <r>
      <rPr>
        <b/>
        <sz val="11"/>
        <rFont val="Calibri"/>
        <family val="2"/>
        <scheme val="minor"/>
      </rPr>
      <t>Not recommended</t>
    </r>
    <r>
      <rPr>
        <sz val="11"/>
        <rFont val="Calibri"/>
        <family val="2"/>
        <scheme val="minor"/>
      </rPr>
      <t xml:space="preserve"> as First 1000 days booklet is for service pfroviders and not for individual women, who are to be encouraged to use the AYUSHMAN BHAVA APP available and supported by ECD call centre as per guidelines. </t>
    </r>
  </si>
  <si>
    <t>Recommended for approval of Rs. 2 Lakhs for IEC activities for PC&amp;PNDT</t>
  </si>
  <si>
    <t>Recommended for approval of Rs.1.44 lakhs as per norms @ Rs.1000/month/District for 12 Districts</t>
  </si>
  <si>
    <t>Recommended for approval of Rs.108.35 lakhs for pulse polio operating cost (POL-TPT, booth mobilization, supervision, contingency, stationary, IEC, training, cold chain). Provision of budget is tentative</t>
  </si>
  <si>
    <t>Recommended for approval of Rs.2.52 lakhs as per norms @ Rs.525/session for 480 sessions</t>
  </si>
  <si>
    <t>Recommended for approval of Rs.0.92 lakh for 175 health teams @ Rs.525 per team/year</t>
  </si>
  <si>
    <t>Recommended for approval of Rs.254.25 lakhs as per norms @ Rs. 100/ child for FIC in first year, Rs.75/ child for complete immunization upto second year of age and Rs. 50 for DPT booster at the age of 5-6 years (for payment purpose)</t>
  </si>
  <si>
    <t>Fund will be utilized from sanctioned BMWM.</t>
  </si>
  <si>
    <t>Recommended for approval of Rs.75.00 lakhs for training of VCCM, cold chain handlers, MO and multipurpose workers on immunization.
Expenditure to be as per RCH norms.</t>
  </si>
  <si>
    <t>Recommended for approval of Rs.24.00 lakhs  as per norms @ Rs 20/ beneficiary for 120000 beneficiaries (for budget purpose)</t>
  </si>
  <si>
    <t xml:space="preserve">Recommended for approval. Expenditure should be as per norms. As per State's remarks, budget for this activity will be met from FMR 13.2.1 for District Chamba and Mandi. </t>
  </si>
  <si>
    <t>Rs. 5 lakhs is recommended for approval @ Rs.200/session for 2500 sessions</t>
  </si>
  <si>
    <t>Rs. 7.65 lakhs is recommended for approval as per norms @ Rs 90/session for 8500 sessions</t>
  </si>
  <si>
    <t>Rs. 24 lakhs is recommended for approval for POL for vaccine delivery as per norms @ Rs.200000/District/year for 12 Districts</t>
  </si>
  <si>
    <t xml:space="preserve">Recommended for approval of Rs.1.00 lakh as proposed by State Rs.1 lakh to prepare microplan for each MHTs in consultation with ICDS, Department of education and Tribal Welfare Departments. </t>
  </si>
  <si>
    <t>Rs. 2.08 lakhs is recommended for approval as per norms @ Rs 100/Sub-Centre for 2083 SCs</t>
  </si>
  <si>
    <t>Rs. 1.00 lakh is recommended for approval @ Rs.1000/ Block/PHC for 83 Blocks/PHCs and Rs.2000/District for 12 Districts</t>
  </si>
  <si>
    <t>Ongoing Activity : Rs 2.40 lakhs is recommended for approval  for FP QAC meetings @ Rs 5000 /meeting for 48 meetings (Minimum frequency of QAC meetings as per Supreme Court mandate : State level -Biannual meeting; District Level - Quarterly)</t>
  </si>
  <si>
    <t xml:space="preserve">Ongoing activity :Rs 0.20 lakh is recommended for approval for 2 FP review meting @ Rs.10,000/meeting. </t>
  </si>
  <si>
    <t xml:space="preserve">The State to ensure that coordination with ICDS and Department of education, tribal affairs for planning community level screenings is held periodically. </t>
  </si>
  <si>
    <t>Rs. 0.22 lakhs is recommended for approval @ Rs.75 as honorarium for 288 participants</t>
  </si>
  <si>
    <t>Rs.3.60 lakhs is recommended for approval for mobility support for supervision for immunization as per norms (for budget purpose)</t>
  </si>
  <si>
    <t>Ongoing activity : Rs 0.48 lakhs is approved  for PM activities for World population day celeberation (Only Mobility cost). For 12 Districts @ Rs.4000/District</t>
  </si>
  <si>
    <t>Ongoing activity :Recommended for Rs 0.24 lakhs for PM activities for Vasectomy Fortnight  celeberation (Only Mobility cost) for 12 Districts @ Rs 2000/District</t>
  </si>
  <si>
    <r>
      <t xml:space="preserve">Ongoing Activity:
Rs. 6 lakh is recommended for approval for SNCU data management for 20 SNCU @ Rs. 0.30 lakh each SNCU.
The State to book the expenditure as per actual.
</t>
    </r>
    <r>
      <rPr>
        <b/>
        <u/>
        <sz val="11"/>
        <rFont val="Calibri"/>
        <family val="2"/>
        <scheme val="minor"/>
      </rPr>
      <t>New Activity:</t>
    </r>
    <r>
      <rPr>
        <sz val="11"/>
        <rFont val="Calibri"/>
        <family val="2"/>
        <scheme val="minor"/>
      </rPr>
      <t xml:space="preserve"> 
Data Management of 3 NBSUs to be functional is </t>
    </r>
    <r>
      <rPr>
        <b/>
        <sz val="11"/>
        <rFont val="Calibri"/>
        <family val="2"/>
        <scheme val="minor"/>
      </rPr>
      <t>not recommended</t>
    </r>
    <r>
      <rPr>
        <sz val="11"/>
        <rFont val="Calibri"/>
        <family val="2"/>
        <scheme val="minor"/>
      </rPr>
      <t xml:space="preserve"> for approval. May book under Operational cost, once functional.
</t>
    </r>
  </si>
  <si>
    <t xml:space="preserve">Under NIDDCP, ASHA has to monitor the quality of iodated salt at household/ community level by testing Salt through Salt Testing Kit in 10 endemic Districts (as identified by GOI) of the State. 
As proposed by the State, Rs.23.427 lakhs fund is recommended for ASHA incentive @ Rs. 25/- per month (@ Rs.0.50 for one salt sample test, at least 50 samples are to be tested in a month) for 12 months for 10 endemic Districts (as identified by GOI).
</t>
  </si>
  <si>
    <r>
      <rPr>
        <b/>
        <sz val="11"/>
        <rFont val="Calibri"/>
        <family val="2"/>
        <scheme val="minor"/>
      </rPr>
      <t xml:space="preserve">Not recommended. The </t>
    </r>
    <r>
      <rPr>
        <sz val="11"/>
        <rFont val="Calibri"/>
        <family val="2"/>
        <scheme val="minor"/>
      </rPr>
      <t>State had already received Rs. 4.00 lakhs for procurement of equipment for State IDD lab at Kangra in RoP 2020-21.</t>
    </r>
  </si>
  <si>
    <t>The State Government has to monitor the quality of iodated salt at household/ community level by STK through ASHA and IDD awareness activities as well as promotion of consumption of iodated salt in 10 endemic Districts (as identified by GOI) i.e. Bhilaspur, Chamba, Hamirpur, Kangra, Kullu, Mandi, Shimla, Sirmaur, Solan and Una.
STK procurement should be 12 kits per ASHA per annum (@ 1 STK per ASHA per month). 
Recommended for approval of Rs. 19.35 lakhs (7809 x 12 x Rs.20.65 = Rs.19.35) for procurement of STK for 7809 ASHAs of above mentioned districts. The State Government may procure STKs following procurement guidelines of NHM.</t>
  </si>
  <si>
    <t>The State has not revised the proposal and proposed funds for conducting district IDD resurveys to assess the extent of iodine Deficiency disorders and the impact of Iodated salt consumption.</t>
  </si>
  <si>
    <t>As proposed by the State, it is recommended for approval of Rs.1.00 lakh for Laboratory chemicals  / reagents, glassware, disposables etc. for testing salt &amp; urine samples in the State IDD Monitoring Lab.</t>
  </si>
  <si>
    <t>Recommended for approval of Rs. 5.00 lakhs for conducting IDD awareness activities including development of IEC material and Global IDD Prevention Day activities in all 12 Districts (@ Rs. 30,000/- per District) and also for conducting IDD awareness activities on Global IDD Prevention Day at State level (Rs.1.40 lakhs).</t>
  </si>
  <si>
    <t>Ongoing activity: Recommended for approval of Rs.762.72 lakhs for free diagnostics for Pregnant women under JSSK @ Rs. 600/- per case for 1,27,120 pregnant women</t>
  </si>
  <si>
    <t xml:space="preserve">Recommended for approval of Rs 7.16 lakhs for monthly AFC meetings in 477 Sub-Centers of 19 PE Blocks in 3 PE Districts for 3 months @ Rs 500/AFC meeting.
The State to saturate the PE selection in all Blocks of 3 PE Districts .
</t>
  </si>
  <si>
    <r>
      <t xml:space="preserve">Ongoing activity:
</t>
    </r>
    <r>
      <rPr>
        <sz val="11"/>
        <color theme="1"/>
        <rFont val="Calibri"/>
        <family val="2"/>
        <scheme val="minor"/>
      </rPr>
      <t xml:space="preserve">Recommended for Rs. 99.45 lakhs for procurement of sanitary napkins for 373864 adolescent girls @ Rs.1.33 /napkin for 20 Napkins/girl. The State to ensure the availablty of remaining napkins for all girls using State's contribution of funds for sanitary napkins.
</t>
    </r>
  </si>
  <si>
    <t>As proposed, Rs 35 lakhs is recommended for approval (Rs. 10 Lakhs for already approved 5 DEICs and Rs.25 lakhs for Kullu DEIC)  as per discussion held in NPCC meeting.
The State to ensure that essential equipments as per RBSK Equipment Operational Guidelines is made available in the approved DEICs, where HR would be positioned  -  namely IGMC,Shimla; Dr. RPGMC Tanda; Pt. JLNGMC, Chamba; Dr.RKGMC, Hamirpur; Sh.LBSGMC, Nerchowk Mandi. The State to ensure to make DEICs functional as per RBSK Guidelines. 
Expenditure will be as per actuals and according to RBSK DEIC essential Guidelines.</t>
  </si>
  <si>
    <r>
      <t>Continued activity
Recommended for approval of Rs 10.40 lakhs as follows:
1. For operational expenses for existing</t>
    </r>
    <r>
      <rPr>
        <b/>
        <sz val="14"/>
        <rFont val="Calibri"/>
        <family val="2"/>
        <scheme val="minor"/>
      </rPr>
      <t xml:space="preserve"> </t>
    </r>
    <r>
      <rPr>
        <sz val="11"/>
        <rFont val="Calibri"/>
        <family val="2"/>
        <scheme val="minor"/>
      </rPr>
      <t>99</t>
    </r>
    <r>
      <rPr>
        <sz val="12"/>
        <rFont val="Calibri"/>
        <family val="2"/>
        <scheme val="minor"/>
      </rPr>
      <t xml:space="preserve"> AFHCs @ Rs.10000/clinic per year.
2. For establishment of new AFHC at PHC Sanjauli, Shimla @ Rs.50000/-.
</t>
    </r>
  </si>
  <si>
    <t>Approved Rs 3.72 Lakh for 2 State level 3 days training cum review meetings per year for HMIS/new HMIS &amp; MCTS / RCH portal / ANMOL if launched. Expenses for food to participants, accommodation for trainers, accommodation for participants, including incidental expenses as per extent RCH rules. Expected participants: 10 from State and 5 from each District.</t>
  </si>
  <si>
    <t>Approved Rs 5.29 Lakh for District level 3 days training cum review meeting per quarter for HMIS/new HMIS &amp; MCTS / RCH portal / ANMOL if launched. Expenses for food to participants, accommodation for trainers, accommodation for participants including incidental expenses as per extent RCH rules. Expected participants: 5 from District and 2 from each Block.</t>
  </si>
  <si>
    <t xml:space="preserve">HMIS: Approved Rs 21.60 Lakh for Block level 1 day training cum review meeting per month for HMIS/new HMIS  &amp; MCTS / RCH portal / ANMOL in launched. including incidental expenses as per extent RCH rules. Expected participants: 2 from each Block and 1 from each PHC and Sub Centre.
MMP cell: ANMOL Training: 
Recommended Rs 9.41 lakhs for refresher training of ANMOL for 3138 participants (ANMs/Block level officials) @Rs 300 per participant. 
</t>
  </si>
  <si>
    <r>
      <t xml:space="preserve">Recommended </t>
    </r>
    <r>
      <rPr>
        <b/>
        <sz val="11"/>
        <color theme="1"/>
        <rFont val="Calibri"/>
        <family val="2"/>
        <scheme val="minor"/>
      </rPr>
      <t xml:space="preserve">Rs. 95.97 Lakhs </t>
    </r>
    <r>
      <rPr>
        <sz val="11"/>
        <color theme="1"/>
        <rFont val="Calibri"/>
        <family val="2"/>
        <scheme val="minor"/>
      </rPr>
      <t>for DVDMS as per the State PIP and ROP 20-21 with 10% increment considering the lower price. The details of amount are as under:
Application software support – Rs. 10.98 Lacs
Hosting at data centre – Rs. 12.54 Lacs
FMS at data centre – Rs. 7.92 Lacs
IT Cell Model 1 – Rs. 48.389 Lacs
Safe to Host security certificate – Rs. 1.5 Lacs
Total – Rs. 95.97 Lacs(Including 10% yearly increment and 18% GST on overall charges)</t>
    </r>
  </si>
  <si>
    <r>
      <t xml:space="preserve">Recommended </t>
    </r>
    <r>
      <rPr>
        <b/>
        <sz val="11"/>
        <rFont val="Calibri"/>
        <family val="2"/>
        <scheme val="minor"/>
      </rPr>
      <t xml:space="preserve">Rs. 31.90 Lakhs </t>
    </r>
    <r>
      <rPr>
        <sz val="11"/>
        <rFont val="Calibri"/>
        <family val="2"/>
        <scheme val="minor"/>
      </rPr>
      <t xml:space="preserve">for Operational Cost for HMIS &amp; MCTS (Incl. Internent connectivity; AMC of Laptop, Printers, Computers, UPS; Office Expen. and Mobile reimbursement, as below:
a) Recommended </t>
    </r>
    <r>
      <rPr>
        <b/>
        <sz val="11"/>
        <rFont val="Calibri"/>
        <family val="2"/>
        <scheme val="minor"/>
      </rPr>
      <t xml:space="preserve">Rs 9.72 lakhs </t>
    </r>
    <r>
      <rPr>
        <sz val="11"/>
        <rFont val="Calibri"/>
        <family val="2"/>
        <scheme val="minor"/>
      </rPr>
      <t xml:space="preserve">for broadband connectivity at 108 locations (2 state level, 12 district level, 75 block level and 19 Health facilities) for HMIS &amp; MCTS/RCH Portal @Rs 750 per month, and Recommended </t>
    </r>
    <r>
      <rPr>
        <b/>
        <sz val="11"/>
        <rFont val="Calibri"/>
        <family val="2"/>
        <scheme val="minor"/>
      </rPr>
      <t>Rs 1.72 lakhs</t>
    </r>
    <r>
      <rPr>
        <sz val="11"/>
        <rFont val="Calibri"/>
        <family val="2"/>
        <scheme val="minor"/>
      </rPr>
      <t xml:space="preserve"> for internet connectivity through VSAT (including AMC) for 2 locations @Rs 7170  per month for HMIS &amp;MCTS, where internet connectivity is not feasible through broadband. This fund should not be used by the state for units for which funds have been approved for internet connectivity through LAN/ Datacard. This is subject to 100%  reporting on HMIS and RCH Portal and improvement in data quality thereof. 
b) Recommended </t>
    </r>
    <r>
      <rPr>
        <b/>
        <sz val="11"/>
        <rFont val="Calibri"/>
        <family val="2"/>
        <scheme val="minor"/>
      </rPr>
      <t>Rs 2.16 lakhs</t>
    </r>
    <r>
      <rPr>
        <sz val="11"/>
        <rFont val="Calibri"/>
        <family val="2"/>
        <scheme val="minor"/>
      </rPr>
      <t xml:space="preserve"> for AMC of 103 Computers (state, district and block/health facility level) @ Rs 2097 per annum per unit as proposed by the state. </t>
    </r>
    <r>
      <rPr>
        <sz val="11"/>
        <color rgb="FFFF0000"/>
        <rFont val="Calibri"/>
        <family val="2"/>
        <scheme val="minor"/>
      </rPr>
      <t>Request eGovernance division to comment on the budget (Rs 7.6 lakhs) proposed for AMC Charges of Servers &amp; Client Nodes installed for Hospital Information System.</t>
    </r>
    <r>
      <rPr>
        <sz val="11"/>
        <rFont val="Calibri"/>
        <family val="2"/>
        <scheme val="minor"/>
      </rPr>
      <t xml:space="preserve">
c) Recommended </t>
    </r>
    <r>
      <rPr>
        <b/>
        <sz val="11"/>
        <rFont val="Calibri"/>
        <family val="2"/>
        <scheme val="minor"/>
      </rPr>
      <t xml:space="preserve">Rs 18.3 lakhs </t>
    </r>
    <r>
      <rPr>
        <sz val="11"/>
        <rFont val="Calibri"/>
        <family val="2"/>
        <scheme val="minor"/>
      </rPr>
      <t xml:space="preserve">for Office Expenditure at 100 office locations (2 state level@Rs 5000 p.m., 12 District level @Rs 2500 p.m., 53 Block level@Rs 1500 p.m., 33 Facility level @ Rs 1000 p.m.). These are indicative rates, final rates are to be arrived at as per GeM rate contract or after competitive bidding following Government protocols.This is subject to 100% reporting on HMIS and RCH Portal and improvement in data quality thereof. </t>
    </r>
  </si>
  <si>
    <r>
      <t xml:space="preserve">Recommended </t>
    </r>
    <r>
      <rPr>
        <b/>
        <sz val="11"/>
        <rFont val="Calibri"/>
        <family val="2"/>
        <scheme val="minor"/>
      </rPr>
      <t>Rs 35.82 lakhs</t>
    </r>
    <r>
      <rPr>
        <sz val="11"/>
        <rFont val="Calibri"/>
        <family val="2"/>
        <scheme val="minor"/>
      </rPr>
      <t xml:space="preserve"> for Internet connection for 1990 Tablets@Rs 150 per month per unit for implementation of ANMOL. 
These are indicative rates, final rates are to be arrived at as per GeM rate contract or after competitive bidding following Government protocols.This is subject to 100% reporting on RCH Portal and improvement in data quality thereof. </t>
    </r>
  </si>
  <si>
    <t xml:space="preserve">recommended </t>
  </si>
  <si>
    <t xml:space="preserve">To be budgeted out of PM-ASBY funds for strengthening of IPHLs in all districts </t>
  </si>
  <si>
    <t xml:space="preserve">Recommended. Training to be done where logistics are in place. </t>
  </si>
  <si>
    <t>Recommended 4 lakh ( 2 lakh each) for DPHL at Bilaspur and Mandi. However, both DPHLs need to increase the number of tests conducted.</t>
  </si>
  <si>
    <t xml:space="preserve">Recommended:Reimbursements based on the tests carried out for epidemic prone disease upto Rs. 3,00,000/- per annum per State Referral Laboratory.This is subject to signing of MoU between SRL and SSU. </t>
  </si>
  <si>
    <t xml:space="preserve">Recommended. </t>
  </si>
  <si>
    <t>Activity Recommended</t>
  </si>
  <si>
    <t xml:space="preserve">Activity Recommended. </t>
  </si>
  <si>
    <t xml:space="preserve">Activity Recommended.  </t>
  </si>
  <si>
    <t>Activity Recommended. State has identified 7 SSHs, accordingly the annual contingency grant as per GoI norms is approved.</t>
  </si>
  <si>
    <t xml:space="preserve">Recommended, Active case detection has to be done throughout the state round the year on regular basis as per new ACD&amp;RS guidelines.
State must estimate the eligible population for leprosy screening and propose the additional budget if required as per new ACD &amp; RS guidelines in SPIP.
</t>
  </si>
  <si>
    <t xml:space="preserve">Recommended </t>
  </si>
  <si>
    <t xml:space="preserve">Recommended. However, state has not conducted this activity since April, 2020. State should start this activity immediately. </t>
  </si>
  <si>
    <t xml:space="preserve"> Recommended </t>
  </si>
  <si>
    <t>Norm is @98,000 / district. Lump sum 8 lacs recommended amid COVID situation for all districts. State should ensure the availability of newly launched ASHA Flip Book (in local language) for all the ASHAs in the state.</t>
  </si>
  <si>
    <t>Recommended Rs 56.70 lakhs towards implementation of LTBI diagnosis and management in 4 districts (Bilaspur, Una, Kinnaur and Lahul &amp; Spiti). Funds recommended for IGRA testing of eligible contacts of pulmonary TB patients and other eligible patients such as those undergoing dialysis @ rs 1300/- as proposed by the State. Actual expenditure shall be based on due procedures. Drugs for LTBI treatment shall be taken from central supply</t>
  </si>
  <si>
    <t>Recommended Rs 465 lakhs towards NPY benefits  for an estimated number of 14500 DSTB patients (@ Rs 500/month for 6 months) and 500 DRTB patients ((@Rs 500/month for 12 months)</t>
  </si>
  <si>
    <t>Recommended Rs 5.12 lakhs towards maintenace of office equipments at DTCs, DRTB centre and Labs</t>
  </si>
  <si>
    <t>Recommended Rs 70 lakhs towards Treatment Supporter Honorarium for DSTB patients</t>
  </si>
  <si>
    <t>Recommended Rs 5 lakhs for Treatment Supporter Honorarium for DRTB patients</t>
  </si>
  <si>
    <t>Recommended Rs 15 lakhs towards Informant Incentives for referral of presumptive TB patients to public health facility for diagnosed TB patients</t>
  </si>
  <si>
    <t>Recommeded Rs 8.20 lakhs towards State @ Rs 50000/meeting &amp; District TB Forum meetings @ Rs 30000/meeting twice a year</t>
  </si>
  <si>
    <t>Recommended Rs 7.5 lakhs towards capacity building and involvement of TB survivors as TB champions in all districts</t>
  </si>
  <si>
    <t>Recommended the following civil works: 
1.  Rs 42.93 lakhs for minor works and maintenance
	Rs 5.7 lakhs for 8 DMCs and for installation of 1CBNAAT machine
	Rs 2.18 lakhs for 3 TUs
	Rs 23.52 lakhs for 4 DTCs
	Rs 5.5 lakhs for 1 DDS
	Rs 6.02 lakhs for 2 DRTB Centres
2. Rs 25 lakhs for BSL III lab which is about to start functioning
3. Rs 77.63 lakhs for Nodal DRTB Centre (Lift and Ramp) as discussed in the NPCC meeting. 
4. Rs 2.5 lakhs for 25 new DMCs (as the proposal is for high case load facilities and hard to reach areas, and is coupled with proposal for LT and microscope). Funds recommended as proposed by the State</t>
  </si>
  <si>
    <t>Recommended Rs 89.20 lakhs for the following proocurements:
1) Rs 30.7 lakhs for State Drug Store Dharampur (30 heavy duty racks, bed side monitor for DRTB Centre Dharampur, computer)
2) Rs 5.3 lakhs for Office equipments for 3 DTCs
3) Rs 47 lakhs for new 40 microscopes @Rs 55000 
4) Rs 3 lakhs for 2 cardiac monitors, and projector (Sirmaur)
5) Rs 1.4 lakh for ECG machine, electronic weighing machine, water bath etc 
6) Rs 2.3 lakhs for online UPS for 2 CBNAAT machines (Una- Rs 1.5 lakhs, Jwalamukhi – Rs 80000)
7) Rs 1.1 lakh for power back up in DRTB ward/DMC/DTC/CBNAAT site</t>
  </si>
  <si>
    <t>Recommended Rs 27.08 lakhs towards maintenace of equipments which are not covered under BMMP</t>
  </si>
  <si>
    <t>Recommended Rs 100 lakhs as below:
1) Rs 73 lakhs for Lab consumables 
o	Rs 26 lakhs for 15000 LPA tests 
o	Rs 47 lakhs for 12000 Liquid culture tests
2) Rs 27 lakhs for logistics under NTEP - Logistics for sputum sample transportation and packaging</t>
  </si>
  <si>
    <t>Recommended rs 10 lakhs for procurement of Anti TB Drugs whenever required</t>
  </si>
  <si>
    <t>Recommended Rs 15.45 lakhs for procurement of drug sleeves and boxes</t>
  </si>
  <si>
    <t>Recommeded Rs 3 lakhs for one time travel support for patients of notified tribal area</t>
  </si>
  <si>
    <t>Recommended the following: 
1) Rs 10 lakhs as travel support for DRTB patients and attendants
2) Rs 90 lakhs for Sputum collection &amp; transportation from Non-DMC PHIs and Health sub center (2500 No.) to nearest  DMCs by community health volunteers, and for transportation of from DMCs to nearest CBNAAT sites, IRL Dharampur and  to IRL @ AIIMS New Delhi</t>
  </si>
  <si>
    <t>Recommended rs 29.07 lakhs towards trainings under NTEP as per training plan shared by the State</t>
  </si>
  <si>
    <t>Recommended Rs 7 lakhs towards CMEs</t>
  </si>
  <si>
    <t>Rs 9 lakhs recommended for operational research by various medical colleges in the State</t>
  </si>
  <si>
    <t xml:space="preserve">1 district is awarded under silver category and 4 districts are awarded under Bronze category in 2020. State is considering claiming State level award in 2021. </t>
  </si>
  <si>
    <t>Recommended Rs 57.53 lakhs towards ACSM activities as per the plan shared by State in PIP</t>
  </si>
  <si>
    <t>Recommended Rs 18 lakhs towards special activities under TB Harega Desh Jeetega campaign</t>
  </si>
  <si>
    <t>Recommended</t>
  </si>
  <si>
    <t>Recommended Rs 5 lakhs for 2 DR-TB centers in private sector and Rs 3.6 lakhs for 18 DMCs in private sector (same fund as approved in 2020-21)</t>
  </si>
  <si>
    <t xml:space="preserve">Recommended Rs 12 lakhs towards Incentives to private practitioners @ Rs. 1000/-patient to  estimated 1200 patients ( for TB notification and outcome). </t>
  </si>
  <si>
    <t>Recommended as proposed by the State for attending/organizing ZTF, STF, etc</t>
  </si>
  <si>
    <t>Recommended Rs 47 lakhs for supervision &amp; mointoring including review meetings and field visits</t>
  </si>
  <si>
    <t>Recommended Rs 45.60 lakhs for vehicle operation and maintenace</t>
  </si>
  <si>
    <t>Recommended Rs 54 lakhs- Rs 52.8 lakhs towards hiring of vehicles and Rs 1.2 lakhs towards POL charges for 10 District Programme Coordinators, as proposed by the State</t>
  </si>
  <si>
    <t>Recommended Rs 45.72 lakhs for office operation cost fo DTCs, STDC, IRL, C&amp;DST labs, TUs, District Drug Stores, State Drug Store, DRTB Centres &amp; Nodal DRTB centre, etc and operational charge for Tablets</t>
  </si>
  <si>
    <t>It may be recommended as it is with in the unit cost for training activity mentioned in the operational guidelines.</t>
  </si>
  <si>
    <t>It may be recommended</t>
  </si>
  <si>
    <t>Recommended for Approval Rs 1 lakh for 02 MTC as per norms under NVHCP</t>
  </si>
  <si>
    <t>Recommended for approval of Rs 1 lakh  for 02 MTC for management of Hepatitis A &amp; E as per norms under NVHCP</t>
  </si>
  <si>
    <t>Recommended  for approval of Rs 2.4 lakhs for meeting costs /office expenses /Contigency at TC as per norms under NVHCP</t>
  </si>
  <si>
    <t>Recommended for approval for Rs 3.6 lakhs for management of Hep A &amp;E at TC as per norms under NVHCP</t>
  </si>
  <si>
    <t>Recommended for approval of Rs 19.76 lakhs (Rs  8.24 lakhs( kind grant)for  central procurement of hepatitis B &amp; C  drugs  and Rs 11.52 lakhs (Cash grant) for state procurement of HBIG )  as per norms under NVHCP</t>
  </si>
  <si>
    <t>Recommended for approval of Rs 24.42  lakhs(cash grant) for procurement of hepatitis B &amp; C screening kits &amp; viral load kits by the state as per norms under NVHCP</t>
  </si>
  <si>
    <t>Activity recommended, however, state should book the budget under free diagnostic scheme</t>
  </si>
  <si>
    <t>Recommended for approval of Rs 6 lakhs for tEC activity as per norms under NVHCP</t>
  </si>
  <si>
    <t>Recommended for approval of Rs 1.2 lakhs for sample transportation as per norms under NVHCP</t>
  </si>
  <si>
    <t>Rs. 5 lakhs recommended for approval subject ti the availability of funds in IEC pool</t>
  </si>
  <si>
    <t xml:space="preserve"> As per SPO, the funds are for Remuneration of MO visit, Health Checkup etc. through NGO Help age is not as per Operational Guidelines.
Hence Not Recommended under this FMR.  
State may propose funds under Innovation/HSS 
</t>
  </si>
  <si>
    <t xml:space="preserve"> Recommended for 3 days Modular trainings on Comprehensive Geriatric Assessment &amp; Care of All Medical Officers &amp; Staff Nurses at DH &amp; CHCs (30 participants per batch). As per information by SPO, training is being conducted under NCDs Training for NPCDCS.
 3 days Modular trainings for CGA&amp;C using MO &amp; SN training Module needs to be conducted along with hands-on/skill based training session at DH/CHC for Geriatric Patient Care. 
In RoP 20-21 Rs. 1.50 lakhs were sanctioned for trainings, state may utilize this fund for printing of Training Modules before March 21.
</t>
  </si>
  <si>
    <t>Recommended for 3 days Modular trainings on Comprehensive Geriatric Assessment &amp; Care of All Medical Officers &amp; Staff Nurses at PHCs (30 participants per batch).</t>
  </si>
  <si>
    <t xml:space="preserve">Recommended, State needs to share details plan of activity, also needs to propose funds for Elderly fitness booklet to be distributed among elderly at all Old age homes, Day care Centre and Health Facilities.
In RoP 20-21 Rs. 2.40 lakhs were sanctioned for IEC, state may utilize this fund for printing of Fitness booklet &amp; CGAC Booklet before March 21.
</t>
  </si>
  <si>
    <t>Recommended, State needs to share details plan of activity.</t>
  </si>
  <si>
    <t>As per the PIP Guidelines for NTCP, there is a provision for Rs. 7.00 lakh per district for implementation of school programmes.Budget proposed by the State is Recommended. State must use this budget for implementaion of Guidelines of Tobacco Free Educational Institutions.</t>
  </si>
  <si>
    <t>As per the PIP Guidelines for NTCP, there is a provision of Rs. 5.00 lakh/district for implementation of training/sensitization programmes. Budget proposed by the State is Recommended for approval.</t>
  </si>
  <si>
    <t>Recommended for Approval</t>
  </si>
  <si>
    <t>Budget proposed by the State is Recommended for approval. State must also plan for organization of IEC activities for World No Tobacco Day, 2021.</t>
  </si>
  <si>
    <t>Recommended for approval</t>
  </si>
  <si>
    <t xml:space="preserve">Recommended for approval.
Same budget can be used for sensitization workshop/ Meeting of the State Program Officers and District level Health Officers
</t>
  </si>
  <si>
    <t>As suggested in NPCC meeting, the State has distributed Rs. 50 L in the following FMR codes such as FMR 5.3.1.7/O1.1.2.1, FMR 6.1.5.5/O1.1.2.2 and FMR Any other equipment (please specify). It may not be recommended.</t>
  </si>
  <si>
    <t>Recommended for distribution of 10000 Spectacles @ Rs 350 as during 2019-20, the Spectacles distributed was 917.</t>
  </si>
  <si>
    <t> Recommended</t>
  </si>
  <si>
    <t xml:space="preserve">NMHP: Recommended @ Rs 10,000 per district </t>
  </si>
  <si>
    <t>Budget of Rs. 1.2 L is recommended for approval for District assessment cum mentoring visit (two facilities per district for 10 Districts)@Rs.0.005L per district per month.</t>
  </si>
  <si>
    <t>Budget of Rs.12.3 L is recommended for approval for following activities:
1.National Assessment of 2 DH @ Rs. 200000  per facility
2. National Assessment of 3 CH/CHC @ Rs. 140000/facility
3. State  Certification Assessment of 3 DH @ Rs. 70000/facility 
4. State Assessment of 4 CHC @ Rs. 50000/facility</t>
  </si>
  <si>
    <t>Budget of Rs.11.7 L is recommended for approval for following activities:
1. National assessment for LaQshya Certification of 2 Medical Colleges @ Rs. 110000/facility
2. National assessment for LaQshya Certification of 5 DH &amp; CH @ Rs. 110000/facility
3. State assesment for LaQshya Certification of 10 facilities @ Rs. 40000/facility</t>
  </si>
  <si>
    <t xml:space="preserve">Budget for first year and second year incentive has already been approved . For third year Budget of Rs. 29.8L is recommended for approval as incentive amount for RH Kullu subjected to timely submission of Surviellance report to QI divison NHSRC. </t>
  </si>
  <si>
    <t xml:space="preserve">Budget of Rs. 12 Lac is recommended for approval for RH Kullu (MOT) , RH Chamba  (LR)  and DH Reckong Peo (LR and MOT) . State may propose for the  rest of the facility after achievement of the  LaQshya Certification  in the  supplementary PIP. </t>
  </si>
  <si>
    <t>Budget of Rs. 49.23 L is recommended for approval as per the details below :
1. Internal Assessment:
a. DH: 11 @ Rs 2000 per District Hospital=Rs. 22,000 
b. CH/CHCs: @ Rs. 1000 for 75 facilities=Rs. 75000 
c. PHCs: @ Rs. 500 for 540  PHC= Rs. 2,70,000
d. HWCs: @ Rs. 500 for 250  HSC= Rs. 1,25,000
2. Peer Assessment:
a. DH: @ Rs. 25,000 for 9 facilities= Rs. 2,25,000 
b. CH/CHC: @ Rs.13000 for 40 facilities= Rs. 5,20,000
c. PHCs: @Rs.5000 for 110 facilities= Rs. 5,50,000 
d. HWCs: @ Rs. 5000 for 80  facilities= Rs. 4,00,000
3. External Assessment:
a. 6 DHs: @ Rs. 61,000=  Rs. 3,66,,000 
b. 30 CH/CHCs :@ Rs. 35,000 =Rs. 1,05,000 
c. 95 PHCs:@ Rs. 8000 =   Rs. 7,60,000
d. 70 HWCs: @ Rs. 8000 = Rs. 5,60,000</t>
  </si>
  <si>
    <t xml:space="preserve">Budget of Rs.156.2 L is recommended for approval for awards as following:
1. DH  : Rs.50L
2.SDH/CHC: Rs. 15L
3. PHC : Rs. 22L @ Rs. 2L per district
4. HWC: Rs. 10.0L @Rs 1.0L /distt
4.a. Rs. 1.0 L for First Runner up award  for HWC@ Rs.0.5L   
4.b. Rs. 0.7 L for 2nd runner-up  award @Rs. 0.35L 
Commendation Award (for11 district)
1.DH &amp; CH: Rs. 15 L  @Rs.3L for 5 facilities
2. SDH/CHC: Rs. 10L for 10 facilities @Rs.1L
3.PHCs: Rs. 25 L for 50 facilities @Rs0.5L
4.  HWCs: Rs.7.5 L For 30 facilities @ Rs 0.25L 
</t>
  </si>
  <si>
    <t xml:space="preserve">Budget of Rs. 8.00 L is  recommended for approval as Bio - Medical Management for 80 facilities @Rs. 0.10L </t>
  </si>
  <si>
    <t>Budget of Rs. 2L is recommended for approval as contingency amount.</t>
  </si>
  <si>
    <t>Budget of Rs. 9.36 L is recommended for approval as per the following details :
1. Budget of Rs.6.7 L  may be recommended for 2 batches of SPT NQAS Training (physical mode)
2. Budget of Rs. 2.66 L may be recommended for 1 batch of Internal Assessor training (LaQshya, NQAS &amp; Kayakalp)
3. One batch of SPT training may be recommeded for Virtual mode</t>
  </si>
  <si>
    <t>Budget of Rs. 10.16 L is recommended for approval of as per following details: 
1. Budget of Rs. 0.40L is  recommended for 1 Batch of Infetcion Control &amp; Biomedical waste Training at the state Level for preparing Distt TOTs @ Rs 40,000/- (45-50 Participants) 
2. Budget of Rs.3.4 L is recommended for 17 Batches of  Infetcion Control &amp; Biomedical waste Training at facilitty  Level (DH, Upgraded Med Colleges, Medical Colleges, Mental Hospital &amp; Sanatorium Hospital) @ Rs 20,000/- per batch ( 3 5-40 participants each batch)
3. Budget of Rs. 1.8L is recommended for12  Batches of Infetcion Control &amp; Biomedical waste Training at SDH/CHCl ( Preparing Block TOTs) @ Rs 15,000/- per batch ( 3 5-40 participants each batch)
4. Budget of Rs. 4.56L is recommended for 76 Batches Infetcion Control &amp; Biomedical waste Training at  PHC staff level @ Rs 6,000/- per batch ( 3 5-40 participants each batch)</t>
  </si>
  <si>
    <t xml:space="preserve">Budget of Rs. 1.2 L is recommended for DQAU operational cost @Rs0.10L per distict </t>
  </si>
  <si>
    <t xml:space="preserve">Recommended for approval Rs 189.70 Lakhs @ of Rs. 1.31 lakhs p.m. for 12 MMUs with the following conditionality:
Any other cost for operationalization of MMU including manpower will not be reflected at any other FMR.
•The monitoring parameter and unmet performances needs to be linked with deduction in payments and should be part of MoU (if outsourced)
•The service providers need to send monthly report on the following:
• Avg. no. of trips per MMU per month
• Avg. no. of camps per MMU per month
• No. of villages covered by MMUs
• No. of AWCs covered by MMUs
• Average number of OPD cases per MMU per month
• Average no. of lab investigations per MMU per month
• Downtime of each MMU/ month
</t>
  </si>
  <si>
    <t xml:space="preserve">Recommended for approval Rs 3299.40 Lakh as per GOI norms:
a) Rental ALS= 25*1.79 lakhs *12 months  =537 lakh 
b) Rental BLS= 75*1.40 lakhs *12 months  =1260 lakh
c) Rental BLS (being replaced)= 38*1.40 lakhs *12 months  = 638.40 lakh
d) Existing BLS (non-rental, OPEX only)= 60*1.20 lakhs *12 months  = 864.00 lakh
This also includes the cost of establishing Call centre, POL and all other support required for running ambulances 80-100km/day,
With the conditionality that:
• Functionality of equipment and maintenance shall be certified at District level by a nominated technical person
• Proper log book for patient’s transport and service of vehicle shall be maintained.
• Quality and performance parameters for infection prevention shall be monitored as per the checklist.
• The monitoring parameter and unmet performances needs to be linked with deduction in payments and should be part of MoU (if outsourced)
• The service providers need to send monthly report on the following:
 Average calls received per day and per month
 Total Average Handling Time (AHT) per call
 % dropped, missed, silent, abandoned, valid incomplete, noise/ disturbance calls of the total calls/month
 Minimum and maximum no. of trips per ambulance
 No. of trips and total kms travelled per day for each ambulance
 Average breakdown time in a month for each ambulance
 Percentage of EMTs trained, their type and duration of training
</t>
  </si>
  <si>
    <t xml:space="preserve">Recommended for approval Rs 43.20 Lakhs approved for 12 months @ Rs. 60,000 per Bike ambulances with conditionality that:
• The performance of bike ambulance separately needs to be shared 
All the Bike ambulances should be driven by EMTs
</t>
  </si>
  <si>
    <t xml:space="preserve">Amount of 50,000 per facility for a total of 15 health facilities (Civil hospitals) is recommended for approval for AERB compliance.
State may be advised to adhere to NHM guidelines on AERB compliance
</t>
  </si>
  <si>
    <t xml:space="preserve">1. The proposed amount may be recommended for  approval to provide free diagnostics services to all patients visiting the public health facility as per the FDI guidelines under NHM. 
2. The state may be recommended to provide the services up to district hospital level with the recommended number of  tests at SC/PHC/CHC/ SDH/DH level (14/63/97/111/134 tests). As per the FDI guidelines, the state may also be suggested to conduct a comprehensive gap analysis of laboratory services to generate a pre-roll out plan and provide the complete list of tests to ensure optimal utilization of services.  
3. State may be sug-gested to share the timeline of implementation of above program and may be re-quested to share the update of im-plementation with NHSRC/MOHFW on half yearly ba-sis.
</t>
  </si>
  <si>
    <t xml:space="preserve">Continued activity, 
1. The proposed amount may be recommended for approval as per state plan to provide 1500 x-ray diagnostics sessions per day at 118 locations for 25 working days in a month. The cost of each x-ray session is therefore, 111-112 INR.                     
2. The services shall be provided free of cost to all beneficiaries as per NHM guidelines.  
3. State may be suggested to share the timeline of implementation of above program and may be requested to share the update of implementation with NHSRC/MOHFW on half yearly basis.
</t>
  </si>
  <si>
    <t xml:space="preserve">The proposed amount may be recommended for approval for based on FY 2020-21 as State has not yet finalised their asset value for comprehensive BMMP.
1. In ROP 2017-18, 481.20 lakh INR was approved for engaging service provider for equipment maintenance under BMMP tender.
2. In ROP 2018-19, 605.34 lakh INR was approved @ 5.90% of total asset value of HP i.e. 8711.15 lakh INR @ 5.90% + 18% GST (92,34,00 INR )
3. State issued Letter of intent to L1 bidder on 6th October, 2017 whereas signed agreement with service provider on 27th May, 2019.         
4. State may be suggested to revise the asset value of the equipment and devices under the BMMP program and may be requested to share the details with MOHFW/NHSRC 
</t>
  </si>
  <si>
    <t>Recommended for approval of 27 positions for 12 months in principle. Budget has been approved as lumpsum. Details provided in HR Annexure. Actual remuneration is to be calculated by the state based on principles mentioned in the HR annexure.</t>
  </si>
  <si>
    <t xml:space="preserve">Recommended for approval of 25  positions for 12 months in principle. Budget has been approved as lumpsum. Details provided in HR Annexure. Actual remuneration is to be calculated by the state based on principles mentioned in the HR annexure.
</t>
  </si>
  <si>
    <t xml:space="preserve">Recommended for approval of 12  positions for 12 months in principle. Budget has been approved as lumpsum. Details provided in HR Annexure. Actual remuneration is to be calculated by the state based on principles mentioned in the HR annexure
</t>
  </si>
  <si>
    <r>
      <t xml:space="preserve">Recommended for approval </t>
    </r>
    <r>
      <rPr>
        <b/>
        <sz val="10"/>
        <color rgb="FF222222"/>
        <rFont val="Calibri"/>
        <family val="2"/>
      </rPr>
      <t>1</t>
    </r>
    <r>
      <rPr>
        <sz val="10"/>
        <color rgb="FF222222"/>
        <rFont val="Calibri"/>
        <family val="2"/>
      </rPr>
      <t> position of </t>
    </r>
    <r>
      <rPr>
        <b/>
        <sz val="10"/>
        <color rgb="FF222222"/>
        <rFont val="Calibri"/>
        <family val="2"/>
      </rPr>
      <t>Obstetrician and Gynaecologist </t>
    </r>
    <r>
      <rPr>
        <sz val="10"/>
        <color rgb="FF222222"/>
        <rFont val="Calibri"/>
        <family val="2"/>
      </rPr>
      <t xml:space="preserve">for 12 months in principle. Budget has been approved as lumpsum. Actual remuneration is to be calculated by the state based on principles mentioned in the HR annexure. It may vary from case to case. State may negotiate with individuals and ensure availability of specialists.
</t>
    </r>
  </si>
  <si>
    <r>
      <t xml:space="preserve">Recommended for approval </t>
    </r>
    <r>
      <rPr>
        <b/>
        <sz val="10"/>
        <color rgb="FF222222"/>
        <rFont val="Calibri"/>
        <family val="2"/>
      </rPr>
      <t>1</t>
    </r>
    <r>
      <rPr>
        <sz val="10"/>
        <color rgb="FF222222"/>
        <rFont val="Calibri"/>
        <family val="2"/>
      </rPr>
      <t> position of </t>
    </r>
    <r>
      <rPr>
        <b/>
        <sz val="10"/>
        <color rgb="FF222222"/>
        <rFont val="Calibri"/>
        <family val="2"/>
      </rPr>
      <t>Paediatrician</t>
    </r>
    <r>
      <rPr>
        <sz val="10"/>
        <color rgb="FF222222"/>
        <rFont val="Calibri"/>
        <family val="2"/>
      </rPr>
      <t xml:space="preserve"> for 12 months in principle. Budget has been approved as lumpsum. Actual remuneration is to be calculated by the state based on principles mentioned in the HR annexure. It may vary from case to case. State may negotiate with individuals and ensure availability of specialists.
</t>
    </r>
  </si>
  <si>
    <r>
      <t xml:space="preserve">Recommended for approval </t>
    </r>
    <r>
      <rPr>
        <b/>
        <sz val="10"/>
        <color rgb="FF222222"/>
        <rFont val="Calibri"/>
        <family val="2"/>
      </rPr>
      <t>12</t>
    </r>
    <r>
      <rPr>
        <sz val="10"/>
        <color rgb="FF222222"/>
        <rFont val="Calibri"/>
        <family val="2"/>
      </rPr>
      <t> positions of </t>
    </r>
    <r>
      <rPr>
        <b/>
        <sz val="10"/>
        <color rgb="FF222222"/>
        <rFont val="Calibri"/>
        <family val="2"/>
      </rPr>
      <t>Psychiatrists</t>
    </r>
    <r>
      <rPr>
        <sz val="10"/>
        <color rgb="FF222222"/>
        <rFont val="Calibri"/>
        <family val="2"/>
      </rPr>
      <t xml:space="preserve"> for 12 months in principle. Budget has been approved as lumpsum. Actual remuneration is to be calculated by the state based on principles mentioned in the HR annexure. It may vary from case to case. State may negotiate with individuals and ensure availability of specialists.
</t>
    </r>
  </si>
  <si>
    <t>Recommended for approval of 12  positions for 12 months in principle. Budget has been approved as lumpsum. Details provided in HR Annexure. Actual remuneration is to be calculated by the state based on principles mentioned in the HR annexure.</t>
  </si>
  <si>
    <t>Recommended for approval of 1 position for 12 months in principle. Budget has been approved as lumpsum. Details provided in HR Annexure. Actual remuneration is to be calculated by the state based on principles mentioned in the HR annexure.</t>
  </si>
  <si>
    <t>Lump sum amount of Rs 2.59 lakhs is recommended for support staff for 12 months in principle, which may be outsourced, to the extent possible. Details provided in HR Annexure. Actual amount is to be calculated by the state based on principles mentioned in the HR annexure.
Approval for Annual Increment (if any) has been shifted to FMR 8.2.</t>
  </si>
  <si>
    <r>
      <t>Recommended for approval of </t>
    </r>
    <r>
      <rPr>
        <b/>
        <sz val="10"/>
        <color rgb="FF222222"/>
        <rFont val="Calibri"/>
        <family val="2"/>
      </rPr>
      <t>3</t>
    </r>
    <r>
      <rPr>
        <sz val="10"/>
        <color rgb="FF222222"/>
        <rFont val="Calibri"/>
        <family val="2"/>
      </rPr>
      <t> positions for 12 months in principle. Budget has been approved as lumpsum. Details provided in HR Annexure. Actual remuneration is to be calculated by the state based on principles mentioned in the HR annexure.</t>
    </r>
  </si>
  <si>
    <r>
      <t>Recommended for approval of </t>
    </r>
    <r>
      <rPr>
        <b/>
        <sz val="10"/>
        <color rgb="FF222222"/>
        <rFont val="Calibri"/>
        <family val="2"/>
      </rPr>
      <t>28</t>
    </r>
    <r>
      <rPr>
        <sz val="10"/>
        <color rgb="FF222222"/>
        <rFont val="Calibri"/>
        <family val="2"/>
      </rPr>
      <t xml:space="preserve">  positions for 12 months in principle. Budget has been approved as lumpsum. Details provided in HR Annexure. Actual remuneration is to be calculated by the state based on principles mentioned in the HR annexure.
Approval for Annual Increment, HR rationalization amount/ Experience Bonus (if any) has been shifted to FMR 8.2.</t>
    </r>
  </si>
  <si>
    <r>
      <t xml:space="preserve">Recommended for approval of </t>
    </r>
    <r>
      <rPr>
        <b/>
        <sz val="10"/>
        <color rgb="FF222222"/>
        <rFont val="Calibri"/>
        <family val="2"/>
      </rPr>
      <t>1</t>
    </r>
    <r>
      <rPr>
        <sz val="10"/>
        <color rgb="FF222222"/>
        <rFont val="Calibri"/>
        <family val="2"/>
      </rPr>
      <t xml:space="preserve">  position for 12 months in principle. Budget has been approved as lumpsum. Details provided in HR Annexure. Actual remuneration is to be calculated by the state based on principles mentioned in the HR annexure.</t>
    </r>
  </si>
  <si>
    <r>
      <t>Recommended for approval of</t>
    </r>
    <r>
      <rPr>
        <b/>
        <sz val="10"/>
        <color rgb="FF222222"/>
        <rFont val="Calibri"/>
        <family val="2"/>
      </rPr>
      <t xml:space="preserve"> 1 </t>
    </r>
    <r>
      <rPr>
        <sz val="10"/>
        <color rgb="FF222222"/>
        <rFont val="Calibri"/>
        <family val="2"/>
      </rPr>
      <t> position for 12 months in principle. Budget has been approved as lumpsum. Details provided in HR Annexure. Actual remuneration is to be calculated by the state based on principles mentioned in the HR annexure.</t>
    </r>
  </si>
  <si>
    <r>
      <t xml:space="preserve">Recommended for approval of </t>
    </r>
    <r>
      <rPr>
        <b/>
        <sz val="10"/>
        <color rgb="FF222222"/>
        <rFont val="Calibri"/>
        <family val="2"/>
      </rPr>
      <t>10</t>
    </r>
    <r>
      <rPr>
        <sz val="10"/>
        <color rgb="FF222222"/>
        <rFont val="Calibri"/>
        <family val="2"/>
      </rPr>
      <t xml:space="preserve">  positions for 12 months in principle. Budget has been approved as lumpsum. Details provided in HR Annexure. Actual remuneration is to be calculated by the state based on principles mentioned in the HR annexure.</t>
    </r>
  </si>
  <si>
    <r>
      <t xml:space="preserve">Recommended for approval of </t>
    </r>
    <r>
      <rPr>
        <b/>
        <sz val="10"/>
        <color rgb="FF222222"/>
        <rFont val="Calibri"/>
        <family val="2"/>
      </rPr>
      <t>24</t>
    </r>
    <r>
      <rPr>
        <sz val="10"/>
        <color rgb="FF222222"/>
        <rFont val="Calibri"/>
        <family val="2"/>
      </rPr>
      <t xml:space="preserve">  positions for 12 months in principle. Budget has been approved as lumpsum. Details provided in HR Annexure. Actual remuneration is to be calculated by the state based on principles mentioned in the HR annexure.</t>
    </r>
  </si>
  <si>
    <r>
      <t xml:space="preserve">Recommended for approval of </t>
    </r>
    <r>
      <rPr>
        <b/>
        <sz val="10"/>
        <color rgb="FF222222"/>
        <rFont val="Calibri"/>
        <family val="2"/>
      </rPr>
      <t>12</t>
    </r>
    <r>
      <rPr>
        <sz val="10"/>
        <color rgb="FF222222"/>
        <rFont val="Calibri"/>
        <family val="2"/>
      </rPr>
      <t xml:space="preserve">  positions for 12 months in principle. Budget has been approved as lumpsum. Details provided in HR Annexure. Actual remuneration is to be calculated by the state based on principles mentioned in the HR annexure.</t>
    </r>
  </si>
  <si>
    <r>
      <t xml:space="preserve">Recommended for approval of </t>
    </r>
    <r>
      <rPr>
        <b/>
        <sz val="10"/>
        <color rgb="FF222222"/>
        <rFont val="Calibri"/>
        <family val="2"/>
      </rPr>
      <t>4</t>
    </r>
    <r>
      <rPr>
        <sz val="10"/>
        <color rgb="FF222222"/>
        <rFont val="Calibri"/>
        <family val="2"/>
      </rPr>
      <t xml:space="preserve"> positions for 12 months in principle. Budget has been approved as lumpsum.
Lump sum amount of Rs 0.8 lakhs is recommended for data entry operation for 8 months in principle, which may be outsourced, to the extent possible. Please refer to JS (Policy)’s letter dated 22nd July 2016 (D.O.No. 10(36)/ 2016-NRHM-I) for details.
Lump sum amount of </t>
    </r>
    <r>
      <rPr>
        <b/>
        <sz val="10"/>
        <color rgb="FF222222"/>
        <rFont val="Calibri"/>
        <family val="2"/>
      </rPr>
      <t>Rs 0.8  lakhs</t>
    </r>
    <r>
      <rPr>
        <sz val="10"/>
        <color rgb="FF222222"/>
        <rFont val="Calibri"/>
        <family val="2"/>
      </rPr>
      <t xml:space="preserve"> is recommended for support staff for 8 months in principle, which may be outsourced, to the extent possible.
Details provided in HR Annexure. Actual remuneration is to be calculated by the state based on principles mentioned in the HR annexure.</t>
    </r>
  </si>
  <si>
    <r>
      <t xml:space="preserve">Recommended for approval of </t>
    </r>
    <r>
      <rPr>
        <b/>
        <sz val="10"/>
        <color rgb="FF222222"/>
        <rFont val="Calibri"/>
        <family val="2"/>
      </rPr>
      <t>3</t>
    </r>
    <r>
      <rPr>
        <sz val="10"/>
        <color rgb="FF222222"/>
        <rFont val="Calibri"/>
        <family val="2"/>
      </rPr>
      <t> positions for 12 months in principle. Budget has been approved as lumpsum. Details provided in HR Annexure. Actual remuneration is to be calculated by the state based on principles mentioned in the HR annexure.</t>
    </r>
  </si>
  <si>
    <r>
      <t xml:space="preserve">Recommended for approval of </t>
    </r>
    <r>
      <rPr>
        <b/>
        <sz val="10"/>
        <color rgb="FF222222"/>
        <rFont val="Calibri"/>
        <family val="2"/>
      </rPr>
      <t>17</t>
    </r>
    <r>
      <rPr>
        <sz val="10"/>
        <color rgb="FF222222"/>
        <rFont val="Calibri"/>
        <family val="2"/>
      </rPr>
      <t xml:space="preserve"> positions including 1 new position for 12 months in principle. Budget has been approved as lumpsum. Details provided in HR Annexure. Actual remuneration is to be calculated by the state based on principles mentioned in the HR annexure
Approval for Annual Increment, HR rationalization amount/ Experience Bonus (if any) has been shifted to FMR 8.2.
</t>
    </r>
  </si>
  <si>
    <r>
      <t>Recommended for approval of</t>
    </r>
    <r>
      <rPr>
        <b/>
        <sz val="10"/>
        <color rgb="FF222222"/>
        <rFont val="Calibri"/>
        <family val="2"/>
      </rPr>
      <t xml:space="preserve"> 9 </t>
    </r>
    <r>
      <rPr>
        <sz val="10"/>
        <color rgb="FF222222"/>
        <rFont val="Calibri"/>
        <family val="2"/>
      </rPr>
      <t>positions for 12 months in principle. Budget has been approved as lumpsum. Details provided in HR Annexure. Actual remuneration is to be calculated by the state based on principles mentioned in the HR annexure.</t>
    </r>
  </si>
  <si>
    <t>Approval for annual increment, HR rationalization amount/ Experience Bonus (if any) has been shifted from respective FMR.
In principle 5% of the total HR budget is approved as increment and an additional 3% of the total HR budget is approved for HR rationalisation. Exact amount of individual increment to be decided by state in its EC.
HR rationalization exercise and its principles including increments to be approved by SHS GB. State to ensure that increment is approved in such a way that it smoothens the process of HR integration and leads to rationalization of salaries of staff with similar qualification, workload and skills. In cases where the salary difference is very high say more than 15%, it may be done in parts as it may take 2-3 years to rationalize it fully. Actual amount is to be calculated by the state based on principles mentioned in the HR annexure.</t>
  </si>
  <si>
    <t>Recommended for approval, amount as proposed by the State is only for EPF (Employer’s contribution) @ 13.36% for staff drawing salary &lt;= Rs.15000 per month as on 1st April 2015 and any other staff hired at Rs.15,000 or less after 1st April 2015. The State Administrative Officer looking after Salary must ensure proper calculation and disbursal as mentioned. Please refer to JS (P)’s letter dated 8 March 2016 (D.O.No.G.27034-8/2015-NHM(F))</t>
  </si>
  <si>
    <r>
      <rPr>
        <b/>
        <sz val="11"/>
        <rFont val="Calibri"/>
        <family val="2"/>
        <scheme val="minor"/>
      </rPr>
      <t>Recommended for approval</t>
    </r>
    <r>
      <rPr>
        <sz val="11"/>
        <rFont val="Calibri"/>
        <family val="2"/>
        <scheme val="minor"/>
      </rPr>
      <t xml:space="preserve">
Rs. 210 L as incentive to ASHA for filling of CBAC form of 21 Lakh individuals @ Rs. 10 per form. 
Concerned Program Division may also comment.</t>
    </r>
  </si>
  <si>
    <r>
      <rPr>
        <b/>
        <sz val="11"/>
        <rFont val="Calibri"/>
        <family val="2"/>
        <scheme val="minor"/>
      </rPr>
      <t>Recommended for approval</t>
    </r>
    <r>
      <rPr>
        <sz val="11"/>
        <rFont val="Calibri"/>
        <family val="2"/>
        <scheme val="minor"/>
      </rPr>
      <t xml:space="preserve">
Rs. 50 L as incentive to ASHA for follow up of 50000 individuals @ Rs. 50 per follow up twice a year. 
Concerned Program Division may also comment.</t>
    </r>
  </si>
  <si>
    <r>
      <rPr>
        <b/>
        <sz val="11"/>
        <rFont val="Calibri"/>
        <family val="2"/>
        <scheme val="minor"/>
      </rPr>
      <t>Recommended for approval</t>
    </r>
    <r>
      <rPr>
        <sz val="11"/>
        <rFont val="Calibri"/>
        <family val="2"/>
        <scheme val="minor"/>
      </rPr>
      <t xml:space="preserve">
Rs. 1907.5 lakh for routine incentive to ASHAs @Rs.0.02 lakh per month per ASHA for 7948 ASHAs(7930 old + 18 new) for 12 months</t>
    </r>
  </si>
  <si>
    <r>
      <rPr>
        <b/>
        <sz val="11"/>
        <rFont val="Calibri"/>
        <family val="2"/>
        <scheme val="minor"/>
      </rPr>
      <t>Recommended for approval</t>
    </r>
    <r>
      <rPr>
        <sz val="11"/>
        <rFont val="Calibri"/>
        <family val="2"/>
        <scheme val="minor"/>
      </rPr>
      <t xml:space="preserve">
Rs. 10.81L for induction training of 5 batches of ASHAs @ 2.16L per batch.
</t>
    </r>
  </si>
  <si>
    <r>
      <rPr>
        <b/>
        <sz val="11"/>
        <rFont val="Calibri"/>
        <family val="2"/>
        <scheme val="minor"/>
      </rPr>
      <t>Recommended for approval</t>
    </r>
    <r>
      <rPr>
        <sz val="11"/>
        <rFont val="Calibri"/>
        <family val="2"/>
        <scheme val="minor"/>
      </rPr>
      <t xml:space="preserve">
Rs. 48.54L for Module 6&amp;7 training of 32 batches of ASHAs @ 1.52L per batch</t>
    </r>
  </si>
  <si>
    <t>Recommended for approval
Rs. 94.67L for 
NIOS Certification Training for 30 batches of ASHAs @ 3.16 L per batch</t>
  </si>
  <si>
    <r>
      <rPr>
        <b/>
        <sz val="11"/>
        <rFont val="Calibri"/>
        <family val="2"/>
        <scheme val="minor"/>
      </rPr>
      <t>Recommended for approval</t>
    </r>
    <r>
      <rPr>
        <sz val="11"/>
        <rFont val="Calibri"/>
        <family val="2"/>
        <scheme val="minor"/>
      </rPr>
      <t xml:space="preserve">
Rs. 81.91L for HBYC training of 43 batches of ASHAs @ 1.90L per batch 
Concerned Program Division may also comment
</t>
    </r>
  </si>
  <si>
    <r>
      <rPr>
        <b/>
        <sz val="11"/>
        <rFont val="Calibri"/>
        <family val="2"/>
        <scheme val="minor"/>
      </rPr>
      <t>Recommended for approval</t>
    </r>
    <r>
      <rPr>
        <sz val="11"/>
        <rFont val="Calibri"/>
        <family val="2"/>
        <scheme val="minor"/>
      </rPr>
      <t xml:space="preserve">
Rs. 27.59L for ASHA Beneit Package - PMJJBY @ Rs. 330/- per annum and PMSBY @ Rs. 12/- per annum for 8066 ASHAs
</t>
    </r>
  </si>
  <si>
    <r>
      <rPr>
        <b/>
        <sz val="11"/>
        <rFont val="Calibri"/>
        <family val="2"/>
        <scheme val="minor"/>
      </rPr>
      <t>Recommended for approval</t>
    </r>
    <r>
      <rPr>
        <sz val="11"/>
        <rFont val="Calibri"/>
        <family val="2"/>
        <scheme val="minor"/>
      </rPr>
      <t xml:space="preserve">
Rs. 88.73 L for uniform @ Rs. 1100 for 8066 ASHAs
</t>
    </r>
  </si>
  <si>
    <r>
      <rPr>
        <b/>
        <sz val="11"/>
        <rFont val="Calibri"/>
        <family val="2"/>
        <scheme val="minor"/>
      </rPr>
      <t>Recommended for approval</t>
    </r>
    <r>
      <rPr>
        <sz val="11"/>
        <rFont val="Calibri"/>
        <family val="2"/>
        <scheme val="minor"/>
      </rPr>
      <t xml:space="preserve">
Rs. 1.50 L for 150 ASHA Drug kits @ Rs. 1000</t>
    </r>
  </si>
  <si>
    <r>
      <rPr>
        <b/>
        <sz val="11"/>
        <rFont val="Calibri"/>
        <family val="2"/>
        <scheme val="minor"/>
      </rPr>
      <t>Recommended for approval</t>
    </r>
    <r>
      <rPr>
        <sz val="11"/>
        <rFont val="Calibri"/>
        <family val="2"/>
        <scheme val="minor"/>
      </rPr>
      <t xml:space="preserve">
Rs. 1.50 L for 150 HBNC kits @ Rs. 1000</t>
    </r>
  </si>
  <si>
    <r>
      <rPr>
        <b/>
        <sz val="11"/>
        <rFont val="Calibri"/>
        <family val="2"/>
        <scheme val="minor"/>
      </rPr>
      <t>Recommended for approval</t>
    </r>
    <r>
      <rPr>
        <sz val="11"/>
        <rFont val="Calibri"/>
        <family val="2"/>
        <scheme val="minor"/>
      </rPr>
      <t xml:space="preserve">
Rs. 9L for printing of 9000 ASHA diaries @Rs. 100 per diary
</t>
    </r>
  </si>
  <si>
    <r>
      <rPr>
        <b/>
        <sz val="11"/>
        <rFont val="Calibri"/>
        <family val="2"/>
        <scheme val="minor"/>
      </rPr>
      <t xml:space="preserve">Recommended for approval
</t>
    </r>
    <r>
      <rPr>
        <sz val="11"/>
        <rFont val="Calibri"/>
        <family val="2"/>
        <scheme val="minor"/>
      </rPr>
      <t xml:space="preserve">Rs. 145.19L @ Rs. 150 per month as mobile allowance to 8066 ASHAs. </t>
    </r>
  </si>
  <si>
    <r>
      <rPr>
        <b/>
        <sz val="11"/>
        <rFont val="Calibri"/>
        <family val="2"/>
        <scheme val="minor"/>
      </rPr>
      <t>Recommended for approval</t>
    </r>
    <r>
      <rPr>
        <sz val="11"/>
        <rFont val="Calibri"/>
        <family val="2"/>
        <scheme val="minor"/>
      </rPr>
      <t xml:space="preserve">
Rs. 193 lakh @Rs1 lakh/SHC-HWC for infrastructure strengthening of 193 SHCs-HWCs
</t>
    </r>
  </si>
  <si>
    <r>
      <rPr>
        <b/>
        <sz val="11"/>
        <rFont val="Calibri"/>
        <family val="2"/>
        <scheme val="minor"/>
      </rPr>
      <t xml:space="preserve">Recommended for approval
</t>
    </r>
    <r>
      <rPr>
        <sz val="11"/>
        <rFont val="Calibri"/>
        <family val="2"/>
        <scheme val="minor"/>
      </rPr>
      <t xml:space="preserve">Rs. 2834.24 L
1) 2265 L for salary of 755 CHO @ Rs 25000 for 12 months
2) Rs. 569.25 L for salary of 759 CHO @ Rs 25000 for 3 months
State has shared that in compliance with GoI directive, all CHOs will be  recruited on NHM contract and will not be on outsourced basis. 
</t>
    </r>
  </si>
  <si>
    <r>
      <rPr>
        <b/>
        <sz val="11"/>
        <rFont val="Calibri"/>
        <family val="2"/>
        <scheme val="minor"/>
      </rPr>
      <t xml:space="preserve">Recommended for approval
</t>
    </r>
    <r>
      <rPr>
        <sz val="11"/>
        <rFont val="Calibri"/>
        <family val="2"/>
        <scheme val="minor"/>
      </rPr>
      <t>Rs. 1700.54 L</t>
    </r>
    <r>
      <rPr>
        <b/>
        <sz val="11"/>
        <rFont val="Calibri"/>
        <family val="2"/>
        <scheme val="minor"/>
      </rPr>
      <t xml:space="preserve">
</t>
    </r>
    <r>
      <rPr>
        <sz val="11"/>
        <rFont val="Calibri"/>
        <family val="2"/>
        <scheme val="minor"/>
      </rPr>
      <t xml:space="preserve">1) Rs. 1359 L as PLI for 755 CHO @ Rs 15000 for 12 months
2)  Rs. 341.55 L  as PLI for 759 CHO @ Rs 15000 for 3 months
</t>
    </r>
  </si>
  <si>
    <r>
      <rPr>
        <b/>
        <sz val="11"/>
        <rFont val="Calibri"/>
        <family val="2"/>
        <scheme val="minor"/>
      </rPr>
      <t xml:space="preserve">Recommended for approval
</t>
    </r>
    <r>
      <rPr>
        <sz val="11"/>
        <rFont val="Calibri"/>
        <family val="2"/>
        <scheme val="minor"/>
      </rPr>
      <t xml:space="preserve">
Rs. 302.80 L as TBI for 1514 SHC-HWC @ Rs 20,000 per HWC
</t>
    </r>
  </si>
  <si>
    <r>
      <rPr>
        <b/>
        <sz val="11"/>
        <rFont val="Calibri"/>
        <family val="2"/>
        <scheme val="minor"/>
      </rPr>
      <t>Recommended for approval</t>
    </r>
    <r>
      <rPr>
        <sz val="11"/>
        <rFont val="Calibri"/>
        <family val="2"/>
        <scheme val="minor"/>
      </rPr>
      <t xml:space="preserve">
Rs. 103.86 L as TBI for 577 PHC -HWC@ Rs 18,000 per HWC
</t>
    </r>
    <r>
      <rPr>
        <b/>
        <i/>
        <sz val="11"/>
        <rFont val="Calibri"/>
        <family val="2"/>
        <scheme val="minor"/>
      </rPr>
      <t>Approval for UPHC has been given in FMR U.8.4.1</t>
    </r>
  </si>
  <si>
    <t xml:space="preserve">Recommended for approval
Rs. 156.82 @ Rs. 7500 for multiskilling of 2091 (SHC &amp; PHC HWC) staff
Approval for UPHC has been given under FMR U.9.2.7.2
State to ensure all the training of all the cadre ASHA, MPW, CHO, SN and MO in all the packages
State may propose for  additional funds in Supplementary PIP if required. 
</t>
  </si>
  <si>
    <t xml:space="preserve">Recommended for approval
Rs. 105.20 L for -
1) 80 L @ Rs. 250 per Yoga session for 10 sessions in a month 
2) Rs. 25.20 L @ Rs. 30000 per Medical College for 12 months (As per State Guidelines)
State has shared that each Medical college will mentor 5 PHCs and 5 SHC- HWCs through monthly visits.
</t>
  </si>
  <si>
    <r>
      <rPr>
        <b/>
        <sz val="11"/>
        <rFont val="Calibri"/>
        <family val="2"/>
        <scheme val="minor"/>
      </rPr>
      <t>Recommended for approval</t>
    </r>
    <r>
      <rPr>
        <sz val="11"/>
        <rFont val="Calibri"/>
        <family val="2"/>
        <scheme val="minor"/>
      </rPr>
      <t xml:space="preserve">
Rs 73.64L for IEC @ Rs 3500 for 2104 HWC (SHC, PHC HWC, UPHC HWC)</t>
    </r>
  </si>
  <si>
    <r>
      <rPr>
        <b/>
        <sz val="11"/>
        <rFont val="Calibri"/>
        <family val="2"/>
        <scheme val="minor"/>
      </rPr>
      <t>Recommended for approval</t>
    </r>
    <r>
      <rPr>
        <sz val="11"/>
        <rFont val="Calibri"/>
        <family val="2"/>
        <scheme val="minor"/>
      </rPr>
      <t xml:space="preserve">
Rs. 10 lakh for printing of modules and family folders</t>
    </r>
  </si>
  <si>
    <r>
      <rPr>
        <sz val="11"/>
        <color theme="1"/>
        <rFont val="Calibri"/>
        <family val="2"/>
        <scheme val="minor"/>
      </rPr>
      <t>Ongoing activity: Recommended for approval for 15 positions in 3 skill labs @ 5 positions in each skill lab at:
 1) SIHFW Parimahal Shimla; 
2) RHFWTC Chebb Kangra; &amp; 
3) SLBSGMC Nerchowk Mandi)</t>
    </r>
    <r>
      <rPr>
        <b/>
        <sz val="11"/>
        <color theme="1"/>
        <rFont val="Calibri"/>
        <family val="2"/>
        <scheme val="minor"/>
      </rPr>
      <t xml:space="preserve">
Recommended for approval of 12 positions for 12 months in principle. Budget has been approved as lumpsum.
Lump sum amount of Rs 1.49  lakhs is recommended for support staff for 12 months in principle, which may be outsourced, to the extent possible.
Details provided in HR Annexure. Actual remuneration is to be calculated by the state based on principles mentioned in the HR annexure.</t>
    </r>
  </si>
  <si>
    <r>
      <t xml:space="preserve">Recommended for approval of </t>
    </r>
    <r>
      <rPr>
        <b/>
        <sz val="11"/>
        <color rgb="FF000000"/>
        <rFont val="Calibri"/>
        <family val="2"/>
      </rPr>
      <t>6</t>
    </r>
    <r>
      <rPr>
        <sz val="11"/>
        <color rgb="FF000000"/>
        <rFont val="Calibri"/>
        <family val="2"/>
      </rPr>
      <t xml:space="preserve"> positions for 12 months in principle. Budget has been approved as lumpsum. Details provided in HR Annexure. Actual remuneration is to be calculated by the state based on principles mentioned in the HR annexure.</t>
    </r>
  </si>
  <si>
    <r>
      <t>Recommended for approval of</t>
    </r>
    <r>
      <rPr>
        <b/>
        <sz val="10"/>
        <color rgb="FF222222"/>
        <rFont val="Calibri"/>
        <family val="2"/>
      </rPr>
      <t> 12</t>
    </r>
    <r>
      <rPr>
        <sz val="10"/>
        <color rgb="FF222222"/>
        <rFont val="Calibri"/>
        <family val="2"/>
      </rPr>
      <t xml:space="preserve"> positions for 12 months in principle. Budget has been approved as lumpsum. Details provided in HR Annexure. Actual remuneration is to be calculated by the state based on principles mentioned in the HR annexure.
</t>
    </r>
  </si>
  <si>
    <r>
      <t>Recommended for approval of</t>
    </r>
    <r>
      <rPr>
        <b/>
        <sz val="10"/>
        <color rgb="FF222222"/>
        <rFont val="Calibri"/>
        <family val="2"/>
      </rPr>
      <t> 24</t>
    </r>
    <r>
      <rPr>
        <sz val="10"/>
        <color rgb="FF222222"/>
        <rFont val="Calibri"/>
        <family val="2"/>
      </rPr>
      <t xml:space="preserve"> positions for 12 months in principle. Budget has been approved as lumpsum. Details provided in HR Annexure. Actual remuneration is to be calculated by the state based on principles mentioned in the HR annexure.
</t>
    </r>
  </si>
  <si>
    <r>
      <t>Recommended for approval of</t>
    </r>
    <r>
      <rPr>
        <b/>
        <sz val="10"/>
        <color rgb="FF222222"/>
        <rFont val="Calibri"/>
        <family val="2"/>
      </rPr>
      <t> 8</t>
    </r>
    <r>
      <rPr>
        <sz val="10"/>
        <color rgb="FF222222"/>
        <rFont val="Calibri"/>
        <family val="2"/>
      </rPr>
      <t> positions for 12 months in principle. Budget has been approved as lumpsum. Details provided in HR Annexure. Actual remuneration is to be calculated by the state based on principles mentioned in the HR annexure.</t>
    </r>
  </si>
  <si>
    <r>
      <t>Recommended for approval of</t>
    </r>
    <r>
      <rPr>
        <b/>
        <sz val="10"/>
        <color rgb="FF222222"/>
        <rFont val="Calibri"/>
        <family val="2"/>
      </rPr>
      <t> 22</t>
    </r>
    <r>
      <rPr>
        <sz val="10"/>
        <color rgb="FF222222"/>
        <rFont val="Calibri"/>
        <family val="2"/>
      </rPr>
      <t xml:space="preserve"> positions for 12 months in principle. Budget has been approved as lumpsum. Details provided in HR Annexure. Actual remuneration is to be calculated by the state based on principles mentioned in the HR annexure.
</t>
    </r>
  </si>
  <si>
    <r>
      <t>Recommended for approval of</t>
    </r>
    <r>
      <rPr>
        <b/>
        <sz val="10"/>
        <color rgb="FF222222"/>
        <rFont val="Calibri"/>
        <family val="2"/>
      </rPr>
      <t> 18</t>
    </r>
    <r>
      <rPr>
        <sz val="10"/>
        <color rgb="FF222222"/>
        <rFont val="Calibri"/>
        <family val="2"/>
      </rPr>
      <t xml:space="preserve"> positions for 12 months in principle. Budget has been approved as lumpsum. Details provided in HR Annexure. Actual remuneration is to be calculated by the state based on principles mentioned in the HR annexure.
</t>
    </r>
  </si>
  <si>
    <r>
      <t>Recommended for approval of</t>
    </r>
    <r>
      <rPr>
        <b/>
        <sz val="10"/>
        <color rgb="FF222222"/>
        <rFont val="Calibri"/>
        <family val="2"/>
      </rPr>
      <t> 1</t>
    </r>
    <r>
      <rPr>
        <sz val="10"/>
        <color rgb="FF222222"/>
        <rFont val="Calibri"/>
        <family val="2"/>
      </rPr>
      <t xml:space="preserve"> position for 12 months in principle. Budget has been approved as lumpsum. Details provided in HR Annexure. Actual remuneration is to be calculated by the state based on principles mentioned in the HR annexure.
</t>
    </r>
  </si>
  <si>
    <r>
      <t>Recommended for approval of</t>
    </r>
    <r>
      <rPr>
        <b/>
        <sz val="10"/>
        <color rgb="FF222222"/>
        <rFont val="Calibri"/>
        <family val="2"/>
      </rPr>
      <t> 91</t>
    </r>
    <r>
      <rPr>
        <sz val="10"/>
        <color rgb="FF222222"/>
        <rFont val="Calibri"/>
        <family val="2"/>
      </rPr>
      <t xml:space="preserve"> positions for 12 months in principle. Budget has been approved as lumpsum. Details provided in HR Annexure. Actual remuneration is to be calculated by the state based on principles mentioned in the HR annexure.
</t>
    </r>
  </si>
  <si>
    <r>
      <t>Recommended for approval of</t>
    </r>
    <r>
      <rPr>
        <b/>
        <sz val="10"/>
        <color rgb="FF222222"/>
        <rFont val="Calibri"/>
        <family val="2"/>
      </rPr>
      <t> 76</t>
    </r>
    <r>
      <rPr>
        <sz val="10"/>
        <color rgb="FF222222"/>
        <rFont val="Calibri"/>
        <family val="2"/>
      </rPr>
      <t xml:space="preserve"> positions for 12 months in principle. Budget has been approved as lumpsum. Details provided in HR Annexure. Actual remuneration is to be calculated by the state based on principles mentioned in the HR annexure.
</t>
    </r>
  </si>
  <si>
    <r>
      <t xml:space="preserve">Lump sum amount of </t>
    </r>
    <r>
      <rPr>
        <b/>
        <sz val="10"/>
        <color rgb="FF222222"/>
        <rFont val="Calibri"/>
        <family val="2"/>
      </rPr>
      <t>Rs 83.06 lakhs</t>
    </r>
    <r>
      <rPr>
        <sz val="10"/>
        <color rgb="FF222222"/>
        <rFont val="Calibri"/>
        <family val="2"/>
      </rPr>
      <t xml:space="preserve"> is recommended for support staff for 12 months in principle, which may be outsourced, to the extent possible. Details provided in HR Annexure. Actual amount is to be calculated by the state based on principles mentioned in the HR annexure.
Recommended for approval of </t>
    </r>
    <r>
      <rPr>
        <b/>
        <sz val="10"/>
        <color rgb="FF222222"/>
        <rFont val="Calibri"/>
        <family val="2"/>
      </rPr>
      <t>Rs 3.00 lakhs</t>
    </r>
    <r>
      <rPr>
        <sz val="10"/>
        <color rgb="FF222222"/>
        <rFont val="Calibri"/>
        <family val="2"/>
      </rPr>
      <t xml:space="preserve"> for hiring of </t>
    </r>
    <r>
      <rPr>
        <b/>
        <sz val="10"/>
        <color rgb="FF222222"/>
        <rFont val="Calibri"/>
        <family val="2"/>
      </rPr>
      <t>Legal Services</t>
    </r>
    <r>
      <rPr>
        <sz val="10"/>
        <color rgb="FF222222"/>
        <rFont val="Calibri"/>
        <family val="2"/>
      </rPr>
      <t xml:space="preserve"> on outsource basis. State to follow the GFR for tendering process.
 </t>
    </r>
  </si>
  <si>
    <t>Approval for annual increment, HR rationalization amount/ Experience Bonus (if any) has been shifted from respective FMR. In principle 5% of the total HR budget is approved as increment and an additional 3% of the total HR budget is approved for HR rationalisation. Exact amount of individual increment to be decided by state in its EC.
HR rationalization exercise and its principles including increments to be approved by SHS GB. State to ensure that increment is approved in such a way that it smoothens the process of HR integration and leads to rationalization of salaries of staff with similar qualification, workload and skills. In cases where the salary difference is very high say more than 15%, it may be done in parts as it may take 2-3 years to rationalize it fully. Actual amount is to be calculated by the state based on principles mentioned in the HR annexure.</t>
  </si>
  <si>
    <t>Recommended for approval
Rs. 2.40L for reporting the maternal death @ Rs. 200/reporting for 1200 estimated Maternal Deaths</t>
  </si>
  <si>
    <t xml:space="preserve">discuss with AS </t>
  </si>
  <si>
    <t>Recommended for approval as per state proposal.</t>
  </si>
  <si>
    <t xml:space="preserve">Ongoing Activity: May be Recommended for approval for Rs.2.04 lakhs as mobility cost for 17ANMs @Rs.1000/-per ANM per month for 12 months.
</t>
  </si>
  <si>
    <t>Not Recommended.As UHND incentive is a part of Routine and Recurring incentive @ Rs. 2000, per ASHA and it has already been approved  in FMR code U.3.1.1.1.</t>
  </si>
  <si>
    <t xml:space="preserve">Ongoing activity: May be Recommended for Rs. 8.16 lakhs  for incentives for routine activities for 34 existing ASHAs @Rs.2000/-per ASHA. 
New ASHAs not Recommended. State to rework the new ASHA proposal.
</t>
  </si>
  <si>
    <t>Ongoing activity: May be recommended for approval for Rs.14.00 lakhs for 8 UPHCs in Government Buildings @Rs.1.75lakhs .</t>
  </si>
  <si>
    <t>Ongoing Activity: May be Recommended for approval for Rs.2.00 lakhs for Untied funds to 40 MAS@Rs.5000/-per MAS.</t>
  </si>
  <si>
    <r>
      <rPr>
        <b/>
        <sz val="11"/>
        <rFont val="Calibri"/>
        <family val="2"/>
        <scheme val="minor"/>
      </rPr>
      <t xml:space="preserve">Ongoing Activity: May be Recommended for approval Rs 16.25 lakhs  </t>
    </r>
    <r>
      <rPr>
        <sz val="11"/>
        <rFont val="Calibri"/>
        <family val="2"/>
        <scheme val="minor"/>
      </rPr>
      <t xml:space="preserve"> @1.25 lakh for 13 HWC-UPHCs as per approvals in ROP 20-21. State to integrate with free diagnostic service initiative under NHM .
</t>
    </r>
  </si>
  <si>
    <r>
      <rPr>
        <b/>
        <sz val="11"/>
        <rFont val="Calibri"/>
        <family val="2"/>
        <scheme val="minor"/>
      </rPr>
      <t xml:space="preserve">Ongoing Activity: May be Recommended for approval for Rs. 16.00 lakhs </t>
    </r>
    <r>
      <rPr>
        <sz val="11"/>
        <rFont val="Calibri"/>
        <family val="2"/>
        <scheme val="minor"/>
      </rPr>
      <t xml:space="preserve"> @4.00 lakh for 4 HWC-UPHCs   The rest of the amount approved under FMR 6.2.1.2 State to integrate with free drugs initiative under NHM.
</t>
    </r>
  </si>
  <si>
    <r>
      <rPr>
        <b/>
        <sz val="11"/>
        <rFont val="Calibri"/>
        <family val="2"/>
        <scheme val="minor"/>
      </rPr>
      <t xml:space="preserve">Ongoing Activity: May be Recommended for approval for Rs. 36.00 lakhs </t>
    </r>
    <r>
      <rPr>
        <sz val="11"/>
        <rFont val="Calibri"/>
        <family val="2"/>
        <scheme val="minor"/>
      </rPr>
      <t xml:space="preserve"> @4.00 lakh for 9 UPHCs State to integrate with free drugs initiative under NHM .
</t>
    </r>
  </si>
  <si>
    <r>
      <t xml:space="preserve">Recommended for approval of </t>
    </r>
    <r>
      <rPr>
        <b/>
        <sz val="11"/>
        <rFont val="Calibri"/>
        <family val="2"/>
        <scheme val="minor"/>
      </rPr>
      <t xml:space="preserve">17 </t>
    </r>
    <r>
      <rPr>
        <sz val="11"/>
        <rFont val="Calibri"/>
        <family val="2"/>
        <scheme val="minor"/>
      </rPr>
      <t>positions for 12 months in principle. Budget has been approved as lumpsum. Details provided in HR Annexure. Actual remuneration is to be calculated by the state based on principles mentioned in the HR annexure.</t>
    </r>
  </si>
  <si>
    <r>
      <t xml:space="preserve">Recommended for approval of </t>
    </r>
    <r>
      <rPr>
        <b/>
        <sz val="11"/>
        <rFont val="Calibri"/>
        <family val="2"/>
        <scheme val="minor"/>
      </rPr>
      <t xml:space="preserve">9 </t>
    </r>
    <r>
      <rPr>
        <sz val="11"/>
        <rFont val="Calibri"/>
        <family val="2"/>
        <scheme val="minor"/>
      </rPr>
      <t>positions for 12 months in principle. Budget has been approved as lumpsum. Details provided in HR Annexure. Actual remuneration is to be calculated by the state based on principles mentioned in the HR annexure.</t>
    </r>
  </si>
  <si>
    <t>In principle 5% of the total HR budget is approved as increment and an additional 3% of the total HR budget is approved for HR rationalisation. Exact amount of individual increment to be decided by state in its EC.
HR rationalization exercise and its principles including increments to be approved by SHS GB. State to ensure that increment is approved in such a way that it smoothens the process of HR integration and leads to rationalization of salaries of staff with similar qualification, workload and skills. In cases where the salary difference is very high say more than 15%, it may be done in parts as it may take 2-3 years to rationalize it fully. Actual amount is to be calculated by the state based on principles mentioned in the HR annexure.</t>
  </si>
  <si>
    <t>Ongoing Activity: May be Recommended for approal for Rs.2.34 lakhs  for Performance linked payment/team based initiatives for AB-HWCs.</t>
  </si>
  <si>
    <t>Ongoing Activity: May be Recommended for approval for Rs.9.75lakhs for training of frontline workers of 13 HWCs@Rs.7500/per HWC</t>
  </si>
  <si>
    <t>New Activity: May be recommended for Rs.3.00 lakhs for Kayakalp awards (one for Rs.2.00lakhs and two for Rs.50,000/-each)</t>
  </si>
  <si>
    <r>
      <rPr>
        <b/>
        <sz val="11"/>
        <rFont val="Calibri"/>
        <family val="2"/>
        <scheme val="minor"/>
      </rPr>
      <t>Ongoing Activity: May be Recommended for Rs.4.80 lakhs</t>
    </r>
    <r>
      <rPr>
        <sz val="11"/>
        <rFont val="Calibri"/>
        <family val="2"/>
        <scheme val="minor"/>
      </rPr>
      <t xml:space="preserve"> @Rs.40,000/-per month for 12 months .</t>
    </r>
  </si>
  <si>
    <r>
      <t>Ongoing Activity: May be Recommended for approval for Rs.0.60 lakhs @</t>
    </r>
    <r>
      <rPr>
        <sz val="11"/>
        <rFont val="Calibri"/>
        <family val="2"/>
        <scheme val="minor"/>
      </rPr>
      <t>Rs.5000/-  per month for 12 months</t>
    </r>
    <r>
      <rPr>
        <b/>
        <sz val="11"/>
        <rFont val="Calibri"/>
        <family val="2"/>
        <scheme val="minor"/>
      </rPr>
      <t xml:space="preserve"> .</t>
    </r>
  </si>
  <si>
    <r>
      <t>Lump sum amount of</t>
    </r>
    <r>
      <rPr>
        <b/>
        <sz val="10"/>
        <rFont val="Arial"/>
        <family val="2"/>
      </rPr>
      <t xml:space="preserve"> Rs. 1.87 lakhs</t>
    </r>
    <r>
      <rPr>
        <sz val="10"/>
        <rFont val="Arial"/>
        <family val="2"/>
      </rPr>
      <t xml:space="preserve"> is recommended for data entry operation for 12 months in principle, which may be outsourced to the extent possible. Details provided in HR Annexure. Actual amount is to be calculated by the state based on principles mentioned in the HR annexure. Please refer to JS (Policy)’s letter dated 22nd July 2016 (D.O.No. 10(36)/ 2016-NRHM-I) for details
Approval for Annual Increment (if any) has been shifted to FMR U.16.4.4.</t>
    </r>
  </si>
  <si>
    <r>
      <rPr>
        <b/>
        <sz val="11"/>
        <rFont val="Calibri"/>
        <family val="2"/>
        <scheme val="minor"/>
      </rPr>
      <t>Recommended for approval</t>
    </r>
    <r>
      <rPr>
        <sz val="11"/>
        <rFont val="Calibri"/>
        <family val="2"/>
        <scheme val="minor"/>
      </rPr>
      <t xml:space="preserve">
Rs. 299.97 L as operational cost of hubs for Teleconsultation.
1- Rs. 99.99 lakh @Rs.3.99 lakh/PA/Telemedicine Centre for 25 existing facilities at PHC, CHC &amp; CH level through Piramal Swasthya
2- Rs. 199.98 lakh @Rs.3.99 lakh/PA/Telemedicine centre for 50 HSCs through Piramal Swasthya
State to revisit the proposal as and when the contract period is over. State to integrate the existing Piramal model with E -Sanjeevani application. </t>
    </r>
  </si>
  <si>
    <r>
      <rPr>
        <b/>
        <sz val="11"/>
        <rFont val="Calibri"/>
        <family val="2"/>
        <scheme val="minor"/>
      </rPr>
      <t>Recommended for approval</t>
    </r>
    <r>
      <rPr>
        <sz val="11"/>
        <rFont val="Calibri"/>
        <family val="2"/>
        <scheme val="minor"/>
      </rPr>
      <t xml:space="preserve">
Rs. 10.80 L as advance @ Rs. 30000 per month per hub as per State guidelines (State shall not pay honorarium for Doctors)</t>
    </r>
  </si>
  <si>
    <t>As per the NPCC discussions, State to ensure an institutional mechanism for the same. As such, surgical services in outreach mode are not desired. Also, no details regarding post-surgery complication management preparedness have been shared. Hence, not recommended.</t>
  </si>
  <si>
    <t>As per the NPCC discussions, State to ensure an institutional mechanism for the same. Also, no details regarding post-surgery complication management preparedness have been shared. Hence, not recommended.</t>
  </si>
  <si>
    <t xml:space="preserve">Recommended for remaining 30 MB cases </t>
  </si>
  <si>
    <t>Recommended for approval Rs 130.0 Lakhs @ Rs 10 lakh for 13 hospitals (9 DH/RH and 4 CH at Palampur, Rohru, Khaneri &amp; Dharampur)</t>
  </si>
  <si>
    <t xml:space="preserve">Recommended for approval Rs 427.50 lakh @ Rs 2.50 lakh for 171 facilities. </t>
  </si>
  <si>
    <t xml:space="preserve">Recommended for approval Rs 504.88 lakh @ Rs 0.875 lakh for 577 PHCs.  </t>
  </si>
  <si>
    <t xml:space="preserve">Recommended for approval Rs 420.80 lakh @ Rs 0.20 lakh for 2104 SCs.   </t>
  </si>
  <si>
    <t xml:space="preserve">Recommended for approval Rs. 160 Lakhs @ Rs. 2000 per VHSNC for 8000 VHSNCs. </t>
  </si>
  <si>
    <t xml:space="preserve">Recommended for approval Rs. 300 Lakh @ Rs 0.30 lakh for 1000 SC-HWCs. 
</t>
  </si>
  <si>
    <t xml:space="preserve">Recommended for approval Rs 500 Lakhs for 12 model CHCs with the conditionality that 
• all the CHCs will be developed to deliver secondary care services as per IPHS. 
• Gap analysis shall be done against IPHS norms, time bound action points shall be developed.
• Progress shall be monitored and if required technical support from NHSRC can be taken.
</t>
  </si>
  <si>
    <t xml:space="preserve">Ongoing activity; Recommended for approval Rs 2353.02 lakh with the conditionality that utilisation certificate will be shared for each of the facility.
Rs 1209.00 Lakhs have been recommended for approval in SPIP 2020-2021. </t>
  </si>
  <si>
    <t xml:space="preserve">Recommended for approval Rs.25 lakhs as proposed by the State to develop DEIC, Kullu measuring 2500 Sq. ft. @ Rs 1000 per Sq. ft. State may seek technical support from programme division, MoHFW/ National Advisor, RBSK in developing the DEIC. Expenditure to be as per actuals and according to RBSK DEIC OGs. State to ensure physical and functional linkages with Maternal Ward/MCH Wing and SNCU. </t>
  </si>
  <si>
    <t>New proposal for the construction of a Distt. Vaccination store in the Aspirational District Chamba is recommended for approval. State to ensure ientified land for the same.</t>
  </si>
  <si>
    <t xml:space="preserve">Not recommended for approval </t>
  </si>
  <si>
    <t xml:space="preserve">Recommended for approval. State has notified 402 drugs and 77 consumables under Free Drug Policy. </t>
  </si>
  <si>
    <t xml:space="preserve">Pended. </t>
  </si>
  <si>
    <t xml:space="preserve">Recommended for approval. State to plan for performance based incentives. State to share details with MoHFW. </t>
  </si>
  <si>
    <t xml:space="preserve">Recommended for approval. State to plan for performance based incentives. State to share details with MoHFW. However, malpractices like night time deliveries for seeking incentives by providers may be monitored. </t>
  </si>
  <si>
    <t xml:space="preserve">Recommended for approval (as per pre NPCC discussions). </t>
  </si>
  <si>
    <t xml:space="preserve">IEC Activity of NB, SAANS and CDR is recommended for approval as per state proposal. </t>
  </si>
  <si>
    <t xml:space="preserve">Recommended  for approval as per state proposal. </t>
  </si>
  <si>
    <t xml:space="preserve">Recommended for approval as per details below:
1. 10 exhibitions during national, state, district fairs @ Rs 1 lakh = Rs 10 lakh 
2. state level IEC @ Rs 0.50 lakh per health day for 22 health days incl. fortnights = Rs 11  lakh 
3. district level IEC @ Rs 3000 per health day for 22 health days in 12 districts = Rs 7.92 lakh 
4. block level IEC @ Rs 1000 per health day for 22 health days in 76 blocks  = Rs 16.72 lakh </t>
  </si>
  <si>
    <t xml:space="preserve">Recommended for approval as per state proposal. </t>
  </si>
  <si>
    <t xml:space="preserve">no budget proposed </t>
  </si>
  <si>
    <t xml:space="preserve">Recommended for approval Rs 50.05 Lakhs @ Rs. 16.68 Lakhs for 3 units- war room cum vaccination centres at Shimla, Mandi and Kangra where datatbase of  patients, Vaccinators and beneficiaries of vavccination would be maintained. State to share plan of action with MoHFW. </t>
  </si>
  <si>
    <t xml:space="preserve">Recommended as per state proposal for TB Mukt Himachal App.  </t>
  </si>
  <si>
    <t xml:space="preserve">Recommended for approval Obstetric HDUs/ICUs: 
1. K.N. Hospital for Mother &amp; Child (8 bedded HDU + 4 bedded ICU)
2. Dr. RPGMC Tanda (8 bedded HDU + 4 bedded ICU)
3. Regional Hospital, Chamba (6+2 Hybrid HDU)
4. regional Hospital, Nahan (6+2 Hybrid HDU)
5. Regional Hospital, Mandi (6+2 Hybrid HDU)
6. Regional Hospital, Una (8 bedded HDU)
7. Regional Hospital, Hamirpur (8 bedded HDU)
8. Regional Hospital, Solan (8 bedded HDU)
9. Regional Hospital, Kullu (8 bedded HDU)
10. Regional Hospital, Kinnaur (8 bedded HDU)
11. Shri Lal Bahadur Shastri Govt. Medical College, Nerchowk, Mandi (6+2 Hybrid HDU)
12. Mahatma Gandhi Medical Services Complex, Khaneri, Shimla (4 bedded HDU).                                                 State to ensure functionalization of all Obstetric HDU/ICUs by April 2022.
Conditionality:
1. They must be set up in already existing facilities, preferably DH.
2. This fund should be utilized for civil construction, beds, ductless AHU and other infrastructure components.
3. Simultaneously, requirement for equipment &amp; HR should be planned, while HR need to be supported by State. 
</t>
  </si>
  <si>
    <t>As per the operational guidelines for NPPCD the screening cams may be organized in collaboration with RBSK / MoSJ&amp;E. As discussed during the NPCC meeting, there is no provision of mobile van in the NPPCD programme. Hence, it may be explored with RBSK / MoSJ&amp;E etc</t>
  </si>
  <si>
    <t xml:space="preserve">Recommended for approval of Rs 265.76 Lakhs for 37 seater Comprehensive Call Centre with the following conditionality;
• All operational costs will be included in this.
• This will be comprehensive call centre for redressal of grievances, health helpline, ECD, SUMAN and any other services.
• State needs to issue a G.O. for time bound escalation and addressing of grievance.
• State should generate awareness regarding the help line with adequate IEC.
• State to ensure that the ECD call centre personnel (4 call center agents &amp; 1 MBBS MO) is trained specifically in ECD call handing, the grievance call centre maintain the ECD software requirement and that personalised calling process for a cluster of women registerd with RCH register as per ECD call centre guidelines in maintained. State to ensure that monthly report of number of call made to the cluster of women as per the stage of pregnancy and age of respective child is maintained and shared with RBSK programme division as per Guidelines. 
• Monthly monitoring of following KPIs by state:
 Average calls received per day and per month
 % of calls attended by Call Operator, Medical Officer (MO) and Counseling Officer (CO).
 Total average handling time (AHT) of call operator, MO and CO at the center
 % dropped, missed, silent, abandoned, valid incomplete, noise / disturbance calls of the total calls/month
 % of calls service wise- Grievance, Health Information, Counselling, SUMAN, ECD
</t>
  </si>
  <si>
    <t xml:space="preserve">Recommended for approval of 300  positions for 12 months in principle. Budget has been approved as lumpsum. Details provided in HR Annexure. Actual remuneration is to be calculated by the state based on principles mentioned in the HR annexure.
Approval for Annual Increment, HR rationalization amount/ Experience Bonus (if any) has been shifted to FMR 8.2.
RBSK: Recommended for approval for 300 Ayush MO, . Half of the MO to be female, 2 Mos per team as per RBSK guidelines
</t>
  </si>
  <si>
    <r>
      <t xml:space="preserve">Recommended for approval of </t>
    </r>
    <r>
      <rPr>
        <b/>
        <sz val="10"/>
        <color rgb="FF222222"/>
        <rFont val="Calibri"/>
        <family val="2"/>
      </rPr>
      <t>150</t>
    </r>
    <r>
      <rPr>
        <sz val="10"/>
        <color rgb="FF222222"/>
        <rFont val="Calibri"/>
        <family val="2"/>
      </rPr>
      <t xml:space="preserve"> positions for 12 months in principle. Budget has been approved as lumpsum. Details provided in HR Annexure. Actual remuneration is to be calculated by the state based on principles mentioned in the HR annexure.
Approval for Annual Increment, HR rationalization amount/ Experience Bonus (if any) has been shifted to FMR 8.2.
RBSK: Recommended for approval for 150 Pharmacists for 12 months. 1 per team as per RBSK guidelines
</t>
    </r>
  </si>
  <si>
    <r>
      <t xml:space="preserve">Recommended for approval of </t>
    </r>
    <r>
      <rPr>
        <b/>
        <sz val="10"/>
        <color rgb="FF222222"/>
        <rFont val="Calibri"/>
        <family val="2"/>
      </rPr>
      <t>150</t>
    </r>
    <r>
      <rPr>
        <sz val="10"/>
        <color rgb="FF222222"/>
        <rFont val="Calibri"/>
        <family val="2"/>
      </rPr>
      <t xml:space="preserve">  positions for 12 months in principle. Budget has been approved as lumpsum. Details provided in HR Annexure. Actual remuneration is to be calculated by the state based on principles mentioned in the HR annexure.
Approval for Annual Increment, HR rationalization amount/ Experience Bonus (if any) has been shifted to FMR 8.2.
RBSK:Recommended for approval for 150 ANMs for 12 months. 1 per team as per RBSK guidelines.
</t>
    </r>
  </si>
  <si>
    <t xml:space="preserve">State to ensure that 5 DEICs already approved continued activity where HR would be positioned  are - IGMC,Shimla, Dr. RPGMC Tanda, Pt. JLNGMC, Chamba, Dr.RKGMC, Hamirpur, Sh.LBSGMC, Nerchowk Mandi where these HR would be positioned in the first quarter of FY 2021-22.  In FY 2021-22, HR is proposed for Kullu DEIC as new proposal. </t>
  </si>
  <si>
    <t xml:space="preserve">State is to ensure that services of specialists are made available in DEIC as per RBSK DEIC OG.  Note State is discontinuing approved positions (2 approved) In Fy 17-18 </t>
  </si>
  <si>
    <t>Recommended for approval of 2 positions (Kangra &amp; Shimla DEIC) for 12 months in principle. Budget has been approved as lumpsum. Details provided in HR Annexure. Actual remuneration is to be calculated by the state based on principles mentioned in the HR annexure.</t>
  </si>
  <si>
    <t>Recommended for approval of 2 positions  for 12 months in principle. Budget has been approved as lumpsum. Details provided in HR Annexure. Actual remuneration is to be calculated by the state based on principles mentioned in the HR annexure.</t>
  </si>
  <si>
    <t xml:space="preserve">State is to ensure that services are made available in DEIC as per RBSK DEIC OG.
  Note State is discontinuing approved positions (2 approved) In Fy 19-20 </t>
  </si>
  <si>
    <t xml:space="preserve">Not recommended. This proposal was not discussed in NPCC meeting as it has been added in post NPCC budget sheet. </t>
  </si>
  <si>
    <t xml:space="preserve">Pended. State to share details. </t>
  </si>
  <si>
    <r>
      <rPr>
        <b/>
        <sz val="11"/>
        <rFont val="Calibri"/>
        <family val="2"/>
        <scheme val="minor"/>
      </rPr>
      <t>Not Recommended for approval</t>
    </r>
    <r>
      <rPr>
        <sz val="11"/>
        <rFont val="Calibri"/>
        <family val="2"/>
        <scheme val="minor"/>
      </rPr>
      <t xml:space="preserve">
Replenishment of drug kits to be done from PHC and SHCs. </t>
    </r>
  </si>
  <si>
    <r>
      <rPr>
        <b/>
        <sz val="11"/>
        <rFont val="Calibri"/>
        <family val="2"/>
        <scheme val="minor"/>
      </rPr>
      <t>Recommended for approval</t>
    </r>
    <r>
      <rPr>
        <sz val="11"/>
        <rFont val="Calibri"/>
        <family val="2"/>
        <scheme val="minor"/>
      </rPr>
      <t xml:space="preserve">
Rs. 20 L for 2000 HBYC kits @ Rs. 1000
</t>
    </r>
  </si>
  <si>
    <r>
      <rPr>
        <b/>
        <sz val="11"/>
        <rFont val="Calibri"/>
        <family val="2"/>
        <scheme val="minor"/>
      </rPr>
      <t>Recommended for approval</t>
    </r>
    <r>
      <rPr>
        <sz val="11"/>
        <rFont val="Calibri"/>
        <family val="2"/>
        <scheme val="minor"/>
      </rPr>
      <t xml:space="preserve">
Rs. 16.83L for printing of modules and format for ASHAs @Rs. 200</t>
    </r>
  </si>
  <si>
    <t>Recommended @ Rs 90,000 for 2 batches of BB/BSU training for MOs &amp; LTs (batch size =30)</t>
  </si>
  <si>
    <t>Recommended @ Rs 200 per unit for 40,000 beneficiaries for providing blood &amp; its components free of cost.</t>
  </si>
  <si>
    <r>
      <rPr>
        <b/>
        <sz val="11"/>
        <rFont val="Calibri"/>
        <family val="2"/>
        <scheme val="minor"/>
      </rPr>
      <t>Recommended for approval</t>
    </r>
    <r>
      <rPr>
        <sz val="11"/>
        <rFont val="Calibri"/>
        <family val="2"/>
        <scheme val="minor"/>
      </rPr>
      <t xml:space="preserve">
State has proposed Rs. 159 lakh @Rs.1 lakh/PHC-HWC for infrastructure strengthening of 159 PHC-HWCs
</t>
    </r>
  </si>
  <si>
    <t>Activity Recommended at 7 SSH.</t>
  </si>
  <si>
    <t xml:space="preserve">Activity Recommended for Malaria Day. </t>
  </si>
  <si>
    <t>Activity Recommended for Dengue Day.</t>
  </si>
  <si>
    <t>Activity Recommended @ Rs 1  lakh for state HQ &amp; @ Rs 50,000 for 10 districts</t>
  </si>
  <si>
    <t>AS</t>
  </si>
  <si>
    <t>Recommended for approval for strengthening labs, mobility, contingency in all 12 DH (including 10 integrated Nirog clinics).</t>
  </si>
  <si>
    <t>Recommended for approval for setting up of 10 Integrated Nirog Clinics in high case load facilities @ Rs 2 lakh per unit</t>
  </si>
  <si>
    <t xml:space="preserve">Recommended for approval for procurement of cryoset with cyllinder. </t>
  </si>
  <si>
    <t xml:space="preserve">Recommended for approval for procurement of COPD equipments (Spirometer, Nebuliser, Peak Flowmeter) for 10 Integrated Nirog clinics </t>
  </si>
  <si>
    <t xml:space="preserve">Recommended for approval for SC level consumables.
Proposal of Cervical cancer screening through VIA may be recommended under FMR - Drugs and supplies for Universal Screening of NCDs
</t>
  </si>
  <si>
    <t xml:space="preserve">Recommended for approval for VIA screening of cervical screening
</t>
  </si>
  <si>
    <t>Recommended for approval 
Rs. 10L for printing of 5 L revised CBAC form @ Rs. 2 per form
State to ensure that there is no duplication with the printing of family folder proposed under CPHC</t>
  </si>
  <si>
    <t xml:space="preserve">1. Recommended Rs 50 lakh for providing free Peritoneal Dialysis to additional 25 patients (BPL) @ Rs 16,666 per month per patient.                                                            
2. State is suggested to utilise Medical colleges for monitoring and supportive supervision purposes only.
</t>
  </si>
  <si>
    <t xml:space="preserve">As ongoing activity; 
Rs 150 Lakh is recommended for approval for 12500 sessions @ avg. Rs 1200 per dialysis session to provide free hemodialysis services to BPL patients as per PMNDP guidelines.
State has multiple service providers (4) in place for dialysis services in PPP-mode; The rate of dialysis per sessions varies from 1090-1350 (with 5 % annual escalation) across dialysis centres.State has proposed an amount of 200 Lakhs for 12500 dialysis sessions at the unit rate of 1600 per sessions.
</t>
  </si>
  <si>
    <t xml:space="preserve">As per the operational guidelines, the screening camps may be organized in collaboration with RBSK / MoSJ&amp;E.
As discussed during NPCC meeting, there is no provision of mobile van in the programme. Hence, it is not recommended for approval.
</t>
  </si>
  <si>
    <t xml:space="preserve">Recommended for approval for procurement of equipments for 9 new dental clinics to be established at CHC Baroh, PHC Geharwin, PHC Dharwas, PHC Purthi, PHC Kherian, PHC Lapiana, PHC Gadagusain, PHC Thachi and PHC Jogon.as per details below:
1.  Rs 21.51 lakhs for 9 dental chairs @ Rs 2.39 lakh each. 
2. Rs 18 lakhs for RvG, Ultrasonic scalers, Extractions forceps etc at the tentative cost of Rs. 2 lac for each clinic. 
</t>
  </si>
  <si>
    <t xml:space="preserve">Recommended for approval for consumables for 13 NOHP clinics @ Rs. 1,00,000/ clinic, 85 MUSKAN clinics @ Rs.30,000/clinic and 9 new dental clinics @ Rs 1 lakh each.
</t>
  </si>
  <si>
    <t xml:space="preserve">Recommended for approval for IEC activities under NOHP in 12 districts.
</t>
  </si>
  <si>
    <t xml:space="preserve">Recommended for approval for 10 Integrated Nirog clinics for renovation of units such as uer frienly toilets, faller beds, appliances like walkers and sticks etc.  </t>
  </si>
  <si>
    <t>Recommended as proposed by state (IGMS- Rs 2 lakh, RPGMC- Rs 0.99 lakh, SLBSGMC- Rs 1 lakh). However, the unit cost is @ Rs 2000 for collection of 200 eyeballs. State may propose funds for more number of eye balls' collection.</t>
  </si>
  <si>
    <t>Approval shifted to FMR 16.1.3.3.13</t>
  </si>
  <si>
    <t>Approval shifted from FMR 16.1.4.2.7</t>
  </si>
  <si>
    <t xml:space="preserve">Recommended for approval Rs 1188.48 lakhs for the equipment for the LaQshya facilities on the basis of gap analysis received in PIP 2019-20 (for Rs. 404.30 lakhs) &amp; FY 2020-21 (for Rs. 37.24 lakhs) respectively for 47 types of medical devices and equipment at the mentioned cost per unit. </t>
  </si>
  <si>
    <t xml:space="preserve">Recommended for approval lumpsum amount of Rs 966.57 lakhs for Obstetric HDU/ICU as per details in FMR 5.1.1.2.12 for the proposed 6+2 Hybrid HDU/ICU units, 4 bedded ICU unit and 8 bedded HDU unit. State is suggested to adhere to the NHM operational guidelines on ICUs/HDUs
</t>
  </si>
  <si>
    <t xml:space="preserve">New Activity:
Recommended for approval Rs 17.50 lakhs for procurement of handleld Pulse Oxymeter @ Rs 35,000 per unit for 50 units/50 HWCs with high load OPDs in Chamba and Mandi districts under SAANS program. State to procure these through competitive bidding. </t>
  </si>
  <si>
    <t xml:space="preserve">Recommended for approval Rs 50.16 Lakhs for procuring 21 medical equipments for SNCU in the listed districts as mentioned below: 
Pulse Oxymeter - 2, Cardiac Monitor - 1, Oxygen concentrator - 3, Multipara monitor with neonatal probes - 2, Infantometer - 3, Digital weighing scale - 2, Infusion pump - 2, Radiant warmer - 2, Bubble C-PAP - 1, LED Phototherapy (Double side light) - 1, Double wall incubator with x-ray plate slot - 1, Portable O2 Analyzer - 1, Fluxmeter for measuring phototherapy blue light irradiance - 2, Lyringoscope - 1, ECG machine - 1, Ambu mask - 35.
The state has proposed 25 Lakhs INR/unit for Neonatal Ventilators which is on the higher side; State may procure these through competitive biddings. </t>
  </si>
  <si>
    <r>
      <t xml:space="preserve">Recommended for approval of </t>
    </r>
    <r>
      <rPr>
        <b/>
        <sz val="10"/>
        <color rgb="FF222222"/>
        <rFont val="Calibri"/>
        <family val="2"/>
      </rPr>
      <t>6</t>
    </r>
    <r>
      <rPr>
        <sz val="10"/>
        <color rgb="FF222222"/>
        <rFont val="Calibri"/>
        <family val="2"/>
      </rPr>
      <t xml:space="preserve"> positions including 1 new position for 12 months in principle. Budget has been approved as lumpsum. Details provided in HR Annexure. Actual remuneration is to be calculated by the state based on principles mentioned in the HR annexure.
</t>
    </r>
  </si>
  <si>
    <r>
      <t xml:space="preserve">Recommended for approval of </t>
    </r>
    <r>
      <rPr>
        <b/>
        <sz val="10"/>
        <color rgb="FF222222"/>
        <rFont val="Calibri"/>
        <family val="2"/>
      </rPr>
      <t>1</t>
    </r>
    <r>
      <rPr>
        <sz val="10"/>
        <color rgb="FF222222"/>
        <rFont val="Calibri"/>
        <family val="2"/>
      </rPr>
      <t xml:space="preserve"> position for 12 months in principle. Budget has been approved as lumpsum. Details provided in HR Annexure. Actual remuneration is to be calculated by the state based on principles mentioned in the HR annexure.
</t>
    </r>
  </si>
  <si>
    <t>Recommended for approval of 1  position for 12 months in principle. Budget has been approved as lumpsum. Details provided in HR Annexure. Actual remuneration is to be calculated by the state based on principles mentioned in the HR annexure.</t>
  </si>
  <si>
    <r>
      <t>Recommended for approval of</t>
    </r>
    <r>
      <rPr>
        <b/>
        <sz val="10"/>
        <color rgb="FF222222"/>
        <rFont val="Calibri"/>
        <family val="2"/>
      </rPr>
      <t> 163</t>
    </r>
    <r>
      <rPr>
        <sz val="10"/>
        <color rgb="FF222222"/>
        <rFont val="Calibri"/>
        <family val="2"/>
      </rPr>
      <t> positions including 3 New posts of STLS, 12 New posts of STS and 10 New posts of TBHV for 12 months in principle. Budget has been approved as lumpsum. Details provided in HR Annexure. Actual remuneration is to be calculated by the state based on principles mentioned in the HR annexure.</t>
    </r>
    <r>
      <rPr>
        <sz val="10"/>
        <color rgb="FF222222"/>
        <rFont val="Calibri"/>
        <family val="2"/>
      </rPr>
      <t xml:space="preserve">
</t>
    </r>
  </si>
  <si>
    <r>
      <t xml:space="preserve">Lump sum amount of </t>
    </r>
    <r>
      <rPr>
        <b/>
        <sz val="10"/>
        <color rgb="FF222222"/>
        <rFont val="Calibri"/>
        <family val="2"/>
      </rPr>
      <t>Rs 15.29 lakhs</t>
    </r>
    <r>
      <rPr>
        <sz val="10"/>
        <color rgb="FF222222"/>
        <rFont val="Calibri"/>
        <family val="2"/>
      </rPr>
      <t xml:space="preserve"> is recommended for support staff for 12 months in principle, which may be outsourced, to the extent possible.
Details provided in HR Annexure. Actual remuneration is to be calculated by the state based on principles mentioned in the HR annexure.</t>
    </r>
  </si>
  <si>
    <r>
      <t>Recommended for approval of 169  positions for 12 months in principle. Budget has been approved as lumpsum. Details provided in HR Annexure. Actual remuneration is to be calculated by the state based on principles mentioned in the HR annexure.</t>
    </r>
    <r>
      <rPr>
        <sz val="10"/>
        <color theme="1"/>
        <rFont val="Calibri"/>
        <family val="2"/>
        <scheme val="minor"/>
      </rPr>
      <t xml:space="preserve">
</t>
    </r>
  </si>
  <si>
    <t>Recommended for approval of 141  positions for 12 months in principle. Budget has been approved as lumpsum. Details provided in HR Annexure. Actual remuneration is to be calculated by the state based on principles mentioned in the HR annexure.</t>
  </si>
  <si>
    <t>Recommended for approval of 13  positions for 12 months in principle. Budget has been approved as lumpsum. Details provided in HR Annexure. Actual remuneration is to be calculated by the state based on principles mentioned in the HR annexure.
Approval for Annual Increment, HR rationalization amount/ Experience Bonus (if any) has been shifted to FMR 8.2.</t>
  </si>
  <si>
    <r>
      <t>Recommended for approval of </t>
    </r>
    <r>
      <rPr>
        <b/>
        <sz val="10"/>
        <color rgb="FF222222"/>
        <rFont val="Calibri"/>
        <family val="2"/>
      </rPr>
      <t>192 </t>
    </r>
    <r>
      <rPr>
        <sz val="10"/>
        <color rgb="FF222222"/>
        <rFont val="Calibri"/>
        <family val="2"/>
      </rPr>
      <t>positions including 32 new posts for 12 months in principle. Budget has been approved as lumpsum. Details provided in HR Annexure. Actual remuneration is to be calculated by the state based on principles mentioned in the HR annexure.</t>
    </r>
  </si>
  <si>
    <r>
      <t>Recommended for approval of </t>
    </r>
    <r>
      <rPr>
        <b/>
        <sz val="10"/>
        <color rgb="FF222222"/>
        <rFont val="Calibri"/>
        <family val="2"/>
      </rPr>
      <t>73</t>
    </r>
    <r>
      <rPr>
        <sz val="10"/>
        <color rgb="FF222222"/>
        <rFont val="Calibri"/>
        <family val="2"/>
      </rPr>
      <t xml:space="preserve">  positions including 2 new posts </t>
    </r>
    <r>
      <rPr>
        <sz val="10"/>
        <color rgb="FF222222"/>
        <rFont val="Calibri"/>
        <family val="2"/>
      </rPr>
      <t xml:space="preserve"> for 12 months in principle. Budget has been approved as lumpsum. Details provided in HR Annexure. Actual remuneration is to be calculated by the state based on principles mentioned in the HR annexure.</t>
    </r>
  </si>
  <si>
    <r>
      <t xml:space="preserve">Recommended for approval of Rs.35.20 lakhs  for eVIN operational cost. Fund approved for operational cost of E-VIN i.e. 
</t>
    </r>
    <r>
      <rPr>
        <b/>
        <sz val="11"/>
        <rFont val="Calibri"/>
        <family val="2"/>
        <scheme val="minor"/>
      </rPr>
      <t>Lump sum amount of Rs. 17.40 lakhs recommended for UNDP technical assistance cost for e-VIN as per State's proposal.</t>
    </r>
    <r>
      <rPr>
        <sz val="11"/>
        <rFont val="Calibri"/>
        <family val="2"/>
        <scheme val="minor"/>
      </rPr>
      <t xml:space="preserve">
Data Sim Cards for CCH Mobile Phones (@ Rs.177/CCH) for 390
Data Sim Cards for Temperature Loggers (@ Rs.116.82/TL) for 430
Mobile voice and data SIM for UNDP staff ( @ Rs.234.82 per head) for 3
Replacement of Temperature loggers (@ 20% loss/damage/New CCE) for 86
Replacement of Mobile handset (@ 30% loss/damage/New CCP) for 117
Mobile voice and data SIM for eVIN team ( @ Rs.295 per head) for 12 VCCM &amp; 
Laptop Maintainance for VCCM laptop (@ Rs 2400 per VCCM per year) for 12 VCCM, Management&amp; operational  fee 2.60. 
</t>
    </r>
    <r>
      <rPr>
        <b/>
        <sz val="11"/>
        <rFont val="Calibri"/>
        <family val="2"/>
        <scheme val="minor"/>
      </rPr>
      <t xml:space="preserve">
</t>
    </r>
  </si>
  <si>
    <r>
      <t xml:space="preserve">Recommended for approval of 13  positions for 12 months in principle. Budget has been approved as lumpsum. Details provided in HR Annexure. Actual remuneration is to be calculated by the state based on principles mentioned in the HR annexure.
Approval for Annual Increment, HR rationalization amount/ Experience Bonus (if any) has been shifted to FMR 8.2.
As per details shared in the PIP, State has 345 sanctioned posts of Dentists/ dental surgeon under regular cadre and 13 approved posts under NHM.  The requirement as per IPHS is of 194 till the CHCs . As there are 151 posts over and above IPHS   requirements, these must have been posted by the State in the PHCs as well. Moreover, as per HMIS, the average caseload per dentist per day in 2019-20 was 8 cases and 2 cases in 2020-21 which is low. </t>
    </r>
    <r>
      <rPr>
        <b/>
        <sz val="10"/>
        <color theme="1"/>
        <rFont val="Calibri"/>
        <family val="2"/>
        <scheme val="minor"/>
      </rPr>
      <t>NOHP may like to monitor the performance of dentists in PHCs.</t>
    </r>
    <r>
      <rPr>
        <sz val="10"/>
        <color theme="1"/>
        <rFont val="Calibri"/>
        <family val="2"/>
        <scheme val="minor"/>
      </rPr>
      <t xml:space="preserve"> We are not recommending the New posts.
State to rationally deploy the existing staff and monitor their performance.</t>
    </r>
  </si>
  <si>
    <t>Recommended for approval of 24  positions for 12 months in principle. Budget has been approved as lumpsum. Details provided in HR Annexure. Actual remuneration is to be calculated by the state based on principles mentioned in the HR annexure.
Approval for Annual Increment, HR rationalization amount/ Experience Bonus (if any) has been shifted to FMR 8.2.
As per details shared in the PIP, State has 278 sanctioned posts of dental technician/ hygienist under regular cadre and 24 approved posts under NHM.  The requirement as per IPHS is of 101 till the CHCs. As there are 151 posts over and above IPHS   requirements, these must have been posted by the State in the PHCs as well. Moreover, as per HMIS, the average dental OPD caseload per dentist per day in 2019-20 was 8 cases and 2 cases in 2020-21 which is low. NOHP may like to monitor the performance of dentists in PHCs. We are not recommending the New posts.
State to rationally deploy the existing staff and monitor their performance.</t>
  </si>
  <si>
    <t xml:space="preserve">Rs.24.72 lakhs for 6 midwifery educators as per guidelines as below:
Activity 1:  Training cost of educators (Rs.400000*6 = Rs.24 lakhs)
Activity 2: Travel cost (Rs.12000*6 = Rs.72000)
Total = Rs.24.72 Lakhs </t>
  </si>
  <si>
    <t>15.3.3.2</t>
  </si>
  <si>
    <t>15.3.3.4</t>
  </si>
  <si>
    <t xml:space="preserve">TO BE MET OUT OF PM COST APPROVED UNDER 16.1.2
</t>
  </si>
  <si>
    <t>to be bet out from budget approved under FMR 16.1.1</t>
  </si>
  <si>
    <t xml:space="preserve">Approval shifted from FMR 16.4.1.4.2.
Recommended for approval of 12 positions for 12 months in principle. Budget has been approved as lumpsum. Details provided in HR Annexure. Actual remuneration is to be calculated by the state based on principles mentioned in the HR annexure.
</t>
  </si>
  <si>
    <r>
      <t>Recommended for approval of </t>
    </r>
    <r>
      <rPr>
        <b/>
        <sz val="10"/>
        <color rgb="FF000000"/>
        <rFont val="Calibri"/>
        <family val="2"/>
      </rPr>
      <t>15 </t>
    </r>
    <r>
      <rPr>
        <sz val="10"/>
        <color rgb="FF000000"/>
        <rFont val="Calibri"/>
        <family val="2"/>
      </rPr>
      <t>staff on-deputation for 12 months in principle. Budget has been approved as lumpsum. Details provided in HR Annexure. Actual salary is to be paid as per extant state govt norms.
State to share the details of 5 new SPOs.</t>
    </r>
  </si>
  <si>
    <t>Recommended for approval of 2 positions for 12 months in principle. Budget has been approved as lumpsum. Details provided in HR Annexure. Actual remuneration is to be calculated by the state based on principles mentioned in the HR annexure.</t>
  </si>
  <si>
    <t>Recommended for approval of 13 positions including 4 New consultant for 12 months in principle. Budget has been approved as lumpsum. Details provided in HR Annexure. Actual remuneration is to be calculated by the state based on principles mentioned in the HR annexure.</t>
  </si>
  <si>
    <r>
      <t>Recommended for approval of</t>
    </r>
    <r>
      <rPr>
        <b/>
        <sz val="10"/>
        <color rgb="FF222222"/>
        <rFont val="Calibri"/>
        <family val="2"/>
      </rPr>
      <t> 2</t>
    </r>
    <r>
      <rPr>
        <sz val="10"/>
        <color rgb="FF222222"/>
        <rFont val="Calibri"/>
        <family val="2"/>
      </rPr>
      <t> positions for 12 months in principle. Budget has been approved as lumpsum. Details provided in HR Annexure. Actual remuneration is to be calculated by the state based on principles mentioned in the HR annexure.</t>
    </r>
  </si>
  <si>
    <r>
      <t>Recommended for approval of</t>
    </r>
    <r>
      <rPr>
        <b/>
        <sz val="10"/>
        <color rgb="FF222222"/>
        <rFont val="Calibri"/>
        <family val="2"/>
      </rPr>
      <t> 5</t>
    </r>
    <r>
      <rPr>
        <sz val="10"/>
        <color rgb="FF222222"/>
        <rFont val="Calibri"/>
        <family val="2"/>
      </rPr>
      <t> positions for 12 months in principle. Budget has been approved as lumpsum. Details provided in HR Annexure. Actual remuneration is to be calculated by the state based on principles mentioned in the HR annexure.</t>
    </r>
  </si>
  <si>
    <t xml:space="preserve">Recommended for approval of 1 position for 12 months in principle. Budget has been approved as lumpsum. Details provided in HR Annexure. Actual remuneration is to be calculated by the state based on principles mentioned in the HR annexure.
</t>
  </si>
  <si>
    <r>
      <t>Recommended for approval of</t>
    </r>
    <r>
      <rPr>
        <b/>
        <sz val="10"/>
        <color rgb="FF222222"/>
        <rFont val="Calibri"/>
        <family val="2"/>
      </rPr>
      <t> 9</t>
    </r>
    <r>
      <rPr>
        <sz val="10"/>
        <color rgb="FF222222"/>
        <rFont val="Calibri"/>
        <family val="2"/>
      </rPr>
      <t> positions for 12 months in principle. Budget has been approved as lumpsum. Details provided in HR Annexure. Actual remuneration is to be calculated by the state based on principles mentioned in the HR annexure</t>
    </r>
  </si>
  <si>
    <r>
      <t>Lump sum amount of</t>
    </r>
    <r>
      <rPr>
        <b/>
        <sz val="10"/>
        <rFont val="Calibri"/>
        <family val="2"/>
        <scheme val="minor"/>
      </rPr>
      <t xml:space="preserve"> Rs. 483.39 lakhs</t>
    </r>
    <r>
      <rPr>
        <sz val="10"/>
        <rFont val="Calibri"/>
        <family val="2"/>
        <scheme val="minor"/>
      </rPr>
      <t xml:space="preserve"> is recommended for data entry operation for 12 months in principle, which may be outsourced to the extent possible. Details provided in HR Annexure. Actual amount is to be calculated by the state based on principles mentioned in the HR annexure. Please refer to JS (Policy)’s letter dated 22nd July 2016 (D.O.No. 10(36)/ 2016-NRHM-I) for details</t>
    </r>
  </si>
  <si>
    <r>
      <t>Recommended for approval of</t>
    </r>
    <r>
      <rPr>
        <b/>
        <sz val="10"/>
        <color rgb="FF222222"/>
        <rFont val="Calibri"/>
        <family val="2"/>
      </rPr>
      <t> 12</t>
    </r>
    <r>
      <rPr>
        <sz val="10"/>
        <color rgb="FF222222"/>
        <rFont val="Calibri"/>
        <family val="2"/>
      </rPr>
      <t> positions of VCCM for 12 months in principle. Budget has been approved as lumpsum. Details provided in HR Annexure. Actual remuneration is to be calculated by the state based on principles mentioned in the HR annexure.</t>
    </r>
  </si>
  <si>
    <r>
      <t>Recommended for approval of</t>
    </r>
    <r>
      <rPr>
        <b/>
        <sz val="10"/>
        <color rgb="FF222222"/>
        <rFont val="Calibri"/>
        <family val="2"/>
      </rPr>
      <t> 3</t>
    </r>
    <r>
      <rPr>
        <sz val="10"/>
        <color rgb="FF222222"/>
        <rFont val="Calibri"/>
        <family val="2"/>
      </rPr>
      <t> positions for 12 months in principle. Budget has been approved as lumpsum. Details provided in HR Annexure. Actual remuneration is to be calculated by the state based on principles mentioned in the HR annexure.
Approval for new positions of Epidemiologists shifted to FMR 16.4.2.2.1</t>
    </r>
  </si>
  <si>
    <r>
      <t>Recommended for approval of</t>
    </r>
    <r>
      <rPr>
        <b/>
        <sz val="10"/>
        <color rgb="FF222222"/>
        <rFont val="Calibri"/>
        <family val="2"/>
      </rPr>
      <t> 1</t>
    </r>
    <r>
      <rPr>
        <sz val="10"/>
        <color rgb="FF222222"/>
        <rFont val="Calibri"/>
        <family val="2"/>
      </rPr>
      <t>  position for 12 months in principle. Budget has been approved as lumpsum. Details provided in HR Annexure. Actual remuneration is to be calculated by the state based on principles mentioned in the HR annexure.</t>
    </r>
  </si>
  <si>
    <r>
      <t>Recommended for approval of</t>
    </r>
    <r>
      <rPr>
        <b/>
        <sz val="10"/>
        <color rgb="FF222222"/>
        <rFont val="Calibri"/>
        <family val="2"/>
      </rPr>
      <t> 1</t>
    </r>
    <r>
      <rPr>
        <sz val="10"/>
        <color rgb="FF222222"/>
        <rFont val="Calibri"/>
        <family val="2"/>
      </rPr>
      <t> position for 12 months in principle. Budget has been approved as lumpsum. Details provided in HR Annexure. Actual remuneration is to be calculated by the state based on principles mentioned in the HR annexure.</t>
    </r>
  </si>
  <si>
    <r>
      <t>Recommended for approval of</t>
    </r>
    <r>
      <rPr>
        <b/>
        <sz val="10"/>
        <color rgb="FF222222"/>
        <rFont val="Calibri"/>
        <family val="2"/>
      </rPr>
      <t> 2</t>
    </r>
    <r>
      <rPr>
        <sz val="10"/>
        <color rgb="FF222222"/>
        <rFont val="Calibri"/>
        <family val="2"/>
      </rPr>
      <t> position  for 12 months in principle. Budget has been approved as lumpsum. Details provided in HR Annexure. Actual remuneration is to be calculated by the state based on principles mentioned in the HR annexure.</t>
    </r>
  </si>
  <si>
    <t xml:space="preserve">Rs 2706.49 lakhs PM and M&amp;E cost has already been approved under various heads. An amount of Rs 645.94 lakhs is recommended for all activities mentioned under FMR 16.1 except those mentioned as not recommended in PM sub-annex. No infrastructure activities, no HR and no vehicle can be purchased using the approved PM cost. State to ensure that PM activities do not exceed the limit of 9% as mandated by Mission Steering group. </t>
  </si>
  <si>
    <t>L&amp; SPITI</t>
  </si>
  <si>
    <t>SIRMOUR</t>
  </si>
  <si>
    <t>MS IGMC</t>
  </si>
  <si>
    <t>MS BILASUR</t>
  </si>
  <si>
    <t>MS ZH KANGRA</t>
  </si>
  <si>
    <t>MS PALAMPUR</t>
  </si>
  <si>
    <t>MS KULLU</t>
  </si>
  <si>
    <t>MS ZH MANDI</t>
  </si>
  <si>
    <t>MS DDU SHIMLA</t>
  </si>
  <si>
    <t>MS KHANERI</t>
  </si>
  <si>
    <t>MS ROHRU</t>
  </si>
  <si>
    <t>MS SOLAN</t>
  </si>
  <si>
    <t>MS UNA</t>
  </si>
  <si>
    <t>TOTAL</t>
  </si>
  <si>
    <t>S.H.Q</t>
  </si>
  <si>
    <t>MS RPGMC TANDA</t>
  </si>
  <si>
    <t>MS PJLNMGC CHAMBA</t>
  </si>
  <si>
    <t>MS Dr. RKGMC HAMIRPUR</t>
  </si>
  <si>
    <t>MS SLBSGMCNER CHOWK</t>
  </si>
  <si>
    <t>MS YSPGMC NAHAN</t>
  </si>
  <si>
    <t>MS KNH</t>
  </si>
  <si>
    <t>MS TBS DHARAMPUR</t>
  </si>
  <si>
    <t>Principal SHFWTC P/Mahal</t>
  </si>
  <si>
    <t>Principal RHFWTC Cheb</t>
  </si>
  <si>
    <t>Kangra</t>
  </si>
  <si>
    <t>Shimla</t>
  </si>
  <si>
    <t>Solan</t>
  </si>
  <si>
    <r>
      <rPr>
        <b/>
        <u/>
        <sz val="8"/>
        <rFont val="Calibri"/>
        <family val="2"/>
        <scheme val="minor"/>
      </rPr>
      <t>NTEP-1</t>
    </r>
    <r>
      <rPr>
        <sz val="8"/>
        <rFont val="Calibri"/>
        <family val="2"/>
        <scheme val="minor"/>
      </rPr>
      <t xml:space="preserve"> Procurement of equipments by STDC/IRL/SDS -
1) State Drug Store Racking 2) Bed side monitors 3) Computer with printer and internet
Estimated budget required:-
1) State Drug Store Racking Rs 23,00,000/-       2) Bed side monitors 6 No. Rs 7,00,000/-   
3) Computer with printer and internet for procurement, e tendering Rs 70,000/- Total =30.70 lacs
Detail:-
• The New building of the State drug Store is likely to be functional in the year 2021-22. This store will require racking to store drugs and other consumables for which heavy duty racks are required. As per the current layout, approximately 30 heavy duty racks will be required with an estimate of Rs. 23,00,000/-.  
• Bed side monitors with basic parameters are required, one each for six wards, in order to monitor the sick patients
• Computer with printer and internet is required for the procurement and e-tendering
2. District Hamirpur Rs 1.50 lacs for water bath / electronic weighing machine for chemial ,&amp; Purchase of office equipments for  DTC  Office ( 20,000*4= 80,000/- for  DTO,Accountant , DPC &amp; DRTB-C ). 
3. Rs.3.50 lacs proposed by District kullu for procurement of office equipments ,Photostate Machine Fax and Scanner and at DTC  Office.
4) Rs. 47.20 lacs by all districts for procurement of 40(40*55,000). Microscopes as per rates found lowest  in the tender by the IRL Dharampur .
5) Rs. 3.00 lacs proposed by DTO Sirmaur for procurement of two cardiac monitor, one projector for training hall.
6) Rs. 1.50 lacs  by DTO Una for online UPS for CB-NAAT machine.
7) Rs.1.00 lacs by District L&amp;S, for office equipments   for DTC  Office.
8)Power backup at DRTB ward/ Site and DMC Tanda Rs. 60,000/-
10) Power backup at DTC/ Site and CBNAAT Site DMC Dharamshala  @50,000/-
11) Procurement of UPS for CB-NAAT site Jewalamukhi @ 80, 000/-
12) Procurement of ECG Machine for Dalek Hospital Dharamshala @70,000/- 
Total=89.20.00 lacs proposed in PIP 2021-22
</t>
    </r>
  </si>
  <si>
    <t>Any other (PMJJBY &amp; PMSBY)</t>
  </si>
  <si>
    <t>Programme Managers (Epediomologist)</t>
  </si>
  <si>
    <r>
      <rPr>
        <b/>
        <sz val="11"/>
        <rFont val="Calibri"/>
        <family val="2"/>
        <scheme val="minor"/>
      </rPr>
      <t>NTEP-3.4</t>
    </r>
    <r>
      <rPr>
        <sz val="11"/>
        <rFont val="Calibri"/>
        <family val="2"/>
        <scheme val="minor"/>
      </rPr>
      <t xml:space="preserve">   CTD, Government of India has established a mechanism of Task Force for ensuring engagement of medical colleges in NTEP. There is National Task Force, Zonal Task Force, State Task Force and core committee in the medical college. There are specified number of meetings of each of the body at different level, which has been approved in 2020-21 ROP. Details of each meetings and costing as follow: - 1) Core committee meetings of each medical college every quarter Rs. 2,80,000 
2) Likewise, each quarter, STF meeting 4* @Rs 60000= Rs. 2,40,000/- 
3) As per the CTD directions, STF chair and 2 members from each medical college to attend the Zonal Task Force meeting once in a year; .
 4) ZTF chair has to attend the annual meeting of all 6 ZTF meeting. As per GOI directions, cost of TA/DA of STF/ZTF Chair and Members for attend the ZTF / NTF workshops in each six Zones. Office expenses for STF chairman @1000/- month= 12000/-.  
Total = 2,80,000+2,40,000+12,000=5,32000/-
</t>
    </r>
  </si>
  <si>
    <t xml:space="preserve">Orientation training of 200 Mos and 100 Staff for Geriatric clinics at CHC levels  ( batchwise trainings in 8 batches) . We will club the training with other NCDs training so as to reduce the cost of travel and stay but the duration of training will remain the same i.e 3 days for MOs and 3 days for staff nurses </t>
  </si>
  <si>
    <r>
      <rPr>
        <b/>
        <u/>
        <sz val="12"/>
        <rFont val="Calibri"/>
        <family val="2"/>
        <scheme val="minor"/>
      </rPr>
      <t xml:space="preserve">NTEP-1 </t>
    </r>
    <r>
      <rPr>
        <sz val="12"/>
        <rFont val="Calibri"/>
        <family val="2"/>
        <scheme val="minor"/>
      </rPr>
      <t>Funds under this head has been allocated for Training under NTEP. Trainings and capacity building is the major program activity of NTEP. There are different types of trainings planned for all categories of staff such as Induction training, refresher training of staff, skill based modular trainings for DMC and CBNAAT LTs, IT based trainings for DEOs, Program staff, pharmacists and lab staff for data entry in LIMS, Nikshay and Nikshay Aushadhi portals. Besides this, PMDT guidelines and Paediatric TB guidelines has been released recently, all MOs and paramedical staff in the field (all health institutions other than the medical colleges) has to be trained on these guidelines. Comprehensive training calendar for training of various categories has already been submitted with the NHM training division. All trainings will be completed by February 2021.These trainings are to be imparted at TBS Dharampur, SIHFW Parimahal, RHFWTC at CHEEB, in Medical colleges, as well as in districts. The Training calendar attached. The total cost of Rs. 29.07 lacs proposed for trimmings of various staff under NTEP F.Y. 2021-22.</t>
    </r>
  </si>
  <si>
    <r>
      <rPr>
        <b/>
        <u/>
        <sz val="11"/>
        <rFont val="Calibri"/>
        <family val="2"/>
        <scheme val="minor"/>
      </rPr>
      <t>NTEP-1</t>
    </r>
    <r>
      <rPr>
        <sz val="11"/>
        <rFont val="Calibri"/>
        <family val="2"/>
        <scheme val="minor"/>
      </rPr>
      <t xml:space="preserve"> The funds for the telephone operations,  stationary items, refilling of printers, photocopying charges,  for the all districts (12), State / STDC/ IRL/ 2 C&amp;DST, 76 TUs, 12 DDS, one SDS, 23 CB-NAAT sites, 12 DR-TB Centers , 3 Nodal DR-TB Centers of Rs.2500000/-                                                                                                                                                                                                                                Internet charges for 280 Tablets ( avilable with DTC SDS STDC STC and  IRL Dharampur) @ Rs.300 per month each =280X300X12=1008000/-Total cost 2500000+ 10008000/- = 45.72 lacs have been proposed .</t>
    </r>
  </si>
  <si>
    <t>MS SLBSGMC NEAR CHOWK</t>
  </si>
  <si>
    <t>Others (Dietician)</t>
  </si>
  <si>
    <t>Staff Nurse (SNCU)</t>
  </si>
  <si>
    <t>Staff Nurses (ICU/HDU)</t>
  </si>
  <si>
    <t>Others  (IRL Staff NTEP)</t>
  </si>
  <si>
    <t>Any other (Training Institution Staff )</t>
  </si>
  <si>
    <t>Support Staff (Driver)</t>
  </si>
  <si>
    <t>IPPI</t>
  </si>
  <si>
    <r>
      <t xml:space="preserve">Recommended for approval </t>
    </r>
    <r>
      <rPr>
        <b/>
        <sz val="10"/>
        <rFont val="Calibri"/>
        <family val="2"/>
      </rPr>
      <t>4 </t>
    </r>
    <r>
      <rPr>
        <sz val="10"/>
        <rFont val="Calibri"/>
        <family val="2"/>
      </rPr>
      <t>positions of </t>
    </r>
    <r>
      <rPr>
        <b/>
        <sz val="10"/>
        <rFont val="Calibri"/>
        <family val="2"/>
      </rPr>
      <t>Microbiologists</t>
    </r>
    <r>
      <rPr>
        <sz val="10"/>
        <rFont val="Calibri"/>
        <family val="2"/>
      </rPr>
      <t xml:space="preserve"> for 12 months in principle. Budget has been approved as lumpsum. Actual remuneration is to be calculated by the state based on principles mentioned in the HR annexure. It may vary from case to case. State may negotiate with individuals and ensure availability of specialists.
</t>
    </r>
  </si>
</sst>
</file>

<file path=xl/styles.xml><?xml version="1.0" encoding="utf-8"?>
<styleSheet xmlns="http://schemas.openxmlformats.org/spreadsheetml/2006/main">
  <numFmts count="8">
    <numFmt numFmtId="43" formatCode="_ * #,##0.00_ ;_ * \-#,##0.00_ ;_ * &quot;-&quot;??_ ;_ @_ "/>
    <numFmt numFmtId="164" formatCode="_(* #,##0.00_);_(* \(#,##0.00\);_(* &quot;-&quot;??_);_(@_)"/>
    <numFmt numFmtId="165" formatCode="0.0"/>
    <numFmt numFmtId="166" formatCode="_(* #,##0_);_(* \(#,##0\);_(* &quot;-&quot;??_);_(@_)"/>
    <numFmt numFmtId="167" formatCode="_-* #,##0.00_-;\-* #,##0.00_-;_-* &quot;-&quot;??_-;_-@_-"/>
    <numFmt numFmtId="168" formatCode="_ * #,##0.0000_ ;_ * \-#,##0.0000_ ;_ * &quot;-&quot;??_ ;_ @_ "/>
    <numFmt numFmtId="169" formatCode="0.000"/>
    <numFmt numFmtId="170" formatCode="_ * #,##0.000_ ;_ * \-#,##0.000_ ;_ * &quot;-&quot;??_ ;_ @_ "/>
  </numFmts>
  <fonts count="160">
    <font>
      <sz val="10"/>
      <name val="Arial"/>
      <family val="2"/>
    </font>
    <font>
      <sz val="11"/>
      <color theme="1"/>
      <name val="Calibri"/>
      <family val="2"/>
      <scheme val="minor"/>
    </font>
    <font>
      <sz val="11"/>
      <name val="Calibri"/>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Verdana"/>
      <family val="2"/>
    </font>
    <font>
      <b/>
      <sz val="10"/>
      <name val="Verdana"/>
      <family val="2"/>
    </font>
    <font>
      <b/>
      <sz val="10"/>
      <name val="Arial"/>
      <family val="2"/>
    </font>
    <font>
      <sz val="8"/>
      <name val="Arial"/>
      <family val="2"/>
    </font>
    <font>
      <sz val="11"/>
      <color theme="1"/>
      <name val="Calibri"/>
      <family val="2"/>
      <scheme val="minor"/>
    </font>
    <font>
      <u/>
      <sz val="10"/>
      <color theme="10"/>
      <name val="Arial"/>
      <family val="2"/>
    </font>
    <font>
      <sz val="10"/>
      <color theme="1"/>
      <name val="Verdana"/>
      <family val="2"/>
    </font>
    <font>
      <b/>
      <sz val="10"/>
      <color theme="1"/>
      <name val="Verdana"/>
      <family val="2"/>
    </font>
    <font>
      <b/>
      <sz val="10"/>
      <color theme="0"/>
      <name val="Verdana"/>
      <family val="2"/>
    </font>
    <font>
      <sz val="10"/>
      <color theme="0"/>
      <name val="Verdana"/>
      <family val="2"/>
    </font>
    <font>
      <u/>
      <sz val="10"/>
      <color theme="10"/>
      <name val="Verdana"/>
      <family val="2"/>
    </font>
    <font>
      <sz val="10"/>
      <color theme="1"/>
      <name val="Arial"/>
      <family val="2"/>
    </font>
    <font>
      <b/>
      <sz val="11"/>
      <color theme="0"/>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b/>
      <i/>
      <sz val="11"/>
      <name val="Calibri"/>
      <family val="2"/>
      <scheme val="minor"/>
    </font>
    <font>
      <sz val="11"/>
      <name val="Calibri"/>
      <family val="2"/>
      <scheme val="minor"/>
    </font>
    <font>
      <u/>
      <sz val="11"/>
      <color theme="10"/>
      <name val="Calibri"/>
      <family val="2"/>
      <scheme val="minor"/>
    </font>
    <font>
      <b/>
      <sz val="11"/>
      <name val="Calibri"/>
      <family val="2"/>
      <scheme val="minor"/>
    </font>
    <font>
      <b/>
      <i/>
      <sz val="11"/>
      <color theme="1"/>
      <name val="Calibri"/>
      <family val="2"/>
      <scheme val="minor"/>
    </font>
    <font>
      <b/>
      <sz val="11"/>
      <color rgb="FFFF0000"/>
      <name val="Calibri"/>
      <family val="2"/>
      <scheme val="minor"/>
    </font>
    <font>
      <b/>
      <u/>
      <sz val="11"/>
      <color theme="0"/>
      <name val="Calibri"/>
      <family val="2"/>
      <scheme val="minor"/>
    </font>
    <font>
      <u/>
      <sz val="11"/>
      <color theme="1"/>
      <name val="Calibri"/>
      <family val="2"/>
      <scheme val="minor"/>
    </font>
    <font>
      <b/>
      <u/>
      <sz val="11"/>
      <color theme="1"/>
      <name val="Calibri"/>
      <family val="2"/>
      <scheme val="minor"/>
    </font>
    <font>
      <u/>
      <sz val="11"/>
      <name val="Calibri"/>
      <family val="2"/>
      <scheme val="minor"/>
    </font>
    <font>
      <sz val="11"/>
      <name val="Calibri"/>
      <family val="2"/>
    </font>
    <font>
      <b/>
      <i/>
      <sz val="11"/>
      <color theme="0"/>
      <name val="Calibri"/>
      <family val="2"/>
      <scheme val="minor"/>
    </font>
    <font>
      <sz val="11"/>
      <color indexed="8"/>
      <name val="Calibri"/>
      <family val="2"/>
      <scheme val="minor"/>
    </font>
    <font>
      <sz val="11"/>
      <color rgb="FF222222"/>
      <name val="Calibri"/>
      <family val="2"/>
      <scheme val="minor"/>
    </font>
    <font>
      <b/>
      <sz val="11"/>
      <color rgb="FF000000"/>
      <name val="Calibri"/>
      <family val="2"/>
      <scheme val="minor"/>
    </font>
    <font>
      <sz val="11"/>
      <color rgb="FF000000"/>
      <name val="Calibri"/>
      <family val="2"/>
      <scheme val="minor"/>
    </font>
    <font>
      <sz val="11"/>
      <color rgb="FF7030A0"/>
      <name val="Calibri"/>
      <family val="2"/>
      <scheme val="minor"/>
    </font>
    <font>
      <b/>
      <sz val="11"/>
      <color rgb="FF00B050"/>
      <name val="Calibri"/>
      <family val="2"/>
      <scheme val="minor"/>
    </font>
    <font>
      <b/>
      <sz val="11"/>
      <color rgb="FF9900FF"/>
      <name val="Calibri"/>
      <family val="2"/>
      <scheme val="minor"/>
    </font>
    <font>
      <sz val="11"/>
      <color rgb="FF9900FF"/>
      <name val="Calibri"/>
      <family val="2"/>
      <scheme val="minor"/>
    </font>
    <font>
      <sz val="11"/>
      <color rgb="FF00B050"/>
      <name val="Calibri"/>
      <family val="2"/>
      <scheme val="minor"/>
    </font>
    <font>
      <i/>
      <sz val="11"/>
      <color theme="1"/>
      <name val="Calibri"/>
      <family val="2"/>
      <scheme val="minor"/>
    </font>
    <font>
      <sz val="11"/>
      <color rgb="FF000000"/>
      <name val="Calibri"/>
      <family val="2"/>
    </font>
    <font>
      <b/>
      <sz val="11"/>
      <name val="Calibri"/>
      <family val="2"/>
    </font>
    <font>
      <b/>
      <sz val="11"/>
      <color rgb="FFFFFFFF"/>
      <name val="Calibri"/>
      <family val="2"/>
    </font>
    <font>
      <b/>
      <sz val="11"/>
      <color rgb="FF000000"/>
      <name val="Calibri"/>
      <family val="2"/>
    </font>
    <font>
      <sz val="11"/>
      <color rgb="FFFFFFFF"/>
      <name val="Calibri"/>
      <family val="2"/>
    </font>
    <font>
      <sz val="12"/>
      <color theme="1"/>
      <name val="Arial"/>
      <family val="2"/>
    </font>
    <font>
      <b/>
      <sz val="12"/>
      <color theme="1"/>
      <name val="Arial"/>
      <family val="2"/>
    </font>
    <font>
      <b/>
      <sz val="16"/>
      <color indexed="8"/>
      <name val="Calibri"/>
      <family val="2"/>
      <scheme val="minor"/>
    </font>
    <font>
      <sz val="12"/>
      <color theme="1"/>
      <name val="Verdana"/>
      <family val="2"/>
    </font>
    <font>
      <sz val="11"/>
      <color theme="1"/>
      <name val="Verdana"/>
      <family val="2"/>
    </font>
    <font>
      <sz val="16"/>
      <name val="Calibri"/>
      <family val="2"/>
      <scheme val="minor"/>
    </font>
    <font>
      <sz val="16"/>
      <color theme="1"/>
      <name val="Calibri"/>
      <family val="2"/>
      <scheme val="minor"/>
    </font>
    <font>
      <sz val="16"/>
      <color indexed="8"/>
      <name val="Calibri"/>
      <family val="2"/>
      <scheme val="minor"/>
    </font>
    <font>
      <b/>
      <sz val="11"/>
      <color indexed="8"/>
      <name val="Calibri"/>
      <family val="2"/>
      <scheme val="minor"/>
    </font>
    <font>
      <b/>
      <u/>
      <sz val="11"/>
      <color indexed="8"/>
      <name val="Calibri"/>
      <family val="2"/>
      <scheme val="minor"/>
    </font>
    <font>
      <sz val="11"/>
      <name val="Times New Roman"/>
      <family val="1"/>
    </font>
    <font>
      <b/>
      <i/>
      <sz val="11"/>
      <name val="Times New Roman"/>
      <family val="1"/>
    </font>
    <font>
      <b/>
      <u/>
      <sz val="11"/>
      <name val="Times New Roman"/>
      <family val="1"/>
    </font>
    <font>
      <sz val="12"/>
      <name val="Calibri"/>
      <family val="2"/>
      <scheme val="minor"/>
    </font>
    <font>
      <b/>
      <u/>
      <sz val="11"/>
      <name val="Calibri"/>
      <family val="2"/>
      <scheme val="minor"/>
    </font>
    <font>
      <b/>
      <u/>
      <sz val="12"/>
      <name val="Calibri"/>
      <family val="2"/>
      <scheme val="minor"/>
    </font>
    <font>
      <sz val="12"/>
      <name val="Verdana"/>
      <family val="2"/>
    </font>
    <font>
      <sz val="12"/>
      <color theme="1"/>
      <name val="Calibri"/>
      <family val="2"/>
      <scheme val="minor"/>
    </font>
    <font>
      <u/>
      <sz val="11"/>
      <color indexed="8"/>
      <name val="Calibri"/>
      <family val="2"/>
      <scheme val="minor"/>
    </font>
    <font>
      <u/>
      <sz val="11"/>
      <color rgb="FF000000"/>
      <name val="Calibri"/>
      <family val="2"/>
      <scheme val="minor"/>
    </font>
    <font>
      <b/>
      <u/>
      <sz val="11"/>
      <color rgb="FF000000"/>
      <name val="Calibri"/>
      <family val="2"/>
      <scheme val="minor"/>
    </font>
    <font>
      <sz val="11"/>
      <color theme="1"/>
      <name val="Calibri Light"/>
      <family val="2"/>
      <scheme val="major"/>
    </font>
    <font>
      <b/>
      <sz val="11"/>
      <color theme="1"/>
      <name val="Calibri Light"/>
      <family val="2"/>
      <scheme val="major"/>
    </font>
    <font>
      <sz val="11"/>
      <color theme="1"/>
      <name val="Calibri Light"/>
      <family val="1"/>
      <scheme val="major"/>
    </font>
    <font>
      <sz val="12"/>
      <color indexed="8"/>
      <name val="Calibri"/>
      <family val="2"/>
      <scheme val="minor"/>
    </font>
    <font>
      <b/>
      <sz val="12"/>
      <name val="Calibri"/>
      <family val="2"/>
      <scheme val="minor"/>
    </font>
    <font>
      <sz val="14"/>
      <name val="Calibri"/>
      <family val="2"/>
      <scheme val="minor"/>
    </font>
    <font>
      <sz val="14"/>
      <color rgb="FFFF0000"/>
      <name val="Calibri"/>
      <family val="2"/>
      <scheme val="minor"/>
    </font>
    <font>
      <sz val="14"/>
      <color theme="1"/>
      <name val="Calibri"/>
      <family val="2"/>
      <scheme val="minor"/>
    </font>
    <font>
      <sz val="14"/>
      <color indexed="8"/>
      <name val="Calibri"/>
      <family val="2"/>
      <scheme val="minor"/>
    </font>
    <font>
      <b/>
      <sz val="14"/>
      <name val="Calibri"/>
      <family val="2"/>
      <scheme val="minor"/>
    </font>
    <font>
      <b/>
      <sz val="14"/>
      <color theme="1"/>
      <name val="Calibri"/>
      <family val="2"/>
      <scheme val="minor"/>
    </font>
    <font>
      <b/>
      <sz val="12"/>
      <color indexed="8"/>
      <name val="Calibri"/>
      <family val="2"/>
      <scheme val="minor"/>
    </font>
    <font>
      <sz val="10"/>
      <name val="Calibri"/>
      <family val="2"/>
    </font>
    <font>
      <sz val="10"/>
      <color rgb="FF222222"/>
      <name val="Calibri"/>
      <family val="2"/>
    </font>
    <font>
      <b/>
      <sz val="10"/>
      <color rgb="FF222222"/>
      <name val="Calibri"/>
      <family val="2"/>
    </font>
    <font>
      <sz val="10"/>
      <color rgb="FF000000"/>
      <name val="Calibri"/>
      <family val="2"/>
    </font>
    <font>
      <b/>
      <sz val="10"/>
      <color rgb="FF000000"/>
      <name val="Calibri"/>
      <family val="2"/>
    </font>
    <font>
      <sz val="10"/>
      <name val="Calibri"/>
      <family val="2"/>
      <scheme val="minor"/>
    </font>
    <font>
      <b/>
      <sz val="10"/>
      <name val="Calibri"/>
      <family val="2"/>
      <scheme val="minor"/>
    </font>
    <font>
      <b/>
      <sz val="10"/>
      <color theme="1"/>
      <name val="Calibri"/>
      <family val="2"/>
      <scheme val="minor"/>
    </font>
    <font>
      <b/>
      <sz val="10"/>
      <color theme="0"/>
      <name val="Calibri"/>
      <family val="2"/>
      <scheme val="minor"/>
    </font>
    <font>
      <sz val="10"/>
      <color theme="1"/>
      <name val="Calibri"/>
      <family val="2"/>
      <scheme val="minor"/>
    </font>
    <font>
      <sz val="9"/>
      <color rgb="FFFF0000"/>
      <name val="Verdana"/>
      <family val="2"/>
    </font>
    <font>
      <b/>
      <sz val="12"/>
      <color theme="1"/>
      <name val="Calibri"/>
      <family val="2"/>
      <scheme val="minor"/>
    </font>
    <font>
      <sz val="8"/>
      <color theme="1"/>
      <name val="Calibri"/>
      <family val="2"/>
      <scheme val="minor"/>
    </font>
    <font>
      <sz val="9"/>
      <name val="Calibri"/>
      <family val="2"/>
    </font>
    <font>
      <sz val="8"/>
      <name val="Calibri"/>
      <family val="2"/>
    </font>
    <font>
      <sz val="8"/>
      <name val="Calibri"/>
      <family val="2"/>
      <scheme val="minor"/>
    </font>
    <font>
      <b/>
      <u/>
      <sz val="8"/>
      <name val="Calibri"/>
      <family val="2"/>
      <scheme val="minor"/>
    </font>
    <font>
      <sz val="11"/>
      <color rgb="FFFF0000"/>
      <name val="Calibri"/>
      <family val="2"/>
    </font>
    <font>
      <b/>
      <sz val="10"/>
      <name val="Calibri"/>
      <family val="2"/>
    </font>
  </fonts>
  <fills count="51">
    <fill>
      <patternFill patternType="none"/>
    </fill>
    <fill>
      <patternFill patternType="gray125"/>
    </fill>
    <fill>
      <patternFill patternType="solid">
        <fgColor theme="8" tint="0.59999389629810485"/>
        <bgColor indexed="64"/>
      </patternFill>
    </fill>
    <fill>
      <patternFill patternType="solid">
        <fgColor theme="2" tint="-9.9978637043366805E-2"/>
        <bgColor indexed="64"/>
      </patternFill>
    </fill>
    <fill>
      <patternFill patternType="solid">
        <fgColor theme="3" tint="0.59999389629810485"/>
        <bgColor indexed="64"/>
      </patternFill>
    </fill>
    <fill>
      <patternFill patternType="solid">
        <fgColor theme="4" tint="0.59999389629810485"/>
        <bgColor indexed="64"/>
      </patternFill>
    </fill>
    <fill>
      <patternFill patternType="solid">
        <fgColor theme="2"/>
        <bgColor indexed="64"/>
      </patternFill>
    </fill>
    <fill>
      <patternFill patternType="solid">
        <fgColor theme="4"/>
        <bgColor indexed="64"/>
      </patternFill>
    </fill>
    <fill>
      <patternFill patternType="solid">
        <fgColor rgb="FF66FF99"/>
        <bgColor indexed="64"/>
      </patternFill>
    </fill>
    <fill>
      <patternFill patternType="solid">
        <fgColor rgb="FF002060"/>
        <bgColor indexed="64"/>
      </patternFill>
    </fill>
    <fill>
      <patternFill patternType="solid">
        <fgColor theme="5" tint="0.79998168889431442"/>
        <bgColor indexed="64"/>
      </patternFill>
    </fill>
    <fill>
      <patternFill patternType="solid">
        <fgColor theme="0"/>
        <bgColor indexed="64"/>
      </patternFill>
    </fill>
    <fill>
      <patternFill patternType="solid">
        <fgColor theme="5" tint="0.39997558519241921"/>
        <bgColor indexed="64"/>
      </patternFill>
    </fill>
    <fill>
      <patternFill patternType="solid">
        <fgColor rgb="FFFFFF00"/>
        <bgColor indexed="64"/>
      </patternFill>
    </fill>
    <fill>
      <patternFill patternType="solid">
        <fgColor theme="1"/>
        <bgColor indexed="64"/>
      </patternFill>
    </fill>
    <fill>
      <patternFill patternType="solid">
        <fgColor theme="5" tint="-0.249977111117893"/>
        <bgColor indexed="64"/>
      </patternFill>
    </fill>
    <fill>
      <patternFill patternType="solid">
        <fgColor theme="8" tint="-0.499984740745262"/>
        <bgColor indexed="64"/>
      </patternFill>
    </fill>
    <fill>
      <patternFill patternType="solid">
        <fgColor theme="9" tint="0.59999389629810485"/>
        <bgColor indexed="64"/>
      </patternFill>
    </fill>
    <fill>
      <patternFill patternType="solid">
        <fgColor theme="0" tint="-4.9989318521683403E-2"/>
        <bgColor indexed="64"/>
      </patternFill>
    </fill>
    <fill>
      <patternFill patternType="solid">
        <fgColor theme="1" tint="0.499984740745262"/>
        <bgColor indexed="64"/>
      </patternFill>
    </fill>
    <fill>
      <patternFill patternType="solid">
        <fgColor theme="0" tint="-0.249977111117893"/>
        <bgColor indexed="64"/>
      </patternFill>
    </fill>
    <fill>
      <patternFill patternType="solid">
        <fgColor theme="7"/>
        <bgColor indexed="64"/>
      </patternFill>
    </fill>
    <fill>
      <patternFill patternType="solid">
        <fgColor theme="5" tint="0.59999389629810485"/>
        <bgColor indexed="64"/>
      </patternFill>
    </fill>
    <fill>
      <patternFill patternType="solid">
        <fgColor theme="7" tint="0.59999389629810485"/>
        <bgColor indexed="64"/>
      </patternFill>
    </fill>
    <fill>
      <patternFill patternType="solid">
        <fgColor rgb="FF00B050"/>
        <bgColor indexed="64"/>
      </patternFill>
    </fill>
    <fill>
      <patternFill patternType="solid">
        <fgColor theme="9" tint="-0.499984740745262"/>
        <bgColor indexed="64"/>
      </patternFill>
    </fill>
    <fill>
      <patternFill patternType="solid">
        <fgColor theme="0" tint="-0.14999847407452621"/>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6" tint="0.39997558519241921"/>
        <bgColor indexed="64"/>
      </patternFill>
    </fill>
    <fill>
      <patternFill patternType="solid">
        <fgColor rgb="FF5B9BD5"/>
        <bgColor indexed="64"/>
      </patternFill>
    </fill>
    <fill>
      <patternFill patternType="solid">
        <fgColor theme="2" tint="-0.499984740745262"/>
        <bgColor indexed="64"/>
      </patternFill>
    </fill>
    <fill>
      <patternFill patternType="solid">
        <fgColor rgb="FFB4C6E7"/>
        <bgColor indexed="64"/>
      </patternFill>
    </fill>
    <fill>
      <patternFill patternType="solid">
        <fgColor theme="4" tint="0.79998168889431442"/>
        <bgColor indexed="64"/>
      </patternFill>
    </fill>
    <fill>
      <patternFill patternType="solid">
        <fgColor theme="9" tint="-0.249977111117893"/>
        <bgColor indexed="64"/>
      </patternFill>
    </fill>
    <fill>
      <patternFill patternType="solid">
        <fgColor theme="3" tint="0.79998168889431442"/>
        <bgColor indexed="64"/>
      </patternFill>
    </fill>
    <fill>
      <patternFill patternType="solid">
        <fgColor theme="6" tint="0.59999389629810485"/>
        <bgColor indexed="64"/>
      </patternFill>
    </fill>
    <fill>
      <patternFill patternType="solid">
        <fgColor rgb="FF66FFFF"/>
        <bgColor indexed="64"/>
      </patternFill>
    </fill>
    <fill>
      <patternFill patternType="solid">
        <fgColor rgb="FF00B0F0"/>
        <bgColor indexed="64"/>
      </patternFill>
    </fill>
    <fill>
      <patternFill patternType="solid">
        <fgColor theme="2" tint="-0.89999084444715716"/>
        <bgColor indexed="64"/>
      </patternFill>
    </fill>
    <fill>
      <patternFill patternType="solid">
        <fgColor rgb="FFE7E6E6"/>
        <bgColor indexed="64"/>
      </patternFill>
    </fill>
    <fill>
      <patternFill patternType="solid">
        <fgColor rgb="FFFFFFFF"/>
        <bgColor indexed="64"/>
      </patternFill>
    </fill>
    <fill>
      <patternFill patternType="solid">
        <fgColor rgb="FF203764"/>
        <bgColor indexed="64"/>
      </patternFill>
    </fill>
    <fill>
      <patternFill patternType="solid">
        <fgColor rgb="FFBDD7EE"/>
        <bgColor indexed="64"/>
      </patternFill>
    </fill>
    <fill>
      <patternFill patternType="solid">
        <fgColor rgb="FFACB9CA"/>
        <bgColor indexed="64"/>
      </patternFill>
    </fill>
    <fill>
      <patternFill patternType="solid">
        <fgColor rgb="FFFCE4D6"/>
        <bgColor indexed="64"/>
      </patternFill>
    </fill>
    <fill>
      <patternFill patternType="solid">
        <fgColor rgb="FF000000"/>
        <bgColor indexed="64"/>
      </patternFill>
    </fill>
    <fill>
      <patternFill patternType="solid">
        <fgColor rgb="FFFFF2CC"/>
        <bgColor indexed="64"/>
      </patternFill>
    </fill>
    <fill>
      <patternFill patternType="solid">
        <fgColor rgb="FFD0CECE"/>
        <bgColor indexed="64"/>
      </patternFill>
    </fill>
    <fill>
      <patternFill patternType="solid">
        <fgColor theme="7" tint="0.39997558519241921"/>
        <bgColor indexed="64"/>
      </patternFill>
    </fill>
    <fill>
      <patternFill patternType="solid">
        <fgColor rgb="FFFF0000"/>
        <bgColor indexed="64"/>
      </patternFill>
    </fill>
  </fills>
  <borders count="23">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bottom/>
      <diagonal/>
    </border>
    <border>
      <left style="thin">
        <color indexed="64"/>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top style="thin">
        <color indexed="64"/>
      </top>
      <bottom/>
      <diagonal/>
    </border>
    <border>
      <left style="medium">
        <color indexed="64"/>
      </left>
      <right style="medium">
        <color indexed="64"/>
      </right>
      <top style="medium">
        <color indexed="64"/>
      </top>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medium">
        <color rgb="FF000000"/>
      </left>
      <right style="medium">
        <color rgb="FF000000"/>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right style="medium">
        <color indexed="64"/>
      </right>
      <top/>
      <bottom style="medium">
        <color indexed="64"/>
      </bottom>
      <diagonal/>
    </border>
    <border>
      <left/>
      <right style="medium">
        <color indexed="64"/>
      </right>
      <top style="medium">
        <color indexed="64"/>
      </top>
      <bottom style="medium">
        <color indexed="64"/>
      </bottom>
      <diagonal/>
    </border>
  </borders>
  <cellStyleXfs count="310">
    <xf numFmtId="0" fontId="0" fillId="0" borderId="0"/>
    <xf numFmtId="43" fontId="64" fillId="0" borderId="0" applyFont="0" applyFill="0" applyBorder="0" applyAlignment="0" applyProtection="0"/>
    <xf numFmtId="43" fontId="64" fillId="0" borderId="0" applyFont="0" applyFill="0" applyBorder="0" applyAlignment="0" applyProtection="0"/>
    <xf numFmtId="0" fontId="70" fillId="0" borderId="0" applyNumberFormat="0" applyFill="0" applyBorder="0" applyAlignment="0" applyProtection="0"/>
    <xf numFmtId="0" fontId="64" fillId="0" borderId="0"/>
    <xf numFmtId="0" fontId="64"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4"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83" fillId="0" borderId="0" applyNumberFormat="0" applyFill="0" applyBorder="0" applyAlignment="0" applyProtection="0"/>
    <xf numFmtId="0" fontId="56" fillId="0" borderId="0"/>
    <xf numFmtId="0" fontId="64"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43" fontId="22" fillId="0" borderId="0" applyFont="0" applyFill="0" applyBorder="0" applyAlignment="0" applyProtection="0"/>
    <xf numFmtId="0" fontId="22" fillId="0" borderId="0"/>
    <xf numFmtId="0" fontId="22" fillId="0" borderId="0"/>
    <xf numFmtId="0" fontId="20" fillId="0" borderId="0"/>
    <xf numFmtId="0" fontId="9" fillId="0" borderId="0"/>
    <xf numFmtId="0" fontId="9" fillId="0" borderId="0"/>
    <xf numFmtId="9" fontId="9" fillId="0" borderId="0" applyFont="0" applyFill="0" applyBorder="0" applyAlignment="0" applyProtection="0"/>
  </cellStyleXfs>
  <cellXfs count="4129">
    <xf numFmtId="0" fontId="0" fillId="0" borderId="0" xfId="0"/>
    <xf numFmtId="0" fontId="65" fillId="0" borderId="0" xfId="0" applyFont="1" applyAlignment="1">
      <alignment vertical="center" wrapText="1"/>
    </xf>
    <xf numFmtId="0" fontId="65" fillId="0" borderId="1" xfId="0" applyFont="1" applyBorder="1" applyAlignment="1">
      <alignment vertical="center" wrapText="1"/>
    </xf>
    <xf numFmtId="0" fontId="65" fillId="0" borderId="1" xfId="0" applyFont="1" applyBorder="1" applyAlignment="1">
      <alignment horizontal="left" vertical="center" wrapText="1"/>
    </xf>
    <xf numFmtId="0" fontId="65" fillId="0" borderId="0" xfId="0" applyFont="1" applyAlignment="1">
      <alignment horizontal="left" vertical="center" wrapText="1"/>
    </xf>
    <xf numFmtId="2" fontId="65" fillId="0" borderId="1" xfId="0" applyNumberFormat="1" applyFont="1" applyBorder="1" applyAlignment="1">
      <alignment horizontal="right" vertical="center" wrapText="1"/>
    </xf>
    <xf numFmtId="2" fontId="65" fillId="0" borderId="1" xfId="0" applyNumberFormat="1" applyFont="1" applyBorder="1" applyAlignment="1">
      <alignment vertical="center" wrapText="1"/>
    </xf>
    <xf numFmtId="0" fontId="65" fillId="0" borderId="1" xfId="0" applyFont="1" applyBorder="1" applyAlignment="1">
      <alignment horizontal="right" vertical="center" wrapText="1"/>
    </xf>
    <xf numFmtId="0" fontId="66" fillId="0" borderId="0" xfId="0" applyFont="1" applyAlignment="1">
      <alignment vertical="center" wrapText="1"/>
    </xf>
    <xf numFmtId="2" fontId="65" fillId="0" borderId="1" xfId="0" applyNumberFormat="1" applyFont="1" applyBorder="1" applyAlignment="1">
      <alignment horizontal="left" vertical="center" wrapText="1"/>
    </xf>
    <xf numFmtId="0" fontId="65" fillId="0" borderId="1" xfId="0" applyFont="1" applyFill="1" applyBorder="1" applyAlignment="1">
      <alignment vertical="center" wrapText="1"/>
    </xf>
    <xf numFmtId="0" fontId="75" fillId="13" borderId="1" xfId="3" applyFont="1" applyFill="1" applyBorder="1" applyAlignment="1"/>
    <xf numFmtId="0" fontId="72" fillId="12" borderId="1" xfId="38" applyFont="1" applyFill="1" applyBorder="1" applyAlignment="1">
      <alignment horizontal="center" vertical="center" wrapText="1"/>
    </xf>
    <xf numFmtId="0" fontId="72" fillId="12" borderId="1" xfId="38" applyFont="1" applyFill="1" applyBorder="1" applyAlignment="1">
      <alignment horizontal="left" vertical="center" wrapText="1"/>
    </xf>
    <xf numFmtId="0" fontId="66" fillId="4" borderId="1" xfId="0" applyFont="1" applyFill="1" applyBorder="1" applyAlignment="1">
      <alignment vertical="center" wrapText="1"/>
    </xf>
    <xf numFmtId="0" fontId="66" fillId="4" borderId="1" xfId="0" applyFont="1" applyFill="1" applyBorder="1" applyAlignment="1">
      <alignment horizontal="left" vertical="center" wrapText="1"/>
    </xf>
    <xf numFmtId="0" fontId="75" fillId="8" borderId="1" xfId="3" applyFont="1" applyFill="1" applyBorder="1" applyAlignment="1">
      <alignment vertical="center" wrapText="1"/>
    </xf>
    <xf numFmtId="0" fontId="73" fillId="0" borderId="1" xfId="8" applyFont="1" applyFill="1" applyBorder="1" applyAlignment="1">
      <alignment horizontal="left" vertical="center" wrapText="1"/>
    </xf>
    <xf numFmtId="0" fontId="65" fillId="0" borderId="0" xfId="0" applyFont="1" applyBorder="1" applyAlignment="1">
      <alignment vertical="center" wrapText="1"/>
    </xf>
    <xf numFmtId="0" fontId="73" fillId="7" borderId="1" xfId="0" applyFont="1" applyFill="1" applyBorder="1" applyAlignment="1">
      <alignment horizontal="left" vertical="center" wrapText="1"/>
    </xf>
    <xf numFmtId="0" fontId="66" fillId="2" borderId="1" xfId="0" applyFont="1" applyFill="1" applyBorder="1" applyAlignment="1">
      <alignment horizontal="left" vertical="center" wrapText="1"/>
    </xf>
    <xf numFmtId="0" fontId="73" fillId="16" borderId="1" xfId="0" applyFont="1" applyFill="1" applyBorder="1" applyAlignment="1">
      <alignment horizontal="left" vertical="center" wrapText="1"/>
    </xf>
    <xf numFmtId="0" fontId="66" fillId="5" borderId="1" xfId="0" applyFont="1" applyFill="1" applyBorder="1" applyAlignment="1">
      <alignment horizontal="left" vertical="center" wrapText="1"/>
    </xf>
    <xf numFmtId="0" fontId="65" fillId="4" borderId="1" xfId="0" applyFont="1" applyFill="1" applyBorder="1" applyAlignment="1">
      <alignment horizontal="left" vertical="center" wrapText="1"/>
    </xf>
    <xf numFmtId="2" fontId="72" fillId="12" borderId="1" xfId="38" applyNumberFormat="1" applyFont="1" applyFill="1" applyBorder="1" applyAlignment="1">
      <alignment horizontal="center" vertical="center" wrapText="1"/>
    </xf>
    <xf numFmtId="0" fontId="71" fillId="0" borderId="0" xfId="0" applyFont="1" applyFill="1" applyAlignment="1">
      <alignment vertical="center" wrapText="1"/>
    </xf>
    <xf numFmtId="2" fontId="73" fillId="7" borderId="1" xfId="0" applyNumberFormat="1" applyFont="1" applyFill="1" applyBorder="1" applyAlignment="1">
      <alignment horizontal="right" vertical="center" wrapText="1"/>
    </xf>
    <xf numFmtId="2" fontId="66" fillId="2" borderId="1" xfId="0" applyNumberFormat="1" applyFont="1" applyFill="1" applyBorder="1" applyAlignment="1">
      <alignment horizontal="right" vertical="center" wrapText="1"/>
    </xf>
    <xf numFmtId="2" fontId="66" fillId="4" borderId="1" xfId="0" applyNumberFormat="1" applyFont="1" applyFill="1" applyBorder="1" applyAlignment="1">
      <alignment horizontal="right" vertical="center" wrapText="1"/>
    </xf>
    <xf numFmtId="2" fontId="73" fillId="16" borderId="1" xfId="0" applyNumberFormat="1" applyFont="1" applyFill="1" applyBorder="1" applyAlignment="1">
      <alignment horizontal="right" vertical="center" wrapText="1"/>
    </xf>
    <xf numFmtId="2" fontId="66" fillId="5" borderId="1" xfId="0" applyNumberFormat="1" applyFont="1" applyFill="1" applyBorder="1" applyAlignment="1">
      <alignment horizontal="right" vertical="center" wrapText="1"/>
    </xf>
    <xf numFmtId="2" fontId="65" fillId="4" borderId="1" xfId="0" applyNumberFormat="1" applyFont="1" applyFill="1" applyBorder="1" applyAlignment="1">
      <alignment horizontal="right" vertical="center" wrapText="1"/>
    </xf>
    <xf numFmtId="0" fontId="74" fillId="0" borderId="0" xfId="0" applyFont="1" applyAlignment="1">
      <alignment vertical="center" wrapText="1"/>
    </xf>
    <xf numFmtId="2" fontId="72" fillId="12" borderId="1" xfId="38" applyNumberFormat="1" applyFont="1" applyFill="1" applyBorder="1" applyAlignment="1">
      <alignment horizontal="right" vertical="center" wrapText="1"/>
    </xf>
    <xf numFmtId="0" fontId="66" fillId="0" borderId="1" xfId="0" applyFont="1" applyFill="1" applyBorder="1" applyAlignment="1">
      <alignment horizontal="left" vertical="center" wrapText="1"/>
    </xf>
    <xf numFmtId="0" fontId="66" fillId="0" borderId="1" xfId="0" applyFont="1" applyFill="1" applyBorder="1" applyAlignment="1">
      <alignment horizontal="right" vertical="center" wrapText="1"/>
    </xf>
    <xf numFmtId="2" fontId="66" fillId="2" borderId="1" xfId="0" applyNumberFormat="1" applyFont="1" applyFill="1" applyBorder="1" applyAlignment="1">
      <alignment vertical="center" wrapText="1"/>
    </xf>
    <xf numFmtId="0" fontId="66" fillId="23" borderId="1" xfId="38" applyFont="1" applyFill="1" applyBorder="1" applyAlignment="1">
      <alignment horizontal="center" vertical="center" wrapText="1"/>
    </xf>
    <xf numFmtId="2" fontId="66" fillId="23" borderId="1" xfId="38" applyNumberFormat="1" applyFont="1" applyFill="1" applyBorder="1" applyAlignment="1">
      <alignment horizontal="center" vertical="center" wrapText="1"/>
    </xf>
    <xf numFmtId="0" fontId="66" fillId="17" borderId="1" xfId="38" applyFont="1" applyFill="1" applyBorder="1" applyAlignment="1">
      <alignment horizontal="center" vertical="center" wrapText="1"/>
    </xf>
    <xf numFmtId="0" fontId="66" fillId="17" borderId="1" xfId="38" applyFont="1" applyFill="1" applyBorder="1" applyAlignment="1" applyProtection="1">
      <alignment horizontal="center" vertical="center" wrapText="1"/>
      <protection locked="0"/>
    </xf>
    <xf numFmtId="0" fontId="66" fillId="5" borderId="1" xfId="38" applyFont="1" applyFill="1" applyBorder="1" applyAlignment="1">
      <alignment horizontal="center" vertical="center" wrapText="1"/>
    </xf>
    <xf numFmtId="2" fontId="66" fillId="5" borderId="1" xfId="38" applyNumberFormat="1" applyFont="1" applyFill="1" applyBorder="1" applyAlignment="1">
      <alignment horizontal="center" vertical="center" wrapText="1"/>
    </xf>
    <xf numFmtId="0" fontId="77" fillId="0" borderId="1" xfId="8" applyFont="1" applyFill="1" applyBorder="1" applyAlignment="1">
      <alignment horizontal="left" vertical="center"/>
    </xf>
    <xf numFmtId="0" fontId="84" fillId="17" borderId="1" xfId="38" applyFont="1" applyFill="1" applyBorder="1" applyAlignment="1">
      <alignment horizontal="center" vertical="center" wrapText="1"/>
    </xf>
    <xf numFmtId="0" fontId="84" fillId="17" borderId="1" xfId="38" applyFont="1" applyFill="1" applyBorder="1" applyAlignment="1" applyProtection="1">
      <alignment horizontal="center" vertical="center" wrapText="1"/>
      <protection locked="0"/>
    </xf>
    <xf numFmtId="0" fontId="84" fillId="23" borderId="1" xfId="38" applyFont="1" applyFill="1" applyBorder="1" applyAlignment="1">
      <alignment horizontal="center" vertical="center" wrapText="1"/>
    </xf>
    <xf numFmtId="0" fontId="84" fillId="5" borderId="1" xfId="38" applyFont="1" applyFill="1" applyBorder="1" applyAlignment="1">
      <alignment horizontal="center" vertical="center" wrapText="1"/>
    </xf>
    <xf numFmtId="0" fontId="82" fillId="0" borderId="0" xfId="0" applyFont="1" applyAlignment="1">
      <alignment horizontal="center"/>
    </xf>
    <xf numFmtId="0" fontId="77" fillId="7" borderId="1" xfId="50" applyFont="1" applyFill="1" applyBorder="1" applyAlignment="1">
      <alignment horizontal="left" vertical="center" wrapText="1"/>
    </xf>
    <xf numFmtId="0" fontId="77" fillId="7" borderId="1" xfId="50" applyFont="1" applyFill="1" applyBorder="1" applyAlignment="1" applyProtection="1">
      <alignment horizontal="left" vertical="center" wrapText="1"/>
      <protection locked="0"/>
    </xf>
    <xf numFmtId="0" fontId="79" fillId="4" borderId="1" xfId="8" applyFont="1" applyFill="1" applyBorder="1" applyAlignment="1" applyProtection="1">
      <alignment horizontal="center" vertical="center" wrapText="1"/>
      <protection locked="0"/>
    </xf>
    <xf numFmtId="2" fontId="79" fillId="4" borderId="1" xfId="0" applyNumberFormat="1" applyFont="1" applyFill="1" applyBorder="1" applyAlignment="1" applyProtection="1">
      <alignment horizontal="right" vertical="center" wrapText="1"/>
    </xf>
    <xf numFmtId="0" fontId="84" fillId="4" borderId="1" xfId="0" applyFont="1" applyFill="1" applyBorder="1" applyAlignment="1" applyProtection="1">
      <alignment horizontal="left" vertical="center"/>
      <protection locked="0"/>
    </xf>
    <xf numFmtId="0" fontId="82" fillId="0" borderId="1" xfId="0" applyFont="1" applyBorder="1" applyAlignment="1" applyProtection="1">
      <alignment horizontal="left" vertical="center" wrapText="1"/>
      <protection locked="0"/>
    </xf>
    <xf numFmtId="0" fontId="82" fillId="0" borderId="1" xfId="0" applyFont="1" applyBorder="1" applyAlignment="1" applyProtection="1">
      <alignment horizontal="left" vertical="center"/>
      <protection locked="0"/>
    </xf>
    <xf numFmtId="0" fontId="79" fillId="29" borderId="1" xfId="0" applyFont="1" applyFill="1" applyBorder="1" applyAlignment="1">
      <alignment horizontal="center" vertical="center" wrapText="1"/>
    </xf>
    <xf numFmtId="0" fontId="84" fillId="10" borderId="1" xfId="8" applyFont="1" applyFill="1" applyBorder="1" applyAlignment="1">
      <alignment horizontal="center" vertical="center" wrapText="1"/>
    </xf>
    <xf numFmtId="0" fontId="84" fillId="27" borderId="1" xfId="0" applyFont="1" applyFill="1" applyBorder="1" applyAlignment="1" applyProtection="1">
      <alignment horizontal="center" vertical="center"/>
      <protection locked="0"/>
    </xf>
    <xf numFmtId="0" fontId="82" fillId="0" borderId="0" xfId="0" applyFont="1" applyAlignment="1">
      <alignment horizontal="left" vertical="center"/>
    </xf>
    <xf numFmtId="0" fontId="82" fillId="0" borderId="0" xfId="0" applyFont="1" applyAlignment="1">
      <alignment vertical="center"/>
    </xf>
    <xf numFmtId="0" fontId="82" fillId="0" borderId="0" xfId="0" applyFont="1" applyFill="1" applyAlignment="1">
      <alignment vertical="center"/>
    </xf>
    <xf numFmtId="0" fontId="82" fillId="0" borderId="0" xfId="0" applyFont="1" applyFill="1" applyAlignment="1">
      <alignment horizontal="center" vertical="center"/>
    </xf>
    <xf numFmtId="0" fontId="82" fillId="0" borderId="0" xfId="0" applyFont="1" applyAlignment="1">
      <alignment horizontal="center" vertical="center"/>
    </xf>
    <xf numFmtId="0" fontId="84" fillId="0" borderId="0" xfId="0" applyFont="1" applyAlignment="1">
      <alignment vertical="center"/>
    </xf>
    <xf numFmtId="0" fontId="84" fillId="4" borderId="1" xfId="0" applyFont="1" applyFill="1" applyBorder="1" applyAlignment="1">
      <alignment horizontal="left" vertical="center"/>
    </xf>
    <xf numFmtId="0" fontId="84" fillId="4" borderId="1" xfId="0" applyFont="1" applyFill="1" applyBorder="1" applyAlignment="1" applyProtection="1">
      <alignment vertical="center"/>
      <protection locked="0"/>
    </xf>
    <xf numFmtId="0" fontId="82" fillId="0" borderId="1" xfId="0" applyFont="1" applyBorder="1" applyAlignment="1">
      <alignment horizontal="left" vertical="center"/>
    </xf>
    <xf numFmtId="0" fontId="82" fillId="0" borderId="1" xfId="0" applyFont="1" applyBorder="1" applyAlignment="1" applyProtection="1">
      <alignment vertical="center"/>
      <protection locked="0"/>
    </xf>
    <xf numFmtId="0" fontId="82" fillId="0" borderId="1" xfId="0" applyFont="1" applyBorder="1" applyAlignment="1" applyProtection="1">
      <alignment vertical="center" wrapText="1"/>
      <protection locked="0"/>
    </xf>
    <xf numFmtId="0" fontId="77" fillId="0" borderId="1" xfId="8" applyFont="1" applyFill="1" applyBorder="1" applyAlignment="1">
      <alignment horizontal="center" vertical="center"/>
    </xf>
    <xf numFmtId="0" fontId="77" fillId="7" borderId="1" xfId="50" applyFont="1" applyFill="1" applyBorder="1" applyAlignment="1" applyProtection="1">
      <alignment horizontal="center" vertical="center" wrapText="1"/>
      <protection locked="0"/>
    </xf>
    <xf numFmtId="0" fontId="84" fillId="4" borderId="1" xfId="0" applyFont="1" applyFill="1" applyBorder="1" applyAlignment="1" applyProtection="1">
      <alignment horizontal="center" vertical="center"/>
      <protection locked="0"/>
    </xf>
    <xf numFmtId="0" fontId="84" fillId="28" borderId="1" xfId="0" applyFont="1" applyFill="1" applyBorder="1" applyAlignment="1" applyProtection="1">
      <alignment horizontal="center" vertical="center"/>
      <protection locked="0"/>
    </xf>
    <xf numFmtId="0" fontId="77" fillId="0" borderId="1" xfId="48" applyFont="1" applyFill="1" applyBorder="1" applyAlignment="1">
      <alignment horizontal="center" vertical="center"/>
    </xf>
    <xf numFmtId="0" fontId="82" fillId="0" borderId="1" xfId="0" applyFont="1" applyBorder="1" applyAlignment="1">
      <alignment horizontal="left" vertical="center" wrapText="1"/>
    </xf>
    <xf numFmtId="0" fontId="86" fillId="0" borderId="1" xfId="0" applyFont="1" applyFill="1" applyBorder="1" applyAlignment="1" applyProtection="1">
      <alignment vertical="center" wrapText="1"/>
      <protection locked="0"/>
    </xf>
    <xf numFmtId="0" fontId="86" fillId="0" borderId="1" xfId="0" applyFont="1" applyFill="1" applyBorder="1" applyAlignment="1" applyProtection="1">
      <alignment horizontal="center" vertical="center" wrapText="1"/>
      <protection locked="0"/>
    </xf>
    <xf numFmtId="2" fontId="86" fillId="0" borderId="1" xfId="0" applyNumberFormat="1" applyFont="1" applyFill="1" applyBorder="1" applyAlignment="1" applyProtection="1">
      <alignment horizontal="right" vertical="center" wrapText="1"/>
      <protection locked="0"/>
    </xf>
    <xf numFmtId="2" fontId="86" fillId="0" borderId="1" xfId="0" applyNumberFormat="1" applyFont="1" applyFill="1" applyBorder="1" applyAlignment="1" applyProtection="1">
      <alignment vertical="center" wrapText="1"/>
      <protection locked="0"/>
    </xf>
    <xf numFmtId="0" fontId="84" fillId="0" borderId="1" xfId="0" applyFont="1" applyFill="1" applyBorder="1" applyAlignment="1" applyProtection="1">
      <alignment vertical="center" wrapText="1"/>
      <protection locked="0"/>
    </xf>
    <xf numFmtId="0" fontId="84" fillId="0" borderId="1" xfId="0" applyFont="1" applyFill="1" applyBorder="1" applyAlignment="1" applyProtection="1">
      <alignment horizontal="left" vertical="center" wrapText="1"/>
      <protection locked="0"/>
    </xf>
    <xf numFmtId="0" fontId="78" fillId="0" borderId="1" xfId="0" applyFont="1" applyBorder="1" applyAlignment="1" applyProtection="1">
      <alignment horizontal="center" vertical="center" wrapText="1"/>
      <protection locked="0"/>
    </xf>
    <xf numFmtId="0" fontId="79" fillId="12" borderId="1" xfId="38" applyFont="1" applyFill="1" applyBorder="1" applyAlignment="1" applyProtection="1">
      <alignment horizontal="center" vertical="center" wrapText="1"/>
    </xf>
    <xf numFmtId="0" fontId="84" fillId="2" borderId="1" xfId="4" applyFont="1" applyFill="1" applyBorder="1" applyAlignment="1" applyProtection="1">
      <alignment horizontal="left" vertical="center" wrapText="1"/>
    </xf>
    <xf numFmtId="0" fontId="84" fillId="4" borderId="1" xfId="4" applyFont="1" applyFill="1" applyBorder="1" applyAlignment="1" applyProtection="1">
      <alignment horizontal="left" vertical="center" wrapText="1"/>
    </xf>
    <xf numFmtId="0" fontId="63" fillId="0" borderId="1" xfId="38" applyFont="1" applyFill="1" applyBorder="1" applyAlignment="1" applyProtection="1">
      <alignment horizontal="left" vertical="center" wrapText="1"/>
    </xf>
    <xf numFmtId="0" fontId="79" fillId="0" borderId="1" xfId="38" applyFont="1" applyFill="1" applyBorder="1" applyAlignment="1" applyProtection="1">
      <alignment horizontal="left" vertical="center" wrapText="1"/>
      <protection locked="0"/>
    </xf>
    <xf numFmtId="0" fontId="82" fillId="0" borderId="1" xfId="0" applyFont="1" applyBorder="1" applyAlignment="1" applyProtection="1">
      <alignment horizontal="left" vertical="center" wrapText="1"/>
    </xf>
    <xf numFmtId="0" fontId="79" fillId="0" borderId="1" xfId="38" applyFont="1" applyFill="1" applyBorder="1" applyAlignment="1" applyProtection="1">
      <alignment horizontal="left" vertical="center" wrapText="1"/>
    </xf>
    <xf numFmtId="0" fontId="82" fillId="4" borderId="1" xfId="4" applyFont="1" applyFill="1" applyBorder="1" applyAlignment="1" applyProtection="1">
      <alignment vertical="center" wrapText="1"/>
      <protection locked="0"/>
    </xf>
    <xf numFmtId="0" fontId="83" fillId="0" borderId="1" xfId="3" applyFont="1" applyFill="1" applyBorder="1" applyAlignment="1">
      <alignment horizontal="center"/>
    </xf>
    <xf numFmtId="0" fontId="82" fillId="0" borderId="0" xfId="0" applyFont="1" applyFill="1" applyAlignment="1">
      <alignment horizontal="center" vertical="center" wrapText="1"/>
    </xf>
    <xf numFmtId="0" fontId="84" fillId="2" borderId="1" xfId="4" applyFont="1" applyFill="1" applyBorder="1" applyAlignment="1" applyProtection="1">
      <alignment horizontal="left" vertical="center" wrapText="1"/>
      <protection locked="0"/>
    </xf>
    <xf numFmtId="0" fontId="84" fillId="4" borderId="1" xfId="4" applyFont="1" applyFill="1" applyBorder="1" applyAlignment="1" applyProtection="1">
      <alignment horizontal="left" vertical="center" wrapText="1"/>
      <protection locked="0"/>
    </xf>
    <xf numFmtId="0" fontId="84" fillId="3" borderId="1" xfId="8" applyFont="1" applyFill="1" applyBorder="1" applyAlignment="1" applyProtection="1">
      <alignment horizontal="left" vertical="center" wrapText="1"/>
      <protection locked="0"/>
    </xf>
    <xf numFmtId="0" fontId="82" fillId="2" borderId="1" xfId="8" applyFont="1" applyFill="1" applyBorder="1" applyAlignment="1" applyProtection="1">
      <alignment horizontal="left" vertical="center" wrapText="1"/>
      <protection locked="0"/>
    </xf>
    <xf numFmtId="0" fontId="82" fillId="4" borderId="1" xfId="8" applyFont="1" applyFill="1" applyBorder="1" applyAlignment="1" applyProtection="1">
      <alignment horizontal="left" vertical="center" wrapText="1"/>
      <protection locked="0"/>
    </xf>
    <xf numFmtId="0" fontId="82" fillId="0" borderId="1" xfId="8" applyFont="1" applyBorder="1" applyAlignment="1" applyProtection="1">
      <alignment horizontal="left" vertical="center" wrapText="1"/>
      <protection locked="0"/>
    </xf>
    <xf numFmtId="0" fontId="82" fillId="0" borderId="1" xfId="4" applyFont="1" applyBorder="1" applyAlignment="1" applyProtection="1">
      <alignment horizontal="left" vertical="center" wrapText="1"/>
      <protection locked="0"/>
    </xf>
    <xf numFmtId="2" fontId="82" fillId="0" borderId="1" xfId="0" applyNumberFormat="1" applyFont="1" applyBorder="1" applyAlignment="1">
      <alignment horizontal="left" vertical="center" wrapText="1"/>
    </xf>
    <xf numFmtId="0" fontId="77" fillId="7" borderId="1" xfId="38" applyFont="1" applyFill="1" applyBorder="1" applyAlignment="1" applyProtection="1">
      <alignment horizontal="left" vertical="center" wrapText="1"/>
      <protection locked="0"/>
    </xf>
    <xf numFmtId="0" fontId="84" fillId="4" borderId="1" xfId="8" applyFont="1" applyFill="1" applyBorder="1" applyAlignment="1" applyProtection="1">
      <alignment horizontal="left" vertical="center" wrapText="1"/>
      <protection locked="0"/>
    </xf>
    <xf numFmtId="0" fontId="84" fillId="0" borderId="1" xfId="0" applyFont="1" applyBorder="1" applyAlignment="1" applyProtection="1">
      <alignment horizontal="left" vertical="center" wrapText="1"/>
      <protection locked="0"/>
    </xf>
    <xf numFmtId="1" fontId="82" fillId="0" borderId="1" xfId="0" applyNumberFormat="1" applyFont="1" applyBorder="1" applyAlignment="1" applyProtection="1">
      <alignment horizontal="left" vertical="center" wrapText="1"/>
      <protection locked="0"/>
    </xf>
    <xf numFmtId="0" fontId="84" fillId="0" borderId="1" xfId="8" applyFont="1" applyFill="1" applyBorder="1" applyAlignment="1" applyProtection="1">
      <alignment horizontal="left" vertical="center" wrapText="1"/>
      <protection locked="0"/>
    </xf>
    <xf numFmtId="0" fontId="79" fillId="2" borderId="1" xfId="40" applyFont="1" applyFill="1" applyBorder="1" applyAlignment="1">
      <alignment horizontal="left" vertical="center" wrapText="1"/>
    </xf>
    <xf numFmtId="0" fontId="82" fillId="0" borderId="1" xfId="0" applyFont="1" applyFill="1" applyBorder="1" applyAlignment="1" applyProtection="1">
      <alignment horizontal="left" vertical="center" wrapText="1"/>
    </xf>
    <xf numFmtId="0" fontId="82" fillId="0" borderId="1" xfId="0" applyFont="1" applyFill="1" applyBorder="1" applyAlignment="1" applyProtection="1">
      <alignment horizontal="left" vertical="center" wrapText="1"/>
      <protection locked="0"/>
    </xf>
    <xf numFmtId="0" fontId="79" fillId="3" borderId="1" xfId="4" applyFont="1" applyFill="1" applyBorder="1" applyAlignment="1" applyProtection="1">
      <alignment horizontal="left" vertical="center" wrapText="1"/>
      <protection locked="0"/>
    </xf>
    <xf numFmtId="0" fontId="82" fillId="0" borderId="0" xfId="0" applyFont="1" applyAlignment="1">
      <alignment horizontal="left" vertical="center" wrapText="1"/>
    </xf>
    <xf numFmtId="0" fontId="83" fillId="8" borderId="1" xfId="3" applyFont="1" applyFill="1" applyBorder="1" applyAlignment="1">
      <alignment horizontal="left" vertical="center" wrapText="1"/>
    </xf>
    <xf numFmtId="0" fontId="79" fillId="2" borderId="1" xfId="40" applyFont="1" applyFill="1" applyBorder="1" applyAlignment="1">
      <alignment horizontal="center" vertical="center" wrapText="1"/>
    </xf>
    <xf numFmtId="43" fontId="84" fillId="23" borderId="1" xfId="1" applyFont="1" applyFill="1" applyBorder="1" applyAlignment="1">
      <alignment horizontal="center" vertical="center" wrapText="1"/>
    </xf>
    <xf numFmtId="43" fontId="79" fillId="2" borderId="1" xfId="1" applyFont="1" applyFill="1" applyBorder="1" applyAlignment="1">
      <alignment horizontal="center" vertical="center" wrapText="1"/>
    </xf>
    <xf numFmtId="43" fontId="84" fillId="2" borderId="1" xfId="1" applyFont="1" applyFill="1" applyBorder="1" applyAlignment="1" applyProtection="1">
      <alignment horizontal="center" vertical="center" wrapText="1"/>
      <protection locked="0"/>
    </xf>
    <xf numFmtId="43" fontId="84" fillId="4" borderId="1" xfId="1" applyFont="1" applyFill="1" applyBorder="1" applyAlignment="1" applyProtection="1">
      <alignment horizontal="center" vertical="center" wrapText="1"/>
      <protection locked="0"/>
    </xf>
    <xf numFmtId="43" fontId="77" fillId="7" borderId="1" xfId="1" applyFont="1" applyFill="1" applyBorder="1" applyAlignment="1">
      <alignment horizontal="right" vertical="center" wrapText="1"/>
    </xf>
    <xf numFmtId="43" fontId="84" fillId="5" borderId="1" xfId="1" applyFont="1" applyFill="1" applyBorder="1" applyAlignment="1">
      <alignment horizontal="center" vertical="center" wrapText="1"/>
    </xf>
    <xf numFmtId="0" fontId="82" fillId="0" borderId="12" xfId="0" applyFont="1" applyFill="1" applyBorder="1" applyAlignment="1">
      <alignment horizontal="left" vertical="center" wrapText="1"/>
    </xf>
    <xf numFmtId="43" fontId="79" fillId="0" borderId="1" xfId="1" applyFont="1" applyFill="1" applyBorder="1" applyAlignment="1">
      <alignment horizontal="center" vertical="center" wrapText="1"/>
    </xf>
    <xf numFmtId="43" fontId="79" fillId="0" borderId="5" xfId="1" applyFont="1" applyFill="1" applyBorder="1" applyAlignment="1">
      <alignment horizontal="center" vertical="center" wrapText="1"/>
    </xf>
    <xf numFmtId="0" fontId="83" fillId="0" borderId="12" xfId="3" applyFont="1" applyFill="1" applyBorder="1" applyAlignment="1">
      <alignment horizontal="left" vertical="center" wrapText="1"/>
    </xf>
    <xf numFmtId="0" fontId="79" fillId="0" borderId="1" xfId="8" applyFont="1" applyBorder="1" applyAlignment="1">
      <alignment horizontal="left" vertical="center"/>
    </xf>
    <xf numFmtId="0" fontId="82" fillId="0" borderId="0" xfId="0" applyFont="1" applyFill="1" applyAlignment="1">
      <alignment wrapText="1"/>
    </xf>
    <xf numFmtId="0" fontId="77" fillId="0" borderId="2" xfId="8" applyFont="1" applyFill="1" applyBorder="1" applyAlignment="1">
      <alignment horizontal="left" vertical="center"/>
    </xf>
    <xf numFmtId="0" fontId="77" fillId="0" borderId="5" xfId="8" applyFont="1" applyFill="1" applyBorder="1" applyAlignment="1">
      <alignment horizontal="left" vertical="center"/>
    </xf>
    <xf numFmtId="0" fontId="82" fillId="0" borderId="0" xfId="0" applyFont="1" applyAlignment="1">
      <alignment wrapText="1"/>
    </xf>
    <xf numFmtId="0" fontId="82" fillId="0" borderId="0" xfId="0" applyFont="1" applyAlignment="1">
      <alignment horizontal="left" wrapText="1"/>
    </xf>
    <xf numFmtId="0" fontId="83" fillId="0" borderId="12" xfId="3" applyFont="1" applyFill="1" applyBorder="1" applyAlignment="1">
      <alignment horizontal="center"/>
    </xf>
    <xf numFmtId="0" fontId="82" fillId="0" borderId="0" xfId="0" applyFont="1" applyAlignment="1">
      <alignment horizontal="center" wrapText="1"/>
    </xf>
    <xf numFmtId="43" fontId="79" fillId="0" borderId="1" xfId="1" applyFont="1" applyFill="1" applyBorder="1" applyAlignment="1">
      <alignment vertical="center" wrapText="1"/>
    </xf>
    <xf numFmtId="0" fontId="77" fillId="0" borderId="6" xfId="8" applyFont="1" applyFill="1" applyBorder="1" applyAlignment="1">
      <alignment horizontal="center" vertical="center"/>
    </xf>
    <xf numFmtId="43" fontId="77" fillId="0" borderId="1" xfId="1" applyFont="1" applyFill="1" applyBorder="1" applyAlignment="1">
      <alignment horizontal="center" vertical="center"/>
    </xf>
    <xf numFmtId="43" fontId="77" fillId="0" borderId="6" xfId="1" applyFont="1" applyFill="1" applyBorder="1" applyAlignment="1">
      <alignment horizontal="center" vertical="center"/>
    </xf>
    <xf numFmtId="43" fontId="82" fillId="0" borderId="0" xfId="1" applyFont="1" applyAlignment="1">
      <alignment horizontal="center" wrapText="1"/>
    </xf>
    <xf numFmtId="43" fontId="77" fillId="0" borderId="1" xfId="1" applyFont="1" applyFill="1" applyBorder="1" applyAlignment="1">
      <alignment horizontal="right" vertical="center"/>
    </xf>
    <xf numFmtId="43" fontId="77" fillId="0" borderId="2" xfId="1" applyFont="1" applyFill="1" applyBorder="1" applyAlignment="1">
      <alignment horizontal="right" vertical="center"/>
    </xf>
    <xf numFmtId="43" fontId="82" fillId="0" borderId="0" xfId="1" applyFont="1" applyAlignment="1">
      <alignment wrapText="1"/>
    </xf>
    <xf numFmtId="43" fontId="84" fillId="0" borderId="1" xfId="1" applyFont="1" applyFill="1" applyBorder="1" applyAlignment="1">
      <alignment horizontal="center" vertical="center" wrapText="1"/>
    </xf>
    <xf numFmtId="43" fontId="84" fillId="0" borderId="1" xfId="1" applyFont="1" applyFill="1" applyBorder="1" applyAlignment="1">
      <alignment horizontal="right" vertical="center" wrapText="1"/>
    </xf>
    <xf numFmtId="0" fontId="82" fillId="3" borderId="1" xfId="0" applyFont="1" applyFill="1" applyBorder="1" applyAlignment="1" applyProtection="1">
      <alignment horizontal="left" vertical="center" wrapText="1"/>
      <protection locked="0"/>
    </xf>
    <xf numFmtId="43" fontId="82" fillId="0" borderId="1" xfId="1" applyFont="1" applyBorder="1" applyAlignment="1" applyProtection="1">
      <alignment horizontal="center" vertical="center" wrapText="1"/>
      <protection locked="0"/>
    </xf>
    <xf numFmtId="43" fontId="84" fillId="3" borderId="1" xfId="1" applyFont="1" applyFill="1" applyBorder="1" applyAlignment="1" applyProtection="1">
      <alignment horizontal="center" vertical="center" wrapText="1"/>
      <protection locked="0"/>
    </xf>
    <xf numFmtId="43" fontId="82" fillId="0" borderId="1" xfId="1" applyFont="1" applyBorder="1" applyAlignment="1" applyProtection="1">
      <alignment horizontal="center" vertical="center"/>
      <protection locked="0"/>
    </xf>
    <xf numFmtId="0" fontId="82" fillId="0" borderId="1" xfId="4" applyFont="1" applyFill="1" applyBorder="1" applyAlignment="1" applyProtection="1">
      <alignment horizontal="left" vertical="center" wrapText="1"/>
      <protection locked="0"/>
    </xf>
    <xf numFmtId="0" fontId="84" fillId="2" borderId="1" xfId="0" applyFont="1" applyFill="1" applyBorder="1" applyAlignment="1" applyProtection="1">
      <alignment horizontal="left" vertical="center" wrapText="1"/>
      <protection locked="0"/>
    </xf>
    <xf numFmtId="0" fontId="84" fillId="4" borderId="1" xfId="0" applyFont="1" applyFill="1" applyBorder="1" applyAlignment="1" applyProtection="1">
      <alignment horizontal="left" vertical="center" wrapText="1"/>
      <protection locked="0"/>
    </xf>
    <xf numFmtId="0" fontId="84" fillId="4" borderId="1" xfId="4" applyFont="1" applyFill="1" applyBorder="1" applyAlignment="1" applyProtection="1">
      <alignment horizontal="center" vertical="center" wrapText="1"/>
      <protection locked="0"/>
    </xf>
    <xf numFmtId="0" fontId="84" fillId="4" borderId="1" xfId="38" applyFont="1" applyFill="1" applyBorder="1" applyAlignment="1" applyProtection="1">
      <alignment horizontal="center" vertical="center" wrapText="1"/>
      <protection locked="0"/>
    </xf>
    <xf numFmtId="0" fontId="84" fillId="2" borderId="1" xfId="4" applyFont="1" applyFill="1" applyBorder="1" applyAlignment="1" applyProtection="1">
      <alignment horizontal="center" vertical="center" wrapText="1"/>
      <protection locked="0"/>
    </xf>
    <xf numFmtId="0" fontId="82" fillId="2" borderId="1" xfId="8" applyFont="1" applyFill="1" applyBorder="1" applyAlignment="1" applyProtection="1">
      <alignment horizontal="center" vertical="center" wrapText="1"/>
      <protection locked="0"/>
    </xf>
    <xf numFmtId="0" fontId="84" fillId="4" borderId="1" xfId="8" applyFont="1" applyFill="1" applyBorder="1" applyAlignment="1" applyProtection="1">
      <alignment horizontal="center" vertical="center" wrapText="1"/>
      <protection locked="0"/>
    </xf>
    <xf numFmtId="0" fontId="79" fillId="2" borderId="1" xfId="38" applyFont="1" applyFill="1" applyBorder="1" applyAlignment="1" applyProtection="1">
      <alignment horizontal="center" vertical="center" wrapText="1"/>
      <protection locked="0"/>
    </xf>
    <xf numFmtId="43" fontId="79" fillId="2" borderId="1" xfId="1" applyFont="1" applyFill="1" applyBorder="1" applyAlignment="1" applyProtection="1">
      <alignment horizontal="center" vertical="center" wrapText="1"/>
      <protection locked="0"/>
    </xf>
    <xf numFmtId="0" fontId="82" fillId="0" borderId="1" xfId="0" applyFont="1" applyBorder="1" applyAlignment="1" applyProtection="1">
      <alignment horizontal="center" vertical="center" wrapText="1"/>
      <protection locked="0"/>
    </xf>
    <xf numFmtId="0" fontId="84" fillId="18" borderId="1" xfId="0" applyFont="1" applyFill="1" applyBorder="1" applyAlignment="1" applyProtection="1">
      <alignment horizontal="left" vertical="center" wrapText="1"/>
      <protection locked="0"/>
    </xf>
    <xf numFmtId="0" fontId="84" fillId="0" borderId="1" xfId="4" applyFont="1" applyFill="1" applyBorder="1" applyAlignment="1" applyProtection="1">
      <alignment horizontal="left" vertical="center" wrapText="1"/>
      <protection locked="0"/>
    </xf>
    <xf numFmtId="0" fontId="82" fillId="0" borderId="1" xfId="0" applyFont="1" applyBorder="1" applyAlignment="1" applyProtection="1">
      <alignment horizontal="center" vertical="center" wrapText="1"/>
    </xf>
    <xf numFmtId="0" fontId="63" fillId="0" borderId="1" xfId="38" applyFont="1" applyFill="1" applyBorder="1" applyAlignment="1" applyProtection="1">
      <alignment horizontal="center" vertical="center" wrapText="1"/>
    </xf>
    <xf numFmtId="43" fontId="77" fillId="7" borderId="1" xfId="1" applyFont="1" applyFill="1" applyBorder="1" applyAlignment="1" applyProtection="1">
      <alignment horizontal="center" vertical="center" wrapText="1"/>
    </xf>
    <xf numFmtId="43" fontId="79" fillId="0" borderId="1" xfId="1" applyFont="1" applyFill="1" applyBorder="1" applyAlignment="1" applyProtection="1">
      <alignment horizontal="center" vertical="center" wrapText="1"/>
    </xf>
    <xf numFmtId="43" fontId="82" fillId="0" borderId="1" xfId="1" applyFont="1" applyBorder="1" applyAlignment="1" applyProtection="1">
      <alignment horizontal="center" vertical="center" wrapText="1"/>
    </xf>
    <xf numFmtId="0" fontId="84" fillId="4" borderId="1" xfId="11" applyFont="1" applyFill="1" applyBorder="1" applyAlignment="1" applyProtection="1">
      <alignment horizontal="left" vertical="center" wrapText="1"/>
      <protection locked="0"/>
    </xf>
    <xf numFmtId="0" fontId="79" fillId="2" borderId="1" xfId="38" applyFont="1" applyFill="1" applyBorder="1" applyAlignment="1" applyProtection="1">
      <alignment horizontal="left" vertical="center" wrapText="1"/>
      <protection locked="0"/>
    </xf>
    <xf numFmtId="0" fontId="77" fillId="7" borderId="1" xfId="38" applyFont="1" applyFill="1" applyBorder="1" applyAlignment="1" applyProtection="1">
      <alignment horizontal="left" vertical="center" wrapText="1"/>
    </xf>
    <xf numFmtId="0" fontId="61" fillId="2" borderId="1" xfId="38" applyFont="1" applyFill="1" applyBorder="1" applyAlignment="1" applyProtection="1">
      <alignment horizontal="left" vertical="center" wrapText="1"/>
      <protection locked="0"/>
    </xf>
    <xf numFmtId="0" fontId="61" fillId="2" borderId="1" xfId="38" applyFont="1" applyFill="1" applyBorder="1" applyAlignment="1" applyProtection="1">
      <alignment horizontal="left" vertical="center" wrapText="1"/>
    </xf>
    <xf numFmtId="0" fontId="82" fillId="0" borderId="1" xfId="8" applyFont="1" applyBorder="1" applyAlignment="1" applyProtection="1">
      <alignment horizontal="center" vertical="center" wrapText="1"/>
      <protection locked="0"/>
    </xf>
    <xf numFmtId="4" fontId="82" fillId="0" borderId="1" xfId="8" applyNumberFormat="1" applyFont="1" applyBorder="1" applyAlignment="1" applyProtection="1">
      <alignment horizontal="center" vertical="center" wrapText="1"/>
      <protection locked="0"/>
    </xf>
    <xf numFmtId="0" fontId="61" fillId="0" borderId="1" xfId="8" applyFont="1" applyBorder="1" applyAlignment="1" applyProtection="1">
      <alignment horizontal="center" vertical="center" wrapText="1"/>
      <protection locked="0"/>
    </xf>
    <xf numFmtId="0" fontId="93" fillId="0" borderId="1" xfId="0" applyFont="1" applyBorder="1" applyAlignment="1" applyProtection="1">
      <alignment horizontal="left" vertical="center" wrapText="1"/>
      <protection locked="0"/>
    </xf>
    <xf numFmtId="0" fontId="82" fillId="0" borderId="1" xfId="38" applyFont="1" applyBorder="1" applyAlignment="1" applyProtection="1">
      <alignment horizontal="center" vertical="center" wrapText="1"/>
      <protection locked="0"/>
    </xf>
    <xf numFmtId="0" fontId="82" fillId="0" borderId="1" xfId="0" applyFont="1" applyBorder="1" applyAlignment="1" applyProtection="1">
      <alignment horizontal="center" vertical="center"/>
      <protection locked="0"/>
    </xf>
    <xf numFmtId="0" fontId="78" fillId="0" borderId="1" xfId="0" applyFont="1" applyBorder="1" applyAlignment="1" applyProtection="1">
      <alignment horizontal="left" vertical="center" wrapText="1"/>
      <protection locked="0"/>
    </xf>
    <xf numFmtId="0" fontId="82" fillId="10" borderId="1" xfId="0" applyFont="1" applyFill="1" applyBorder="1" applyAlignment="1" applyProtection="1">
      <alignment horizontal="left" vertical="center" wrapText="1"/>
      <protection locked="0"/>
    </xf>
    <xf numFmtId="0" fontId="79" fillId="6" borderId="1" xfId="38" applyFont="1" applyFill="1" applyBorder="1" applyAlignment="1" applyProtection="1">
      <alignment horizontal="left" vertical="center" wrapText="1"/>
      <protection locked="0"/>
    </xf>
    <xf numFmtId="0" fontId="79" fillId="6" borderId="1" xfId="38" applyFont="1" applyFill="1" applyBorder="1" applyAlignment="1" applyProtection="1">
      <alignment horizontal="left" vertical="center" wrapText="1"/>
    </xf>
    <xf numFmtId="0" fontId="82" fillId="0" borderId="1" xfId="0" applyFont="1" applyFill="1" applyBorder="1" applyAlignment="1" applyProtection="1">
      <alignment horizontal="center" vertical="center" wrapText="1"/>
      <protection locked="0"/>
    </xf>
    <xf numFmtId="0" fontId="78" fillId="0" borderId="1" xfId="0" applyFont="1" applyFill="1" applyBorder="1" applyAlignment="1" applyProtection="1">
      <alignment horizontal="left" vertical="center" wrapText="1"/>
      <protection locked="0"/>
    </xf>
    <xf numFmtId="0" fontId="82" fillId="0" borderId="1" xfId="4" applyFont="1" applyBorder="1" applyAlignment="1" applyProtection="1">
      <alignment vertical="center" wrapText="1"/>
      <protection locked="0"/>
    </xf>
    <xf numFmtId="0" fontId="84" fillId="6" borderId="1" xfId="0" applyFont="1" applyFill="1" applyBorder="1" applyAlignment="1" applyProtection="1">
      <alignment horizontal="center" vertical="center" wrapText="1"/>
      <protection locked="0"/>
    </xf>
    <xf numFmtId="0" fontId="86" fillId="6" borderId="1" xfId="0" applyFont="1" applyFill="1" applyBorder="1" applyAlignment="1" applyProtection="1">
      <alignment horizontal="left" vertical="center" wrapText="1"/>
      <protection locked="0"/>
    </xf>
    <xf numFmtId="2" fontId="84" fillId="6" borderId="1" xfId="0" applyNumberFormat="1" applyFont="1" applyFill="1" applyBorder="1" applyAlignment="1" applyProtection="1">
      <alignment horizontal="left" vertical="center" wrapText="1"/>
    </xf>
    <xf numFmtId="0" fontId="79" fillId="0" borderId="1" xfId="8" applyFont="1" applyBorder="1" applyAlignment="1" applyProtection="1">
      <alignment horizontal="center" vertical="center" wrapText="1"/>
      <protection locked="0"/>
    </xf>
    <xf numFmtId="0" fontId="84" fillId="0" borderId="1" xfId="0" applyFont="1" applyBorder="1" applyAlignment="1" applyProtection="1">
      <alignment horizontal="center" vertical="center" wrapText="1"/>
      <protection locked="0"/>
    </xf>
    <xf numFmtId="2" fontId="82" fillId="0" borderId="1" xfId="0" applyNumberFormat="1" applyFont="1" applyBorder="1" applyAlignment="1" applyProtection="1">
      <alignment horizontal="center" vertical="center" wrapText="1"/>
      <protection locked="0"/>
    </xf>
    <xf numFmtId="0" fontId="84" fillId="4" borderId="1" xfId="0" applyFont="1" applyFill="1" applyBorder="1" applyAlignment="1" applyProtection="1">
      <alignment horizontal="left" vertical="center" wrapText="1"/>
    </xf>
    <xf numFmtId="43" fontId="81" fillId="28" borderId="1" xfId="1" applyFont="1" applyFill="1" applyBorder="1" applyAlignment="1">
      <alignment horizontal="center" vertical="center" wrapText="1"/>
    </xf>
    <xf numFmtId="43" fontId="79" fillId="29" borderId="1" xfId="1" applyFont="1" applyFill="1" applyBorder="1" applyAlignment="1">
      <alignment horizontal="center" vertical="center" wrapText="1"/>
    </xf>
    <xf numFmtId="2" fontId="82" fillId="2" borderId="1" xfId="4" applyNumberFormat="1" applyFont="1" applyFill="1" applyBorder="1" applyAlignment="1" applyProtection="1">
      <alignment horizontal="center" vertical="center" wrapText="1"/>
      <protection locked="0"/>
    </xf>
    <xf numFmtId="0" fontId="61" fillId="2" borderId="1" xfId="38" applyFont="1" applyFill="1" applyBorder="1" applyAlignment="1" applyProtection="1">
      <alignment horizontal="center" vertical="center" wrapText="1"/>
      <protection locked="0"/>
    </xf>
    <xf numFmtId="0" fontId="82" fillId="4" borderId="1" xfId="4" applyFont="1" applyFill="1" applyBorder="1" applyAlignment="1" applyProtection="1">
      <alignment horizontal="center" vertical="center" wrapText="1"/>
      <protection locked="0"/>
    </xf>
    <xf numFmtId="43" fontId="61" fillId="0" borderId="1" xfId="1" applyFont="1" applyBorder="1" applyAlignment="1" applyProtection="1">
      <alignment horizontal="center" vertical="center" wrapText="1"/>
    </xf>
    <xf numFmtId="167" fontId="82" fillId="0" borderId="1" xfId="0" applyNumberFormat="1" applyFont="1" applyBorder="1" applyAlignment="1" applyProtection="1">
      <alignment horizontal="center" vertical="center" wrapText="1"/>
      <protection locked="0"/>
    </xf>
    <xf numFmtId="0" fontId="79" fillId="4" borderId="1" xfId="4" applyFont="1" applyFill="1" applyBorder="1" applyAlignment="1" applyProtection="1">
      <alignment horizontal="center" vertical="center" wrapText="1"/>
      <protection locked="0"/>
    </xf>
    <xf numFmtId="0" fontId="84" fillId="6" borderId="1" xfId="38" applyFont="1" applyFill="1" applyBorder="1" applyAlignment="1" applyProtection="1">
      <alignment horizontal="center" vertical="center" wrapText="1"/>
      <protection locked="0"/>
    </xf>
    <xf numFmtId="0" fontId="79" fillId="6" borderId="1" xfId="38" applyFont="1" applyFill="1" applyBorder="1" applyAlignment="1" applyProtection="1">
      <alignment horizontal="center" vertical="center" wrapText="1"/>
      <protection locked="0"/>
    </xf>
    <xf numFmtId="167" fontId="82" fillId="0" borderId="1" xfId="0" applyNumberFormat="1" applyFont="1" applyFill="1" applyBorder="1" applyAlignment="1" applyProtection="1">
      <alignment horizontal="center" vertical="center" wrapText="1"/>
      <protection locked="0"/>
    </xf>
    <xf numFmtId="167" fontId="84" fillId="6" borderId="1" xfId="0" applyNumberFormat="1" applyFont="1" applyFill="1" applyBorder="1" applyAlignment="1" applyProtection="1">
      <alignment horizontal="center" vertical="center" wrapText="1"/>
      <protection locked="0"/>
    </xf>
    <xf numFmtId="0" fontId="86" fillId="6" borderId="1" xfId="0" applyFont="1" applyFill="1" applyBorder="1" applyAlignment="1" applyProtection="1">
      <alignment horizontal="center" vertical="center" wrapText="1"/>
      <protection locked="0"/>
    </xf>
    <xf numFmtId="0" fontId="79" fillId="6" borderId="1" xfId="0" applyFont="1" applyFill="1" applyBorder="1" applyAlignment="1" applyProtection="1">
      <alignment horizontal="center" vertical="center" wrapText="1"/>
      <protection locked="0"/>
    </xf>
    <xf numFmtId="0" fontId="82" fillId="2" borderId="1" xfId="38" applyFont="1" applyFill="1" applyBorder="1" applyAlignment="1" applyProtection="1">
      <alignment horizontal="center" vertical="center" wrapText="1"/>
      <protection locked="0"/>
    </xf>
    <xf numFmtId="0" fontId="84" fillId="0" borderId="1" xfId="38" applyFont="1" applyFill="1" applyBorder="1" applyAlignment="1" applyProtection="1">
      <alignment horizontal="center" vertical="center" wrapText="1"/>
      <protection locked="0"/>
    </xf>
    <xf numFmtId="167" fontId="84" fillId="0" borderId="1" xfId="0" applyNumberFormat="1" applyFont="1" applyBorder="1" applyAlignment="1" applyProtection="1">
      <alignment horizontal="center" vertical="center" wrapText="1"/>
      <protection locked="0"/>
    </xf>
    <xf numFmtId="0" fontId="84" fillId="4" borderId="1" xfId="0" applyFont="1" applyFill="1" applyBorder="1" applyAlignment="1" applyProtection="1">
      <alignment horizontal="center" vertical="center" wrapText="1"/>
      <protection locked="0"/>
    </xf>
    <xf numFmtId="0" fontId="79" fillId="4" borderId="1" xfId="0" applyFont="1" applyFill="1" applyBorder="1" applyAlignment="1" applyProtection="1">
      <alignment horizontal="center" vertical="center" wrapText="1"/>
      <protection locked="0"/>
    </xf>
    <xf numFmtId="43" fontId="77" fillId="7" borderId="1" xfId="1" applyFont="1" applyFill="1" applyBorder="1" applyAlignment="1" applyProtection="1">
      <alignment horizontal="right" vertical="center" wrapText="1"/>
    </xf>
    <xf numFmtId="43" fontId="79" fillId="2" borderId="1" xfId="1" applyFont="1" applyFill="1" applyBorder="1" applyAlignment="1" applyProtection="1">
      <alignment horizontal="right" vertical="center" wrapText="1"/>
    </xf>
    <xf numFmtId="43" fontId="84" fillId="4" borderId="1" xfId="1" applyFont="1" applyFill="1" applyBorder="1" applyAlignment="1" applyProtection="1">
      <alignment horizontal="right" vertical="center" wrapText="1"/>
    </xf>
    <xf numFmtId="43" fontId="82" fillId="0" borderId="1" xfId="1" applyFont="1" applyBorder="1" applyAlignment="1" applyProtection="1">
      <alignment horizontal="right" vertical="center" wrapText="1"/>
    </xf>
    <xf numFmtId="43" fontId="79" fillId="6" borderId="1" xfId="1" applyFont="1" applyFill="1" applyBorder="1" applyAlignment="1" applyProtection="1">
      <alignment horizontal="right" vertical="center" wrapText="1"/>
    </xf>
    <xf numFmtId="43" fontId="82" fillId="0" borderId="1" xfId="1" applyFont="1" applyFill="1" applyBorder="1" applyAlignment="1" applyProtection="1">
      <alignment horizontal="right" vertical="center" wrapText="1"/>
    </xf>
    <xf numFmtId="43" fontId="82" fillId="10" borderId="1" xfId="1" applyFont="1" applyFill="1" applyBorder="1" applyAlignment="1" applyProtection="1">
      <alignment horizontal="right" vertical="center" wrapText="1"/>
      <protection locked="0"/>
    </xf>
    <xf numFmtId="43" fontId="84" fillId="6" borderId="1" xfId="1" applyFont="1" applyFill="1" applyBorder="1" applyAlignment="1" applyProtection="1">
      <alignment horizontal="right" vertical="center" wrapText="1"/>
    </xf>
    <xf numFmtId="43" fontId="79" fillId="0" borderId="1" xfId="1" applyFont="1" applyFill="1" applyBorder="1" applyAlignment="1" applyProtection="1">
      <alignment horizontal="right" vertical="center" wrapText="1"/>
    </xf>
    <xf numFmtId="43" fontId="79" fillId="4" borderId="1" xfId="1" applyFont="1" applyFill="1" applyBorder="1" applyAlignment="1" applyProtection="1">
      <alignment horizontal="right" vertical="center" wrapText="1"/>
    </xf>
    <xf numFmtId="0" fontId="77" fillId="7" borderId="1" xfId="8" applyFont="1" applyFill="1" applyBorder="1" applyAlignment="1" applyProtection="1">
      <alignment horizontal="left" vertical="center" wrapText="1"/>
    </xf>
    <xf numFmtId="0" fontId="84" fillId="2" borderId="1" xfId="4" applyFont="1" applyFill="1" applyBorder="1" applyAlignment="1" applyProtection="1">
      <alignment vertical="center" wrapText="1"/>
      <protection locked="0"/>
    </xf>
    <xf numFmtId="0" fontId="82" fillId="4" borderId="1" xfId="8" applyFont="1" applyFill="1" applyBorder="1" applyAlignment="1" applyProtection="1">
      <alignment vertical="center" wrapText="1"/>
      <protection locked="0"/>
    </xf>
    <xf numFmtId="0" fontId="78" fillId="0" borderId="1" xfId="8" applyFont="1" applyBorder="1" applyAlignment="1" applyProtection="1">
      <alignment vertical="center" wrapText="1"/>
      <protection locked="0"/>
    </xf>
    <xf numFmtId="0" fontId="78" fillId="0" borderId="1" xfId="6" applyFont="1" applyBorder="1" applyAlignment="1" applyProtection="1">
      <alignment horizontal="center" vertical="center"/>
      <protection locked="0"/>
    </xf>
    <xf numFmtId="167" fontId="78" fillId="0" borderId="1" xfId="8" applyNumberFormat="1" applyFont="1" applyBorder="1" applyAlignment="1" applyProtection="1">
      <alignment horizontal="right" vertical="center" wrapText="1"/>
      <protection locked="0"/>
    </xf>
    <xf numFmtId="0" fontId="86" fillId="0" borderId="1" xfId="8" applyFont="1" applyBorder="1" applyAlignment="1" applyProtection="1">
      <alignment vertical="center" wrapText="1"/>
      <protection locked="0"/>
    </xf>
    <xf numFmtId="0" fontId="78" fillId="0" borderId="1" xfId="8" applyFont="1" applyBorder="1" applyAlignment="1" applyProtection="1">
      <alignment horizontal="center" vertical="center" wrapText="1"/>
      <protection locked="0"/>
    </xf>
    <xf numFmtId="0" fontId="82" fillId="0" borderId="1" xfId="8" applyFont="1" applyBorder="1" applyAlignment="1" applyProtection="1">
      <alignment horizontal="left" vertical="center" wrapText="1"/>
    </xf>
    <xf numFmtId="0" fontId="82" fillId="0" borderId="1" xfId="8" applyFont="1" applyBorder="1" applyAlignment="1" applyProtection="1">
      <alignment vertical="center" wrapText="1"/>
      <protection locked="0"/>
    </xf>
    <xf numFmtId="0" fontId="82" fillId="10" borderId="1" xfId="8" applyFont="1" applyFill="1" applyBorder="1" applyAlignment="1" applyProtection="1">
      <alignment horizontal="left" vertical="center" wrapText="1"/>
      <protection locked="0"/>
    </xf>
    <xf numFmtId="2" fontId="82" fillId="0" borderId="1" xfId="4" applyNumberFormat="1" applyFont="1" applyBorder="1" applyAlignment="1" applyProtection="1">
      <alignment horizontal="left" vertical="center" wrapText="1"/>
      <protection locked="0"/>
    </xf>
    <xf numFmtId="0" fontId="78" fillId="0" borderId="1" xfId="38" applyFont="1" applyBorder="1" applyAlignment="1" applyProtection="1">
      <alignment horizontal="center" vertical="center" wrapText="1"/>
      <protection locked="0"/>
    </xf>
    <xf numFmtId="0" fontId="78" fillId="0" borderId="1" xfId="8" applyFont="1" applyFill="1" applyBorder="1" applyAlignment="1" applyProtection="1">
      <alignment vertical="center" wrapText="1"/>
      <protection locked="0"/>
    </xf>
    <xf numFmtId="0" fontId="78" fillId="0" borderId="1" xfId="8" applyFont="1" applyFill="1" applyBorder="1" applyAlignment="1" applyProtection="1">
      <alignment horizontal="center" vertical="center" wrapText="1"/>
      <protection locked="0"/>
    </xf>
    <xf numFmtId="167" fontId="78" fillId="0" borderId="1" xfId="8" applyNumberFormat="1" applyFont="1" applyFill="1" applyBorder="1" applyAlignment="1" applyProtection="1">
      <alignment horizontal="right" vertical="center" wrapText="1"/>
      <protection locked="0"/>
    </xf>
    <xf numFmtId="0" fontId="82" fillId="0" borderId="1" xfId="8" applyFont="1" applyFill="1" applyBorder="1" applyAlignment="1" applyProtection="1">
      <alignment horizontal="left" vertical="center" wrapText="1"/>
    </xf>
    <xf numFmtId="2" fontId="82" fillId="0" borderId="1" xfId="8" applyNumberFormat="1" applyFont="1" applyFill="1" applyBorder="1" applyAlignment="1" applyProtection="1">
      <alignment horizontal="right" vertical="center" wrapText="1"/>
    </xf>
    <xf numFmtId="0" fontId="82" fillId="0" borderId="1" xfId="8" applyFont="1" applyFill="1" applyBorder="1" applyAlignment="1" applyProtection="1">
      <alignment vertical="center" wrapText="1"/>
      <protection locked="0"/>
    </xf>
    <xf numFmtId="0" fontId="82" fillId="0" borderId="1" xfId="8" applyFont="1" applyFill="1" applyBorder="1" applyAlignment="1" applyProtection="1">
      <alignment horizontal="left" vertical="center" wrapText="1"/>
      <protection locked="0"/>
    </xf>
    <xf numFmtId="0" fontId="82" fillId="4" borderId="1" xfId="8" applyFont="1" applyFill="1" applyBorder="1" applyAlignment="1" applyProtection="1">
      <alignment horizontal="center" vertical="center" wrapText="1"/>
      <protection locked="0"/>
    </xf>
    <xf numFmtId="167" fontId="78" fillId="0" borderId="1" xfId="8" applyNumberFormat="1" applyFont="1" applyBorder="1" applyAlignment="1" applyProtection="1">
      <alignment horizontal="center" vertical="center" wrapText="1"/>
      <protection locked="0"/>
    </xf>
    <xf numFmtId="0" fontId="86" fillId="0" borderId="1" xfId="8" applyFont="1" applyBorder="1" applyAlignment="1" applyProtection="1">
      <alignment horizontal="center" vertical="center" wrapText="1"/>
      <protection locked="0"/>
    </xf>
    <xf numFmtId="167" fontId="82" fillId="0" borderId="1" xfId="8" applyNumberFormat="1" applyFont="1" applyBorder="1" applyAlignment="1" applyProtection="1">
      <alignment horizontal="center" vertical="center" wrapText="1"/>
      <protection locked="0"/>
    </xf>
    <xf numFmtId="0" fontId="84" fillId="6" borderId="1" xfId="8" applyFont="1" applyFill="1" applyBorder="1" applyAlignment="1" applyProtection="1">
      <alignment horizontal="center" vertical="center" wrapText="1"/>
      <protection locked="0"/>
    </xf>
    <xf numFmtId="167" fontId="78" fillId="0" borderId="1" xfId="8" applyNumberFormat="1" applyFont="1" applyFill="1" applyBorder="1" applyAlignment="1" applyProtection="1">
      <alignment horizontal="center" vertical="center" wrapText="1"/>
      <protection locked="0"/>
    </xf>
    <xf numFmtId="0" fontId="82" fillId="0" borderId="1" xfId="8" applyFont="1" applyFill="1" applyBorder="1" applyAlignment="1" applyProtection="1">
      <alignment horizontal="center" vertical="center" wrapText="1"/>
      <protection locked="0"/>
    </xf>
    <xf numFmtId="2" fontId="82" fillId="0" borderId="1" xfId="8" applyNumberFormat="1" applyFont="1" applyBorder="1" applyAlignment="1" applyProtection="1">
      <alignment horizontal="center" vertical="center" wrapText="1"/>
      <protection locked="0"/>
    </xf>
    <xf numFmtId="0" fontId="84" fillId="0" borderId="1" xfId="8" applyFont="1" applyFill="1" applyBorder="1" applyAlignment="1" applyProtection="1">
      <alignment horizontal="center" vertical="center" wrapText="1"/>
      <protection locked="0"/>
    </xf>
    <xf numFmtId="1" fontId="82" fillId="0" borderId="1" xfId="8" applyNumberFormat="1" applyFont="1" applyBorder="1" applyAlignment="1" applyProtection="1">
      <alignment horizontal="left" vertical="center" wrapText="1"/>
    </xf>
    <xf numFmtId="1" fontId="82" fillId="0" borderId="1" xfId="8" applyNumberFormat="1" applyFont="1" applyFill="1" applyBorder="1" applyAlignment="1" applyProtection="1">
      <alignment horizontal="left" vertical="center" wrapText="1"/>
    </xf>
    <xf numFmtId="0" fontId="82" fillId="0" borderId="1" xfId="11" applyFont="1" applyBorder="1" applyAlignment="1" applyProtection="1">
      <alignment vertical="center" wrapText="1"/>
      <protection locked="0"/>
    </xf>
    <xf numFmtId="0" fontId="82" fillId="0" borderId="1" xfId="9" applyFont="1" applyBorder="1" applyAlignment="1" applyProtection="1">
      <alignment vertical="center" wrapText="1"/>
      <protection locked="0"/>
    </xf>
    <xf numFmtId="0" fontId="82" fillId="0" borderId="1" xfId="9" applyFont="1" applyBorder="1" applyAlignment="1" applyProtection="1">
      <alignment horizontal="left" vertical="center" wrapText="1"/>
      <protection locked="0"/>
    </xf>
    <xf numFmtId="0" fontId="84" fillId="0" borderId="1" xfId="8" applyFont="1" applyBorder="1" applyAlignment="1" applyProtection="1">
      <alignment horizontal="left" vertical="center" wrapText="1"/>
      <protection locked="0"/>
    </xf>
    <xf numFmtId="0" fontId="78" fillId="0" borderId="1" xfId="9" applyFont="1" applyBorder="1" applyAlignment="1" applyProtection="1">
      <alignment vertical="center" wrapText="1"/>
      <protection locked="0"/>
    </xf>
    <xf numFmtId="0" fontId="78" fillId="0" borderId="1" xfId="9" applyFont="1" applyBorder="1" applyAlignment="1" applyProtection="1">
      <alignment horizontal="center" vertical="center" wrapText="1"/>
      <protection locked="0"/>
    </xf>
    <xf numFmtId="167" fontId="78" fillId="0" borderId="1" xfId="9" applyNumberFormat="1" applyFont="1" applyBorder="1" applyAlignment="1" applyProtection="1">
      <alignment horizontal="right" vertical="center" wrapText="1"/>
      <protection locked="0"/>
    </xf>
    <xf numFmtId="0" fontId="84" fillId="0" borderId="1" xfId="8" applyFont="1" applyBorder="1" applyAlignment="1" applyProtection="1">
      <alignment horizontal="center" vertical="center" wrapText="1"/>
      <protection locked="0"/>
    </xf>
    <xf numFmtId="0" fontId="84" fillId="3" borderId="1" xfId="8" applyFont="1" applyFill="1" applyBorder="1" applyAlignment="1" applyProtection="1">
      <alignment horizontal="center" vertical="center" wrapText="1"/>
      <protection locked="0"/>
    </xf>
    <xf numFmtId="2" fontId="84" fillId="4" borderId="1" xfId="8" applyNumberFormat="1" applyFont="1" applyFill="1" applyBorder="1" applyAlignment="1" applyProtection="1">
      <alignment horizontal="right" vertical="center" wrapText="1"/>
      <protection locked="0"/>
    </xf>
    <xf numFmtId="0" fontId="84" fillId="0" borderId="1" xfId="8" applyFont="1" applyBorder="1" applyAlignment="1" applyProtection="1">
      <alignment vertical="center" wrapText="1"/>
      <protection locked="0"/>
    </xf>
    <xf numFmtId="43" fontId="84" fillId="0" borderId="1" xfId="1" applyFont="1" applyFill="1" applyBorder="1" applyAlignment="1">
      <alignment horizontal="left" vertical="center" wrapText="1"/>
    </xf>
    <xf numFmtId="0" fontId="83" fillId="37" borderId="1" xfId="3" applyFont="1" applyFill="1" applyBorder="1" applyAlignment="1">
      <alignment horizontal="left"/>
    </xf>
    <xf numFmtId="0" fontId="83" fillId="23" borderId="1" xfId="3" applyFont="1" applyFill="1" applyBorder="1" applyAlignment="1">
      <alignment horizontal="left" vertical="center" wrapText="1"/>
    </xf>
    <xf numFmtId="0" fontId="81" fillId="28" borderId="1" xfId="0" applyFont="1" applyFill="1" applyBorder="1" applyAlignment="1">
      <alignment horizontal="center" vertical="center" wrapText="1"/>
    </xf>
    <xf numFmtId="0" fontId="79" fillId="10" borderId="1" xfId="0" applyFont="1" applyFill="1" applyBorder="1" applyAlignment="1">
      <alignment horizontal="center" vertical="center" wrapText="1"/>
    </xf>
    <xf numFmtId="0" fontId="79" fillId="27" borderId="1" xfId="8" applyFont="1" applyFill="1" applyBorder="1" applyAlignment="1">
      <alignment horizontal="center" vertical="center"/>
    </xf>
    <xf numFmtId="0" fontId="0" fillId="0" borderId="1" xfId="0" applyBorder="1" applyAlignment="1">
      <alignment horizontal="center" vertical="center"/>
    </xf>
    <xf numFmtId="0" fontId="85" fillId="28" borderId="1" xfId="0" applyFont="1" applyFill="1" applyBorder="1" applyAlignment="1">
      <alignment horizontal="center" vertical="center" wrapText="1"/>
    </xf>
    <xf numFmtId="0" fontId="79" fillId="2" borderId="1" xfId="4" applyFont="1" applyFill="1" applyBorder="1" applyAlignment="1" applyProtection="1">
      <alignment vertical="center" wrapText="1"/>
      <protection locked="0"/>
    </xf>
    <xf numFmtId="0" fontId="57" fillId="4" borderId="1" xfId="8" applyFont="1" applyFill="1" applyBorder="1" applyAlignment="1" applyProtection="1">
      <alignment vertical="center" wrapText="1"/>
      <protection locked="0"/>
    </xf>
    <xf numFmtId="0" fontId="57" fillId="0" borderId="1" xfId="38" applyFont="1" applyBorder="1" applyAlignment="1" applyProtection="1">
      <alignment horizontal="center" vertical="center" wrapText="1"/>
      <protection locked="0"/>
    </xf>
    <xf numFmtId="0" fontId="57" fillId="0" borderId="1" xfId="8" applyFont="1" applyBorder="1" applyAlignment="1" applyProtection="1">
      <alignment vertical="center" wrapText="1"/>
      <protection locked="0"/>
    </xf>
    <xf numFmtId="0" fontId="57" fillId="0" borderId="1" xfId="4" applyFont="1" applyBorder="1" applyAlignment="1" applyProtection="1">
      <alignment horizontal="left" vertical="center" wrapText="1"/>
      <protection locked="0"/>
    </xf>
    <xf numFmtId="0" fontId="57" fillId="0" borderId="1" xfId="8" applyFont="1" applyBorder="1" applyAlignment="1" applyProtection="1">
      <alignment horizontal="left" vertical="center" wrapText="1"/>
      <protection locked="0"/>
    </xf>
    <xf numFmtId="0" fontId="57" fillId="0" borderId="1" xfId="8" applyFont="1" applyFill="1" applyBorder="1" applyAlignment="1" applyProtection="1">
      <alignment vertical="center" wrapText="1"/>
      <protection locked="0"/>
    </xf>
    <xf numFmtId="0" fontId="79" fillId="6" borderId="1" xfId="8" applyFont="1" applyFill="1" applyBorder="1" applyAlignment="1" applyProtection="1">
      <alignment vertical="center" wrapText="1"/>
      <protection locked="0"/>
    </xf>
    <xf numFmtId="0" fontId="57" fillId="0" borderId="1" xfId="11" applyFont="1" applyBorder="1" applyAlignment="1" applyProtection="1">
      <alignment vertical="center" wrapText="1"/>
      <protection locked="0"/>
    </xf>
    <xf numFmtId="0" fontId="57" fillId="0" borderId="1" xfId="9" applyFont="1" applyBorder="1" applyAlignment="1" applyProtection="1">
      <alignment vertical="center" wrapText="1"/>
      <protection locked="0"/>
    </xf>
    <xf numFmtId="0" fontId="57" fillId="0" borderId="1" xfId="8" applyFont="1" applyBorder="1" applyAlignment="1" applyProtection="1">
      <alignment horizontal="center" vertical="center" wrapText="1"/>
      <protection locked="0"/>
    </xf>
    <xf numFmtId="0" fontId="79" fillId="3" borderId="1" xfId="8" applyFont="1" applyFill="1" applyBorder="1" applyAlignment="1" applyProtection="1">
      <alignment horizontal="center" vertical="center" wrapText="1"/>
      <protection locked="0"/>
    </xf>
    <xf numFmtId="0" fontId="79" fillId="0" borderId="1" xfId="8" applyFont="1" applyFill="1" applyBorder="1" applyAlignment="1" applyProtection="1">
      <alignment horizontal="center" vertical="center" wrapText="1"/>
      <protection locked="0"/>
    </xf>
    <xf numFmtId="0" fontId="79" fillId="0" borderId="1" xfId="8" applyFont="1" applyBorder="1" applyAlignment="1" applyProtection="1">
      <alignment vertical="center" wrapText="1"/>
      <protection locked="0"/>
    </xf>
    <xf numFmtId="2" fontId="57" fillId="0" borderId="1" xfId="0" applyNumberFormat="1" applyFont="1" applyBorder="1" applyAlignment="1" applyProtection="1">
      <alignment horizontal="right" vertical="center" wrapText="1"/>
    </xf>
    <xf numFmtId="0" fontId="84" fillId="0" borderId="1" xfId="8" applyFont="1" applyFill="1" applyBorder="1" applyAlignment="1" applyProtection="1">
      <alignment vertical="center" wrapText="1"/>
      <protection locked="0"/>
    </xf>
    <xf numFmtId="0" fontId="57" fillId="0" borderId="1" xfId="8" applyFont="1" applyFill="1" applyBorder="1" applyAlignment="1" applyProtection="1">
      <alignment horizontal="center" vertical="center" wrapText="1"/>
      <protection locked="0"/>
    </xf>
    <xf numFmtId="0" fontId="57" fillId="0" borderId="1" xfId="8" applyFont="1" applyFill="1" applyBorder="1" applyAlignment="1" applyProtection="1">
      <alignment wrapText="1"/>
      <protection locked="0"/>
    </xf>
    <xf numFmtId="0" fontId="78" fillId="0" borderId="1" xfId="9" applyFont="1" applyFill="1" applyBorder="1" applyAlignment="1" applyProtection="1">
      <alignment vertical="center" wrapText="1"/>
      <protection locked="0"/>
    </xf>
    <xf numFmtId="0" fontId="78" fillId="0" borderId="1" xfId="9" applyFont="1" applyFill="1" applyBorder="1" applyAlignment="1" applyProtection="1">
      <alignment horizontal="center" vertical="center" wrapText="1"/>
      <protection locked="0"/>
    </xf>
    <xf numFmtId="167" fontId="78" fillId="0" borderId="1" xfId="9" applyNumberFormat="1" applyFont="1" applyFill="1" applyBorder="1" applyAlignment="1" applyProtection="1">
      <alignment horizontal="right" vertical="center" wrapText="1"/>
      <protection locked="0"/>
    </xf>
    <xf numFmtId="0" fontId="78" fillId="0" borderId="1" xfId="9" applyFont="1" applyFill="1" applyBorder="1" applyAlignment="1" applyProtection="1">
      <alignment wrapText="1"/>
      <protection locked="0"/>
    </xf>
    <xf numFmtId="0" fontId="82" fillId="0" borderId="1" xfId="9" applyFont="1" applyFill="1" applyBorder="1" applyAlignment="1" applyProtection="1">
      <alignment horizontal="left" vertical="center" wrapText="1"/>
      <protection locked="0"/>
    </xf>
    <xf numFmtId="0" fontId="82" fillId="0" borderId="1" xfId="4" applyFont="1" applyFill="1" applyBorder="1" applyAlignment="1" applyProtection="1">
      <alignment vertical="center" wrapText="1"/>
      <protection locked="0"/>
    </xf>
    <xf numFmtId="0" fontId="78" fillId="0" borderId="1" xfId="0" applyFont="1" applyFill="1" applyBorder="1" applyAlignment="1" applyProtection="1">
      <alignment horizontal="center" vertical="center" wrapText="1"/>
      <protection locked="0"/>
    </xf>
    <xf numFmtId="0" fontId="82" fillId="3" borderId="1" xfId="8" applyFont="1" applyFill="1" applyBorder="1" applyAlignment="1" applyProtection="1">
      <alignment vertical="center" wrapText="1"/>
      <protection locked="0"/>
    </xf>
    <xf numFmtId="0" fontId="84" fillId="0" borderId="1" xfId="4" applyFont="1" applyFill="1" applyBorder="1" applyAlignment="1" applyProtection="1">
      <alignment vertical="center" wrapText="1"/>
      <protection locked="0"/>
    </xf>
    <xf numFmtId="0" fontId="84" fillId="0" borderId="1" xfId="4" applyFont="1" applyFill="1" applyBorder="1" applyAlignment="1" applyProtection="1">
      <alignment horizontal="center" vertical="center" wrapText="1"/>
      <protection locked="0"/>
    </xf>
    <xf numFmtId="0" fontId="84" fillId="4" borderId="1" xfId="4" applyFont="1" applyFill="1" applyBorder="1" applyAlignment="1" applyProtection="1">
      <alignment vertical="center" wrapText="1"/>
      <protection locked="0"/>
    </xf>
    <xf numFmtId="0" fontId="57" fillId="0" borderId="1" xfId="8" applyFont="1" applyFill="1" applyBorder="1" applyAlignment="1" applyProtection="1">
      <alignment horizontal="left" vertical="center" wrapText="1"/>
      <protection locked="0"/>
    </xf>
    <xf numFmtId="43" fontId="57" fillId="0" borderId="1" xfId="1" applyFont="1" applyBorder="1" applyAlignment="1" applyProtection="1">
      <alignment horizontal="right" vertical="center" wrapText="1"/>
    </xf>
    <xf numFmtId="43" fontId="57" fillId="0" borderId="1" xfId="1" applyFont="1" applyFill="1" applyBorder="1" applyAlignment="1" applyProtection="1">
      <alignment horizontal="right" vertical="center" wrapText="1"/>
    </xf>
    <xf numFmtId="43" fontId="84" fillId="4" borderId="1" xfId="1" applyFont="1" applyFill="1" applyBorder="1" applyAlignment="1" applyProtection="1">
      <alignment vertical="center" wrapText="1"/>
    </xf>
    <xf numFmtId="43" fontId="84" fillId="10" borderId="1" xfId="1" applyFont="1" applyFill="1" applyBorder="1" applyAlignment="1" applyProtection="1">
      <alignment horizontal="right" vertical="center" wrapText="1"/>
      <protection locked="0"/>
    </xf>
    <xf numFmtId="0" fontId="82" fillId="27" borderId="1" xfId="8" applyFont="1" applyFill="1" applyBorder="1" applyAlignment="1" applyProtection="1">
      <alignment vertical="center" wrapText="1"/>
      <protection locked="0"/>
    </xf>
    <xf numFmtId="0" fontId="84" fillId="27" borderId="1" xfId="8" applyFont="1" applyFill="1" applyBorder="1" applyAlignment="1" applyProtection="1">
      <alignment horizontal="center" vertical="center" wrapText="1"/>
      <protection locked="0"/>
    </xf>
    <xf numFmtId="43" fontId="84" fillId="27" borderId="1" xfId="1" applyFont="1" applyFill="1" applyBorder="1" applyAlignment="1" applyProtection="1">
      <alignment horizontal="right" vertical="center" wrapText="1"/>
    </xf>
    <xf numFmtId="0" fontId="84" fillId="27" borderId="1" xfId="8" applyFont="1" applyFill="1" applyBorder="1" applyAlignment="1" applyProtection="1">
      <alignment vertical="center" wrapText="1"/>
      <protection locked="0"/>
    </xf>
    <xf numFmtId="0" fontId="57" fillId="27" borderId="1" xfId="8" applyFont="1" applyFill="1" applyBorder="1" applyAlignment="1" applyProtection="1">
      <alignment horizontal="center" vertical="center" wrapText="1"/>
      <protection locked="0"/>
    </xf>
    <xf numFmtId="43" fontId="57" fillId="27" borderId="1" xfId="1" applyFont="1" applyFill="1" applyBorder="1" applyAlignment="1" applyProtection="1">
      <alignment horizontal="right" vertical="center" wrapText="1"/>
    </xf>
    <xf numFmtId="0" fontId="57" fillId="27" borderId="1" xfId="8" applyFont="1" applyFill="1" applyBorder="1" applyAlignment="1" applyProtection="1">
      <alignment wrapText="1"/>
      <protection locked="0"/>
    </xf>
    <xf numFmtId="0" fontId="84" fillId="27" borderId="1" xfId="4" applyFont="1" applyFill="1" applyBorder="1" applyAlignment="1" applyProtection="1">
      <alignment vertical="center" wrapText="1"/>
      <protection locked="0"/>
    </xf>
    <xf numFmtId="0" fontId="84" fillId="27" borderId="1" xfId="4" applyFont="1" applyFill="1" applyBorder="1" applyAlignment="1" applyProtection="1">
      <alignment horizontal="center" vertical="center" wrapText="1"/>
      <protection locked="0"/>
    </xf>
    <xf numFmtId="0" fontId="84" fillId="27" borderId="1" xfId="4" applyFont="1" applyFill="1" applyBorder="1" applyAlignment="1" applyProtection="1">
      <alignment horizontal="left" vertical="center" wrapText="1"/>
      <protection locked="0"/>
    </xf>
    <xf numFmtId="0" fontId="78" fillId="27" borderId="1" xfId="8" applyFont="1" applyFill="1" applyBorder="1" applyAlignment="1" applyProtection="1">
      <alignment vertical="center" wrapText="1"/>
      <protection locked="0"/>
    </xf>
    <xf numFmtId="0" fontId="86" fillId="27" borderId="1" xfId="8" applyFont="1" applyFill="1" applyBorder="1" applyAlignment="1" applyProtection="1">
      <alignment vertical="center" wrapText="1"/>
      <protection locked="0"/>
    </xf>
    <xf numFmtId="0" fontId="86" fillId="27" borderId="1" xfId="8" applyFont="1" applyFill="1" applyBorder="1" applyAlignment="1" applyProtection="1">
      <alignment horizontal="center" vertical="center" wrapText="1"/>
      <protection locked="0"/>
    </xf>
    <xf numFmtId="167" fontId="86" fillId="27" borderId="1" xfId="8" applyNumberFormat="1" applyFont="1" applyFill="1" applyBorder="1" applyAlignment="1" applyProtection="1">
      <alignment horizontal="right" vertical="center" wrapText="1"/>
      <protection locked="0"/>
    </xf>
    <xf numFmtId="0" fontId="78" fillId="27" borderId="1" xfId="8" applyFont="1" applyFill="1" applyBorder="1" applyAlignment="1" applyProtection="1">
      <alignment horizontal="center" vertical="center" wrapText="1"/>
      <protection locked="0"/>
    </xf>
    <xf numFmtId="167" fontId="78" fillId="27" borderId="1" xfId="8" applyNumberFormat="1" applyFont="1" applyFill="1" applyBorder="1" applyAlignment="1" applyProtection="1">
      <alignment horizontal="right" vertical="center" wrapText="1"/>
      <protection locked="0"/>
    </xf>
    <xf numFmtId="2" fontId="79" fillId="0" borderId="1" xfId="3" applyNumberFormat="1" applyFont="1" applyFill="1" applyBorder="1"/>
    <xf numFmtId="0" fontId="82" fillId="2" borderId="1" xfId="8" applyFont="1" applyFill="1" applyBorder="1" applyAlignment="1" applyProtection="1">
      <alignment vertical="center" wrapText="1"/>
      <protection locked="0"/>
    </xf>
    <xf numFmtId="0" fontId="79" fillId="2" borderId="1" xfId="8" applyFont="1" applyFill="1" applyBorder="1" applyAlignment="1" applyProtection="1">
      <alignment vertical="center" wrapText="1"/>
      <protection locked="0"/>
    </xf>
    <xf numFmtId="0" fontId="79" fillId="3" borderId="1" xfId="8" applyFont="1" applyFill="1" applyBorder="1" applyAlignment="1" applyProtection="1">
      <alignment vertical="center" wrapText="1"/>
      <protection locked="0"/>
    </xf>
    <xf numFmtId="1" fontId="78" fillId="0" borderId="1" xfId="0" applyNumberFormat="1" applyFont="1" applyBorder="1" applyAlignment="1" applyProtection="1">
      <alignment horizontal="center"/>
      <protection locked="0"/>
    </xf>
    <xf numFmtId="2" fontId="86" fillId="0" borderId="1" xfId="9" applyNumberFormat="1" applyFont="1" applyBorder="1" applyAlignment="1" applyProtection="1">
      <alignment vertical="center" wrapText="1"/>
      <protection locked="0"/>
    </xf>
    <xf numFmtId="0" fontId="86" fillId="0" borderId="1" xfId="9" applyFont="1" applyBorder="1" applyAlignment="1" applyProtection="1">
      <alignment vertical="center" wrapText="1"/>
      <protection locked="0"/>
    </xf>
    <xf numFmtId="0" fontId="82" fillId="0" borderId="1" xfId="9" applyFont="1" applyFill="1" applyBorder="1" applyAlignment="1" applyProtection="1">
      <alignment vertical="center" wrapText="1"/>
      <protection locked="0"/>
    </xf>
    <xf numFmtId="0" fontId="78" fillId="0" borderId="1" xfId="38" applyFont="1" applyFill="1" applyBorder="1" applyAlignment="1" applyProtection="1">
      <alignment horizontal="center" vertical="center" wrapText="1"/>
      <protection locked="0"/>
    </xf>
    <xf numFmtId="0" fontId="97" fillId="0" borderId="1" xfId="9" applyFont="1" applyBorder="1" applyAlignment="1" applyProtection="1">
      <alignment horizontal="left" vertical="center" wrapText="1"/>
      <protection locked="0"/>
    </xf>
    <xf numFmtId="0" fontId="78" fillId="0" borderId="1" xfId="4" applyFont="1" applyBorder="1" applyAlignment="1" applyProtection="1">
      <alignment vertical="center" wrapText="1"/>
      <protection locked="0"/>
    </xf>
    <xf numFmtId="0" fontId="78" fillId="0" borderId="1" xfId="4" applyFont="1" applyBorder="1" applyAlignment="1" applyProtection="1">
      <alignment horizontal="center" vertical="center" wrapText="1"/>
      <protection locked="0"/>
    </xf>
    <xf numFmtId="0" fontId="82" fillId="10" borderId="1" xfId="4" applyFont="1" applyFill="1" applyBorder="1" applyAlignment="1" applyProtection="1">
      <alignment horizontal="left" vertical="center" wrapText="1"/>
      <protection locked="0"/>
    </xf>
    <xf numFmtId="1" fontId="84" fillId="4" borderId="1" xfId="8" applyNumberFormat="1" applyFont="1" applyFill="1" applyBorder="1" applyAlignment="1" applyProtection="1">
      <alignment horizontal="center" vertical="center" wrapText="1"/>
      <protection locked="0"/>
    </xf>
    <xf numFmtId="0" fontId="84" fillId="2" borderId="1" xfId="8" applyFont="1" applyFill="1" applyBorder="1" applyAlignment="1" applyProtection="1">
      <alignment horizontal="left" vertical="center" wrapText="1"/>
    </xf>
    <xf numFmtId="0" fontId="78" fillId="0" borderId="1" xfId="9" applyFont="1" applyBorder="1" applyAlignment="1" applyProtection="1">
      <alignment horizontal="left" vertical="center" wrapText="1"/>
      <protection locked="0"/>
    </xf>
    <xf numFmtId="0" fontId="79" fillId="0" borderId="1" xfId="0" applyFont="1" applyBorder="1" applyAlignment="1" applyProtection="1">
      <alignment vertical="center" wrapText="1"/>
      <protection locked="0"/>
    </xf>
    <xf numFmtId="0" fontId="82" fillId="0" borderId="1" xfId="87" applyFont="1" applyBorder="1" applyAlignment="1" applyProtection="1">
      <alignment horizontal="left" vertical="center" wrapText="1"/>
      <protection locked="0"/>
    </xf>
    <xf numFmtId="0" fontId="84" fillId="2" borderId="1" xfId="4" applyFont="1" applyFill="1" applyBorder="1" applyAlignment="1" applyProtection="1">
      <alignment horizontal="right" vertical="center" wrapText="1"/>
      <protection locked="0"/>
    </xf>
    <xf numFmtId="0" fontId="82" fillId="0" borderId="1" xfId="11" applyFont="1" applyBorder="1" applyAlignment="1" applyProtection="1">
      <alignment vertical="center"/>
      <protection locked="0"/>
    </xf>
    <xf numFmtId="0" fontId="82" fillId="0" borderId="1" xfId="11" applyFont="1" applyBorder="1" applyAlignment="1" applyProtection="1">
      <alignment horizontal="left"/>
      <protection locked="0"/>
    </xf>
    <xf numFmtId="0" fontId="84" fillId="3" borderId="1" xfId="4" applyFont="1" applyFill="1" applyBorder="1" applyAlignment="1" applyProtection="1">
      <alignment vertical="center" wrapText="1"/>
      <protection locked="0"/>
    </xf>
    <xf numFmtId="0" fontId="82" fillId="0" borderId="1" xfId="87" applyFont="1" applyBorder="1" applyAlignment="1" applyProtection="1">
      <alignment vertical="center" wrapText="1"/>
      <protection locked="0"/>
    </xf>
    <xf numFmtId="0" fontId="82" fillId="0" borderId="1" xfId="87" applyFont="1" applyBorder="1" applyAlignment="1" applyProtection="1">
      <alignment vertical="center"/>
      <protection locked="0"/>
    </xf>
    <xf numFmtId="0" fontId="82" fillId="0" borderId="1" xfId="87" applyFont="1" applyBorder="1" applyAlignment="1" applyProtection="1">
      <alignment horizontal="center" vertical="center"/>
      <protection locked="0"/>
    </xf>
    <xf numFmtId="167" fontId="82" fillId="0" borderId="1" xfId="87" applyNumberFormat="1" applyFont="1" applyBorder="1" applyAlignment="1" applyProtection="1">
      <alignment horizontal="right" vertical="center"/>
      <protection locked="0"/>
    </xf>
    <xf numFmtId="0" fontId="82" fillId="0" borderId="1" xfId="87" applyFont="1" applyFill="1" applyBorder="1" applyAlignment="1" applyProtection="1">
      <alignment vertical="center" wrapText="1"/>
      <protection locked="0"/>
    </xf>
    <xf numFmtId="0" fontId="82" fillId="0" borderId="1" xfId="87" applyFont="1" applyFill="1" applyBorder="1" applyAlignment="1" applyProtection="1">
      <alignment horizontal="left" vertical="center" wrapText="1"/>
      <protection locked="0"/>
    </xf>
    <xf numFmtId="0" fontId="82" fillId="0" borderId="1" xfId="87" applyFont="1" applyBorder="1" applyAlignment="1" applyProtection="1">
      <alignment horizontal="center" wrapText="1"/>
      <protection locked="0"/>
    </xf>
    <xf numFmtId="0" fontId="82" fillId="0" borderId="1" xfId="87" applyFont="1" applyBorder="1" applyAlignment="1" applyProtection="1">
      <alignment horizontal="center"/>
      <protection locked="0"/>
    </xf>
    <xf numFmtId="0" fontId="82" fillId="0" borderId="1" xfId="87" applyFont="1" applyBorder="1" applyAlignment="1" applyProtection="1">
      <alignment horizontal="center" vertical="center" wrapText="1"/>
      <protection locked="0"/>
    </xf>
    <xf numFmtId="0" fontId="57" fillId="0" borderId="1" xfId="4" applyFont="1" applyBorder="1" applyAlignment="1" applyProtection="1">
      <alignment vertical="center" wrapText="1"/>
      <protection locked="0"/>
    </xf>
    <xf numFmtId="0" fontId="84" fillId="0" borderId="1" xfId="0" applyFont="1" applyBorder="1" applyAlignment="1" applyProtection="1">
      <alignment vertical="center" wrapText="1"/>
      <protection locked="0"/>
    </xf>
    <xf numFmtId="2" fontId="84" fillId="0" borderId="1" xfId="0" applyNumberFormat="1" applyFont="1" applyBorder="1" applyAlignment="1" applyProtection="1">
      <alignment vertical="center" wrapText="1"/>
      <protection locked="0"/>
    </xf>
    <xf numFmtId="0" fontId="57" fillId="0" borderId="1" xfId="87" applyFont="1" applyBorder="1" applyAlignment="1" applyProtection="1">
      <alignment vertical="center" wrapText="1"/>
      <protection locked="0"/>
    </xf>
    <xf numFmtId="0" fontId="57" fillId="0" borderId="1" xfId="4" applyFont="1" applyFill="1" applyBorder="1" applyAlignment="1" applyProtection="1">
      <alignment vertical="center" wrapText="1"/>
      <protection locked="0"/>
    </xf>
    <xf numFmtId="0" fontId="82" fillId="0" borderId="1" xfId="0" applyFont="1" applyFill="1" applyBorder="1" applyAlignment="1" applyProtection="1">
      <alignment vertical="center" wrapText="1"/>
      <protection locked="0"/>
    </xf>
    <xf numFmtId="0" fontId="82" fillId="0" borderId="1" xfId="87" applyFont="1" applyFill="1" applyBorder="1" applyAlignment="1" applyProtection="1">
      <alignment vertical="center"/>
      <protection locked="0"/>
    </xf>
    <xf numFmtId="0" fontId="82" fillId="0" borderId="1" xfId="93" applyFont="1" applyBorder="1" applyAlignment="1" applyProtection="1">
      <alignment vertical="center" wrapText="1"/>
      <protection locked="0"/>
    </xf>
    <xf numFmtId="0" fontId="82" fillId="0" borderId="1" xfId="93" applyFont="1" applyFill="1" applyBorder="1" applyAlignment="1" applyProtection="1">
      <alignment vertical="center" wrapText="1"/>
      <protection locked="0"/>
    </xf>
    <xf numFmtId="0" fontId="84" fillId="4" borderId="1" xfId="11" applyFont="1" applyFill="1" applyBorder="1" applyAlignment="1" applyProtection="1">
      <alignment horizontal="right" vertical="center" wrapText="1"/>
      <protection locked="0"/>
    </xf>
    <xf numFmtId="167" fontId="84" fillId="0" borderId="1" xfId="87" applyNumberFormat="1" applyFont="1" applyBorder="1" applyAlignment="1" applyProtection="1">
      <alignment horizontal="right" vertical="center"/>
      <protection locked="0"/>
    </xf>
    <xf numFmtId="0" fontId="79" fillId="0" borderId="1" xfId="4" applyFont="1" applyBorder="1" applyAlignment="1" applyProtection="1">
      <alignment vertical="center" wrapText="1"/>
      <protection locked="0"/>
    </xf>
    <xf numFmtId="0" fontId="82" fillId="0" borderId="1" xfId="91" applyFont="1" applyBorder="1" applyAlignment="1" applyProtection="1">
      <alignment vertical="center" wrapText="1"/>
      <protection locked="0"/>
    </xf>
    <xf numFmtId="0" fontId="57" fillId="0" borderId="1" xfId="4" applyFont="1" applyFill="1" applyBorder="1" applyAlignment="1" applyProtection="1">
      <alignment horizontal="center" vertical="center" wrapText="1"/>
      <protection locked="0"/>
    </xf>
    <xf numFmtId="0" fontId="78" fillId="0" borderId="1" xfId="9" applyFont="1" applyFill="1" applyBorder="1" applyAlignment="1" applyProtection="1">
      <alignment horizontal="left" vertical="center" wrapText="1"/>
      <protection locked="0"/>
    </xf>
    <xf numFmtId="0" fontId="86" fillId="0" borderId="1" xfId="4" applyFont="1" applyFill="1" applyBorder="1" applyAlignment="1" applyProtection="1">
      <alignment vertical="center" wrapText="1"/>
      <protection locked="0"/>
    </xf>
    <xf numFmtId="0" fontId="79" fillId="2" borderId="1" xfId="8" applyFont="1" applyFill="1" applyBorder="1" applyAlignment="1" applyProtection="1">
      <alignment horizontal="right" vertical="center" wrapText="1"/>
      <protection locked="0"/>
    </xf>
    <xf numFmtId="0" fontId="57" fillId="20" borderId="1" xfId="9" applyFont="1" applyFill="1" applyBorder="1" applyAlignment="1" applyProtection="1">
      <alignment horizontal="left" vertical="center" wrapText="1"/>
      <protection locked="0"/>
    </xf>
    <xf numFmtId="0" fontId="57" fillId="20" borderId="1" xfId="9" applyFont="1" applyFill="1" applyBorder="1" applyAlignment="1" applyProtection="1">
      <alignment horizontal="right" vertical="center" wrapText="1"/>
      <protection locked="0"/>
    </xf>
    <xf numFmtId="0" fontId="57" fillId="0" borderId="1" xfId="9" applyFont="1" applyBorder="1" applyAlignment="1" applyProtection="1">
      <alignment horizontal="left" vertical="center" wrapText="1"/>
      <protection locked="0"/>
    </xf>
    <xf numFmtId="0" fontId="57" fillId="10" borderId="1" xfId="8" applyFont="1" applyFill="1" applyBorder="1" applyAlignment="1" applyProtection="1">
      <alignment horizontal="left" vertical="center" wrapText="1"/>
      <protection locked="0"/>
    </xf>
    <xf numFmtId="2" fontId="57" fillId="10" borderId="1" xfId="8" applyNumberFormat="1" applyFont="1" applyFill="1" applyBorder="1" applyAlignment="1" applyProtection="1">
      <alignment horizontal="right" vertical="center" wrapText="1"/>
      <protection locked="0"/>
    </xf>
    <xf numFmtId="0" fontId="79" fillId="18" borderId="1" xfId="9" applyFont="1" applyFill="1" applyBorder="1" applyAlignment="1" applyProtection="1">
      <alignment horizontal="left" vertical="center" wrapText="1"/>
      <protection locked="0"/>
    </xf>
    <xf numFmtId="0" fontId="79" fillId="18" borderId="1" xfId="9" applyFont="1" applyFill="1" applyBorder="1" applyAlignment="1" applyProtection="1">
      <alignment horizontal="right" vertical="center" wrapText="1"/>
      <protection locked="0"/>
    </xf>
    <xf numFmtId="167" fontId="86" fillId="0" borderId="1" xfId="9" applyNumberFormat="1" applyFont="1" applyBorder="1" applyAlignment="1" applyProtection="1">
      <alignment vertical="center" wrapText="1"/>
      <protection locked="0"/>
    </xf>
    <xf numFmtId="0" fontId="86" fillId="20" borderId="1" xfId="9" applyFont="1" applyFill="1" applyBorder="1" applyAlignment="1" applyProtection="1">
      <alignment horizontal="left" vertical="center" wrapText="1"/>
      <protection locked="0"/>
    </xf>
    <xf numFmtId="0" fontId="86" fillId="20" borderId="1" xfId="9" applyFont="1" applyFill="1" applyBorder="1" applyAlignment="1" applyProtection="1">
      <alignment horizontal="center" vertical="center" wrapText="1"/>
      <protection locked="0"/>
    </xf>
    <xf numFmtId="167" fontId="86" fillId="20" borderId="1" xfId="9" applyNumberFormat="1" applyFont="1" applyFill="1" applyBorder="1" applyAlignment="1" applyProtection="1">
      <alignment vertical="center" wrapText="1"/>
      <protection locked="0"/>
    </xf>
    <xf numFmtId="0" fontId="79" fillId="20" borderId="1" xfId="9" applyFont="1" applyFill="1" applyBorder="1" applyAlignment="1" applyProtection="1">
      <alignment horizontal="right" vertical="center" wrapText="1"/>
      <protection locked="0"/>
    </xf>
    <xf numFmtId="0" fontId="82" fillId="2" borderId="1" xfId="9" applyFont="1" applyFill="1" applyBorder="1" applyAlignment="1" applyProtection="1">
      <alignment vertical="center" wrapText="1"/>
      <protection locked="0"/>
    </xf>
    <xf numFmtId="0" fontId="57" fillId="2" borderId="1" xfId="9" applyFont="1" applyFill="1" applyBorder="1" applyAlignment="1" applyProtection="1">
      <alignment horizontal="right" vertical="center" wrapText="1"/>
      <protection locked="0"/>
    </xf>
    <xf numFmtId="0" fontId="84" fillId="2" borderId="1" xfId="9" applyFont="1" applyFill="1" applyBorder="1" applyAlignment="1" applyProtection="1">
      <alignment horizontal="left" vertical="center" wrapText="1"/>
      <protection locked="0"/>
    </xf>
    <xf numFmtId="0" fontId="84" fillId="0" borderId="1" xfId="9" applyFont="1" applyFill="1" applyBorder="1" applyAlignment="1" applyProtection="1">
      <alignment horizontal="left" vertical="center" wrapText="1"/>
      <protection locked="0"/>
    </xf>
    <xf numFmtId="0" fontId="82" fillId="26" borderId="1" xfId="8" applyFont="1" applyFill="1" applyBorder="1" applyAlignment="1" applyProtection="1">
      <alignment horizontal="left" vertical="center" wrapText="1"/>
      <protection locked="0"/>
    </xf>
    <xf numFmtId="0" fontId="79" fillId="4" borderId="1" xfId="9" applyFont="1" applyFill="1" applyBorder="1" applyAlignment="1" applyProtection="1">
      <alignment vertical="center" wrapText="1"/>
      <protection locked="0"/>
    </xf>
    <xf numFmtId="0" fontId="57" fillId="3" borderId="1" xfId="8" applyFont="1" applyFill="1" applyBorder="1" applyAlignment="1" applyProtection="1">
      <alignment horizontal="left" vertical="center" wrapText="1"/>
      <protection locked="0"/>
    </xf>
    <xf numFmtId="0" fontId="57" fillId="0" borderId="1" xfId="0" applyFont="1" applyBorder="1" applyAlignment="1" applyProtection="1">
      <alignment horizontal="center" vertical="center"/>
      <protection locked="0"/>
    </xf>
    <xf numFmtId="0" fontId="57" fillId="31" borderId="1" xfId="8" applyFont="1" applyFill="1" applyBorder="1" applyAlignment="1" applyProtection="1">
      <alignment horizontal="left" vertical="center" wrapText="1"/>
    </xf>
    <xf numFmtId="0" fontId="84" fillId="3" borderId="1" xfId="8" applyFont="1" applyFill="1" applyBorder="1" applyAlignment="1" applyProtection="1">
      <alignment vertical="center" wrapText="1"/>
      <protection locked="0"/>
    </xf>
    <xf numFmtId="0" fontId="82" fillId="2" borderId="1" xfId="9" applyFont="1" applyFill="1" applyBorder="1" applyAlignment="1" applyProtection="1">
      <alignment horizontal="center" vertical="center" wrapText="1"/>
      <protection locked="0"/>
    </xf>
    <xf numFmtId="0" fontId="57" fillId="2" borderId="1" xfId="9" applyFont="1" applyFill="1" applyBorder="1" applyAlignment="1" applyProtection="1">
      <alignment horizontal="center" vertical="center" wrapText="1"/>
      <protection locked="0"/>
    </xf>
    <xf numFmtId="0" fontId="57" fillId="2" borderId="1" xfId="8" applyFont="1" applyFill="1" applyBorder="1" applyAlignment="1" applyProtection="1">
      <alignment vertical="center" wrapText="1"/>
      <protection locked="0"/>
    </xf>
    <xf numFmtId="0" fontId="57" fillId="0" borderId="1" xfId="8" applyFont="1" applyBorder="1" applyAlignment="1" applyProtection="1">
      <alignment horizontal="left" vertical="center" wrapText="1"/>
    </xf>
    <xf numFmtId="0" fontId="57" fillId="0" borderId="1" xfId="8" applyFont="1" applyFill="1" applyBorder="1" applyAlignment="1" applyProtection="1">
      <alignment horizontal="left" vertical="center" wrapText="1"/>
    </xf>
    <xf numFmtId="0" fontId="57" fillId="0" borderId="1" xfId="9" applyFont="1" applyBorder="1" applyAlignment="1" applyProtection="1">
      <alignment horizontal="center" vertical="center" wrapText="1"/>
      <protection locked="0"/>
    </xf>
    <xf numFmtId="0" fontId="82" fillId="0" borderId="1" xfId="0" applyFont="1" applyBorder="1" applyAlignment="1" applyProtection="1">
      <alignment horizontal="right" vertical="center"/>
      <protection locked="0"/>
    </xf>
    <xf numFmtId="0" fontId="79" fillId="6" borderId="1" xfId="9" applyFont="1" applyFill="1" applyBorder="1" applyAlignment="1" applyProtection="1">
      <alignment vertical="center" wrapText="1"/>
      <protection locked="0"/>
    </xf>
    <xf numFmtId="2" fontId="79" fillId="6" borderId="1" xfId="9" applyNumberFormat="1" applyFont="1" applyFill="1" applyBorder="1" applyAlignment="1" applyProtection="1">
      <alignment vertical="center" wrapText="1"/>
      <protection locked="0"/>
    </xf>
    <xf numFmtId="0" fontId="79" fillId="6" borderId="1" xfId="8" applyFont="1" applyFill="1" applyBorder="1" applyAlignment="1" applyProtection="1">
      <alignment horizontal="left" vertical="center" wrapText="1"/>
      <protection locked="0"/>
    </xf>
    <xf numFmtId="0" fontId="79" fillId="0" borderId="1" xfId="9" applyFont="1" applyFill="1" applyBorder="1" applyAlignment="1" applyProtection="1">
      <alignment vertical="center" wrapText="1"/>
      <protection locked="0"/>
    </xf>
    <xf numFmtId="0" fontId="79" fillId="0" borderId="1" xfId="9" applyFont="1" applyFill="1" applyBorder="1" applyAlignment="1" applyProtection="1">
      <alignment horizontal="left" vertical="center" wrapText="1"/>
      <protection locked="0"/>
    </xf>
    <xf numFmtId="0" fontId="79" fillId="0" borderId="1" xfId="8" applyFont="1" applyFill="1" applyBorder="1" applyAlignment="1" applyProtection="1">
      <alignment horizontal="left" vertical="center" wrapText="1"/>
      <protection locked="0"/>
    </xf>
    <xf numFmtId="2" fontId="57" fillId="2" borderId="1" xfId="8" applyNumberFormat="1" applyFont="1" applyFill="1" applyBorder="1" applyAlignment="1" applyProtection="1">
      <alignment vertical="center" wrapText="1"/>
      <protection locked="0"/>
    </xf>
    <xf numFmtId="167" fontId="78" fillId="0" borderId="1" xfId="9" applyNumberFormat="1" applyFont="1" applyBorder="1" applyAlignment="1" applyProtection="1">
      <alignment vertical="center" wrapText="1"/>
      <protection locked="0"/>
    </xf>
    <xf numFmtId="0" fontId="82" fillId="2" borderId="1" xfId="9" applyFont="1" applyFill="1" applyBorder="1" applyAlignment="1" applyProtection="1">
      <alignment horizontal="left" vertical="center" wrapText="1"/>
      <protection locked="0"/>
    </xf>
    <xf numFmtId="2" fontId="84" fillId="2" borderId="1" xfId="8" applyNumberFormat="1" applyFont="1" applyFill="1" applyBorder="1" applyAlignment="1" applyProtection="1">
      <alignment horizontal="right" vertical="center" wrapText="1"/>
      <protection locked="0"/>
    </xf>
    <xf numFmtId="2" fontId="79" fillId="4" borderId="1" xfId="8" applyNumberFormat="1" applyFont="1" applyFill="1" applyBorder="1" applyAlignment="1" applyProtection="1">
      <alignment vertical="center" wrapText="1"/>
      <protection locked="0"/>
    </xf>
    <xf numFmtId="1" fontId="78" fillId="0" borderId="1" xfId="4" applyNumberFormat="1" applyFont="1" applyBorder="1" applyAlignment="1" applyProtection="1">
      <alignment horizontal="center" vertical="center" wrapText="1"/>
      <protection locked="0"/>
    </xf>
    <xf numFmtId="0" fontId="86" fillId="0" borderId="1" xfId="0" applyFont="1" applyBorder="1" applyAlignment="1" applyProtection="1">
      <alignment horizontal="center" vertical="center" wrapText="1"/>
      <protection locked="0"/>
    </xf>
    <xf numFmtId="0" fontId="79" fillId="0" borderId="1" xfId="9" applyFont="1" applyBorder="1" applyAlignment="1" applyProtection="1">
      <alignment horizontal="center" vertical="center" wrapText="1"/>
      <protection locked="0"/>
    </xf>
    <xf numFmtId="0" fontId="79" fillId="0" borderId="1" xfId="9" applyFont="1" applyBorder="1" applyAlignment="1" applyProtection="1">
      <alignment horizontal="left" vertical="center" wrapText="1"/>
      <protection locked="0"/>
    </xf>
    <xf numFmtId="167" fontId="82" fillId="0" borderId="1" xfId="9" applyNumberFormat="1" applyFont="1" applyBorder="1" applyAlignment="1" applyProtection="1">
      <alignment vertical="center" wrapText="1"/>
      <protection locked="0"/>
    </xf>
    <xf numFmtId="0" fontId="78" fillId="0" borderId="2" xfId="9" applyFont="1" applyBorder="1" applyAlignment="1" applyProtection="1">
      <alignment vertical="center" wrapText="1"/>
      <protection locked="0"/>
    </xf>
    <xf numFmtId="0" fontId="86" fillId="0" borderId="1" xfId="9" applyFont="1" applyBorder="1" applyAlignment="1" applyProtection="1">
      <alignment horizontal="center" vertical="center" wrapText="1"/>
      <protection locked="0"/>
    </xf>
    <xf numFmtId="0" fontId="86" fillId="0" borderId="1" xfId="9" applyFont="1" applyBorder="1" applyAlignment="1" applyProtection="1">
      <alignment horizontal="left" vertical="center" wrapText="1"/>
      <protection locked="0"/>
    </xf>
    <xf numFmtId="167" fontId="78" fillId="0" borderId="1" xfId="9" applyNumberFormat="1" applyFont="1" applyFill="1" applyBorder="1" applyAlignment="1" applyProtection="1">
      <alignment vertical="center" wrapText="1"/>
      <protection locked="0"/>
    </xf>
    <xf numFmtId="0" fontId="79" fillId="0" borderId="1" xfId="9" applyFont="1" applyFill="1" applyBorder="1" applyAlignment="1" applyProtection="1">
      <alignment horizontal="center" vertical="center" wrapText="1"/>
      <protection locked="0"/>
    </xf>
    <xf numFmtId="0" fontId="79" fillId="6" borderId="1" xfId="4" applyFont="1" applyFill="1" applyBorder="1" applyAlignment="1" applyProtection="1">
      <alignment horizontal="left" vertical="center" wrapText="1"/>
      <protection locked="0"/>
    </xf>
    <xf numFmtId="2" fontId="79" fillId="6" borderId="1" xfId="4" applyNumberFormat="1" applyFont="1" applyFill="1" applyBorder="1" applyAlignment="1" applyProtection="1">
      <alignment horizontal="right" vertical="center" wrapText="1"/>
      <protection locked="0"/>
    </xf>
    <xf numFmtId="2" fontId="79" fillId="4" borderId="1" xfId="4" applyNumberFormat="1" applyFont="1" applyFill="1" applyBorder="1" applyAlignment="1" applyProtection="1">
      <alignment vertical="center" wrapText="1"/>
      <protection locked="0"/>
    </xf>
    <xf numFmtId="0" fontId="57" fillId="0" borderId="1" xfId="58" applyFont="1" applyBorder="1" applyAlignment="1" applyProtection="1">
      <alignment vertical="center" wrapText="1"/>
      <protection locked="0"/>
    </xf>
    <xf numFmtId="2" fontId="79" fillId="3" borderId="1" xfId="4" applyNumberFormat="1" applyFont="1" applyFill="1" applyBorder="1" applyAlignment="1" applyProtection="1">
      <alignment horizontal="left" vertical="center" wrapText="1"/>
      <protection locked="0"/>
    </xf>
    <xf numFmtId="0" fontId="79" fillId="4" borderId="1" xfId="4" applyFont="1" applyFill="1" applyBorder="1" applyAlignment="1" applyProtection="1">
      <alignment horizontal="left" vertical="center" wrapText="1"/>
      <protection locked="0"/>
    </xf>
    <xf numFmtId="0" fontId="57" fillId="0" borderId="1" xfId="9" applyFont="1" applyFill="1" applyBorder="1" applyAlignment="1" applyProtection="1">
      <alignment vertical="center" wrapText="1"/>
      <protection locked="0"/>
    </xf>
    <xf numFmtId="0" fontId="57" fillId="0" borderId="1" xfId="9" applyFont="1" applyFill="1" applyBorder="1" applyAlignment="1" applyProtection="1">
      <alignment horizontal="left" vertical="center" wrapText="1"/>
      <protection locked="0"/>
    </xf>
    <xf numFmtId="165" fontId="57" fillId="0" borderId="1" xfId="0" applyNumberFormat="1" applyFont="1" applyBorder="1" applyAlignment="1" applyProtection="1">
      <alignment horizontal="center" vertical="center"/>
      <protection locked="0"/>
    </xf>
    <xf numFmtId="0" fontId="57" fillId="0" borderId="1" xfId="0" applyFont="1" applyBorder="1" applyAlignment="1" applyProtection="1">
      <alignment horizontal="center" vertical="center" wrapText="1"/>
      <protection locked="0"/>
    </xf>
    <xf numFmtId="0" fontId="57" fillId="0" borderId="1" xfId="0" applyFont="1" applyBorder="1" applyAlignment="1" applyProtection="1">
      <alignment horizontal="left" vertical="center" wrapText="1"/>
      <protection locked="0"/>
    </xf>
    <xf numFmtId="0" fontId="57" fillId="0" borderId="1" xfId="8" applyFont="1" applyBorder="1" applyAlignment="1" applyProtection="1">
      <alignment vertical="center"/>
      <protection locked="0"/>
    </xf>
    <xf numFmtId="0" fontId="57" fillId="0" borderId="1" xfId="8" applyFont="1" applyBorder="1" applyAlignment="1" applyProtection="1">
      <alignment horizontal="left" vertical="center"/>
      <protection locked="0"/>
    </xf>
    <xf numFmtId="0" fontId="57" fillId="10" borderId="1" xfId="8" applyFont="1" applyFill="1" applyBorder="1" applyAlignment="1" applyProtection="1">
      <alignment horizontal="left" vertical="center"/>
      <protection locked="0"/>
    </xf>
    <xf numFmtId="2" fontId="77" fillId="7" borderId="1" xfId="8" applyNumberFormat="1" applyFont="1" applyFill="1" applyBorder="1" applyAlignment="1" applyProtection="1">
      <alignment horizontal="right" vertical="center" wrapText="1"/>
    </xf>
    <xf numFmtId="2" fontId="57" fillId="0" borderId="1" xfId="4" applyNumberFormat="1" applyFont="1" applyBorder="1" applyAlignment="1" applyProtection="1">
      <alignment horizontal="center" vertical="center" wrapText="1"/>
      <protection locked="0"/>
    </xf>
    <xf numFmtId="0" fontId="82" fillId="0" borderId="1" xfId="4" applyFont="1" applyBorder="1" applyAlignment="1" applyProtection="1">
      <alignment horizontal="left" vertical="center" wrapText="1"/>
    </xf>
    <xf numFmtId="2" fontId="57" fillId="0" borderId="1" xfId="4" applyNumberFormat="1" applyFont="1" applyBorder="1" applyAlignment="1" applyProtection="1">
      <alignment horizontal="left" vertical="center" wrapText="1"/>
      <protection locked="0"/>
    </xf>
    <xf numFmtId="1" fontId="82" fillId="0" borderId="1" xfId="4" applyNumberFormat="1" applyFont="1" applyBorder="1" applyAlignment="1" applyProtection="1">
      <alignment horizontal="left" vertical="center" wrapText="1"/>
    </xf>
    <xf numFmtId="2" fontId="79" fillId="4" borderId="1" xfId="4" applyNumberFormat="1" applyFont="1" applyFill="1" applyBorder="1" applyAlignment="1" applyProtection="1">
      <alignment horizontal="left" vertical="center" wrapText="1"/>
      <protection locked="0"/>
    </xf>
    <xf numFmtId="2" fontId="84" fillId="4" borderId="1" xfId="4" applyNumberFormat="1" applyFont="1" applyFill="1" applyBorder="1" applyAlignment="1" applyProtection="1">
      <alignment horizontal="left" vertical="center" wrapText="1"/>
      <protection locked="0"/>
    </xf>
    <xf numFmtId="0" fontId="82" fillId="4" borderId="1" xfId="8" applyFont="1" applyFill="1" applyBorder="1" applyAlignment="1" applyProtection="1">
      <alignment horizontal="left" vertical="center" wrapText="1"/>
    </xf>
    <xf numFmtId="0" fontId="84" fillId="10" borderId="1" xfId="8" applyFont="1" applyFill="1" applyBorder="1" applyAlignment="1" applyProtection="1">
      <alignment horizontal="left" vertical="center" wrapText="1"/>
      <protection locked="0"/>
    </xf>
    <xf numFmtId="0" fontId="82" fillId="2" borderId="1" xfId="8" applyFont="1" applyFill="1" applyBorder="1" applyAlignment="1" applyProtection="1">
      <alignment horizontal="left" vertical="center" wrapText="1"/>
    </xf>
    <xf numFmtId="2" fontId="79" fillId="0" borderId="1" xfId="4" applyNumberFormat="1" applyFont="1" applyBorder="1" applyAlignment="1" applyProtection="1">
      <alignment horizontal="left" vertical="center" wrapText="1"/>
      <protection locked="0"/>
    </xf>
    <xf numFmtId="2" fontId="84" fillId="0" borderId="1" xfId="4" applyNumberFormat="1" applyFont="1" applyBorder="1" applyAlignment="1" applyProtection="1">
      <alignment horizontal="left" vertical="center" wrapText="1"/>
      <protection locked="0"/>
    </xf>
    <xf numFmtId="0" fontId="84" fillId="0" borderId="1" xfId="4" applyFont="1" applyBorder="1" applyAlignment="1" applyProtection="1">
      <alignment horizontal="right" vertical="center" wrapText="1"/>
      <protection locked="0"/>
    </xf>
    <xf numFmtId="0" fontId="82" fillId="0" borderId="1" xfId="62" applyFont="1" applyBorder="1" applyAlignment="1" applyProtection="1">
      <alignment horizontal="right" vertical="center"/>
      <protection locked="0"/>
    </xf>
    <xf numFmtId="0" fontId="82" fillId="0" borderId="1" xfId="62" applyFont="1" applyBorder="1" applyAlignment="1" applyProtection="1">
      <alignment horizontal="right" vertical="center" wrapText="1"/>
      <protection locked="0"/>
    </xf>
    <xf numFmtId="0" fontId="82" fillId="0" borderId="1" xfId="4" applyFont="1" applyBorder="1" applyAlignment="1" applyProtection="1">
      <alignment horizontal="center" vertical="center" wrapText="1"/>
      <protection locked="0"/>
    </xf>
    <xf numFmtId="0" fontId="82" fillId="0" borderId="1" xfId="4" applyFont="1" applyBorder="1" applyAlignment="1" applyProtection="1">
      <alignment horizontal="right" vertical="center" wrapText="1"/>
      <protection locked="0"/>
    </xf>
    <xf numFmtId="0" fontId="82" fillId="0" borderId="1" xfId="62" applyFont="1" applyBorder="1" applyAlignment="1" applyProtection="1">
      <alignment horizontal="left" vertical="center" wrapText="1"/>
      <protection locked="0"/>
    </xf>
    <xf numFmtId="2" fontId="82" fillId="0" borderId="1" xfId="4" applyNumberFormat="1" applyFont="1" applyBorder="1" applyAlignment="1" applyProtection="1">
      <alignment horizontal="right" vertical="center" wrapText="1"/>
      <protection locked="0"/>
    </xf>
    <xf numFmtId="0" fontId="84" fillId="0" borderId="1" xfId="4" applyFont="1" applyFill="1" applyBorder="1" applyAlignment="1" applyProtection="1">
      <alignment horizontal="right" vertical="center" wrapText="1"/>
      <protection locked="0"/>
    </xf>
    <xf numFmtId="0" fontId="82" fillId="0" borderId="1" xfId="62" applyFont="1" applyFill="1" applyBorder="1" applyAlignment="1" applyProtection="1">
      <alignment horizontal="right" vertical="center"/>
      <protection locked="0"/>
    </xf>
    <xf numFmtId="167" fontId="82" fillId="0" borderId="1" xfId="11" applyNumberFormat="1" applyFont="1" applyFill="1" applyBorder="1" applyAlignment="1" applyProtection="1">
      <alignment horizontal="right" vertical="center" wrapText="1"/>
      <protection locked="0"/>
    </xf>
    <xf numFmtId="0" fontId="84" fillId="4" borderId="1" xfId="4" applyFont="1" applyFill="1" applyBorder="1" applyAlignment="1" applyProtection="1">
      <alignment horizontal="right" vertical="center" wrapText="1"/>
      <protection locked="0"/>
    </xf>
    <xf numFmtId="0" fontId="57" fillId="0" borderId="1" xfId="82" applyFont="1" applyBorder="1" applyAlignment="1" applyProtection="1">
      <alignment vertical="center"/>
      <protection locked="0"/>
    </xf>
    <xf numFmtId="167" fontId="57" fillId="0" borderId="1" xfId="14" applyNumberFormat="1" applyFont="1" applyBorder="1" applyAlignment="1" applyProtection="1">
      <alignment vertical="center" wrapText="1"/>
      <protection locked="0"/>
    </xf>
    <xf numFmtId="0" fontId="57" fillId="0" borderId="1" xfId="82" applyFont="1" applyBorder="1" applyAlignment="1" applyProtection="1">
      <alignment vertical="center" wrapText="1"/>
      <protection locked="0"/>
    </xf>
    <xf numFmtId="0" fontId="79" fillId="0" borderId="1" xfId="0" applyFont="1" applyBorder="1" applyAlignment="1" applyProtection="1">
      <alignment vertical="center"/>
      <protection locked="0"/>
    </xf>
    <xf numFmtId="0" fontId="79" fillId="0" borderId="1" xfId="0" applyFont="1" applyFill="1" applyBorder="1" applyAlignment="1" applyProtection="1">
      <alignment vertical="center"/>
      <protection locked="0"/>
    </xf>
    <xf numFmtId="0" fontId="57" fillId="0" borderId="1" xfId="82" applyFont="1" applyFill="1" applyBorder="1" applyAlignment="1" applyProtection="1">
      <alignment vertical="center"/>
      <protection locked="0"/>
    </xf>
    <xf numFmtId="0" fontId="57" fillId="0" borderId="1" xfId="14" applyFont="1" applyBorder="1" applyAlignment="1" applyProtection="1">
      <alignment vertical="center" wrapText="1"/>
      <protection locked="0"/>
    </xf>
    <xf numFmtId="0" fontId="82" fillId="0" borderId="1" xfId="82" applyFont="1" applyBorder="1" applyAlignment="1" applyProtection="1">
      <alignment vertical="center"/>
      <protection locked="0"/>
    </xf>
    <xf numFmtId="0" fontId="57" fillId="0" borderId="1" xfId="8" applyFont="1" applyBorder="1" applyAlignment="1" applyProtection="1">
      <alignment horizontal="center" vertical="center"/>
      <protection locked="0"/>
    </xf>
    <xf numFmtId="167" fontId="57" fillId="0" borderId="1" xfId="8" applyNumberFormat="1" applyFont="1" applyBorder="1" applyAlignment="1" applyProtection="1">
      <alignment horizontal="right" vertical="center" wrapText="1"/>
      <protection locked="0"/>
    </xf>
    <xf numFmtId="0" fontId="57" fillId="0" borderId="1" xfId="38" applyFont="1" applyBorder="1" applyAlignment="1" applyProtection="1">
      <alignment horizontal="left" vertical="center" wrapText="1"/>
      <protection locked="0"/>
    </xf>
    <xf numFmtId="0" fontId="57" fillId="2" borderId="1" xfId="8" applyFont="1" applyFill="1" applyBorder="1" applyAlignment="1" applyProtection="1">
      <alignment horizontal="left" vertical="center" wrapText="1"/>
      <protection locked="0"/>
    </xf>
    <xf numFmtId="2" fontId="79" fillId="2" borderId="1" xfId="8" applyNumberFormat="1" applyFont="1" applyFill="1" applyBorder="1" applyAlignment="1" applyProtection="1">
      <alignment horizontal="right" vertical="center" wrapText="1"/>
    </xf>
    <xf numFmtId="0" fontId="79" fillId="6" borderId="1" xfId="8" applyFont="1" applyFill="1" applyBorder="1" applyAlignment="1" applyProtection="1">
      <alignment vertical="center"/>
      <protection locked="0"/>
    </xf>
    <xf numFmtId="0" fontId="79" fillId="6" borderId="1" xfId="8" applyFont="1" applyFill="1" applyBorder="1" applyAlignment="1" applyProtection="1">
      <alignment horizontal="center" vertical="center"/>
      <protection locked="0"/>
    </xf>
    <xf numFmtId="167" fontId="79" fillId="6" borderId="1" xfId="8" applyNumberFormat="1" applyFont="1" applyFill="1" applyBorder="1" applyAlignment="1" applyProtection="1">
      <alignment horizontal="right" vertical="center" wrapText="1"/>
      <protection locked="0"/>
    </xf>
    <xf numFmtId="2" fontId="79" fillId="6" borderId="1" xfId="8" applyNumberFormat="1" applyFont="1" applyFill="1" applyBorder="1" applyAlignment="1" applyProtection="1">
      <alignment horizontal="right" vertical="center"/>
    </xf>
    <xf numFmtId="0" fontId="79" fillId="6" borderId="1" xfId="8" applyFont="1" applyFill="1" applyBorder="1" applyAlignment="1" applyProtection="1">
      <alignment horizontal="left" vertical="center"/>
    </xf>
    <xf numFmtId="2" fontId="79" fillId="6" borderId="1" xfId="8" applyNumberFormat="1" applyFont="1" applyFill="1" applyBorder="1" applyAlignment="1" applyProtection="1">
      <alignment horizontal="right" vertical="center" wrapText="1"/>
    </xf>
    <xf numFmtId="0" fontId="57" fillId="2" borderId="1" xfId="8" applyFont="1" applyFill="1" applyBorder="1" applyAlignment="1" applyProtection="1">
      <alignment horizontal="left" vertical="center" wrapText="1"/>
    </xf>
    <xf numFmtId="0" fontId="57" fillId="0" borderId="1" xfId="8" applyFont="1" applyFill="1" applyBorder="1" applyAlignment="1" applyProtection="1">
      <alignment vertical="center"/>
      <protection locked="0"/>
    </xf>
    <xf numFmtId="0" fontId="57" fillId="0" borderId="1" xfId="8" applyFont="1" applyFill="1" applyBorder="1" applyAlignment="1" applyProtection="1">
      <alignment horizontal="left" vertical="center"/>
    </xf>
    <xf numFmtId="0" fontId="79" fillId="0" borderId="1" xfId="8" applyFont="1" applyFill="1" applyBorder="1" applyAlignment="1" applyProtection="1">
      <alignment vertical="center" wrapText="1"/>
      <protection locked="0"/>
    </xf>
    <xf numFmtId="0" fontId="57" fillId="11" borderId="1" xfId="8" applyFont="1" applyFill="1" applyBorder="1" applyAlignment="1" applyProtection="1">
      <alignment horizontal="left" vertical="center"/>
      <protection locked="0"/>
    </xf>
    <xf numFmtId="2" fontId="57" fillId="11" borderId="1" xfId="4" applyNumberFormat="1" applyFont="1" applyFill="1" applyBorder="1" applyAlignment="1" applyProtection="1">
      <alignment horizontal="left" vertical="center" wrapText="1"/>
      <protection locked="0"/>
    </xf>
    <xf numFmtId="167" fontId="57" fillId="0" borderId="1" xfId="8" applyNumberFormat="1" applyFont="1" applyFill="1" applyBorder="1" applyAlignment="1" applyProtection="1">
      <alignment horizontal="right" vertical="center" wrapText="1"/>
      <protection locked="0"/>
    </xf>
    <xf numFmtId="0" fontId="80" fillId="19" borderId="1" xfId="4" applyFont="1" applyFill="1" applyBorder="1" applyAlignment="1" applyProtection="1">
      <alignment horizontal="left" vertical="center" wrapText="1"/>
    </xf>
    <xf numFmtId="1" fontId="80" fillId="19" borderId="1" xfId="4" applyNumberFormat="1" applyFont="1" applyFill="1" applyBorder="1" applyAlignment="1" applyProtection="1">
      <alignment horizontal="left" vertical="center" wrapText="1"/>
    </xf>
    <xf numFmtId="0" fontId="57" fillId="0" borderId="1" xfId="8" applyFont="1" applyFill="1" applyBorder="1" applyAlignment="1" applyProtection="1">
      <alignment horizontal="left" vertical="center"/>
      <protection locked="0"/>
    </xf>
    <xf numFmtId="0" fontId="57" fillId="0" borderId="1" xfId="4" applyFont="1" applyBorder="1" applyAlignment="1" applyProtection="1">
      <alignment horizontal="center" vertical="center" wrapText="1"/>
      <protection locked="0"/>
    </xf>
    <xf numFmtId="0" fontId="57" fillId="10" borderId="1" xfId="11" applyFont="1" applyFill="1" applyBorder="1" applyAlignment="1" applyProtection="1">
      <alignment horizontal="left" vertical="center"/>
      <protection locked="0"/>
    </xf>
    <xf numFmtId="2" fontId="57" fillId="0" borderId="1" xfId="0" applyNumberFormat="1" applyFont="1" applyBorder="1" applyAlignment="1" applyProtection="1">
      <alignment horizontal="center" vertical="center" wrapText="1"/>
      <protection locked="0"/>
    </xf>
    <xf numFmtId="2" fontId="57" fillId="0" borderId="1" xfId="4" applyNumberFormat="1" applyFont="1" applyFill="1" applyBorder="1" applyAlignment="1" applyProtection="1">
      <alignment horizontal="center" vertical="center" wrapText="1"/>
      <protection locked="0"/>
    </xf>
    <xf numFmtId="0" fontId="77" fillId="7" borderId="1" xfId="11" applyFont="1" applyFill="1" applyBorder="1" applyAlignment="1" applyProtection="1">
      <alignment horizontal="left" vertical="center" wrapText="1"/>
    </xf>
    <xf numFmtId="0" fontId="80" fillId="7" borderId="1" xfId="11" applyFont="1" applyFill="1" applyBorder="1" applyAlignment="1" applyProtection="1">
      <alignment horizontal="left" vertical="center" wrapText="1"/>
    </xf>
    <xf numFmtId="2" fontId="77" fillId="7" borderId="1" xfId="11" applyNumberFormat="1" applyFont="1" applyFill="1" applyBorder="1" applyAlignment="1" applyProtection="1">
      <alignment horizontal="right" vertical="center" wrapText="1"/>
    </xf>
    <xf numFmtId="0" fontId="79" fillId="2" borderId="1" xfId="48" applyFont="1" applyFill="1" applyBorder="1" applyAlignment="1" applyProtection="1">
      <alignment horizontal="left" vertical="center"/>
    </xf>
    <xf numFmtId="0" fontId="79" fillId="2" borderId="1" xfId="48" applyFont="1" applyFill="1" applyBorder="1" applyAlignment="1" applyProtection="1">
      <alignment horizontal="left" vertical="center" wrapText="1"/>
    </xf>
    <xf numFmtId="0" fontId="79" fillId="2" borderId="1" xfId="48" applyFont="1" applyFill="1" applyBorder="1" applyAlignment="1" applyProtection="1">
      <alignment horizontal="left" vertical="center"/>
      <protection locked="0"/>
    </xf>
    <xf numFmtId="2" fontId="79" fillId="2" borderId="1" xfId="48" applyNumberFormat="1" applyFont="1" applyFill="1" applyBorder="1" applyAlignment="1" applyProtection="1">
      <alignment horizontal="right" vertical="center"/>
    </xf>
    <xf numFmtId="0" fontId="79" fillId="2" borderId="1" xfId="48" applyFont="1" applyFill="1" applyBorder="1" applyAlignment="1" applyProtection="1">
      <alignment vertical="center"/>
      <protection locked="0"/>
    </xf>
    <xf numFmtId="2" fontId="79" fillId="2" borderId="1" xfId="48" applyNumberFormat="1" applyFont="1" applyFill="1" applyBorder="1" applyAlignment="1" applyProtection="1">
      <alignment horizontal="left" vertical="center"/>
      <protection locked="0"/>
    </xf>
    <xf numFmtId="0" fontId="57" fillId="0" borderId="1" xfId="48" applyFont="1" applyBorder="1" applyAlignment="1" applyProtection="1">
      <alignment horizontal="left" vertical="center"/>
    </xf>
    <xf numFmtId="49" fontId="57" fillId="0" borderId="1" xfId="48" applyNumberFormat="1" applyFont="1" applyBorder="1" applyAlignment="1" applyProtection="1">
      <alignment horizontal="left" vertical="center"/>
    </xf>
    <xf numFmtId="0" fontId="79" fillId="0" borderId="1" xfId="48" applyFont="1" applyBorder="1" applyAlignment="1" applyProtection="1">
      <alignment horizontal="left" vertical="center"/>
    </xf>
    <xf numFmtId="0" fontId="79" fillId="0" borderId="1" xfId="48" applyFont="1" applyBorder="1" applyAlignment="1" applyProtection="1">
      <alignment horizontal="left" vertical="center"/>
      <protection locked="0"/>
    </xf>
    <xf numFmtId="2" fontId="57" fillId="0" borderId="1" xfId="48" applyNumberFormat="1" applyFont="1" applyBorder="1" applyAlignment="1" applyProtection="1">
      <alignment horizontal="right" vertical="center"/>
    </xf>
    <xf numFmtId="2" fontId="57" fillId="0" borderId="1" xfId="48" applyNumberFormat="1" applyFont="1" applyBorder="1" applyAlignment="1" applyProtection="1">
      <alignment horizontal="left" vertical="center"/>
      <protection locked="0"/>
    </xf>
    <xf numFmtId="0" fontId="57" fillId="11" borderId="1" xfId="48" applyFont="1" applyFill="1" applyBorder="1" applyAlignment="1" applyProtection="1">
      <alignment horizontal="left" vertical="center"/>
    </xf>
    <xf numFmtId="0" fontId="57" fillId="0" borderId="1" xfId="0" applyFont="1" applyBorder="1" applyAlignment="1" applyProtection="1">
      <alignment vertical="center" wrapText="1"/>
    </xf>
    <xf numFmtId="0" fontId="57" fillId="0" borderId="1" xfId="48" applyFont="1" applyBorder="1" applyAlignment="1" applyProtection="1">
      <alignment horizontal="left" vertical="center" wrapText="1"/>
    </xf>
    <xf numFmtId="0" fontId="79" fillId="4" borderId="1" xfId="48" applyFont="1" applyFill="1" applyBorder="1" applyAlignment="1" applyProtection="1">
      <alignment horizontal="left" vertical="center" wrapText="1"/>
    </xf>
    <xf numFmtId="0" fontId="79" fillId="4" borderId="1" xfId="48" applyFont="1" applyFill="1" applyBorder="1" applyAlignment="1" applyProtection="1">
      <alignment vertical="center" wrapText="1"/>
    </xf>
    <xf numFmtId="0" fontId="79" fillId="4" borderId="1" xfId="48" applyFont="1" applyFill="1" applyBorder="1" applyAlignment="1" applyProtection="1">
      <alignment vertical="center" wrapText="1"/>
      <protection locked="0"/>
    </xf>
    <xf numFmtId="2" fontId="79" fillId="4" borderId="1" xfId="48" applyNumberFormat="1" applyFont="1" applyFill="1" applyBorder="1" applyAlignment="1" applyProtection="1">
      <alignment horizontal="right" vertical="center" wrapText="1"/>
    </xf>
    <xf numFmtId="2" fontId="79" fillId="4" borderId="1" xfId="48" applyNumberFormat="1" applyFont="1" applyFill="1" applyBorder="1" applyAlignment="1" applyProtection="1">
      <alignment horizontal="left" vertical="center" wrapText="1"/>
      <protection locked="0"/>
    </xf>
    <xf numFmtId="0" fontId="57" fillId="0" borderId="1" xfId="4" applyFont="1" applyBorder="1" applyAlignment="1" applyProtection="1">
      <alignment horizontal="left" vertical="center" wrapText="1"/>
    </xf>
    <xf numFmtId="0" fontId="57" fillId="0" borderId="1" xfId="4" applyFont="1" applyBorder="1" applyAlignment="1" applyProtection="1">
      <alignment vertical="center" wrapText="1"/>
    </xf>
    <xf numFmtId="0" fontId="79" fillId="0" borderId="1" xfId="48" applyFont="1" applyBorder="1" applyAlignment="1" applyProtection="1">
      <alignment horizontal="left" vertical="center" wrapText="1"/>
      <protection locked="0"/>
    </xf>
    <xf numFmtId="2" fontId="79" fillId="10" borderId="1" xfId="48" applyNumberFormat="1" applyFont="1" applyFill="1" applyBorder="1" applyAlignment="1" applyProtection="1">
      <alignment horizontal="left" vertical="center" wrapText="1"/>
      <protection locked="0"/>
    </xf>
    <xf numFmtId="2" fontId="79" fillId="10" borderId="1" xfId="48" applyNumberFormat="1" applyFont="1" applyFill="1" applyBorder="1" applyAlignment="1" applyProtection="1">
      <alignment horizontal="right" vertical="center" wrapText="1"/>
      <protection locked="0"/>
    </xf>
    <xf numFmtId="0" fontId="79" fillId="6" borderId="1" xfId="4" applyFont="1" applyFill="1" applyBorder="1" applyAlignment="1" applyProtection="1">
      <alignment horizontal="left" vertical="center" wrapText="1"/>
    </xf>
    <xf numFmtId="0" fontId="79" fillId="6" borderId="1" xfId="4" applyFont="1" applyFill="1" applyBorder="1" applyAlignment="1" applyProtection="1">
      <alignment vertical="center" wrapText="1"/>
    </xf>
    <xf numFmtId="0" fontId="79" fillId="6" borderId="1" xfId="48" applyFont="1" applyFill="1" applyBorder="1" applyAlignment="1" applyProtection="1">
      <alignment vertical="center"/>
    </xf>
    <xf numFmtId="0" fontId="79" fillId="6" borderId="1" xfId="48" applyFont="1" applyFill="1" applyBorder="1" applyAlignment="1" applyProtection="1">
      <alignment horizontal="left" vertical="center" wrapText="1"/>
      <protection locked="0"/>
    </xf>
    <xf numFmtId="2" fontId="79" fillId="6" borderId="1" xfId="48" applyNumberFormat="1" applyFont="1" applyFill="1" applyBorder="1" applyAlignment="1" applyProtection="1">
      <alignment horizontal="right" vertical="center"/>
    </xf>
    <xf numFmtId="0" fontId="79" fillId="6" borderId="1" xfId="48" applyFont="1" applyFill="1" applyBorder="1" applyAlignment="1" applyProtection="1">
      <alignment horizontal="left" vertical="center"/>
      <protection locked="0"/>
    </xf>
    <xf numFmtId="2" fontId="79" fillId="6" borderId="1" xfId="48" applyNumberFormat="1" applyFont="1" applyFill="1" applyBorder="1" applyAlignment="1" applyProtection="1">
      <alignment horizontal="left" vertical="center"/>
      <protection locked="0"/>
    </xf>
    <xf numFmtId="2" fontId="79" fillId="6" borderId="1" xfId="48" applyNumberFormat="1" applyFont="1" applyFill="1" applyBorder="1" applyAlignment="1" applyProtection="1">
      <alignment horizontal="left" vertical="center" wrapText="1"/>
    </xf>
    <xf numFmtId="0" fontId="57" fillId="0" borderId="1" xfId="4" applyFont="1" applyFill="1" applyBorder="1" applyAlignment="1" applyProtection="1">
      <alignment vertical="center" wrapText="1"/>
    </xf>
    <xf numFmtId="0" fontId="57" fillId="0" borderId="1" xfId="48" applyFont="1" applyBorder="1" applyAlignment="1" applyProtection="1">
      <alignment vertical="center"/>
    </xf>
    <xf numFmtId="0" fontId="57" fillId="0" borderId="1" xfId="48" applyFont="1" applyBorder="1" applyAlignment="1" applyProtection="1">
      <alignment horizontal="left" vertical="center" wrapText="1"/>
      <protection locked="0"/>
    </xf>
    <xf numFmtId="0" fontId="79" fillId="3" borderId="1" xfId="48" applyFont="1" applyFill="1" applyBorder="1" applyAlignment="1" applyProtection="1">
      <alignment horizontal="left" vertical="center" wrapText="1"/>
    </xf>
    <xf numFmtId="0" fontId="79" fillId="3" borderId="1" xfId="48" applyFont="1" applyFill="1" applyBorder="1" applyAlignment="1" applyProtection="1">
      <alignment vertical="center" wrapText="1"/>
    </xf>
    <xf numFmtId="0" fontId="79" fillId="3" borderId="1" xfId="48" applyFont="1" applyFill="1" applyBorder="1" applyAlignment="1" applyProtection="1">
      <alignment vertical="center" wrapText="1"/>
      <protection locked="0"/>
    </xf>
    <xf numFmtId="2" fontId="79" fillId="3" borderId="1" xfId="48" applyNumberFormat="1" applyFont="1" applyFill="1" applyBorder="1" applyAlignment="1" applyProtection="1">
      <alignment horizontal="right" vertical="center" wrapText="1"/>
    </xf>
    <xf numFmtId="2" fontId="79" fillId="3" borderId="1" xfId="48" applyNumberFormat="1" applyFont="1" applyFill="1" applyBorder="1" applyAlignment="1" applyProtection="1">
      <alignment horizontal="left" vertical="center" wrapText="1"/>
      <protection locked="0"/>
    </xf>
    <xf numFmtId="0" fontId="57" fillId="0" borderId="1" xfId="48" applyFont="1" applyFill="1" applyBorder="1" applyAlignment="1" applyProtection="1">
      <alignment vertical="center"/>
    </xf>
    <xf numFmtId="2" fontId="79" fillId="3" borderId="1" xfId="48" applyNumberFormat="1" applyFont="1" applyFill="1" applyBorder="1" applyAlignment="1" applyProtection="1">
      <alignment horizontal="left" vertical="center" wrapText="1"/>
    </xf>
    <xf numFmtId="0" fontId="57" fillId="0" borderId="1" xfId="48" applyFont="1" applyBorder="1" applyAlignment="1" applyProtection="1">
      <alignment vertical="center" wrapText="1"/>
      <protection locked="0"/>
    </xf>
    <xf numFmtId="0" fontId="57" fillId="0" borderId="1" xfId="0" applyFont="1" applyBorder="1" applyAlignment="1" applyProtection="1">
      <alignment wrapText="1"/>
      <protection locked="0"/>
    </xf>
    <xf numFmtId="2" fontId="102" fillId="10" borderId="1" xfId="48" applyNumberFormat="1" applyFont="1" applyFill="1" applyBorder="1" applyAlignment="1" applyProtection="1">
      <alignment horizontal="left" vertical="center" wrapText="1"/>
      <protection locked="0"/>
    </xf>
    <xf numFmtId="0" fontId="57" fillId="0" borderId="1" xfId="0" applyFont="1" applyFill="1" applyBorder="1" applyAlignment="1" applyProtection="1">
      <alignment wrapText="1"/>
    </xf>
    <xf numFmtId="2" fontId="79" fillId="4" borderId="1" xfId="48" applyNumberFormat="1" applyFont="1" applyFill="1" applyBorder="1" applyAlignment="1" applyProtection="1">
      <alignment horizontal="left" vertical="center" wrapText="1"/>
    </xf>
    <xf numFmtId="0" fontId="79" fillId="0" borderId="1" xfId="4" applyFont="1" applyFill="1" applyBorder="1" applyAlignment="1" applyProtection="1">
      <alignment vertical="center" wrapText="1"/>
    </xf>
    <xf numFmtId="0" fontId="57" fillId="0" borderId="1" xfId="48" applyFont="1" applyFill="1" applyBorder="1" applyAlignment="1" applyProtection="1">
      <alignment horizontal="left" vertical="center" wrapText="1"/>
    </xf>
    <xf numFmtId="0" fontId="57" fillId="4" borderId="1" xfId="48" applyFont="1" applyFill="1" applyBorder="1" applyAlignment="1" applyProtection="1">
      <alignment horizontal="center" vertical="center" wrapText="1"/>
      <protection locked="0"/>
    </xf>
    <xf numFmtId="2" fontId="57" fillId="4" borderId="1" xfId="48" applyNumberFormat="1" applyFont="1" applyFill="1" applyBorder="1" applyAlignment="1" applyProtection="1">
      <alignment horizontal="right" vertical="center" wrapText="1"/>
    </xf>
    <xf numFmtId="2" fontId="57" fillId="4" borderId="1" xfId="48" applyNumberFormat="1" applyFont="1" applyFill="1" applyBorder="1" applyAlignment="1" applyProtection="1">
      <alignment vertical="center" wrapText="1"/>
    </xf>
    <xf numFmtId="0" fontId="77" fillId="7" borderId="1" xfId="50" applyFont="1" applyFill="1" applyBorder="1" applyAlignment="1" applyProtection="1">
      <alignment horizontal="left" vertical="center" wrapText="1"/>
    </xf>
    <xf numFmtId="0" fontId="77" fillId="7" borderId="1" xfId="50" applyFont="1" applyFill="1" applyBorder="1" applyAlignment="1" applyProtection="1">
      <alignment horizontal="center" vertical="center" wrapText="1"/>
    </xf>
    <xf numFmtId="0" fontId="79" fillId="2" borderId="1" xfId="5" applyFont="1" applyFill="1" applyBorder="1" applyAlignment="1" applyProtection="1">
      <alignment horizontal="left" vertical="center" wrapText="1"/>
    </xf>
    <xf numFmtId="0" fontId="57" fillId="2" borderId="1" xfId="50" applyFont="1" applyFill="1" applyBorder="1" applyAlignment="1" applyProtection="1">
      <alignment horizontal="center" vertical="center" wrapText="1"/>
    </xf>
    <xf numFmtId="0" fontId="57" fillId="2" borderId="1" xfId="50" applyFont="1" applyFill="1" applyBorder="1" applyAlignment="1" applyProtection="1">
      <alignment horizontal="center" vertical="center" wrapText="1"/>
      <protection locked="0"/>
    </xf>
    <xf numFmtId="43" fontId="57" fillId="2" borderId="1" xfId="1" applyFont="1" applyFill="1" applyBorder="1" applyAlignment="1" applyProtection="1">
      <alignment horizontal="center" vertical="center" wrapText="1"/>
    </xf>
    <xf numFmtId="43" fontId="79" fillId="2" borderId="1" xfId="1" applyFont="1" applyFill="1" applyBorder="1" applyAlignment="1" applyProtection="1">
      <alignment horizontal="center" vertical="center" wrapText="1"/>
    </xf>
    <xf numFmtId="0" fontId="79" fillId="0" borderId="1" xfId="50" applyFont="1" applyFill="1" applyBorder="1" applyAlignment="1" applyProtection="1">
      <alignment horizontal="left" vertical="center" wrapText="1"/>
    </xf>
    <xf numFmtId="0" fontId="79" fillId="0" borderId="1" xfId="50" applyFont="1" applyFill="1" applyBorder="1" applyAlignment="1" applyProtection="1">
      <alignment horizontal="center" vertical="center" wrapText="1"/>
    </xf>
    <xf numFmtId="0" fontId="79" fillId="0" borderId="1" xfId="50" applyFont="1" applyFill="1" applyBorder="1" applyAlignment="1" applyProtection="1">
      <alignment horizontal="center" vertical="center" wrapText="1"/>
      <protection locked="0"/>
    </xf>
    <xf numFmtId="0" fontId="57" fillId="0" borderId="1" xfId="5" applyFont="1" applyBorder="1" applyAlignment="1" applyProtection="1">
      <alignment horizontal="left" vertical="center" wrapText="1"/>
    </xf>
    <xf numFmtId="0" fontId="57" fillId="0" borderId="1" xfId="97" applyFont="1" applyBorder="1" applyAlignment="1" applyProtection="1">
      <alignment horizontal="center" vertical="center"/>
      <protection locked="0"/>
    </xf>
    <xf numFmtId="43" fontId="57" fillId="0" borderId="1" xfId="1" applyFont="1" applyBorder="1" applyAlignment="1" applyProtection="1">
      <alignment horizontal="center" vertical="center" wrapText="1"/>
    </xf>
    <xf numFmtId="43" fontId="57" fillId="10" borderId="1" xfId="1" applyFont="1" applyFill="1" applyBorder="1" applyAlignment="1" applyProtection="1">
      <alignment horizontal="right" vertical="center"/>
      <protection locked="0"/>
    </xf>
    <xf numFmtId="0" fontId="79" fillId="28" borderId="1" xfId="97" applyFont="1" applyFill="1" applyBorder="1" applyAlignment="1" applyProtection="1">
      <alignment horizontal="center" vertical="center"/>
    </xf>
    <xf numFmtId="167" fontId="57" fillId="0" borderId="1" xfId="48" applyNumberFormat="1" applyFont="1" applyBorder="1" applyAlignment="1" applyProtection="1">
      <alignment horizontal="center" vertical="center"/>
      <protection locked="0"/>
    </xf>
    <xf numFmtId="0" fontId="57" fillId="0" borderId="1" xfId="97" applyFont="1" applyBorder="1" applyAlignment="1" applyProtection="1">
      <alignment horizontal="left" vertical="center" wrapText="1"/>
    </xf>
    <xf numFmtId="0" fontId="57" fillId="0" borderId="1" xfId="5" applyFont="1" applyFill="1" applyBorder="1" applyAlignment="1" applyProtection="1">
      <alignment horizontal="left" vertical="center" wrapText="1"/>
    </xf>
    <xf numFmtId="0" fontId="57" fillId="0" borderId="1" xfId="97" applyFont="1" applyFill="1" applyBorder="1" applyAlignment="1" applyProtection="1">
      <alignment horizontal="center" vertical="center" wrapText="1"/>
      <protection locked="0"/>
    </xf>
    <xf numFmtId="0" fontId="57" fillId="0" borderId="1" xfId="97" applyFont="1" applyFill="1" applyBorder="1" applyAlignment="1" applyProtection="1">
      <alignment horizontal="center" vertical="center"/>
      <protection locked="0"/>
    </xf>
    <xf numFmtId="167" fontId="57" fillId="0" borderId="1" xfId="48" applyNumberFormat="1" applyFont="1" applyFill="1" applyBorder="1" applyAlignment="1" applyProtection="1">
      <alignment horizontal="center" vertical="center"/>
      <protection locked="0"/>
    </xf>
    <xf numFmtId="43" fontId="57" fillId="0" borderId="1" xfId="1" applyFont="1" applyFill="1" applyBorder="1" applyAlignment="1" applyProtection="1">
      <alignment horizontal="center" vertical="center"/>
    </xf>
    <xf numFmtId="0" fontId="79" fillId="0" borderId="1" xfId="50" applyFont="1" applyBorder="1" applyAlignment="1" applyProtection="1">
      <alignment horizontal="center" vertical="center" wrapText="1"/>
      <protection locked="0"/>
    </xf>
    <xf numFmtId="0" fontId="57" fillId="0" borderId="1" xfId="97" applyFont="1" applyFill="1" applyBorder="1" applyAlignment="1" applyProtection="1">
      <alignment horizontal="left" vertical="center" wrapText="1"/>
    </xf>
    <xf numFmtId="0" fontId="57" fillId="0" borderId="1" xfId="97" applyFont="1" applyFill="1" applyBorder="1" applyAlignment="1" applyProtection="1">
      <alignment horizontal="center" vertical="center"/>
    </xf>
    <xf numFmtId="0" fontId="57" fillId="0" borderId="1" xfId="97" applyFont="1" applyBorder="1" applyAlignment="1" applyProtection="1">
      <alignment horizontal="center" vertical="center" wrapText="1"/>
      <protection locked="0"/>
    </xf>
    <xf numFmtId="0" fontId="57" fillId="0" borderId="1" xfId="97" applyFont="1" applyBorder="1" applyAlignment="1" applyProtection="1">
      <alignment horizontal="left" vertical="center"/>
    </xf>
    <xf numFmtId="0" fontId="79" fillId="0" borderId="1" xfId="97" applyFont="1" applyFill="1" applyBorder="1" applyAlignment="1" applyProtection="1">
      <alignment horizontal="left" vertical="center" wrapText="1"/>
    </xf>
    <xf numFmtId="43" fontId="57" fillId="0" borderId="1" xfId="1" applyFont="1" applyFill="1" applyBorder="1" applyAlignment="1" applyProtection="1">
      <alignment horizontal="center" vertical="center" wrapText="1"/>
    </xf>
    <xf numFmtId="0" fontId="79" fillId="2" borderId="1" xfId="5" applyFont="1" applyFill="1" applyBorder="1" applyAlignment="1" applyProtection="1">
      <alignment horizontal="center" vertical="center" wrapText="1"/>
    </xf>
    <xf numFmtId="0" fontId="79" fillId="2" borderId="1" xfId="5" applyFont="1" applyFill="1" applyBorder="1" applyAlignment="1" applyProtection="1">
      <alignment horizontal="center" vertical="center" wrapText="1"/>
      <protection locked="0"/>
    </xf>
    <xf numFmtId="0" fontId="79" fillId="28" borderId="1" xfId="5" applyFont="1" applyFill="1" applyBorder="1" applyAlignment="1" applyProtection="1">
      <alignment horizontal="center" vertical="center" wrapText="1"/>
    </xf>
    <xf numFmtId="164" fontId="57" fillId="0" borderId="1" xfId="1" applyNumberFormat="1" applyFont="1" applyBorder="1" applyAlignment="1" applyProtection="1">
      <alignment horizontal="center" vertical="center" wrapText="1"/>
      <protection locked="0"/>
    </xf>
    <xf numFmtId="164" fontId="57" fillId="0" borderId="1" xfId="1" applyNumberFormat="1" applyFont="1" applyBorder="1" applyAlignment="1" applyProtection="1">
      <alignment horizontal="center" vertical="center"/>
      <protection locked="0"/>
    </xf>
    <xf numFmtId="0" fontId="57" fillId="0" borderId="1" xfId="0" applyFont="1" applyBorder="1" applyAlignment="1" applyProtection="1">
      <alignment horizontal="left" vertical="center" wrapText="1"/>
    </xf>
    <xf numFmtId="0" fontId="79" fillId="0" borderId="1" xfId="5" applyFont="1" applyFill="1" applyBorder="1" applyAlignment="1" applyProtection="1">
      <alignment horizontal="left" vertical="center" wrapText="1"/>
    </xf>
    <xf numFmtId="0" fontId="57" fillId="0" borderId="1" xfId="5" applyFont="1" applyFill="1" applyBorder="1" applyAlignment="1" applyProtection="1">
      <alignment horizontal="center" vertical="center" wrapText="1"/>
      <protection locked="0"/>
    </xf>
    <xf numFmtId="0" fontId="57" fillId="0" borderId="1" xfId="5" applyFont="1" applyBorder="1" applyAlignment="1" applyProtection="1">
      <alignment horizontal="center" vertical="center" wrapText="1"/>
    </xf>
    <xf numFmtId="0" fontId="57" fillId="0" borderId="1" xfId="5" applyFont="1" applyBorder="1" applyAlignment="1" applyProtection="1">
      <alignment horizontal="center" vertical="center" wrapText="1"/>
      <protection locked="0"/>
    </xf>
    <xf numFmtId="0" fontId="79" fillId="2" borderId="1" xfId="50" applyFont="1" applyFill="1" applyBorder="1" applyAlignment="1" applyProtection="1">
      <alignment horizontal="left" vertical="center" wrapText="1"/>
    </xf>
    <xf numFmtId="0" fontId="79" fillId="2" borderId="1" xfId="50" applyFont="1" applyFill="1" applyBorder="1" applyAlignment="1" applyProtection="1">
      <alignment horizontal="center" vertical="center" wrapText="1"/>
    </xf>
    <xf numFmtId="0" fontId="79" fillId="2" borderId="1" xfId="50" applyFont="1" applyFill="1" applyBorder="1" applyAlignment="1" applyProtection="1">
      <alignment horizontal="center" vertical="center" wrapText="1"/>
      <protection locked="0"/>
    </xf>
    <xf numFmtId="0" fontId="57" fillId="0" borderId="1" xfId="0" applyFont="1" applyFill="1" applyBorder="1" applyAlignment="1" applyProtection="1">
      <alignment horizontal="left" vertical="center" wrapText="1"/>
    </xf>
    <xf numFmtId="0" fontId="57" fillId="0" borderId="1" xfId="5" applyFont="1" applyFill="1" applyBorder="1" applyAlignment="1" applyProtection="1">
      <alignment horizontal="center" vertical="center" wrapText="1"/>
    </xf>
    <xf numFmtId="0" fontId="79" fillId="28" borderId="1" xfId="5" applyFont="1" applyFill="1" applyBorder="1" applyAlignment="1" applyProtection="1">
      <alignment horizontal="center" vertical="center"/>
    </xf>
    <xf numFmtId="0" fontId="57" fillId="0" borderId="1" xfId="4" applyFont="1" applyFill="1" applyBorder="1" applyAlignment="1" applyProtection="1">
      <alignment horizontal="left" vertical="center" wrapText="1"/>
    </xf>
    <xf numFmtId="2" fontId="57" fillId="0" borderId="1" xfId="4" applyNumberFormat="1" applyFont="1" applyBorder="1" applyAlignment="1" applyProtection="1">
      <alignment horizontal="right" vertical="center" wrapText="1"/>
      <protection locked="0"/>
    </xf>
    <xf numFmtId="2" fontId="79" fillId="2" borderId="1" xfId="38" applyNumberFormat="1" applyFont="1" applyFill="1" applyBorder="1" applyAlignment="1" applyProtection="1">
      <alignment horizontal="right" vertical="center" wrapText="1"/>
      <protection locked="0"/>
    </xf>
    <xf numFmtId="0" fontId="96" fillId="0" borderId="1" xfId="0" applyFont="1" applyBorder="1" applyAlignment="1" applyProtection="1">
      <alignment vertical="center" wrapText="1"/>
      <protection locked="0"/>
    </xf>
    <xf numFmtId="0" fontId="96" fillId="0" borderId="1" xfId="0" applyFont="1" applyBorder="1" applyAlignment="1" applyProtection="1">
      <alignment horizontal="left" vertical="center" wrapText="1"/>
      <protection locked="0"/>
    </xf>
    <xf numFmtId="2" fontId="82" fillId="14" borderId="1" xfId="8" applyNumberFormat="1" applyFont="1" applyFill="1" applyBorder="1" applyAlignment="1" applyProtection="1">
      <alignment horizontal="right" vertical="center" wrapText="1"/>
    </xf>
    <xf numFmtId="1" fontId="79" fillId="2" borderId="1" xfId="38" applyNumberFormat="1" applyFont="1" applyFill="1" applyBorder="1" applyAlignment="1" applyProtection="1">
      <alignment horizontal="center" vertical="center" wrapText="1"/>
      <protection locked="0"/>
    </xf>
    <xf numFmtId="0" fontId="84" fillId="18" borderId="1" xfId="8" applyFont="1" applyFill="1" applyBorder="1" applyAlignment="1" applyProtection="1">
      <alignment vertical="center" wrapText="1"/>
      <protection locked="0"/>
    </xf>
    <xf numFmtId="0" fontId="84" fillId="26" borderId="1" xfId="0" applyFont="1" applyFill="1" applyBorder="1" applyAlignment="1" applyProtection="1">
      <alignment horizontal="left" vertical="center" wrapText="1"/>
      <protection locked="0"/>
    </xf>
    <xf numFmtId="0" fontId="84" fillId="26" borderId="1" xfId="8" applyFont="1" applyFill="1" applyBorder="1" applyAlignment="1" applyProtection="1">
      <alignment vertical="center" wrapText="1"/>
      <protection locked="0"/>
    </xf>
    <xf numFmtId="0" fontId="86" fillId="2" borderId="1" xfId="0" applyFont="1" applyFill="1" applyBorder="1" applyAlignment="1" applyProtection="1">
      <alignment horizontal="left" vertical="center" wrapText="1"/>
      <protection locked="0"/>
    </xf>
    <xf numFmtId="0" fontId="84" fillId="2" borderId="1" xfId="8" applyFont="1" applyFill="1" applyBorder="1" applyAlignment="1" applyProtection="1">
      <alignment horizontal="center" vertical="center" wrapText="1"/>
      <protection locked="0"/>
    </xf>
    <xf numFmtId="0" fontId="78" fillId="14" borderId="1" xfId="0" applyFont="1" applyFill="1" applyBorder="1" applyAlignment="1" applyProtection="1">
      <alignment horizontal="center" vertical="center" wrapText="1"/>
      <protection locked="0"/>
    </xf>
    <xf numFmtId="0" fontId="82" fillId="0" borderId="0" xfId="0" applyFont="1" applyAlignment="1" applyProtection="1">
      <alignment vertical="center" wrapText="1"/>
      <protection locked="0"/>
    </xf>
    <xf numFmtId="2" fontId="84" fillId="4" borderId="1" xfId="8" applyNumberFormat="1" applyFont="1" applyFill="1" applyBorder="1" applyAlignment="1" applyProtection="1">
      <alignment horizontal="left" vertical="center" wrapText="1"/>
      <protection locked="0"/>
    </xf>
    <xf numFmtId="0" fontId="82" fillId="14" borderId="1" xfId="0" applyFont="1" applyFill="1" applyBorder="1" applyAlignment="1" applyProtection="1">
      <alignment horizontal="center" vertical="center" wrapText="1"/>
      <protection locked="0"/>
    </xf>
    <xf numFmtId="0" fontId="84" fillId="27" borderId="1" xfId="4" applyFont="1" applyFill="1" applyBorder="1" applyAlignment="1" applyProtection="1">
      <alignment horizontal="right" vertical="center" wrapText="1"/>
      <protection locked="0"/>
    </xf>
    <xf numFmtId="0" fontId="84" fillId="0" borderId="1" xfId="11" applyFont="1" applyFill="1" applyBorder="1" applyAlignment="1" applyProtection="1">
      <alignment horizontal="left" vertical="center" wrapText="1"/>
      <protection locked="0"/>
    </xf>
    <xf numFmtId="0" fontId="82" fillId="0" borderId="1" xfId="87" applyFont="1" applyFill="1" applyBorder="1" applyAlignment="1" applyProtection="1">
      <alignment horizontal="center" vertical="center"/>
      <protection locked="0"/>
    </xf>
    <xf numFmtId="0" fontId="84" fillId="35" borderId="1" xfId="4" applyFont="1" applyFill="1" applyBorder="1" applyAlignment="1" applyProtection="1">
      <alignment vertical="center" wrapText="1"/>
      <protection locked="0"/>
    </xf>
    <xf numFmtId="0" fontId="84" fillId="35" borderId="1" xfId="4" applyFont="1" applyFill="1" applyBorder="1" applyAlignment="1" applyProtection="1">
      <alignment horizontal="left" vertical="center" wrapText="1"/>
      <protection locked="0"/>
    </xf>
    <xf numFmtId="0" fontId="82" fillId="0" borderId="1" xfId="0" applyFont="1" applyFill="1" applyBorder="1" applyAlignment="1">
      <alignment vertical="center"/>
    </xf>
    <xf numFmtId="0" fontId="57" fillId="0" borderId="1" xfId="97" applyFont="1" applyBorder="1" applyAlignment="1" applyProtection="1">
      <alignment horizontal="center" vertical="center" wrapText="1"/>
    </xf>
    <xf numFmtId="0" fontId="57" fillId="0" borderId="1" xfId="97" applyFont="1" applyFill="1" applyBorder="1" applyAlignment="1" applyProtection="1">
      <alignment horizontal="center" vertical="center" wrapText="1"/>
    </xf>
    <xf numFmtId="0" fontId="84" fillId="35" borderId="1" xfId="4" applyFont="1" applyFill="1" applyBorder="1" applyAlignment="1" applyProtection="1">
      <alignment horizontal="center" vertical="center" wrapText="1"/>
      <protection locked="0"/>
    </xf>
    <xf numFmtId="0" fontId="82" fillId="0" borderId="1" xfId="4" applyFont="1" applyFill="1" applyBorder="1" applyAlignment="1" applyProtection="1">
      <alignment horizontal="center" vertical="center" wrapText="1"/>
      <protection locked="0"/>
    </xf>
    <xf numFmtId="0" fontId="84" fillId="0" borderId="1" xfId="11" applyFont="1" applyFill="1" applyBorder="1" applyAlignment="1" applyProtection="1">
      <alignment horizontal="center" vertical="center" wrapText="1"/>
      <protection locked="0"/>
    </xf>
    <xf numFmtId="0" fontId="57" fillId="0" borderId="1" xfId="9" applyFont="1" applyFill="1" applyBorder="1" applyAlignment="1" applyProtection="1">
      <alignment horizontal="center" vertical="center" wrapText="1"/>
      <protection locked="0"/>
    </xf>
    <xf numFmtId="0" fontId="78" fillId="0" borderId="1" xfId="4" applyFont="1" applyFill="1" applyBorder="1" applyAlignment="1" applyProtection="1">
      <alignment vertical="center" wrapText="1"/>
      <protection locked="0"/>
    </xf>
    <xf numFmtId="0" fontId="78" fillId="0" borderId="1" xfId="4" applyFont="1" applyFill="1" applyBorder="1" applyAlignment="1" applyProtection="1">
      <alignment horizontal="left" vertical="center" wrapText="1"/>
      <protection locked="0"/>
    </xf>
    <xf numFmtId="0" fontId="79" fillId="26" borderId="1" xfId="9" applyFont="1" applyFill="1" applyBorder="1" applyAlignment="1" applyProtection="1">
      <alignment horizontal="center" vertical="center" wrapText="1"/>
      <protection locked="0"/>
    </xf>
    <xf numFmtId="0" fontId="82" fillId="26" borderId="1" xfId="8" applyFont="1" applyFill="1" applyBorder="1" applyAlignment="1" applyProtection="1">
      <alignment horizontal="center" vertical="center" wrapText="1"/>
      <protection locked="0"/>
    </xf>
    <xf numFmtId="0" fontId="82" fillId="0" borderId="1" xfId="9" applyFont="1" applyBorder="1" applyAlignment="1" applyProtection="1">
      <alignment horizontal="center" vertical="center" wrapText="1"/>
      <protection locked="0"/>
    </xf>
    <xf numFmtId="0" fontId="82" fillId="4" borderId="1" xfId="9" applyFont="1" applyFill="1" applyBorder="1" applyAlignment="1" applyProtection="1">
      <alignment horizontal="center" vertical="center" wrapText="1"/>
      <protection locked="0"/>
    </xf>
    <xf numFmtId="0" fontId="57" fillId="31" borderId="1" xfId="8" applyFont="1" applyFill="1" applyBorder="1" applyAlignment="1" applyProtection="1">
      <alignment horizontal="center" vertical="center" wrapText="1"/>
      <protection locked="0"/>
    </xf>
    <xf numFmtId="167" fontId="86" fillId="0" borderId="1" xfId="9" applyNumberFormat="1" applyFont="1" applyFill="1" applyBorder="1" applyAlignment="1" applyProtection="1">
      <alignment horizontal="center" vertical="center" wrapText="1"/>
      <protection locked="0"/>
    </xf>
    <xf numFmtId="167" fontId="84" fillId="0" borderId="1" xfId="9" applyNumberFormat="1" applyFont="1" applyBorder="1" applyAlignment="1" applyProtection="1">
      <alignment horizontal="center" vertical="center" wrapText="1"/>
      <protection locked="0"/>
    </xf>
    <xf numFmtId="0" fontId="79" fillId="2" borderId="1" xfId="8" applyFont="1" applyFill="1" applyBorder="1" applyAlignment="1" applyProtection="1">
      <alignment horizontal="center" vertical="center" wrapText="1"/>
      <protection locked="0"/>
    </xf>
    <xf numFmtId="0" fontId="79" fillId="4" borderId="1" xfId="9" applyFont="1" applyFill="1" applyBorder="1" applyAlignment="1" applyProtection="1">
      <alignment horizontal="center" vertical="center" wrapText="1"/>
      <protection locked="0"/>
    </xf>
    <xf numFmtId="0" fontId="98" fillId="0" borderId="1" xfId="9" applyFont="1" applyBorder="1" applyAlignment="1" applyProtection="1">
      <alignment horizontal="left" vertical="center" wrapText="1"/>
      <protection locked="0"/>
    </xf>
    <xf numFmtId="0" fontId="99" fillId="0" borderId="1" xfId="9" applyFont="1" applyBorder="1" applyAlignment="1" applyProtection="1">
      <alignment horizontal="left" vertical="center" wrapText="1"/>
      <protection locked="0"/>
    </xf>
    <xf numFmtId="0" fontId="79" fillId="26" borderId="1" xfId="9" applyFont="1" applyFill="1" applyBorder="1" applyAlignment="1" applyProtection="1">
      <alignment horizontal="left" vertical="center" wrapText="1"/>
      <protection locked="0"/>
    </xf>
    <xf numFmtId="0" fontId="100" fillId="0" borderId="1" xfId="9" applyFont="1" applyBorder="1" applyAlignment="1" applyProtection="1">
      <alignment horizontal="left" vertical="center" wrapText="1"/>
      <protection locked="0"/>
    </xf>
    <xf numFmtId="0" fontId="82" fillId="4" borderId="1" xfId="9" applyFont="1" applyFill="1" applyBorder="1" applyAlignment="1" applyProtection="1">
      <alignment horizontal="left" vertical="center" wrapText="1"/>
      <protection locked="0"/>
    </xf>
    <xf numFmtId="0" fontId="84" fillId="0" borderId="1" xfId="9" applyFont="1" applyBorder="1" applyAlignment="1" applyProtection="1">
      <alignment horizontal="left" vertical="center" wrapText="1"/>
      <protection locked="0"/>
    </xf>
    <xf numFmtId="43" fontId="57" fillId="0" borderId="1" xfId="1" applyFont="1" applyBorder="1" applyAlignment="1" applyProtection="1">
      <alignment horizontal="center" vertical="center" wrapText="1"/>
      <protection locked="0"/>
    </xf>
    <xf numFmtId="43" fontId="57" fillId="2" borderId="1" xfId="1" applyFont="1" applyFill="1" applyBorder="1" applyAlignment="1" applyProtection="1">
      <alignment horizontal="center" vertical="center" wrapText="1"/>
      <protection locked="0"/>
    </xf>
    <xf numFmtId="2" fontId="57" fillId="27" borderId="1" xfId="8" applyNumberFormat="1" applyFont="1" applyFill="1" applyBorder="1" applyAlignment="1" applyProtection="1">
      <alignment vertical="center" wrapText="1"/>
      <protection locked="0"/>
    </xf>
    <xf numFmtId="0" fontId="82" fillId="0" borderId="1" xfId="9" applyFont="1" applyFill="1" applyBorder="1" applyAlignment="1" applyProtection="1">
      <alignment horizontal="center" vertical="center" wrapText="1"/>
      <protection locked="0"/>
    </xf>
    <xf numFmtId="1" fontId="57" fillId="0" borderId="1" xfId="9" applyNumberFormat="1" applyFont="1" applyFill="1" applyBorder="1" applyAlignment="1" applyProtection="1">
      <alignment horizontal="center" vertical="center" wrapText="1"/>
      <protection locked="0"/>
    </xf>
    <xf numFmtId="0" fontId="79" fillId="35" borderId="1" xfId="8" applyFont="1" applyFill="1" applyBorder="1" applyAlignment="1" applyProtection="1">
      <alignment horizontal="center" vertical="center" wrapText="1"/>
      <protection locked="0"/>
    </xf>
    <xf numFmtId="0" fontId="79" fillId="0" borderId="1" xfId="9" applyFont="1" applyBorder="1" applyAlignment="1" applyProtection="1">
      <alignment vertical="center" wrapText="1"/>
      <protection locked="0"/>
    </xf>
    <xf numFmtId="0" fontId="84" fillId="2" borderId="1" xfId="0" applyFont="1" applyFill="1" applyBorder="1" applyAlignment="1" applyProtection="1">
      <alignment horizontal="right" vertical="center"/>
      <protection locked="0"/>
    </xf>
    <xf numFmtId="0" fontId="86" fillId="2" borderId="1" xfId="9" applyFont="1" applyFill="1" applyBorder="1" applyAlignment="1" applyProtection="1">
      <alignment vertical="center" wrapText="1"/>
      <protection locked="0"/>
    </xf>
    <xf numFmtId="2" fontId="57" fillId="0" borderId="1" xfId="8" applyNumberFormat="1" applyFont="1" applyFill="1" applyBorder="1" applyAlignment="1" applyProtection="1">
      <alignment vertical="center" wrapText="1"/>
      <protection locked="0"/>
    </xf>
    <xf numFmtId="2" fontId="79" fillId="0" borderId="1" xfId="8" applyNumberFormat="1" applyFont="1" applyFill="1" applyBorder="1" applyAlignment="1" applyProtection="1">
      <alignment vertical="center" wrapText="1"/>
      <protection locked="0"/>
    </xf>
    <xf numFmtId="0" fontId="86" fillId="0" borderId="1" xfId="9" applyFont="1" applyFill="1" applyBorder="1" applyAlignment="1" applyProtection="1">
      <alignment vertical="center" wrapText="1"/>
      <protection locked="0"/>
    </xf>
    <xf numFmtId="0" fontId="86" fillId="0" borderId="1" xfId="0" applyFont="1" applyFill="1" applyBorder="1" applyAlignment="1" applyProtection="1">
      <alignment horizontal="left" vertical="center" wrapText="1"/>
      <protection locked="0"/>
    </xf>
    <xf numFmtId="2" fontId="57" fillId="0" borderId="1" xfId="9" applyNumberFormat="1" applyFont="1" applyFill="1" applyBorder="1" applyAlignment="1" applyProtection="1">
      <alignment vertical="center" wrapText="1"/>
      <protection locked="0"/>
    </xf>
    <xf numFmtId="2" fontId="79" fillId="35" borderId="1" xfId="4" applyNumberFormat="1" applyFont="1" applyFill="1" applyBorder="1" applyAlignment="1" applyProtection="1">
      <alignment horizontal="right" vertical="center" wrapText="1"/>
      <protection locked="0"/>
    </xf>
    <xf numFmtId="0" fontId="86" fillId="35" borderId="1" xfId="9" applyFont="1" applyFill="1" applyBorder="1" applyAlignment="1" applyProtection="1">
      <alignment vertical="center" wrapText="1"/>
      <protection locked="0"/>
    </xf>
    <xf numFmtId="167" fontId="86" fillId="35" borderId="1" xfId="9" applyNumberFormat="1" applyFont="1" applyFill="1" applyBorder="1" applyAlignment="1" applyProtection="1">
      <alignment vertical="center" wrapText="1"/>
      <protection locked="0"/>
    </xf>
    <xf numFmtId="0" fontId="86" fillId="35" borderId="1" xfId="0" applyFont="1" applyFill="1" applyBorder="1" applyAlignment="1" applyProtection="1">
      <alignment horizontal="left" vertical="center" wrapText="1"/>
      <protection locked="0"/>
    </xf>
    <xf numFmtId="0" fontId="78" fillId="0" borderId="1" xfId="38" applyFont="1" applyFill="1" applyBorder="1" applyAlignment="1" applyProtection="1">
      <alignment horizontal="left" vertical="center" wrapText="1"/>
      <protection locked="0"/>
    </xf>
    <xf numFmtId="0" fontId="86" fillId="35" borderId="1" xfId="0" applyFont="1" applyFill="1" applyBorder="1" applyAlignment="1" applyProtection="1">
      <alignment horizontal="center" vertical="center" wrapText="1"/>
      <protection locked="0"/>
    </xf>
    <xf numFmtId="0" fontId="86" fillId="35" borderId="1" xfId="38" applyFont="1" applyFill="1" applyBorder="1" applyAlignment="1" applyProtection="1">
      <alignment horizontal="center" vertical="center" wrapText="1"/>
      <protection locked="0"/>
    </xf>
    <xf numFmtId="0" fontId="86" fillId="35" borderId="1" xfId="38" applyFont="1" applyFill="1" applyBorder="1" applyAlignment="1" applyProtection="1">
      <alignment horizontal="left" vertical="center" wrapText="1"/>
      <protection locked="0"/>
    </xf>
    <xf numFmtId="2" fontId="86" fillId="0" borderId="1" xfId="9" applyNumberFormat="1" applyFont="1" applyFill="1" applyBorder="1" applyAlignment="1" applyProtection="1">
      <alignment vertical="center" wrapText="1"/>
      <protection locked="0"/>
    </xf>
    <xf numFmtId="43" fontId="84" fillId="2" borderId="1" xfId="1" applyFont="1" applyFill="1" applyBorder="1" applyAlignment="1" applyProtection="1">
      <alignment vertical="center" wrapText="1"/>
    </xf>
    <xf numFmtId="43" fontId="82" fillId="0" borderId="1" xfId="1" applyFont="1" applyFill="1" applyBorder="1" applyAlignment="1" applyProtection="1">
      <alignment horizontal="left" vertical="center" wrapText="1"/>
    </xf>
    <xf numFmtId="2" fontId="82" fillId="0" borderId="1" xfId="0" applyNumberFormat="1" applyFont="1" applyFill="1" applyBorder="1" applyAlignment="1">
      <alignment vertical="center"/>
    </xf>
    <xf numFmtId="0" fontId="57" fillId="2" borderId="1" xfId="11" applyFont="1" applyFill="1" applyBorder="1" applyAlignment="1" applyProtection="1">
      <alignment horizontal="left" vertical="center" wrapText="1"/>
      <protection locked="0"/>
    </xf>
    <xf numFmtId="0" fontId="79" fillId="2" borderId="1" xfId="11" applyFont="1" applyFill="1" applyBorder="1" applyAlignment="1" applyProtection="1">
      <alignment horizontal="left" vertical="center" wrapText="1"/>
      <protection locked="0"/>
    </xf>
    <xf numFmtId="2" fontId="57" fillId="35" borderId="1" xfId="4" applyNumberFormat="1" applyFont="1" applyFill="1" applyBorder="1" applyAlignment="1" applyProtection="1">
      <alignment horizontal="center" vertical="center" wrapText="1"/>
      <protection locked="0"/>
    </xf>
    <xf numFmtId="0" fontId="79" fillId="0" borderId="1" xfId="11" applyFont="1" applyFill="1" applyBorder="1" applyAlignment="1" applyProtection="1">
      <alignment vertical="center" wrapText="1"/>
      <protection locked="0"/>
    </xf>
    <xf numFmtId="2" fontId="57" fillId="39" borderId="1" xfId="4" applyNumberFormat="1" applyFont="1" applyFill="1" applyBorder="1" applyAlignment="1" applyProtection="1">
      <alignment horizontal="center" vertical="center" wrapText="1"/>
      <protection locked="0"/>
    </xf>
    <xf numFmtId="43" fontId="57" fillId="39" borderId="1" xfId="1" applyFont="1" applyFill="1" applyBorder="1" applyAlignment="1" applyProtection="1">
      <alignment horizontal="right" vertical="center" wrapText="1"/>
    </xf>
    <xf numFmtId="0" fontId="57" fillId="39" borderId="1" xfId="11" applyFont="1" applyFill="1" applyBorder="1" applyAlignment="1" applyProtection="1">
      <alignment horizontal="left" vertical="center"/>
    </xf>
    <xf numFmtId="43" fontId="57" fillId="39" borderId="1" xfId="1" applyFont="1" applyFill="1" applyBorder="1" applyAlignment="1" applyProtection="1">
      <alignment horizontal="right" vertical="center"/>
    </xf>
    <xf numFmtId="0" fontId="80" fillId="39" borderId="1" xfId="11" applyFont="1" applyFill="1" applyBorder="1" applyAlignment="1" applyProtection="1">
      <alignment horizontal="left" vertical="center" wrapText="1"/>
    </xf>
    <xf numFmtId="0" fontId="57" fillId="0" borderId="1" xfId="11" applyFont="1" applyBorder="1" applyAlignment="1" applyProtection="1">
      <alignment vertical="center"/>
      <protection locked="0"/>
    </xf>
    <xf numFmtId="0" fontId="57" fillId="0" borderId="1" xfId="11" applyFont="1" applyBorder="1" applyAlignment="1" applyProtection="1">
      <alignment horizontal="left" vertical="center"/>
      <protection locked="0"/>
    </xf>
    <xf numFmtId="0" fontId="57" fillId="0" borderId="1" xfId="11" applyFont="1" applyBorder="1" applyAlignment="1" applyProtection="1">
      <alignment horizontal="left" vertical="center" wrapText="1"/>
      <protection locked="0"/>
    </xf>
    <xf numFmtId="0" fontId="57" fillId="35" borderId="1" xfId="11" applyFont="1" applyFill="1" applyBorder="1" applyAlignment="1" applyProtection="1">
      <alignment vertical="center"/>
      <protection locked="0"/>
    </xf>
    <xf numFmtId="0" fontId="79" fillId="35" borderId="1" xfId="11" applyFont="1" applyFill="1" applyBorder="1" applyAlignment="1" applyProtection="1">
      <alignment vertical="center"/>
      <protection locked="0"/>
    </xf>
    <xf numFmtId="0" fontId="57" fillId="35" borderId="1" xfId="11" applyFont="1" applyFill="1" applyBorder="1" applyAlignment="1" applyProtection="1">
      <alignment horizontal="left" vertical="center"/>
      <protection locked="0"/>
    </xf>
    <xf numFmtId="0" fontId="79" fillId="0" borderId="1" xfId="11" applyFont="1" applyFill="1" applyBorder="1" applyAlignment="1" applyProtection="1">
      <alignment vertical="center"/>
      <protection locked="0"/>
    </xf>
    <xf numFmtId="0" fontId="79" fillId="0" borderId="1" xfId="11" applyFont="1" applyFill="1" applyBorder="1" applyAlignment="1" applyProtection="1">
      <alignment horizontal="left" vertical="center"/>
      <protection locked="0"/>
    </xf>
    <xf numFmtId="0" fontId="57" fillId="0" borderId="1" xfId="11" applyFont="1" applyFill="1" applyBorder="1" applyAlignment="1" applyProtection="1">
      <alignment vertical="center"/>
      <protection locked="0"/>
    </xf>
    <xf numFmtId="0" fontId="57" fillId="0" borderId="1" xfId="11" applyFont="1" applyFill="1" applyBorder="1" applyAlignment="1" applyProtection="1">
      <alignment horizontal="left" vertical="center"/>
      <protection locked="0"/>
    </xf>
    <xf numFmtId="0" fontId="57" fillId="0" borderId="1" xfId="11" applyFont="1" applyFill="1" applyBorder="1" applyAlignment="1" applyProtection="1">
      <alignment horizontal="left" vertical="center" wrapText="1"/>
      <protection locked="0"/>
    </xf>
    <xf numFmtId="2" fontId="79" fillId="0" borderId="1" xfId="4" applyNumberFormat="1" applyFont="1" applyFill="1" applyBorder="1" applyAlignment="1" applyProtection="1">
      <alignment horizontal="center" vertical="center" wrapText="1"/>
      <protection locked="0"/>
    </xf>
    <xf numFmtId="0" fontId="79" fillId="0" borderId="1" xfId="11" applyFont="1" applyFill="1" applyBorder="1" applyAlignment="1" applyProtection="1">
      <alignment horizontal="right" vertical="center"/>
      <protection locked="0"/>
    </xf>
    <xf numFmtId="0" fontId="57" fillId="0" borderId="1" xfId="48" applyFont="1" applyFill="1" applyBorder="1" applyAlignment="1" applyProtection="1">
      <alignment horizontal="left" vertical="center"/>
    </xf>
    <xf numFmtId="0" fontId="57" fillId="0" borderId="1" xfId="48" applyFont="1" applyFill="1" applyBorder="1" applyAlignment="1" applyProtection="1">
      <alignment horizontal="left" vertical="center"/>
      <protection locked="0"/>
    </xf>
    <xf numFmtId="2" fontId="57" fillId="0" borderId="1" xfId="48" applyNumberFormat="1" applyFont="1" applyFill="1" applyBorder="1" applyAlignment="1" applyProtection="1">
      <alignment horizontal="right" vertical="center"/>
    </xf>
    <xf numFmtId="0" fontId="57" fillId="0" borderId="1" xfId="48" applyFont="1" applyFill="1" applyBorder="1" applyAlignment="1" applyProtection="1">
      <alignment vertical="center"/>
      <protection locked="0"/>
    </xf>
    <xf numFmtId="2" fontId="57" fillId="0" borderId="1" xfId="48" applyNumberFormat="1" applyFont="1" applyFill="1" applyBorder="1" applyAlignment="1" applyProtection="1">
      <alignment horizontal="left" vertical="center"/>
      <protection locked="0"/>
    </xf>
    <xf numFmtId="1" fontId="57" fillId="0" borderId="1" xfId="48" applyNumberFormat="1" applyFont="1" applyFill="1" applyBorder="1" applyAlignment="1" applyProtection="1">
      <alignment horizontal="left" vertical="center" wrapText="1"/>
    </xf>
    <xf numFmtId="0" fontId="79" fillId="27" borderId="1" xfId="11" applyFont="1" applyFill="1" applyBorder="1" applyAlignment="1" applyProtection="1">
      <alignment horizontal="left" vertical="center" wrapText="1"/>
      <protection locked="0"/>
    </xf>
    <xf numFmtId="43" fontId="57" fillId="0" borderId="1" xfId="1" applyFont="1" applyFill="1" applyBorder="1" applyAlignment="1" applyProtection="1">
      <alignment horizontal="left" vertical="center"/>
    </xf>
    <xf numFmtId="0" fontId="80" fillId="14" borderId="1" xfId="8" applyFont="1" applyFill="1" applyBorder="1" applyAlignment="1" applyProtection="1">
      <alignment horizontal="center" vertical="center" wrapText="1"/>
      <protection locked="0"/>
    </xf>
    <xf numFmtId="43" fontId="80" fillId="14" borderId="1" xfId="1" applyFont="1" applyFill="1" applyBorder="1" applyAlignment="1" applyProtection="1">
      <alignment horizontal="center" vertical="center" wrapText="1"/>
    </xf>
    <xf numFmtId="2" fontId="84" fillId="2" borderId="1" xfId="8" applyNumberFormat="1" applyFont="1" applyFill="1" applyBorder="1" applyAlignment="1" applyProtection="1">
      <alignment horizontal="right" vertical="center" wrapText="1"/>
    </xf>
    <xf numFmtId="43" fontId="82" fillId="0" borderId="1" xfId="1" applyFont="1" applyBorder="1" applyAlignment="1" applyProtection="1">
      <alignment horizontal="left" vertical="center" wrapText="1"/>
    </xf>
    <xf numFmtId="43" fontId="82" fillId="0" borderId="1" xfId="1" applyFont="1" applyFill="1" applyBorder="1" applyAlignment="1" applyProtection="1">
      <alignment horizontal="left" vertical="center" wrapText="1"/>
      <protection locked="0"/>
    </xf>
    <xf numFmtId="0" fontId="84" fillId="2" borderId="1" xfId="38" applyFont="1" applyFill="1" applyBorder="1" applyAlignment="1" applyProtection="1">
      <alignment horizontal="left" vertical="center" wrapText="1"/>
      <protection locked="0"/>
    </xf>
    <xf numFmtId="43" fontId="57" fillId="0" borderId="1" xfId="1" applyFont="1" applyBorder="1" applyAlignment="1" applyProtection="1">
      <alignment horizontal="left" vertical="center" wrapText="1"/>
    </xf>
    <xf numFmtId="43" fontId="82" fillId="0" borderId="1" xfId="1" applyFont="1" applyBorder="1" applyAlignment="1" applyProtection="1">
      <alignment vertical="center" wrapText="1"/>
      <protection locked="0"/>
    </xf>
    <xf numFmtId="0" fontId="55" fillId="0" borderId="3" xfId="38" applyFont="1" applyBorder="1" applyAlignment="1">
      <alignment horizontal="left" vertical="center" wrapText="1"/>
    </xf>
    <xf numFmtId="0" fontId="79" fillId="2" borderId="3" xfId="38" applyFont="1" applyFill="1" applyBorder="1" applyAlignment="1">
      <alignment horizontal="center" vertical="center" wrapText="1"/>
    </xf>
    <xf numFmtId="0" fontId="79" fillId="2" borderId="1" xfId="38" applyFont="1" applyFill="1" applyBorder="1" applyAlignment="1">
      <alignment horizontal="center" vertical="center" wrapText="1"/>
    </xf>
    <xf numFmtId="0" fontId="55" fillId="2" borderId="1" xfId="40" applyFont="1" applyFill="1" applyBorder="1" applyAlignment="1">
      <alignment horizontal="center" vertical="center" wrapText="1"/>
    </xf>
    <xf numFmtId="43" fontId="55" fillId="2" borderId="1" xfId="1" applyFont="1" applyFill="1" applyBorder="1" applyAlignment="1">
      <alignment horizontal="center" vertical="center" wrapText="1"/>
    </xf>
    <xf numFmtId="0" fontId="55" fillId="2" borderId="1" xfId="40" applyFont="1" applyFill="1" applyBorder="1" applyAlignment="1">
      <alignment horizontal="left" vertical="center" wrapText="1"/>
    </xf>
    <xf numFmtId="43" fontId="79" fillId="2" borderId="1" xfId="1" applyFont="1" applyFill="1" applyBorder="1" applyAlignment="1" applyProtection="1">
      <alignment horizontal="right" vertical="center" wrapText="1"/>
      <protection locked="0"/>
    </xf>
    <xf numFmtId="0" fontId="55" fillId="0" borderId="1" xfId="97" applyFont="1" applyFill="1" applyBorder="1" applyAlignment="1" applyProtection="1">
      <alignment horizontal="center" vertical="center" wrapText="1"/>
    </xf>
    <xf numFmtId="0" fontId="79" fillId="2" borderId="1" xfId="40" applyFont="1" applyFill="1" applyBorder="1" applyAlignment="1" applyProtection="1">
      <alignment horizontal="left" vertical="center" wrapText="1"/>
      <protection locked="0"/>
    </xf>
    <xf numFmtId="43" fontId="57" fillId="0" borderId="1" xfId="1" applyFont="1" applyFill="1" applyBorder="1" applyAlignment="1" applyProtection="1">
      <alignment horizontal="left" vertical="center" wrapText="1"/>
    </xf>
    <xf numFmtId="0" fontId="84" fillId="2" borderId="5" xfId="4" applyFont="1" applyFill="1" applyBorder="1" applyAlignment="1" applyProtection="1">
      <alignment horizontal="left" vertical="center" wrapText="1"/>
      <protection locked="0"/>
    </xf>
    <xf numFmtId="0" fontId="84" fillId="4" borderId="5" xfId="8" applyFont="1" applyFill="1" applyBorder="1" applyAlignment="1" applyProtection="1">
      <alignment horizontal="left" vertical="center" wrapText="1"/>
      <protection locked="0"/>
    </xf>
    <xf numFmtId="0" fontId="78" fillId="0" borderId="5" xfId="0" applyFont="1" applyBorder="1" applyAlignment="1" applyProtection="1">
      <alignment horizontal="left" vertical="center" wrapText="1"/>
      <protection locked="0"/>
    </xf>
    <xf numFmtId="0" fontId="82" fillId="0" borderId="5" xfId="0" applyFont="1" applyBorder="1" applyAlignment="1" applyProtection="1">
      <alignment horizontal="left" vertical="center" wrapText="1"/>
      <protection locked="0"/>
    </xf>
    <xf numFmtId="2" fontId="82" fillId="0" borderId="5" xfId="4" applyNumberFormat="1" applyFont="1" applyBorder="1" applyAlignment="1" applyProtection="1">
      <alignment horizontal="left" vertical="center" wrapText="1"/>
      <protection locked="0"/>
    </xf>
    <xf numFmtId="0" fontId="84" fillId="6" borderId="5" xfId="8" applyFont="1" applyFill="1" applyBorder="1" applyAlignment="1" applyProtection="1">
      <alignment horizontal="left" vertical="center" wrapText="1"/>
      <protection locked="0"/>
    </xf>
    <xf numFmtId="0" fontId="78" fillId="0" borderId="5" xfId="38" applyFont="1" applyBorder="1" applyAlignment="1" applyProtection="1">
      <alignment horizontal="left" vertical="center" wrapText="1"/>
      <protection locked="0"/>
    </xf>
    <xf numFmtId="0" fontId="80" fillId="14" borderId="5" xfId="8" applyFont="1" applyFill="1" applyBorder="1" applyAlignment="1" applyProtection="1">
      <alignment horizontal="left" vertical="center" wrapText="1"/>
      <protection locked="0"/>
    </xf>
    <xf numFmtId="2" fontId="84" fillId="2" borderId="5" xfId="4" applyNumberFormat="1" applyFont="1" applyFill="1" applyBorder="1" applyAlignment="1" applyProtection="1">
      <alignment horizontal="left" vertical="center" wrapText="1"/>
    </xf>
    <xf numFmtId="2" fontId="82" fillId="4" borderId="5" xfId="8" applyNumberFormat="1" applyFont="1" applyFill="1" applyBorder="1" applyAlignment="1" applyProtection="1">
      <alignment horizontal="left" vertical="center" wrapText="1"/>
    </xf>
    <xf numFmtId="0" fontId="82" fillId="27" borderId="5" xfId="8" applyFont="1" applyFill="1" applyBorder="1" applyAlignment="1" applyProtection="1">
      <alignment horizontal="left" vertical="center" wrapText="1"/>
      <protection locked="0"/>
    </xf>
    <xf numFmtId="0" fontId="84" fillId="27" borderId="5" xfId="8" applyFont="1" applyFill="1" applyBorder="1" applyAlignment="1" applyProtection="1">
      <alignment horizontal="left" vertical="center" wrapText="1"/>
      <protection locked="0"/>
    </xf>
    <xf numFmtId="0" fontId="82" fillId="0" borderId="5" xfId="9" applyFont="1" applyBorder="1" applyAlignment="1" applyProtection="1">
      <alignment horizontal="left" vertical="center" wrapText="1"/>
      <protection locked="0"/>
    </xf>
    <xf numFmtId="0" fontId="82" fillId="4" borderId="5" xfId="8" applyFont="1" applyFill="1" applyBorder="1" applyAlignment="1" applyProtection="1">
      <alignment horizontal="left" vertical="center" wrapText="1"/>
      <protection locked="0"/>
    </xf>
    <xf numFmtId="0" fontId="82" fillId="0" borderId="5" xfId="9" applyFont="1" applyFill="1" applyBorder="1" applyAlignment="1" applyProtection="1">
      <alignment horizontal="left" vertical="center" wrapText="1"/>
      <protection locked="0"/>
    </xf>
    <xf numFmtId="0" fontId="84" fillId="27" borderId="5" xfId="4" applyFont="1" applyFill="1" applyBorder="1" applyAlignment="1" applyProtection="1">
      <alignment horizontal="left" vertical="center" wrapText="1"/>
      <protection locked="0"/>
    </xf>
    <xf numFmtId="43" fontId="82" fillId="0" borderId="0" xfId="1" applyFont="1" applyAlignment="1">
      <alignment horizontal="right" vertical="center"/>
    </xf>
    <xf numFmtId="0" fontId="82" fillId="2" borderId="5" xfId="8" applyFont="1" applyFill="1" applyBorder="1" applyAlignment="1" applyProtection="1">
      <alignment horizontal="left" vertical="center" wrapText="1"/>
      <protection locked="0"/>
    </xf>
    <xf numFmtId="0" fontId="82" fillId="3" borderId="5" xfId="8" applyFont="1" applyFill="1" applyBorder="1" applyAlignment="1" applyProtection="1">
      <alignment horizontal="left" vertical="center" wrapText="1"/>
      <protection locked="0"/>
    </xf>
    <xf numFmtId="0" fontId="82" fillId="0" borderId="5" xfId="84" applyFont="1" applyBorder="1" applyAlignment="1" applyProtection="1">
      <alignment horizontal="left" vertical="center" wrapText="1"/>
      <protection locked="0"/>
    </xf>
    <xf numFmtId="0" fontId="82" fillId="0" borderId="5" xfId="38" applyFont="1" applyFill="1" applyBorder="1" applyAlignment="1" applyProtection="1">
      <alignment horizontal="left" vertical="center" wrapText="1"/>
      <protection locked="0"/>
    </xf>
    <xf numFmtId="0" fontId="97" fillId="0" borderId="5" xfId="9" applyFont="1" applyBorder="1" applyAlignment="1" applyProtection="1">
      <alignment horizontal="left" vertical="center" wrapText="1"/>
      <protection locked="0"/>
    </xf>
    <xf numFmtId="0" fontId="57" fillId="0" borderId="5" xfId="84" applyFont="1" applyBorder="1" applyAlignment="1" applyProtection="1">
      <alignment horizontal="left" vertical="center" wrapText="1"/>
      <protection locked="0"/>
    </xf>
    <xf numFmtId="0" fontId="82" fillId="0" borderId="5" xfId="4" applyFont="1" applyBorder="1" applyAlignment="1" applyProtection="1">
      <alignment horizontal="left" vertical="center" wrapText="1"/>
      <protection locked="0"/>
    </xf>
    <xf numFmtId="0" fontId="78" fillId="0" borderId="5" xfId="9" applyFont="1" applyBorder="1" applyAlignment="1" applyProtection="1">
      <alignment horizontal="left" vertical="center" wrapText="1"/>
      <protection locked="0"/>
    </xf>
    <xf numFmtId="0" fontId="57" fillId="0" borderId="5" xfId="87" applyFont="1" applyBorder="1" applyAlignment="1" applyProtection="1">
      <alignment horizontal="left" vertical="center"/>
      <protection locked="0"/>
    </xf>
    <xf numFmtId="0" fontId="79" fillId="2" borderId="1" xfId="0" applyFont="1" applyFill="1" applyBorder="1" applyAlignment="1" applyProtection="1">
      <alignment horizontal="left" vertical="center" wrapText="1"/>
      <protection locked="0"/>
    </xf>
    <xf numFmtId="2" fontId="79" fillId="2" borderId="5" xfId="50" applyNumberFormat="1" applyFont="1" applyFill="1" applyBorder="1" applyAlignment="1" applyProtection="1">
      <alignment horizontal="left" vertical="center" wrapText="1"/>
      <protection locked="0"/>
    </xf>
    <xf numFmtId="2" fontId="79" fillId="0" borderId="5" xfId="50" applyNumberFormat="1" applyFont="1" applyFill="1" applyBorder="1" applyAlignment="1" applyProtection="1">
      <alignment horizontal="left" vertical="center" wrapText="1"/>
      <protection locked="0"/>
    </xf>
    <xf numFmtId="2" fontId="79" fillId="0" borderId="5" xfId="48" applyNumberFormat="1" applyFont="1" applyBorder="1" applyAlignment="1" applyProtection="1">
      <alignment horizontal="left" vertical="center"/>
      <protection locked="0"/>
    </xf>
    <xf numFmtId="2" fontId="79" fillId="0" borderId="5" xfId="48" applyNumberFormat="1" applyFont="1" applyFill="1" applyBorder="1" applyAlignment="1" applyProtection="1">
      <alignment horizontal="left" vertical="center"/>
      <protection locked="0"/>
    </xf>
    <xf numFmtId="2" fontId="79" fillId="0" borderId="5" xfId="48" applyNumberFormat="1" applyFont="1" applyBorder="1" applyAlignment="1" applyProtection="1">
      <alignment horizontal="left" vertical="center" wrapText="1"/>
      <protection locked="0"/>
    </xf>
    <xf numFmtId="2" fontId="79" fillId="0" borderId="5" xfId="0" applyNumberFormat="1" applyFont="1" applyFill="1" applyBorder="1" applyAlignment="1" applyProtection="1">
      <alignment horizontal="left" vertical="center" wrapText="1"/>
      <protection locked="0"/>
    </xf>
    <xf numFmtId="2" fontId="79" fillId="2" borderId="5" xfId="5" applyNumberFormat="1" applyFont="1" applyFill="1" applyBorder="1" applyAlignment="1" applyProtection="1">
      <alignment horizontal="left" vertical="center" wrapText="1"/>
      <protection locked="0"/>
    </xf>
    <xf numFmtId="2" fontId="79" fillId="0" borderId="5" xfId="48" applyNumberFormat="1" applyFont="1" applyFill="1" applyBorder="1" applyAlignment="1" applyProtection="1">
      <alignment horizontal="left" vertical="center" wrapText="1"/>
      <protection locked="0"/>
    </xf>
    <xf numFmtId="0" fontId="79" fillId="0" borderId="5" xfId="0" applyFont="1" applyBorder="1" applyAlignment="1" applyProtection="1">
      <alignment horizontal="left" vertical="center"/>
      <protection locked="0"/>
    </xf>
    <xf numFmtId="2" fontId="79" fillId="0" borderId="5" xfId="0" applyNumberFormat="1" applyFont="1" applyBorder="1" applyAlignment="1" applyProtection="1">
      <alignment horizontal="left" vertical="center" wrapText="1"/>
      <protection locked="0"/>
    </xf>
    <xf numFmtId="2" fontId="79" fillId="0" borderId="5" xfId="97" applyNumberFormat="1" applyFont="1" applyBorder="1" applyAlignment="1" applyProtection="1">
      <alignment horizontal="left" vertical="center"/>
      <protection locked="0"/>
    </xf>
    <xf numFmtId="0" fontId="79" fillId="2" borderId="1" xfId="0" applyFont="1" applyFill="1" applyBorder="1" applyAlignment="1" applyProtection="1">
      <alignment horizontal="center" vertical="center" wrapText="1"/>
      <protection locked="0"/>
    </xf>
    <xf numFmtId="0" fontId="57" fillId="0" borderId="5" xfId="9" applyFont="1" applyBorder="1" applyAlignment="1" applyProtection="1">
      <alignment horizontal="left" vertical="center" wrapText="1"/>
      <protection locked="0"/>
    </xf>
    <xf numFmtId="0" fontId="79" fillId="6" borderId="5" xfId="9" applyFont="1" applyFill="1" applyBorder="1" applyAlignment="1" applyProtection="1">
      <alignment horizontal="left" vertical="center" wrapText="1"/>
      <protection locked="0"/>
    </xf>
    <xf numFmtId="0" fontId="79" fillId="0" borderId="5" xfId="9" applyFont="1" applyFill="1" applyBorder="1" applyAlignment="1" applyProtection="1">
      <alignment horizontal="left" vertical="center" wrapText="1"/>
      <protection locked="0"/>
    </xf>
    <xf numFmtId="0" fontId="79" fillId="0" borderId="5" xfId="8" applyFont="1" applyBorder="1" applyAlignment="1" applyProtection="1">
      <alignment horizontal="left" vertical="center" wrapText="1"/>
      <protection locked="0"/>
    </xf>
    <xf numFmtId="0" fontId="86" fillId="0" borderId="5" xfId="38" applyFont="1" applyBorder="1" applyAlignment="1" applyProtection="1">
      <alignment horizontal="left" vertical="center" wrapText="1"/>
      <protection locked="0"/>
    </xf>
    <xf numFmtId="0" fontId="79" fillId="0" borderId="5" xfId="9" applyFont="1" applyBorder="1" applyAlignment="1" applyProtection="1">
      <alignment horizontal="left" vertical="center" wrapText="1"/>
      <protection locked="0"/>
    </xf>
    <xf numFmtId="0" fontId="78" fillId="0" borderId="5" xfId="11" applyFont="1" applyBorder="1" applyAlignment="1" applyProtection="1">
      <alignment horizontal="left" vertical="center" wrapText="1"/>
      <protection locked="0"/>
    </xf>
    <xf numFmtId="0" fontId="86" fillId="0" borderId="5" xfId="9" applyFont="1" applyBorder="1" applyAlignment="1" applyProtection="1">
      <alignment horizontal="left" vertical="center" wrapText="1"/>
      <protection locked="0"/>
    </xf>
    <xf numFmtId="0" fontId="79" fillId="6" borderId="5" xfId="4" applyFont="1" applyFill="1" applyBorder="1" applyAlignment="1" applyProtection="1">
      <alignment horizontal="left" vertical="center" wrapText="1"/>
      <protection locked="0"/>
    </xf>
    <xf numFmtId="0" fontId="79" fillId="4" borderId="5" xfId="4" applyFont="1" applyFill="1" applyBorder="1" applyAlignment="1" applyProtection="1">
      <alignment horizontal="left" vertical="center" wrapText="1"/>
      <protection locked="0"/>
    </xf>
    <xf numFmtId="0" fontId="57" fillId="0" borderId="5" xfId="8" applyFont="1" applyBorder="1" applyAlignment="1" applyProtection="1">
      <alignment horizontal="left" vertical="center"/>
      <protection locked="0"/>
    </xf>
    <xf numFmtId="0" fontId="82" fillId="4" borderId="5" xfId="4" applyFont="1" applyFill="1" applyBorder="1" applyAlignment="1" applyProtection="1">
      <alignment horizontal="left" vertical="center" wrapText="1"/>
      <protection locked="0"/>
    </xf>
    <xf numFmtId="0" fontId="79" fillId="3" borderId="5" xfId="4" applyFont="1" applyFill="1" applyBorder="1" applyAlignment="1" applyProtection="1">
      <alignment horizontal="left" vertical="center" wrapText="1"/>
      <protection locked="0"/>
    </xf>
    <xf numFmtId="0" fontId="84" fillId="4" borderId="5" xfId="4" applyFont="1" applyFill="1" applyBorder="1" applyAlignment="1" applyProtection="1">
      <alignment horizontal="left" vertical="center" wrapText="1"/>
      <protection locked="0"/>
    </xf>
    <xf numFmtId="0" fontId="57" fillId="0" borderId="5" xfId="8" applyFont="1" applyBorder="1" applyAlignment="1" applyProtection="1">
      <alignment horizontal="left" vertical="center" wrapText="1"/>
      <protection locked="0"/>
    </xf>
    <xf numFmtId="0" fontId="57" fillId="0" borderId="5" xfId="0" applyFont="1" applyBorder="1" applyAlignment="1" applyProtection="1">
      <alignment horizontal="left" vertical="center" wrapText="1"/>
      <protection locked="0"/>
    </xf>
    <xf numFmtId="0" fontId="79" fillId="4" borderId="5" xfId="9" applyFont="1" applyFill="1" applyBorder="1" applyAlignment="1" applyProtection="1">
      <alignment horizontal="left" vertical="center" wrapText="1"/>
      <protection locked="0"/>
    </xf>
    <xf numFmtId="0" fontId="57" fillId="0" borderId="5" xfId="9" applyFont="1" applyFill="1" applyBorder="1" applyAlignment="1" applyProtection="1">
      <alignment horizontal="left" vertical="center" wrapText="1"/>
      <protection locked="0"/>
    </xf>
    <xf numFmtId="0" fontId="82" fillId="0" borderId="5" xfId="4" applyFont="1" applyFill="1" applyBorder="1" applyAlignment="1" applyProtection="1">
      <alignment horizontal="left" vertical="center" wrapText="1"/>
      <protection locked="0"/>
    </xf>
    <xf numFmtId="0" fontId="82" fillId="0" borderId="5" xfId="58" applyFont="1" applyBorder="1" applyAlignment="1" applyProtection="1">
      <alignment horizontal="left" vertical="center" wrapText="1"/>
      <protection locked="0"/>
    </xf>
    <xf numFmtId="0" fontId="79" fillId="27" borderId="5" xfId="11" applyFont="1" applyFill="1" applyBorder="1" applyAlignment="1" applyProtection="1">
      <alignment horizontal="left" vertical="center" wrapText="1"/>
      <protection locked="0"/>
    </xf>
    <xf numFmtId="0" fontId="82" fillId="0" borderId="5" xfId="65" applyFont="1" applyBorder="1" applyAlignment="1" applyProtection="1">
      <alignment horizontal="left" vertical="center" wrapText="1"/>
      <protection locked="0"/>
    </xf>
    <xf numFmtId="0" fontId="82" fillId="0" borderId="5" xfId="67" applyFont="1" applyBorder="1" applyAlignment="1" applyProtection="1">
      <alignment horizontal="left" vertical="center" wrapText="1"/>
      <protection locked="0"/>
    </xf>
    <xf numFmtId="0" fontId="82" fillId="0" borderId="5" xfId="67" applyFont="1" applyBorder="1" applyAlignment="1" applyProtection="1">
      <alignment horizontal="left" vertical="center"/>
      <protection locked="0"/>
    </xf>
    <xf numFmtId="0" fontId="82" fillId="0" borderId="5" xfId="69" applyFont="1" applyBorder="1" applyAlignment="1" applyProtection="1">
      <alignment horizontal="left" vertical="center" wrapText="1"/>
      <protection locked="0"/>
    </xf>
    <xf numFmtId="0" fontId="82" fillId="0" borderId="5" xfId="69" applyFont="1" applyBorder="1" applyAlignment="1" applyProtection="1">
      <alignment horizontal="left" vertical="center"/>
      <protection locked="0"/>
    </xf>
    <xf numFmtId="0" fontId="82" fillId="0" borderId="5" xfId="71" applyFont="1" applyBorder="1" applyAlignment="1" applyProtection="1">
      <alignment horizontal="left" vertical="center" wrapText="1"/>
      <protection locked="0"/>
    </xf>
    <xf numFmtId="0" fontId="82" fillId="0" borderId="5" xfId="73" applyFont="1" applyBorder="1" applyAlignment="1" applyProtection="1">
      <alignment horizontal="left" vertical="center" wrapText="1"/>
      <protection locked="0"/>
    </xf>
    <xf numFmtId="0" fontId="82" fillId="0" borderId="5" xfId="75" applyFont="1" applyBorder="1" applyAlignment="1" applyProtection="1">
      <alignment horizontal="left" vertical="center" wrapText="1"/>
      <protection locked="0"/>
    </xf>
    <xf numFmtId="0" fontId="82" fillId="0" borderId="5" xfId="62" applyFont="1" applyBorder="1" applyAlignment="1" applyProtection="1">
      <alignment horizontal="left" vertical="center" wrapText="1"/>
      <protection locked="0"/>
    </xf>
    <xf numFmtId="0" fontId="82" fillId="0" borderId="5" xfId="62" applyFont="1" applyBorder="1" applyAlignment="1" applyProtection="1">
      <alignment horizontal="left" vertical="center"/>
      <protection locked="0"/>
    </xf>
    <xf numFmtId="0" fontId="82" fillId="0" borderId="5" xfId="77" applyFont="1" applyBorder="1" applyAlignment="1" applyProtection="1">
      <alignment horizontal="left" vertical="center" wrapText="1"/>
      <protection locked="0"/>
    </xf>
    <xf numFmtId="0" fontId="82" fillId="0" borderId="5" xfId="62" applyFont="1" applyFill="1" applyBorder="1" applyAlignment="1" applyProtection="1">
      <alignment horizontal="left" vertical="center" wrapText="1"/>
      <protection locked="0"/>
    </xf>
    <xf numFmtId="0" fontId="82" fillId="0" borderId="5" xfId="0" applyFont="1" applyBorder="1" applyAlignment="1" applyProtection="1">
      <alignment horizontal="left" vertical="center" wrapText="1" readingOrder="1"/>
      <protection locked="0"/>
    </xf>
    <xf numFmtId="0" fontId="82" fillId="0" borderId="5" xfId="62" applyFont="1" applyFill="1" applyBorder="1" applyAlignment="1" applyProtection="1">
      <alignment horizontal="left" vertical="center"/>
      <protection locked="0"/>
    </xf>
    <xf numFmtId="0" fontId="79" fillId="2" borderId="5" xfId="4" applyFont="1" applyFill="1" applyBorder="1" applyAlignment="1" applyProtection="1">
      <alignment horizontal="left" vertical="center" wrapText="1"/>
      <protection locked="0"/>
    </xf>
    <xf numFmtId="0" fontId="57" fillId="0" borderId="5" xfId="82" applyFont="1" applyBorder="1" applyAlignment="1" applyProtection="1">
      <alignment horizontal="left" vertical="center"/>
      <protection locked="0"/>
    </xf>
    <xf numFmtId="0" fontId="57" fillId="0" borderId="5" xfId="82" applyFont="1" applyBorder="1" applyAlignment="1" applyProtection="1">
      <alignment horizontal="left" vertical="center" wrapText="1"/>
      <protection locked="0"/>
    </xf>
    <xf numFmtId="0" fontId="57" fillId="0" borderId="5" xfId="82" applyFont="1" applyFill="1" applyBorder="1" applyAlignment="1" applyProtection="1">
      <alignment horizontal="left" vertical="center"/>
      <protection locked="0"/>
    </xf>
    <xf numFmtId="0" fontId="57" fillId="0" borderId="5" xfId="4" applyFont="1" applyBorder="1" applyAlignment="1" applyProtection="1">
      <alignment horizontal="left" vertical="center" wrapText="1"/>
      <protection locked="0"/>
    </xf>
    <xf numFmtId="0" fontId="79" fillId="2" borderId="1" xfId="40" applyFont="1" applyFill="1" applyBorder="1" applyAlignment="1" applyProtection="1">
      <alignment horizontal="left" vertical="center" wrapText="1"/>
    </xf>
    <xf numFmtId="0" fontId="79" fillId="2" borderId="1" xfId="40" applyFont="1" applyFill="1" applyBorder="1" applyAlignment="1" applyProtection="1">
      <alignment horizontal="center" vertical="center" wrapText="1"/>
    </xf>
    <xf numFmtId="43" fontId="79" fillId="0" borderId="12" xfId="1" applyFont="1" applyFill="1" applyBorder="1" applyAlignment="1" applyProtection="1">
      <alignment horizontal="center" vertical="center" wrapText="1"/>
    </xf>
    <xf numFmtId="0" fontId="84" fillId="3" borderId="5" xfId="4" applyFont="1" applyFill="1" applyBorder="1" applyAlignment="1" applyProtection="1">
      <alignment horizontal="left" vertical="center" wrapText="1"/>
      <protection locked="0"/>
    </xf>
    <xf numFmtId="0" fontId="82" fillId="0" borderId="5" xfId="87" applyFont="1" applyBorder="1" applyAlignment="1" applyProtection="1">
      <alignment horizontal="left" vertical="center" wrapText="1"/>
      <protection locked="0"/>
    </xf>
    <xf numFmtId="0" fontId="82" fillId="0" borderId="5" xfId="87" applyFont="1" applyBorder="1" applyAlignment="1" applyProtection="1">
      <alignment horizontal="left" vertical="center"/>
      <protection locked="0"/>
    </xf>
    <xf numFmtId="0" fontId="82" fillId="0" borderId="5" xfId="38" applyFont="1" applyBorder="1" applyAlignment="1" applyProtection="1">
      <alignment horizontal="left" vertical="center" wrapText="1"/>
      <protection locked="0"/>
    </xf>
    <xf numFmtId="0" fontId="82" fillId="0" borderId="5" xfId="87" applyFont="1" applyFill="1" applyBorder="1" applyAlignment="1" applyProtection="1">
      <alignment horizontal="left" vertical="center" wrapText="1"/>
      <protection locked="0"/>
    </xf>
    <xf numFmtId="0" fontId="82" fillId="0" borderId="5" xfId="87" applyFont="1" applyFill="1" applyBorder="1" applyAlignment="1" applyProtection="1">
      <alignment horizontal="left" vertical="center"/>
      <protection locked="0"/>
    </xf>
    <xf numFmtId="0" fontId="82" fillId="0" borderId="5" xfId="54" applyFont="1" applyFill="1" applyBorder="1" applyAlignment="1" applyProtection="1">
      <alignment horizontal="left" vertical="center" wrapText="1"/>
      <protection locked="0"/>
    </xf>
    <xf numFmtId="0" fontId="82" fillId="0" borderId="5" xfId="54" applyFont="1" applyBorder="1" applyAlignment="1" applyProtection="1">
      <alignment horizontal="left" vertical="center" wrapText="1"/>
      <protection locked="0"/>
    </xf>
    <xf numFmtId="0" fontId="84" fillId="0" borderId="5" xfId="0" applyFont="1" applyBorder="1" applyAlignment="1" applyProtection="1">
      <alignment horizontal="left" vertical="center" wrapText="1"/>
      <protection locked="0"/>
    </xf>
    <xf numFmtId="0" fontId="84" fillId="4" borderId="5" xfId="11" applyFont="1" applyFill="1" applyBorder="1" applyAlignment="1" applyProtection="1">
      <alignment horizontal="left" vertical="center" wrapText="1"/>
      <protection locked="0"/>
    </xf>
    <xf numFmtId="2" fontId="82" fillId="0" borderId="5" xfId="4" applyNumberFormat="1" applyFont="1" applyFill="1" applyBorder="1" applyAlignment="1" applyProtection="1">
      <alignment horizontal="left" vertical="center" wrapText="1"/>
      <protection locked="0"/>
    </xf>
    <xf numFmtId="0" fontId="82" fillId="0" borderId="5" xfId="91" applyFont="1" applyBorder="1" applyAlignment="1" applyProtection="1">
      <alignment horizontal="left" vertical="center" wrapText="1"/>
      <protection locked="0"/>
    </xf>
    <xf numFmtId="43" fontId="63" fillId="0" borderId="1" xfId="1" applyFont="1" applyFill="1" applyBorder="1" applyAlignment="1" applyProtection="1">
      <alignment horizontal="center" vertical="center" wrapText="1"/>
    </xf>
    <xf numFmtId="43" fontId="57" fillId="0" borderId="1" xfId="1" applyFont="1" applyBorder="1" applyAlignment="1" applyProtection="1">
      <alignment horizontal="left" vertical="center"/>
    </xf>
    <xf numFmtId="43" fontId="57" fillId="0" borderId="1" xfId="1" applyFont="1" applyFill="1" applyBorder="1" applyAlignment="1" applyProtection="1">
      <alignment horizontal="right" vertical="center" wrapText="1"/>
      <protection locked="0"/>
    </xf>
    <xf numFmtId="43" fontId="79" fillId="35" borderId="1" xfId="1" applyFont="1" applyFill="1" applyBorder="1" applyAlignment="1" applyProtection="1">
      <alignment horizontal="right" vertical="center" wrapText="1"/>
    </xf>
    <xf numFmtId="43" fontId="57" fillId="10" borderId="1" xfId="1" applyFont="1" applyFill="1" applyBorder="1" applyAlignment="1" applyProtection="1">
      <alignment horizontal="right" vertical="center" wrapText="1"/>
      <protection locked="0"/>
    </xf>
    <xf numFmtId="43" fontId="80" fillId="19" borderId="1" xfId="1" applyFont="1" applyFill="1" applyBorder="1" applyAlignment="1" applyProtection="1">
      <alignment horizontal="right" vertical="center" wrapText="1"/>
    </xf>
    <xf numFmtId="43" fontId="82" fillId="0" borderId="1" xfId="1" applyFont="1" applyBorder="1" applyAlignment="1">
      <alignment horizontal="right" vertical="center"/>
    </xf>
    <xf numFmtId="43" fontId="77" fillId="7" borderId="1" xfId="1" applyFont="1" applyFill="1" applyBorder="1" applyAlignment="1" applyProtection="1">
      <alignment horizontal="right" vertical="center" wrapText="1"/>
      <protection locked="0"/>
    </xf>
    <xf numFmtId="43" fontId="82" fillId="0" borderId="1" xfId="1" applyFont="1" applyBorder="1" applyAlignment="1" applyProtection="1">
      <alignment horizontal="right" vertical="center" wrapText="1"/>
      <protection locked="0"/>
    </xf>
    <xf numFmtId="43" fontId="84" fillId="2" borderId="1" xfId="1" applyFont="1" applyFill="1" applyBorder="1" applyAlignment="1" applyProtection="1">
      <alignment horizontal="right" vertical="center" wrapText="1"/>
    </xf>
    <xf numFmtId="43" fontId="82" fillId="0" borderId="1" xfId="1" applyFont="1" applyFill="1" applyBorder="1" applyAlignment="1" applyProtection="1">
      <alignment horizontal="right" vertical="center" wrapText="1"/>
      <protection locked="0"/>
    </xf>
    <xf numFmtId="43" fontId="84" fillId="4" borderId="1" xfId="1" applyFont="1" applyFill="1" applyBorder="1" applyAlignment="1" applyProtection="1">
      <alignment horizontal="right" vertical="center" wrapText="1"/>
      <protection locked="0"/>
    </xf>
    <xf numFmtId="43" fontId="79" fillId="0" borderId="1" xfId="1" applyFont="1" applyFill="1" applyBorder="1" applyAlignment="1" applyProtection="1">
      <alignment horizontal="right" vertical="center" wrapText="1"/>
      <protection locked="0"/>
    </xf>
    <xf numFmtId="43" fontId="84" fillId="0" borderId="1" xfId="1" applyFont="1" applyBorder="1" applyAlignment="1" applyProtection="1">
      <alignment horizontal="right" vertical="center" wrapText="1"/>
      <protection locked="0"/>
    </xf>
    <xf numFmtId="43" fontId="84" fillId="2" borderId="1" xfId="1" applyFont="1" applyFill="1" applyBorder="1" applyAlignment="1" applyProtection="1">
      <alignment horizontal="right" vertical="center" wrapText="1"/>
      <protection locked="0"/>
    </xf>
    <xf numFmtId="43" fontId="84" fillId="4" borderId="1" xfId="1" applyFont="1" applyFill="1" applyBorder="1" applyAlignment="1">
      <alignment horizontal="right" vertical="center"/>
    </xf>
    <xf numFmtId="43" fontId="82" fillId="0" borderId="1" xfId="1" applyFont="1" applyBorder="1" applyAlignment="1" applyProtection="1">
      <alignment horizontal="right" vertical="center"/>
      <protection locked="0"/>
    </xf>
    <xf numFmtId="0" fontId="55" fillId="0" borderId="1" xfId="38" applyFont="1" applyFill="1" applyBorder="1" applyAlignment="1" applyProtection="1">
      <alignment horizontal="center" vertical="center" wrapText="1"/>
    </xf>
    <xf numFmtId="0" fontId="84" fillId="2" borderId="1" xfId="4" applyFont="1" applyFill="1" applyBorder="1" applyAlignment="1" applyProtection="1">
      <alignment vertical="center"/>
      <protection locked="0"/>
    </xf>
    <xf numFmtId="0" fontId="79" fillId="2" borderId="1" xfId="4" applyFont="1" applyFill="1" applyBorder="1" applyAlignment="1" applyProtection="1">
      <alignment horizontal="center" vertical="center"/>
      <protection locked="0"/>
    </xf>
    <xf numFmtId="0" fontId="84" fillId="2" borderId="1" xfId="4" applyFont="1" applyFill="1" applyBorder="1" applyAlignment="1" applyProtection="1">
      <alignment horizontal="center" vertical="center"/>
      <protection locked="0"/>
    </xf>
    <xf numFmtId="0" fontId="84" fillId="2" borderId="1" xfId="4" applyFont="1" applyFill="1" applyBorder="1" applyAlignment="1" applyProtection="1">
      <alignment horizontal="left" vertical="center"/>
      <protection locked="0"/>
    </xf>
    <xf numFmtId="2" fontId="84" fillId="2" borderId="1" xfId="4" applyNumberFormat="1" applyFont="1" applyFill="1" applyBorder="1" applyAlignment="1" applyProtection="1">
      <alignment horizontal="left" vertical="center"/>
    </xf>
    <xf numFmtId="0" fontId="82" fillId="4" borderId="1" xfId="8" applyFont="1" applyFill="1" applyBorder="1" applyAlignment="1" applyProtection="1">
      <alignment vertical="center"/>
      <protection locked="0"/>
    </xf>
    <xf numFmtId="0" fontId="57" fillId="4" borderId="1" xfId="8" applyFont="1" applyFill="1" applyBorder="1" applyAlignment="1" applyProtection="1">
      <alignment horizontal="center" vertical="center"/>
      <protection locked="0"/>
    </xf>
    <xf numFmtId="0" fontId="84" fillId="4" borderId="1" xfId="8" applyFont="1" applyFill="1" applyBorder="1" applyAlignment="1" applyProtection="1">
      <alignment horizontal="center" vertical="center"/>
      <protection locked="0"/>
    </xf>
    <xf numFmtId="0" fontId="82" fillId="4" borderId="1" xfId="8" applyFont="1" applyFill="1" applyBorder="1" applyAlignment="1" applyProtection="1">
      <alignment horizontal="left" vertical="center"/>
      <protection locked="0"/>
    </xf>
    <xf numFmtId="2" fontId="82" fillId="4" borderId="1" xfId="8" applyNumberFormat="1" applyFont="1" applyFill="1" applyBorder="1" applyAlignment="1" applyProtection="1">
      <alignment horizontal="left" vertical="center"/>
    </xf>
    <xf numFmtId="0" fontId="82" fillId="0" borderId="1" xfId="8" applyFont="1" applyFill="1" applyBorder="1" applyAlignment="1" applyProtection="1">
      <alignment vertical="center"/>
      <protection locked="0"/>
    </xf>
    <xf numFmtId="0" fontId="57" fillId="0" borderId="1" xfId="8" applyFont="1" applyFill="1" applyBorder="1" applyAlignment="1" applyProtection="1">
      <alignment horizontal="center" vertical="center"/>
      <protection locked="0"/>
    </xf>
    <xf numFmtId="2" fontId="82" fillId="0" borderId="1" xfId="8" applyNumberFormat="1" applyFont="1" applyFill="1" applyBorder="1" applyAlignment="1" applyProtection="1">
      <alignment horizontal="left" vertical="center"/>
    </xf>
    <xf numFmtId="43" fontId="61" fillId="0" borderId="1" xfId="1" applyFont="1" applyFill="1" applyBorder="1" applyAlignment="1" applyProtection="1">
      <alignment horizontal="right" vertical="center"/>
    </xf>
    <xf numFmtId="1" fontId="82" fillId="0" borderId="1" xfId="8" applyNumberFormat="1" applyFont="1" applyFill="1" applyBorder="1" applyAlignment="1" applyProtection="1">
      <alignment horizontal="left" vertical="center"/>
    </xf>
    <xf numFmtId="2" fontId="82" fillId="0" borderId="1" xfId="8" applyNumberFormat="1" applyFont="1" applyFill="1" applyBorder="1" applyAlignment="1" applyProtection="1">
      <alignment horizontal="right" vertical="center"/>
    </xf>
    <xf numFmtId="2" fontId="82" fillId="0" borderId="1" xfId="8" applyNumberFormat="1" applyFont="1" applyFill="1" applyBorder="1" applyAlignment="1" applyProtection="1">
      <alignment vertical="center"/>
    </xf>
    <xf numFmtId="2" fontId="84" fillId="0" borderId="1" xfId="8" applyNumberFormat="1" applyFont="1" applyFill="1" applyBorder="1" applyAlignment="1" applyProtection="1">
      <alignment vertical="center"/>
    </xf>
    <xf numFmtId="0" fontId="82" fillId="0" borderId="1" xfId="8" applyFont="1" applyBorder="1" applyAlignment="1" applyProtection="1">
      <alignment vertical="center"/>
      <protection locked="0"/>
    </xf>
    <xf numFmtId="0" fontId="61" fillId="0" borderId="1" xfId="8" applyFont="1" applyBorder="1" applyAlignment="1" applyProtection="1">
      <alignment horizontal="center" vertical="center"/>
      <protection locked="0"/>
    </xf>
    <xf numFmtId="43" fontId="61" fillId="0" borderId="1" xfId="1" applyFont="1" applyBorder="1" applyAlignment="1" applyProtection="1">
      <alignment horizontal="right" vertical="center"/>
    </xf>
    <xf numFmtId="0" fontId="82" fillId="0" borderId="1" xfId="8" applyFont="1" applyBorder="1" applyAlignment="1" applyProtection="1">
      <alignment horizontal="left" vertical="center"/>
      <protection locked="0"/>
    </xf>
    <xf numFmtId="1" fontId="82" fillId="0" borderId="1" xfId="8" applyNumberFormat="1" applyFont="1" applyBorder="1" applyAlignment="1" applyProtection="1">
      <alignment horizontal="left" vertical="center"/>
    </xf>
    <xf numFmtId="2" fontId="82" fillId="0" borderId="1" xfId="8" applyNumberFormat="1" applyFont="1" applyBorder="1" applyAlignment="1" applyProtection="1">
      <alignment vertical="center"/>
    </xf>
    <xf numFmtId="1" fontId="82" fillId="4" borderId="1" xfId="8" applyNumberFormat="1" applyFont="1" applyFill="1" applyBorder="1" applyAlignment="1" applyProtection="1">
      <alignment horizontal="left" vertical="center"/>
    </xf>
    <xf numFmtId="2" fontId="84" fillId="4" borderId="1" xfId="8" applyNumberFormat="1" applyFont="1" applyFill="1" applyBorder="1" applyAlignment="1" applyProtection="1">
      <alignment vertical="center"/>
    </xf>
    <xf numFmtId="0" fontId="78" fillId="0" borderId="1" xfId="8" applyFont="1" applyBorder="1" applyAlignment="1" applyProtection="1">
      <alignment vertical="center"/>
      <protection locked="0"/>
    </xf>
    <xf numFmtId="0" fontId="78" fillId="0" borderId="1" xfId="8" applyFont="1" applyBorder="1" applyAlignment="1" applyProtection="1">
      <alignment horizontal="center" vertical="center"/>
      <protection locked="0"/>
    </xf>
    <xf numFmtId="167" fontId="78" fillId="0" borderId="1" xfId="8" applyNumberFormat="1" applyFont="1" applyBorder="1" applyAlignment="1" applyProtection="1">
      <alignment horizontal="right" vertical="center"/>
      <protection locked="0"/>
    </xf>
    <xf numFmtId="0" fontId="82" fillId="0" borderId="1" xfId="8" applyFont="1" applyBorder="1" applyAlignment="1" applyProtection="1">
      <alignment horizontal="left" vertical="center"/>
    </xf>
    <xf numFmtId="1" fontId="84" fillId="2" borderId="1" xfId="4" applyNumberFormat="1" applyFont="1" applyFill="1" applyBorder="1" applyAlignment="1" applyProtection="1">
      <alignment horizontal="left" vertical="center"/>
    </xf>
    <xf numFmtId="1" fontId="84" fillId="4" borderId="1" xfId="4" applyNumberFormat="1" applyFont="1" applyFill="1" applyBorder="1" applyAlignment="1" applyProtection="1">
      <alignment horizontal="left" vertical="center"/>
    </xf>
    <xf numFmtId="0" fontId="82" fillId="0" borderId="1" xfId="8" applyFont="1" applyFill="1" applyBorder="1" applyAlignment="1" applyProtection="1">
      <alignment vertical="center"/>
    </xf>
    <xf numFmtId="2" fontId="84" fillId="0" borderId="1" xfId="8" applyNumberFormat="1" applyFont="1" applyFill="1" applyBorder="1" applyAlignment="1" applyProtection="1">
      <alignment horizontal="right" vertical="center"/>
    </xf>
    <xf numFmtId="43" fontId="57" fillId="0" borderId="1" xfId="1" applyFont="1" applyBorder="1" applyAlignment="1" applyProtection="1">
      <alignment horizontal="right" vertical="center"/>
    </xf>
    <xf numFmtId="1" fontId="82" fillId="10" borderId="1" xfId="8" applyNumberFormat="1" applyFont="1" applyFill="1" applyBorder="1" applyAlignment="1" applyProtection="1">
      <alignment horizontal="left" vertical="center"/>
      <protection locked="0"/>
    </xf>
    <xf numFmtId="2" fontId="82" fillId="10" borderId="1" xfId="8" applyNumberFormat="1" applyFont="1" applyFill="1" applyBorder="1" applyAlignment="1" applyProtection="1">
      <alignment horizontal="right" vertical="center"/>
      <protection locked="0"/>
    </xf>
    <xf numFmtId="2" fontId="82" fillId="10" borderId="1" xfId="8" applyNumberFormat="1" applyFont="1" applyFill="1" applyBorder="1" applyAlignment="1" applyProtection="1">
      <alignment vertical="center"/>
      <protection locked="0"/>
    </xf>
    <xf numFmtId="0" fontId="84" fillId="0" borderId="1" xfId="8" applyFont="1" applyBorder="1" applyAlignment="1" applyProtection="1">
      <alignment vertical="center"/>
      <protection locked="0"/>
    </xf>
    <xf numFmtId="0" fontId="79" fillId="0" borderId="1" xfId="8" applyFont="1" applyBorder="1" applyAlignment="1" applyProtection="1">
      <alignment horizontal="center" vertical="center"/>
      <protection locked="0"/>
    </xf>
    <xf numFmtId="2" fontId="84" fillId="10" borderId="1" xfId="8" applyNumberFormat="1" applyFont="1" applyFill="1" applyBorder="1" applyAlignment="1" applyProtection="1">
      <alignment horizontal="left" vertical="center"/>
      <protection locked="0"/>
    </xf>
    <xf numFmtId="0" fontId="82" fillId="0" borderId="1" xfId="0" applyFont="1" applyBorder="1" applyAlignment="1" applyProtection="1">
      <alignment horizontal="left" vertical="center"/>
    </xf>
    <xf numFmtId="43" fontId="82" fillId="0" borderId="1" xfId="1" applyFont="1" applyBorder="1" applyAlignment="1" applyProtection="1">
      <alignment horizontal="left" vertical="center"/>
    </xf>
    <xf numFmtId="0" fontId="82" fillId="0" borderId="0" xfId="0" applyFont="1" applyAlignment="1" applyProtection="1">
      <alignment vertical="center" wrapText="1"/>
    </xf>
    <xf numFmtId="0" fontId="82" fillId="0" borderId="0" xfId="0" applyFont="1" applyFill="1" applyAlignment="1" applyProtection="1">
      <alignment vertical="center" wrapText="1"/>
    </xf>
    <xf numFmtId="0" fontId="83" fillId="0" borderId="1" xfId="3" applyFont="1" applyFill="1" applyBorder="1" applyAlignment="1" applyProtection="1"/>
    <xf numFmtId="0" fontId="79" fillId="0" borderId="1" xfId="8" applyFont="1" applyFill="1" applyBorder="1" applyAlignment="1" applyProtection="1">
      <alignment horizontal="left" vertical="center" wrapText="1"/>
    </xf>
    <xf numFmtId="0" fontId="83" fillId="37" borderId="1" xfId="3" applyFont="1" applyFill="1" applyBorder="1" applyAlignment="1" applyProtection="1">
      <alignment horizontal="left"/>
    </xf>
    <xf numFmtId="43" fontId="84" fillId="0" borderId="1" xfId="1" applyFont="1" applyFill="1" applyBorder="1" applyAlignment="1" applyProtection="1">
      <alignment horizontal="left" vertical="center" wrapText="1"/>
    </xf>
    <xf numFmtId="43" fontId="84" fillId="0" borderId="1" xfId="1" applyFont="1" applyBorder="1" applyAlignment="1" applyProtection="1">
      <alignment horizontal="right" vertical="center" wrapText="1"/>
    </xf>
    <xf numFmtId="2" fontId="79" fillId="0" borderId="1" xfId="8" applyNumberFormat="1" applyFont="1" applyFill="1" applyBorder="1" applyAlignment="1" applyProtection="1">
      <alignment horizontal="left" vertical="center" wrapText="1"/>
    </xf>
    <xf numFmtId="0" fontId="82" fillId="0" borderId="0" xfId="0" applyFont="1" applyAlignment="1" applyProtection="1">
      <alignment horizontal="center" vertical="center" wrapText="1"/>
    </xf>
    <xf numFmtId="0" fontId="82" fillId="0" borderId="0" xfId="0" applyFont="1" applyFill="1" applyAlignment="1" applyProtection="1">
      <alignment horizontal="center" vertical="center" wrapText="1"/>
    </xf>
    <xf numFmtId="43" fontId="77" fillId="7" borderId="1" xfId="1" applyFont="1" applyFill="1" applyBorder="1" applyAlignment="1" applyProtection="1">
      <alignment horizontal="left" vertical="center" wrapText="1"/>
    </xf>
    <xf numFmtId="0" fontId="57" fillId="0" borderId="0" xfId="0" applyFont="1" applyFill="1" applyAlignment="1" applyProtection="1">
      <alignment horizontal="left" vertical="center" wrapText="1"/>
    </xf>
    <xf numFmtId="0" fontId="79" fillId="2" borderId="1" xfId="38" applyFont="1" applyFill="1" applyBorder="1" applyAlignment="1" applyProtection="1">
      <alignment horizontal="left" vertical="center" wrapText="1"/>
    </xf>
    <xf numFmtId="43" fontId="79" fillId="2" borderId="1" xfId="1" applyFont="1" applyFill="1" applyBorder="1" applyAlignment="1" applyProtection="1">
      <alignment horizontal="left" vertical="center" wrapText="1"/>
    </xf>
    <xf numFmtId="0" fontId="96" fillId="0" borderId="1" xfId="0" applyFont="1" applyBorder="1" applyAlignment="1" applyProtection="1">
      <alignment vertical="center" wrapText="1"/>
    </xf>
    <xf numFmtId="0" fontId="96" fillId="0" borderId="1" xfId="0" applyFont="1" applyBorder="1" applyAlignment="1" applyProtection="1">
      <alignment vertical="center"/>
    </xf>
    <xf numFmtId="0" fontId="79" fillId="2" borderId="1" xfId="0" applyFont="1" applyFill="1" applyBorder="1" applyAlignment="1" applyProtection="1">
      <alignment horizontal="left" vertical="center" wrapText="1"/>
    </xf>
    <xf numFmtId="0" fontId="79" fillId="2" borderId="1" xfId="0" applyFont="1" applyFill="1" applyBorder="1" applyAlignment="1" applyProtection="1">
      <alignment horizontal="center" vertical="center" wrapText="1"/>
    </xf>
    <xf numFmtId="0" fontId="79" fillId="2" borderId="1" xfId="0" applyFont="1" applyFill="1" applyBorder="1" applyAlignment="1" applyProtection="1">
      <alignment vertical="center" wrapText="1"/>
    </xf>
    <xf numFmtId="0" fontId="57" fillId="0" borderId="1" xfId="0" applyFont="1" applyBorder="1" applyAlignment="1" applyProtection="1">
      <alignment horizontal="center" vertical="center" wrapText="1"/>
    </xf>
    <xf numFmtId="0" fontId="84" fillId="4" borderId="1" xfId="8" applyFont="1" applyFill="1" applyBorder="1" applyAlignment="1" applyProtection="1">
      <alignment horizontal="left" vertical="center" wrapText="1"/>
    </xf>
    <xf numFmtId="0" fontId="82" fillId="38" borderId="1" xfId="8" applyFont="1" applyFill="1" applyBorder="1" applyAlignment="1" applyProtection="1">
      <alignment horizontal="left" vertical="center" wrapText="1"/>
    </xf>
    <xf numFmtId="0" fontId="82" fillId="0" borderId="1" xfId="4" applyFont="1" applyBorder="1" applyAlignment="1" applyProtection="1">
      <alignment vertical="center" wrapText="1"/>
    </xf>
    <xf numFmtId="0" fontId="57" fillId="0" borderId="1" xfId="38" applyFont="1" applyFill="1" applyBorder="1" applyAlignment="1" applyProtection="1">
      <alignment horizontal="left" vertical="center" wrapText="1"/>
    </xf>
    <xf numFmtId="0" fontId="55" fillId="0" borderId="1" xfId="0" applyFont="1" applyBorder="1" applyAlignment="1" applyProtection="1">
      <alignment vertical="center" wrapText="1"/>
    </xf>
    <xf numFmtId="0" fontId="57" fillId="0" borderId="1" xfId="38" applyFont="1" applyBorder="1" applyAlignment="1" applyProtection="1">
      <alignment horizontal="left" vertical="center" wrapText="1"/>
    </xf>
    <xf numFmtId="0" fontId="84" fillId="0" borderId="1" xfId="0" applyFont="1" applyBorder="1" applyAlignment="1" applyProtection="1">
      <alignment horizontal="center" vertical="center" wrapText="1"/>
    </xf>
    <xf numFmtId="0" fontId="84" fillId="0" borderId="0" xfId="0" applyFont="1" applyAlignment="1" applyProtection="1">
      <alignment vertical="center" wrapText="1"/>
    </xf>
    <xf numFmtId="0" fontId="84" fillId="0" borderId="1" xfId="0" applyFont="1" applyFill="1" applyBorder="1" applyAlignment="1" applyProtection="1">
      <alignment horizontal="left" vertical="center" wrapText="1"/>
    </xf>
    <xf numFmtId="0" fontId="84" fillId="0" borderId="0" xfId="0" applyFont="1" applyFill="1" applyAlignment="1" applyProtection="1">
      <alignment vertical="center" wrapText="1"/>
    </xf>
    <xf numFmtId="0" fontId="84" fillId="0" borderId="1" xfId="0" applyFont="1" applyBorder="1" applyAlignment="1" applyProtection="1">
      <alignment horizontal="left" vertical="center" wrapText="1"/>
    </xf>
    <xf numFmtId="0" fontId="79" fillId="0" borderId="0" xfId="0" applyFont="1" applyAlignment="1" applyProtection="1">
      <alignment vertical="center" wrapText="1"/>
    </xf>
    <xf numFmtId="0" fontId="57" fillId="0" borderId="0" xfId="0" applyFont="1" applyAlignment="1" applyProtection="1">
      <alignment vertical="center" wrapText="1"/>
    </xf>
    <xf numFmtId="0" fontId="84" fillId="0" borderId="1" xfId="8" applyFont="1" applyBorder="1" applyAlignment="1" applyProtection="1">
      <alignment vertical="center" wrapText="1"/>
    </xf>
    <xf numFmtId="0" fontId="82" fillId="0" borderId="1" xfId="0" applyFont="1" applyBorder="1" applyAlignment="1" applyProtection="1">
      <alignment vertical="center" wrapText="1"/>
    </xf>
    <xf numFmtId="0" fontId="78" fillId="0" borderId="1" xfId="0" applyFont="1" applyBorder="1" applyAlignment="1" applyProtection="1">
      <alignment horizontal="center" vertical="center" wrapText="1"/>
    </xf>
    <xf numFmtId="0" fontId="82" fillId="0" borderId="1" xfId="8" applyFont="1" applyBorder="1" applyAlignment="1" applyProtection="1">
      <alignment vertical="center" wrapText="1"/>
    </xf>
    <xf numFmtId="2" fontId="82" fillId="0" borderId="1" xfId="8" applyNumberFormat="1" applyFont="1" applyBorder="1" applyAlignment="1" applyProtection="1">
      <alignment vertical="center" wrapText="1"/>
    </xf>
    <xf numFmtId="0" fontId="82" fillId="0" borderId="0" xfId="0" applyFont="1" applyBorder="1" applyAlignment="1" applyProtection="1">
      <alignment horizontal="left" vertical="center" wrapText="1"/>
    </xf>
    <xf numFmtId="0" fontId="57" fillId="0" borderId="1" xfId="5" applyFont="1" applyFill="1" applyBorder="1" applyAlignment="1" applyProtection="1">
      <alignment vertical="center" wrapText="1"/>
    </xf>
    <xf numFmtId="0" fontId="82" fillId="0" borderId="1" xfId="0" applyFont="1" applyFill="1" applyBorder="1" applyAlignment="1" applyProtection="1">
      <alignment horizontal="center" vertical="center" wrapText="1"/>
    </xf>
    <xf numFmtId="0" fontId="96" fillId="0" borderId="1" xfId="0" applyFont="1" applyFill="1" applyBorder="1" applyAlignment="1" applyProtection="1">
      <alignment vertical="center" wrapText="1"/>
    </xf>
    <xf numFmtId="0" fontId="84" fillId="0" borderId="1" xfId="8" applyFont="1" applyFill="1" applyBorder="1" applyAlignment="1" applyProtection="1">
      <alignment horizontal="left" vertical="center" wrapText="1"/>
    </xf>
    <xf numFmtId="0" fontId="82" fillId="0" borderId="0" xfId="0" applyFont="1" applyAlignment="1" applyProtection="1">
      <alignment horizontal="right" vertical="center" wrapText="1"/>
    </xf>
    <xf numFmtId="0" fontId="82" fillId="0" borderId="0" xfId="0" applyFont="1" applyAlignment="1" applyProtection="1">
      <alignment horizontal="left" vertical="center" wrapText="1"/>
    </xf>
    <xf numFmtId="0" fontId="87" fillId="0" borderId="1" xfId="0" applyFont="1" applyFill="1" applyBorder="1" applyAlignment="1" applyProtection="1">
      <alignment horizontal="center" vertical="center" wrapText="1"/>
    </xf>
    <xf numFmtId="0" fontId="81" fillId="28" borderId="1" xfId="0" applyFont="1" applyFill="1" applyBorder="1" applyAlignment="1" applyProtection="1">
      <alignment horizontal="center" vertical="center" wrapText="1"/>
    </xf>
    <xf numFmtId="43" fontId="81" fillId="28" borderId="1" xfId="1" applyFont="1" applyFill="1" applyBorder="1" applyAlignment="1" applyProtection="1">
      <alignment horizontal="center" vertical="center" wrapText="1"/>
    </xf>
    <xf numFmtId="0" fontId="79" fillId="29" borderId="1" xfId="0" applyFont="1" applyFill="1" applyBorder="1" applyAlignment="1" applyProtection="1">
      <alignment horizontal="center" vertical="center" wrapText="1"/>
    </xf>
    <xf numFmtId="43" fontId="79" fillId="29" borderId="1" xfId="1" applyFont="1" applyFill="1" applyBorder="1" applyAlignment="1" applyProtection="1">
      <alignment horizontal="center" vertical="center" wrapText="1"/>
    </xf>
    <xf numFmtId="0" fontId="79" fillId="10" borderId="1" xfId="0" applyFont="1" applyFill="1" applyBorder="1" applyAlignment="1" applyProtection="1">
      <alignment horizontal="center" vertical="center" wrapText="1"/>
    </xf>
    <xf numFmtId="0" fontId="79" fillId="27" borderId="1" xfId="8" applyFont="1" applyFill="1" applyBorder="1" applyAlignment="1" applyProtection="1">
      <alignment horizontal="center" vertical="center"/>
    </xf>
    <xf numFmtId="43" fontId="79" fillId="27" borderId="1" xfId="1" applyFont="1" applyFill="1" applyBorder="1" applyAlignment="1" applyProtection="1">
      <alignment horizontal="center" vertical="center" wrapText="1"/>
    </xf>
    <xf numFmtId="0" fontId="79" fillId="27" borderId="1" xfId="0" applyFont="1" applyFill="1" applyBorder="1" applyAlignment="1" applyProtection="1">
      <alignment horizontal="center" vertical="center" wrapText="1"/>
    </xf>
    <xf numFmtId="0" fontId="70" fillId="37" borderId="1" xfId="3" applyFill="1" applyBorder="1" applyAlignment="1" applyProtection="1">
      <alignment horizontal="left"/>
    </xf>
    <xf numFmtId="43" fontId="84" fillId="0" borderId="1" xfId="1" applyFont="1" applyFill="1" applyBorder="1" applyAlignment="1" applyProtection="1">
      <alignment horizontal="center" vertical="center" wrapText="1"/>
    </xf>
    <xf numFmtId="43" fontId="84" fillId="0" borderId="1" xfId="1" applyFont="1" applyBorder="1" applyAlignment="1" applyProtection="1">
      <alignment horizontal="center" vertical="center" wrapText="1"/>
    </xf>
    <xf numFmtId="0" fontId="84" fillId="0" borderId="0" xfId="0" applyFont="1" applyFill="1" applyAlignment="1" applyProtection="1">
      <alignment horizontal="center" vertical="center" wrapText="1"/>
    </xf>
    <xf numFmtId="0" fontId="84" fillId="17" borderId="1" xfId="38" applyFont="1" applyFill="1" applyBorder="1" applyAlignment="1" applyProtection="1">
      <alignment horizontal="center" vertical="center" wrapText="1"/>
    </xf>
    <xf numFmtId="0" fontId="84" fillId="23" borderId="1" xfId="38" applyFont="1" applyFill="1" applyBorder="1" applyAlignment="1" applyProtection="1">
      <alignment horizontal="center" vertical="center" wrapText="1"/>
    </xf>
    <xf numFmtId="43" fontId="84" fillId="23" borderId="1" xfId="1" applyFont="1" applyFill="1" applyBorder="1" applyAlignment="1" applyProtection="1">
      <alignment horizontal="center" vertical="center" wrapText="1"/>
    </xf>
    <xf numFmtId="0" fontId="84" fillId="5" borderId="1" xfId="38" applyFont="1" applyFill="1" applyBorder="1" applyAlignment="1" applyProtection="1">
      <alignment horizontal="center" vertical="center" wrapText="1"/>
    </xf>
    <xf numFmtId="43" fontId="84" fillId="5" borderId="1" xfId="1" applyFont="1" applyFill="1" applyBorder="1" applyAlignment="1" applyProtection="1">
      <alignment horizontal="center" vertical="center" wrapText="1"/>
    </xf>
    <xf numFmtId="0" fontId="61" fillId="0" borderId="0" xfId="38" applyFont="1" applyBorder="1" applyAlignment="1" applyProtection="1">
      <alignment horizontal="center" vertical="center" wrapText="1"/>
    </xf>
    <xf numFmtId="0" fontId="80" fillId="7" borderId="1" xfId="38" applyFont="1" applyFill="1" applyBorder="1" applyAlignment="1" applyProtection="1">
      <alignment horizontal="left" vertical="center" wrapText="1"/>
    </xf>
    <xf numFmtId="0" fontId="77" fillId="7" borderId="1" xfId="38" applyFont="1" applyFill="1" applyBorder="1" applyAlignment="1" applyProtection="1">
      <alignment horizontal="center" vertical="center" wrapText="1"/>
    </xf>
    <xf numFmtId="0" fontId="80" fillId="7" borderId="1" xfId="38" applyFont="1" applyFill="1" applyBorder="1" applyAlignment="1" applyProtection="1">
      <alignment horizontal="center" vertical="center" wrapText="1"/>
    </xf>
    <xf numFmtId="0" fontId="61" fillId="0" borderId="0" xfId="38" applyFont="1" applyBorder="1" applyAlignment="1" applyProtection="1">
      <alignment vertical="center" wrapText="1"/>
    </xf>
    <xf numFmtId="0" fontId="82" fillId="2" borderId="1" xfId="4" applyFont="1" applyFill="1" applyBorder="1" applyAlignment="1" applyProtection="1">
      <alignment horizontal="left" vertical="center" wrapText="1"/>
    </xf>
    <xf numFmtId="0" fontId="84" fillId="2" borderId="1" xfId="4" applyFont="1" applyFill="1" applyBorder="1" applyAlignment="1" applyProtection="1">
      <alignment horizontal="center" vertical="center" wrapText="1"/>
    </xf>
    <xf numFmtId="0" fontId="82" fillId="2" borderId="1" xfId="4" applyFont="1" applyFill="1" applyBorder="1" applyAlignment="1" applyProtection="1">
      <alignment horizontal="center" vertical="center" wrapText="1"/>
    </xf>
    <xf numFmtId="2" fontId="82" fillId="2" borderId="1" xfId="4" applyNumberFormat="1" applyFont="1" applyFill="1" applyBorder="1" applyAlignment="1" applyProtection="1">
      <alignment horizontal="center" vertical="center" wrapText="1"/>
    </xf>
    <xf numFmtId="0" fontId="61" fillId="2" borderId="1" xfId="38" applyFont="1" applyFill="1" applyBorder="1" applyAlignment="1" applyProtection="1">
      <alignment horizontal="center" vertical="center" wrapText="1"/>
    </xf>
    <xf numFmtId="43" fontId="61" fillId="2" borderId="1" xfId="1" applyFont="1" applyFill="1" applyBorder="1" applyAlignment="1" applyProtection="1">
      <alignment horizontal="center" vertical="center" wrapText="1"/>
    </xf>
    <xf numFmtId="0" fontId="79" fillId="2" borderId="1" xfId="38" applyFont="1" applyFill="1" applyBorder="1" applyAlignment="1" applyProtection="1">
      <alignment horizontal="center" vertical="center" wrapText="1"/>
    </xf>
    <xf numFmtId="0" fontId="84" fillId="4" borderId="1" xfId="38" applyFont="1" applyFill="1" applyBorder="1" applyAlignment="1" applyProtection="1">
      <alignment horizontal="left" vertical="center" wrapText="1"/>
    </xf>
    <xf numFmtId="0" fontId="82" fillId="4" borderId="1" xfId="4" applyFont="1" applyFill="1" applyBorder="1" applyAlignment="1" applyProtection="1">
      <alignment horizontal="left" vertical="center" wrapText="1"/>
    </xf>
    <xf numFmtId="0" fontId="84" fillId="4" borderId="1" xfId="38" applyFont="1" applyFill="1" applyBorder="1" applyAlignment="1" applyProtection="1">
      <alignment horizontal="center" vertical="center" wrapText="1"/>
    </xf>
    <xf numFmtId="0" fontId="82" fillId="4" borderId="1" xfId="4" applyFont="1" applyFill="1" applyBorder="1" applyAlignment="1" applyProtection="1">
      <alignment horizontal="center" vertical="center" wrapText="1"/>
    </xf>
    <xf numFmtId="0" fontId="84" fillId="4" borderId="1" xfId="4" applyFont="1" applyFill="1" applyBorder="1" applyAlignment="1" applyProtection="1">
      <alignment horizontal="center" vertical="center" wrapText="1"/>
    </xf>
    <xf numFmtId="43" fontId="84" fillId="4" borderId="1" xfId="1" applyFont="1" applyFill="1" applyBorder="1" applyAlignment="1" applyProtection="1">
      <alignment horizontal="center" vertical="center" wrapText="1"/>
    </xf>
    <xf numFmtId="0" fontId="82" fillId="0" borderId="0" xfId="0" applyFont="1" applyBorder="1" applyAlignment="1" applyProtection="1">
      <alignment vertical="center" wrapText="1"/>
    </xf>
    <xf numFmtId="0" fontId="61" fillId="0" borderId="1" xfId="4" applyFont="1" applyBorder="1" applyAlignment="1" applyProtection="1">
      <alignment horizontal="left" vertical="center" wrapText="1"/>
    </xf>
    <xf numFmtId="0" fontId="79" fillId="28" borderId="1" xfId="0" applyFont="1" applyFill="1" applyBorder="1" applyAlignment="1" applyProtection="1">
      <alignment horizontal="center" vertical="center" wrapText="1"/>
    </xf>
    <xf numFmtId="0" fontId="61" fillId="0" borderId="1" xfId="0" applyFont="1" applyBorder="1" applyAlignment="1" applyProtection="1">
      <alignment horizontal="center" vertical="center" wrapText="1"/>
    </xf>
    <xf numFmtId="0" fontId="82" fillId="0" borderId="1" xfId="8" applyFont="1" applyBorder="1" applyAlignment="1" applyProtection="1">
      <alignment horizontal="center" vertical="center" wrapText="1"/>
    </xf>
    <xf numFmtId="0" fontId="61" fillId="0" borderId="1" xfId="8" applyFont="1" applyBorder="1" applyAlignment="1" applyProtection="1">
      <alignment horizontal="center" vertical="center" wrapText="1"/>
    </xf>
    <xf numFmtId="0" fontId="56" fillId="0" borderId="1" xfId="0" applyFont="1" applyBorder="1" applyAlignment="1" applyProtection="1">
      <alignment horizontal="center" vertical="center" wrapText="1"/>
    </xf>
    <xf numFmtId="0" fontId="61" fillId="0" borderId="1" xfId="4" applyFont="1" applyFill="1" applyBorder="1" applyAlignment="1" applyProtection="1">
      <alignment horizontal="left" vertical="center" wrapText="1"/>
    </xf>
    <xf numFmtId="0" fontId="84" fillId="28" borderId="1" xfId="0" applyFont="1" applyFill="1" applyBorder="1" applyAlignment="1" applyProtection="1">
      <alignment horizontal="center" vertical="center" wrapText="1"/>
    </xf>
    <xf numFmtId="43" fontId="79" fillId="4" borderId="1" xfId="1" applyFont="1" applyFill="1" applyBorder="1" applyAlignment="1" applyProtection="1">
      <alignment horizontal="center" vertical="center" wrapText="1"/>
    </xf>
    <xf numFmtId="0" fontId="79" fillId="4" borderId="1" xfId="4" applyFont="1" applyFill="1" applyBorder="1" applyAlignment="1" applyProtection="1">
      <alignment horizontal="center" vertical="center" wrapText="1"/>
    </xf>
    <xf numFmtId="0" fontId="82" fillId="0" borderId="1" xfId="0" applyFont="1" applyBorder="1" applyAlignment="1" applyProtection="1">
      <alignment horizontal="center" vertical="center"/>
    </xf>
    <xf numFmtId="0" fontId="82" fillId="6" borderId="1" xfId="0" applyFont="1" applyFill="1" applyBorder="1" applyAlignment="1" applyProtection="1">
      <alignment horizontal="center" vertical="center" wrapText="1"/>
    </xf>
    <xf numFmtId="0" fontId="79" fillId="6" borderId="1" xfId="38" applyFont="1" applyFill="1" applyBorder="1" applyAlignment="1" applyProtection="1">
      <alignment horizontal="center" vertical="center" wrapText="1"/>
    </xf>
    <xf numFmtId="43" fontId="79" fillId="6" borderId="1" xfId="1"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43" fontId="61" fillId="0" borderId="1" xfId="1" applyFont="1" applyFill="1" applyBorder="1" applyAlignment="1" applyProtection="1">
      <alignment horizontal="center" vertical="center" wrapText="1"/>
    </xf>
    <xf numFmtId="0" fontId="79" fillId="0" borderId="1" xfId="4" applyFont="1" applyFill="1" applyBorder="1" applyAlignment="1" applyProtection="1">
      <alignment horizontal="left" vertical="center" wrapText="1"/>
    </xf>
    <xf numFmtId="0" fontId="79" fillId="0" borderId="1" xfId="4" applyFont="1" applyBorder="1" applyAlignment="1" applyProtection="1">
      <alignment horizontal="left" vertical="center" wrapText="1"/>
    </xf>
    <xf numFmtId="0" fontId="61" fillId="0" borderId="1" xfId="0" applyFont="1" applyBorder="1" applyAlignment="1" applyProtection="1">
      <alignment horizontal="left" vertical="center" wrapText="1"/>
    </xf>
    <xf numFmtId="0" fontId="61" fillId="0" borderId="1" xfId="0" applyFont="1" applyFill="1" applyBorder="1" applyAlignment="1" applyProtection="1">
      <alignment horizontal="left" vertical="center" wrapText="1"/>
    </xf>
    <xf numFmtId="43" fontId="82" fillId="0" borderId="1" xfId="1" applyFont="1" applyFill="1" applyBorder="1" applyAlignment="1" applyProtection="1">
      <alignment horizontal="center" vertical="center" wrapText="1"/>
    </xf>
    <xf numFmtId="0" fontId="82" fillId="0" borderId="0"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0" fontId="84" fillId="6" borderId="1" xfId="0" applyFont="1" applyFill="1" applyBorder="1" applyAlignment="1" applyProtection="1">
      <alignment horizontal="left" vertical="center" wrapText="1"/>
    </xf>
    <xf numFmtId="0" fontId="79" fillId="6" borderId="1" xfId="0" applyFont="1" applyFill="1" applyBorder="1" applyAlignment="1" applyProtection="1">
      <alignment horizontal="left" vertical="center" wrapText="1"/>
    </xf>
    <xf numFmtId="0" fontId="79" fillId="6" borderId="1" xfId="0" applyFont="1" applyFill="1" applyBorder="1" applyAlignment="1" applyProtection="1">
      <alignment horizontal="center" vertical="center" wrapText="1"/>
    </xf>
    <xf numFmtId="0" fontId="61" fillId="11" borderId="1" xfId="4" applyFont="1" applyFill="1" applyBorder="1" applyAlignment="1" applyProtection="1">
      <alignment horizontal="left" vertical="center" wrapText="1"/>
    </xf>
    <xf numFmtId="0" fontId="84" fillId="29" borderId="1" xfId="0" applyFont="1" applyFill="1" applyBorder="1" applyAlignment="1" applyProtection="1">
      <alignment horizontal="center" vertical="center" wrapText="1"/>
    </xf>
    <xf numFmtId="0" fontId="82" fillId="2" borderId="1" xfId="38" applyFont="1" applyFill="1" applyBorder="1" applyAlignment="1" applyProtection="1">
      <alignment horizontal="center" vertical="center" wrapText="1"/>
    </xf>
    <xf numFmtId="0" fontId="79" fillId="0" borderId="1" xfId="38" applyFont="1" applyFill="1" applyBorder="1" applyAlignment="1" applyProtection="1">
      <alignment horizontal="center" vertical="center" wrapText="1"/>
    </xf>
    <xf numFmtId="0" fontId="84" fillId="0" borderId="1" xfId="38" applyFont="1" applyFill="1" applyBorder="1" applyAlignment="1" applyProtection="1">
      <alignment horizontal="center" vertical="center" wrapText="1"/>
    </xf>
    <xf numFmtId="0" fontId="84" fillId="0" borderId="0" xfId="0" applyFont="1" applyBorder="1" applyAlignment="1" applyProtection="1">
      <alignment vertical="center" wrapText="1"/>
    </xf>
    <xf numFmtId="0" fontId="56" fillId="0" borderId="1" xfId="4" applyFont="1" applyBorder="1" applyAlignment="1" applyProtection="1">
      <alignment horizontal="left" vertical="center" wrapText="1"/>
    </xf>
    <xf numFmtId="0" fontId="79" fillId="4" borderId="1" xfId="0" applyFont="1" applyFill="1" applyBorder="1" applyAlignment="1" applyProtection="1">
      <alignment horizontal="center" vertical="center" wrapText="1"/>
    </xf>
    <xf numFmtId="0" fontId="58" fillId="0" borderId="1" xfId="0" applyFont="1" applyBorder="1" applyAlignment="1" applyProtection="1">
      <alignment horizontal="left" vertical="center" wrapText="1"/>
    </xf>
    <xf numFmtId="43" fontId="82" fillId="0" borderId="0" xfId="0" applyNumberFormat="1" applyFont="1" applyAlignment="1" applyProtection="1">
      <alignment horizontal="center" vertical="center" wrapText="1"/>
    </xf>
    <xf numFmtId="43" fontId="82" fillId="0" borderId="0" xfId="1" applyFont="1" applyAlignment="1" applyProtection="1">
      <alignment horizontal="center" vertical="center" wrapText="1"/>
    </xf>
    <xf numFmtId="43" fontId="82" fillId="0" borderId="0" xfId="1" applyFont="1" applyAlignment="1" applyProtection="1">
      <alignment horizontal="right" vertical="center" wrapText="1"/>
    </xf>
    <xf numFmtId="0" fontId="77" fillId="0" borderId="1" xfId="8" applyFont="1" applyFill="1" applyBorder="1" applyAlignment="1" applyProtection="1">
      <alignment horizontal="center" vertical="center" wrapText="1"/>
    </xf>
    <xf numFmtId="0" fontId="61" fillId="0" borderId="0" xfId="8" applyFont="1" applyAlignment="1" applyProtection="1">
      <alignment vertical="center" wrapText="1"/>
    </xf>
    <xf numFmtId="0" fontId="79" fillId="0" borderId="1" xfId="0" applyFont="1" applyFill="1" applyBorder="1" applyAlignment="1" applyProtection="1">
      <alignment horizontal="center" vertical="center" wrapText="1"/>
    </xf>
    <xf numFmtId="0" fontId="79" fillId="0" borderId="0" xfId="0" applyFont="1" applyFill="1" applyAlignment="1" applyProtection="1">
      <alignment vertical="center" wrapText="1"/>
    </xf>
    <xf numFmtId="43" fontId="79" fillId="0" borderId="1" xfId="1" applyFont="1" applyFill="1" applyBorder="1" applyAlignment="1" applyProtection="1">
      <alignment horizontal="center" vertical="center"/>
    </xf>
    <xf numFmtId="43" fontId="79" fillId="0" borderId="1" xfId="1" applyFont="1" applyFill="1" applyBorder="1" applyAlignment="1" applyProtection="1">
      <alignment vertical="center" wrapText="1"/>
    </xf>
    <xf numFmtId="43" fontId="79" fillId="0" borderId="0" xfId="1" applyFont="1" applyFill="1" applyAlignment="1" applyProtection="1">
      <alignment vertical="center" wrapText="1"/>
    </xf>
    <xf numFmtId="0" fontId="61" fillId="0" borderId="0" xfId="8" applyFont="1" applyAlignment="1" applyProtection="1">
      <alignment horizontal="center" vertical="center" wrapText="1"/>
    </xf>
    <xf numFmtId="0" fontId="84" fillId="23" borderId="5" xfId="38" applyFont="1" applyFill="1" applyBorder="1" applyAlignment="1" applyProtection="1">
      <alignment horizontal="center" vertical="center" wrapText="1"/>
    </xf>
    <xf numFmtId="0" fontId="106" fillId="43" borderId="1" xfId="0" applyFont="1" applyFill="1" applyBorder="1" applyAlignment="1" applyProtection="1">
      <alignment horizontal="center" vertical="center" wrapText="1"/>
    </xf>
    <xf numFmtId="0" fontId="80" fillId="7" borderId="1" xfId="8" applyFont="1" applyFill="1" applyBorder="1" applyAlignment="1" applyProtection="1">
      <alignment horizontal="left" vertical="center" wrapText="1"/>
    </xf>
    <xf numFmtId="0" fontId="77" fillId="7" borderId="1" xfId="8" applyFont="1" applyFill="1" applyBorder="1" applyAlignment="1" applyProtection="1">
      <alignment horizontal="center" vertical="center" wrapText="1"/>
    </xf>
    <xf numFmtId="0" fontId="77" fillId="7" borderId="5" xfId="8" applyFont="1" applyFill="1" applyBorder="1" applyAlignment="1" applyProtection="1">
      <alignment horizontal="left" vertical="center" wrapText="1"/>
    </xf>
    <xf numFmtId="0" fontId="105" fillId="30" borderId="1" xfId="0" applyFont="1" applyFill="1" applyBorder="1" applyAlignment="1" applyProtection="1">
      <alignment vertical="center" wrapText="1"/>
    </xf>
    <xf numFmtId="43" fontId="84" fillId="2" borderId="1" xfId="1" applyFont="1" applyFill="1" applyBorder="1" applyAlignment="1" applyProtection="1">
      <alignment horizontal="center" vertical="center" wrapText="1"/>
    </xf>
    <xf numFmtId="0" fontId="84" fillId="2" borderId="5" xfId="4" applyFont="1" applyFill="1" applyBorder="1" applyAlignment="1" applyProtection="1">
      <alignment horizontal="left" vertical="center" wrapText="1"/>
    </xf>
    <xf numFmtId="0" fontId="106" fillId="32" borderId="1" xfId="0" applyFont="1" applyFill="1" applyBorder="1" applyAlignment="1" applyProtection="1">
      <alignment vertical="center" wrapText="1"/>
    </xf>
    <xf numFmtId="0" fontId="82" fillId="4" borderId="1" xfId="8" applyFont="1" applyFill="1" applyBorder="1" applyAlignment="1" applyProtection="1">
      <alignment horizontal="center" vertical="center" wrapText="1"/>
    </xf>
    <xf numFmtId="43" fontId="82" fillId="4" borderId="1" xfId="1" applyFont="1" applyFill="1" applyBorder="1" applyAlignment="1" applyProtection="1">
      <alignment horizontal="center" vertical="center" wrapText="1"/>
    </xf>
    <xf numFmtId="0" fontId="84" fillId="4" borderId="5" xfId="8" applyFont="1" applyFill="1" applyBorder="1" applyAlignment="1" applyProtection="1">
      <alignment horizontal="left" vertical="center" wrapText="1"/>
    </xf>
    <xf numFmtId="0" fontId="106" fillId="44" borderId="1" xfId="0" applyFont="1" applyFill="1" applyBorder="1" applyAlignment="1" applyProtection="1">
      <alignment vertical="center" wrapText="1"/>
    </xf>
    <xf numFmtId="0" fontId="61" fillId="0" borderId="1" xfId="8" applyFont="1" applyFill="1" applyBorder="1" applyAlignment="1" applyProtection="1">
      <alignment horizontal="left" vertical="center" wrapText="1"/>
    </xf>
    <xf numFmtId="0" fontId="61" fillId="0" borderId="1" xfId="8" applyFont="1" applyBorder="1" applyAlignment="1" applyProtection="1">
      <alignment horizontal="left" vertical="center" wrapText="1"/>
    </xf>
    <xf numFmtId="0" fontId="91" fillId="0" borderId="1" xfId="0" applyFont="1" applyBorder="1" applyAlignment="1" applyProtection="1">
      <alignment vertical="center" wrapText="1"/>
    </xf>
    <xf numFmtId="0" fontId="82" fillId="0" borderId="1" xfId="4" applyFont="1" applyFill="1" applyBorder="1" applyAlignment="1" applyProtection="1">
      <alignment horizontal="left" vertical="center" wrapText="1"/>
    </xf>
    <xf numFmtId="0" fontId="84" fillId="28" borderId="1" xfId="8" applyFont="1" applyFill="1" applyBorder="1" applyAlignment="1" applyProtection="1">
      <alignment horizontal="center" vertical="center" wrapText="1"/>
    </xf>
    <xf numFmtId="0" fontId="82" fillId="0" borderId="1" xfId="40" applyFont="1" applyBorder="1" applyAlignment="1" applyProtection="1">
      <alignment horizontal="center" vertical="center" wrapText="1"/>
    </xf>
    <xf numFmtId="0" fontId="84" fillId="10" borderId="1" xfId="8" applyFont="1" applyFill="1" applyBorder="1" applyAlignment="1" applyProtection="1">
      <alignment horizontal="center" vertical="center" wrapText="1"/>
    </xf>
    <xf numFmtId="0" fontId="84" fillId="4" borderId="1" xfId="8" applyFont="1" applyFill="1" applyBorder="1" applyAlignment="1" applyProtection="1">
      <alignment horizontal="center" vertical="center" wrapText="1"/>
    </xf>
    <xf numFmtId="0" fontId="84" fillId="6" borderId="1" xfId="8" applyFont="1" applyFill="1" applyBorder="1" applyAlignment="1" applyProtection="1">
      <alignment horizontal="left" vertical="center" wrapText="1"/>
    </xf>
    <xf numFmtId="0" fontId="84" fillId="6" borderId="1" xfId="8" applyFont="1" applyFill="1" applyBorder="1" applyAlignment="1" applyProtection="1">
      <alignment horizontal="center" vertical="center" wrapText="1"/>
    </xf>
    <xf numFmtId="43" fontId="84" fillId="6" borderId="1" xfId="1" applyFont="1" applyFill="1" applyBorder="1" applyAlignment="1" applyProtection="1">
      <alignment horizontal="center" vertical="center" wrapText="1"/>
    </xf>
    <xf numFmtId="0" fontId="106" fillId="40" borderId="1" xfId="0" applyFont="1" applyFill="1" applyBorder="1" applyAlignment="1" applyProtection="1">
      <alignment vertical="center" wrapText="1"/>
    </xf>
    <xf numFmtId="0" fontId="79" fillId="0" borderId="0" xfId="8" applyFont="1" applyAlignment="1" applyProtection="1">
      <alignment vertical="center" wrapText="1"/>
    </xf>
    <xf numFmtId="49" fontId="82" fillId="0" borderId="1" xfId="4" applyNumberFormat="1" applyFont="1" applyBorder="1" applyAlignment="1" applyProtection="1">
      <alignment horizontal="left" vertical="center" wrapText="1"/>
    </xf>
    <xf numFmtId="0" fontId="82" fillId="0" borderId="1" xfId="40" applyFont="1" applyFill="1" applyBorder="1" applyAlignment="1" applyProtection="1">
      <alignment horizontal="center" vertical="center" wrapText="1"/>
    </xf>
    <xf numFmtId="0" fontId="61" fillId="0" borderId="0" xfId="8" applyFont="1" applyFill="1" applyAlignment="1" applyProtection="1">
      <alignment vertical="center" wrapText="1"/>
    </xf>
    <xf numFmtId="0" fontId="103" fillId="0" borderId="1" xfId="0" applyFont="1" applyBorder="1" applyAlignment="1" applyProtection="1">
      <alignment vertical="center" wrapText="1"/>
    </xf>
    <xf numFmtId="0" fontId="107" fillId="46" borderId="1" xfId="0" applyFont="1" applyFill="1" applyBorder="1" applyAlignment="1" applyProtection="1">
      <alignment vertical="center" wrapText="1"/>
    </xf>
    <xf numFmtId="0" fontId="82" fillId="0" borderId="1" xfId="8" applyFont="1" applyFill="1" applyBorder="1" applyAlignment="1" applyProtection="1">
      <alignment horizontal="center" vertical="center" wrapText="1"/>
    </xf>
    <xf numFmtId="0" fontId="61" fillId="0" borderId="0" xfId="8" applyFont="1" applyAlignment="1" applyProtection="1">
      <alignment horizontal="left" vertical="center" wrapText="1"/>
    </xf>
    <xf numFmtId="43" fontId="61" fillId="0" borderId="0" xfId="1" applyFont="1" applyAlignment="1" applyProtection="1">
      <alignment horizontal="center" vertical="center" wrapText="1"/>
    </xf>
    <xf numFmtId="0" fontId="103" fillId="45" borderId="1" xfId="0" applyFont="1" applyFill="1" applyBorder="1" applyAlignment="1" applyProtection="1">
      <alignment vertical="center" wrapText="1"/>
      <protection locked="0"/>
    </xf>
    <xf numFmtId="0" fontId="77" fillId="0" borderId="1" xfId="8" applyFont="1" applyFill="1" applyBorder="1" applyAlignment="1" applyProtection="1">
      <alignment horizontal="center" vertical="center"/>
    </xf>
    <xf numFmtId="0" fontId="82" fillId="0" borderId="0" xfId="8" applyFont="1" applyAlignment="1" applyProtection="1">
      <alignment vertical="center"/>
    </xf>
    <xf numFmtId="0" fontId="79" fillId="0" borderId="1" xfId="0" applyFont="1" applyFill="1" applyBorder="1" applyAlignment="1" applyProtection="1">
      <alignment horizontal="center" vertical="center"/>
    </xf>
    <xf numFmtId="0" fontId="81" fillId="28" borderId="1" xfId="0" applyFont="1" applyFill="1" applyBorder="1" applyAlignment="1" applyProtection="1">
      <alignment horizontal="center" vertical="center"/>
    </xf>
    <xf numFmtId="0" fontId="85" fillId="28" borderId="1" xfId="0" applyFont="1" applyFill="1" applyBorder="1" applyAlignment="1" applyProtection="1">
      <alignment horizontal="center" vertical="center"/>
    </xf>
    <xf numFmtId="43" fontId="81" fillId="28" borderId="1" xfId="1" applyFont="1" applyFill="1" applyBorder="1" applyAlignment="1" applyProtection="1">
      <alignment horizontal="center" vertical="center"/>
    </xf>
    <xf numFmtId="43" fontId="79" fillId="29" borderId="1" xfId="1" applyFont="1" applyFill="1" applyBorder="1" applyAlignment="1" applyProtection="1">
      <alignment horizontal="center" vertical="center"/>
    </xf>
    <xf numFmtId="0" fontId="79" fillId="10" borderId="1" xfId="0" applyFont="1" applyFill="1" applyBorder="1" applyAlignment="1" applyProtection="1">
      <alignment horizontal="center" vertical="center"/>
    </xf>
    <xf numFmtId="0" fontId="82" fillId="0" borderId="0" xfId="0" applyFont="1" applyFill="1" applyAlignment="1" applyProtection="1">
      <alignment vertical="center"/>
    </xf>
    <xf numFmtId="43" fontId="79" fillId="0" borderId="1" xfId="1" applyFont="1" applyFill="1" applyBorder="1" applyAlignment="1" applyProtection="1">
      <alignment vertical="center"/>
    </xf>
    <xf numFmtId="0" fontId="57" fillId="0" borderId="0" xfId="0" applyFont="1" applyFill="1" applyAlignment="1" applyProtection="1">
      <alignment vertical="center"/>
    </xf>
    <xf numFmtId="0" fontId="82" fillId="0" borderId="0" xfId="8" applyFont="1" applyAlignment="1" applyProtection="1">
      <alignment horizontal="center" vertical="center"/>
    </xf>
    <xf numFmtId="0" fontId="84" fillId="17" borderId="1" xfId="38" applyFont="1" applyFill="1" applyBorder="1" applyAlignment="1" applyProtection="1">
      <alignment horizontal="center" vertical="center"/>
    </xf>
    <xf numFmtId="0" fontId="79" fillId="23" borderId="1" xfId="38" applyFont="1" applyFill="1" applyBorder="1" applyAlignment="1" applyProtection="1">
      <alignment horizontal="center" vertical="center"/>
    </xf>
    <xf numFmtId="0" fontId="84" fillId="23" borderId="1" xfId="38" applyFont="1" applyFill="1" applyBorder="1" applyAlignment="1" applyProtection="1">
      <alignment horizontal="center" vertical="center"/>
    </xf>
    <xf numFmtId="43" fontId="84" fillId="23" borderId="1" xfId="1" applyFont="1" applyFill="1" applyBorder="1" applyAlignment="1" applyProtection="1">
      <alignment horizontal="center" vertical="center"/>
    </xf>
    <xf numFmtId="0" fontId="84" fillId="5" borderId="1" xfId="38" applyFont="1" applyFill="1" applyBorder="1" applyAlignment="1" applyProtection="1">
      <alignment horizontal="center" vertical="center"/>
    </xf>
    <xf numFmtId="2" fontId="84" fillId="5" borderId="1" xfId="38" applyNumberFormat="1" applyFont="1" applyFill="1" applyBorder="1" applyAlignment="1" applyProtection="1">
      <alignment horizontal="center" vertical="center"/>
    </xf>
    <xf numFmtId="0" fontId="77" fillId="7" borderId="1" xfId="8" applyFont="1" applyFill="1" applyBorder="1" applyAlignment="1" applyProtection="1">
      <alignment horizontal="left" vertical="center"/>
    </xf>
    <xf numFmtId="0" fontId="80" fillId="7" borderId="1" xfId="8" applyFont="1" applyFill="1" applyBorder="1" applyAlignment="1" applyProtection="1">
      <alignment horizontal="left" vertical="center"/>
    </xf>
    <xf numFmtId="0" fontId="77" fillId="7" borderId="1" xfId="8" applyFont="1" applyFill="1" applyBorder="1" applyAlignment="1" applyProtection="1">
      <alignment horizontal="center" vertical="center"/>
    </xf>
    <xf numFmtId="0" fontId="79" fillId="7" borderId="1" xfId="8" applyFont="1" applyFill="1" applyBorder="1" applyAlignment="1" applyProtection="1">
      <alignment horizontal="center" vertical="center"/>
    </xf>
    <xf numFmtId="43" fontId="84" fillId="7" borderId="1" xfId="1" applyFont="1" applyFill="1" applyBorder="1" applyAlignment="1" applyProtection="1">
      <alignment horizontal="right" vertical="center"/>
    </xf>
    <xf numFmtId="0" fontId="84" fillId="7" borderId="1" xfId="8" applyFont="1" applyFill="1" applyBorder="1" applyAlignment="1" applyProtection="1">
      <alignment horizontal="center" vertical="center"/>
    </xf>
    <xf numFmtId="43" fontId="77" fillId="7" borderId="1" xfId="1" applyFont="1" applyFill="1" applyBorder="1" applyAlignment="1" applyProtection="1">
      <alignment horizontal="right" vertical="center"/>
    </xf>
    <xf numFmtId="2" fontId="77" fillId="7" borderId="1" xfId="8" applyNumberFormat="1" applyFont="1" applyFill="1" applyBorder="1" applyAlignment="1" applyProtection="1">
      <alignment horizontal="left" vertical="center"/>
    </xf>
    <xf numFmtId="2" fontId="77" fillId="7" borderId="1" xfId="8" applyNumberFormat="1" applyFont="1" applyFill="1" applyBorder="1" applyAlignment="1" applyProtection="1">
      <alignment horizontal="right" vertical="center"/>
    </xf>
    <xf numFmtId="2" fontId="82" fillId="0" borderId="0" xfId="8" applyNumberFormat="1" applyFont="1" applyAlignment="1" applyProtection="1">
      <alignment vertical="center"/>
    </xf>
    <xf numFmtId="0" fontId="84" fillId="2" borderId="1" xfId="4" applyFont="1" applyFill="1" applyBorder="1" applyAlignment="1" applyProtection="1">
      <alignment horizontal="left" vertical="center"/>
    </xf>
    <xf numFmtId="0" fontId="82" fillId="2" borderId="1" xfId="4" applyFont="1" applyFill="1" applyBorder="1" applyAlignment="1" applyProtection="1">
      <alignment vertical="center"/>
    </xf>
    <xf numFmtId="0" fontId="84" fillId="2" borderId="1" xfId="4" applyFont="1" applyFill="1" applyBorder="1" applyAlignment="1" applyProtection="1">
      <alignment vertical="center" wrapText="1"/>
    </xf>
    <xf numFmtId="0" fontId="84" fillId="2" borderId="1" xfId="4" applyFont="1" applyFill="1" applyBorder="1" applyAlignment="1" applyProtection="1">
      <alignment horizontal="center" vertical="center"/>
    </xf>
    <xf numFmtId="0" fontId="84" fillId="2" borderId="1" xfId="4" applyFont="1" applyFill="1" applyBorder="1" applyAlignment="1" applyProtection="1">
      <alignment vertical="center"/>
    </xf>
    <xf numFmtId="0" fontId="79" fillId="2" borderId="1" xfId="4" applyFont="1" applyFill="1" applyBorder="1" applyAlignment="1" applyProtection="1">
      <alignment horizontal="center" vertical="center"/>
    </xf>
    <xf numFmtId="43" fontId="84" fillId="2" borderId="1" xfId="1" applyFont="1" applyFill="1" applyBorder="1" applyAlignment="1" applyProtection="1">
      <alignment horizontal="right" vertical="center"/>
    </xf>
    <xf numFmtId="2" fontId="84" fillId="2" borderId="1" xfId="4" applyNumberFormat="1" applyFont="1" applyFill="1" applyBorder="1" applyAlignment="1" applyProtection="1">
      <alignment horizontal="right" vertical="center"/>
    </xf>
    <xf numFmtId="0" fontId="84" fillId="4" borderId="1" xfId="8" applyFont="1" applyFill="1" applyBorder="1" applyAlignment="1" applyProtection="1">
      <alignment horizontal="left" vertical="center"/>
    </xf>
    <xf numFmtId="0" fontId="82" fillId="4" borderId="1" xfId="4" applyFont="1" applyFill="1" applyBorder="1" applyAlignment="1" applyProtection="1">
      <alignment vertical="center"/>
    </xf>
    <xf numFmtId="0" fontId="84" fillId="4" borderId="1" xfId="4" applyFont="1" applyFill="1" applyBorder="1" applyAlignment="1" applyProtection="1">
      <alignment vertical="center" wrapText="1"/>
    </xf>
    <xf numFmtId="0" fontId="82" fillId="4" borderId="1" xfId="8" applyFont="1" applyFill="1" applyBorder="1" applyAlignment="1" applyProtection="1">
      <alignment horizontal="center" vertical="center"/>
    </xf>
    <xf numFmtId="0" fontId="82" fillId="4" borderId="1" xfId="8" applyFont="1" applyFill="1" applyBorder="1" applyAlignment="1" applyProtection="1">
      <alignment vertical="center"/>
    </xf>
    <xf numFmtId="0" fontId="57" fillId="4" borderId="1" xfId="8" applyFont="1" applyFill="1" applyBorder="1" applyAlignment="1" applyProtection="1">
      <alignment horizontal="center" vertical="center"/>
    </xf>
    <xf numFmtId="43" fontId="82" fillId="4" borderId="1" xfId="1" applyFont="1" applyFill="1" applyBorder="1" applyAlignment="1" applyProtection="1">
      <alignment horizontal="right" vertical="center"/>
    </xf>
    <xf numFmtId="0" fontId="84" fillId="4" borderId="1" xfId="8" applyFont="1" applyFill="1" applyBorder="1" applyAlignment="1" applyProtection="1">
      <alignment horizontal="center" vertical="center"/>
    </xf>
    <xf numFmtId="43" fontId="84" fillId="4" borderId="1" xfId="1" applyFont="1" applyFill="1" applyBorder="1" applyAlignment="1" applyProtection="1">
      <alignment horizontal="right" vertical="center"/>
    </xf>
    <xf numFmtId="0" fontId="82" fillId="4" borderId="1" xfId="8" applyFont="1" applyFill="1" applyBorder="1" applyAlignment="1" applyProtection="1">
      <alignment horizontal="left" vertical="center"/>
    </xf>
    <xf numFmtId="2" fontId="84" fillId="4" borderId="1" xfId="8" applyNumberFormat="1" applyFont="1" applyFill="1" applyBorder="1" applyAlignment="1" applyProtection="1">
      <alignment horizontal="right" vertical="center"/>
    </xf>
    <xf numFmtId="0" fontId="84" fillId="0" borderId="1" xfId="8" applyFont="1" applyFill="1" applyBorder="1" applyAlignment="1" applyProtection="1">
      <alignment horizontal="left" vertical="center"/>
    </xf>
    <xf numFmtId="0" fontId="82" fillId="0" borderId="1" xfId="4" applyFont="1" applyFill="1" applyBorder="1" applyAlignment="1" applyProtection="1">
      <alignment vertical="center"/>
    </xf>
    <xf numFmtId="0" fontId="84" fillId="0" borderId="1" xfId="4" applyFont="1" applyFill="1" applyBorder="1" applyAlignment="1" applyProtection="1">
      <alignment vertical="center" wrapText="1"/>
    </xf>
    <xf numFmtId="0" fontId="84" fillId="28" borderId="1" xfId="8" applyFont="1" applyFill="1" applyBorder="1" applyAlignment="1" applyProtection="1">
      <alignment horizontal="center" vertical="center"/>
    </xf>
    <xf numFmtId="0" fontId="82" fillId="0" borderId="1" xfId="8" applyFont="1" applyFill="1" applyBorder="1" applyAlignment="1" applyProtection="1">
      <alignment horizontal="center" vertical="center"/>
    </xf>
    <xf numFmtId="0" fontId="57" fillId="0" borderId="1" xfId="8" applyFont="1" applyFill="1" applyBorder="1" applyAlignment="1" applyProtection="1">
      <alignment horizontal="center" vertical="center"/>
    </xf>
    <xf numFmtId="43" fontId="82" fillId="0" borderId="1" xfId="1" applyFont="1" applyFill="1" applyBorder="1" applyAlignment="1" applyProtection="1">
      <alignment horizontal="right" vertical="center"/>
    </xf>
    <xf numFmtId="0" fontId="84" fillId="0" borderId="1" xfId="8" applyFont="1" applyFill="1" applyBorder="1" applyAlignment="1" applyProtection="1">
      <alignment horizontal="center" vertical="center"/>
    </xf>
    <xf numFmtId="43" fontId="84" fillId="0" borderId="1" xfId="1" applyFont="1" applyFill="1" applyBorder="1" applyAlignment="1" applyProtection="1">
      <alignment horizontal="right" vertical="center"/>
    </xf>
    <xf numFmtId="0" fontId="82" fillId="0" borderId="1" xfId="8" applyFont="1" applyFill="1" applyBorder="1" applyAlignment="1" applyProtection="1">
      <alignment horizontal="left" vertical="center"/>
    </xf>
    <xf numFmtId="0" fontId="82" fillId="0" borderId="1" xfId="4" applyFont="1" applyFill="1" applyBorder="1" applyAlignment="1" applyProtection="1">
      <alignment vertical="center" wrapText="1"/>
    </xf>
    <xf numFmtId="0" fontId="78" fillId="0" borderId="1" xfId="8" applyFont="1" applyFill="1" applyBorder="1" applyAlignment="1" applyProtection="1">
      <alignment vertical="center"/>
    </xf>
    <xf numFmtId="0" fontId="78" fillId="0" borderId="1" xfId="8" applyFont="1" applyFill="1" applyBorder="1" applyAlignment="1" applyProtection="1">
      <alignment horizontal="center" vertical="center"/>
    </xf>
    <xf numFmtId="167" fontId="78" fillId="0" borderId="1" xfId="8" applyNumberFormat="1" applyFont="1" applyFill="1" applyBorder="1" applyAlignment="1" applyProtection="1">
      <alignment horizontal="right" vertical="center"/>
    </xf>
    <xf numFmtId="0" fontId="78" fillId="0" borderId="1" xfId="0" applyFont="1" applyFill="1" applyBorder="1" applyAlignment="1" applyProtection="1">
      <alignment horizontal="center" vertical="center"/>
    </xf>
    <xf numFmtId="0" fontId="57" fillId="0" borderId="1" xfId="38" applyFont="1" applyFill="1" applyBorder="1" applyAlignment="1" applyProtection="1">
      <alignment horizontal="center" vertical="center"/>
    </xf>
    <xf numFmtId="0" fontId="61" fillId="0" borderId="1" xfId="8" applyFont="1" applyFill="1" applyBorder="1" applyAlignment="1" applyProtection="1">
      <alignment horizontal="center" vertical="center"/>
    </xf>
    <xf numFmtId="0" fontId="82" fillId="0" borderId="1" xfId="0" applyFont="1" applyFill="1" applyBorder="1" applyAlignment="1" applyProtection="1">
      <alignment horizontal="left" vertical="center"/>
    </xf>
    <xf numFmtId="0" fontId="84" fillId="29" borderId="1" xfId="8" applyFont="1" applyFill="1" applyBorder="1" applyAlignment="1" applyProtection="1">
      <alignment horizontal="center" vertical="center"/>
    </xf>
    <xf numFmtId="0" fontId="84" fillId="10" borderId="1" xfId="8" applyFont="1" applyFill="1" applyBorder="1" applyAlignment="1" applyProtection="1">
      <alignment horizontal="center" vertical="center"/>
    </xf>
    <xf numFmtId="0" fontId="82" fillId="0" borderId="1" xfId="4" applyFont="1" applyFill="1" applyBorder="1" applyAlignment="1" applyProtection="1">
      <alignment horizontal="left" vertical="center"/>
    </xf>
    <xf numFmtId="0" fontId="79" fillId="20" borderId="1" xfId="0" applyFont="1" applyFill="1" applyBorder="1" applyAlignment="1" applyProtection="1">
      <alignment horizontal="center" vertical="center"/>
    </xf>
    <xf numFmtId="0" fontId="82" fillId="0" borderId="1" xfId="9" applyFont="1" applyFill="1" applyBorder="1" applyAlignment="1" applyProtection="1">
      <alignment horizontal="center" vertical="center"/>
    </xf>
    <xf numFmtId="0" fontId="82" fillId="0" borderId="1" xfId="8" applyFont="1" applyBorder="1" applyAlignment="1" applyProtection="1">
      <alignment horizontal="center" vertical="center"/>
    </xf>
    <xf numFmtId="0" fontId="82" fillId="0" borderId="1" xfId="8" applyFont="1" applyBorder="1" applyAlignment="1" applyProtection="1">
      <alignment vertical="center"/>
    </xf>
    <xf numFmtId="43" fontId="82" fillId="0" borderId="1" xfId="1" applyFont="1" applyBorder="1" applyAlignment="1" applyProtection="1">
      <alignment horizontal="right" vertical="center"/>
    </xf>
    <xf numFmtId="2" fontId="82" fillId="0" borderId="1" xfId="8" applyNumberFormat="1" applyFont="1" applyBorder="1" applyAlignment="1" applyProtection="1">
      <alignment horizontal="left" vertical="center"/>
    </xf>
    <xf numFmtId="0" fontId="82" fillId="0" borderId="1" xfId="4" applyFont="1" applyBorder="1" applyAlignment="1" applyProtection="1">
      <alignment vertical="center"/>
    </xf>
    <xf numFmtId="0" fontId="61" fillId="0" borderId="1" xfId="8" applyFont="1" applyBorder="1" applyAlignment="1" applyProtection="1">
      <alignment horizontal="center" vertical="center"/>
    </xf>
    <xf numFmtId="2" fontId="82" fillId="0" borderId="1" xfId="4" applyNumberFormat="1" applyFont="1" applyBorder="1" applyAlignment="1" applyProtection="1">
      <alignment vertical="center"/>
    </xf>
    <xf numFmtId="2" fontId="61" fillId="0" borderId="0" xfId="8" applyNumberFormat="1" applyFont="1" applyAlignment="1" applyProtection="1">
      <alignment vertical="center"/>
    </xf>
    <xf numFmtId="0" fontId="79" fillId="0" borderId="0" xfId="8" applyFont="1" applyAlignment="1" applyProtection="1">
      <alignment vertical="center"/>
    </xf>
    <xf numFmtId="0" fontId="79" fillId="29" borderId="1" xfId="0" applyFont="1" applyFill="1" applyBorder="1" applyAlignment="1" applyProtection="1">
      <alignment horizontal="center" vertical="center"/>
    </xf>
    <xf numFmtId="0" fontId="78" fillId="0" borderId="1" xfId="8" applyFont="1" applyBorder="1" applyAlignment="1" applyProtection="1">
      <alignment vertical="center"/>
    </xf>
    <xf numFmtId="0" fontId="78" fillId="0" borderId="1" xfId="8" applyFont="1" applyBorder="1" applyAlignment="1" applyProtection="1">
      <alignment horizontal="center" vertical="center"/>
    </xf>
    <xf numFmtId="167" fontId="78" fillId="0" borderId="1" xfId="8" applyNumberFormat="1" applyFont="1" applyBorder="1" applyAlignment="1" applyProtection="1">
      <alignment horizontal="right" vertical="center"/>
    </xf>
    <xf numFmtId="2" fontId="79" fillId="0" borderId="0" xfId="8" applyNumberFormat="1" applyFont="1" applyAlignment="1" applyProtection="1">
      <alignment vertical="center"/>
    </xf>
    <xf numFmtId="0" fontId="84" fillId="4" borderId="1" xfId="4" applyFont="1" applyFill="1" applyBorder="1" applyAlignment="1" applyProtection="1">
      <alignment horizontal="left" vertical="center"/>
    </xf>
    <xf numFmtId="0" fontId="84" fillId="4" borderId="1" xfId="4" applyFont="1" applyFill="1" applyBorder="1" applyAlignment="1" applyProtection="1">
      <alignment horizontal="center" vertical="center"/>
    </xf>
    <xf numFmtId="0" fontId="84" fillId="4" borderId="1" xfId="4" applyFont="1" applyFill="1" applyBorder="1" applyAlignment="1" applyProtection="1">
      <alignment vertical="center"/>
    </xf>
    <xf numFmtId="0" fontId="79" fillId="4" borderId="1" xfId="4" applyFont="1" applyFill="1" applyBorder="1" applyAlignment="1" applyProtection="1">
      <alignment horizontal="center" vertical="center"/>
    </xf>
    <xf numFmtId="2" fontId="84" fillId="4" borderId="1" xfId="4" applyNumberFormat="1" applyFont="1" applyFill="1" applyBorder="1" applyAlignment="1" applyProtection="1">
      <alignment horizontal="right" vertical="center"/>
    </xf>
    <xf numFmtId="2" fontId="78" fillId="0" borderId="1" xfId="8" applyNumberFormat="1" applyFont="1" applyBorder="1" applyAlignment="1" applyProtection="1">
      <alignment vertical="center"/>
    </xf>
    <xf numFmtId="2" fontId="82" fillId="0" borderId="0" xfId="8" applyNumberFormat="1" applyFont="1" applyFill="1" applyAlignment="1" applyProtection="1">
      <alignment vertical="center"/>
    </xf>
    <xf numFmtId="0" fontId="82" fillId="0" borderId="0" xfId="8" applyFont="1" applyFill="1" applyAlignment="1" applyProtection="1">
      <alignment vertical="center"/>
    </xf>
    <xf numFmtId="0" fontId="84" fillId="27" borderId="1" xfId="8" applyFont="1" applyFill="1" applyBorder="1" applyAlignment="1" applyProtection="1">
      <alignment horizontal="center" vertical="center"/>
    </xf>
    <xf numFmtId="0" fontId="84" fillId="0" borderId="1" xfId="4" applyFont="1" applyFill="1" applyBorder="1" applyAlignment="1" applyProtection="1">
      <alignment horizontal="left" vertical="center"/>
    </xf>
    <xf numFmtId="0" fontId="84" fillId="0" borderId="1" xfId="4" applyFont="1" applyBorder="1" applyAlignment="1" applyProtection="1">
      <alignment horizontal="left" vertical="center"/>
    </xf>
    <xf numFmtId="0" fontId="84" fillId="0" borderId="1" xfId="4" applyFont="1" applyBorder="1" applyAlignment="1" applyProtection="1">
      <alignment vertical="center" wrapText="1"/>
    </xf>
    <xf numFmtId="0" fontId="84" fillId="0" borderId="1" xfId="8" applyFont="1" applyBorder="1" applyAlignment="1" applyProtection="1">
      <alignment horizontal="center" vertical="center"/>
    </xf>
    <xf numFmtId="0" fontId="57" fillId="0" borderId="1" xfId="8" applyFont="1" applyBorder="1" applyAlignment="1" applyProtection="1">
      <alignment horizontal="center" vertical="center"/>
    </xf>
    <xf numFmtId="43" fontId="84" fillId="0" borderId="1" xfId="1" applyFont="1" applyBorder="1" applyAlignment="1" applyProtection="1">
      <alignment horizontal="right" vertical="center"/>
    </xf>
    <xf numFmtId="2" fontId="84" fillId="2" borderId="1" xfId="4" applyNumberFormat="1" applyFont="1" applyFill="1" applyBorder="1" applyAlignment="1" applyProtection="1">
      <alignment vertical="center"/>
    </xf>
    <xf numFmtId="43" fontId="84" fillId="4" borderId="1" xfId="1" applyFont="1" applyFill="1" applyBorder="1" applyAlignment="1" applyProtection="1">
      <alignment vertical="center"/>
    </xf>
    <xf numFmtId="2" fontId="82" fillId="0" borderId="1" xfId="8" applyNumberFormat="1" applyFont="1" applyBorder="1" applyAlignment="1" applyProtection="1">
      <alignment horizontal="right" vertical="center"/>
    </xf>
    <xf numFmtId="0" fontId="84" fillId="0" borderId="1" xfId="4" applyFont="1" applyFill="1" applyBorder="1" applyAlignment="1" applyProtection="1">
      <alignment vertical="center"/>
    </xf>
    <xf numFmtId="0" fontId="79" fillId="0" borderId="1" xfId="8" applyFont="1" applyBorder="1" applyAlignment="1" applyProtection="1">
      <alignment horizontal="center" vertical="center"/>
    </xf>
    <xf numFmtId="0" fontId="84" fillId="0" borderId="0" xfId="8" applyFont="1" applyAlignment="1" applyProtection="1">
      <alignment vertical="center"/>
    </xf>
    <xf numFmtId="0" fontId="82" fillId="0" borderId="0" xfId="8" applyFont="1" applyAlignment="1" applyProtection="1">
      <alignment horizontal="left" vertical="center"/>
    </xf>
    <xf numFmtId="0" fontId="82" fillId="0" borderId="0" xfId="8" applyFont="1" applyAlignment="1" applyProtection="1">
      <alignment vertical="center" wrapText="1"/>
    </xf>
    <xf numFmtId="0" fontId="57" fillId="0" borderId="0" xfId="8" applyFont="1" applyAlignment="1" applyProtection="1">
      <alignment horizontal="center" vertical="center"/>
    </xf>
    <xf numFmtId="43" fontId="82" fillId="0" borderId="0" xfId="1" applyFont="1" applyAlignment="1" applyProtection="1">
      <alignment horizontal="right" vertical="center"/>
    </xf>
    <xf numFmtId="2" fontId="82" fillId="0" borderId="0" xfId="8" applyNumberFormat="1" applyFont="1" applyAlignment="1" applyProtection="1">
      <alignment horizontal="left" vertical="center"/>
    </xf>
    <xf numFmtId="0" fontId="96" fillId="0" borderId="1" xfId="0" applyFont="1" applyBorder="1" applyAlignment="1" applyProtection="1">
      <alignment horizontal="left" vertical="center" wrapText="1"/>
    </xf>
    <xf numFmtId="43" fontId="96" fillId="0" borderId="1" xfId="1" applyFont="1" applyBorder="1" applyAlignment="1" applyProtection="1">
      <alignment horizontal="left" vertical="center" wrapText="1"/>
    </xf>
    <xf numFmtId="0" fontId="77" fillId="0" borderId="0" xfId="8" applyFont="1" applyFill="1" applyBorder="1" applyAlignment="1" applyProtection="1">
      <alignment horizontal="center" vertical="center" wrapText="1"/>
    </xf>
    <xf numFmtId="0" fontId="92" fillId="0" borderId="0" xfId="0" applyFont="1" applyFill="1" applyBorder="1" applyAlignment="1" applyProtection="1">
      <alignment vertical="center" wrapText="1"/>
    </xf>
    <xf numFmtId="0" fontId="84" fillId="0" borderId="0" xfId="0" applyFont="1" applyFill="1" applyBorder="1" applyAlignment="1" applyProtection="1">
      <alignment vertical="center" wrapText="1"/>
    </xf>
    <xf numFmtId="0" fontId="79" fillId="0" borderId="0" xfId="0" applyFont="1" applyFill="1" applyBorder="1" applyAlignment="1" applyProtection="1">
      <alignment vertical="center" wrapText="1"/>
    </xf>
    <xf numFmtId="0" fontId="79" fillId="0" borderId="0" xfId="8" applyFont="1" applyFill="1" applyBorder="1" applyAlignment="1" applyProtection="1">
      <alignment vertical="center" wrapText="1"/>
    </xf>
    <xf numFmtId="0" fontId="83" fillId="37" borderId="12" xfId="3" applyFont="1" applyFill="1" applyBorder="1" applyAlignment="1" applyProtection="1">
      <alignment horizontal="left" wrapText="1"/>
    </xf>
    <xf numFmtId="0" fontId="83" fillId="23" borderId="12" xfId="3" applyFont="1" applyFill="1" applyBorder="1" applyAlignment="1" applyProtection="1">
      <alignment horizontal="left" vertical="center" wrapText="1"/>
    </xf>
    <xf numFmtId="0" fontId="79" fillId="0" borderId="0" xfId="0" applyFont="1" applyFill="1" applyBorder="1" applyAlignment="1" applyProtection="1">
      <alignment horizontal="center" vertical="center" wrapText="1"/>
    </xf>
    <xf numFmtId="0" fontId="81" fillId="0" borderId="0" xfId="0" applyFont="1" applyFill="1" applyBorder="1" applyAlignment="1" applyProtection="1">
      <alignment horizontal="center" vertical="center" wrapText="1"/>
    </xf>
    <xf numFmtId="43" fontId="81" fillId="0" borderId="0" xfId="1" applyFont="1" applyFill="1" applyBorder="1" applyAlignment="1" applyProtection="1">
      <alignment horizontal="center" vertical="center" wrapText="1"/>
    </xf>
    <xf numFmtId="43" fontId="79" fillId="0" borderId="0" xfId="1" applyFont="1" applyFill="1" applyBorder="1" applyAlignment="1" applyProtection="1">
      <alignment horizontal="center" vertical="center" wrapText="1"/>
    </xf>
    <xf numFmtId="0" fontId="79" fillId="0" borderId="0" xfId="8" applyFont="1" applyFill="1" applyBorder="1" applyAlignment="1" applyProtection="1">
      <alignment horizontal="center" vertical="center" wrapText="1"/>
    </xf>
    <xf numFmtId="0" fontId="82" fillId="0" borderId="0" xfId="8" applyFont="1" applyAlignment="1" applyProtection="1">
      <alignment horizontal="center" vertical="center" wrapText="1"/>
    </xf>
    <xf numFmtId="0" fontId="79" fillId="2" borderId="1" xfId="4" applyFont="1" applyFill="1" applyBorder="1" applyAlignment="1" applyProtection="1">
      <alignment vertical="center" wrapText="1"/>
    </xf>
    <xf numFmtId="2" fontId="84" fillId="2" borderId="1" xfId="4" applyNumberFormat="1" applyFont="1" applyFill="1" applyBorder="1" applyAlignment="1" applyProtection="1">
      <alignment horizontal="right" vertical="center" wrapText="1"/>
    </xf>
    <xf numFmtId="43" fontId="84" fillId="2" borderId="1" xfId="1" applyFont="1" applyFill="1" applyBorder="1" applyAlignment="1" applyProtection="1">
      <alignment horizontal="left" vertical="center" wrapText="1"/>
    </xf>
    <xf numFmtId="0" fontId="82" fillId="4" borderId="1" xfId="8" applyFont="1" applyFill="1" applyBorder="1" applyAlignment="1" applyProtection="1">
      <alignment vertical="center" wrapText="1"/>
    </xf>
    <xf numFmtId="0" fontId="57" fillId="4" borderId="1" xfId="8" applyFont="1" applyFill="1" applyBorder="1" applyAlignment="1" applyProtection="1">
      <alignment vertical="center" wrapText="1"/>
    </xf>
    <xf numFmtId="2" fontId="82" fillId="4" borderId="1" xfId="8" applyNumberFormat="1" applyFont="1" applyFill="1" applyBorder="1" applyAlignment="1" applyProtection="1">
      <alignment horizontal="right" vertical="center" wrapText="1"/>
    </xf>
    <xf numFmtId="2" fontId="84" fillId="4" borderId="1" xfId="8" applyNumberFormat="1" applyFont="1" applyFill="1" applyBorder="1" applyAlignment="1" applyProtection="1">
      <alignment horizontal="right" vertical="center" wrapText="1"/>
    </xf>
    <xf numFmtId="43" fontId="82" fillId="4" borderId="1" xfId="1" applyFont="1" applyFill="1" applyBorder="1" applyAlignment="1" applyProtection="1">
      <alignment horizontal="left" vertical="center" wrapText="1"/>
    </xf>
    <xf numFmtId="0" fontId="106" fillId="44" borderId="1" xfId="0" applyFont="1" applyFill="1" applyBorder="1" applyAlignment="1" applyProtection="1">
      <alignment horizontal="right" vertical="center" wrapText="1"/>
    </xf>
    <xf numFmtId="0" fontId="103" fillId="44" borderId="1" xfId="0" applyFont="1" applyFill="1" applyBorder="1" applyAlignment="1" applyProtection="1">
      <alignment vertical="center" wrapText="1"/>
    </xf>
    <xf numFmtId="0" fontId="82" fillId="0" borderId="0" xfId="8" applyFont="1" applyFill="1" applyAlignment="1" applyProtection="1">
      <alignment horizontal="center" vertical="center" wrapText="1"/>
    </xf>
    <xf numFmtId="0" fontId="84" fillId="27" borderId="1" xfId="8" applyFont="1" applyFill="1" applyBorder="1" applyAlignment="1" applyProtection="1">
      <alignment horizontal="left" vertical="center" wrapText="1"/>
    </xf>
    <xf numFmtId="0" fontId="82" fillId="27" borderId="1" xfId="4" applyFont="1" applyFill="1" applyBorder="1" applyAlignment="1" applyProtection="1">
      <alignment vertical="center" wrapText="1"/>
    </xf>
    <xf numFmtId="0" fontId="84" fillId="27" borderId="1" xfId="4" applyFont="1" applyFill="1" applyBorder="1" applyAlignment="1" applyProtection="1">
      <alignment vertical="center" wrapText="1"/>
    </xf>
    <xf numFmtId="0" fontId="82" fillId="27" borderId="1" xfId="8" applyFont="1" applyFill="1" applyBorder="1" applyAlignment="1" applyProtection="1">
      <alignment horizontal="center" vertical="center" wrapText="1"/>
    </xf>
    <xf numFmtId="0" fontId="82" fillId="27" borderId="1" xfId="8" applyFont="1" applyFill="1" applyBorder="1" applyAlignment="1" applyProtection="1">
      <alignment vertical="center" wrapText="1"/>
    </xf>
    <xf numFmtId="43" fontId="82" fillId="27" borderId="1" xfId="1" applyFont="1" applyFill="1" applyBorder="1" applyAlignment="1" applyProtection="1">
      <alignment horizontal="right" vertical="center" wrapText="1"/>
    </xf>
    <xf numFmtId="0" fontId="84" fillId="27" borderId="1" xfId="8" applyFont="1" applyFill="1" applyBorder="1" applyAlignment="1" applyProtection="1">
      <alignment horizontal="center" vertical="center" wrapText="1"/>
    </xf>
    <xf numFmtId="0" fontId="82" fillId="27" borderId="5" xfId="8" applyFont="1" applyFill="1" applyBorder="1" applyAlignment="1" applyProtection="1">
      <alignment horizontal="left" vertical="center" wrapText="1"/>
    </xf>
    <xf numFmtId="0" fontId="103" fillId="47" borderId="1" xfId="0" applyFont="1" applyFill="1" applyBorder="1" applyAlignment="1" applyProtection="1">
      <alignment vertical="center" wrapText="1"/>
    </xf>
    <xf numFmtId="2" fontId="82" fillId="0" borderId="0" xfId="8" applyNumberFormat="1" applyFont="1" applyFill="1" applyAlignment="1" applyProtection="1">
      <alignment vertical="center" wrapText="1"/>
    </xf>
    <xf numFmtId="0" fontId="82" fillId="0" borderId="0" xfId="8" applyFont="1" applyFill="1" applyAlignment="1" applyProtection="1">
      <alignment vertical="center" wrapText="1"/>
    </xf>
    <xf numFmtId="0" fontId="82" fillId="0" borderId="1" xfId="4" applyFont="1" applyFill="1" applyBorder="1" applyAlignment="1" applyProtection="1">
      <alignment horizontal="center" vertical="center" wrapText="1"/>
    </xf>
    <xf numFmtId="0" fontId="57" fillId="0" borderId="1" xfId="8" applyFont="1" applyBorder="1" applyAlignment="1" applyProtection="1">
      <alignment horizontal="center" vertical="center" wrapText="1"/>
    </xf>
    <xf numFmtId="2" fontId="82" fillId="0" borderId="0" xfId="8" applyNumberFormat="1" applyFont="1" applyAlignment="1" applyProtection="1">
      <alignment vertical="center" wrapText="1"/>
    </xf>
    <xf numFmtId="2" fontId="79" fillId="0" borderId="0" xfId="8" applyNumberFormat="1" applyFont="1" applyAlignment="1" applyProtection="1">
      <alignment vertical="center" wrapText="1"/>
    </xf>
    <xf numFmtId="0" fontId="57" fillId="0" borderId="0" xfId="8" applyFont="1" applyAlignment="1" applyProtection="1">
      <alignment wrapText="1"/>
    </xf>
    <xf numFmtId="0" fontId="82" fillId="0" borderId="1" xfId="9" applyFont="1" applyBorder="1" applyAlignment="1" applyProtection="1">
      <alignment horizontal="center" vertical="center" wrapText="1"/>
    </xf>
    <xf numFmtId="0" fontId="84" fillId="0" borderId="1" xfId="4" applyFont="1" applyFill="1" applyBorder="1" applyAlignment="1" applyProtection="1">
      <alignment horizontal="left" vertical="center" wrapText="1"/>
    </xf>
    <xf numFmtId="0" fontId="82" fillId="0" borderId="1" xfId="4" applyFont="1" applyBorder="1" applyAlignment="1" applyProtection="1">
      <alignment horizontal="center" vertical="center" wrapText="1"/>
    </xf>
    <xf numFmtId="0" fontId="82" fillId="0" borderId="3" xfId="8" applyFont="1" applyBorder="1" applyAlignment="1" applyProtection="1">
      <alignment horizontal="center" vertical="center" wrapText="1"/>
    </xf>
    <xf numFmtId="0" fontId="82" fillId="0" borderId="1" xfId="8" applyFont="1" applyFill="1" applyBorder="1" applyAlignment="1" applyProtection="1">
      <alignment vertical="center" wrapText="1"/>
    </xf>
    <xf numFmtId="0" fontId="84" fillId="27" borderId="1" xfId="4" applyFont="1" applyFill="1" applyBorder="1" applyAlignment="1" applyProtection="1">
      <alignment horizontal="left" vertical="center" wrapText="1"/>
    </xf>
    <xf numFmtId="0" fontId="84" fillId="27" borderId="1" xfId="8" applyFont="1" applyFill="1" applyBorder="1" applyAlignment="1" applyProtection="1">
      <alignment vertical="center" wrapText="1"/>
    </xf>
    <xf numFmtId="0" fontId="106" fillId="47" borderId="1" xfId="0" applyFont="1" applyFill="1" applyBorder="1" applyAlignment="1" applyProtection="1">
      <alignment vertical="center" wrapText="1"/>
    </xf>
    <xf numFmtId="43" fontId="82" fillId="4" borderId="1" xfId="1" applyFont="1" applyFill="1" applyBorder="1" applyAlignment="1" applyProtection="1">
      <alignment horizontal="right" vertical="center" wrapText="1"/>
    </xf>
    <xf numFmtId="2" fontId="82" fillId="0" borderId="1" xfId="4" applyNumberFormat="1" applyFont="1" applyBorder="1" applyAlignment="1" applyProtection="1">
      <alignment vertical="center" wrapText="1"/>
    </xf>
    <xf numFmtId="0" fontId="57" fillId="0" borderId="1" xfId="8" applyFont="1" applyFill="1" applyBorder="1" applyAlignment="1" applyProtection="1">
      <alignment horizontal="center" vertical="center" wrapText="1"/>
    </xf>
    <xf numFmtId="0" fontId="57" fillId="0" borderId="1" xfId="9" applyFont="1" applyFill="1" applyBorder="1" applyAlignment="1" applyProtection="1">
      <alignment horizontal="left" vertical="center" wrapText="1"/>
    </xf>
    <xf numFmtId="0" fontId="82" fillId="0" borderId="1" xfId="0" applyFont="1" applyFill="1" applyBorder="1" applyAlignment="1" applyProtection="1">
      <alignment vertical="center" wrapText="1"/>
    </xf>
    <xf numFmtId="0" fontId="57" fillId="0" borderId="1" xfId="104" applyFont="1" applyBorder="1" applyAlignment="1" applyProtection="1">
      <alignment horizontal="left" vertical="top" wrapText="1"/>
    </xf>
    <xf numFmtId="43" fontId="84" fillId="0" borderId="1" xfId="1" applyFont="1" applyFill="1" applyBorder="1" applyAlignment="1" applyProtection="1">
      <alignment horizontal="right" vertical="center" wrapText="1"/>
    </xf>
    <xf numFmtId="0" fontId="79" fillId="27" borderId="1" xfId="8" applyFont="1" applyFill="1" applyBorder="1" applyAlignment="1" applyProtection="1">
      <alignment horizontal="left" vertical="center" wrapText="1"/>
    </xf>
    <xf numFmtId="0" fontId="79" fillId="27" borderId="1" xfId="4" applyFont="1" applyFill="1" applyBorder="1" applyAlignment="1" applyProtection="1">
      <alignment horizontal="left" vertical="center" wrapText="1"/>
    </xf>
    <xf numFmtId="0" fontId="78" fillId="0" borderId="1" xfId="9" applyFont="1" applyFill="1" applyBorder="1" applyAlignment="1" applyProtection="1">
      <alignment vertical="center" wrapText="1"/>
    </xf>
    <xf numFmtId="0" fontId="78" fillId="0" borderId="1" xfId="9" applyFont="1" applyFill="1" applyBorder="1" applyAlignment="1" applyProtection="1">
      <alignment horizontal="center" vertical="center" wrapText="1"/>
    </xf>
    <xf numFmtId="0" fontId="82" fillId="4" borderId="1" xfId="4" applyFont="1" applyFill="1" applyBorder="1" applyAlignment="1" applyProtection="1">
      <alignment vertical="center" wrapText="1"/>
    </xf>
    <xf numFmtId="0" fontId="82" fillId="4" borderId="5" xfId="8" applyFont="1" applyFill="1" applyBorder="1" applyAlignment="1" applyProtection="1">
      <alignment horizontal="left" vertical="center" wrapText="1"/>
    </xf>
    <xf numFmtId="0" fontId="57" fillId="0" borderId="0" xfId="8" applyFont="1" applyAlignment="1" applyProtection="1">
      <alignment vertical="center" wrapText="1"/>
    </xf>
    <xf numFmtId="2" fontId="57" fillId="0" borderId="0" xfId="8" applyNumberFormat="1" applyFont="1" applyAlignment="1" applyProtection="1">
      <alignment vertical="center" wrapText="1"/>
    </xf>
    <xf numFmtId="2" fontId="57" fillId="0" borderId="0" xfId="8" applyNumberFormat="1" applyFont="1" applyAlignment="1" applyProtection="1">
      <alignment wrapText="1"/>
    </xf>
    <xf numFmtId="0" fontId="82" fillId="2" borderId="1" xfId="4" applyFont="1" applyFill="1" applyBorder="1" applyAlignment="1" applyProtection="1">
      <alignment vertical="center" wrapText="1"/>
    </xf>
    <xf numFmtId="0" fontId="84" fillId="27" borderId="1" xfId="4" applyFont="1" applyFill="1" applyBorder="1" applyAlignment="1" applyProtection="1">
      <alignment horizontal="center" vertical="center" wrapText="1"/>
    </xf>
    <xf numFmtId="0" fontId="84" fillId="27" borderId="5" xfId="4" applyFont="1" applyFill="1" applyBorder="1" applyAlignment="1" applyProtection="1">
      <alignment horizontal="left" vertical="center" wrapText="1"/>
    </xf>
    <xf numFmtId="2" fontId="57" fillId="0" borderId="0" xfId="8" applyNumberFormat="1" applyFont="1" applyFill="1" applyAlignment="1" applyProtection="1">
      <alignment wrapText="1"/>
    </xf>
    <xf numFmtId="0" fontId="57" fillId="0" borderId="0" xfId="8" applyFont="1" applyFill="1" applyAlignment="1" applyProtection="1">
      <alignment wrapText="1"/>
    </xf>
    <xf numFmtId="0" fontId="82" fillId="27" borderId="1" xfId="4" applyFont="1" applyFill="1" applyBorder="1" applyAlignment="1" applyProtection="1">
      <alignment horizontal="left" vertical="center" wrapText="1"/>
    </xf>
    <xf numFmtId="0" fontId="57" fillId="0" borderId="1" xfId="40" applyFont="1" applyFill="1" applyBorder="1" applyAlignment="1" applyProtection="1">
      <alignment horizontal="left" vertical="center" wrapText="1"/>
    </xf>
    <xf numFmtId="2" fontId="82" fillId="0" borderId="1" xfId="4" applyNumberFormat="1" applyFont="1" applyFill="1" applyBorder="1" applyAlignment="1" applyProtection="1">
      <alignment vertical="center" wrapText="1"/>
    </xf>
    <xf numFmtId="2" fontId="79" fillId="0" borderId="0" xfId="8" applyNumberFormat="1" applyFont="1" applyFill="1" applyAlignment="1" applyProtection="1">
      <alignment vertical="center" wrapText="1"/>
    </xf>
    <xf numFmtId="0" fontId="84" fillId="0" borderId="0" xfId="8" applyFont="1" applyFill="1" applyAlignment="1" applyProtection="1">
      <alignment vertical="center" wrapText="1"/>
    </xf>
    <xf numFmtId="0" fontId="79" fillId="27" borderId="1" xfId="8" applyFont="1" applyFill="1" applyBorder="1" applyAlignment="1" applyProtection="1">
      <alignment horizontal="center" vertical="center" wrapText="1"/>
    </xf>
    <xf numFmtId="0" fontId="82" fillId="0" borderId="0" xfId="8" applyFont="1" applyAlignment="1" applyProtection="1">
      <alignment horizontal="left" vertical="center" wrapText="1"/>
    </xf>
    <xf numFmtId="2" fontId="82" fillId="0" borderId="0" xfId="8" applyNumberFormat="1" applyFont="1" applyAlignment="1" applyProtection="1">
      <alignment horizontal="left" vertical="center" wrapText="1"/>
    </xf>
    <xf numFmtId="43" fontId="82" fillId="0" borderId="0" xfId="1" applyFont="1" applyAlignment="1" applyProtection="1">
      <alignment vertical="center" wrapText="1"/>
    </xf>
    <xf numFmtId="43" fontId="82" fillId="0" borderId="0" xfId="1" applyFont="1" applyFill="1" applyAlignment="1" applyProtection="1">
      <alignment vertical="center" wrapText="1"/>
    </xf>
    <xf numFmtId="0" fontId="84" fillId="0" borderId="0" xfId="8" applyFont="1" applyAlignment="1" applyProtection="1">
      <alignment vertical="center" wrapText="1"/>
    </xf>
    <xf numFmtId="43" fontId="84" fillId="0" borderId="0" xfId="1" applyFont="1" applyAlignment="1" applyProtection="1">
      <alignment vertical="center" wrapText="1"/>
    </xf>
    <xf numFmtId="2" fontId="82" fillId="4" borderId="1" xfId="8" applyNumberFormat="1" applyFont="1" applyFill="1" applyBorder="1" applyAlignment="1" applyProtection="1">
      <alignment horizontal="right" vertical="center" wrapText="1"/>
      <protection locked="0"/>
    </xf>
    <xf numFmtId="0" fontId="82" fillId="27" borderId="1" xfId="8" applyFont="1" applyFill="1" applyBorder="1" applyAlignment="1" applyProtection="1">
      <alignment horizontal="center" vertical="center" wrapText="1"/>
      <protection locked="0"/>
    </xf>
    <xf numFmtId="2" fontId="82" fillId="4" borderId="5" xfId="8" applyNumberFormat="1" applyFont="1" applyFill="1" applyBorder="1" applyAlignment="1" applyProtection="1">
      <alignment horizontal="left" vertical="center" wrapText="1"/>
      <protection locked="0"/>
    </xf>
    <xf numFmtId="0" fontId="82" fillId="0" borderId="0" xfId="8" applyFont="1" applyAlignment="1" applyProtection="1">
      <alignment horizontal="left" vertical="center" wrapText="1"/>
      <protection locked="0"/>
    </xf>
    <xf numFmtId="0" fontId="82" fillId="0" borderId="0" xfId="8" applyFont="1" applyFill="1" applyAlignment="1" applyProtection="1">
      <alignment vertical="center" wrapText="1"/>
      <protection locked="0"/>
    </xf>
    <xf numFmtId="0" fontId="84" fillId="0" borderId="0" xfId="8" applyFont="1" applyAlignment="1" applyProtection="1">
      <alignment vertical="center" wrapText="1"/>
      <protection locked="0"/>
    </xf>
    <xf numFmtId="0" fontId="77" fillId="15" borderId="1" xfId="8" applyFont="1" applyFill="1" applyBorder="1" applyAlignment="1" applyProtection="1">
      <alignment vertical="center" wrapText="1"/>
    </xf>
    <xf numFmtId="0" fontId="82" fillId="0" borderId="0" xfId="0" applyFont="1" applyProtection="1"/>
    <xf numFmtId="0" fontId="79" fillId="0" borderId="1" xfId="0" applyFont="1" applyFill="1" applyBorder="1" applyAlignment="1" applyProtection="1">
      <alignment vertical="center" wrapText="1"/>
    </xf>
    <xf numFmtId="0" fontId="85" fillId="28" borderId="1" xfId="0" applyFont="1" applyFill="1" applyBorder="1" applyAlignment="1" applyProtection="1">
      <alignment horizontal="center" vertical="center" wrapText="1"/>
    </xf>
    <xf numFmtId="2" fontId="79" fillId="0" borderId="1" xfId="3" applyNumberFormat="1" applyFont="1" applyFill="1" applyBorder="1" applyProtection="1"/>
    <xf numFmtId="0" fontId="82" fillId="0" borderId="0" xfId="0" applyFont="1" applyAlignment="1" applyProtection="1">
      <alignment horizontal="center" vertical="center"/>
    </xf>
    <xf numFmtId="2" fontId="84" fillId="23" borderId="1" xfId="38" applyNumberFormat="1" applyFont="1" applyFill="1" applyBorder="1" applyAlignment="1" applyProtection="1">
      <alignment horizontal="center" vertical="center" wrapText="1"/>
    </xf>
    <xf numFmtId="2" fontId="84" fillId="5" borderId="1" xfId="38" applyNumberFormat="1" applyFont="1" applyFill="1" applyBorder="1" applyAlignment="1" applyProtection="1">
      <alignment horizontal="center" vertical="center" wrapText="1"/>
    </xf>
    <xf numFmtId="2" fontId="77" fillId="7" borderId="1" xfId="8" applyNumberFormat="1" applyFont="1" applyFill="1" applyBorder="1" applyAlignment="1" applyProtection="1">
      <alignment horizontal="left" vertical="center" wrapText="1"/>
    </xf>
    <xf numFmtId="0" fontId="77" fillId="7" borderId="1" xfId="8" applyFont="1" applyFill="1" applyBorder="1" applyAlignment="1" applyProtection="1">
      <alignment horizontal="left" wrapText="1"/>
    </xf>
    <xf numFmtId="2" fontId="84" fillId="2" borderId="1" xfId="4" applyNumberFormat="1" applyFont="1" applyFill="1" applyBorder="1" applyAlignment="1" applyProtection="1">
      <alignment horizontal="left" vertical="center" wrapText="1"/>
    </xf>
    <xf numFmtId="0" fontId="84" fillId="2" borderId="1" xfId="4" applyFont="1" applyFill="1" applyBorder="1" applyAlignment="1" applyProtection="1">
      <alignment horizontal="right" vertical="center" wrapText="1"/>
    </xf>
    <xf numFmtId="0" fontId="84" fillId="2" borderId="1" xfId="4" applyFont="1" applyFill="1" applyBorder="1" applyAlignment="1" applyProtection="1">
      <alignment horizontal="left" wrapText="1"/>
    </xf>
    <xf numFmtId="0" fontId="82" fillId="0" borderId="1" xfId="11" applyFont="1" applyBorder="1" applyAlignment="1" applyProtection="1">
      <alignment horizontal="left" vertical="center"/>
    </xf>
    <xf numFmtId="0" fontId="82" fillId="0" borderId="1" xfId="11" applyFont="1" applyBorder="1" applyAlignment="1" applyProtection="1">
      <alignment horizontal="center" vertical="center"/>
    </xf>
    <xf numFmtId="2" fontId="84" fillId="0" borderId="1" xfId="11" applyNumberFormat="1" applyFont="1" applyBorder="1" applyAlignment="1" applyProtection="1">
      <alignment vertical="center" wrapText="1"/>
    </xf>
    <xf numFmtId="2" fontId="82" fillId="0" borderId="0" xfId="0" applyNumberFormat="1" applyFont="1" applyProtection="1"/>
    <xf numFmtId="43" fontId="79" fillId="0" borderId="1" xfId="1" applyFont="1" applyFill="1" applyBorder="1" applyAlignment="1" applyProtection="1">
      <alignment horizontal="left" vertical="center" wrapText="1"/>
    </xf>
    <xf numFmtId="0" fontId="104" fillId="43" borderId="1" xfId="0" applyFont="1" applyFill="1" applyBorder="1" applyAlignment="1" applyProtection="1">
      <alignment horizontal="center" vertical="center" wrapText="1"/>
    </xf>
    <xf numFmtId="0" fontId="80" fillId="7" borderId="1" xfId="8" applyFont="1" applyFill="1" applyBorder="1" applyAlignment="1" applyProtection="1">
      <alignment horizontal="center" vertical="center" wrapText="1"/>
    </xf>
    <xf numFmtId="43" fontId="79" fillId="7" borderId="1" xfId="1" applyFont="1" applyFill="1" applyBorder="1" applyAlignment="1" applyProtection="1">
      <alignment horizontal="right" vertical="center" wrapText="1"/>
    </xf>
    <xf numFmtId="0" fontId="79" fillId="7" borderId="1" xfId="8" applyFont="1" applyFill="1" applyBorder="1" applyAlignment="1" applyProtection="1">
      <alignment horizontal="center" vertical="center" wrapText="1"/>
    </xf>
    <xf numFmtId="0" fontId="105" fillId="30" borderId="1" xfId="0" applyFont="1" applyFill="1" applyBorder="1" applyAlignment="1" applyProtection="1">
      <alignment horizontal="left" vertical="center" wrapText="1"/>
    </xf>
    <xf numFmtId="0" fontId="82" fillId="2" borderId="1" xfId="8" applyFont="1" applyFill="1" applyBorder="1" applyAlignment="1" applyProtection="1">
      <alignment horizontal="center" vertical="center" wrapText="1"/>
    </xf>
    <xf numFmtId="0" fontId="82" fillId="2" borderId="1" xfId="8" applyFont="1" applyFill="1" applyBorder="1" applyAlignment="1" applyProtection="1">
      <alignment vertical="center" wrapText="1"/>
    </xf>
    <xf numFmtId="43" fontId="57" fillId="2" borderId="1" xfId="1" applyFont="1" applyFill="1" applyBorder="1" applyAlignment="1" applyProtection="1">
      <alignment horizontal="right" vertical="center" wrapText="1"/>
    </xf>
    <xf numFmtId="0" fontId="79" fillId="2" borderId="1" xfId="8" applyFont="1" applyFill="1" applyBorder="1" applyAlignment="1" applyProtection="1">
      <alignment vertical="center" wrapText="1"/>
    </xf>
    <xf numFmtId="0" fontId="82" fillId="2" borderId="5" xfId="8" applyFont="1" applyFill="1" applyBorder="1" applyAlignment="1" applyProtection="1">
      <alignment horizontal="left" vertical="center" wrapText="1"/>
    </xf>
    <xf numFmtId="0" fontId="103" fillId="32" borderId="1" xfId="0" applyFont="1" applyFill="1" applyBorder="1" applyAlignment="1" applyProtection="1">
      <alignment horizontal="left" vertical="center" wrapText="1"/>
    </xf>
    <xf numFmtId="0" fontId="84" fillId="4" borderId="1" xfId="8" applyFont="1" applyFill="1" applyBorder="1" applyAlignment="1" applyProtection="1">
      <alignment vertical="center" wrapText="1"/>
    </xf>
    <xf numFmtId="43" fontId="57" fillId="4" borderId="1" xfId="1" applyFont="1" applyFill="1" applyBorder="1" applyAlignment="1" applyProtection="1">
      <alignment horizontal="right" vertical="center" wrapText="1"/>
    </xf>
    <xf numFmtId="0" fontId="79" fillId="4" borderId="1" xfId="8" applyFont="1" applyFill="1" applyBorder="1" applyAlignment="1" applyProtection="1">
      <alignment vertical="center" wrapText="1"/>
    </xf>
    <xf numFmtId="0" fontId="103" fillId="44" borderId="1" xfId="0" applyFont="1" applyFill="1" applyBorder="1" applyAlignment="1" applyProtection="1">
      <alignment horizontal="left" vertical="center" wrapText="1"/>
    </xf>
    <xf numFmtId="0" fontId="84" fillId="3" borderId="1" xfId="8" applyFont="1" applyFill="1" applyBorder="1" applyAlignment="1" applyProtection="1">
      <alignment vertical="center" wrapText="1"/>
    </xf>
    <xf numFmtId="0" fontId="82" fillId="3" borderId="1" xfId="4" applyFont="1" applyFill="1" applyBorder="1" applyAlignment="1" applyProtection="1">
      <alignment vertical="center" wrapText="1"/>
    </xf>
    <xf numFmtId="0" fontId="84" fillId="3" borderId="1" xfId="4" applyFont="1" applyFill="1" applyBorder="1" applyAlignment="1" applyProtection="1">
      <alignment vertical="center" wrapText="1"/>
    </xf>
    <xf numFmtId="0" fontId="82" fillId="3" borderId="1" xfId="8" applyFont="1" applyFill="1" applyBorder="1" applyAlignment="1" applyProtection="1">
      <alignment horizontal="center" vertical="center" wrapText="1"/>
    </xf>
    <xf numFmtId="0" fontId="82" fillId="3" borderId="1" xfId="8" applyFont="1" applyFill="1" applyBorder="1" applyAlignment="1" applyProtection="1">
      <alignment vertical="center" wrapText="1"/>
    </xf>
    <xf numFmtId="43" fontId="57" fillId="3" borderId="1" xfId="1" applyFont="1" applyFill="1" applyBorder="1" applyAlignment="1" applyProtection="1">
      <alignment horizontal="right" vertical="center" wrapText="1"/>
    </xf>
    <xf numFmtId="0" fontId="79" fillId="3" borderId="1" xfId="8" applyFont="1" applyFill="1" applyBorder="1" applyAlignment="1" applyProtection="1">
      <alignment vertical="center" wrapText="1"/>
    </xf>
    <xf numFmtId="43" fontId="79" fillId="3" borderId="1" xfId="1" applyFont="1" applyFill="1" applyBorder="1" applyAlignment="1" applyProtection="1">
      <alignment horizontal="right" vertical="center" wrapText="1"/>
    </xf>
    <xf numFmtId="0" fontId="82" fillId="3" borderId="5" xfId="8" applyFont="1" applyFill="1" applyBorder="1" applyAlignment="1" applyProtection="1">
      <alignment horizontal="left" vertical="center" wrapText="1"/>
    </xf>
    <xf numFmtId="0" fontId="103" fillId="48" borderId="1" xfId="0" applyFont="1" applyFill="1" applyBorder="1" applyAlignment="1" applyProtection="1">
      <alignment horizontal="left" vertical="center" wrapText="1"/>
    </xf>
    <xf numFmtId="0" fontId="91" fillId="0" borderId="1" xfId="0" applyFont="1" applyBorder="1" applyAlignment="1" applyProtection="1">
      <alignment horizontal="left" vertical="center" wrapText="1"/>
    </xf>
    <xf numFmtId="0" fontId="82" fillId="0" borderId="1" xfId="0" applyFont="1" applyBorder="1" applyProtection="1"/>
    <xf numFmtId="0" fontId="78" fillId="0" borderId="1" xfId="38" applyFont="1" applyFill="1" applyBorder="1" applyAlignment="1" applyProtection="1">
      <alignment horizontal="center" vertical="center" wrapText="1"/>
    </xf>
    <xf numFmtId="0" fontId="103" fillId="0" borderId="1" xfId="0" applyFont="1" applyFill="1" applyBorder="1" applyAlignment="1" applyProtection="1">
      <alignment horizontal="left" vertical="center" wrapText="1"/>
    </xf>
    <xf numFmtId="0" fontId="82" fillId="0" borderId="1" xfId="0" applyFont="1" applyBorder="1" applyAlignment="1" applyProtection="1">
      <alignment vertical="center"/>
    </xf>
    <xf numFmtId="0" fontId="55" fillId="0" borderId="1" xfId="0" applyFont="1" applyBorder="1" applyAlignment="1" applyProtection="1">
      <alignment wrapText="1"/>
    </xf>
    <xf numFmtId="0" fontId="79" fillId="4" borderId="1" xfId="8" applyFont="1" applyFill="1" applyBorder="1" applyAlignment="1" applyProtection="1">
      <alignment horizontal="center" vertical="center" wrapText="1"/>
    </xf>
    <xf numFmtId="2" fontId="82" fillId="3" borderId="1" xfId="4" applyNumberFormat="1" applyFont="1" applyFill="1" applyBorder="1" applyAlignment="1" applyProtection="1">
      <alignment vertical="center" wrapText="1"/>
    </xf>
    <xf numFmtId="2" fontId="84" fillId="3" borderId="1" xfId="4" applyNumberFormat="1" applyFont="1" applyFill="1" applyBorder="1" applyAlignment="1" applyProtection="1">
      <alignment vertical="center" wrapText="1"/>
    </xf>
    <xf numFmtId="0" fontId="82" fillId="0" borderId="1" xfId="87" applyFont="1" applyBorder="1" applyAlignment="1" applyProtection="1">
      <alignment horizontal="left" vertical="center"/>
    </xf>
    <xf numFmtId="0" fontId="96" fillId="0" borderId="0" xfId="0" applyFont="1" applyAlignment="1" applyProtection="1">
      <alignment wrapText="1"/>
    </xf>
    <xf numFmtId="0" fontId="57" fillId="0" borderId="1" xfId="87" applyFont="1" applyBorder="1" applyAlignment="1" applyProtection="1">
      <alignment horizontal="center" vertical="center" wrapText="1"/>
    </xf>
    <xf numFmtId="0" fontId="103" fillId="0" borderId="1" xfId="0" applyFont="1" applyBorder="1" applyAlignment="1" applyProtection="1">
      <alignment horizontal="left" vertical="center"/>
    </xf>
    <xf numFmtId="0" fontId="103" fillId="45" borderId="1" xfId="0" applyFont="1" applyFill="1" applyBorder="1" applyAlignment="1" applyProtection="1">
      <alignment horizontal="left" vertical="center" wrapText="1"/>
      <protection locked="0"/>
    </xf>
    <xf numFmtId="0" fontId="91" fillId="10" borderId="1" xfId="0" applyFont="1" applyFill="1" applyBorder="1" applyAlignment="1" applyProtection="1">
      <alignment horizontal="left" vertical="center" wrapText="1"/>
      <protection locked="0"/>
    </xf>
    <xf numFmtId="0" fontId="103" fillId="45" borderId="1" xfId="0" applyFont="1" applyFill="1" applyBorder="1" applyAlignment="1" applyProtection="1">
      <alignment horizontal="left" vertical="center"/>
      <protection locked="0"/>
    </xf>
    <xf numFmtId="0" fontId="57" fillId="0" borderId="0" xfId="62" applyFont="1" applyAlignment="1" applyProtection="1">
      <alignment vertical="center"/>
    </xf>
    <xf numFmtId="0" fontId="57" fillId="0" borderId="0" xfId="62" applyFont="1" applyFill="1" applyAlignment="1" applyProtection="1">
      <alignment vertical="center"/>
    </xf>
    <xf numFmtId="0" fontId="57" fillId="0" borderId="0" xfId="62" applyFont="1" applyAlignment="1" applyProtection="1">
      <alignment horizontal="center" vertical="center"/>
    </xf>
    <xf numFmtId="0" fontId="57" fillId="0" borderId="0" xfId="11" applyFont="1" applyAlignment="1" applyProtection="1">
      <alignment horizontal="center" vertical="center" wrapText="1"/>
    </xf>
    <xf numFmtId="0" fontId="80" fillId="7" borderId="1" xfId="11" applyFont="1" applyFill="1" applyBorder="1" applyAlignment="1" applyProtection="1">
      <alignment horizontal="center" vertical="center" wrapText="1"/>
    </xf>
    <xf numFmtId="0" fontId="84" fillId="7" borderId="1" xfId="11" applyFont="1" applyFill="1" applyBorder="1" applyAlignment="1" applyProtection="1">
      <alignment horizontal="left" vertical="center" wrapText="1"/>
    </xf>
    <xf numFmtId="0" fontId="84" fillId="7" borderId="1" xfId="11" applyFont="1" applyFill="1" applyBorder="1" applyAlignment="1" applyProtection="1">
      <alignment horizontal="center" vertical="center" wrapText="1"/>
    </xf>
    <xf numFmtId="43" fontId="84" fillId="7" borderId="1" xfId="1" applyFont="1" applyFill="1" applyBorder="1" applyAlignment="1" applyProtection="1">
      <alignment horizontal="right" vertical="center" wrapText="1"/>
    </xf>
    <xf numFmtId="0" fontId="57" fillId="0" borderId="0" xfId="11" applyFont="1" applyAlignment="1" applyProtection="1">
      <alignment vertical="center" wrapText="1"/>
    </xf>
    <xf numFmtId="0" fontId="79" fillId="2" borderId="1" xfId="4" applyFont="1" applyFill="1" applyBorder="1" applyAlignment="1" applyProtection="1">
      <alignment horizontal="left" vertical="center" wrapText="1"/>
    </xf>
    <xf numFmtId="0" fontId="57" fillId="2" borderId="1" xfId="4" applyFont="1" applyFill="1" applyBorder="1" applyAlignment="1" applyProtection="1">
      <alignment horizontal="left" vertical="center" wrapText="1"/>
    </xf>
    <xf numFmtId="0" fontId="79" fillId="35" borderId="1" xfId="11" applyFont="1" applyFill="1" applyBorder="1" applyAlignment="1" applyProtection="1">
      <alignment horizontal="left" vertical="center" wrapText="1"/>
    </xf>
    <xf numFmtId="0" fontId="57" fillId="35" borderId="1" xfId="4" applyFont="1" applyFill="1" applyBorder="1" applyAlignment="1" applyProtection="1">
      <alignment vertical="center" wrapText="1"/>
    </xf>
    <xf numFmtId="0" fontId="79" fillId="35" borderId="1" xfId="4" applyFont="1" applyFill="1" applyBorder="1" applyAlignment="1" applyProtection="1">
      <alignment vertical="center" wrapText="1"/>
    </xf>
    <xf numFmtId="0" fontId="82" fillId="35" borderId="1" xfId="4" applyFont="1" applyFill="1" applyBorder="1" applyAlignment="1" applyProtection="1">
      <alignment horizontal="center" vertical="center" wrapText="1"/>
    </xf>
    <xf numFmtId="0" fontId="84" fillId="35" borderId="1" xfId="4" applyFont="1" applyFill="1" applyBorder="1" applyAlignment="1" applyProtection="1">
      <alignment vertical="center" wrapText="1"/>
    </xf>
    <xf numFmtId="0" fontId="84" fillId="35" borderId="1" xfId="4" applyFont="1" applyFill="1" applyBorder="1" applyAlignment="1" applyProtection="1">
      <alignment horizontal="center" vertical="center" wrapText="1"/>
    </xf>
    <xf numFmtId="43" fontId="84" fillId="35" borderId="1" xfId="1" applyFont="1" applyFill="1" applyBorder="1" applyAlignment="1" applyProtection="1">
      <alignment horizontal="right" vertical="center" wrapText="1"/>
    </xf>
    <xf numFmtId="0" fontId="84" fillId="35" borderId="1" xfId="4" applyFont="1" applyFill="1" applyBorder="1" applyAlignment="1" applyProtection="1">
      <alignment horizontal="left" vertical="center" wrapText="1"/>
    </xf>
    <xf numFmtId="0" fontId="57" fillId="0" borderId="0" xfId="87" applyFont="1" applyAlignment="1" applyProtection="1">
      <alignment vertical="center" wrapText="1"/>
    </xf>
    <xf numFmtId="0" fontId="79" fillId="28" borderId="1" xfId="87" applyFont="1" applyFill="1" applyBorder="1" applyAlignment="1" applyProtection="1">
      <alignment horizontal="center" vertical="center"/>
    </xf>
    <xf numFmtId="0" fontId="57" fillId="0" borderId="0" xfId="87" applyFont="1" applyFill="1" applyAlignment="1" applyProtection="1">
      <alignment vertical="center"/>
    </xf>
    <xf numFmtId="0" fontId="57" fillId="0" borderId="0" xfId="87" applyFont="1" applyAlignment="1" applyProtection="1">
      <alignment vertical="center"/>
    </xf>
    <xf numFmtId="0" fontId="57" fillId="0" borderId="1" xfId="87" applyFont="1" applyFill="1" applyBorder="1" applyAlignment="1" applyProtection="1">
      <alignment horizontal="center" vertical="center" wrapText="1"/>
    </xf>
    <xf numFmtId="0" fontId="55" fillId="0" borderId="1" xfId="4" applyFont="1" applyFill="1" applyBorder="1" applyAlignment="1" applyProtection="1">
      <alignment vertical="center" wrapText="1"/>
    </xf>
    <xf numFmtId="0" fontId="56" fillId="0" borderId="1" xfId="87" applyFont="1" applyFill="1" applyBorder="1" applyAlignment="1" applyProtection="1">
      <alignment horizontal="center" vertical="center" wrapText="1"/>
    </xf>
    <xf numFmtId="0" fontId="84" fillId="10" borderId="1" xfId="4" applyFont="1" applyFill="1" applyBorder="1" applyAlignment="1" applyProtection="1">
      <alignment horizontal="center" vertical="center" wrapText="1"/>
    </xf>
    <xf numFmtId="49" fontId="57" fillId="0" borderId="1" xfId="4" applyNumberFormat="1" applyFont="1" applyFill="1" applyBorder="1" applyAlignment="1" applyProtection="1">
      <alignment vertical="center" wrapText="1"/>
    </xf>
    <xf numFmtId="43" fontId="82" fillId="0" borderId="1" xfId="1" applyFont="1" applyFill="1" applyBorder="1" applyAlignment="1" applyProtection="1">
      <alignment vertical="center" wrapText="1"/>
    </xf>
    <xf numFmtId="0" fontId="57" fillId="0" borderId="1" xfId="11" applyFont="1" applyFill="1" applyBorder="1" applyAlignment="1" applyProtection="1">
      <alignment horizontal="left" vertical="center" wrapText="1"/>
    </xf>
    <xf numFmtId="0" fontId="82" fillId="0" borderId="1" xfId="87" applyFont="1" applyFill="1" applyBorder="1" applyAlignment="1" applyProtection="1">
      <alignment horizontal="left" vertical="center"/>
    </xf>
    <xf numFmtId="0" fontId="57" fillId="0" borderId="1" xfId="87" applyFont="1" applyFill="1" applyBorder="1" applyAlignment="1" applyProtection="1">
      <alignment vertical="center" wrapText="1"/>
    </xf>
    <xf numFmtId="0" fontId="84" fillId="27" borderId="1" xfId="11" applyFont="1" applyFill="1" applyBorder="1" applyAlignment="1" applyProtection="1">
      <alignment horizontal="center" vertical="center" wrapText="1"/>
    </xf>
    <xf numFmtId="0" fontId="82" fillId="0" borderId="1" xfId="11" applyFont="1" applyFill="1" applyBorder="1" applyAlignment="1" applyProtection="1">
      <alignment horizontal="center" vertical="center" wrapText="1"/>
    </xf>
    <xf numFmtId="0" fontId="84" fillId="0" borderId="1" xfId="11" applyFont="1" applyFill="1" applyBorder="1" applyAlignment="1" applyProtection="1">
      <alignment horizontal="left" vertical="center" wrapText="1"/>
    </xf>
    <xf numFmtId="0" fontId="57" fillId="0" borderId="1" xfId="4" applyFont="1" applyFill="1" applyBorder="1" applyAlignment="1" applyProtection="1">
      <alignment horizontal="left" vertical="center"/>
    </xf>
    <xf numFmtId="0" fontId="57" fillId="0" borderId="1" xfId="87" applyFont="1" applyFill="1" applyBorder="1" applyAlignment="1" applyProtection="1">
      <alignment vertical="center"/>
    </xf>
    <xf numFmtId="0" fontId="57" fillId="0" borderId="1" xfId="87" applyFont="1" applyBorder="1" applyAlignment="1" applyProtection="1">
      <alignment vertical="center"/>
    </xf>
    <xf numFmtId="0" fontId="57" fillId="0" borderId="1" xfId="87" applyFont="1" applyBorder="1" applyAlignment="1" applyProtection="1">
      <alignment vertical="center" wrapText="1"/>
    </xf>
    <xf numFmtId="0" fontId="57" fillId="0" borderId="1" xfId="87" applyFont="1" applyBorder="1" applyAlignment="1" applyProtection="1">
      <alignment horizontal="center" vertical="center"/>
    </xf>
    <xf numFmtId="0" fontId="57" fillId="0" borderId="1" xfId="87" applyFont="1" applyBorder="1" applyAlignment="1" applyProtection="1">
      <alignment horizontal="left" vertical="center"/>
    </xf>
    <xf numFmtId="0" fontId="57" fillId="0" borderId="0" xfId="87" applyFont="1" applyAlignment="1" applyProtection="1">
      <alignment horizontal="center" vertical="center"/>
    </xf>
    <xf numFmtId="0" fontId="57" fillId="0" borderId="0" xfId="87" applyFont="1" applyAlignment="1" applyProtection="1">
      <alignment horizontal="center" vertical="center" wrapText="1"/>
    </xf>
    <xf numFmtId="43" fontId="57" fillId="0" borderId="0" xfId="1" applyFont="1" applyAlignment="1" applyProtection="1">
      <alignment horizontal="right" vertical="center"/>
    </xf>
    <xf numFmtId="0" fontId="57" fillId="0" borderId="0" xfId="87" applyFont="1" applyAlignment="1" applyProtection="1">
      <alignment horizontal="left" vertical="center"/>
    </xf>
    <xf numFmtId="43" fontId="84" fillId="0" borderId="1" xfId="1" applyFont="1" applyFill="1" applyBorder="1" applyAlignment="1" applyProtection="1">
      <alignment horizontal="right" vertical="center" wrapText="1"/>
      <protection locked="0"/>
    </xf>
    <xf numFmtId="43" fontId="84" fillId="35" borderId="1" xfId="1" applyFont="1" applyFill="1" applyBorder="1" applyAlignment="1" applyProtection="1">
      <alignment horizontal="right" vertical="center" wrapText="1"/>
      <protection locked="0"/>
    </xf>
    <xf numFmtId="43" fontId="84" fillId="0" borderId="1" xfId="1" applyFont="1" applyFill="1" applyBorder="1" applyAlignment="1" applyProtection="1">
      <alignment horizontal="left" vertical="center" wrapText="1"/>
      <protection locked="0"/>
    </xf>
    <xf numFmtId="0" fontId="57" fillId="0" borderId="1" xfId="87" applyFont="1" applyBorder="1" applyAlignment="1" applyProtection="1">
      <alignment horizontal="center" vertical="center"/>
      <protection locked="0"/>
    </xf>
    <xf numFmtId="43" fontId="57" fillId="0" borderId="1" xfId="1" applyFont="1" applyBorder="1" applyAlignment="1" applyProtection="1">
      <alignment horizontal="right" vertical="center"/>
      <protection locked="0"/>
    </xf>
    <xf numFmtId="0" fontId="57" fillId="0" borderId="1" xfId="87" applyFont="1" applyBorder="1" applyAlignment="1" applyProtection="1">
      <alignment horizontal="left" vertical="center"/>
      <protection locked="0"/>
    </xf>
    <xf numFmtId="0" fontId="79" fillId="0" borderId="0" xfId="8" applyFont="1" applyFill="1" applyBorder="1" applyAlignment="1" applyProtection="1">
      <alignment vertical="center"/>
    </xf>
    <xf numFmtId="0" fontId="83" fillId="23" borderId="1" xfId="3" applyFont="1" applyFill="1" applyBorder="1" applyAlignment="1" applyProtection="1">
      <alignment vertical="center" wrapText="1"/>
    </xf>
    <xf numFmtId="0" fontId="79" fillId="0" borderId="0" xfId="8" applyFont="1" applyFill="1" applyBorder="1" applyAlignment="1" applyProtection="1">
      <alignment horizontal="center" vertical="center"/>
    </xf>
    <xf numFmtId="0" fontId="84" fillId="2" borderId="12" xfId="4" applyFont="1" applyFill="1" applyBorder="1" applyAlignment="1" applyProtection="1">
      <alignment horizontal="left" vertical="center" wrapText="1"/>
    </xf>
    <xf numFmtId="2" fontId="84" fillId="27" borderId="1" xfId="4" applyNumberFormat="1" applyFont="1" applyFill="1" applyBorder="1" applyAlignment="1" applyProtection="1">
      <alignment horizontal="right" vertical="center" wrapText="1"/>
    </xf>
    <xf numFmtId="0" fontId="84" fillId="27" borderId="1" xfId="4" applyFont="1" applyFill="1" applyBorder="1" applyAlignment="1" applyProtection="1">
      <alignment horizontal="right" vertical="center" wrapText="1"/>
    </xf>
    <xf numFmtId="0" fontId="104" fillId="47" borderId="1" xfId="0" applyFont="1" applyFill="1" applyBorder="1" applyAlignment="1" applyProtection="1">
      <alignment vertical="center" wrapText="1"/>
    </xf>
    <xf numFmtId="0" fontId="79" fillId="3" borderId="1" xfId="4" applyFont="1" applyFill="1" applyBorder="1" applyAlignment="1" applyProtection="1">
      <alignment vertical="center" wrapText="1"/>
    </xf>
    <xf numFmtId="0" fontId="57" fillId="3" borderId="1" xfId="4" applyFont="1" applyFill="1" applyBorder="1" applyAlignment="1" applyProtection="1">
      <alignment vertical="center" wrapText="1"/>
    </xf>
    <xf numFmtId="0" fontId="82" fillId="3" borderId="1" xfId="4" applyFont="1" applyFill="1" applyBorder="1" applyAlignment="1" applyProtection="1">
      <alignment horizontal="center" vertical="center" wrapText="1"/>
    </xf>
    <xf numFmtId="2" fontId="84" fillId="3" borderId="1" xfId="4" applyNumberFormat="1" applyFont="1" applyFill="1" applyBorder="1" applyAlignment="1" applyProtection="1">
      <alignment horizontal="right" vertical="center" wrapText="1"/>
    </xf>
    <xf numFmtId="0" fontId="84" fillId="3" borderId="5" xfId="4" applyFont="1" applyFill="1" applyBorder="1" applyAlignment="1" applyProtection="1">
      <alignment horizontal="left" vertical="center" wrapText="1"/>
    </xf>
    <xf numFmtId="0" fontId="106" fillId="48" borderId="1" xfId="0" applyFont="1" applyFill="1" applyBorder="1" applyAlignment="1" applyProtection="1">
      <alignment vertical="center" wrapText="1"/>
    </xf>
    <xf numFmtId="2" fontId="82" fillId="0" borderId="1" xfId="87" applyNumberFormat="1" applyFont="1" applyBorder="1" applyAlignment="1" applyProtection="1">
      <alignment horizontal="right" vertical="center"/>
    </xf>
    <xf numFmtId="0" fontId="57" fillId="0" borderId="1" xfId="87" applyFont="1" applyFill="1" applyBorder="1" applyAlignment="1" applyProtection="1">
      <alignment horizontal="center" vertical="center"/>
    </xf>
    <xf numFmtId="0" fontId="57" fillId="0" borderId="1" xfId="0" applyFont="1" applyFill="1" applyBorder="1" applyAlignment="1" applyProtection="1">
      <alignment vertical="center" wrapText="1"/>
    </xf>
    <xf numFmtId="2" fontId="82" fillId="0" borderId="1" xfId="87" applyNumberFormat="1" applyFont="1" applyFill="1" applyBorder="1" applyAlignment="1" applyProtection="1">
      <alignment horizontal="right" vertical="center"/>
    </xf>
    <xf numFmtId="0" fontId="57" fillId="0" borderId="1" xfId="8" applyFont="1" applyBorder="1" applyAlignment="1" applyProtection="1">
      <alignment vertical="center" wrapText="1"/>
    </xf>
    <xf numFmtId="0" fontId="57" fillId="3" borderId="1" xfId="87" applyFont="1" applyFill="1" applyBorder="1" applyAlignment="1" applyProtection="1">
      <alignment horizontal="center" vertical="center" wrapText="1"/>
    </xf>
    <xf numFmtId="0" fontId="84" fillId="3" borderId="1" xfId="4" applyFont="1" applyFill="1" applyBorder="1" applyAlignment="1" applyProtection="1">
      <alignment horizontal="center" vertical="center" wrapText="1"/>
    </xf>
    <xf numFmtId="0" fontId="55" fillId="0" borderId="1" xfId="87" applyFont="1" applyBorder="1" applyAlignment="1" applyProtection="1">
      <alignment vertical="center"/>
    </xf>
    <xf numFmtId="0" fontId="55" fillId="0" borderId="1" xfId="87" applyFont="1" applyFill="1" applyBorder="1" applyAlignment="1" applyProtection="1">
      <alignment horizontal="center" vertical="center" wrapText="1"/>
    </xf>
    <xf numFmtId="0" fontId="57" fillId="0" borderId="1" xfId="87" applyFont="1" applyBorder="1" applyAlignment="1" applyProtection="1">
      <alignment horizontal="left" vertical="center" wrapText="1"/>
    </xf>
    <xf numFmtId="0" fontId="57" fillId="0" borderId="1" xfId="87" applyFont="1" applyFill="1" applyBorder="1" applyAlignment="1" applyProtection="1">
      <alignment horizontal="left" vertical="center" wrapText="1"/>
    </xf>
    <xf numFmtId="0" fontId="57" fillId="0" borderId="1" xfId="4" applyFont="1" applyFill="1" applyBorder="1" applyAlignment="1" applyProtection="1">
      <alignment horizontal="center" vertical="center" wrapText="1"/>
    </xf>
    <xf numFmtId="0" fontId="57" fillId="0" borderId="1" xfId="87" applyFont="1" applyFill="1" applyBorder="1" applyAlignment="1" applyProtection="1">
      <alignment horizontal="left" vertical="center"/>
    </xf>
    <xf numFmtId="0" fontId="55" fillId="0" borderId="1" xfId="87" applyFont="1" applyBorder="1" applyAlignment="1" applyProtection="1">
      <alignment horizontal="center" vertical="center" wrapText="1"/>
    </xf>
    <xf numFmtId="0" fontId="55" fillId="0" borderId="1" xfId="4" applyFont="1" applyBorder="1" applyAlignment="1" applyProtection="1">
      <alignment vertical="center" wrapText="1"/>
    </xf>
    <xf numFmtId="49" fontId="57" fillId="0" borderId="1" xfId="4" applyNumberFormat="1" applyFont="1" applyBorder="1" applyAlignment="1" applyProtection="1">
      <alignment vertical="center" wrapText="1"/>
    </xf>
    <xf numFmtId="0" fontId="79" fillId="4" borderId="1" xfId="11" applyFont="1" applyFill="1" applyBorder="1" applyAlignment="1" applyProtection="1">
      <alignment horizontal="left" vertical="center" wrapText="1"/>
    </xf>
    <xf numFmtId="0" fontId="57" fillId="4" borderId="1" xfId="4" applyFont="1" applyFill="1" applyBorder="1" applyAlignment="1" applyProtection="1">
      <alignment vertical="center" wrapText="1"/>
    </xf>
    <xf numFmtId="0" fontId="79" fillId="4" borderId="1" xfId="4" applyFont="1" applyFill="1" applyBorder="1" applyAlignment="1" applyProtection="1">
      <alignment vertical="center" wrapText="1"/>
    </xf>
    <xf numFmtId="0" fontId="82" fillId="4" borderId="1" xfId="11" applyFont="1" applyFill="1" applyBorder="1" applyAlignment="1" applyProtection="1">
      <alignment horizontal="center" vertical="center" wrapText="1"/>
    </xf>
    <xf numFmtId="0" fontId="84" fillId="4" borderId="1" xfId="11" applyFont="1" applyFill="1" applyBorder="1" applyAlignment="1" applyProtection="1">
      <alignment horizontal="left" vertical="center" wrapText="1"/>
    </xf>
    <xf numFmtId="2" fontId="84" fillId="4" borderId="1" xfId="4" applyNumberFormat="1" applyFont="1" applyFill="1" applyBorder="1" applyAlignment="1" applyProtection="1">
      <alignment horizontal="right" vertical="center" wrapText="1"/>
    </xf>
    <xf numFmtId="0" fontId="57" fillId="11" borderId="1" xfId="87" applyFont="1" applyFill="1" applyBorder="1" applyAlignment="1" applyProtection="1">
      <alignment vertical="center"/>
    </xf>
    <xf numFmtId="0" fontId="57" fillId="11" borderId="1" xfId="87" applyFont="1" applyFill="1" applyBorder="1" applyAlignment="1" applyProtection="1">
      <alignment vertical="center" wrapText="1"/>
    </xf>
    <xf numFmtId="2" fontId="84" fillId="4" borderId="1" xfId="11" applyNumberFormat="1" applyFont="1" applyFill="1" applyBorder="1" applyAlignment="1" applyProtection="1">
      <alignment horizontal="right" vertical="center" wrapText="1"/>
    </xf>
    <xf numFmtId="0" fontId="84" fillId="4" borderId="1" xfId="11" applyFont="1" applyFill="1" applyBorder="1" applyAlignment="1" applyProtection="1">
      <alignment horizontal="center" vertical="center" wrapText="1"/>
    </xf>
    <xf numFmtId="0" fontId="57" fillId="0" borderId="1" xfId="88" applyFont="1" applyBorder="1" applyAlignment="1" applyProtection="1">
      <alignment vertical="center"/>
    </xf>
    <xf numFmtId="0" fontId="79" fillId="2" borderId="1" xfId="4" applyFont="1" applyFill="1" applyBorder="1" applyAlignment="1" applyProtection="1">
      <alignment horizontal="left" vertical="center"/>
    </xf>
    <xf numFmtId="0" fontId="79" fillId="0" borderId="1" xfId="87" applyFont="1" applyBorder="1" applyAlignment="1" applyProtection="1">
      <alignment vertical="center" wrapText="1"/>
    </xf>
    <xf numFmtId="0" fontId="55" fillId="0" borderId="1" xfId="87" applyFont="1" applyBorder="1" applyAlignment="1" applyProtection="1">
      <alignment vertical="center" wrapText="1"/>
    </xf>
    <xf numFmtId="0" fontId="57" fillId="0" borderId="0" xfId="87" applyFont="1" applyAlignment="1" applyProtection="1">
      <alignment horizontal="right" vertical="center"/>
    </xf>
    <xf numFmtId="2" fontId="57" fillId="0" borderId="0" xfId="87" applyNumberFormat="1" applyFont="1" applyAlignment="1" applyProtection="1">
      <alignment horizontal="right" vertical="center"/>
    </xf>
    <xf numFmtId="0" fontId="103" fillId="45" borderId="1" xfId="0" applyFont="1" applyFill="1" applyBorder="1" applyAlignment="1" applyProtection="1">
      <alignment vertical="center"/>
      <protection locked="0"/>
    </xf>
    <xf numFmtId="0" fontId="57" fillId="0" borderId="0" xfId="8" applyFont="1" applyAlignment="1" applyProtection="1">
      <alignment vertical="center"/>
    </xf>
    <xf numFmtId="0" fontId="83" fillId="23" borderId="1" xfId="3" applyFont="1" applyFill="1" applyBorder="1" applyAlignment="1" applyProtection="1">
      <alignment horizontal="left" vertical="center" wrapText="1"/>
    </xf>
    <xf numFmtId="0" fontId="57" fillId="0" borderId="0" xfId="8" applyFont="1" applyFill="1" applyAlignment="1" applyProtection="1">
      <alignment vertical="center"/>
    </xf>
    <xf numFmtId="2" fontId="57" fillId="0" borderId="1" xfId="4" applyNumberFormat="1" applyFont="1" applyFill="1" applyBorder="1" applyAlignment="1" applyProtection="1">
      <alignment horizontal="right" vertical="center" wrapText="1"/>
    </xf>
    <xf numFmtId="2" fontId="79" fillId="0" borderId="1" xfId="9" applyNumberFormat="1" applyFont="1" applyFill="1" applyBorder="1" applyAlignment="1" applyProtection="1">
      <alignment horizontal="right" vertical="center" wrapText="1"/>
    </xf>
    <xf numFmtId="2" fontId="79" fillId="0" borderId="1" xfId="8" applyNumberFormat="1" applyFont="1" applyFill="1" applyBorder="1" applyAlignment="1" applyProtection="1">
      <alignment horizontal="right" vertical="center" wrapText="1"/>
    </xf>
    <xf numFmtId="2" fontId="57" fillId="2" borderId="1" xfId="8" applyNumberFormat="1" applyFont="1" applyFill="1" applyBorder="1" applyAlignment="1" applyProtection="1">
      <alignment horizontal="right" vertical="center" wrapText="1"/>
    </xf>
    <xf numFmtId="0" fontId="79" fillId="20" borderId="1" xfId="8" applyFont="1" applyFill="1" applyBorder="1" applyAlignment="1" applyProtection="1">
      <alignment horizontal="left" vertical="center"/>
    </xf>
    <xf numFmtId="0" fontId="57" fillId="20" borderId="1" xfId="4" applyFont="1" applyFill="1" applyBorder="1" applyAlignment="1" applyProtection="1">
      <alignment vertical="center" wrapText="1"/>
    </xf>
    <xf numFmtId="0" fontId="79" fillId="20" borderId="1" xfId="4" applyFont="1" applyFill="1" applyBorder="1" applyAlignment="1" applyProtection="1">
      <alignment vertical="center" wrapText="1"/>
    </xf>
    <xf numFmtId="0" fontId="57" fillId="20" borderId="1" xfId="8" applyFont="1" applyFill="1" applyBorder="1" applyAlignment="1" applyProtection="1">
      <alignment horizontal="center" vertical="center"/>
    </xf>
    <xf numFmtId="2" fontId="57" fillId="20" borderId="1" xfId="9" applyNumberFormat="1" applyFont="1" applyFill="1" applyBorder="1" applyAlignment="1" applyProtection="1">
      <alignment horizontal="right" vertical="center" wrapText="1"/>
    </xf>
    <xf numFmtId="2" fontId="79" fillId="20" borderId="1" xfId="9" applyNumberFormat="1" applyFont="1" applyFill="1" applyBorder="1" applyAlignment="1" applyProtection="1">
      <alignment horizontal="right" vertical="center" wrapText="1"/>
    </xf>
    <xf numFmtId="0" fontId="57" fillId="20" borderId="1" xfId="8" applyFont="1" applyFill="1" applyBorder="1" applyAlignment="1" applyProtection="1">
      <alignment horizontal="left" vertical="center" wrapText="1"/>
    </xf>
    <xf numFmtId="0" fontId="57" fillId="0" borderId="1" xfId="9" applyFont="1" applyBorder="1" applyAlignment="1" applyProtection="1">
      <alignment horizontal="left" vertical="center" wrapText="1"/>
    </xf>
    <xf numFmtId="2" fontId="57" fillId="0" borderId="1" xfId="9" applyNumberFormat="1" applyFont="1" applyBorder="1" applyAlignment="1" applyProtection="1">
      <alignment horizontal="right" vertical="center" wrapText="1"/>
    </xf>
    <xf numFmtId="0" fontId="79" fillId="18" borderId="1" xfId="8" applyFont="1" applyFill="1" applyBorder="1" applyAlignment="1" applyProtection="1">
      <alignment horizontal="left" vertical="center"/>
    </xf>
    <xf numFmtId="0" fontId="79" fillId="18" borderId="1" xfId="4" applyFont="1" applyFill="1" applyBorder="1" applyAlignment="1" applyProtection="1">
      <alignment vertical="center" wrapText="1"/>
    </xf>
    <xf numFmtId="0" fontId="79" fillId="18" borderId="1" xfId="8" applyFont="1" applyFill="1" applyBorder="1" applyAlignment="1" applyProtection="1">
      <alignment horizontal="center" vertical="center"/>
    </xf>
    <xf numFmtId="2" fontId="79" fillId="18" borderId="1" xfId="9" applyNumberFormat="1" applyFont="1" applyFill="1" applyBorder="1" applyAlignment="1" applyProtection="1">
      <alignment horizontal="right" vertical="center" wrapText="1"/>
    </xf>
    <xf numFmtId="0" fontId="57" fillId="6" borderId="1" xfId="8" applyFont="1" applyFill="1" applyBorder="1" applyAlignment="1" applyProtection="1">
      <alignment horizontal="left" vertical="center" wrapText="1"/>
    </xf>
    <xf numFmtId="2" fontId="57" fillId="6" borderId="1" xfId="8" applyNumberFormat="1" applyFont="1" applyFill="1" applyBorder="1" applyAlignment="1" applyProtection="1">
      <alignment horizontal="right" vertical="center" wrapText="1"/>
    </xf>
    <xf numFmtId="0" fontId="79" fillId="20" borderId="1" xfId="8" applyFont="1" applyFill="1" applyBorder="1" applyAlignment="1" applyProtection="1">
      <alignment horizontal="center" vertical="center"/>
    </xf>
    <xf numFmtId="0" fontId="84" fillId="20" borderId="1" xfId="9" applyFont="1" applyFill="1" applyBorder="1" applyAlignment="1" applyProtection="1">
      <alignment horizontal="right" vertical="center" wrapText="1"/>
    </xf>
    <xf numFmtId="2" fontId="84" fillId="20" borderId="1" xfId="9" applyNumberFormat="1" applyFont="1" applyFill="1" applyBorder="1" applyAlignment="1" applyProtection="1">
      <alignment horizontal="right" vertical="center" wrapText="1"/>
    </xf>
    <xf numFmtId="0" fontId="79" fillId="0" borderId="1" xfId="8" applyFont="1" applyFill="1" applyBorder="1" applyAlignment="1" applyProtection="1">
      <alignment horizontal="left" vertical="center"/>
    </xf>
    <xf numFmtId="2" fontId="57" fillId="0" borderId="1" xfId="9" applyNumberFormat="1" applyFont="1" applyFill="1" applyBorder="1" applyAlignment="1" applyProtection="1">
      <alignment horizontal="right" vertical="center" wrapText="1"/>
    </xf>
    <xf numFmtId="2" fontId="57" fillId="2" borderId="1" xfId="9" applyNumberFormat="1" applyFont="1" applyFill="1" applyBorder="1" applyAlignment="1" applyProtection="1">
      <alignment horizontal="right" vertical="center" wrapText="1"/>
    </xf>
    <xf numFmtId="2" fontId="79" fillId="2" borderId="1" xfId="9" applyNumberFormat="1" applyFont="1" applyFill="1" applyBorder="1" applyAlignment="1" applyProtection="1">
      <alignment horizontal="right" vertical="center" wrapText="1"/>
    </xf>
    <xf numFmtId="0" fontId="57" fillId="0" borderId="1" xfId="8" applyFont="1" applyBorder="1" applyAlignment="1" applyProtection="1">
      <alignment horizontal="left" vertical="center"/>
    </xf>
    <xf numFmtId="2" fontId="57" fillId="0" borderId="1" xfId="8" applyNumberFormat="1" applyFont="1" applyBorder="1" applyAlignment="1" applyProtection="1">
      <alignment horizontal="right" vertical="center" wrapText="1"/>
    </xf>
    <xf numFmtId="2" fontId="84" fillId="0" borderId="1" xfId="4" applyNumberFormat="1" applyFont="1" applyFill="1" applyBorder="1" applyAlignment="1" applyProtection="1">
      <alignment horizontal="right" vertical="center" wrapText="1"/>
    </xf>
    <xf numFmtId="0" fontId="57" fillId="0" borderId="0" xfId="8" applyFont="1" applyAlignment="1" applyProtection="1">
      <alignment horizontal="left" vertical="center"/>
    </xf>
    <xf numFmtId="0" fontId="57" fillId="0" borderId="0" xfId="8" applyFont="1" applyAlignment="1" applyProtection="1">
      <alignment horizontal="left" vertical="center" wrapText="1"/>
    </xf>
    <xf numFmtId="0" fontId="57" fillId="0" borderId="0" xfId="8" applyFont="1" applyAlignment="1" applyProtection="1">
      <alignment horizontal="right" vertical="center"/>
    </xf>
    <xf numFmtId="0" fontId="77" fillId="15" borderId="1" xfId="8" applyFont="1" applyFill="1" applyBorder="1" applyAlignment="1" applyProtection="1">
      <alignment horizontal="center" vertical="center" wrapText="1"/>
    </xf>
    <xf numFmtId="0" fontId="57" fillId="0" borderId="0" xfId="8" applyFont="1" applyAlignment="1" applyProtection="1">
      <alignment horizontal="center" vertical="center" wrapText="1"/>
    </xf>
    <xf numFmtId="0" fontId="83" fillId="23" borderId="1" xfId="3" applyFont="1" applyFill="1" applyBorder="1" applyAlignment="1" applyProtection="1">
      <alignment horizontal="center" vertical="center" wrapText="1"/>
    </xf>
    <xf numFmtId="0" fontId="57" fillId="0" borderId="0" xfId="8" applyFont="1" applyFill="1" applyAlignment="1" applyProtection="1">
      <alignment horizontal="center" vertical="center" wrapText="1"/>
    </xf>
    <xf numFmtId="0" fontId="83" fillId="37" borderId="1" xfId="3" applyFont="1" applyFill="1" applyBorder="1" applyAlignment="1" applyProtection="1">
      <alignment horizontal="center" vertical="center"/>
    </xf>
    <xf numFmtId="2" fontId="79" fillId="0" borderId="1" xfId="3" applyNumberFormat="1" applyFont="1" applyFill="1" applyBorder="1" applyAlignment="1" applyProtection="1">
      <alignment horizontal="center" vertical="center"/>
    </xf>
    <xf numFmtId="0" fontId="79" fillId="2" borderId="1" xfId="8" applyFont="1" applyFill="1" applyBorder="1" applyAlignment="1" applyProtection="1">
      <alignment horizontal="center" vertical="center" wrapText="1"/>
    </xf>
    <xf numFmtId="43" fontId="57" fillId="4" borderId="1" xfId="1" applyFont="1" applyFill="1" applyBorder="1" applyAlignment="1" applyProtection="1">
      <alignment horizontal="center" vertical="center" wrapText="1"/>
    </xf>
    <xf numFmtId="0" fontId="57" fillId="0" borderId="1" xfId="9" applyFont="1" applyBorder="1" applyAlignment="1" applyProtection="1">
      <alignment horizontal="center" vertical="center" wrapText="1"/>
    </xf>
    <xf numFmtId="0" fontId="79" fillId="26" borderId="1" xfId="8" applyFont="1" applyFill="1" applyBorder="1" applyAlignment="1" applyProtection="1">
      <alignment horizontal="left" vertical="center" wrapText="1"/>
    </xf>
    <xf numFmtId="0" fontId="79" fillId="26" borderId="1" xfId="8" applyFont="1" applyFill="1" applyBorder="1" applyAlignment="1" applyProtection="1">
      <alignment horizontal="center" vertical="center" wrapText="1"/>
    </xf>
    <xf numFmtId="0" fontId="57" fillId="26" borderId="1" xfId="8" applyFont="1" applyFill="1" applyBorder="1" applyAlignment="1" applyProtection="1">
      <alignment horizontal="left" vertical="center" wrapText="1"/>
    </xf>
    <xf numFmtId="0" fontId="84" fillId="26" borderId="1" xfId="4" applyFont="1" applyFill="1" applyBorder="1" applyAlignment="1" applyProtection="1">
      <alignment horizontal="left" vertical="center" wrapText="1"/>
    </xf>
    <xf numFmtId="0" fontId="82" fillId="26" borderId="1" xfId="8" applyFont="1" applyFill="1" applyBorder="1" applyAlignment="1" applyProtection="1">
      <alignment horizontal="center" vertical="center" wrapText="1"/>
    </xf>
    <xf numFmtId="0" fontId="79" fillId="3" borderId="1" xfId="4" applyFont="1" applyFill="1" applyBorder="1" applyAlignment="1" applyProtection="1">
      <alignment horizontal="left" vertical="center" wrapText="1"/>
    </xf>
    <xf numFmtId="0" fontId="79" fillId="3" borderId="1" xfId="4" applyFont="1" applyFill="1" applyBorder="1" applyAlignment="1" applyProtection="1">
      <alignment horizontal="center" vertical="center" wrapText="1"/>
    </xf>
    <xf numFmtId="0" fontId="79" fillId="3" borderId="1" xfId="8" applyFont="1" applyFill="1" applyBorder="1" applyAlignment="1" applyProtection="1">
      <alignment horizontal="left" vertical="center" wrapText="1"/>
    </xf>
    <xf numFmtId="0" fontId="57" fillId="3" borderId="1" xfId="8" applyFont="1" applyFill="1" applyBorder="1" applyAlignment="1" applyProtection="1">
      <alignment horizontal="left" vertical="center" wrapText="1"/>
    </xf>
    <xf numFmtId="0" fontId="79" fillId="3" borderId="1" xfId="8" applyFont="1" applyFill="1" applyBorder="1" applyAlignment="1" applyProtection="1">
      <alignment horizontal="center" vertical="center" wrapText="1"/>
    </xf>
    <xf numFmtId="43" fontId="79" fillId="3" borderId="1" xfId="1" applyFont="1" applyFill="1" applyBorder="1" applyAlignment="1" applyProtection="1">
      <alignment horizontal="center" vertical="center" wrapText="1"/>
    </xf>
    <xf numFmtId="43" fontId="84" fillId="3" borderId="1" xfId="1" applyFont="1" applyFill="1" applyBorder="1" applyAlignment="1" applyProtection="1">
      <alignment horizontal="center" vertical="center" wrapText="1"/>
    </xf>
    <xf numFmtId="0" fontId="57" fillId="0" borderId="1" xfId="40" applyFont="1" applyBorder="1" applyAlignment="1" applyProtection="1">
      <alignment horizontal="left" vertical="center" wrapText="1"/>
    </xf>
    <xf numFmtId="0" fontId="57" fillId="31" borderId="1" xfId="8" applyFont="1" applyFill="1" applyBorder="1" applyAlignment="1" applyProtection="1">
      <alignment horizontal="center" vertical="center" wrapText="1"/>
    </xf>
    <xf numFmtId="0" fontId="84" fillId="3" borderId="1" xfId="8" applyFont="1" applyFill="1" applyBorder="1" applyAlignment="1" applyProtection="1">
      <alignment horizontal="left" vertical="center" wrapText="1"/>
    </xf>
    <xf numFmtId="0" fontId="84" fillId="3" borderId="1" xfId="8" applyFont="1" applyFill="1" applyBorder="1" applyAlignment="1" applyProtection="1">
      <alignment horizontal="center" vertical="center" wrapText="1"/>
    </xf>
    <xf numFmtId="0" fontId="79" fillId="28" borderId="1" xfId="8" applyFont="1" applyFill="1" applyBorder="1" applyAlignment="1" applyProtection="1">
      <alignment horizontal="center" vertical="center" wrapText="1"/>
    </xf>
    <xf numFmtId="0" fontId="57" fillId="0" borderId="0" xfId="8" applyFont="1" applyFill="1" applyAlignment="1" applyProtection="1">
      <alignment vertical="center" wrapText="1"/>
    </xf>
    <xf numFmtId="0" fontId="54" fillId="0" borderId="1" xfId="8" applyFont="1" applyBorder="1" applyAlignment="1" applyProtection="1">
      <alignment horizontal="left" vertical="center" wrapText="1"/>
    </xf>
    <xf numFmtId="0" fontId="57" fillId="0" borderId="0" xfId="8" applyFont="1" applyFill="1" applyAlignment="1" applyProtection="1">
      <alignment horizontal="left" vertical="center" wrapText="1"/>
    </xf>
    <xf numFmtId="43" fontId="57" fillId="0" borderId="0" xfId="1" applyFont="1" applyAlignment="1" applyProtection="1">
      <alignment horizontal="center" vertical="center" wrapText="1"/>
    </xf>
    <xf numFmtId="43" fontId="57" fillId="4" borderId="1" xfId="1" applyFont="1" applyFill="1" applyBorder="1" applyAlignment="1" applyProtection="1">
      <alignment horizontal="center" vertical="center" wrapText="1"/>
      <protection locked="0"/>
    </xf>
    <xf numFmtId="43" fontId="79" fillId="4" borderId="1" xfId="1" applyFont="1" applyFill="1" applyBorder="1" applyAlignment="1" applyProtection="1">
      <alignment horizontal="center" vertical="center" wrapText="1"/>
      <protection locked="0"/>
    </xf>
    <xf numFmtId="43" fontId="79" fillId="3" borderId="1" xfId="1" applyFont="1" applyFill="1" applyBorder="1" applyAlignment="1" applyProtection="1">
      <alignment horizontal="center" vertical="center" wrapText="1"/>
      <protection locked="0"/>
    </xf>
    <xf numFmtId="0" fontId="77" fillId="31" borderId="1" xfId="8" applyFont="1" applyFill="1" applyBorder="1" applyAlignment="1" applyProtection="1">
      <alignment horizontal="left" vertical="center" wrapText="1"/>
      <protection locked="0"/>
    </xf>
    <xf numFmtId="43" fontId="79" fillId="0" borderId="1" xfId="1" applyFont="1" applyFill="1" applyBorder="1" applyAlignment="1" applyProtection="1">
      <alignment horizontal="center" vertical="center" wrapText="1"/>
      <protection locked="0"/>
    </xf>
    <xf numFmtId="43" fontId="82" fillId="0" borderId="1" xfId="1" applyFont="1" applyBorder="1" applyAlignment="1" applyProtection="1">
      <alignment horizontal="left" vertical="center" wrapText="1"/>
      <protection locked="0"/>
    </xf>
    <xf numFmtId="2" fontId="79" fillId="0" borderId="1" xfId="3" applyNumberFormat="1" applyFont="1" applyFill="1" applyBorder="1" applyAlignment="1" applyProtection="1">
      <alignment wrapText="1"/>
    </xf>
    <xf numFmtId="0" fontId="79" fillId="0" borderId="0" xfId="8" applyFont="1" applyAlignment="1" applyProtection="1">
      <alignment horizontal="center" vertical="center"/>
    </xf>
    <xf numFmtId="43" fontId="57" fillId="2" borderId="1" xfId="1" applyFont="1" applyFill="1" applyBorder="1" applyAlignment="1" applyProtection="1">
      <alignment vertical="center" wrapText="1"/>
    </xf>
    <xf numFmtId="0" fontId="57" fillId="2" borderId="1" xfId="8" applyFont="1" applyFill="1" applyBorder="1" applyAlignment="1" applyProtection="1">
      <alignment vertical="center" wrapText="1"/>
    </xf>
    <xf numFmtId="43" fontId="79" fillId="2" borderId="1" xfId="1" applyFont="1" applyFill="1" applyBorder="1" applyAlignment="1" applyProtection="1">
      <alignment vertical="center" wrapText="1"/>
    </xf>
    <xf numFmtId="0" fontId="79" fillId="28" borderId="1" xfId="8" applyFont="1" applyFill="1" applyBorder="1" applyAlignment="1" applyProtection="1">
      <alignment horizontal="center" vertical="center"/>
    </xf>
    <xf numFmtId="0" fontId="79" fillId="0" borderId="1" xfId="9" applyFont="1" applyFill="1" applyBorder="1" applyAlignment="1" applyProtection="1">
      <alignment vertical="center" wrapText="1"/>
    </xf>
    <xf numFmtId="43" fontId="57" fillId="0" borderId="1" xfId="1" applyFont="1" applyFill="1" applyBorder="1" applyAlignment="1" applyProtection="1">
      <alignment vertical="center" wrapText="1"/>
    </xf>
    <xf numFmtId="0" fontId="79" fillId="0" borderId="0" xfId="8" applyFont="1" applyFill="1" applyAlignment="1" applyProtection="1">
      <alignment vertical="center"/>
    </xf>
    <xf numFmtId="0" fontId="57" fillId="0" borderId="1" xfId="9" applyFont="1" applyBorder="1" applyAlignment="1" applyProtection="1">
      <alignment vertical="center" wrapText="1"/>
    </xf>
    <xf numFmtId="43" fontId="57" fillId="0" borderId="1" xfId="1" applyFont="1" applyBorder="1" applyAlignment="1" applyProtection="1">
      <alignment vertical="center" wrapText="1"/>
    </xf>
    <xf numFmtId="0" fontId="79" fillId="0" borderId="1" xfId="8" applyFont="1" applyBorder="1" applyAlignment="1" applyProtection="1">
      <alignment horizontal="center" vertical="center" wrapText="1"/>
    </xf>
    <xf numFmtId="0" fontId="79" fillId="0" borderId="1" xfId="9" applyFont="1" applyBorder="1" applyAlignment="1" applyProtection="1">
      <alignment vertical="center" wrapText="1"/>
    </xf>
    <xf numFmtId="43" fontId="79" fillId="0" borderId="1" xfId="1" applyFont="1" applyBorder="1" applyAlignment="1" applyProtection="1">
      <alignment vertical="center" wrapText="1"/>
    </xf>
    <xf numFmtId="0" fontId="79" fillId="0" borderId="1" xfId="8" applyFont="1" applyBorder="1" applyAlignment="1" applyProtection="1">
      <alignment horizontal="left" vertical="center" wrapText="1"/>
    </xf>
    <xf numFmtId="0" fontId="56" fillId="0" borderId="1" xfId="8" applyFont="1" applyBorder="1" applyAlignment="1" applyProtection="1">
      <alignment horizontal="center" vertical="center"/>
    </xf>
    <xf numFmtId="0" fontId="79" fillId="2" borderId="1" xfId="8" applyFont="1" applyFill="1" applyBorder="1" applyAlignment="1" applyProtection="1">
      <alignment horizontal="left" vertical="center"/>
    </xf>
    <xf numFmtId="0" fontId="79" fillId="2" borderId="1" xfId="8" applyFont="1" applyFill="1" applyBorder="1" applyAlignment="1" applyProtection="1">
      <alignment horizontal="center" vertical="center"/>
    </xf>
    <xf numFmtId="0" fontId="84" fillId="2" borderId="1" xfId="0" applyFont="1" applyFill="1" applyBorder="1" applyAlignment="1" applyProtection="1">
      <alignment horizontal="right" vertical="center"/>
    </xf>
    <xf numFmtId="0" fontId="79" fillId="2" borderId="1" xfId="8" applyFont="1" applyFill="1" applyBorder="1" applyAlignment="1" applyProtection="1">
      <alignment horizontal="left" vertical="center" wrapText="1"/>
    </xf>
    <xf numFmtId="0" fontId="82" fillId="35" borderId="1" xfId="4" applyFont="1" applyFill="1" applyBorder="1" applyAlignment="1" applyProtection="1">
      <alignment horizontal="left" vertical="center" wrapText="1"/>
    </xf>
    <xf numFmtId="0" fontId="96" fillId="0" borderId="0" xfId="0" applyFont="1" applyFill="1" applyAlignment="1" applyProtection="1">
      <alignment vertical="center" wrapText="1"/>
    </xf>
    <xf numFmtId="0" fontId="57" fillId="0" borderId="1" xfId="9" applyFont="1" applyFill="1" applyBorder="1" applyAlignment="1" applyProtection="1">
      <alignment vertical="center" wrapText="1"/>
    </xf>
    <xf numFmtId="2" fontId="57" fillId="0" borderId="1" xfId="9" applyNumberFormat="1" applyFont="1" applyFill="1" applyBorder="1" applyAlignment="1" applyProtection="1">
      <alignment vertical="center" wrapText="1"/>
    </xf>
    <xf numFmtId="0" fontId="79" fillId="35" borderId="1" xfId="4" applyFont="1" applyFill="1" applyBorder="1" applyAlignment="1" applyProtection="1">
      <alignment horizontal="left" vertical="center" wrapText="1"/>
    </xf>
    <xf numFmtId="0" fontId="79" fillId="35" borderId="1" xfId="8" applyFont="1" applyFill="1" applyBorder="1" applyAlignment="1" applyProtection="1">
      <alignment horizontal="left" vertical="center"/>
    </xf>
    <xf numFmtId="0" fontId="79" fillId="35" borderId="1" xfId="8" applyFont="1" applyFill="1" applyBorder="1" applyAlignment="1" applyProtection="1">
      <alignment horizontal="center" vertical="center"/>
    </xf>
    <xf numFmtId="0" fontId="79" fillId="35" borderId="1" xfId="8" applyFont="1" applyFill="1" applyBorder="1" applyAlignment="1" applyProtection="1">
      <alignment horizontal="center" vertical="center" wrapText="1"/>
    </xf>
    <xf numFmtId="0" fontId="86" fillId="35" borderId="1" xfId="9" applyFont="1" applyFill="1" applyBorder="1" applyAlignment="1" applyProtection="1">
      <alignment vertical="center" wrapText="1"/>
    </xf>
    <xf numFmtId="0" fontId="86" fillId="35" borderId="1" xfId="9" applyFont="1" applyFill="1" applyBorder="1" applyAlignment="1" applyProtection="1">
      <alignment horizontal="center" vertical="center" wrapText="1"/>
    </xf>
    <xf numFmtId="0" fontId="79" fillId="35" borderId="1" xfId="8" applyFont="1" applyFill="1" applyBorder="1" applyAlignment="1" applyProtection="1">
      <alignment horizontal="left" vertical="center" wrapText="1"/>
    </xf>
    <xf numFmtId="0" fontId="57" fillId="0" borderId="1" xfId="8" applyFont="1" applyFill="1" applyBorder="1" applyAlignment="1" applyProtection="1">
      <alignment vertical="center" wrapText="1"/>
    </xf>
    <xf numFmtId="0" fontId="82" fillId="0" borderId="1" xfId="9" applyFont="1" applyFill="1" applyBorder="1" applyAlignment="1" applyProtection="1">
      <alignment horizontal="left" vertical="center" wrapText="1"/>
    </xf>
    <xf numFmtId="49" fontId="57" fillId="0" borderId="1" xfId="4" applyNumberFormat="1" applyFont="1" applyFill="1" applyBorder="1" applyAlignment="1" applyProtection="1">
      <alignment horizontal="left" vertical="center" wrapText="1"/>
    </xf>
    <xf numFmtId="0" fontId="86" fillId="0" borderId="1" xfId="9" applyFont="1" applyFill="1" applyBorder="1" applyAlignment="1" applyProtection="1">
      <alignment vertical="center" wrapText="1"/>
    </xf>
    <xf numFmtId="1" fontId="78" fillId="0" borderId="1" xfId="4" applyNumberFormat="1" applyFont="1" applyFill="1" applyBorder="1" applyAlignment="1" applyProtection="1">
      <alignment horizontal="center" vertical="center" wrapText="1"/>
    </xf>
    <xf numFmtId="0" fontId="86" fillId="35" borderId="1" xfId="38" applyFont="1" applyFill="1" applyBorder="1" applyAlignment="1" applyProtection="1">
      <alignment horizontal="center" vertical="center" wrapText="1"/>
    </xf>
    <xf numFmtId="43" fontId="79" fillId="35" borderId="1" xfId="1" applyFont="1" applyFill="1" applyBorder="1" applyAlignment="1" applyProtection="1">
      <alignment vertical="center" wrapText="1"/>
    </xf>
    <xf numFmtId="0" fontId="79" fillId="10" borderId="1" xfId="8" applyFont="1" applyFill="1" applyBorder="1" applyAlignment="1" applyProtection="1">
      <alignment horizontal="center" vertical="center"/>
    </xf>
    <xf numFmtId="0" fontId="84" fillId="0" borderId="1" xfId="8" applyFont="1" applyFill="1" applyBorder="1" applyAlignment="1" applyProtection="1">
      <alignment vertical="center" wrapText="1"/>
    </xf>
    <xf numFmtId="49" fontId="57" fillId="0" borderId="1" xfId="4" applyNumberFormat="1" applyFont="1" applyBorder="1" applyAlignment="1" applyProtection="1">
      <alignment horizontal="left" vertical="center" wrapText="1"/>
    </xf>
    <xf numFmtId="0" fontId="79" fillId="0" borderId="1" xfId="9" applyFont="1" applyFill="1" applyBorder="1" applyAlignment="1" applyProtection="1">
      <alignment horizontal="center" vertical="center" wrapText="1"/>
    </xf>
    <xf numFmtId="0" fontId="57" fillId="0" borderId="0" xfId="8" applyFont="1" applyFill="1" applyAlignment="1" applyProtection="1">
      <alignment horizontal="left" vertical="center"/>
    </xf>
    <xf numFmtId="43" fontId="57" fillId="0" borderId="0" xfId="1" applyFont="1" applyAlignment="1" applyProtection="1">
      <alignment vertical="center"/>
    </xf>
    <xf numFmtId="43" fontId="57" fillId="0" borderId="1" xfId="1" applyFont="1" applyFill="1" applyBorder="1" applyAlignment="1" applyProtection="1">
      <alignment vertical="center" wrapText="1"/>
      <protection locked="0"/>
    </xf>
    <xf numFmtId="43" fontId="57" fillId="0" borderId="1" xfId="1" applyFont="1" applyBorder="1" applyAlignment="1" applyProtection="1">
      <alignment horizontal="right" vertical="center" wrapText="1"/>
      <protection locked="0"/>
    </xf>
    <xf numFmtId="43" fontId="57" fillId="0" borderId="1" xfId="1" applyFont="1" applyBorder="1" applyAlignment="1" applyProtection="1">
      <alignment vertical="center" wrapText="1"/>
      <protection locked="0"/>
    </xf>
    <xf numFmtId="43" fontId="79" fillId="0" borderId="1" xfId="1" applyFont="1" applyBorder="1" applyAlignment="1" applyProtection="1">
      <alignment horizontal="right" vertical="center" wrapText="1"/>
      <protection locked="0"/>
    </xf>
    <xf numFmtId="43" fontId="79" fillId="0" borderId="1" xfId="1" applyFont="1" applyBorder="1" applyAlignment="1" applyProtection="1">
      <alignment vertical="center" wrapText="1"/>
      <protection locked="0"/>
    </xf>
    <xf numFmtId="43" fontId="79" fillId="2" borderId="1" xfId="1" applyFont="1" applyFill="1" applyBorder="1" applyAlignment="1" applyProtection="1">
      <alignment vertical="center" wrapText="1"/>
      <protection locked="0"/>
    </xf>
    <xf numFmtId="43" fontId="79" fillId="35" borderId="1" xfId="1" applyFont="1" applyFill="1" applyBorder="1" applyAlignment="1" applyProtection="1">
      <alignment horizontal="right" vertical="center" wrapText="1"/>
      <protection locked="0"/>
    </xf>
    <xf numFmtId="43" fontId="79" fillId="35" borderId="1" xfId="1" applyFont="1" applyFill="1" applyBorder="1" applyAlignment="1" applyProtection="1">
      <alignment vertical="center" wrapText="1"/>
      <protection locked="0"/>
    </xf>
    <xf numFmtId="43" fontId="79" fillId="0" borderId="1" xfId="1" applyFont="1" applyFill="1" applyBorder="1" applyAlignment="1" applyProtection="1">
      <alignment vertical="center" wrapText="1"/>
      <protection locked="0"/>
    </xf>
    <xf numFmtId="43" fontId="84" fillId="0" borderId="0" xfId="1" applyFont="1" applyFill="1" applyBorder="1" applyAlignment="1" applyProtection="1">
      <alignment vertical="center" wrapText="1"/>
    </xf>
    <xf numFmtId="2" fontId="79" fillId="2" borderId="1" xfId="8" applyNumberFormat="1" applyFont="1" applyFill="1" applyBorder="1" applyAlignment="1" applyProtection="1">
      <alignment vertical="center" wrapText="1"/>
    </xf>
    <xf numFmtId="0" fontId="103" fillId="32" borderId="1" xfId="0" applyFont="1" applyFill="1" applyBorder="1" applyAlignment="1" applyProtection="1">
      <alignment vertical="center" wrapText="1"/>
    </xf>
    <xf numFmtId="0" fontId="57" fillId="27" borderId="1" xfId="8" applyFont="1" applyFill="1" applyBorder="1" applyAlignment="1" applyProtection="1">
      <alignment vertical="center" wrapText="1"/>
    </xf>
    <xf numFmtId="2" fontId="79" fillId="27" borderId="1" xfId="8" applyNumberFormat="1" applyFont="1" applyFill="1" applyBorder="1" applyAlignment="1" applyProtection="1">
      <alignment vertical="center" wrapText="1"/>
    </xf>
    <xf numFmtId="2" fontId="57" fillId="0" borderId="1" xfId="9" applyNumberFormat="1" applyFont="1" applyBorder="1" applyAlignment="1" applyProtection="1">
      <alignment vertical="center" wrapText="1"/>
    </xf>
    <xf numFmtId="0" fontId="56" fillId="0" borderId="1" xfId="8" applyFont="1" applyBorder="1" applyAlignment="1" applyProtection="1">
      <alignment horizontal="center" vertical="center" wrapText="1"/>
    </xf>
    <xf numFmtId="0" fontId="79" fillId="6" borderId="1" xfId="8" applyFont="1" applyFill="1" applyBorder="1" applyAlignment="1" applyProtection="1">
      <alignment horizontal="center" vertical="center"/>
    </xf>
    <xf numFmtId="2" fontId="79" fillId="6" borderId="1" xfId="9" applyNumberFormat="1" applyFont="1" applyFill="1" applyBorder="1" applyAlignment="1" applyProtection="1">
      <alignment vertical="center" wrapText="1"/>
    </xf>
    <xf numFmtId="0" fontId="106" fillId="0" borderId="1" xfId="0" applyFont="1" applyBorder="1" applyAlignment="1" applyProtection="1">
      <alignment vertical="center" wrapText="1"/>
    </xf>
    <xf numFmtId="2" fontId="57" fillId="2" borderId="1" xfId="8" applyNumberFormat="1" applyFont="1" applyFill="1" applyBorder="1" applyAlignment="1" applyProtection="1">
      <alignment vertical="center" wrapText="1"/>
    </xf>
    <xf numFmtId="2" fontId="57" fillId="0" borderId="1" xfId="8" applyNumberFormat="1" applyFont="1" applyBorder="1" applyAlignment="1" applyProtection="1">
      <alignment vertical="center" wrapText="1"/>
    </xf>
    <xf numFmtId="2" fontId="79" fillId="27" borderId="1" xfId="8" applyNumberFormat="1" applyFont="1" applyFill="1" applyBorder="1" applyAlignment="1" applyProtection="1">
      <alignment horizontal="right" vertical="center" wrapText="1"/>
    </xf>
    <xf numFmtId="2" fontId="57" fillId="4" borderId="1" xfId="8" applyNumberFormat="1" applyFont="1" applyFill="1" applyBorder="1" applyAlignment="1" applyProtection="1">
      <alignment vertical="center" wrapText="1"/>
    </xf>
    <xf numFmtId="2" fontId="79" fillId="4" borderId="1" xfId="8" applyNumberFormat="1" applyFont="1" applyFill="1" applyBorder="1" applyAlignment="1" applyProtection="1">
      <alignment vertical="center" wrapText="1"/>
    </xf>
    <xf numFmtId="0" fontId="96" fillId="0" borderId="0" xfId="0" applyFont="1" applyAlignment="1" applyProtection="1">
      <alignment vertical="center" wrapText="1"/>
    </xf>
    <xf numFmtId="0" fontId="79" fillId="28" borderId="2" xfId="8" applyFont="1" applyFill="1" applyBorder="1" applyAlignment="1" applyProtection="1">
      <alignment horizontal="center" vertical="center"/>
    </xf>
    <xf numFmtId="0" fontId="57" fillId="0" borderId="1" xfId="9" applyFont="1" applyBorder="1" applyAlignment="1" applyProtection="1">
      <alignment horizontal="left" vertical="center"/>
    </xf>
    <xf numFmtId="2" fontId="57" fillId="0" borderId="1" xfId="4" applyNumberFormat="1" applyFont="1" applyBorder="1" applyAlignment="1" applyProtection="1">
      <alignment horizontal="left" vertical="center" wrapText="1"/>
    </xf>
    <xf numFmtId="0" fontId="79" fillId="6" borderId="1" xfId="4" applyFont="1" applyFill="1" applyBorder="1" applyAlignment="1" applyProtection="1">
      <alignment horizontal="center" vertical="center" wrapText="1"/>
    </xf>
    <xf numFmtId="2" fontId="79" fillId="6" borderId="1" xfId="4" applyNumberFormat="1" applyFont="1" applyFill="1" applyBorder="1" applyAlignment="1" applyProtection="1">
      <alignment horizontal="right" vertical="center" wrapText="1"/>
    </xf>
    <xf numFmtId="0" fontId="82" fillId="0" borderId="1" xfId="0" applyFont="1" applyBorder="1" applyAlignment="1" applyProtection="1">
      <alignment wrapText="1"/>
    </xf>
    <xf numFmtId="0" fontId="79" fillId="28" borderId="1" xfId="9" applyFont="1" applyFill="1" applyBorder="1" applyAlignment="1" applyProtection="1">
      <alignment horizontal="center" vertical="center"/>
    </xf>
    <xf numFmtId="0" fontId="57" fillId="0" borderId="1" xfId="9" applyFont="1" applyBorder="1" applyAlignment="1" applyProtection="1">
      <alignment horizontal="center" vertical="center"/>
    </xf>
    <xf numFmtId="0" fontId="57" fillId="0" borderId="3" xfId="8" applyFont="1" applyBorder="1" applyAlignment="1" applyProtection="1">
      <alignment horizontal="left" vertical="center" wrapText="1"/>
    </xf>
    <xf numFmtId="0" fontId="79" fillId="28" borderId="3" xfId="8" applyFont="1" applyFill="1" applyBorder="1" applyAlignment="1" applyProtection="1">
      <alignment horizontal="center" vertical="center"/>
    </xf>
    <xf numFmtId="0" fontId="57" fillId="0" borderId="3" xfId="8" applyFont="1" applyBorder="1" applyAlignment="1" applyProtection="1">
      <alignment horizontal="center" vertical="center"/>
    </xf>
    <xf numFmtId="0" fontId="79" fillId="4" borderId="1" xfId="4" applyFont="1" applyFill="1" applyBorder="1" applyAlignment="1" applyProtection="1">
      <alignment horizontal="left" vertical="center" wrapText="1"/>
    </xf>
    <xf numFmtId="2" fontId="79" fillId="4" borderId="1" xfId="4" applyNumberFormat="1" applyFont="1" applyFill="1" applyBorder="1" applyAlignment="1" applyProtection="1">
      <alignment horizontal="left" vertical="center" wrapText="1"/>
    </xf>
    <xf numFmtId="2" fontId="79" fillId="4" borderId="1" xfId="4" applyNumberFormat="1" applyFont="1" applyFill="1" applyBorder="1" applyAlignment="1" applyProtection="1">
      <alignment horizontal="right" vertical="center" wrapText="1"/>
    </xf>
    <xf numFmtId="0" fontId="57" fillId="11" borderId="1" xfId="4" applyFont="1" applyFill="1" applyBorder="1" applyAlignment="1" applyProtection="1">
      <alignment horizontal="left" vertical="center" wrapText="1"/>
    </xf>
    <xf numFmtId="0" fontId="57" fillId="11" borderId="1" xfId="9" applyFont="1" applyFill="1" applyBorder="1" applyAlignment="1" applyProtection="1">
      <alignment horizontal="center" vertical="center"/>
    </xf>
    <xf numFmtId="0" fontId="57" fillId="11" borderId="1" xfId="9" applyFont="1" applyFill="1" applyBorder="1" applyAlignment="1" applyProtection="1">
      <alignment horizontal="left" vertical="center" wrapText="1"/>
    </xf>
    <xf numFmtId="0" fontId="57" fillId="0" borderId="1" xfId="8" applyFont="1" applyBorder="1" applyAlignment="1" applyProtection="1">
      <alignment vertical="center"/>
    </xf>
    <xf numFmtId="2" fontId="57" fillId="4" borderId="1" xfId="4" applyNumberFormat="1" applyFont="1" applyFill="1" applyBorder="1" applyAlignment="1" applyProtection="1">
      <alignment vertical="center" wrapText="1"/>
    </xf>
    <xf numFmtId="2" fontId="79" fillId="4" borderId="1" xfId="4" applyNumberFormat="1" applyFont="1" applyFill="1" applyBorder="1" applyAlignment="1" applyProtection="1">
      <alignment vertical="center" wrapText="1"/>
    </xf>
    <xf numFmtId="2" fontId="79" fillId="3" borderId="1" xfId="4" applyNumberFormat="1" applyFont="1" applyFill="1" applyBorder="1" applyAlignment="1" applyProtection="1">
      <alignment horizontal="left" vertical="center" wrapText="1"/>
    </xf>
    <xf numFmtId="2" fontId="79" fillId="3" borderId="1" xfId="4" applyNumberFormat="1" applyFont="1" applyFill="1" applyBorder="1" applyAlignment="1" applyProtection="1">
      <alignment horizontal="right" vertical="center" wrapText="1"/>
    </xf>
    <xf numFmtId="0" fontId="79" fillId="4" borderId="1" xfId="8" applyFont="1" applyFill="1" applyBorder="1" applyAlignment="1" applyProtection="1">
      <alignment horizontal="left" vertical="center"/>
    </xf>
    <xf numFmtId="0" fontId="57" fillId="4" borderId="1" xfId="8" applyFont="1" applyFill="1" applyBorder="1" applyAlignment="1" applyProtection="1">
      <alignment horizontal="left" vertical="center"/>
    </xf>
    <xf numFmtId="0" fontId="79" fillId="4" borderId="1" xfId="8" applyFont="1" applyFill="1" applyBorder="1" applyAlignment="1" applyProtection="1">
      <alignment horizontal="left" vertical="center" wrapText="1"/>
    </xf>
    <xf numFmtId="0" fontId="55" fillId="0" borderId="1" xfId="8" applyFont="1" applyBorder="1" applyAlignment="1" applyProtection="1">
      <alignment horizontal="center" vertical="center"/>
    </xf>
    <xf numFmtId="0" fontId="57" fillId="38" borderId="1" xfId="4" applyFont="1" applyFill="1" applyBorder="1" applyAlignment="1" applyProtection="1">
      <alignment horizontal="left" vertical="center" wrapText="1"/>
    </xf>
    <xf numFmtId="0" fontId="79" fillId="4" borderId="1" xfId="9" applyFont="1" applyFill="1" applyBorder="1" applyAlignment="1" applyProtection="1">
      <alignment horizontal="center" vertical="center"/>
    </xf>
    <xf numFmtId="2" fontId="79" fillId="4" borderId="1" xfId="9" applyNumberFormat="1" applyFont="1" applyFill="1" applyBorder="1" applyAlignment="1" applyProtection="1">
      <alignment vertical="center" wrapText="1"/>
    </xf>
    <xf numFmtId="0" fontId="55" fillId="0" borderId="1" xfId="9" applyFont="1" applyFill="1" applyBorder="1" applyAlignment="1" applyProtection="1">
      <alignment horizontal="center" vertical="center"/>
    </xf>
    <xf numFmtId="0" fontId="57" fillId="0" borderId="1" xfId="9" applyFont="1" applyFill="1" applyBorder="1" applyAlignment="1" applyProtection="1">
      <alignment horizontal="center" vertical="center"/>
    </xf>
    <xf numFmtId="0" fontId="84" fillId="27" borderId="1" xfId="0" applyFont="1" applyFill="1" applyBorder="1" applyAlignment="1" applyProtection="1">
      <alignment horizontal="center" vertical="center"/>
    </xf>
    <xf numFmtId="0" fontId="82" fillId="27" borderId="1" xfId="0" applyFont="1" applyFill="1" applyBorder="1" applyAlignment="1" applyProtection="1">
      <alignment horizontal="center" vertical="center"/>
    </xf>
    <xf numFmtId="0" fontId="106" fillId="45" borderId="1" xfId="0" applyFont="1" applyFill="1" applyBorder="1" applyAlignment="1" applyProtection="1">
      <alignment vertical="center" wrapText="1"/>
      <protection locked="0"/>
    </xf>
    <xf numFmtId="43" fontId="84" fillId="28" borderId="1" xfId="1" applyFont="1" applyFill="1" applyBorder="1" applyAlignment="1" applyProtection="1">
      <alignment horizontal="center" vertical="center" wrapText="1"/>
    </xf>
    <xf numFmtId="0" fontId="57" fillId="2" borderId="1" xfId="4" applyFont="1" applyFill="1" applyBorder="1" applyAlignment="1" applyProtection="1">
      <alignment vertical="center" wrapText="1"/>
    </xf>
    <xf numFmtId="0" fontId="79" fillId="2" borderId="1" xfId="4" applyFont="1" applyFill="1" applyBorder="1" applyAlignment="1" applyProtection="1">
      <alignment horizontal="center" vertical="center" wrapText="1"/>
    </xf>
    <xf numFmtId="2" fontId="82" fillId="0" borderId="0" xfId="4" applyNumberFormat="1" applyFont="1" applyAlignment="1" applyProtection="1">
      <alignment horizontal="left" vertical="center" wrapText="1"/>
    </xf>
    <xf numFmtId="2" fontId="57" fillId="0" borderId="1" xfId="4" applyNumberFormat="1" applyFont="1" applyFill="1" applyBorder="1" applyAlignment="1" applyProtection="1">
      <alignment horizontal="left" vertical="center" wrapText="1"/>
    </xf>
    <xf numFmtId="2" fontId="57" fillId="0" borderId="1" xfId="4" applyNumberFormat="1" applyFont="1" applyBorder="1" applyAlignment="1" applyProtection="1">
      <alignment horizontal="center" vertical="center" wrapText="1"/>
    </xf>
    <xf numFmtId="0" fontId="82" fillId="0" borderId="1" xfId="38" applyFont="1" applyBorder="1" applyAlignment="1" applyProtection="1">
      <alignment horizontal="left" vertical="center" wrapText="1"/>
    </xf>
    <xf numFmtId="0" fontId="57" fillId="11" borderId="1" xfId="4" applyFont="1" applyFill="1" applyBorder="1" applyAlignment="1" applyProtection="1">
      <alignment vertical="center" wrapText="1"/>
    </xf>
    <xf numFmtId="0" fontId="57" fillId="4" borderId="1" xfId="8" applyFont="1" applyFill="1" applyBorder="1" applyAlignment="1" applyProtection="1">
      <alignment horizontal="left" vertical="center" wrapText="1"/>
    </xf>
    <xf numFmtId="0" fontId="57" fillId="4" borderId="1" xfId="8" applyFont="1" applyFill="1" applyBorder="1" applyAlignment="1" applyProtection="1">
      <alignment horizontal="center" vertical="center" wrapText="1"/>
    </xf>
    <xf numFmtId="2" fontId="57" fillId="4" borderId="1" xfId="4" applyNumberFormat="1" applyFont="1" applyFill="1" applyBorder="1" applyAlignment="1" applyProtection="1">
      <alignment horizontal="center" vertical="center" wrapText="1"/>
    </xf>
    <xf numFmtId="43" fontId="57" fillId="4" borderId="1" xfId="1" applyFont="1" applyFill="1" applyBorder="1" applyAlignment="1" applyProtection="1">
      <alignment vertical="center" wrapText="1"/>
    </xf>
    <xf numFmtId="43" fontId="79" fillId="4" borderId="1" xfId="1" applyFont="1" applyFill="1" applyBorder="1" applyAlignment="1" applyProtection="1">
      <alignment vertical="center" wrapText="1"/>
    </xf>
    <xf numFmtId="0" fontId="79" fillId="0" borderId="1" xfId="8" applyFont="1" applyFill="1" applyBorder="1" applyAlignment="1" applyProtection="1">
      <alignment vertical="center" wrapText="1"/>
    </xf>
    <xf numFmtId="0" fontId="79" fillId="0" borderId="1" xfId="8" applyFont="1" applyBorder="1" applyAlignment="1" applyProtection="1">
      <alignment vertical="center" wrapText="1"/>
    </xf>
    <xf numFmtId="0" fontId="57" fillId="2" borderId="1" xfId="8" applyFont="1" applyFill="1" applyBorder="1" applyAlignment="1" applyProtection="1">
      <alignment horizontal="center" vertical="center" wrapText="1"/>
    </xf>
    <xf numFmtId="0" fontId="57" fillId="0" borderId="0" xfId="62" applyFont="1" applyAlignment="1" applyProtection="1">
      <alignment horizontal="right" vertical="center" wrapText="1"/>
    </xf>
    <xf numFmtId="0" fontId="57" fillId="0" borderId="0" xfId="62" applyFont="1" applyFill="1" applyAlignment="1" applyProtection="1">
      <alignment horizontal="right" vertical="center" wrapText="1"/>
    </xf>
    <xf numFmtId="0" fontId="83" fillId="37" borderId="1" xfId="3" applyFont="1" applyFill="1" applyBorder="1" applyAlignment="1" applyProtection="1">
      <alignment horizontal="left" wrapText="1"/>
    </xf>
    <xf numFmtId="0" fontId="57" fillId="0" borderId="0" xfId="62" applyFont="1" applyFill="1" applyAlignment="1" applyProtection="1">
      <alignment horizontal="center" vertical="center" wrapText="1"/>
    </xf>
    <xf numFmtId="0" fontId="77" fillId="7" borderId="1" xfId="11" applyFont="1" applyFill="1" applyBorder="1" applyAlignment="1" applyProtection="1">
      <alignment horizontal="center" vertical="center" wrapText="1"/>
    </xf>
    <xf numFmtId="0" fontId="77" fillId="7" borderId="1" xfId="11" applyFont="1" applyFill="1" applyBorder="1" applyAlignment="1" applyProtection="1">
      <alignment horizontal="right" vertical="center" wrapText="1"/>
    </xf>
    <xf numFmtId="0" fontId="57" fillId="0" borderId="0" xfId="11" applyFont="1" applyAlignment="1" applyProtection="1">
      <alignment horizontal="right" vertical="center" wrapText="1"/>
    </xf>
    <xf numFmtId="0" fontId="79" fillId="35" borderId="1" xfId="62" applyFont="1" applyFill="1" applyBorder="1" applyAlignment="1" applyProtection="1">
      <alignment horizontal="left" vertical="center" wrapText="1"/>
    </xf>
    <xf numFmtId="0" fontId="79" fillId="35" borderId="1" xfId="62" applyFont="1" applyFill="1" applyBorder="1" applyAlignment="1" applyProtection="1">
      <alignment horizontal="center" vertical="center" wrapText="1"/>
    </xf>
    <xf numFmtId="0" fontId="79" fillId="35" borderId="1" xfId="62" applyFont="1" applyFill="1" applyBorder="1" applyAlignment="1" applyProtection="1">
      <alignment horizontal="right" vertical="center" wrapText="1"/>
    </xf>
    <xf numFmtId="0" fontId="84" fillId="35" borderId="1" xfId="62" applyFont="1" applyFill="1" applyBorder="1" applyAlignment="1" applyProtection="1">
      <alignment horizontal="right" vertical="center" wrapText="1"/>
    </xf>
    <xf numFmtId="0" fontId="79" fillId="0" borderId="0" xfId="62" applyFont="1" applyAlignment="1" applyProtection="1">
      <alignment horizontal="right" vertical="center" wrapText="1"/>
    </xf>
    <xf numFmtId="0" fontId="57" fillId="0" borderId="1" xfId="62" applyFont="1" applyFill="1" applyBorder="1" applyAlignment="1" applyProtection="1">
      <alignment horizontal="left" vertical="center" wrapText="1"/>
    </xf>
    <xf numFmtId="0" fontId="57" fillId="0" borderId="1" xfId="62" applyFont="1" applyBorder="1" applyAlignment="1" applyProtection="1">
      <alignment horizontal="left" vertical="center" wrapText="1"/>
    </xf>
    <xf numFmtId="0" fontId="84" fillId="28" borderId="1" xfId="4" applyFont="1" applyFill="1" applyBorder="1" applyAlignment="1" applyProtection="1">
      <alignment horizontal="center" vertical="center" wrapText="1"/>
    </xf>
    <xf numFmtId="0" fontId="57" fillId="0" borderId="1" xfId="62" applyFont="1" applyBorder="1" applyAlignment="1" applyProtection="1">
      <alignment horizontal="center" vertical="center" wrapText="1"/>
    </xf>
    <xf numFmtId="0" fontId="57" fillId="0" borderId="0" xfId="62" applyFont="1" applyAlignment="1" applyProtection="1">
      <alignment horizontal="left" vertical="center" wrapText="1"/>
    </xf>
    <xf numFmtId="0" fontId="57" fillId="0" borderId="0" xfId="62" applyFont="1" applyAlignment="1" applyProtection="1">
      <alignment horizontal="center" vertical="center" wrapText="1"/>
    </xf>
    <xf numFmtId="0" fontId="82" fillId="0" borderId="0" xfId="62" applyFont="1" applyAlignment="1" applyProtection="1">
      <alignment horizontal="right" vertical="center" wrapText="1"/>
    </xf>
    <xf numFmtId="43" fontId="57" fillId="0" borderId="0" xfId="1" applyFont="1" applyAlignment="1" applyProtection="1">
      <alignment horizontal="right" vertical="center" wrapText="1"/>
    </xf>
    <xf numFmtId="0" fontId="57" fillId="0" borderId="1" xfId="62" applyFont="1" applyBorder="1" applyAlignment="1" applyProtection="1">
      <alignment horizontal="right" vertical="center" wrapText="1"/>
      <protection locked="0"/>
    </xf>
    <xf numFmtId="0" fontId="79" fillId="35" borderId="1" xfId="62" applyFont="1" applyFill="1" applyBorder="1" applyAlignment="1" applyProtection="1">
      <alignment horizontal="right" vertical="center" wrapText="1"/>
      <protection locked="0"/>
    </xf>
    <xf numFmtId="0" fontId="84" fillId="35" borderId="1" xfId="62" applyFont="1" applyFill="1" applyBorder="1" applyAlignment="1" applyProtection="1">
      <alignment horizontal="right" vertical="center" wrapText="1"/>
      <protection locked="0"/>
    </xf>
    <xf numFmtId="0" fontId="57" fillId="0" borderId="1" xfId="62" applyFont="1" applyBorder="1" applyAlignment="1" applyProtection="1">
      <alignment horizontal="left" vertical="center" wrapText="1"/>
      <protection locked="0"/>
    </xf>
    <xf numFmtId="0" fontId="79" fillId="35" borderId="1" xfId="62" applyFont="1" applyFill="1" applyBorder="1" applyAlignment="1" applyProtection="1">
      <alignment horizontal="left" vertical="center" wrapText="1"/>
      <protection locked="0"/>
    </xf>
    <xf numFmtId="0" fontId="82" fillId="0" borderId="0" xfId="8" applyFont="1" applyBorder="1" applyAlignment="1" applyProtection="1">
      <alignment vertical="center" wrapText="1"/>
    </xf>
    <xf numFmtId="0" fontId="57" fillId="0" borderId="0" xfId="62" applyFont="1" applyFill="1" applyAlignment="1" applyProtection="1">
      <alignment horizontal="center" vertical="center"/>
    </xf>
    <xf numFmtId="0" fontId="84" fillId="5" borderId="12" xfId="38" applyFont="1" applyFill="1" applyBorder="1" applyAlignment="1" applyProtection="1">
      <alignment horizontal="center" vertical="center" wrapText="1"/>
    </xf>
    <xf numFmtId="2" fontId="84" fillId="5" borderId="12" xfId="38" applyNumberFormat="1" applyFont="1" applyFill="1" applyBorder="1" applyAlignment="1" applyProtection="1">
      <alignment horizontal="center" vertical="center" wrapText="1"/>
    </xf>
    <xf numFmtId="0" fontId="57" fillId="27" borderId="1" xfId="11" applyFont="1" applyFill="1" applyBorder="1" applyAlignment="1" applyProtection="1">
      <alignment horizontal="center" vertical="center" wrapText="1"/>
    </xf>
    <xf numFmtId="0" fontId="79" fillId="27" borderId="1" xfId="11" applyFont="1" applyFill="1" applyBorder="1" applyAlignment="1" applyProtection="1">
      <alignment horizontal="left" vertical="center" wrapText="1"/>
    </xf>
    <xf numFmtId="43" fontId="79" fillId="27" borderId="1" xfId="1" applyFont="1" applyFill="1" applyBorder="1" applyAlignment="1" applyProtection="1">
      <alignment horizontal="left" vertical="center" wrapText="1"/>
    </xf>
    <xf numFmtId="0" fontId="79" fillId="27" borderId="5" xfId="11" applyFont="1" applyFill="1" applyBorder="1" applyAlignment="1" applyProtection="1">
      <alignment horizontal="left" vertical="center" wrapText="1"/>
    </xf>
    <xf numFmtId="0" fontId="57" fillId="0" borderId="0" xfId="11" applyFont="1" applyFill="1" applyAlignment="1" applyProtection="1">
      <alignment horizontal="center" vertical="center" wrapText="1"/>
    </xf>
    <xf numFmtId="0" fontId="106" fillId="32" borderId="1" xfId="0" applyFont="1" applyFill="1" applyBorder="1" applyAlignment="1" applyProtection="1">
      <alignment horizontal="left" vertical="center" wrapText="1"/>
    </xf>
    <xf numFmtId="0" fontId="57" fillId="0" borderId="0" xfId="62" applyFont="1" applyAlignment="1" applyProtection="1">
      <alignment horizontal="right" vertical="center"/>
    </xf>
    <xf numFmtId="0" fontId="82" fillId="0" borderId="1" xfId="62" applyFont="1" applyBorder="1" applyAlignment="1" applyProtection="1">
      <alignment horizontal="left" vertical="center"/>
    </xf>
    <xf numFmtId="2" fontId="82" fillId="0" borderId="1" xfId="11" applyNumberFormat="1" applyFont="1" applyBorder="1" applyAlignment="1" applyProtection="1">
      <alignment horizontal="right" vertical="center" wrapText="1"/>
    </xf>
    <xf numFmtId="0" fontId="82" fillId="0" borderId="1" xfId="62" applyFont="1" applyBorder="1" applyAlignment="1" applyProtection="1">
      <alignment horizontal="left" vertical="center" wrapText="1"/>
    </xf>
    <xf numFmtId="49" fontId="82" fillId="0" borderId="1" xfId="4" applyNumberFormat="1" applyFont="1" applyFill="1" applyBorder="1" applyAlignment="1" applyProtection="1">
      <alignment horizontal="left" vertical="center" wrapText="1"/>
    </xf>
    <xf numFmtId="0" fontId="82" fillId="0" borderId="1" xfId="62" applyFont="1" applyBorder="1" applyAlignment="1" applyProtection="1">
      <alignment horizontal="center" vertical="center"/>
    </xf>
    <xf numFmtId="0" fontId="106" fillId="47" borderId="1" xfId="0" applyFont="1" applyFill="1" applyBorder="1" applyAlignment="1" applyProtection="1">
      <alignment horizontal="left" vertical="center" wrapText="1"/>
    </xf>
    <xf numFmtId="0" fontId="84" fillId="2" borderId="1" xfId="4" quotePrefix="1" applyFont="1" applyFill="1" applyBorder="1" applyAlignment="1" applyProtection="1">
      <alignment horizontal="left" vertical="center" wrapText="1"/>
    </xf>
    <xf numFmtId="0" fontId="82" fillId="0" borderId="1" xfId="62" applyFont="1" applyFill="1" applyBorder="1" applyAlignment="1" applyProtection="1">
      <alignment horizontal="left" vertical="center"/>
    </xf>
    <xf numFmtId="2" fontId="82" fillId="0" borderId="1" xfId="11" applyNumberFormat="1" applyFont="1" applyFill="1" applyBorder="1" applyAlignment="1" applyProtection="1">
      <alignment horizontal="right" vertical="center" wrapText="1"/>
    </xf>
    <xf numFmtId="0" fontId="57" fillId="0" borderId="0" xfId="62" applyFont="1" applyFill="1" applyAlignment="1" applyProtection="1">
      <alignment horizontal="right" vertical="center"/>
    </xf>
    <xf numFmtId="0" fontId="82" fillId="0" borderId="0" xfId="62" applyFont="1" applyAlignment="1" applyProtection="1">
      <alignment horizontal="right" vertical="center"/>
    </xf>
    <xf numFmtId="0" fontId="84" fillId="4" borderId="12" xfId="4" applyFont="1" applyFill="1" applyBorder="1" applyAlignment="1" applyProtection="1">
      <alignment horizontal="left" vertical="center" wrapText="1"/>
    </xf>
    <xf numFmtId="0" fontId="82" fillId="4" borderId="12" xfId="4" applyFont="1" applyFill="1" applyBorder="1" applyAlignment="1" applyProtection="1">
      <alignment horizontal="left" vertical="center" wrapText="1"/>
    </xf>
    <xf numFmtId="0" fontId="106" fillId="44" borderId="1" xfId="0" applyFont="1" applyFill="1" applyBorder="1" applyAlignment="1" applyProtection="1">
      <alignment horizontal="left" vertical="center" wrapText="1"/>
    </xf>
    <xf numFmtId="0" fontId="57" fillId="0" borderId="1" xfId="62" applyFont="1" applyBorder="1" applyAlignment="1" applyProtection="1">
      <alignment horizontal="center" vertical="center"/>
    </xf>
    <xf numFmtId="0" fontId="82" fillId="0" borderId="1" xfId="62" applyFont="1" applyBorder="1" applyAlignment="1" applyProtection="1">
      <alignment horizontal="center" vertical="center" wrapText="1"/>
    </xf>
    <xf numFmtId="0" fontId="82" fillId="0" borderId="1" xfId="62" applyFont="1" applyFill="1" applyBorder="1" applyAlignment="1" applyProtection="1">
      <alignment horizontal="center" vertical="center"/>
    </xf>
    <xf numFmtId="0" fontId="82" fillId="0" borderId="1" xfId="62" applyFont="1" applyFill="1" applyBorder="1" applyAlignment="1" applyProtection="1">
      <alignment horizontal="left" vertical="center" wrapText="1"/>
    </xf>
    <xf numFmtId="0" fontId="55" fillId="0" borderId="1" xfId="4" applyFont="1" applyFill="1" applyBorder="1" applyAlignment="1" applyProtection="1">
      <alignment horizontal="left" vertical="center" wrapText="1"/>
    </xf>
    <xf numFmtId="0" fontId="57" fillId="0" borderId="0" xfId="62" applyFont="1" applyAlignment="1" applyProtection="1">
      <alignment horizontal="left" vertical="center"/>
    </xf>
    <xf numFmtId="0" fontId="57" fillId="0" borderId="0" xfId="62" applyFont="1" applyFill="1" applyAlignment="1" applyProtection="1">
      <alignment horizontal="left" vertical="center"/>
    </xf>
    <xf numFmtId="0" fontId="57" fillId="0" borderId="0" xfId="62" applyFont="1" applyAlignment="1" applyProtection="1">
      <alignment vertical="center" wrapText="1"/>
    </xf>
    <xf numFmtId="0" fontId="57" fillId="0" borderId="0" xfId="62" applyFont="1" applyFill="1" applyAlignment="1" applyProtection="1">
      <alignment vertical="center" wrapText="1"/>
    </xf>
    <xf numFmtId="0" fontId="83" fillId="37" borderId="1" xfId="3" applyFont="1" applyFill="1" applyBorder="1" applyAlignment="1" applyProtection="1">
      <alignment wrapText="1"/>
    </xf>
    <xf numFmtId="0" fontId="57" fillId="0" borderId="1" xfId="62" applyFont="1" applyFill="1" applyBorder="1" applyAlignment="1" applyProtection="1">
      <alignment vertical="center" wrapText="1"/>
    </xf>
    <xf numFmtId="2" fontId="77" fillId="7" borderId="1" xfId="11" applyNumberFormat="1" applyFont="1" applyFill="1" applyBorder="1" applyAlignment="1" applyProtection="1">
      <alignment horizontal="left" vertical="center" wrapText="1"/>
    </xf>
    <xf numFmtId="0" fontId="79" fillId="35" borderId="1" xfId="82" applyFont="1" applyFill="1" applyBorder="1" applyAlignment="1" applyProtection="1">
      <alignment horizontal="center" vertical="center" wrapText="1"/>
    </xf>
    <xf numFmtId="0" fontId="57" fillId="35" borderId="1" xfId="82" applyFont="1" applyFill="1" applyBorder="1" applyAlignment="1" applyProtection="1">
      <alignment horizontal="center" vertical="center" wrapText="1"/>
    </xf>
    <xf numFmtId="0" fontId="79" fillId="35" borderId="1" xfId="82" applyFont="1" applyFill="1" applyBorder="1" applyAlignment="1" applyProtection="1">
      <alignment vertical="center" wrapText="1"/>
    </xf>
    <xf numFmtId="0" fontId="57" fillId="35" borderId="1" xfId="82" applyFont="1" applyFill="1" applyBorder="1" applyAlignment="1" applyProtection="1">
      <alignment vertical="center" wrapText="1"/>
    </xf>
    <xf numFmtId="0" fontId="82" fillId="35" borderId="1" xfId="82" applyFont="1" applyFill="1" applyBorder="1" applyAlignment="1" applyProtection="1">
      <alignment vertical="center" wrapText="1"/>
    </xf>
    <xf numFmtId="2" fontId="57" fillId="35" borderId="1" xfId="82" applyNumberFormat="1" applyFont="1" applyFill="1" applyBorder="1" applyAlignment="1" applyProtection="1">
      <alignment vertical="center" wrapText="1"/>
    </xf>
    <xf numFmtId="2" fontId="79" fillId="35" borderId="1" xfId="82" applyNumberFormat="1" applyFont="1" applyFill="1" applyBorder="1" applyAlignment="1" applyProtection="1">
      <alignment vertical="center" wrapText="1"/>
    </xf>
    <xf numFmtId="0" fontId="57" fillId="35" borderId="1" xfId="82" applyFont="1" applyFill="1" applyBorder="1" applyAlignment="1" applyProtection="1">
      <alignment horizontal="left" vertical="center" wrapText="1"/>
    </xf>
    <xf numFmtId="0" fontId="57" fillId="0" borderId="0" xfId="82" applyFont="1" applyAlignment="1" applyProtection="1">
      <alignment vertical="center" wrapText="1"/>
    </xf>
    <xf numFmtId="0" fontId="57" fillId="0" borderId="1" xfId="82" applyFont="1" applyFill="1" applyBorder="1" applyAlignment="1" applyProtection="1">
      <alignment horizontal="center" vertical="center" wrapText="1"/>
    </xf>
    <xf numFmtId="0" fontId="57" fillId="0" borderId="1" xfId="82" applyFont="1" applyBorder="1" applyAlignment="1" applyProtection="1">
      <alignment horizontal="center" vertical="center" wrapText="1"/>
    </xf>
    <xf numFmtId="0" fontId="57" fillId="0" borderId="1" xfId="82" applyFont="1" applyBorder="1" applyAlignment="1" applyProtection="1">
      <alignment vertical="center" wrapText="1"/>
    </xf>
    <xf numFmtId="0" fontId="79" fillId="28" borderId="1" xfId="4" applyFont="1" applyFill="1" applyBorder="1" applyAlignment="1" applyProtection="1">
      <alignment horizontal="center" vertical="center" wrapText="1"/>
    </xf>
    <xf numFmtId="0" fontId="57" fillId="0" borderId="1" xfId="82" applyFont="1" applyBorder="1" applyAlignment="1" applyProtection="1">
      <alignment horizontal="center" vertical="center"/>
    </xf>
    <xf numFmtId="2" fontId="57" fillId="0" borderId="1" xfId="82" applyNumberFormat="1" applyFont="1" applyBorder="1" applyAlignment="1" applyProtection="1">
      <alignment vertical="center" wrapText="1"/>
    </xf>
    <xf numFmtId="0" fontId="57" fillId="0" borderId="1" xfId="82" applyFont="1" applyBorder="1" applyAlignment="1" applyProtection="1">
      <alignment horizontal="left" vertical="center" wrapText="1"/>
    </xf>
    <xf numFmtId="0" fontId="79" fillId="10" borderId="1" xfId="82" applyFont="1" applyFill="1" applyBorder="1" applyAlignment="1" applyProtection="1">
      <alignment horizontal="center" vertical="center" wrapText="1"/>
    </xf>
    <xf numFmtId="0" fontId="79" fillId="27" borderId="1" xfId="82" applyFont="1" applyFill="1" applyBorder="1" applyAlignment="1" applyProtection="1">
      <alignment horizontal="center" vertical="center" wrapText="1"/>
    </xf>
    <xf numFmtId="0" fontId="57" fillId="0" borderId="0" xfId="82" applyFont="1" applyAlignment="1" applyProtection="1">
      <alignment horizontal="center" vertical="center" wrapText="1"/>
    </xf>
    <xf numFmtId="0" fontId="79" fillId="0" borderId="0" xfId="82" applyFont="1" applyAlignment="1" applyProtection="1">
      <alignment vertical="center" wrapText="1"/>
    </xf>
    <xf numFmtId="0" fontId="82" fillId="0" borderId="0" xfId="82" applyFont="1" applyAlignment="1" applyProtection="1">
      <alignment vertical="center" wrapText="1"/>
    </xf>
    <xf numFmtId="2" fontId="57" fillId="0" borderId="0" xfId="82" applyNumberFormat="1" applyFont="1" applyAlignment="1" applyProtection="1">
      <alignment vertical="center" wrapText="1"/>
    </xf>
    <xf numFmtId="0" fontId="57" fillId="0" borderId="0" xfId="82" applyFont="1" applyAlignment="1" applyProtection="1">
      <alignment horizontal="left" vertical="center" wrapText="1"/>
    </xf>
    <xf numFmtId="0" fontId="82" fillId="0" borderId="1" xfId="82" applyFont="1" applyBorder="1" applyAlignment="1" applyProtection="1">
      <alignment vertical="center" wrapText="1"/>
      <protection locked="0"/>
    </xf>
    <xf numFmtId="2" fontId="57" fillId="0" borderId="1" xfId="82" applyNumberFormat="1" applyFont="1" applyBorder="1" applyAlignment="1" applyProtection="1">
      <alignment vertical="center" wrapText="1"/>
      <protection locked="0"/>
    </xf>
    <xf numFmtId="0" fontId="57" fillId="35" borderId="1" xfId="82" applyFont="1" applyFill="1" applyBorder="1" applyAlignment="1" applyProtection="1">
      <alignment vertical="center" wrapText="1"/>
      <protection locked="0"/>
    </xf>
    <xf numFmtId="0" fontId="82" fillId="35" borderId="1" xfId="82" applyFont="1" applyFill="1" applyBorder="1" applyAlignment="1" applyProtection="1">
      <alignment vertical="center" wrapText="1"/>
      <protection locked="0"/>
    </xf>
    <xf numFmtId="2" fontId="57" fillId="35" borderId="1" xfId="82" applyNumberFormat="1" applyFont="1" applyFill="1" applyBorder="1" applyAlignment="1" applyProtection="1">
      <alignment vertical="center" wrapText="1"/>
      <protection locked="0"/>
    </xf>
    <xf numFmtId="0" fontId="57" fillId="0" borderId="1" xfId="82" applyFont="1" applyBorder="1" applyAlignment="1" applyProtection="1">
      <alignment horizontal="left" vertical="center" wrapText="1"/>
      <protection locked="0"/>
    </xf>
    <xf numFmtId="0" fontId="57" fillId="35" borderId="1" xfId="82" applyFont="1" applyFill="1" applyBorder="1" applyAlignment="1" applyProtection="1">
      <alignment horizontal="left" vertical="center" wrapText="1"/>
      <protection locked="0"/>
    </xf>
    <xf numFmtId="0" fontId="57" fillId="2" borderId="1" xfId="4" applyFont="1" applyFill="1" applyBorder="1" applyAlignment="1" applyProtection="1">
      <alignment horizontal="center" vertical="center" wrapText="1"/>
    </xf>
    <xf numFmtId="0" fontId="79" fillId="2" borderId="5" xfId="4" applyFont="1" applyFill="1" applyBorder="1" applyAlignment="1" applyProtection="1">
      <alignment horizontal="left" vertical="center" wrapText="1"/>
    </xf>
    <xf numFmtId="0" fontId="57" fillId="0" borderId="1" xfId="82" applyFont="1" applyBorder="1" applyAlignment="1" applyProtection="1">
      <alignment vertical="center"/>
    </xf>
    <xf numFmtId="0" fontId="57" fillId="0" borderId="1" xfId="4" applyFont="1" applyBorder="1" applyAlignment="1" applyProtection="1">
      <alignment horizontal="center" vertical="center" wrapText="1"/>
    </xf>
    <xf numFmtId="0" fontId="57" fillId="0" borderId="0" xfId="82" applyFont="1" applyAlignment="1" applyProtection="1">
      <alignment vertical="center"/>
    </xf>
    <xf numFmtId="0" fontId="57" fillId="0" borderId="1" xfId="82" applyFont="1" applyFill="1" applyBorder="1" applyAlignment="1" applyProtection="1">
      <alignment vertical="center"/>
    </xf>
    <xf numFmtId="0" fontId="79" fillId="0" borderId="1" xfId="4" applyFont="1" applyBorder="1" applyAlignment="1" applyProtection="1">
      <alignment vertical="center" wrapText="1"/>
    </xf>
    <xf numFmtId="2" fontId="57" fillId="0" borderId="1" xfId="4" applyNumberFormat="1" applyFont="1" applyBorder="1" applyAlignment="1" applyProtection="1">
      <alignment vertical="center" wrapText="1"/>
    </xf>
    <xf numFmtId="2" fontId="79" fillId="2" borderId="1" xfId="4" applyNumberFormat="1" applyFont="1" applyFill="1" applyBorder="1" applyAlignment="1" applyProtection="1">
      <alignment horizontal="left" vertical="center" wrapText="1"/>
    </xf>
    <xf numFmtId="0" fontId="57" fillId="0" borderId="1" xfId="0" applyFont="1" applyBorder="1" applyAlignment="1" applyProtection="1">
      <alignment horizontal="left"/>
    </xf>
    <xf numFmtId="0" fontId="55" fillId="0" borderId="1" xfId="82" applyFont="1" applyBorder="1" applyAlignment="1" applyProtection="1">
      <alignment horizontal="center" vertical="center"/>
    </xf>
    <xf numFmtId="0" fontId="57" fillId="0" borderId="1" xfId="0" applyFont="1" applyBorder="1" applyAlignment="1" applyProtection="1">
      <alignment vertical="center"/>
    </xf>
    <xf numFmtId="0" fontId="57" fillId="0" borderId="1" xfId="0" applyFont="1" applyBorder="1" applyAlignment="1" applyProtection="1">
      <alignment horizontal="left" wrapText="1"/>
    </xf>
    <xf numFmtId="0" fontId="57" fillId="0" borderId="1" xfId="82" applyFont="1" applyFill="1" applyBorder="1" applyAlignment="1" applyProtection="1">
      <alignment horizontal="left" vertical="center" wrapText="1"/>
    </xf>
    <xf numFmtId="0" fontId="57" fillId="0" borderId="0" xfId="82" applyFont="1" applyFill="1" applyAlignment="1" applyProtection="1">
      <alignment vertical="center"/>
    </xf>
    <xf numFmtId="0" fontId="57" fillId="0" borderId="1" xfId="82" applyFont="1" applyBorder="1" applyAlignment="1" applyProtection="1">
      <alignment horizontal="left" vertical="center"/>
    </xf>
    <xf numFmtId="0" fontId="57" fillId="0" borderId="1" xfId="82" applyFont="1" applyFill="1" applyBorder="1" applyAlignment="1" applyProtection="1">
      <alignment vertical="center" wrapText="1"/>
    </xf>
    <xf numFmtId="0" fontId="57" fillId="0" borderId="1" xfId="82" applyFont="1" applyFill="1" applyBorder="1" applyAlignment="1" applyProtection="1">
      <alignment horizontal="center" vertical="center"/>
    </xf>
    <xf numFmtId="0" fontId="79" fillId="0" borderId="1" xfId="11" applyFont="1" applyFill="1" applyBorder="1" applyAlignment="1" applyProtection="1">
      <alignment horizontal="left" vertical="center" wrapText="1"/>
    </xf>
    <xf numFmtId="0" fontId="55" fillId="0" borderId="1" xfId="11" applyFont="1" applyFill="1" applyBorder="1" applyAlignment="1" applyProtection="1">
      <alignment horizontal="center" vertical="center" wrapText="1"/>
    </xf>
    <xf numFmtId="0" fontId="57" fillId="0" borderId="1" xfId="82" applyFont="1" applyFill="1" applyBorder="1" applyAlignment="1" applyProtection="1">
      <alignment horizontal="left" vertical="center"/>
    </xf>
    <xf numFmtId="0" fontId="79" fillId="0" borderId="0" xfId="82" applyFont="1" applyAlignment="1" applyProtection="1">
      <alignment vertical="center"/>
    </xf>
    <xf numFmtId="0" fontId="57" fillId="0" borderId="0" xfId="82" applyFont="1" applyAlignment="1" applyProtection="1">
      <alignment horizontal="center" vertical="center"/>
    </xf>
    <xf numFmtId="0" fontId="82" fillId="0" borderId="0" xfId="82" applyFont="1" applyAlignment="1" applyProtection="1">
      <alignment vertical="center"/>
    </xf>
    <xf numFmtId="0" fontId="57" fillId="0" borderId="0" xfId="82" applyFont="1" applyAlignment="1" applyProtection="1">
      <alignment horizontal="left" vertical="center"/>
    </xf>
    <xf numFmtId="0" fontId="57" fillId="15" borderId="1" xfId="8" applyFont="1" applyFill="1" applyBorder="1" applyAlignment="1" applyProtection="1">
      <alignment horizontal="center" vertical="center"/>
    </xf>
    <xf numFmtId="43" fontId="83" fillId="37" borderId="1" xfId="1" applyFont="1" applyFill="1" applyBorder="1" applyAlignment="1" applyProtection="1">
      <alignment horizontal="left"/>
    </xf>
    <xf numFmtId="43" fontId="57" fillId="0" borderId="0" xfId="1" applyFont="1" applyFill="1" applyAlignment="1" applyProtection="1">
      <alignment vertical="center"/>
    </xf>
    <xf numFmtId="43" fontId="79" fillId="0" borderId="1" xfId="1" applyFont="1" applyFill="1" applyBorder="1" applyProtection="1"/>
    <xf numFmtId="0" fontId="57" fillId="0" borderId="0" xfId="8" applyFont="1" applyFill="1" applyAlignment="1" applyProtection="1">
      <alignment horizontal="center" vertical="center"/>
    </xf>
    <xf numFmtId="0" fontId="79" fillId="6" borderId="1" xfId="8" applyFont="1" applyFill="1" applyBorder="1" applyAlignment="1" applyProtection="1">
      <alignment vertical="center"/>
    </xf>
    <xf numFmtId="167" fontId="79" fillId="6" borderId="1" xfId="8" applyNumberFormat="1" applyFont="1" applyFill="1" applyBorder="1" applyAlignment="1" applyProtection="1">
      <alignment horizontal="right" vertical="center" wrapText="1"/>
    </xf>
    <xf numFmtId="0" fontId="79" fillId="6" borderId="1" xfId="8" applyFont="1" applyFill="1" applyBorder="1" applyAlignment="1" applyProtection="1">
      <alignment vertical="center" wrapText="1"/>
    </xf>
    <xf numFmtId="0" fontId="79" fillId="0" borderId="1" xfId="8" applyFont="1" applyBorder="1" applyAlignment="1" applyProtection="1">
      <alignment horizontal="left" vertical="center"/>
    </xf>
    <xf numFmtId="2" fontId="79" fillId="6" borderId="1" xfId="4" applyNumberFormat="1" applyFont="1" applyFill="1" applyBorder="1" applyAlignment="1" applyProtection="1">
      <alignment horizontal="left" vertical="center" wrapText="1"/>
    </xf>
    <xf numFmtId="0" fontId="79" fillId="6" borderId="1" xfId="8" applyFont="1" applyFill="1" applyBorder="1" applyAlignment="1" applyProtection="1">
      <alignment horizontal="left" vertical="center" wrapText="1"/>
    </xf>
    <xf numFmtId="0" fontId="57" fillId="28" borderId="1" xfId="8" applyFont="1" applyFill="1" applyBorder="1" applyAlignment="1" applyProtection="1">
      <alignment horizontal="center" vertical="center"/>
    </xf>
    <xf numFmtId="0" fontId="57" fillId="0" borderId="1" xfId="8" applyFont="1" applyFill="1" applyBorder="1" applyAlignment="1" applyProtection="1">
      <alignment vertical="center"/>
    </xf>
    <xf numFmtId="0" fontId="77" fillId="15" borderId="1" xfId="8" applyFont="1" applyFill="1" applyBorder="1" applyAlignment="1" applyProtection="1">
      <alignment vertical="center"/>
    </xf>
    <xf numFmtId="0" fontId="79" fillId="0" borderId="1" xfId="8" applyFont="1" applyFill="1" applyBorder="1" applyAlignment="1" applyProtection="1">
      <alignment horizontal="center" vertical="center"/>
    </xf>
    <xf numFmtId="43" fontId="57" fillId="11" borderId="1" xfId="1" applyFont="1" applyFill="1" applyBorder="1" applyAlignment="1" applyProtection="1">
      <alignment horizontal="right" vertical="center" wrapText="1"/>
    </xf>
    <xf numFmtId="1" fontId="79" fillId="0" borderId="1" xfId="8" applyNumberFormat="1" applyFont="1" applyFill="1" applyBorder="1" applyAlignment="1" applyProtection="1">
      <alignment horizontal="left" vertical="center" wrapText="1"/>
    </xf>
    <xf numFmtId="1" fontId="57" fillId="2" borderId="1" xfId="8" applyNumberFormat="1" applyFont="1" applyFill="1" applyBorder="1" applyAlignment="1" applyProtection="1">
      <alignment horizontal="left" vertical="center" wrapText="1"/>
    </xf>
    <xf numFmtId="1" fontId="57" fillId="0" borderId="1" xfId="4" applyNumberFormat="1" applyFont="1" applyFill="1" applyBorder="1" applyAlignment="1" applyProtection="1">
      <alignment horizontal="left" vertical="center" wrapText="1"/>
    </xf>
    <xf numFmtId="0" fontId="80" fillId="19" borderId="1" xfId="4" applyFont="1" applyFill="1" applyBorder="1" applyAlignment="1" applyProtection="1">
      <alignment vertical="center" wrapText="1"/>
      <protection locked="0"/>
    </xf>
    <xf numFmtId="0" fontId="80" fillId="19" borderId="1" xfId="8" applyFont="1" applyFill="1" applyBorder="1" applyAlignment="1" applyProtection="1">
      <alignment vertical="center" wrapText="1"/>
      <protection locked="0"/>
    </xf>
    <xf numFmtId="0" fontId="57" fillId="0" borderId="0" xfId="8" applyFont="1" applyAlignment="1" applyProtection="1">
      <alignment vertical="center"/>
      <protection locked="0"/>
    </xf>
    <xf numFmtId="0" fontId="77" fillId="15" borderId="1" xfId="11" applyFont="1" applyFill="1" applyBorder="1" applyAlignment="1" applyProtection="1">
      <alignment vertical="center"/>
    </xf>
    <xf numFmtId="0" fontId="57" fillId="0" borderId="0" xfId="11" applyFont="1" applyAlignment="1" applyProtection="1">
      <alignment vertical="center"/>
    </xf>
    <xf numFmtId="0" fontId="57" fillId="0" borderId="0" xfId="11" applyFont="1" applyFill="1" applyAlignment="1" applyProtection="1">
      <alignment vertical="center"/>
    </xf>
    <xf numFmtId="43" fontId="83" fillId="37" borderId="1" xfId="1" applyFont="1" applyFill="1" applyBorder="1" applyAlignment="1" applyProtection="1">
      <alignment horizontal="left" vertical="center"/>
    </xf>
    <xf numFmtId="43" fontId="57" fillId="0" borderId="1" xfId="1" applyFont="1" applyFill="1" applyBorder="1" applyAlignment="1" applyProtection="1">
      <alignment vertical="center"/>
    </xf>
    <xf numFmtId="0" fontId="57" fillId="0" borderId="0" xfId="11" applyFont="1" applyFill="1" applyAlignment="1" applyProtection="1">
      <alignment horizontal="center" vertical="center"/>
    </xf>
    <xf numFmtId="0" fontId="57" fillId="0" borderId="0" xfId="11" applyFont="1" applyAlignment="1" applyProtection="1">
      <alignment horizontal="center" vertical="center"/>
    </xf>
    <xf numFmtId="0" fontId="79" fillId="2" borderId="1" xfId="11" applyFont="1" applyFill="1" applyBorder="1" applyAlignment="1" applyProtection="1">
      <alignment horizontal="left" vertical="center"/>
    </xf>
    <xf numFmtId="0" fontId="57" fillId="2" borderId="1" xfId="11" applyFont="1" applyFill="1" applyBorder="1" applyAlignment="1" applyProtection="1">
      <alignment horizontal="left" vertical="center" wrapText="1"/>
    </xf>
    <xf numFmtId="0" fontId="79" fillId="2" borderId="1" xfId="11" applyFont="1" applyFill="1" applyBorder="1" applyAlignment="1" applyProtection="1">
      <alignment horizontal="left" vertical="center" wrapText="1"/>
    </xf>
    <xf numFmtId="0" fontId="79" fillId="2" borderId="1" xfId="11" applyFont="1" applyFill="1" applyBorder="1" applyAlignment="1" applyProtection="1">
      <alignment horizontal="center" vertical="center" wrapText="1"/>
    </xf>
    <xf numFmtId="0" fontId="57" fillId="2" borderId="1" xfId="11" applyFont="1" applyFill="1" applyBorder="1" applyAlignment="1" applyProtection="1">
      <alignment horizontal="center" vertical="center" wrapText="1"/>
    </xf>
    <xf numFmtId="0" fontId="57" fillId="0" borderId="1" xfId="11" applyFont="1" applyFill="1" applyBorder="1" applyAlignment="1" applyProtection="1">
      <alignment horizontal="left" vertical="center"/>
    </xf>
    <xf numFmtId="0" fontId="57" fillId="0" borderId="1" xfId="11" applyFont="1" applyBorder="1" applyAlignment="1" applyProtection="1">
      <alignment horizontal="left" vertical="center"/>
    </xf>
    <xf numFmtId="0" fontId="57" fillId="0" borderId="1" xfId="11" applyFont="1" applyBorder="1" applyAlignment="1" applyProtection="1">
      <alignment horizontal="left" vertical="center" wrapText="1"/>
    </xf>
    <xf numFmtId="0" fontId="79" fillId="35" borderId="1" xfId="11" applyFont="1" applyFill="1" applyBorder="1" applyAlignment="1" applyProtection="1">
      <alignment horizontal="left" vertical="center"/>
    </xf>
    <xf numFmtId="0" fontId="57" fillId="35" borderId="1" xfId="4" applyFont="1" applyFill="1" applyBorder="1" applyAlignment="1" applyProtection="1">
      <alignment horizontal="left" vertical="center" wrapText="1"/>
    </xf>
    <xf numFmtId="0" fontId="57" fillId="35" borderId="1" xfId="4" applyFont="1" applyFill="1" applyBorder="1" applyAlignment="1" applyProtection="1">
      <alignment horizontal="center" vertical="center" wrapText="1"/>
    </xf>
    <xf numFmtId="2" fontId="57" fillId="35" borderId="1" xfId="4" applyNumberFormat="1" applyFont="1" applyFill="1" applyBorder="1" applyAlignment="1" applyProtection="1">
      <alignment horizontal="center" vertical="center" wrapText="1"/>
    </xf>
    <xf numFmtId="43" fontId="57" fillId="35" borderId="1" xfId="1" applyFont="1" applyFill="1" applyBorder="1" applyAlignment="1" applyProtection="1">
      <alignment horizontal="right" vertical="center"/>
    </xf>
    <xf numFmtId="43" fontId="79" fillId="35" borderId="1" xfId="1" applyFont="1" applyFill="1" applyBorder="1" applyAlignment="1" applyProtection="1">
      <alignment horizontal="right" vertical="center"/>
    </xf>
    <xf numFmtId="0" fontId="57" fillId="35" borderId="1" xfId="11" applyFont="1" applyFill="1" applyBorder="1" applyAlignment="1" applyProtection="1">
      <alignment horizontal="left" vertical="center"/>
    </xf>
    <xf numFmtId="0" fontId="55" fillId="0" borderId="1" xfId="11" applyFont="1" applyFill="1" applyBorder="1" applyAlignment="1" applyProtection="1">
      <alignment horizontal="left" vertical="center" wrapText="1"/>
    </xf>
    <xf numFmtId="0" fontId="57" fillId="0" borderId="1" xfId="11" applyFont="1" applyFill="1" applyBorder="1" applyAlignment="1" applyProtection="1">
      <alignment vertical="center"/>
    </xf>
    <xf numFmtId="43" fontId="57" fillId="0" borderId="1" xfId="1" applyFont="1" applyFill="1" applyBorder="1" applyAlignment="1" applyProtection="1">
      <alignment horizontal="right" vertical="center"/>
    </xf>
    <xf numFmtId="0" fontId="57" fillId="0" borderId="1" xfId="11" applyFont="1" applyFill="1" applyBorder="1" applyAlignment="1" applyProtection="1">
      <alignment vertical="center" wrapText="1"/>
    </xf>
    <xf numFmtId="0" fontId="57" fillId="0" borderId="1" xfId="0" applyFont="1" applyFill="1" applyBorder="1" applyAlignment="1" applyProtection="1">
      <alignment vertical="center"/>
    </xf>
    <xf numFmtId="2" fontId="57" fillId="0" borderId="1" xfId="4" applyNumberFormat="1" applyFont="1" applyFill="1" applyBorder="1" applyAlignment="1" applyProtection="1">
      <alignment horizontal="center" vertical="center" wrapText="1"/>
    </xf>
    <xf numFmtId="0" fontId="79" fillId="0" borderId="1" xfId="11" applyFont="1" applyFill="1" applyBorder="1" applyAlignment="1" applyProtection="1">
      <alignment horizontal="left" vertical="center"/>
    </xf>
    <xf numFmtId="0" fontId="79" fillId="0" borderId="1" xfId="11" applyFont="1" applyFill="1" applyBorder="1" applyAlignment="1" applyProtection="1">
      <alignment vertical="center" wrapText="1"/>
    </xf>
    <xf numFmtId="0" fontId="79" fillId="0" borderId="1" xfId="4" applyFont="1" applyFill="1" applyBorder="1" applyAlignment="1" applyProtection="1">
      <alignment horizontal="center" vertical="center" wrapText="1"/>
    </xf>
    <xf numFmtId="2" fontId="79" fillId="0" borderId="1" xfId="4" applyNumberFormat="1" applyFont="1" applyFill="1" applyBorder="1" applyAlignment="1" applyProtection="1">
      <alignment horizontal="center" vertical="center" wrapText="1"/>
    </xf>
    <xf numFmtId="0" fontId="57" fillId="21" borderId="1" xfId="11" applyFont="1" applyFill="1" applyBorder="1" applyAlignment="1" applyProtection="1">
      <alignment horizontal="left" vertical="center" wrapText="1"/>
    </xf>
    <xf numFmtId="0" fontId="79" fillId="39" borderId="1" xfId="0" applyFont="1" applyFill="1" applyBorder="1" applyAlignment="1" applyProtection="1">
      <alignment horizontal="center" vertical="center"/>
    </xf>
    <xf numFmtId="2" fontId="57" fillId="39" borderId="1" xfId="4" applyNumberFormat="1" applyFont="1" applyFill="1" applyBorder="1" applyAlignment="1" applyProtection="1">
      <alignment horizontal="center" vertical="center" wrapText="1"/>
    </xf>
    <xf numFmtId="43" fontId="79" fillId="0" borderId="1" xfId="1" applyFont="1" applyFill="1" applyBorder="1" applyAlignment="1" applyProtection="1">
      <alignment horizontal="right" vertical="center"/>
    </xf>
    <xf numFmtId="0" fontId="52" fillId="0" borderId="1" xfId="11" applyFont="1" applyFill="1" applyBorder="1" applyAlignment="1" applyProtection="1">
      <alignment horizontal="left" vertical="center"/>
    </xf>
    <xf numFmtId="0" fontId="57" fillId="0" borderId="0" xfId="11" applyFont="1" applyAlignment="1" applyProtection="1">
      <alignment horizontal="left" vertical="center"/>
    </xf>
    <xf numFmtId="0" fontId="57" fillId="39" borderId="1" xfId="11" applyFont="1" applyFill="1" applyBorder="1" applyAlignment="1" applyProtection="1">
      <alignment vertical="center" wrapText="1"/>
      <protection locked="0"/>
    </xf>
    <xf numFmtId="0" fontId="57" fillId="39" borderId="1" xfId="11" applyFont="1" applyFill="1" applyBorder="1" applyAlignment="1" applyProtection="1">
      <alignment vertical="center"/>
      <protection locked="0"/>
    </xf>
    <xf numFmtId="0" fontId="77" fillId="15" borderId="1" xfId="48" applyFont="1" applyFill="1" applyBorder="1" applyAlignment="1" applyProtection="1">
      <alignment vertical="center"/>
    </xf>
    <xf numFmtId="0" fontId="57" fillId="0" borderId="0" xfId="48" applyFont="1" applyProtection="1"/>
    <xf numFmtId="0" fontId="57" fillId="0" borderId="0" xfId="48" applyFont="1" applyFill="1" applyProtection="1"/>
    <xf numFmtId="0" fontId="57" fillId="0" borderId="0" xfId="48" applyFont="1" applyFill="1" applyAlignment="1" applyProtection="1">
      <alignment horizontal="center" vertical="center"/>
    </xf>
    <xf numFmtId="0" fontId="57" fillId="0" borderId="0" xfId="48" applyFont="1" applyAlignment="1" applyProtection="1">
      <alignment horizontal="center" vertical="center"/>
    </xf>
    <xf numFmtId="0" fontId="57" fillId="0" borderId="0" xfId="11" applyFont="1" applyProtection="1"/>
    <xf numFmtId="0" fontId="79" fillId="2" borderId="1" xfId="48" applyFont="1" applyFill="1" applyBorder="1" applyAlignment="1" applyProtection="1">
      <alignment vertical="center"/>
    </xf>
    <xf numFmtId="2" fontId="79" fillId="2" borderId="1" xfId="48" applyNumberFormat="1" applyFont="1" applyFill="1" applyBorder="1" applyAlignment="1" applyProtection="1">
      <alignment horizontal="left" vertical="center"/>
    </xf>
    <xf numFmtId="0" fontId="57" fillId="0" borderId="0" xfId="48" applyFont="1" applyAlignment="1" applyProtection="1">
      <alignment vertical="center"/>
    </xf>
    <xf numFmtId="0" fontId="79" fillId="0" borderId="0" xfId="48" applyFont="1" applyAlignment="1" applyProtection="1">
      <alignment horizontal="center" vertical="center"/>
    </xf>
    <xf numFmtId="0" fontId="57" fillId="0" borderId="0" xfId="48" applyFont="1" applyAlignment="1" applyProtection="1">
      <alignment horizontal="left" vertical="center" wrapText="1"/>
    </xf>
    <xf numFmtId="2" fontId="57" fillId="0" borderId="0" xfId="48" applyNumberFormat="1" applyFont="1" applyAlignment="1" applyProtection="1">
      <alignment horizontal="right"/>
    </xf>
    <xf numFmtId="2" fontId="57" fillId="0" borderId="0" xfId="48" applyNumberFormat="1" applyFont="1" applyAlignment="1" applyProtection="1">
      <alignment horizontal="left" vertical="center"/>
    </xf>
    <xf numFmtId="0" fontId="57" fillId="0" borderId="0" xfId="48" applyFont="1" applyAlignment="1" applyProtection="1">
      <alignment horizontal="left" vertical="center"/>
    </xf>
    <xf numFmtId="2" fontId="57" fillId="0" borderId="1" xfId="48" applyNumberFormat="1" applyFont="1" applyFill="1" applyBorder="1" applyAlignment="1" applyProtection="1">
      <alignment horizontal="right" vertical="center"/>
      <protection locked="0"/>
    </xf>
    <xf numFmtId="43" fontId="79" fillId="28" borderId="1" xfId="1" applyFont="1" applyFill="1" applyBorder="1" applyAlignment="1" applyProtection="1">
      <alignment horizontal="center" vertical="center" wrapText="1"/>
    </xf>
    <xf numFmtId="43" fontId="79" fillId="10" borderId="1" xfId="1" applyFont="1" applyFill="1" applyBorder="1" applyAlignment="1" applyProtection="1">
      <alignment horizontal="center" vertical="center" wrapText="1"/>
    </xf>
    <xf numFmtId="0" fontId="57" fillId="0" borderId="0" xfId="97" applyFont="1" applyFill="1" applyAlignment="1" applyProtection="1">
      <alignment horizontal="center" vertical="center"/>
    </xf>
    <xf numFmtId="0" fontId="104" fillId="43" borderId="15" xfId="0" applyFont="1" applyFill="1" applyBorder="1" applyAlignment="1" applyProtection="1">
      <alignment horizontal="center" vertical="center" wrapText="1"/>
    </xf>
    <xf numFmtId="0" fontId="57" fillId="0" borderId="0" xfId="97" applyFont="1" applyAlignment="1" applyProtection="1">
      <alignment horizontal="center" vertical="center"/>
    </xf>
    <xf numFmtId="2" fontId="77" fillId="7" borderId="5" xfId="50" applyNumberFormat="1" applyFont="1" applyFill="1" applyBorder="1" applyAlignment="1" applyProtection="1">
      <alignment horizontal="left" vertical="center" wrapText="1"/>
    </xf>
    <xf numFmtId="0" fontId="57" fillId="0" borderId="0" xfId="97" applyFont="1" applyAlignment="1" applyProtection="1">
      <alignment vertical="center"/>
    </xf>
    <xf numFmtId="2" fontId="79" fillId="2" borderId="5" xfId="50" applyNumberFormat="1" applyFont="1" applyFill="1" applyBorder="1" applyAlignment="1" applyProtection="1">
      <alignment horizontal="left" vertical="center" wrapText="1"/>
    </xf>
    <xf numFmtId="0" fontId="57" fillId="0" borderId="0" xfId="97" applyFont="1" applyFill="1" applyAlignment="1" applyProtection="1">
      <alignment vertical="center"/>
    </xf>
    <xf numFmtId="0" fontId="103" fillId="41" borderId="1" xfId="0" applyFont="1" applyFill="1" applyBorder="1" applyAlignment="1" applyProtection="1">
      <alignment vertical="center" wrapText="1"/>
    </xf>
    <xf numFmtId="0" fontId="103" fillId="0" borderId="1" xfId="0" applyFont="1" applyBorder="1" applyAlignment="1" applyProtection="1">
      <alignment vertical="center"/>
    </xf>
    <xf numFmtId="0" fontId="57" fillId="0" borderId="0" xfId="97" applyFont="1" applyAlignment="1" applyProtection="1">
      <alignment horizontal="left" vertical="center"/>
    </xf>
    <xf numFmtId="0" fontId="57" fillId="0" borderId="0" xfId="97" applyFont="1" applyAlignment="1" applyProtection="1">
      <alignment horizontal="left" vertical="center" wrapText="1"/>
    </xf>
    <xf numFmtId="0" fontId="57" fillId="0" borderId="0" xfId="97" applyFont="1" applyAlignment="1" applyProtection="1">
      <alignment horizontal="center" vertical="center" wrapText="1"/>
    </xf>
    <xf numFmtId="43" fontId="57" fillId="0" borderId="0" xfId="1" applyFont="1" applyAlignment="1" applyProtection="1">
      <alignment horizontal="center" vertical="center"/>
    </xf>
    <xf numFmtId="1" fontId="57" fillId="0" borderId="0" xfId="97" applyNumberFormat="1" applyFont="1" applyAlignment="1" applyProtection="1">
      <alignment horizontal="center" vertical="center"/>
    </xf>
    <xf numFmtId="2" fontId="57" fillId="0" borderId="0" xfId="97" applyNumberFormat="1" applyFont="1" applyAlignment="1" applyProtection="1">
      <alignment horizontal="left" vertical="center"/>
    </xf>
    <xf numFmtId="0" fontId="82" fillId="0" borderId="0" xfId="0" applyFont="1" applyFill="1" applyProtection="1"/>
    <xf numFmtId="43" fontId="84" fillId="0" borderId="1" xfId="1" applyFont="1" applyFill="1" applyBorder="1" applyProtection="1"/>
    <xf numFmtId="0" fontId="82" fillId="0" borderId="0" xfId="0" applyFont="1" applyFill="1" applyAlignment="1" applyProtection="1">
      <alignment horizontal="center"/>
    </xf>
    <xf numFmtId="0" fontId="57" fillId="0" borderId="0" xfId="38" applyFont="1" applyAlignment="1" applyProtection="1">
      <alignment horizontal="center" vertical="center" wrapText="1"/>
    </xf>
    <xf numFmtId="0" fontId="79" fillId="0" borderId="1" xfId="0" applyFont="1" applyBorder="1" applyAlignment="1" applyProtection="1">
      <alignment horizontal="left" vertical="center" wrapText="1"/>
    </xf>
    <xf numFmtId="0" fontId="55" fillId="0" borderId="1" xfId="0" applyFont="1" applyBorder="1" applyAlignment="1" applyProtection="1">
      <alignment horizontal="center" vertical="center" wrapText="1"/>
    </xf>
    <xf numFmtId="2" fontId="84" fillId="0" borderId="1" xfId="0" applyNumberFormat="1" applyFont="1" applyFill="1" applyBorder="1" applyAlignment="1" applyProtection="1">
      <alignment horizontal="right" vertical="center" wrapText="1"/>
    </xf>
    <xf numFmtId="0" fontId="82" fillId="0" borderId="0" xfId="0" applyFont="1" applyAlignment="1" applyProtection="1">
      <alignment horizontal="center"/>
    </xf>
    <xf numFmtId="2" fontId="82" fillId="0" borderId="0" xfId="0" applyNumberFormat="1" applyFont="1" applyAlignment="1" applyProtection="1">
      <alignment horizontal="right"/>
    </xf>
    <xf numFmtId="43" fontId="82" fillId="0" borderId="0" xfId="1" applyFont="1" applyAlignment="1" applyProtection="1">
      <alignment horizontal="right"/>
    </xf>
    <xf numFmtId="0" fontId="82" fillId="0" borderId="0" xfId="0" applyFont="1" applyAlignment="1" applyProtection="1">
      <alignment horizontal="left" vertical="center"/>
    </xf>
    <xf numFmtId="0" fontId="53" fillId="49" borderId="1" xfId="4" applyFont="1" applyFill="1" applyBorder="1" applyAlignment="1" applyProtection="1">
      <alignment horizontal="left" vertical="center" wrapText="1"/>
      <protection locked="0"/>
    </xf>
    <xf numFmtId="43" fontId="57" fillId="49" borderId="1" xfId="1" applyFont="1" applyFill="1" applyBorder="1" applyAlignment="1" applyProtection="1">
      <alignment horizontal="right" vertical="center" wrapText="1"/>
      <protection locked="0"/>
    </xf>
    <xf numFmtId="43" fontId="82" fillId="0" borderId="1" xfId="1" applyFont="1" applyBorder="1" applyAlignment="1" applyProtection="1">
      <alignment horizontal="left" vertical="center"/>
      <protection locked="0"/>
    </xf>
    <xf numFmtId="0" fontId="77" fillId="0" borderId="1" xfId="8" applyFont="1" applyFill="1" applyBorder="1" applyAlignment="1" applyProtection="1">
      <alignment horizontal="left" vertical="center" wrapText="1"/>
    </xf>
    <xf numFmtId="2" fontId="79" fillId="0" borderId="5" xfId="8" applyNumberFormat="1" applyFont="1" applyFill="1" applyBorder="1" applyAlignment="1" applyProtection="1">
      <alignment horizontal="left" vertical="center" wrapText="1"/>
    </xf>
    <xf numFmtId="2" fontId="79" fillId="0" borderId="6" xfId="8" applyNumberFormat="1" applyFont="1" applyFill="1" applyBorder="1" applyAlignment="1" applyProtection="1">
      <alignment horizontal="left" vertical="center" wrapText="1"/>
    </xf>
    <xf numFmtId="2" fontId="79" fillId="0" borderId="6" xfId="8" applyNumberFormat="1" applyFont="1" applyFill="1" applyBorder="1" applyAlignment="1" applyProtection="1">
      <alignment horizontal="right" vertical="center" wrapText="1"/>
    </xf>
    <xf numFmtId="0" fontId="79" fillId="0" borderId="2" xfId="8" applyFont="1" applyFill="1" applyBorder="1" applyAlignment="1" applyProtection="1">
      <alignment horizontal="left" vertical="center" wrapText="1"/>
    </xf>
    <xf numFmtId="0" fontId="79" fillId="0" borderId="5" xfId="8" applyFont="1" applyFill="1" applyBorder="1" applyAlignment="1" applyProtection="1">
      <alignment horizontal="left" vertical="center" wrapText="1"/>
    </xf>
    <xf numFmtId="0" fontId="57" fillId="0" borderId="0" xfId="0" applyFont="1" applyFill="1" applyAlignment="1" applyProtection="1">
      <alignment vertical="center" wrapText="1"/>
    </xf>
    <xf numFmtId="2" fontId="77" fillId="7" borderId="1" xfId="38" applyNumberFormat="1" applyFont="1" applyFill="1" applyBorder="1" applyAlignment="1" applyProtection="1">
      <alignment horizontal="right" vertical="center" wrapText="1"/>
    </xf>
    <xf numFmtId="2" fontId="79" fillId="2" borderId="1" xfId="38" applyNumberFormat="1" applyFont="1" applyFill="1" applyBorder="1" applyAlignment="1" applyProtection="1">
      <alignment horizontal="right" vertical="center" wrapText="1"/>
    </xf>
    <xf numFmtId="2" fontId="82" fillId="0" borderId="1" xfId="8" applyNumberFormat="1" applyFont="1" applyBorder="1" applyAlignment="1" applyProtection="1">
      <alignment horizontal="right" vertical="center" wrapText="1"/>
    </xf>
    <xf numFmtId="0" fontId="52" fillId="2" borderId="1" xfId="38" applyFont="1" applyFill="1" applyBorder="1" applyAlignment="1" applyProtection="1">
      <alignment horizontal="left" vertical="center" wrapText="1"/>
    </xf>
    <xf numFmtId="2" fontId="84" fillId="0" borderId="1" xfId="8" applyNumberFormat="1" applyFont="1" applyFill="1" applyBorder="1" applyAlignment="1" applyProtection="1">
      <alignment horizontal="right" vertical="center" wrapText="1"/>
    </xf>
    <xf numFmtId="0" fontId="84" fillId="26" borderId="1" xfId="0" applyFont="1" applyFill="1" applyBorder="1" applyAlignment="1" applyProtection="1">
      <alignment horizontal="left" vertical="center" wrapText="1"/>
    </xf>
    <xf numFmtId="0" fontId="84" fillId="26" borderId="1" xfId="4" applyFont="1" applyFill="1" applyBorder="1" applyAlignment="1" applyProtection="1">
      <alignment vertical="center" wrapText="1"/>
    </xf>
    <xf numFmtId="2" fontId="84" fillId="26" borderId="1" xfId="8" applyNumberFormat="1" applyFont="1" applyFill="1" applyBorder="1" applyAlignment="1" applyProtection="1">
      <alignment horizontal="right" vertical="center" wrapText="1"/>
    </xf>
    <xf numFmtId="2" fontId="84" fillId="0" borderId="1" xfId="8" applyNumberFormat="1" applyFont="1" applyBorder="1" applyAlignment="1" applyProtection="1">
      <alignment horizontal="right" vertical="center" wrapText="1"/>
    </xf>
    <xf numFmtId="0" fontId="84" fillId="3" borderId="1" xfId="0" applyFont="1" applyFill="1" applyBorder="1" applyAlignment="1" applyProtection="1">
      <alignment horizontal="left" vertical="center" wrapText="1"/>
    </xf>
    <xf numFmtId="0" fontId="82" fillId="3" borderId="1" xfId="0" applyFont="1" applyFill="1" applyBorder="1" applyAlignment="1" applyProtection="1">
      <alignment horizontal="left" vertical="center" wrapText="1"/>
    </xf>
    <xf numFmtId="2" fontId="84" fillId="3" borderId="1" xfId="8" applyNumberFormat="1" applyFont="1" applyFill="1" applyBorder="1" applyAlignment="1" applyProtection="1">
      <alignment horizontal="right" vertical="center" wrapText="1"/>
    </xf>
    <xf numFmtId="0" fontId="84" fillId="2" borderId="1" xfId="8" applyFont="1" applyFill="1" applyBorder="1" applyAlignment="1" applyProtection="1">
      <alignment horizontal="center" vertical="center" wrapText="1"/>
    </xf>
    <xf numFmtId="2" fontId="84" fillId="4" borderId="1" xfId="8" applyNumberFormat="1" applyFont="1" applyFill="1" applyBorder="1" applyAlignment="1" applyProtection="1">
      <alignment vertical="center" wrapText="1"/>
    </xf>
    <xf numFmtId="0" fontId="84" fillId="18" borderId="1" xfId="0" applyFont="1" applyFill="1" applyBorder="1" applyAlignment="1" applyProtection="1">
      <alignment horizontal="left" vertical="center" wrapText="1"/>
    </xf>
    <xf numFmtId="0" fontId="79" fillId="18" borderId="1" xfId="50" applyFont="1" applyFill="1" applyBorder="1" applyAlignment="1" applyProtection="1">
      <alignment vertical="center" wrapText="1"/>
    </xf>
    <xf numFmtId="2" fontId="84" fillId="18" borderId="1" xfId="8" applyNumberFormat="1" applyFont="1" applyFill="1" applyBorder="1" applyAlignment="1" applyProtection="1">
      <alignment horizontal="right" vertical="center" wrapText="1"/>
    </xf>
    <xf numFmtId="0" fontId="86" fillId="2" borderId="1" xfId="0" applyFont="1" applyFill="1" applyBorder="1" applyAlignment="1" applyProtection="1">
      <alignment horizontal="center" vertical="center" wrapText="1"/>
      <protection locked="0"/>
    </xf>
    <xf numFmtId="0" fontId="84" fillId="2" borderId="1" xfId="8" applyFont="1" applyFill="1" applyBorder="1" applyAlignment="1" applyProtection="1">
      <alignment vertical="center" wrapText="1"/>
      <protection locked="0"/>
    </xf>
    <xf numFmtId="0" fontId="82" fillId="14" borderId="1" xfId="8" applyFont="1" applyFill="1" applyBorder="1" applyAlignment="1" applyProtection="1">
      <alignment vertical="center" wrapText="1"/>
      <protection locked="0"/>
    </xf>
    <xf numFmtId="0" fontId="80" fillId="0" borderId="1" xfId="0" applyFont="1" applyFill="1" applyBorder="1" applyAlignment="1" applyProtection="1">
      <alignment horizontal="left" vertical="center" wrapText="1"/>
      <protection locked="0"/>
    </xf>
    <xf numFmtId="2" fontId="84" fillId="26" borderId="1" xfId="8" applyNumberFormat="1" applyFont="1" applyFill="1" applyBorder="1" applyAlignment="1" applyProtection="1">
      <alignment horizontal="right" vertical="center" wrapText="1"/>
      <protection locked="0"/>
    </xf>
    <xf numFmtId="2" fontId="84" fillId="3" borderId="1" xfId="8" applyNumberFormat="1" applyFont="1" applyFill="1" applyBorder="1" applyAlignment="1" applyProtection="1">
      <alignment horizontal="right" vertical="center" wrapText="1"/>
      <protection locked="0"/>
    </xf>
    <xf numFmtId="0" fontId="78" fillId="14" borderId="1" xfId="0" applyFont="1" applyFill="1" applyBorder="1" applyAlignment="1" applyProtection="1">
      <alignment horizontal="left" vertical="center" wrapText="1"/>
      <protection locked="0"/>
    </xf>
    <xf numFmtId="0" fontId="80" fillId="14" borderId="1" xfId="0" applyFont="1" applyFill="1" applyBorder="1" applyAlignment="1" applyProtection="1">
      <alignment horizontal="left" vertical="center" wrapText="1"/>
      <protection locked="0"/>
    </xf>
    <xf numFmtId="2" fontId="82" fillId="14" borderId="1" xfId="8" applyNumberFormat="1" applyFont="1" applyFill="1" applyBorder="1" applyAlignment="1" applyProtection="1">
      <alignment horizontal="right" vertical="center" wrapText="1"/>
      <protection locked="0"/>
    </xf>
    <xf numFmtId="2" fontId="84" fillId="18" borderId="1" xfId="8" applyNumberFormat="1" applyFont="1" applyFill="1" applyBorder="1" applyAlignment="1" applyProtection="1">
      <alignment horizontal="right" vertical="center" wrapText="1"/>
      <protection locked="0"/>
    </xf>
    <xf numFmtId="0" fontId="82" fillId="14" borderId="1" xfId="0" applyFont="1" applyFill="1" applyBorder="1" applyAlignment="1" applyProtection="1">
      <alignment horizontal="left" vertical="center" wrapText="1"/>
      <protection locked="0"/>
    </xf>
    <xf numFmtId="43" fontId="77" fillId="0" borderId="1" xfId="1" applyFont="1" applyFill="1" applyBorder="1" applyAlignment="1" applyProtection="1">
      <alignment horizontal="left" vertical="center" wrapText="1"/>
    </xf>
    <xf numFmtId="0" fontId="77" fillId="0" borderId="2" xfId="8" applyFont="1" applyFill="1" applyBorder="1" applyAlignment="1" applyProtection="1">
      <alignment horizontal="left" vertical="center" wrapText="1"/>
    </xf>
    <xf numFmtId="0" fontId="77" fillId="0" borderId="5" xfId="8" applyFont="1" applyFill="1" applyBorder="1" applyAlignment="1" applyProtection="1">
      <alignment horizontal="left" vertical="center" wrapText="1"/>
    </xf>
    <xf numFmtId="43" fontId="77" fillId="0" borderId="2" xfId="1" applyFont="1" applyFill="1" applyBorder="1" applyAlignment="1" applyProtection="1">
      <alignment horizontal="left" vertical="center" wrapText="1"/>
    </xf>
    <xf numFmtId="2" fontId="84" fillId="4" borderId="1" xfId="8" applyNumberFormat="1" applyFont="1" applyFill="1" applyBorder="1" applyAlignment="1" applyProtection="1">
      <alignment vertical="center" wrapText="1"/>
      <protection locked="0"/>
    </xf>
    <xf numFmtId="43" fontId="84" fillId="26" borderId="1" xfId="1" applyFont="1" applyFill="1" applyBorder="1" applyAlignment="1" applyProtection="1">
      <alignment horizontal="right" vertical="center" wrapText="1"/>
      <protection locked="0"/>
    </xf>
    <xf numFmtId="43" fontId="84" fillId="3" borderId="1" xfId="1" applyFont="1" applyFill="1" applyBorder="1" applyAlignment="1" applyProtection="1">
      <alignment horizontal="right" vertical="center" wrapText="1"/>
      <protection locked="0"/>
    </xf>
    <xf numFmtId="43" fontId="82" fillId="14" borderId="1" xfId="1" applyFont="1" applyFill="1" applyBorder="1" applyAlignment="1" applyProtection="1">
      <alignment horizontal="right" vertical="center" wrapText="1"/>
      <protection locked="0"/>
    </xf>
    <xf numFmtId="43" fontId="84" fillId="18" borderId="1" xfId="1" applyFont="1" applyFill="1" applyBorder="1" applyAlignment="1" applyProtection="1">
      <alignment horizontal="right" vertical="center" wrapText="1"/>
      <protection locked="0"/>
    </xf>
    <xf numFmtId="0" fontId="77" fillId="0" borderId="1" xfId="0" applyFont="1" applyFill="1" applyBorder="1" applyAlignment="1" applyProtection="1">
      <alignment horizontal="center" vertical="center" wrapText="1"/>
    </xf>
    <xf numFmtId="0" fontId="84" fillId="0" borderId="0" xfId="38" applyFont="1" applyFill="1" applyBorder="1" applyAlignment="1" applyProtection="1">
      <alignment horizontal="center" vertical="center" wrapText="1"/>
    </xf>
    <xf numFmtId="0" fontId="85" fillId="0" borderId="0" xfId="0" applyFont="1" applyFill="1" applyBorder="1" applyAlignment="1" applyProtection="1">
      <alignment horizontal="center" vertical="center" wrapText="1"/>
    </xf>
    <xf numFmtId="0" fontId="77" fillId="0" borderId="0" xfId="0" applyFont="1" applyFill="1" applyBorder="1" applyAlignment="1" applyProtection="1">
      <alignment horizontal="center" vertical="center" wrapText="1"/>
    </xf>
    <xf numFmtId="43" fontId="77" fillId="0" borderId="0" xfId="1" applyFont="1" applyFill="1" applyBorder="1" applyAlignment="1" applyProtection="1">
      <alignment horizontal="center" vertical="center" wrapText="1"/>
    </xf>
    <xf numFmtId="0" fontId="83" fillId="8" borderId="1" xfId="3" applyFont="1" applyFill="1" applyBorder="1" applyAlignment="1" applyProtection="1">
      <alignment horizontal="left" vertical="center" wrapText="1"/>
    </xf>
    <xf numFmtId="0" fontId="83" fillId="37" borderId="1" xfId="3" applyFont="1" applyFill="1" applyBorder="1" applyAlignment="1" applyProtection="1">
      <alignment vertical="center"/>
    </xf>
    <xf numFmtId="0" fontId="79" fillId="0" borderId="5" xfId="8" applyFont="1" applyFill="1" applyBorder="1" applyAlignment="1" applyProtection="1">
      <alignment horizontal="center" vertical="center"/>
    </xf>
    <xf numFmtId="43" fontId="84" fillId="0" borderId="0" xfId="1" applyFont="1" applyFill="1" applyBorder="1" applyAlignment="1" applyProtection="1">
      <alignment horizontal="center" vertical="center" wrapText="1"/>
    </xf>
    <xf numFmtId="0" fontId="83" fillId="0" borderId="12" xfId="3" applyFont="1" applyFill="1" applyBorder="1" applyAlignment="1" applyProtection="1">
      <alignment horizontal="left" vertical="center" wrapText="1"/>
    </xf>
    <xf numFmtId="0" fontId="82" fillId="0" borderId="12" xfId="0" applyFont="1" applyFill="1" applyBorder="1" applyAlignment="1" applyProtection="1">
      <alignment horizontal="left" vertical="center" wrapText="1"/>
    </xf>
    <xf numFmtId="0" fontId="83" fillId="37" borderId="12" xfId="3" applyFont="1" applyFill="1" applyBorder="1" applyAlignment="1" applyProtection="1">
      <alignment vertical="center"/>
    </xf>
    <xf numFmtId="0" fontId="77" fillId="0" borderId="12" xfId="8" applyFont="1" applyFill="1" applyBorder="1" applyAlignment="1" applyProtection="1">
      <alignment horizontal="center" vertical="center" wrapText="1"/>
    </xf>
    <xf numFmtId="0" fontId="79" fillId="0" borderId="9" xfId="8" applyFont="1" applyFill="1" applyBorder="1" applyAlignment="1" applyProtection="1">
      <alignment horizontal="center" vertical="center"/>
    </xf>
    <xf numFmtId="0" fontId="82" fillId="0" borderId="0" xfId="0" applyFont="1" applyBorder="1" applyAlignment="1" applyProtection="1">
      <alignment horizontal="center" vertical="center" wrapText="1"/>
    </xf>
    <xf numFmtId="0" fontId="84" fillId="22" borderId="1" xfId="38" applyFont="1" applyFill="1" applyBorder="1" applyAlignment="1" applyProtection="1">
      <alignment horizontal="left" vertical="center" wrapText="1"/>
    </xf>
    <xf numFmtId="0" fontId="84" fillId="22" borderId="1" xfId="38" applyFont="1" applyFill="1" applyBorder="1" applyAlignment="1" applyProtection="1">
      <alignment vertical="center" wrapText="1"/>
    </xf>
    <xf numFmtId="0" fontId="84" fillId="22" borderId="1" xfId="38" applyFont="1" applyFill="1" applyBorder="1" applyAlignment="1" applyProtection="1">
      <alignment horizontal="center" vertical="center" wrapText="1"/>
    </xf>
    <xf numFmtId="43" fontId="84" fillId="22" borderId="1" xfId="1" applyFont="1" applyFill="1" applyBorder="1" applyAlignment="1" applyProtection="1">
      <alignment horizontal="center" vertical="center" wrapText="1"/>
    </xf>
    <xf numFmtId="0" fontId="84" fillId="22" borderId="1" xfId="0" applyFont="1" applyFill="1" applyBorder="1" applyAlignment="1" applyProtection="1">
      <alignment horizontal="center" vertical="center" wrapText="1"/>
    </xf>
    <xf numFmtId="0" fontId="84" fillId="22" borderId="1" xfId="0" applyFont="1" applyFill="1" applyBorder="1" applyAlignment="1" applyProtection="1">
      <alignment horizontal="left" vertical="center" wrapText="1"/>
    </xf>
    <xf numFmtId="0" fontId="84" fillId="2" borderId="1" xfId="38" applyFont="1" applyFill="1" applyBorder="1" applyAlignment="1" applyProtection="1">
      <alignment horizontal="left" vertical="center" wrapText="1"/>
    </xf>
    <xf numFmtId="0" fontId="84" fillId="2" borderId="1" xfId="38" applyFont="1" applyFill="1" applyBorder="1" applyAlignment="1" applyProtection="1">
      <alignment vertical="center" wrapText="1"/>
    </xf>
    <xf numFmtId="0" fontId="84" fillId="2" borderId="1" xfId="38" applyFont="1" applyFill="1" applyBorder="1" applyAlignment="1" applyProtection="1">
      <alignment horizontal="center" vertical="center" wrapText="1"/>
    </xf>
    <xf numFmtId="0" fontId="82" fillId="0" borderId="1" xfId="38" applyFont="1" applyFill="1" applyBorder="1" applyAlignment="1" applyProtection="1">
      <alignment vertical="center" wrapText="1"/>
    </xf>
    <xf numFmtId="0" fontId="82" fillId="0" borderId="1" xfId="38" applyFont="1" applyFill="1" applyBorder="1" applyAlignment="1" applyProtection="1">
      <alignment horizontal="center" vertical="center" wrapText="1"/>
    </xf>
    <xf numFmtId="0" fontId="84" fillId="2" borderId="1" xfId="0" applyFont="1" applyFill="1" applyBorder="1" applyAlignment="1" applyProtection="1">
      <alignment horizontal="left" vertical="center" wrapText="1"/>
    </xf>
    <xf numFmtId="0" fontId="82" fillId="0" borderId="1" xfId="38" applyFont="1" applyFill="1" applyBorder="1" applyAlignment="1" applyProtection="1">
      <alignment horizontal="left" vertical="center" wrapText="1"/>
    </xf>
    <xf numFmtId="0" fontId="82" fillId="2" borderId="1" xfId="38" applyFont="1" applyFill="1" applyBorder="1" applyAlignment="1" applyProtection="1">
      <alignment horizontal="left" vertical="center" wrapText="1"/>
    </xf>
    <xf numFmtId="0" fontId="82" fillId="2" borderId="1" xfId="0" applyFont="1" applyFill="1" applyBorder="1" applyAlignment="1" applyProtection="1">
      <alignment horizontal="center" vertical="center" wrapText="1"/>
    </xf>
    <xf numFmtId="43" fontId="82" fillId="2" borderId="1" xfId="1" applyFont="1" applyFill="1" applyBorder="1" applyAlignment="1" applyProtection="1">
      <alignment horizontal="center" vertical="center" wrapText="1"/>
    </xf>
    <xf numFmtId="0" fontId="82" fillId="2" borderId="1" xfId="0" applyFont="1" applyFill="1" applyBorder="1" applyAlignment="1" applyProtection="1">
      <alignment horizontal="left" vertical="center" wrapText="1"/>
    </xf>
    <xf numFmtId="49" fontId="82" fillId="0" borderId="1" xfId="38" applyNumberFormat="1" applyFont="1" applyFill="1" applyBorder="1" applyAlignment="1" applyProtection="1">
      <alignment horizontal="left" vertical="center" wrapText="1"/>
    </xf>
    <xf numFmtId="49" fontId="82" fillId="0" borderId="1" xfId="38" applyNumberFormat="1" applyFont="1" applyFill="1" applyBorder="1" applyAlignment="1" applyProtection="1">
      <alignment vertical="center" wrapText="1"/>
    </xf>
    <xf numFmtId="49" fontId="82" fillId="0" borderId="1" xfId="38" applyNumberFormat="1" applyFont="1" applyFill="1" applyBorder="1" applyAlignment="1" applyProtection="1">
      <alignment horizontal="center" vertical="center" wrapText="1"/>
    </xf>
    <xf numFmtId="2" fontId="82" fillId="0" borderId="1" xfId="38" applyNumberFormat="1" applyFont="1" applyFill="1" applyBorder="1" applyAlignment="1" applyProtection="1">
      <alignment horizontal="left" vertical="center" wrapText="1"/>
    </xf>
    <xf numFmtId="2" fontId="82" fillId="0" borderId="1" xfId="38" applyNumberFormat="1" applyFont="1" applyFill="1" applyBorder="1" applyAlignment="1" applyProtection="1">
      <alignment vertical="center" wrapText="1"/>
    </xf>
    <xf numFmtId="2" fontId="82" fillId="0" borderId="1" xfId="38" applyNumberFormat="1" applyFont="1" applyFill="1" applyBorder="1" applyAlignment="1" applyProtection="1">
      <alignment horizontal="center" vertical="center" wrapText="1"/>
    </xf>
    <xf numFmtId="0" fontId="82" fillId="22" borderId="1" xfId="0" applyFont="1" applyFill="1" applyBorder="1" applyAlignment="1" applyProtection="1">
      <alignment horizontal="center" vertical="center" wrapText="1"/>
    </xf>
    <xf numFmtId="43" fontId="82" fillId="22" borderId="1" xfId="1" applyFont="1" applyFill="1" applyBorder="1" applyAlignment="1" applyProtection="1">
      <alignment horizontal="center" vertical="center" wrapText="1"/>
    </xf>
    <xf numFmtId="0" fontId="82" fillId="22" borderId="1" xfId="0" applyFont="1" applyFill="1" applyBorder="1" applyAlignment="1" applyProtection="1">
      <alignment horizontal="left" vertical="center" wrapText="1"/>
    </xf>
    <xf numFmtId="0" fontId="84" fillId="2" borderId="1" xfId="11" applyFont="1" applyFill="1" applyBorder="1" applyAlignment="1" applyProtection="1">
      <alignment horizontal="left" vertical="center" wrapText="1"/>
    </xf>
    <xf numFmtId="0" fontId="84" fillId="2" borderId="1" xfId="11" applyFont="1" applyFill="1" applyBorder="1" applyAlignment="1" applyProtection="1">
      <alignment vertical="center" wrapText="1"/>
    </xf>
    <xf numFmtId="0" fontId="84" fillId="2" borderId="1" xfId="11" applyFont="1" applyFill="1" applyBorder="1" applyAlignment="1" applyProtection="1">
      <alignment horizontal="center" vertical="center" wrapText="1"/>
    </xf>
    <xf numFmtId="43" fontId="82" fillId="22" borderId="1" xfId="1" applyFont="1" applyFill="1" applyBorder="1" applyAlignment="1" applyProtection="1">
      <alignment horizontal="left" vertical="center" wrapText="1"/>
    </xf>
    <xf numFmtId="0" fontId="84" fillId="2" borderId="1" xfId="0" applyFont="1" applyFill="1" applyBorder="1" applyAlignment="1" applyProtection="1">
      <alignment horizontal="center" vertical="center" wrapText="1"/>
    </xf>
    <xf numFmtId="0" fontId="84" fillId="22" borderId="1" xfId="11" applyFont="1" applyFill="1" applyBorder="1" applyAlignment="1" applyProtection="1">
      <alignment horizontal="left" vertical="center" wrapText="1"/>
    </xf>
    <xf numFmtId="0" fontId="84" fillId="22" borderId="1" xfId="11" applyFont="1" applyFill="1" applyBorder="1" applyAlignment="1" applyProtection="1">
      <alignment vertical="center" wrapText="1"/>
    </xf>
    <xf numFmtId="0" fontId="84" fillId="22" borderId="1" xfId="11" applyFont="1" applyFill="1" applyBorder="1" applyAlignment="1" applyProtection="1">
      <alignment horizontal="center" vertical="center" wrapText="1"/>
    </xf>
    <xf numFmtId="0" fontId="84" fillId="2" borderId="1" xfId="0" applyFont="1" applyFill="1" applyBorder="1" applyAlignment="1" applyProtection="1">
      <alignment vertical="center" wrapText="1"/>
    </xf>
    <xf numFmtId="43" fontId="82" fillId="0" borderId="1" xfId="1" applyFont="1" applyFill="1" applyBorder="1" applyAlignment="1" applyProtection="1">
      <alignment horizontal="center" vertical="center" wrapText="1"/>
      <protection locked="0"/>
    </xf>
    <xf numFmtId="43" fontId="84" fillId="0" borderId="1" xfId="1" applyFont="1" applyFill="1" applyBorder="1" applyAlignment="1" applyProtection="1">
      <alignment horizontal="center" vertical="center" wrapText="1"/>
      <protection locked="0"/>
    </xf>
    <xf numFmtId="0" fontId="82" fillId="2" borderId="1" xfId="0" applyFont="1" applyFill="1" applyBorder="1" applyAlignment="1" applyProtection="1">
      <alignment horizontal="left" vertical="center" wrapText="1"/>
      <protection locked="0"/>
    </xf>
    <xf numFmtId="43" fontId="82" fillId="2" borderId="1" xfId="1" applyFont="1" applyFill="1" applyBorder="1" applyAlignment="1" applyProtection="1">
      <alignment horizontal="center" vertical="center" wrapText="1"/>
      <protection locked="0"/>
    </xf>
    <xf numFmtId="0" fontId="82" fillId="22" borderId="1" xfId="0" applyFont="1" applyFill="1" applyBorder="1" applyAlignment="1" applyProtection="1">
      <alignment horizontal="left" vertical="center" wrapText="1"/>
      <protection locked="0"/>
    </xf>
    <xf numFmtId="0" fontId="82" fillId="0" borderId="1" xfId="38" applyFont="1" applyFill="1" applyBorder="1" applyAlignment="1" applyProtection="1">
      <alignment horizontal="left" vertical="center" wrapText="1"/>
      <protection locked="0"/>
    </xf>
    <xf numFmtId="0" fontId="77" fillId="0" borderId="1" xfId="0" applyFont="1" applyFill="1" applyBorder="1" applyAlignment="1" applyProtection="1">
      <alignment horizontal="center" vertical="center"/>
      <protection locked="0"/>
    </xf>
    <xf numFmtId="0" fontId="82" fillId="0" borderId="0" xfId="0" applyFont="1" applyAlignment="1" applyProtection="1">
      <alignment horizontal="center" vertical="center" wrapText="1"/>
      <protection locked="0"/>
    </xf>
    <xf numFmtId="0" fontId="84" fillId="12" borderId="1" xfId="38" applyFont="1" applyFill="1" applyBorder="1" applyAlignment="1" applyProtection="1">
      <alignment horizontal="center" vertical="center" wrapText="1"/>
      <protection locked="0"/>
    </xf>
    <xf numFmtId="0" fontId="81" fillId="0" borderId="1" xfId="0" applyFont="1" applyFill="1" applyBorder="1" applyAlignment="1" applyProtection="1">
      <alignment horizontal="center" vertical="center" wrapText="1"/>
      <protection locked="0"/>
    </xf>
    <xf numFmtId="0" fontId="85" fillId="0" borderId="1" xfId="0" applyFont="1" applyFill="1" applyBorder="1" applyAlignment="1" applyProtection="1">
      <alignment horizontal="center" vertical="center" wrapText="1"/>
      <protection locked="0"/>
    </xf>
    <xf numFmtId="43" fontId="77" fillId="0" borderId="1" xfId="1" applyFont="1" applyFill="1" applyBorder="1" applyAlignment="1" applyProtection="1">
      <alignment horizontal="center" vertical="center"/>
      <protection locked="0"/>
    </xf>
    <xf numFmtId="0" fontId="77" fillId="0" borderId="1" xfId="0" applyFont="1" applyFill="1" applyBorder="1" applyAlignment="1" applyProtection="1">
      <alignment horizontal="left" vertical="center"/>
      <protection locked="0"/>
    </xf>
    <xf numFmtId="43" fontId="77" fillId="0" borderId="1" xfId="1" applyFont="1" applyFill="1" applyBorder="1" applyAlignment="1" applyProtection="1">
      <alignment vertical="center"/>
      <protection locked="0"/>
    </xf>
    <xf numFmtId="0" fontId="82" fillId="0" borderId="0" xfId="0" applyFont="1" applyFill="1" applyAlignment="1" applyProtection="1">
      <alignment wrapText="1"/>
      <protection locked="0"/>
    </xf>
    <xf numFmtId="0" fontId="77" fillId="0" borderId="0" xfId="0" applyFont="1" applyFill="1" applyBorder="1" applyAlignment="1" applyProtection="1">
      <alignment horizontal="center" vertical="center"/>
    </xf>
    <xf numFmtId="0" fontId="82" fillId="0" borderId="0" xfId="0" applyFont="1" applyFill="1" applyBorder="1" applyAlignment="1" applyProtection="1">
      <alignment horizontal="center" vertical="center"/>
    </xf>
    <xf numFmtId="0" fontId="79" fillId="12" borderId="5" xfId="38" applyFont="1" applyFill="1" applyBorder="1" applyAlignment="1" applyProtection="1">
      <alignment horizontal="center" vertical="center" wrapText="1"/>
    </xf>
    <xf numFmtId="0" fontId="81" fillId="0" borderId="0" xfId="8" applyFont="1" applyFill="1" applyBorder="1" applyAlignment="1" applyProtection="1">
      <alignment horizontal="center" vertical="center" wrapText="1"/>
    </xf>
    <xf numFmtId="43" fontId="77" fillId="0" borderId="0" xfId="1" applyFont="1" applyFill="1" applyBorder="1" applyAlignment="1" applyProtection="1">
      <alignment horizontal="center" vertical="center"/>
    </xf>
    <xf numFmtId="0" fontId="82" fillId="0" borderId="0" xfId="0" applyFont="1" applyFill="1" applyBorder="1" applyAlignment="1" applyProtection="1">
      <alignment horizontal="left" vertical="center"/>
    </xf>
    <xf numFmtId="0" fontId="83" fillId="8" borderId="1" xfId="3" applyFont="1" applyFill="1" applyBorder="1" applyAlignment="1" applyProtection="1">
      <alignment horizontal="center" vertical="center" wrapText="1"/>
    </xf>
    <xf numFmtId="0" fontId="83" fillId="0" borderId="0" xfId="3" applyFont="1" applyFill="1" applyBorder="1" applyAlignment="1" applyProtection="1">
      <alignment horizontal="center" vertical="center"/>
    </xf>
    <xf numFmtId="43" fontId="79" fillId="0" borderId="5" xfId="1" applyFont="1" applyFill="1" applyBorder="1" applyAlignment="1" applyProtection="1">
      <alignment horizontal="center" vertical="center" wrapText="1"/>
    </xf>
    <xf numFmtId="43" fontId="79" fillId="0" borderId="0" xfId="8" applyNumberFormat="1" applyFont="1" applyFill="1" applyBorder="1" applyAlignment="1" applyProtection="1">
      <alignment horizontal="center" vertical="center"/>
    </xf>
    <xf numFmtId="43" fontId="84" fillId="0" borderId="0" xfId="0" applyNumberFormat="1" applyFont="1" applyFill="1" applyBorder="1" applyAlignment="1" applyProtection="1">
      <alignment horizontal="center" vertical="center"/>
    </xf>
    <xf numFmtId="43" fontId="79" fillId="0" borderId="0" xfId="1" applyFont="1" applyFill="1" applyBorder="1" applyAlignment="1" applyProtection="1">
      <alignment horizontal="center" vertical="center"/>
    </xf>
    <xf numFmtId="0" fontId="83" fillId="0" borderId="12" xfId="3" applyFont="1" applyFill="1" applyBorder="1" applyAlignment="1" applyProtection="1">
      <alignment horizontal="center" vertical="center" wrapText="1"/>
    </xf>
    <xf numFmtId="0" fontId="82" fillId="0" borderId="12" xfId="0" applyFont="1" applyFill="1" applyBorder="1" applyAlignment="1" applyProtection="1">
      <alignment horizontal="center" vertical="center" wrapText="1"/>
    </xf>
    <xf numFmtId="0" fontId="83" fillId="37" borderId="12" xfId="3" applyFont="1" applyFill="1" applyBorder="1" applyAlignment="1" applyProtection="1">
      <alignment horizontal="left"/>
    </xf>
    <xf numFmtId="0" fontId="83" fillId="0" borderId="13" xfId="3" applyFont="1" applyFill="1" applyBorder="1" applyAlignment="1" applyProtection="1">
      <alignment horizontal="center" vertical="center"/>
    </xf>
    <xf numFmtId="0" fontId="79" fillId="0" borderId="12" xfId="8" applyFont="1" applyBorder="1" applyAlignment="1" applyProtection="1">
      <alignment horizontal="center" vertical="center"/>
    </xf>
    <xf numFmtId="43" fontId="79" fillId="0" borderId="9" xfId="1" applyFont="1" applyFill="1" applyBorder="1" applyAlignment="1" applyProtection="1">
      <alignment horizontal="center" vertical="center" wrapText="1"/>
    </xf>
    <xf numFmtId="43" fontId="84" fillId="0" borderId="0" xfId="1" applyFont="1" applyFill="1" applyAlignment="1" applyProtection="1">
      <alignment horizontal="center" vertical="center"/>
    </xf>
    <xf numFmtId="0" fontId="82" fillId="0" borderId="0" xfId="0" applyFont="1" applyFill="1" applyAlignment="1" applyProtection="1">
      <alignment horizontal="center" vertical="center"/>
    </xf>
    <xf numFmtId="43" fontId="82" fillId="0" borderId="0" xfId="1" applyFont="1" applyFill="1" applyAlignment="1" applyProtection="1">
      <alignment horizontal="center" vertical="center"/>
    </xf>
    <xf numFmtId="0" fontId="82" fillId="0" borderId="0" xfId="0" applyFont="1" applyFill="1" applyAlignment="1" applyProtection="1">
      <alignment horizontal="left" vertical="center"/>
    </xf>
    <xf numFmtId="0" fontId="84" fillId="23" borderId="1" xfId="38" applyFont="1" applyFill="1" applyBorder="1" applyAlignment="1" applyProtection="1">
      <alignment horizontal="left" vertical="center" wrapText="1"/>
    </xf>
    <xf numFmtId="0" fontId="84" fillId="5" borderId="1" xfId="38" applyFont="1" applyFill="1" applyBorder="1" applyAlignment="1" applyProtection="1">
      <alignment horizontal="left" vertical="center" wrapText="1"/>
    </xf>
    <xf numFmtId="0" fontId="84" fillId="2" borderId="1" xfId="8" applyFont="1" applyFill="1" applyBorder="1" applyAlignment="1" applyProtection="1">
      <alignment horizontal="center" vertical="center"/>
    </xf>
    <xf numFmtId="0" fontId="84" fillId="2" borderId="1" xfId="8" applyFont="1" applyFill="1" applyBorder="1" applyAlignment="1" applyProtection="1">
      <alignment horizontal="left" vertical="center"/>
    </xf>
    <xf numFmtId="43" fontId="84" fillId="2" borderId="1" xfId="1" applyFont="1" applyFill="1" applyBorder="1" applyAlignment="1" applyProtection="1">
      <alignment horizontal="center" vertical="center"/>
    </xf>
    <xf numFmtId="0" fontId="82" fillId="2" borderId="1" xfId="0" applyFont="1" applyFill="1" applyBorder="1" applyAlignment="1" applyProtection="1">
      <alignment horizontal="center" vertical="center"/>
    </xf>
    <xf numFmtId="43" fontId="82" fillId="2" borderId="1" xfId="1" applyFont="1" applyFill="1" applyBorder="1" applyAlignment="1" applyProtection="1">
      <alignment horizontal="center" vertical="center"/>
    </xf>
    <xf numFmtId="0" fontId="82" fillId="2" borderId="1" xfId="0" applyFont="1" applyFill="1" applyBorder="1" applyAlignment="1" applyProtection="1">
      <alignment horizontal="left" vertical="center"/>
    </xf>
    <xf numFmtId="43" fontId="84" fillId="3" borderId="1" xfId="1" applyFont="1" applyFill="1" applyBorder="1" applyAlignment="1" applyProtection="1">
      <alignment horizontal="left" vertical="center" wrapText="1"/>
    </xf>
    <xf numFmtId="0" fontId="84" fillId="36" borderId="1" xfId="4" applyFont="1" applyFill="1" applyBorder="1" applyAlignment="1" applyProtection="1">
      <alignment horizontal="center" vertical="center" wrapText="1"/>
    </xf>
    <xf numFmtId="0" fontId="84" fillId="36" borderId="1" xfId="4" applyFont="1" applyFill="1" applyBorder="1" applyAlignment="1" applyProtection="1">
      <alignment horizontal="left" vertical="center" wrapText="1"/>
    </xf>
    <xf numFmtId="43" fontId="84" fillId="36" borderId="1" xfId="1" applyFont="1" applyFill="1" applyBorder="1" applyAlignment="1" applyProtection="1">
      <alignment horizontal="center" vertical="center" wrapText="1"/>
    </xf>
    <xf numFmtId="0" fontId="84" fillId="36" borderId="1" xfId="0" applyFont="1" applyFill="1" applyBorder="1" applyAlignment="1" applyProtection="1">
      <alignment horizontal="center" vertical="center" wrapText="1"/>
    </xf>
    <xf numFmtId="43" fontId="82" fillId="0" borderId="1" xfId="1" applyFont="1" applyBorder="1" applyAlignment="1" applyProtection="1">
      <alignment horizontal="center" vertical="center"/>
    </xf>
    <xf numFmtId="0" fontId="84" fillId="0" borderId="0" xfId="0" applyFont="1" applyAlignment="1" applyProtection="1">
      <alignment horizontal="center" vertical="center"/>
    </xf>
    <xf numFmtId="0" fontId="84" fillId="36" borderId="1" xfId="0" applyFont="1" applyFill="1" applyBorder="1" applyAlignment="1" applyProtection="1">
      <alignment horizontal="center" vertical="center"/>
    </xf>
    <xf numFmtId="0" fontId="82" fillId="2" borderId="1" xfId="11" applyFont="1" applyFill="1" applyBorder="1" applyAlignment="1" applyProtection="1">
      <alignment horizontal="center" vertical="center" wrapText="1"/>
    </xf>
    <xf numFmtId="43" fontId="82" fillId="0" borderId="0" xfId="1" applyFont="1" applyAlignment="1" applyProtection="1">
      <alignment horizontal="center" vertical="center"/>
    </xf>
    <xf numFmtId="0" fontId="82" fillId="0" borderId="0" xfId="0" applyFont="1" applyAlignment="1" applyProtection="1">
      <alignment vertical="center"/>
    </xf>
    <xf numFmtId="0" fontId="77" fillId="0" borderId="1" xfId="0" applyFont="1" applyFill="1" applyBorder="1" applyAlignment="1" applyProtection="1">
      <alignment horizontal="center" vertical="center"/>
    </xf>
    <xf numFmtId="43" fontId="82" fillId="0" borderId="0" xfId="1" applyFont="1" applyFill="1" applyAlignment="1" applyProtection="1">
      <alignment vertical="center"/>
    </xf>
    <xf numFmtId="0" fontId="83" fillId="37" borderId="1" xfId="3" applyFont="1" applyFill="1" applyBorder="1" applyAlignment="1" applyProtection="1">
      <alignment horizontal="left" vertical="center"/>
    </xf>
    <xf numFmtId="0" fontId="83" fillId="0" borderId="1" xfId="3" applyFont="1" applyFill="1" applyBorder="1" applyAlignment="1" applyProtection="1">
      <alignment horizontal="center" vertical="center"/>
    </xf>
    <xf numFmtId="0" fontId="77" fillId="0" borderId="0" xfId="8" applyFont="1" applyFill="1" applyBorder="1" applyAlignment="1" applyProtection="1">
      <alignment horizontal="center" vertical="center"/>
    </xf>
    <xf numFmtId="0" fontId="83" fillId="37" borderId="12" xfId="3" applyFont="1" applyFill="1" applyBorder="1" applyAlignment="1" applyProtection="1">
      <alignment horizontal="left" vertical="center"/>
    </xf>
    <xf numFmtId="0" fontId="83" fillId="0" borderId="12" xfId="3" applyFont="1" applyFill="1" applyBorder="1" applyAlignment="1" applyProtection="1">
      <alignment horizontal="center" vertical="center"/>
    </xf>
    <xf numFmtId="2" fontId="79" fillId="2" borderId="1" xfId="38" applyNumberFormat="1" applyFont="1" applyFill="1" applyBorder="1" applyAlignment="1" applyProtection="1">
      <alignment horizontal="center" vertical="center" wrapText="1"/>
    </xf>
    <xf numFmtId="0" fontId="55" fillId="2" borderId="1" xfId="0" applyFont="1" applyFill="1" applyBorder="1" applyAlignment="1" applyProtection="1">
      <alignment horizontal="center" vertical="center"/>
    </xf>
    <xf numFmtId="43" fontId="55" fillId="2" borderId="1" xfId="1" applyFont="1" applyFill="1" applyBorder="1" applyAlignment="1" applyProtection="1">
      <alignment horizontal="center" vertical="center"/>
    </xf>
    <xf numFmtId="0" fontId="55" fillId="2" borderId="1" xfId="0" applyFont="1" applyFill="1" applyBorder="1" applyAlignment="1" applyProtection="1">
      <alignment horizontal="left" vertical="center"/>
    </xf>
    <xf numFmtId="0" fontId="58" fillId="0" borderId="0" xfId="0" applyFont="1" applyFill="1" applyAlignment="1" applyProtection="1">
      <alignment horizontal="center" vertical="center"/>
    </xf>
    <xf numFmtId="0" fontId="55" fillId="0" borderId="1" xfId="38" applyFont="1" applyFill="1" applyBorder="1" applyAlignment="1" applyProtection="1">
      <alignment horizontal="left" vertical="center" wrapText="1"/>
    </xf>
    <xf numFmtId="43" fontId="55" fillId="0" borderId="1" xfId="1" applyFont="1" applyFill="1" applyBorder="1" applyAlignment="1" applyProtection="1">
      <alignment horizontal="center" vertical="center" wrapText="1"/>
    </xf>
    <xf numFmtId="43" fontId="55" fillId="2" borderId="1" xfId="1" applyFont="1" applyFill="1" applyBorder="1" applyAlignment="1" applyProtection="1">
      <alignment vertical="center"/>
    </xf>
    <xf numFmtId="0" fontId="82" fillId="0" borderId="1" xfId="0" applyFont="1" applyBorder="1" applyAlignment="1" applyProtection="1">
      <alignment horizontal="left" vertical="center"/>
    </xf>
    <xf numFmtId="2" fontId="79" fillId="2" borderId="1" xfId="40" applyNumberFormat="1" applyFont="1" applyFill="1" applyBorder="1" applyAlignment="1" applyProtection="1">
      <alignment horizontal="center" vertical="center" wrapText="1"/>
    </xf>
    <xf numFmtId="43" fontId="55" fillId="0" borderId="1" xfId="1" applyFont="1" applyFill="1" applyBorder="1" applyAlignment="1" applyProtection="1">
      <alignment horizontal="left" vertical="center" wrapText="1"/>
    </xf>
    <xf numFmtId="43" fontId="82" fillId="0" borderId="0" xfId="1" applyFont="1" applyAlignment="1" applyProtection="1">
      <alignment vertical="center"/>
    </xf>
    <xf numFmtId="0" fontId="58" fillId="0" borderId="1" xfId="0" applyFont="1" applyFill="1" applyBorder="1" applyAlignment="1" applyProtection="1">
      <alignment horizontal="left" vertical="center"/>
      <protection locked="0"/>
    </xf>
    <xf numFmtId="43" fontId="58" fillId="0" borderId="1" xfId="1" applyFont="1" applyFill="1" applyBorder="1" applyAlignment="1" applyProtection="1">
      <alignment horizontal="center" vertical="center"/>
      <protection locked="0"/>
    </xf>
    <xf numFmtId="0" fontId="55" fillId="2" borderId="1" xfId="0" applyFont="1" applyFill="1" applyBorder="1" applyAlignment="1" applyProtection="1">
      <alignment horizontal="left" vertical="center"/>
      <protection locked="0"/>
    </xf>
    <xf numFmtId="43" fontId="55" fillId="2" borderId="1" xfId="1" applyFont="1" applyFill="1" applyBorder="1" applyAlignment="1" applyProtection="1">
      <alignment vertical="center"/>
      <protection locked="0"/>
    </xf>
    <xf numFmtId="43" fontId="82" fillId="0" borderId="1" xfId="1" applyFont="1" applyBorder="1" applyAlignment="1" applyProtection="1">
      <alignment vertical="center"/>
      <protection locked="0"/>
    </xf>
    <xf numFmtId="0" fontId="83" fillId="0" borderId="1" xfId="3" applyFont="1" applyFill="1" applyBorder="1" applyAlignment="1" applyProtection="1">
      <alignment horizontal="center" vertical="center" wrapText="1"/>
    </xf>
    <xf numFmtId="2" fontId="79" fillId="0" borderId="1" xfId="38" applyNumberFormat="1" applyFont="1" applyFill="1" applyBorder="1" applyAlignment="1" applyProtection="1">
      <alignment horizontal="center" vertical="center" wrapText="1"/>
    </xf>
    <xf numFmtId="0" fontId="84" fillId="2" borderId="1" xfId="40" applyFont="1" applyFill="1" applyBorder="1" applyAlignment="1" applyProtection="1">
      <alignment horizontal="center" vertical="center" wrapText="1"/>
    </xf>
    <xf numFmtId="0" fontId="84" fillId="2" borderId="1" xfId="40" applyFont="1" applyFill="1" applyBorder="1" applyAlignment="1" applyProtection="1">
      <alignment horizontal="left" vertical="center" wrapText="1"/>
    </xf>
    <xf numFmtId="0" fontId="82" fillId="0" borderId="1" xfId="40" applyFont="1" applyFill="1" applyBorder="1" applyAlignment="1" applyProtection="1">
      <alignment horizontal="left" vertical="center" wrapText="1"/>
    </xf>
    <xf numFmtId="43" fontId="79" fillId="2" borderId="1" xfId="1" applyFont="1" applyFill="1" applyBorder="1" applyAlignment="1" applyProtection="1">
      <alignment horizontal="center" vertical="center"/>
    </xf>
    <xf numFmtId="0" fontId="79" fillId="2" borderId="1" xfId="0" applyFont="1" applyFill="1" applyBorder="1" applyAlignment="1" applyProtection="1">
      <alignment horizontal="left" vertical="center"/>
    </xf>
    <xf numFmtId="0" fontId="82" fillId="0" borderId="1" xfId="0" applyFont="1" applyBorder="1" applyAlignment="1" applyProtection="1">
      <alignment horizontal="center" vertical="center"/>
    </xf>
    <xf numFmtId="0" fontId="82" fillId="0" borderId="1" xfId="0" applyFont="1" applyBorder="1" applyAlignment="1" applyProtection="1">
      <alignment horizontal="center" vertical="center" wrapText="1"/>
    </xf>
    <xf numFmtId="0" fontId="82" fillId="0" borderId="1" xfId="40" applyFont="1" applyFill="1" applyBorder="1" applyAlignment="1" applyProtection="1">
      <alignment horizontal="left" vertical="center" wrapText="1"/>
      <protection locked="0"/>
    </xf>
    <xf numFmtId="43" fontId="82" fillId="0" borderId="1" xfId="1" applyFont="1" applyFill="1" applyBorder="1" applyAlignment="1" applyProtection="1">
      <alignment horizontal="center" vertical="center"/>
      <protection locked="0"/>
    </xf>
    <xf numFmtId="0" fontId="79" fillId="2" borderId="1" xfId="0" applyFont="1" applyFill="1" applyBorder="1" applyAlignment="1" applyProtection="1">
      <alignment horizontal="left" vertical="center"/>
      <protection locked="0"/>
    </xf>
    <xf numFmtId="43" fontId="79" fillId="2" borderId="1" xfId="1" applyFont="1" applyFill="1" applyBorder="1" applyAlignment="1" applyProtection="1">
      <alignment horizontal="center" vertical="center"/>
      <protection locked="0"/>
    </xf>
    <xf numFmtId="0" fontId="77" fillId="0" borderId="0" xfId="0" applyFont="1" applyFill="1" applyBorder="1" applyAlignment="1" applyProtection="1">
      <alignment horizontal="left" vertical="center"/>
    </xf>
    <xf numFmtId="0" fontId="77" fillId="0" borderId="0" xfId="8" applyFont="1" applyFill="1" applyBorder="1" applyAlignment="1" applyProtection="1">
      <alignment horizontal="left" vertical="center" wrapText="1"/>
    </xf>
    <xf numFmtId="0" fontId="79" fillId="0" borderId="12" xfId="8" applyFont="1" applyBorder="1" applyAlignment="1" applyProtection="1">
      <alignment horizontal="left" vertical="center"/>
    </xf>
    <xf numFmtId="2" fontId="79" fillId="0" borderId="12" xfId="38" applyNumberFormat="1" applyFont="1" applyFill="1" applyBorder="1" applyAlignment="1" applyProtection="1">
      <alignment horizontal="center" vertical="center" wrapText="1"/>
    </xf>
    <xf numFmtId="0" fontId="82" fillId="2" borderId="1" xfId="0" applyFont="1" applyFill="1" applyBorder="1" applyAlignment="1" applyProtection="1">
      <alignment vertical="center"/>
    </xf>
    <xf numFmtId="43" fontId="82" fillId="2" borderId="1" xfId="1" applyFont="1" applyFill="1" applyBorder="1" applyAlignment="1" applyProtection="1">
      <alignment vertical="center"/>
    </xf>
    <xf numFmtId="2" fontId="82" fillId="0" borderId="1" xfId="0" applyNumberFormat="1" applyFont="1" applyBorder="1" applyAlignment="1" applyProtection="1">
      <alignment horizontal="left" vertical="center"/>
    </xf>
    <xf numFmtId="2" fontId="82" fillId="0" borderId="1" xfId="0" applyNumberFormat="1" applyFont="1" applyBorder="1" applyAlignment="1" applyProtection="1">
      <alignment horizontal="left" vertical="center" wrapText="1"/>
    </xf>
    <xf numFmtId="1" fontId="82" fillId="0" borderId="1" xfId="0" applyNumberFormat="1" applyFont="1" applyBorder="1" applyAlignment="1" applyProtection="1">
      <alignment horizontal="left" vertical="center" wrapText="1"/>
    </xf>
    <xf numFmtId="1" fontId="82" fillId="0" borderId="1" xfId="0" applyNumberFormat="1" applyFont="1" applyBorder="1" applyAlignment="1" applyProtection="1">
      <alignment horizontal="left" vertical="center"/>
    </xf>
    <xf numFmtId="0" fontId="82" fillId="2" borderId="1" xfId="0" applyFont="1" applyFill="1" applyBorder="1" applyAlignment="1" applyProtection="1">
      <alignment vertical="center"/>
      <protection locked="0"/>
    </xf>
    <xf numFmtId="43" fontId="82" fillId="2" borderId="1" xfId="1" applyFont="1" applyFill="1" applyBorder="1" applyAlignment="1" applyProtection="1">
      <alignment vertical="center"/>
      <protection locked="0"/>
    </xf>
    <xf numFmtId="0" fontId="82" fillId="0" borderId="1" xfId="0" applyFont="1" applyFill="1" applyBorder="1" applyAlignment="1" applyProtection="1">
      <alignment vertical="center"/>
      <protection locked="0"/>
    </xf>
    <xf numFmtId="0" fontId="77" fillId="0" borderId="0" xfId="8" applyFont="1" applyFill="1" applyBorder="1" applyAlignment="1" applyProtection="1">
      <alignment horizontal="left" vertical="center"/>
    </xf>
    <xf numFmtId="0" fontId="55" fillId="2" borderId="1" xfId="40" applyFont="1" applyFill="1" applyBorder="1" applyAlignment="1" applyProtection="1">
      <alignment horizontal="center" vertical="center" wrapText="1"/>
    </xf>
    <xf numFmtId="43" fontId="55" fillId="2" borderId="1" xfId="1" applyFont="1" applyFill="1" applyBorder="1" applyAlignment="1" applyProtection="1">
      <alignment horizontal="center" vertical="center" wrapText="1"/>
    </xf>
    <xf numFmtId="0" fontId="55" fillId="2" borderId="1" xfId="40" applyFont="1" applyFill="1" applyBorder="1" applyAlignment="1" applyProtection="1">
      <alignment horizontal="left" vertical="center" wrapText="1"/>
    </xf>
    <xf numFmtId="0" fontId="55" fillId="2" borderId="1" xfId="0" applyFont="1" applyFill="1" applyBorder="1" applyAlignment="1" applyProtection="1">
      <alignment vertical="center"/>
    </xf>
    <xf numFmtId="43" fontId="55" fillId="2" borderId="1" xfId="1" applyFont="1" applyFill="1" applyBorder="1" applyAlignment="1" applyProtection="1">
      <alignment horizontal="left" vertical="center"/>
    </xf>
    <xf numFmtId="43" fontId="55" fillId="2" borderId="1" xfId="1" applyFont="1" applyFill="1" applyBorder="1" applyAlignment="1" applyProtection="1">
      <alignment horizontal="left" vertical="center"/>
      <protection locked="0"/>
    </xf>
    <xf numFmtId="0" fontId="79" fillId="12" borderId="1" xfId="38" applyFont="1" applyFill="1" applyBorder="1" applyAlignment="1" applyProtection="1">
      <alignment horizontal="left" vertical="center" wrapText="1"/>
    </xf>
    <xf numFmtId="0" fontId="82" fillId="0" borderId="0" xfId="0" applyFont="1" applyFill="1" applyBorder="1" applyAlignment="1" applyProtection="1">
      <alignment vertical="center"/>
    </xf>
    <xf numFmtId="43" fontId="82" fillId="0" borderId="0" xfId="1" applyFont="1" applyFill="1" applyBorder="1" applyAlignment="1" applyProtection="1">
      <alignment vertical="center"/>
    </xf>
    <xf numFmtId="0" fontId="79" fillId="2" borderId="1" xfId="0" applyFont="1" applyFill="1" applyBorder="1" applyAlignment="1" applyProtection="1">
      <alignment horizontal="center" vertical="center"/>
    </xf>
    <xf numFmtId="0" fontId="79" fillId="2" borderId="1" xfId="0" applyFont="1" applyFill="1" applyBorder="1" applyAlignment="1" applyProtection="1">
      <alignment vertical="center"/>
    </xf>
    <xf numFmtId="43" fontId="79" fillId="2" borderId="1" xfId="1" applyFont="1" applyFill="1" applyBorder="1" applyAlignment="1" applyProtection="1">
      <alignment vertical="center"/>
    </xf>
    <xf numFmtId="0" fontId="84" fillId="0" borderId="0" xfId="0" applyFont="1" applyAlignment="1" applyProtection="1">
      <alignment vertical="center"/>
    </xf>
    <xf numFmtId="0" fontId="79" fillId="2" borderId="1" xfId="40" applyFont="1" applyFill="1" applyBorder="1" applyAlignment="1" applyProtection="1">
      <alignment horizontal="left" vertical="center" wrapText="1"/>
    </xf>
    <xf numFmtId="43" fontId="79" fillId="2" borderId="1" xfId="1" applyFont="1" applyFill="1" applyBorder="1" applyAlignment="1" applyProtection="1">
      <alignment vertical="center"/>
      <protection locked="0"/>
    </xf>
    <xf numFmtId="43" fontId="82" fillId="0" borderId="0" xfId="1" applyFont="1" applyAlignment="1" applyProtection="1">
      <alignment vertical="center"/>
      <protection locked="0"/>
    </xf>
    <xf numFmtId="0" fontId="79" fillId="0" borderId="0" xfId="0" applyFont="1" applyFill="1" applyBorder="1" applyAlignment="1" applyProtection="1">
      <alignment horizontal="center" vertical="center"/>
    </xf>
    <xf numFmtId="43" fontId="82" fillId="0" borderId="0" xfId="1" applyFont="1" applyFill="1" applyAlignment="1" applyProtection="1">
      <alignment horizontal="center" vertical="center" wrapText="1"/>
    </xf>
    <xf numFmtId="0" fontId="82" fillId="0" borderId="0" xfId="0" applyFont="1" applyFill="1" applyAlignment="1" applyProtection="1">
      <alignment horizontal="left" vertical="center" wrapText="1"/>
    </xf>
    <xf numFmtId="0" fontId="82" fillId="2" borderId="1" xfId="40" applyFont="1" applyFill="1" applyBorder="1" applyAlignment="1" applyProtection="1">
      <alignment horizontal="center" vertical="center" wrapText="1"/>
    </xf>
    <xf numFmtId="0" fontId="82" fillId="0" borderId="1" xfId="40" applyFont="1" applyBorder="1" applyAlignment="1" applyProtection="1">
      <alignment horizontal="left" vertical="center" wrapText="1"/>
    </xf>
    <xf numFmtId="2" fontId="82" fillId="0" borderId="1" xfId="0" applyNumberFormat="1" applyFont="1" applyBorder="1" applyAlignment="1" applyProtection="1">
      <alignment horizontal="center" vertical="center" wrapText="1"/>
    </xf>
    <xf numFmtId="0" fontId="82" fillId="0" borderId="0" xfId="0" applyFont="1" applyAlignment="1" applyProtection="1">
      <alignment horizontal="left" vertical="center" wrapText="1"/>
      <protection locked="0"/>
    </xf>
    <xf numFmtId="43" fontId="82" fillId="0" borderId="0" xfId="1" applyFont="1" applyAlignment="1" applyProtection="1">
      <alignment vertical="center" wrapText="1"/>
      <protection locked="0"/>
    </xf>
    <xf numFmtId="0" fontId="82" fillId="11" borderId="1" xfId="0" applyFont="1" applyFill="1" applyBorder="1" applyAlignment="1" applyProtection="1">
      <alignment horizontal="left" vertical="center" wrapText="1"/>
      <protection locked="0"/>
    </xf>
    <xf numFmtId="0" fontId="83" fillId="0" borderId="0" xfId="3" applyFont="1" applyFill="1" applyBorder="1" applyAlignment="1" applyProtection="1">
      <alignment horizontal="center" vertical="center" wrapText="1"/>
    </xf>
    <xf numFmtId="43" fontId="82" fillId="0" borderId="0" xfId="1" applyFont="1" applyAlignment="1" applyProtection="1">
      <alignment horizontal="center" vertical="center" wrapText="1"/>
      <protection locked="0"/>
    </xf>
    <xf numFmtId="0" fontId="77" fillId="0" borderId="0" xfId="0" applyFont="1" applyFill="1" applyBorder="1" applyAlignment="1" applyProtection="1">
      <alignment horizontal="left" vertical="center" wrapText="1"/>
    </xf>
    <xf numFmtId="0" fontId="88" fillId="0" borderId="0" xfId="3" applyFont="1" applyFill="1" applyBorder="1" applyAlignment="1" applyProtection="1">
      <alignment horizontal="center" vertical="center" wrapText="1"/>
    </xf>
    <xf numFmtId="0" fontId="79" fillId="0" borderId="0" xfId="8" applyFont="1" applyFill="1" applyBorder="1" applyAlignment="1" applyProtection="1">
      <alignment horizontal="left" vertical="center" wrapText="1"/>
    </xf>
    <xf numFmtId="0" fontId="62" fillId="0" borderId="0" xfId="0" applyFont="1" applyAlignment="1" applyProtection="1">
      <alignment horizontal="center" vertical="center" wrapText="1"/>
    </xf>
    <xf numFmtId="1" fontId="82" fillId="0" borderId="1" xfId="38" applyNumberFormat="1" applyFont="1" applyFill="1" applyBorder="1" applyAlignment="1" applyProtection="1">
      <alignment horizontal="center" vertical="center" wrapText="1"/>
    </xf>
    <xf numFmtId="0" fontId="82" fillId="0" borderId="1" xfId="38" applyFont="1" applyBorder="1" applyAlignment="1" applyProtection="1">
      <alignment horizontal="center" vertical="center" wrapText="1"/>
    </xf>
    <xf numFmtId="1" fontId="82" fillId="0" borderId="1" xfId="38" applyNumberFormat="1" applyFont="1" applyBorder="1" applyAlignment="1" applyProtection="1">
      <alignment horizontal="center" vertical="center" wrapText="1"/>
    </xf>
    <xf numFmtId="1" fontId="82" fillId="0" borderId="1" xfId="40" applyNumberFormat="1" applyFont="1" applyBorder="1" applyAlignment="1" applyProtection="1">
      <alignment horizontal="center" vertical="center" wrapText="1"/>
    </xf>
    <xf numFmtId="1" fontId="82" fillId="0" borderId="1" xfId="0" applyNumberFormat="1" applyFont="1" applyBorder="1" applyAlignment="1" applyProtection="1">
      <alignment horizontal="center" vertical="center" wrapText="1"/>
    </xf>
    <xf numFmtId="1" fontId="82" fillId="0" borderId="1" xfId="40" applyNumberFormat="1" applyFont="1" applyFill="1" applyBorder="1" applyAlignment="1" applyProtection="1">
      <alignment horizontal="center" vertical="center" wrapText="1"/>
    </xf>
    <xf numFmtId="1" fontId="82" fillId="0" borderId="1" xfId="0" applyNumberFormat="1" applyFont="1" applyFill="1" applyBorder="1" applyAlignment="1" applyProtection="1">
      <alignment horizontal="center" vertical="center" wrapText="1"/>
    </xf>
    <xf numFmtId="0" fontId="82" fillId="0" borderId="0" xfId="0" applyFont="1" applyBorder="1" applyAlignment="1" applyProtection="1">
      <alignment vertical="center"/>
    </xf>
    <xf numFmtId="43" fontId="82" fillId="0" borderId="0" xfId="1" applyFont="1" applyBorder="1" applyAlignment="1" applyProtection="1">
      <alignment vertical="center"/>
    </xf>
    <xf numFmtId="0" fontId="79" fillId="0" borderId="0" xfId="8" applyFont="1" applyFill="1" applyBorder="1" applyAlignment="1" applyProtection="1">
      <alignment horizontal="left" vertical="center"/>
    </xf>
    <xf numFmtId="0" fontId="79" fillId="0" borderId="12" xfId="8" applyFont="1" applyBorder="1" applyAlignment="1" applyProtection="1">
      <alignment horizontal="left" vertical="center" wrapText="1"/>
    </xf>
    <xf numFmtId="0" fontId="82" fillId="0" borderId="0" xfId="0" applyFont="1" applyBorder="1" applyAlignment="1" applyProtection="1">
      <alignment horizontal="left" vertical="center"/>
    </xf>
    <xf numFmtId="0" fontId="82" fillId="0" borderId="0" xfId="0" applyFont="1" applyBorder="1" applyAlignment="1" applyProtection="1">
      <alignment horizontal="center" vertical="center"/>
    </xf>
    <xf numFmtId="0" fontId="84" fillId="2" borderId="1" xfId="0" applyFont="1" applyFill="1" applyBorder="1" applyAlignment="1" applyProtection="1">
      <alignment horizontal="left" vertical="center"/>
    </xf>
    <xf numFmtId="0" fontId="84" fillId="2" borderId="1" xfId="0" applyFont="1" applyFill="1" applyBorder="1" applyAlignment="1" applyProtection="1">
      <alignment horizontal="center" vertical="center"/>
    </xf>
    <xf numFmtId="43" fontId="82" fillId="0" borderId="0" xfId="1" applyFont="1" applyBorder="1" applyAlignment="1" applyProtection="1">
      <alignment horizontal="center" vertical="center"/>
    </xf>
    <xf numFmtId="0" fontId="82" fillId="0" borderId="0" xfId="0" applyFont="1" applyBorder="1" applyAlignment="1" applyProtection="1">
      <alignment vertical="center"/>
      <protection locked="0"/>
    </xf>
    <xf numFmtId="43" fontId="82" fillId="0" borderId="0" xfId="1" applyFont="1" applyBorder="1" applyAlignment="1" applyProtection="1">
      <alignment vertical="center"/>
      <protection locked="0"/>
    </xf>
    <xf numFmtId="0" fontId="87" fillId="0" borderId="0" xfId="0" applyFont="1" applyFill="1" applyBorder="1" applyAlignment="1" applyProtection="1">
      <alignment horizontal="center" vertical="center" wrapText="1"/>
    </xf>
    <xf numFmtId="0" fontId="87" fillId="0" borderId="0" xfId="0" applyFont="1" applyFill="1" applyBorder="1" applyAlignment="1" applyProtection="1">
      <alignment horizontal="left" vertical="center" wrapText="1"/>
    </xf>
    <xf numFmtId="43" fontId="87" fillId="0" borderId="0" xfId="1" applyFont="1" applyFill="1" applyBorder="1" applyAlignment="1" applyProtection="1">
      <alignment horizontal="center" vertical="center" wrapText="1"/>
    </xf>
    <xf numFmtId="0" fontId="82" fillId="0" borderId="0" xfId="0" applyFont="1" applyAlignment="1" applyProtection="1">
      <alignment wrapText="1"/>
    </xf>
    <xf numFmtId="0" fontId="83" fillId="0" borderId="0" xfId="3" applyFont="1" applyFill="1" applyBorder="1" applyAlignment="1" applyProtection="1">
      <alignment horizontal="center" wrapText="1"/>
    </xf>
    <xf numFmtId="0" fontId="82" fillId="0" borderId="0" xfId="0" applyFont="1" applyFill="1" applyBorder="1" applyAlignment="1" applyProtection="1">
      <alignment wrapText="1"/>
    </xf>
    <xf numFmtId="0" fontId="82" fillId="0" borderId="0" xfId="0" applyFont="1" applyAlignment="1" applyProtection="1">
      <alignment horizontal="center" wrapText="1"/>
    </xf>
    <xf numFmtId="0" fontId="84" fillId="17" borderId="12" xfId="38" applyFont="1" applyFill="1" applyBorder="1" applyAlignment="1" applyProtection="1">
      <alignment horizontal="center" vertical="center" wrapText="1"/>
    </xf>
    <xf numFmtId="0" fontId="84" fillId="23" borderId="12" xfId="38" applyFont="1" applyFill="1" applyBorder="1" applyAlignment="1" applyProtection="1">
      <alignment horizontal="center" vertical="center" wrapText="1"/>
    </xf>
    <xf numFmtId="43" fontId="84" fillId="23" borderId="12" xfId="1" applyFont="1" applyFill="1" applyBorder="1" applyAlignment="1" applyProtection="1">
      <alignment horizontal="center" vertical="center" wrapText="1"/>
    </xf>
    <xf numFmtId="0" fontId="55" fillId="2" borderId="1" xfId="0" applyFont="1" applyFill="1" applyBorder="1" applyAlignment="1" applyProtection="1">
      <alignment wrapText="1"/>
    </xf>
    <xf numFmtId="43" fontId="55" fillId="2" borderId="1" xfId="0" applyNumberFormat="1" applyFont="1" applyFill="1" applyBorder="1" applyAlignment="1" applyProtection="1">
      <alignment wrapText="1"/>
    </xf>
    <xf numFmtId="0" fontId="82" fillId="0" borderId="3" xfId="40" applyFont="1" applyFill="1" applyBorder="1" applyAlignment="1" applyProtection="1">
      <alignment horizontal="left" vertical="center" wrapText="1"/>
    </xf>
    <xf numFmtId="0" fontId="84" fillId="0" borderId="3" xfId="40" applyFont="1" applyFill="1" applyBorder="1" applyAlignment="1" applyProtection="1">
      <alignment horizontal="left" vertical="center" wrapText="1"/>
    </xf>
    <xf numFmtId="0" fontId="82" fillId="0" borderId="3" xfId="40" applyFont="1" applyFill="1" applyBorder="1" applyAlignment="1" applyProtection="1">
      <alignment horizontal="center" vertical="center" wrapText="1"/>
    </xf>
    <xf numFmtId="43" fontId="82" fillId="0" borderId="3" xfId="1" applyFont="1" applyFill="1" applyBorder="1" applyAlignment="1" applyProtection="1">
      <alignment horizontal="center" vertical="center" wrapText="1"/>
    </xf>
    <xf numFmtId="0" fontId="82" fillId="0" borderId="0" xfId="0" applyFont="1" applyFill="1" applyAlignment="1" applyProtection="1">
      <alignment wrapText="1"/>
    </xf>
    <xf numFmtId="0" fontId="62" fillId="0" borderId="12" xfId="38" applyFont="1" applyFill="1" applyBorder="1" applyAlignment="1" applyProtection="1">
      <alignment horizontal="left" vertical="center" wrapText="1"/>
    </xf>
    <xf numFmtId="0" fontId="62" fillId="0" borderId="12" xfId="38" applyFont="1" applyFill="1" applyBorder="1" applyAlignment="1" applyProtection="1">
      <alignment horizontal="center" vertical="center" wrapText="1"/>
    </xf>
    <xf numFmtId="43" fontId="62" fillId="0" borderId="12" xfId="1" applyFont="1" applyFill="1" applyBorder="1" applyAlignment="1" applyProtection="1">
      <alignment horizontal="center" vertical="center" wrapText="1"/>
    </xf>
    <xf numFmtId="0" fontId="62" fillId="0" borderId="1" xfId="38" applyFont="1" applyFill="1" applyBorder="1" applyAlignment="1" applyProtection="1">
      <alignment horizontal="left" vertical="center" wrapText="1"/>
    </xf>
    <xf numFmtId="43" fontId="55" fillId="2" borderId="1" xfId="1" applyFont="1" applyFill="1" applyBorder="1" applyAlignment="1" applyProtection="1">
      <alignment wrapText="1"/>
    </xf>
    <xf numFmtId="0" fontId="55" fillId="2" borderId="1" xfId="0" applyFont="1" applyFill="1" applyBorder="1" applyAlignment="1" applyProtection="1">
      <alignment horizontal="left" wrapText="1"/>
    </xf>
    <xf numFmtId="0" fontId="82" fillId="0" borderId="13" xfId="0" applyFont="1" applyBorder="1" applyAlignment="1" applyProtection="1">
      <alignment horizontal="left" vertical="center" wrapText="1"/>
    </xf>
    <xf numFmtId="0" fontId="82" fillId="0" borderId="13" xfId="0" applyFont="1" applyBorder="1" applyAlignment="1" applyProtection="1">
      <alignment horizontal="center" vertical="center" wrapText="1"/>
    </xf>
    <xf numFmtId="43" fontId="82" fillId="0" borderId="13" xfId="1" applyFont="1" applyBorder="1" applyAlignment="1" applyProtection="1">
      <alignment horizontal="center" vertical="center" wrapText="1"/>
    </xf>
    <xf numFmtId="0" fontId="55" fillId="2" borderId="1" xfId="0" applyFont="1" applyFill="1" applyBorder="1" applyAlignment="1" applyProtection="1">
      <alignment horizontal="center" vertical="center" wrapText="1"/>
    </xf>
    <xf numFmtId="0" fontId="82" fillId="0" borderId="3" xfId="0" applyFont="1" applyBorder="1" applyAlignment="1" applyProtection="1">
      <alignment horizontal="left" vertical="center" wrapText="1"/>
    </xf>
    <xf numFmtId="0" fontId="82" fillId="0" borderId="3" xfId="0" applyFont="1" applyBorder="1" applyAlignment="1" applyProtection="1">
      <alignment horizontal="center" vertical="center" wrapText="1"/>
    </xf>
    <xf numFmtId="43" fontId="82" fillId="0" borderId="3" xfId="1" applyFont="1" applyBorder="1" applyAlignment="1" applyProtection="1">
      <alignment horizontal="center" vertical="center" wrapText="1"/>
    </xf>
    <xf numFmtId="0" fontId="82" fillId="0" borderId="0" xfId="0" applyFont="1" applyAlignment="1" applyProtection="1">
      <alignment horizontal="left" wrapText="1"/>
    </xf>
    <xf numFmtId="43" fontId="82" fillId="0" borderId="0" xfId="1" applyFont="1" applyAlignment="1" applyProtection="1">
      <alignment horizontal="center" wrapText="1"/>
    </xf>
    <xf numFmtId="0" fontId="62" fillId="0" borderId="0" xfId="0" applyFont="1" applyAlignment="1" applyProtection="1">
      <alignment horizontal="left" wrapText="1"/>
    </xf>
    <xf numFmtId="43" fontId="62" fillId="0" borderId="0" xfId="1" applyFont="1" applyAlignment="1" applyProtection="1">
      <alignment horizontal="center" wrapText="1"/>
    </xf>
    <xf numFmtId="43" fontId="82" fillId="0" borderId="0" xfId="1" applyFont="1" applyAlignment="1" applyProtection="1">
      <alignment wrapText="1"/>
    </xf>
    <xf numFmtId="0" fontId="82" fillId="0" borderId="1" xfId="0" applyFont="1" applyFill="1" applyBorder="1" applyAlignment="1" applyProtection="1">
      <alignment horizontal="left" wrapText="1"/>
      <protection locked="0"/>
    </xf>
    <xf numFmtId="43" fontId="82" fillId="0" borderId="1" xfId="1" applyFont="1" applyFill="1" applyBorder="1" applyAlignment="1" applyProtection="1">
      <alignment wrapText="1"/>
      <protection locked="0"/>
    </xf>
    <xf numFmtId="0" fontId="82" fillId="0" borderId="1" xfId="0" applyFont="1" applyBorder="1" applyAlignment="1" applyProtection="1">
      <alignment horizontal="left" wrapText="1"/>
      <protection locked="0"/>
    </xf>
    <xf numFmtId="43" fontId="82" fillId="0" borderId="1" xfId="1" applyFont="1" applyBorder="1" applyAlignment="1" applyProtection="1">
      <alignment wrapText="1"/>
      <protection locked="0"/>
    </xf>
    <xf numFmtId="0" fontId="55" fillId="2" borderId="1" xfId="0" applyFont="1" applyFill="1" applyBorder="1" applyAlignment="1" applyProtection="1">
      <alignment horizontal="left" wrapText="1"/>
      <protection locked="0"/>
    </xf>
    <xf numFmtId="43" fontId="55" fillId="2" borderId="1" xfId="1" applyFont="1" applyFill="1" applyBorder="1" applyAlignment="1" applyProtection="1">
      <alignment wrapText="1"/>
      <protection locked="0"/>
    </xf>
    <xf numFmtId="0" fontId="82" fillId="0" borderId="0" xfId="0" applyFont="1" applyAlignment="1" applyProtection="1">
      <alignment wrapText="1"/>
      <protection locked="0"/>
    </xf>
    <xf numFmtId="0" fontId="89" fillId="0" borderId="0" xfId="0" applyFont="1" applyFill="1" applyBorder="1" applyAlignment="1" applyProtection="1">
      <alignment horizontal="center" vertical="center" wrapText="1"/>
    </xf>
    <xf numFmtId="0" fontId="89" fillId="0" borderId="1" xfId="0" applyFont="1" applyFill="1" applyBorder="1" applyAlignment="1" applyProtection="1">
      <alignment horizontal="center" vertical="center" wrapText="1"/>
    </xf>
    <xf numFmtId="43" fontId="89" fillId="0" borderId="0" xfId="1" applyFont="1" applyFill="1" applyBorder="1" applyAlignment="1" applyProtection="1">
      <alignment horizontal="center" vertical="center" wrapText="1"/>
    </xf>
    <xf numFmtId="0" fontId="89" fillId="0" borderId="0" xfId="0" applyFont="1" applyFill="1" applyBorder="1" applyAlignment="1" applyProtection="1">
      <alignment horizontal="left" vertical="center" wrapText="1"/>
    </xf>
    <xf numFmtId="0" fontId="55" fillId="2" borderId="1" xfId="0" applyFont="1" applyFill="1" applyBorder="1" applyAlignment="1" applyProtection="1">
      <alignment vertical="center" wrapText="1"/>
    </xf>
    <xf numFmtId="43" fontId="55" fillId="2" borderId="1" xfId="1" applyFont="1" applyFill="1" applyBorder="1" applyAlignment="1" applyProtection="1">
      <alignment vertical="center" wrapText="1"/>
    </xf>
    <xf numFmtId="0" fontId="55" fillId="2" borderId="1" xfId="0" applyFont="1" applyFill="1" applyBorder="1" applyAlignment="1" applyProtection="1">
      <alignment horizontal="left" vertical="center" wrapText="1"/>
    </xf>
    <xf numFmtId="0" fontId="55" fillId="2" borderId="1" xfId="0" applyFont="1" applyFill="1" applyBorder="1" applyAlignment="1" applyProtection="1">
      <alignment horizontal="left" vertical="center" wrapText="1"/>
      <protection locked="0"/>
    </xf>
    <xf numFmtId="43" fontId="55" fillId="2" borderId="1" xfId="1" applyFont="1" applyFill="1" applyBorder="1" applyAlignment="1" applyProtection="1">
      <alignment vertical="center" wrapText="1"/>
      <protection locked="0"/>
    </xf>
    <xf numFmtId="0" fontId="87" fillId="0" borderId="4" xfId="0" applyFont="1" applyFill="1" applyBorder="1" applyAlignment="1" applyProtection="1">
      <alignment horizontal="center" vertical="center" wrapText="1"/>
    </xf>
    <xf numFmtId="0" fontId="84" fillId="0" borderId="1" xfId="0" applyFont="1" applyFill="1" applyBorder="1" applyAlignment="1" applyProtection="1">
      <alignment horizontal="center" vertical="center" wrapText="1"/>
    </xf>
    <xf numFmtId="0" fontId="82" fillId="0" borderId="0" xfId="0" applyFont="1" applyFill="1" applyBorder="1" applyAlignment="1" applyProtection="1">
      <alignment horizontal="center" vertical="center" wrapText="1"/>
    </xf>
    <xf numFmtId="43" fontId="82" fillId="0" borderId="0" xfId="1" applyFont="1" applyFill="1" applyBorder="1" applyAlignment="1" applyProtection="1">
      <alignment horizontal="center" vertical="center" wrapText="1"/>
    </xf>
    <xf numFmtId="0" fontId="82" fillId="0" borderId="0" xfId="0" applyFont="1" applyFill="1" applyBorder="1" applyAlignment="1" applyProtection="1">
      <alignment horizontal="left" vertical="center" wrapText="1"/>
    </xf>
    <xf numFmtId="43" fontId="82" fillId="0" borderId="0" xfId="1" applyFont="1" applyFill="1" applyBorder="1" applyAlignment="1" applyProtection="1">
      <alignment vertical="center" wrapText="1"/>
    </xf>
    <xf numFmtId="0" fontId="83" fillId="0" borderId="2" xfId="3" applyFont="1" applyFill="1" applyBorder="1" applyAlignment="1" applyProtection="1">
      <alignment horizontal="center" vertical="center" wrapText="1"/>
    </xf>
    <xf numFmtId="0" fontId="62" fillId="0" borderId="0" xfId="0" applyFont="1" applyFill="1" applyBorder="1" applyAlignment="1" applyProtection="1">
      <alignment horizontal="center" vertical="center" wrapText="1"/>
    </xf>
    <xf numFmtId="43" fontId="62" fillId="0" borderId="0" xfId="1" applyFont="1" applyFill="1" applyBorder="1" applyAlignment="1" applyProtection="1">
      <alignment horizontal="center" vertical="center" wrapText="1"/>
    </xf>
    <xf numFmtId="0" fontId="62" fillId="0" borderId="0" xfId="0" applyFont="1" applyFill="1" applyBorder="1" applyAlignment="1" applyProtection="1">
      <alignment horizontal="left" vertical="center" wrapText="1"/>
    </xf>
    <xf numFmtId="43" fontId="62" fillId="0" borderId="0" xfId="1" applyFont="1" applyFill="1" applyBorder="1" applyAlignment="1" applyProtection="1">
      <alignment vertical="center" wrapText="1"/>
    </xf>
    <xf numFmtId="0" fontId="62" fillId="0" borderId="0" xfId="0" applyFont="1" applyFill="1" applyBorder="1" applyAlignment="1" applyProtection="1">
      <alignment vertical="center" wrapText="1"/>
    </xf>
    <xf numFmtId="0" fontId="83" fillId="0" borderId="10" xfId="3" applyFont="1" applyFill="1" applyBorder="1" applyAlignment="1" applyProtection="1">
      <alignment horizontal="center" vertical="center" wrapText="1"/>
    </xf>
    <xf numFmtId="0" fontId="79" fillId="0" borderId="12" xfId="8" applyFont="1" applyBorder="1" applyAlignment="1" applyProtection="1">
      <alignment horizontal="center" vertical="center" wrapText="1"/>
    </xf>
    <xf numFmtId="0" fontId="79" fillId="0" borderId="7" xfId="8" applyFont="1" applyFill="1" applyBorder="1" applyAlignment="1" applyProtection="1">
      <alignment horizontal="center" vertical="center" wrapText="1"/>
    </xf>
    <xf numFmtId="0" fontId="62" fillId="0" borderId="0" xfId="0" applyFont="1" applyFill="1" applyAlignment="1" applyProtection="1">
      <alignment horizontal="center" vertical="center" wrapText="1"/>
    </xf>
    <xf numFmtId="43" fontId="79" fillId="0" borderId="7" xfId="1" applyFont="1" applyFill="1" applyBorder="1" applyAlignment="1" applyProtection="1">
      <alignment horizontal="center" vertical="center" wrapText="1"/>
    </xf>
    <xf numFmtId="43" fontId="62" fillId="0" borderId="0" xfId="1" applyFont="1" applyFill="1" applyAlignment="1" applyProtection="1">
      <alignment horizontal="center" vertical="center" wrapText="1"/>
    </xf>
    <xf numFmtId="0" fontId="62" fillId="0" borderId="0" xfId="0" applyFont="1" applyFill="1" applyAlignment="1" applyProtection="1">
      <alignment horizontal="left" vertical="center" wrapText="1"/>
    </xf>
    <xf numFmtId="43" fontId="62" fillId="0" borderId="0" xfId="1" applyFont="1" applyFill="1" applyAlignment="1" applyProtection="1">
      <alignment vertical="center" wrapText="1"/>
    </xf>
    <xf numFmtId="0" fontId="62" fillId="0" borderId="0" xfId="0" applyFont="1" applyFill="1" applyAlignment="1" applyProtection="1">
      <alignment vertical="center" wrapText="1"/>
    </xf>
    <xf numFmtId="0" fontId="84" fillId="0" borderId="1" xfId="40" applyFont="1" applyFill="1" applyBorder="1" applyAlignment="1" applyProtection="1">
      <alignment horizontal="left" vertical="center" wrapText="1"/>
    </xf>
    <xf numFmtId="43" fontId="55" fillId="2" borderId="1" xfId="1" applyFont="1" applyFill="1" applyBorder="1" applyAlignment="1" applyProtection="1">
      <alignment horizontal="center" vertical="center" wrapText="1"/>
      <protection locked="0"/>
    </xf>
    <xf numFmtId="43" fontId="62" fillId="0" borderId="0" xfId="1" applyFont="1" applyAlignment="1" applyProtection="1">
      <alignment horizontal="center" vertical="center" wrapText="1"/>
    </xf>
    <xf numFmtId="0" fontId="62" fillId="0" borderId="0" xfId="0" applyFont="1" applyAlignment="1" applyProtection="1">
      <alignment horizontal="left" vertical="center" wrapText="1"/>
    </xf>
    <xf numFmtId="0" fontId="62" fillId="0" borderId="0" xfId="0" applyFont="1" applyAlignment="1" applyProtection="1">
      <alignment vertical="center" wrapText="1"/>
    </xf>
    <xf numFmtId="2" fontId="79" fillId="2" borderId="1" xfId="0" applyNumberFormat="1" applyFont="1" applyFill="1" applyBorder="1" applyAlignment="1" applyProtection="1">
      <alignment horizontal="center" vertical="center" wrapText="1"/>
    </xf>
    <xf numFmtId="0" fontId="77" fillId="0" borderId="0" xfId="0" applyFont="1" applyFill="1" applyBorder="1" applyAlignment="1" applyProtection="1">
      <alignment vertical="center" wrapText="1"/>
    </xf>
    <xf numFmtId="43" fontId="79" fillId="12" borderId="1" xfId="1" applyFont="1" applyFill="1" applyBorder="1" applyAlignment="1" applyProtection="1">
      <alignment horizontal="center" vertical="center" wrapText="1"/>
    </xf>
    <xf numFmtId="0" fontId="83" fillId="0" borderId="0" xfId="3" applyFont="1" applyFill="1" applyBorder="1" applyAlignment="1" applyProtection="1">
      <alignment wrapText="1"/>
    </xf>
    <xf numFmtId="43" fontId="79" fillId="0" borderId="1" xfId="1" applyFont="1" applyBorder="1" applyAlignment="1" applyProtection="1">
      <alignment horizontal="left" vertical="center" wrapText="1"/>
    </xf>
    <xf numFmtId="0" fontId="60" fillId="0" borderId="0" xfId="0" applyFont="1" applyFill="1" applyBorder="1" applyAlignment="1" applyProtection="1">
      <alignment horizontal="center" vertical="center" wrapText="1"/>
    </xf>
    <xf numFmtId="0" fontId="60" fillId="0" borderId="0" xfId="0" applyFont="1" applyFill="1" applyBorder="1" applyAlignment="1" applyProtection="1">
      <alignment horizontal="left" vertical="center" wrapText="1"/>
    </xf>
    <xf numFmtId="0" fontId="60" fillId="0" borderId="0" xfId="0" applyFont="1" applyFill="1" applyBorder="1" applyAlignment="1" applyProtection="1">
      <alignment vertical="center" wrapText="1"/>
    </xf>
    <xf numFmtId="43" fontId="79" fillId="0" borderId="12" xfId="1" applyFont="1" applyBorder="1" applyAlignment="1" applyProtection="1">
      <alignment horizontal="left" vertical="center" wrapText="1"/>
    </xf>
    <xf numFmtId="0" fontId="59" fillId="0" borderId="0" xfId="0" applyFont="1" applyFill="1" applyBorder="1" applyAlignment="1" applyProtection="1">
      <alignment horizontal="center" vertical="center" wrapText="1"/>
    </xf>
    <xf numFmtId="0" fontId="79" fillId="0" borderId="0" xfId="0" applyFont="1" applyFill="1" applyBorder="1" applyAlignment="1" applyProtection="1">
      <alignment horizontal="left" vertical="center" wrapText="1"/>
    </xf>
    <xf numFmtId="43" fontId="59" fillId="0" borderId="0" xfId="1" applyFont="1" applyFill="1" applyBorder="1" applyAlignment="1" applyProtection="1">
      <alignment horizontal="center" vertical="center" wrapText="1"/>
    </xf>
    <xf numFmtId="0" fontId="88" fillId="0" borderId="1" xfId="3" applyFont="1" applyFill="1" applyBorder="1" applyAlignment="1" applyProtection="1">
      <alignment horizontal="center" vertical="center" wrapText="1"/>
    </xf>
    <xf numFmtId="43" fontId="82" fillId="0" borderId="3" xfId="1" applyFont="1" applyBorder="1" applyAlignment="1" applyProtection="1">
      <alignment horizontal="left" vertical="center" wrapText="1"/>
    </xf>
    <xf numFmtId="0" fontId="82" fillId="0" borderId="12" xfId="0" applyFont="1" applyBorder="1" applyAlignment="1" applyProtection="1">
      <alignment horizontal="left" vertical="center" wrapText="1"/>
    </xf>
    <xf numFmtId="43" fontId="82" fillId="0" borderId="12" xfId="1" applyFont="1" applyBorder="1" applyAlignment="1" applyProtection="1">
      <alignment horizontal="left" vertical="center" wrapText="1"/>
    </xf>
    <xf numFmtId="43" fontId="82" fillId="0" borderId="13" xfId="1" applyFont="1" applyBorder="1" applyAlignment="1" applyProtection="1">
      <alignment horizontal="left" vertical="center" wrapText="1"/>
    </xf>
    <xf numFmtId="0" fontId="79" fillId="2" borderId="1" xfId="40" quotePrefix="1" applyFont="1" applyFill="1" applyBorder="1" applyAlignment="1" applyProtection="1">
      <alignment horizontal="left" vertical="center" wrapText="1"/>
    </xf>
    <xf numFmtId="0" fontId="55" fillId="2" borderId="1" xfId="0" applyFont="1" applyFill="1" applyBorder="1" applyAlignment="1" applyProtection="1">
      <alignment horizontal="center" vertical="center" wrapText="1"/>
      <protection locked="0"/>
    </xf>
    <xf numFmtId="0" fontId="59" fillId="0" borderId="0" xfId="0" applyFont="1" applyFill="1" applyBorder="1" applyAlignment="1" applyProtection="1">
      <alignment horizontal="left" wrapText="1"/>
    </xf>
    <xf numFmtId="43" fontId="59" fillId="0" borderId="0" xfId="1" applyFont="1" applyFill="1" applyBorder="1" applyAlignment="1" applyProtection="1">
      <alignment wrapText="1"/>
    </xf>
    <xf numFmtId="0" fontId="59" fillId="0" borderId="0" xfId="0" applyFont="1" applyFill="1" applyBorder="1" applyAlignment="1" applyProtection="1">
      <alignment wrapText="1"/>
    </xf>
    <xf numFmtId="0" fontId="79" fillId="0" borderId="0" xfId="0" applyFont="1" applyFill="1" applyBorder="1" applyAlignment="1" applyProtection="1">
      <alignment horizontal="left" vertical="center"/>
    </xf>
    <xf numFmtId="0" fontId="59" fillId="0" borderId="0" xfId="0" applyFont="1" applyFill="1" applyBorder="1" applyAlignment="1" applyProtection="1">
      <alignment vertical="center"/>
    </xf>
    <xf numFmtId="0" fontId="88" fillId="0" borderId="1" xfId="3" applyFont="1" applyFill="1" applyBorder="1" applyAlignment="1" applyProtection="1">
      <alignment horizontal="center" vertical="center"/>
    </xf>
    <xf numFmtId="0" fontId="55" fillId="2" borderId="1" xfId="0" applyFont="1" applyFill="1" applyBorder="1" applyAlignment="1" applyProtection="1">
      <alignment vertical="center"/>
      <protection locked="0"/>
    </xf>
    <xf numFmtId="0" fontId="88" fillId="0" borderId="12" xfId="3" applyFont="1" applyFill="1" applyBorder="1" applyAlignment="1" applyProtection="1">
      <alignment horizontal="center" vertical="center" wrapText="1"/>
    </xf>
    <xf numFmtId="0" fontId="59" fillId="0" borderId="0" xfId="0" applyFont="1" applyFill="1" applyBorder="1" applyAlignment="1" applyProtection="1">
      <alignment horizontal="left" vertical="center" wrapText="1"/>
    </xf>
    <xf numFmtId="0" fontId="59" fillId="0" borderId="0" xfId="0" applyFont="1" applyFill="1" applyBorder="1" applyAlignment="1" applyProtection="1">
      <alignment vertical="center" wrapText="1"/>
    </xf>
    <xf numFmtId="0" fontId="79" fillId="0" borderId="1" xfId="0" applyFont="1" applyFill="1" applyBorder="1" applyAlignment="1" applyProtection="1">
      <alignment vertical="center"/>
    </xf>
    <xf numFmtId="0" fontId="79" fillId="0" borderId="0" xfId="0" applyFont="1" applyFill="1" applyBorder="1" applyAlignment="1" applyProtection="1">
      <alignment vertical="center"/>
    </xf>
    <xf numFmtId="0" fontId="59" fillId="0" borderId="0" xfId="0" applyFont="1" applyFill="1" applyBorder="1" applyProtection="1"/>
    <xf numFmtId="43" fontId="79" fillId="0" borderId="0" xfId="1" applyFont="1" applyFill="1" applyBorder="1" applyAlignment="1" applyProtection="1">
      <alignment vertical="center"/>
    </xf>
    <xf numFmtId="0" fontId="88" fillId="0" borderId="1" xfId="3" applyFont="1" applyFill="1" applyBorder="1" applyAlignment="1" applyProtection="1"/>
    <xf numFmtId="43" fontId="79" fillId="0" borderId="0" xfId="1" applyFont="1" applyFill="1" applyBorder="1" applyAlignment="1" applyProtection="1">
      <alignment horizontal="left" vertical="center"/>
    </xf>
    <xf numFmtId="0" fontId="79" fillId="0" borderId="0" xfId="8" applyFont="1" applyFill="1" applyBorder="1" applyAlignment="1" applyProtection="1">
      <alignment horizontal="right" vertical="center"/>
    </xf>
    <xf numFmtId="0" fontId="88" fillId="0" borderId="12" xfId="3" applyFont="1" applyFill="1" applyBorder="1" applyAlignment="1" applyProtection="1"/>
    <xf numFmtId="43" fontId="79" fillId="0" borderId="12" xfId="1" applyFont="1" applyFill="1" applyBorder="1" applyAlignment="1" applyProtection="1">
      <alignment vertical="center" wrapText="1"/>
    </xf>
    <xf numFmtId="0" fontId="79" fillId="2" borderId="1" xfId="0" applyFont="1" applyFill="1" applyBorder="1" applyAlignment="1" applyProtection="1">
      <alignment horizontal="center"/>
    </xf>
    <xf numFmtId="0" fontId="79" fillId="2" borderId="1" xfId="0" applyFont="1" applyFill="1" applyBorder="1" applyAlignment="1" applyProtection="1">
      <alignment horizontal="left"/>
    </xf>
    <xf numFmtId="0" fontId="82" fillId="0" borderId="1" xfId="0" applyFont="1" applyBorder="1" applyAlignment="1" applyProtection="1">
      <alignment horizontal="left"/>
    </xf>
    <xf numFmtId="0" fontId="82" fillId="0" borderId="1" xfId="0" applyFont="1" applyBorder="1" applyAlignment="1" applyProtection="1">
      <alignment horizontal="center"/>
    </xf>
    <xf numFmtId="43" fontId="82" fillId="0" borderId="1" xfId="1" applyFont="1" applyBorder="1" applyAlignment="1" applyProtection="1">
      <alignment horizontal="center"/>
    </xf>
    <xf numFmtId="43" fontId="82" fillId="0" borderId="0" xfId="1" applyFont="1" applyAlignment="1" applyProtection="1">
      <alignment horizontal="left" vertical="center"/>
    </xf>
    <xf numFmtId="0" fontId="82" fillId="0" borderId="1" xfId="0" applyFont="1" applyBorder="1" applyAlignment="1" applyProtection="1">
      <alignment horizontal="left"/>
      <protection locked="0"/>
    </xf>
    <xf numFmtId="0" fontId="79" fillId="2" borderId="1" xfId="0" applyFont="1" applyFill="1" applyBorder="1" applyAlignment="1" applyProtection="1">
      <alignment horizontal="left"/>
      <protection locked="0"/>
    </xf>
    <xf numFmtId="0" fontId="84" fillId="0" borderId="0" xfId="0" applyFont="1" applyFill="1" applyBorder="1" applyAlignment="1" applyProtection="1">
      <alignment vertical="center"/>
    </xf>
    <xf numFmtId="43" fontId="84" fillId="0" borderId="0" xfId="1" applyFont="1" applyFill="1" applyBorder="1" applyAlignment="1" applyProtection="1">
      <alignment vertical="center"/>
    </xf>
    <xf numFmtId="0" fontId="90" fillId="0" borderId="0" xfId="3" applyFont="1" applyFill="1" applyBorder="1" applyAlignment="1" applyProtection="1">
      <alignment horizontal="center"/>
    </xf>
    <xf numFmtId="43" fontId="79" fillId="0" borderId="1" xfId="1" applyNumberFormat="1" applyFont="1" applyFill="1" applyBorder="1" applyAlignment="1" applyProtection="1">
      <alignment horizontal="right" vertical="center" wrapText="1"/>
    </xf>
    <xf numFmtId="0" fontId="84" fillId="0" borderId="0" xfId="8" applyFont="1" applyFill="1" applyBorder="1" applyAlignment="1" applyProtection="1">
      <alignment horizontal="center" vertical="center"/>
    </xf>
    <xf numFmtId="0" fontId="84" fillId="0" borderId="0" xfId="8" applyFont="1" applyFill="1" applyBorder="1" applyAlignment="1" applyProtection="1">
      <alignment vertical="center"/>
    </xf>
    <xf numFmtId="43" fontId="84" fillId="0" borderId="0" xfId="1" applyFont="1" applyFill="1" applyBorder="1" applyAlignment="1" applyProtection="1">
      <alignment horizontal="right" vertical="center"/>
    </xf>
    <xf numFmtId="0" fontId="55" fillId="2" borderId="1" xfId="40" applyFont="1" applyFill="1" applyBorder="1" applyAlignment="1" applyProtection="1">
      <alignment vertical="center" wrapText="1"/>
    </xf>
    <xf numFmtId="43" fontId="55" fillId="2" borderId="1" xfId="1" applyFont="1" applyFill="1" applyBorder="1" applyAlignment="1" applyProtection="1">
      <alignment horizontal="right" vertical="center"/>
    </xf>
    <xf numFmtId="0" fontId="55" fillId="0" borderId="1" xfId="40" applyFont="1" applyFill="1" applyBorder="1" applyAlignment="1" applyProtection="1">
      <alignment horizontal="center" vertical="center" wrapText="1"/>
    </xf>
    <xf numFmtId="0" fontId="55" fillId="0" borderId="1" xfId="40"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84" fillId="0" borderId="0" xfId="0" applyFont="1" applyFill="1" applyBorder="1" applyAlignment="1" applyProtection="1">
      <alignment horizontal="center" vertical="center" wrapText="1"/>
    </xf>
    <xf numFmtId="0" fontId="84" fillId="0" borderId="0" xfId="0" applyFont="1" applyFill="1" applyBorder="1" applyAlignment="1" applyProtection="1">
      <alignment horizontal="left" vertical="center" wrapText="1"/>
    </xf>
    <xf numFmtId="0" fontId="90" fillId="0" borderId="0" xfId="3" applyFont="1" applyFill="1" applyBorder="1" applyAlignment="1" applyProtection="1">
      <alignment horizontal="center" wrapText="1"/>
    </xf>
    <xf numFmtId="0" fontId="84" fillId="0" borderId="0" xfId="8" applyFont="1" applyFill="1" applyBorder="1" applyAlignment="1" applyProtection="1">
      <alignment horizontal="left" vertical="center" wrapText="1"/>
    </xf>
    <xf numFmtId="0" fontId="79" fillId="2" borderId="3" xfId="40" applyFont="1" applyFill="1" applyBorder="1" applyAlignment="1" applyProtection="1">
      <alignment horizontal="center" vertical="center" wrapText="1"/>
    </xf>
    <xf numFmtId="0" fontId="55" fillId="2" borderId="3" xfId="40" applyFont="1" applyFill="1" applyBorder="1" applyAlignment="1" applyProtection="1">
      <alignment horizontal="center" vertical="center" wrapText="1"/>
    </xf>
    <xf numFmtId="43" fontId="55" fillId="2" borderId="3" xfId="1" applyFont="1" applyFill="1" applyBorder="1" applyAlignment="1" applyProtection="1">
      <alignment horizontal="center" vertical="center" wrapText="1"/>
    </xf>
    <xf numFmtId="43" fontId="79" fillId="2" borderId="3" xfId="1" applyFont="1" applyFill="1" applyBorder="1" applyAlignment="1" applyProtection="1">
      <alignment horizontal="center" vertical="center" wrapText="1"/>
    </xf>
    <xf numFmtId="0" fontId="55" fillId="2" borderId="3" xfId="40" applyFont="1" applyFill="1" applyBorder="1" applyAlignment="1" applyProtection="1">
      <alignment horizontal="left" vertical="center" wrapText="1"/>
    </xf>
    <xf numFmtId="0" fontId="55" fillId="2" borderId="3" xfId="0" applyFont="1" applyFill="1" applyBorder="1" applyAlignment="1" applyProtection="1">
      <alignment vertical="center" wrapText="1"/>
    </xf>
    <xf numFmtId="0" fontId="55" fillId="2" borderId="3" xfId="0" applyFont="1" applyFill="1" applyBorder="1" applyAlignment="1" applyProtection="1">
      <alignment horizontal="left" vertical="center" wrapText="1"/>
    </xf>
    <xf numFmtId="0" fontId="79" fillId="2" borderId="3" xfId="8" applyFont="1" applyFill="1" applyBorder="1" applyAlignment="1" applyProtection="1">
      <alignment horizontal="center" vertical="center" wrapText="1"/>
    </xf>
    <xf numFmtId="0" fontId="79" fillId="2" borderId="3" xfId="8" applyFont="1" applyFill="1" applyBorder="1" applyAlignment="1" applyProtection="1">
      <alignment horizontal="left" vertical="center" wrapText="1"/>
    </xf>
    <xf numFmtId="0" fontId="79" fillId="2" borderId="3" xfId="11" applyFont="1" applyFill="1" applyBorder="1" applyAlignment="1" applyProtection="1">
      <alignment horizontal="center" vertical="center" wrapText="1"/>
    </xf>
    <xf numFmtId="0" fontId="79" fillId="2" borderId="3" xfId="11" applyFont="1" applyFill="1" applyBorder="1" applyAlignment="1" applyProtection="1">
      <alignment horizontal="left" vertical="center" wrapText="1"/>
    </xf>
    <xf numFmtId="0" fontId="62" fillId="0" borderId="1" xfId="87" applyFont="1" applyBorder="1" applyAlignment="1" applyProtection="1">
      <alignment horizontal="left" vertical="center" wrapText="1"/>
    </xf>
    <xf numFmtId="0" fontId="62" fillId="0" borderId="1" xfId="87" applyFont="1" applyBorder="1" applyAlignment="1" applyProtection="1">
      <alignment horizontal="center" vertical="center" wrapText="1"/>
    </xf>
    <xf numFmtId="43" fontId="62" fillId="0" borderId="1" xfId="1" applyFont="1" applyBorder="1" applyAlignment="1" applyProtection="1">
      <alignment horizontal="center" vertical="center" wrapText="1"/>
    </xf>
    <xf numFmtId="0" fontId="79" fillId="2" borderId="3" xfId="0" applyFont="1" applyFill="1" applyBorder="1" applyAlignment="1" applyProtection="1">
      <alignment horizontal="center" vertical="center" wrapText="1"/>
    </xf>
    <xf numFmtId="0" fontId="79" fillId="2" borderId="3" xfId="0" applyFont="1" applyFill="1" applyBorder="1" applyAlignment="1" applyProtection="1">
      <alignment horizontal="left" vertical="center" wrapText="1"/>
    </xf>
    <xf numFmtId="0" fontId="55" fillId="2" borderId="3" xfId="0" applyFont="1" applyFill="1" applyBorder="1" applyAlignment="1" applyProtection="1">
      <alignment horizontal="left" vertical="center" wrapText="1"/>
      <protection locked="0"/>
    </xf>
    <xf numFmtId="0" fontId="82" fillId="0" borderId="1" xfId="0" applyFont="1" applyBorder="1" applyAlignment="1" applyProtection="1">
      <alignment horizontal="center" vertical="center" wrapText="1"/>
    </xf>
    <xf numFmtId="0" fontId="82" fillId="0" borderId="1" xfId="0" applyFont="1" applyBorder="1" applyAlignment="1" applyProtection="1">
      <alignment horizontal="left" vertical="center" wrapText="1"/>
    </xf>
    <xf numFmtId="0" fontId="51" fillId="0" borderId="1" xfId="8" applyFont="1" applyBorder="1" applyAlignment="1" applyProtection="1">
      <alignment horizontal="left" vertical="center" wrapText="1"/>
    </xf>
    <xf numFmtId="0" fontId="51" fillId="0" borderId="1" xfId="5" applyFont="1" applyFill="1" applyBorder="1" applyAlignment="1" applyProtection="1">
      <alignment horizontal="left" vertical="center" wrapText="1"/>
    </xf>
    <xf numFmtId="0" fontId="51" fillId="0" borderId="1" xfId="87" applyFont="1" applyBorder="1" applyAlignment="1" applyProtection="1">
      <alignment horizontal="left" vertical="center" wrapText="1"/>
    </xf>
    <xf numFmtId="0" fontId="51" fillId="0" borderId="1" xfId="97" applyFont="1" applyBorder="1" applyAlignment="1" applyProtection="1">
      <alignment horizontal="center" vertical="center" wrapText="1"/>
    </xf>
    <xf numFmtId="0" fontId="50" fillId="0" borderId="1" xfId="8" applyFont="1" applyBorder="1" applyAlignment="1" applyProtection="1">
      <alignment horizontal="left" vertical="center" wrapText="1"/>
      <protection locked="0"/>
    </xf>
    <xf numFmtId="0" fontId="82" fillId="0" borderId="0" xfId="8" applyFont="1" applyAlignment="1" applyProtection="1">
      <alignment vertical="center" wrapText="1"/>
      <protection locked="0"/>
    </xf>
    <xf numFmtId="0" fontId="50" fillId="0" borderId="1" xfId="9" applyFont="1" applyBorder="1" applyAlignment="1" applyProtection="1">
      <alignment horizontal="left" vertical="center" wrapText="1"/>
      <protection locked="0"/>
    </xf>
    <xf numFmtId="0" fontId="50" fillId="0" borderId="1" xfId="9" applyFont="1" applyFill="1" applyBorder="1" applyAlignment="1" applyProtection="1">
      <alignment horizontal="left" vertical="center" wrapText="1"/>
      <protection locked="0"/>
    </xf>
    <xf numFmtId="0" fontId="50" fillId="0" borderId="1" xfId="9" applyFont="1" applyBorder="1" applyAlignment="1" applyProtection="1">
      <alignment horizontal="center" vertical="center" wrapText="1"/>
      <protection locked="0"/>
    </xf>
    <xf numFmtId="0" fontId="50" fillId="0" borderId="1" xfId="8" applyFont="1" applyBorder="1" applyAlignment="1" applyProtection="1">
      <alignment horizontal="center" vertical="center" wrapText="1"/>
      <protection locked="0"/>
    </xf>
    <xf numFmtId="0" fontId="50" fillId="0" borderId="1" xfId="9" applyFont="1" applyBorder="1" applyAlignment="1" applyProtection="1">
      <alignment vertical="center" wrapText="1"/>
      <protection locked="0"/>
    </xf>
    <xf numFmtId="0" fontId="50" fillId="0" borderId="1" xfId="8" applyFont="1" applyBorder="1" applyAlignment="1" applyProtection="1">
      <alignment vertical="center" wrapText="1"/>
      <protection locked="0"/>
    </xf>
    <xf numFmtId="0" fontId="57" fillId="13" borderId="1" xfId="9" applyFont="1" applyFill="1" applyBorder="1" applyAlignment="1" applyProtection="1">
      <alignment vertical="center" wrapText="1"/>
      <protection locked="0"/>
    </xf>
    <xf numFmtId="0" fontId="50" fillId="0" borderId="1" xfId="38" applyFont="1" applyBorder="1" applyAlignment="1" applyProtection="1">
      <alignment horizontal="center" vertical="center" wrapText="1"/>
      <protection locked="0"/>
    </xf>
    <xf numFmtId="0" fontId="50" fillId="0" borderId="1" xfId="0" applyFont="1" applyBorder="1" applyAlignment="1" applyProtection="1">
      <alignment horizontal="center" vertical="center"/>
      <protection locked="0"/>
    </xf>
    <xf numFmtId="0" fontId="50" fillId="0" borderId="1" xfId="9" applyFont="1" applyFill="1" applyBorder="1" applyAlignment="1" applyProtection="1">
      <alignment vertical="center" wrapText="1"/>
      <protection locked="0"/>
    </xf>
    <xf numFmtId="2" fontId="50" fillId="0" borderId="1" xfId="4" applyNumberFormat="1" applyFont="1" applyBorder="1" applyAlignment="1" applyProtection="1">
      <alignment horizontal="center" vertical="center" wrapText="1"/>
      <protection locked="0"/>
    </xf>
    <xf numFmtId="2" fontId="50" fillId="0" borderId="1" xfId="4" applyNumberFormat="1" applyFont="1" applyBorder="1" applyAlignment="1" applyProtection="1">
      <alignment horizontal="left" vertical="center" wrapText="1"/>
      <protection locked="0"/>
    </xf>
    <xf numFmtId="0" fontId="50" fillId="0" borderId="1" xfId="82" applyFont="1" applyBorder="1" applyAlignment="1" applyProtection="1">
      <alignment vertical="center"/>
      <protection locked="0"/>
    </xf>
    <xf numFmtId="0" fontId="50" fillId="0" borderId="1" xfId="82" applyFont="1" applyBorder="1" applyAlignment="1" applyProtection="1">
      <alignment vertical="center" wrapText="1"/>
      <protection locked="0"/>
    </xf>
    <xf numFmtId="167" fontId="50" fillId="0" borderId="1" xfId="14" applyNumberFormat="1" applyFont="1" applyBorder="1" applyAlignment="1" applyProtection="1">
      <alignment vertical="center" wrapText="1"/>
      <protection locked="0"/>
    </xf>
    <xf numFmtId="0" fontId="50" fillId="0" borderId="1" xfId="0" applyFont="1" applyBorder="1" applyAlignment="1" applyProtection="1">
      <alignment horizontal="center" vertical="center" wrapText="1"/>
      <protection locked="0"/>
    </xf>
    <xf numFmtId="0" fontId="50" fillId="0" borderId="1" xfId="82" applyFont="1" applyFill="1" applyBorder="1" applyAlignment="1" applyProtection="1">
      <alignment vertical="center"/>
      <protection locked="0"/>
    </xf>
    <xf numFmtId="0" fontId="50" fillId="0" borderId="1" xfId="8" applyFont="1" applyBorder="1" applyAlignment="1" applyProtection="1">
      <alignment vertical="center"/>
      <protection locked="0"/>
    </xf>
    <xf numFmtId="167" fontId="50" fillId="0" borderId="1" xfId="8" applyNumberFormat="1" applyFont="1" applyBorder="1" applyAlignment="1" applyProtection="1">
      <alignment horizontal="right" vertical="center" wrapText="1"/>
      <protection locked="0"/>
    </xf>
    <xf numFmtId="0" fontId="50" fillId="0" borderId="1" xfId="8" applyFont="1" applyFill="1" applyBorder="1" applyAlignment="1" applyProtection="1">
      <alignment vertical="center"/>
      <protection locked="0"/>
    </xf>
    <xf numFmtId="0" fontId="50" fillId="0" borderId="1" xfId="8" applyFont="1" applyFill="1" applyBorder="1" applyAlignment="1" applyProtection="1">
      <alignment vertical="center" wrapText="1"/>
      <protection locked="0"/>
    </xf>
    <xf numFmtId="0" fontId="50" fillId="0" borderId="1" xfId="4" applyFont="1" applyFill="1" applyBorder="1" applyAlignment="1" applyProtection="1">
      <alignment vertical="center" wrapText="1"/>
      <protection locked="0"/>
    </xf>
    <xf numFmtId="0" fontId="50" fillId="0" borderId="1" xfId="4" applyFont="1" applyBorder="1" applyAlignment="1" applyProtection="1">
      <alignment vertical="center" wrapText="1"/>
      <protection locked="0"/>
    </xf>
    <xf numFmtId="167" fontId="50" fillId="0" borderId="1" xfId="8" applyNumberFormat="1" applyFont="1" applyFill="1" applyBorder="1" applyAlignment="1" applyProtection="1">
      <alignment horizontal="right" vertical="center" wrapText="1"/>
      <protection locked="0"/>
    </xf>
    <xf numFmtId="2" fontId="50" fillId="0" borderId="1" xfId="4" applyNumberFormat="1" applyFont="1" applyFill="1" applyBorder="1" applyAlignment="1" applyProtection="1">
      <alignment horizontal="center" vertical="center" wrapText="1"/>
      <protection locked="0"/>
    </xf>
    <xf numFmtId="0" fontId="50" fillId="0" borderId="1" xfId="0" applyFont="1" applyFill="1" applyBorder="1" applyAlignment="1" applyProtection="1">
      <alignment horizontal="center" vertical="center"/>
      <protection locked="0"/>
    </xf>
    <xf numFmtId="2" fontId="50" fillId="0" borderId="1" xfId="0" applyNumberFormat="1" applyFont="1" applyFill="1" applyBorder="1" applyAlignment="1" applyProtection="1">
      <alignment horizontal="center" vertical="center" wrapText="1"/>
      <protection locked="0"/>
    </xf>
    <xf numFmtId="0" fontId="50" fillId="0" borderId="1" xfId="4" applyFont="1" applyBorder="1" applyAlignment="1" applyProtection="1">
      <alignment horizontal="center" vertical="center" wrapText="1"/>
      <protection locked="0"/>
    </xf>
    <xf numFmtId="2" fontId="50" fillId="0" borderId="1" xfId="4" applyNumberFormat="1" applyFont="1" applyBorder="1" applyAlignment="1" applyProtection="1">
      <alignment horizontal="right" vertical="center" wrapText="1"/>
      <protection locked="0"/>
    </xf>
    <xf numFmtId="0" fontId="50" fillId="0" borderId="1" xfId="97" applyFont="1" applyBorder="1" applyAlignment="1" applyProtection="1">
      <alignment horizontal="center" vertical="center"/>
      <protection locked="0"/>
    </xf>
    <xf numFmtId="0" fontId="50" fillId="0" borderId="1" xfId="97" applyFont="1" applyFill="1" applyBorder="1" applyAlignment="1" applyProtection="1">
      <alignment horizontal="center" vertical="center" wrapText="1"/>
      <protection locked="0"/>
    </xf>
    <xf numFmtId="0" fontId="50" fillId="0" borderId="1" xfId="97" applyFont="1" applyFill="1" applyBorder="1" applyAlignment="1" applyProtection="1">
      <alignment horizontal="center" vertical="center"/>
      <protection locked="0"/>
    </xf>
    <xf numFmtId="0" fontId="50" fillId="0" borderId="1" xfId="5" applyFont="1" applyFill="1" applyBorder="1" applyAlignment="1" applyProtection="1">
      <alignment horizontal="center" vertical="center" wrapText="1"/>
      <protection locked="0"/>
    </xf>
    <xf numFmtId="0" fontId="50" fillId="0" borderId="1" xfId="5" applyFont="1" applyBorder="1" applyAlignment="1" applyProtection="1">
      <alignment horizontal="center" vertical="center" wrapText="1"/>
      <protection locked="0"/>
    </xf>
    <xf numFmtId="0" fontId="50" fillId="0" borderId="1" xfId="5" applyFont="1" applyBorder="1" applyAlignment="1" applyProtection="1">
      <alignment horizontal="center" vertical="center"/>
      <protection locked="0"/>
    </xf>
    <xf numFmtId="0" fontId="50" fillId="0" borderId="1" xfId="97" applyFont="1" applyBorder="1" applyAlignment="1" applyProtection="1">
      <alignment horizontal="center" vertical="center" wrapText="1"/>
      <protection locked="0"/>
    </xf>
    <xf numFmtId="0" fontId="50" fillId="0" borderId="1" xfId="48" applyFont="1" applyBorder="1" applyAlignment="1" applyProtection="1">
      <alignment horizontal="left" vertical="center" wrapText="1"/>
      <protection locked="0"/>
    </xf>
    <xf numFmtId="0" fontId="50" fillId="0" borderId="1" xfId="48" applyFont="1" applyBorder="1" applyAlignment="1" applyProtection="1">
      <alignment vertical="center" wrapText="1"/>
      <protection locked="0"/>
    </xf>
    <xf numFmtId="0" fontId="50" fillId="0" borderId="1" xfId="0" applyFont="1" applyBorder="1" applyAlignment="1" applyProtection="1">
      <alignment wrapText="1"/>
      <protection locked="0"/>
    </xf>
    <xf numFmtId="0" fontId="57" fillId="0" borderId="1" xfId="82" applyFont="1" applyFill="1" applyBorder="1" applyAlignment="1" applyProtection="1">
      <alignment vertical="center" wrapText="1"/>
      <protection locked="0"/>
    </xf>
    <xf numFmtId="0" fontId="82" fillId="0" borderId="1" xfId="82" applyFont="1" applyFill="1" applyBorder="1" applyAlignment="1" applyProtection="1">
      <alignment vertical="center" wrapText="1"/>
      <protection locked="0"/>
    </xf>
    <xf numFmtId="2" fontId="57" fillId="0" borderId="1" xfId="82" applyNumberFormat="1" applyFont="1" applyFill="1" applyBorder="1" applyAlignment="1" applyProtection="1">
      <alignment vertical="center" wrapText="1"/>
      <protection locked="0"/>
    </xf>
    <xf numFmtId="2" fontId="57" fillId="0" borderId="1" xfId="82" applyNumberFormat="1" applyFont="1" applyFill="1" applyBorder="1" applyAlignment="1" applyProtection="1">
      <alignment vertical="center" wrapText="1"/>
    </xf>
    <xf numFmtId="0" fontId="57" fillId="0" borderId="1" xfId="82" applyFont="1" applyFill="1" applyBorder="1" applyAlignment="1" applyProtection="1">
      <alignment horizontal="left" vertical="center" wrapText="1"/>
      <protection locked="0"/>
    </xf>
    <xf numFmtId="0" fontId="57" fillId="0" borderId="0" xfId="82" applyFont="1" applyFill="1" applyAlignment="1" applyProtection="1">
      <alignment vertical="center" wrapText="1"/>
    </xf>
    <xf numFmtId="0" fontId="82" fillId="13" borderId="0" xfId="0" applyFont="1" applyFill="1" applyAlignment="1" applyProtection="1">
      <alignment vertical="center" wrapText="1"/>
    </xf>
    <xf numFmtId="0" fontId="82" fillId="0" borderId="1" xfId="8" applyFont="1" applyFill="1" applyBorder="1" applyAlignment="1" applyProtection="1">
      <alignment horizontal="center" vertical="center" wrapText="1"/>
    </xf>
    <xf numFmtId="0" fontId="84" fillId="0" borderId="1" xfId="8" applyFont="1" applyFill="1" applyBorder="1" applyAlignment="1" applyProtection="1">
      <alignment horizontal="center" vertical="center" wrapText="1"/>
    </xf>
    <xf numFmtId="0" fontId="82" fillId="0" borderId="1" xfId="9" applyFont="1" applyFill="1" applyBorder="1" applyAlignment="1" applyProtection="1">
      <alignment horizontal="center" vertical="center" wrapText="1"/>
    </xf>
    <xf numFmtId="0" fontId="93" fillId="0" borderId="1" xfId="0" applyFont="1" applyFill="1" applyBorder="1" applyAlignment="1" applyProtection="1">
      <alignment horizontal="left" vertical="center" wrapText="1"/>
      <protection locked="0"/>
    </xf>
    <xf numFmtId="0" fontId="91" fillId="0" borderId="1" xfId="0" applyFont="1" applyFill="1" applyBorder="1" applyAlignment="1" applyProtection="1">
      <alignment vertical="center" wrapText="1"/>
    </xf>
    <xf numFmtId="0" fontId="57" fillId="0" borderId="1" xfId="104" applyFont="1" applyFill="1" applyBorder="1" applyAlignment="1" applyProtection="1">
      <alignment horizontal="left" vertical="top" wrapText="1"/>
    </xf>
    <xf numFmtId="2" fontId="57" fillId="0" borderId="0" xfId="8" applyNumberFormat="1" applyFont="1" applyFill="1" applyAlignment="1" applyProtection="1">
      <alignment vertical="center" wrapText="1"/>
    </xf>
    <xf numFmtId="0" fontId="79" fillId="0" borderId="0" xfId="8" applyFont="1" applyFill="1" applyAlignment="1" applyProtection="1">
      <alignment vertical="center" wrapText="1"/>
    </xf>
    <xf numFmtId="2" fontId="57" fillId="0" borderId="1" xfId="0" applyNumberFormat="1" applyFont="1" applyFill="1" applyBorder="1" applyAlignment="1" applyProtection="1">
      <alignment horizontal="right" vertical="center" wrapText="1"/>
    </xf>
    <xf numFmtId="0" fontId="79" fillId="0" borderId="2" xfId="8" applyFont="1" applyFill="1" applyBorder="1" applyAlignment="1" applyProtection="1">
      <alignment horizontal="center" vertical="center"/>
    </xf>
    <xf numFmtId="0" fontId="103" fillId="0" borderId="1" xfId="0" applyFont="1" applyFill="1" applyBorder="1" applyAlignment="1" applyProtection="1">
      <alignment vertical="center" wrapText="1"/>
    </xf>
    <xf numFmtId="0" fontId="84" fillId="0" borderId="1" xfId="0" applyFont="1" applyFill="1" applyBorder="1" applyAlignment="1" applyProtection="1">
      <alignment horizontal="center" vertical="center"/>
    </xf>
    <xf numFmtId="0" fontId="79" fillId="0" borderId="1" xfId="82" applyFont="1" applyFill="1" applyBorder="1" applyAlignment="1" applyProtection="1">
      <alignment horizontal="center" vertical="center" wrapText="1"/>
    </xf>
    <xf numFmtId="0" fontId="96" fillId="0" borderId="1" xfId="0" applyFont="1" applyFill="1" applyBorder="1" applyAlignment="1" applyProtection="1">
      <alignment wrapText="1"/>
    </xf>
    <xf numFmtId="0" fontId="57" fillId="0" borderId="5" xfId="82" applyFont="1" applyFill="1" applyBorder="1" applyAlignment="1" applyProtection="1">
      <alignment horizontal="left" vertical="center" wrapText="1"/>
      <protection locked="0"/>
    </xf>
    <xf numFmtId="0" fontId="57" fillId="0" borderId="1" xfId="62" applyFont="1" applyFill="1" applyBorder="1" applyAlignment="1" applyProtection="1">
      <alignment horizontal="center" vertical="center"/>
    </xf>
    <xf numFmtId="0" fontId="57" fillId="0" borderId="1" xfId="11" applyFont="1" applyFill="1" applyBorder="1" applyAlignment="1" applyProtection="1">
      <alignment horizontal="center" vertical="center" wrapText="1"/>
    </xf>
    <xf numFmtId="0" fontId="79" fillId="0" borderId="1" xfId="11" applyFont="1" applyFill="1" applyBorder="1" applyAlignment="1" applyProtection="1">
      <alignment horizontal="left" vertical="center" wrapText="1"/>
      <protection locked="0"/>
    </xf>
    <xf numFmtId="0" fontId="79" fillId="0" borderId="5" xfId="11" applyFont="1" applyFill="1" applyBorder="1" applyAlignment="1" applyProtection="1">
      <alignment horizontal="left" vertical="center" wrapText="1"/>
      <protection locked="0"/>
    </xf>
    <xf numFmtId="0" fontId="57" fillId="0" borderId="0" xfId="11" applyFont="1" applyFill="1" applyAlignment="1" applyProtection="1">
      <alignment vertical="center" wrapText="1"/>
    </xf>
    <xf numFmtId="43" fontId="57" fillId="0" borderId="1" xfId="1" applyFont="1" applyFill="1" applyBorder="1" applyAlignment="1" applyProtection="1">
      <alignment horizontal="right" vertical="center"/>
      <protection locked="0"/>
    </xf>
    <xf numFmtId="0" fontId="82" fillId="0" borderId="1" xfId="11" applyFont="1" applyFill="1" applyBorder="1" applyAlignment="1" applyProtection="1">
      <alignment horizontal="left" vertical="center"/>
      <protection locked="0"/>
    </xf>
    <xf numFmtId="43" fontId="82" fillId="0" borderId="1" xfId="1" applyFont="1" applyFill="1" applyBorder="1" applyAlignment="1" applyProtection="1">
      <alignment horizontal="right" vertical="center"/>
      <protection locked="0"/>
    </xf>
    <xf numFmtId="0" fontId="79" fillId="0" borderId="1" xfId="48" applyFont="1" applyFill="1" applyBorder="1" applyAlignment="1" applyProtection="1">
      <alignment horizontal="left" vertical="center" wrapText="1"/>
    </xf>
    <xf numFmtId="0" fontId="79" fillId="0" borderId="1" xfId="48" applyFont="1" applyFill="1" applyBorder="1" applyAlignment="1" applyProtection="1">
      <alignment vertical="center" wrapText="1"/>
    </xf>
    <xf numFmtId="0" fontId="79" fillId="0" borderId="1" xfId="48" applyFont="1" applyFill="1" applyBorder="1" applyAlignment="1" applyProtection="1">
      <alignment vertical="center" wrapText="1"/>
      <protection locked="0"/>
    </xf>
    <xf numFmtId="0" fontId="57" fillId="0" borderId="1" xfId="48" applyFont="1" applyFill="1" applyBorder="1" applyAlignment="1" applyProtection="1">
      <alignment horizontal="center" vertical="center" wrapText="1"/>
      <protection locked="0"/>
    </xf>
    <xf numFmtId="2" fontId="57" fillId="0" borderId="1" xfId="48" applyNumberFormat="1" applyFont="1" applyFill="1" applyBorder="1" applyAlignment="1" applyProtection="1">
      <alignment horizontal="right" vertical="center" wrapText="1"/>
    </xf>
    <xf numFmtId="2" fontId="57" fillId="0" borderId="1" xfId="48" applyNumberFormat="1" applyFont="1" applyFill="1" applyBorder="1" applyAlignment="1" applyProtection="1">
      <alignment vertical="center" wrapText="1"/>
    </xf>
    <xf numFmtId="2" fontId="79" fillId="0" borderId="1" xfId="48" applyNumberFormat="1" applyFont="1" applyFill="1" applyBorder="1" applyAlignment="1" applyProtection="1">
      <alignment horizontal="left" vertical="center" wrapText="1"/>
      <protection locked="0"/>
    </xf>
    <xf numFmtId="2" fontId="79" fillId="0" borderId="1" xfId="48" applyNumberFormat="1" applyFont="1" applyFill="1" applyBorder="1" applyAlignment="1" applyProtection="1">
      <alignment horizontal="left" vertical="center" wrapText="1"/>
    </xf>
    <xf numFmtId="2" fontId="79" fillId="0" borderId="1" xfId="48" applyNumberFormat="1" applyFont="1" applyFill="1" applyBorder="1" applyAlignment="1" applyProtection="1">
      <alignment horizontal="right" vertical="center" wrapText="1"/>
    </xf>
    <xf numFmtId="0" fontId="57" fillId="0" borderId="0" xfId="48" applyFont="1" applyFill="1" applyAlignment="1" applyProtection="1">
      <alignment vertical="center"/>
    </xf>
    <xf numFmtId="0" fontId="106" fillId="0" borderId="1" xfId="0" applyFont="1" applyFill="1" applyBorder="1" applyAlignment="1" applyProtection="1">
      <alignment vertical="center" wrapText="1"/>
    </xf>
    <xf numFmtId="0" fontId="82" fillId="0" borderId="1" xfId="8" applyFont="1" applyFill="1" applyBorder="1" applyAlignment="1" applyProtection="1">
      <alignment horizontal="center" vertical="center" wrapText="1"/>
    </xf>
    <xf numFmtId="2" fontId="57" fillId="0" borderId="1" xfId="8" applyNumberFormat="1" applyFont="1" applyFill="1" applyBorder="1" applyAlignment="1" applyProtection="1">
      <alignment horizontal="right" vertical="center" wrapText="1"/>
      <protection locked="0"/>
    </xf>
    <xf numFmtId="167" fontId="84" fillId="0" borderId="1" xfId="9" applyNumberFormat="1" applyFont="1" applyFill="1" applyBorder="1" applyAlignment="1" applyProtection="1">
      <alignment vertical="center" wrapText="1"/>
      <protection locked="0"/>
    </xf>
    <xf numFmtId="2" fontId="82" fillId="0" borderId="1" xfId="9" applyNumberFormat="1" applyFont="1" applyFill="1" applyBorder="1" applyAlignment="1" applyProtection="1">
      <alignment horizontal="left" vertical="center" wrapText="1"/>
      <protection locked="0"/>
    </xf>
    <xf numFmtId="0" fontId="46" fillId="0" borderId="1" xfId="8" applyFont="1" applyFill="1" applyBorder="1" applyAlignment="1" applyProtection="1">
      <alignment horizontal="center" vertical="center" wrapText="1"/>
      <protection locked="0"/>
    </xf>
    <xf numFmtId="0" fontId="46" fillId="0" borderId="1" xfId="0" applyFont="1" applyFill="1" applyBorder="1" applyAlignment="1" applyProtection="1">
      <alignment vertical="top" wrapText="1"/>
      <protection locked="0"/>
    </xf>
    <xf numFmtId="0" fontId="82" fillId="0" borderId="1" xfId="11" applyFont="1" applyFill="1" applyBorder="1" applyAlignment="1" applyProtection="1">
      <alignment horizontal="left" vertical="center"/>
    </xf>
    <xf numFmtId="0" fontId="82" fillId="0" borderId="1" xfId="11" applyFont="1" applyFill="1" applyBorder="1" applyAlignment="1" applyProtection="1">
      <alignment horizontal="center" vertical="center"/>
    </xf>
    <xf numFmtId="0" fontId="82" fillId="0" borderId="1" xfId="11" applyFont="1" applyFill="1" applyBorder="1" applyAlignment="1" applyProtection="1">
      <alignment vertical="center"/>
      <protection locked="0"/>
    </xf>
    <xf numFmtId="2" fontId="84" fillId="0" borderId="1" xfId="11" applyNumberFormat="1" applyFont="1" applyFill="1" applyBorder="1" applyAlignment="1" applyProtection="1">
      <alignment vertical="center" wrapText="1"/>
    </xf>
    <xf numFmtId="0" fontId="82" fillId="0" borderId="1" xfId="11" applyFont="1" applyFill="1" applyBorder="1" applyAlignment="1" applyProtection="1">
      <alignment horizontal="left"/>
      <protection locked="0"/>
    </xf>
    <xf numFmtId="2" fontId="82" fillId="0" borderId="1" xfId="11" applyNumberFormat="1" applyFont="1" applyFill="1" applyBorder="1" applyAlignment="1" applyProtection="1">
      <alignment vertical="center"/>
      <protection locked="0"/>
    </xf>
    <xf numFmtId="0" fontId="82" fillId="0" borderId="1" xfId="9" applyFont="1" applyFill="1" applyBorder="1" applyAlignment="1" applyProtection="1">
      <alignment horizontal="left" vertical="top" wrapText="1"/>
      <protection locked="0"/>
    </xf>
    <xf numFmtId="0" fontId="91" fillId="0" borderId="1" xfId="0" applyFont="1" applyFill="1" applyBorder="1" applyAlignment="1" applyProtection="1">
      <alignment horizontal="left" vertical="center" wrapText="1"/>
    </xf>
    <xf numFmtId="0" fontId="55" fillId="0" borderId="1" xfId="8" applyFont="1" applyFill="1" applyBorder="1" applyAlignment="1" applyProtection="1">
      <alignment horizontal="center" vertical="center"/>
    </xf>
    <xf numFmtId="0" fontId="82" fillId="0" borderId="1" xfId="4" applyFont="1" applyFill="1" applyBorder="1" applyAlignment="1" applyProtection="1">
      <alignment horizontal="right" vertical="center" wrapText="1"/>
      <protection locked="0"/>
    </xf>
    <xf numFmtId="0" fontId="82" fillId="0" borderId="1" xfId="0" applyFont="1" applyFill="1" applyBorder="1" applyAlignment="1" applyProtection="1">
      <alignment horizontal="left" vertical="top" wrapText="1"/>
      <protection locked="0"/>
    </xf>
    <xf numFmtId="0" fontId="79" fillId="0" borderId="1" xfId="4" applyFont="1" applyFill="1" applyBorder="1" applyAlignment="1" applyProtection="1">
      <alignment vertical="center" wrapText="1"/>
      <protection locked="0"/>
    </xf>
    <xf numFmtId="0" fontId="82" fillId="0" borderId="1" xfId="4" applyFont="1" applyFill="1" applyBorder="1" applyAlignment="1" applyProtection="1">
      <alignment horizontal="left" vertical="top" wrapText="1"/>
      <protection locked="0"/>
    </xf>
    <xf numFmtId="0" fontId="55" fillId="0" borderId="1" xfId="0" applyFont="1" applyFill="1" applyBorder="1" applyAlignment="1" applyProtection="1">
      <alignment horizontal="center" vertical="center" wrapText="1"/>
    </xf>
    <xf numFmtId="0" fontId="50" fillId="0" borderId="1" xfId="9" applyFont="1" applyFill="1" applyBorder="1" applyAlignment="1" applyProtection="1">
      <alignment horizontal="center" vertical="center" wrapText="1"/>
      <protection locked="0"/>
    </xf>
    <xf numFmtId="43" fontId="57" fillId="0" borderId="1" xfId="1" applyFont="1" applyFill="1" applyBorder="1" applyAlignment="1" applyProtection="1">
      <alignment horizontal="center" vertical="center" wrapText="1"/>
      <protection locked="0"/>
    </xf>
    <xf numFmtId="0" fontId="61" fillId="0" borderId="1" xfId="8" applyFont="1" applyFill="1" applyBorder="1" applyAlignment="1" applyProtection="1">
      <alignment horizontal="center" vertical="center" wrapText="1"/>
    </xf>
    <xf numFmtId="1" fontId="78" fillId="0" borderId="1" xfId="6" applyNumberFormat="1" applyFont="1" applyFill="1" applyBorder="1" applyAlignment="1" applyProtection="1">
      <alignment horizontal="center" vertical="center"/>
      <protection locked="0"/>
    </xf>
    <xf numFmtId="0" fontId="113" fillId="0" borderId="1" xfId="8" applyFont="1" applyFill="1" applyBorder="1" applyAlignment="1" applyProtection="1">
      <alignment horizontal="center" vertical="center" wrapText="1"/>
      <protection locked="0"/>
    </xf>
    <xf numFmtId="0" fontId="114" fillId="0" borderId="1" xfId="8" applyFont="1" applyFill="1" applyBorder="1" applyAlignment="1" applyProtection="1">
      <alignment horizontal="center" vertical="center" wrapText="1"/>
      <protection locked="0"/>
    </xf>
    <xf numFmtId="0" fontId="61" fillId="0" borderId="1" xfId="8" applyFont="1" applyFill="1" applyBorder="1" applyAlignment="1" applyProtection="1">
      <alignment horizontal="center" vertical="center" wrapText="1"/>
      <protection locked="0"/>
    </xf>
    <xf numFmtId="0" fontId="115" fillId="0" borderId="1" xfId="107" applyFont="1" applyFill="1" applyBorder="1" applyAlignment="1" applyProtection="1">
      <alignment horizontal="center" vertical="center" wrapText="1"/>
      <protection locked="0"/>
    </xf>
    <xf numFmtId="0" fontId="103" fillId="0" borderId="1" xfId="0" applyFont="1" applyFill="1" applyBorder="1" applyAlignment="1" applyProtection="1">
      <alignment vertical="center" wrapText="1"/>
      <protection locked="0"/>
    </xf>
    <xf numFmtId="0" fontId="57" fillId="0" borderId="1" xfId="87" applyFont="1" applyFill="1" applyBorder="1" applyAlignment="1" applyProtection="1">
      <alignment horizontal="left" vertical="center" wrapText="1"/>
      <protection locked="0"/>
    </xf>
    <xf numFmtId="0" fontId="49" fillId="0" borderId="1" xfId="8" applyFont="1" applyFill="1" applyBorder="1" applyAlignment="1" applyProtection="1">
      <alignment horizontal="center" vertical="center" wrapText="1"/>
      <protection locked="0"/>
    </xf>
    <xf numFmtId="0" fontId="48" fillId="0" borderId="1" xfId="8" applyFont="1" applyFill="1" applyBorder="1" applyAlignment="1" applyProtection="1">
      <alignment horizontal="center" vertical="center" wrapText="1"/>
      <protection locked="0"/>
    </xf>
    <xf numFmtId="0" fontId="52" fillId="0" borderId="1" xfId="38" applyFont="1" applyFill="1" applyBorder="1" applyAlignment="1" applyProtection="1">
      <alignment horizontal="left" vertical="center" wrapText="1"/>
    </xf>
    <xf numFmtId="2" fontId="79" fillId="0" borderId="1" xfId="38" applyNumberFormat="1" applyFont="1" applyFill="1" applyBorder="1" applyAlignment="1" applyProtection="1">
      <alignment horizontal="right" vertical="center" wrapText="1"/>
    </xf>
    <xf numFmtId="0" fontId="79" fillId="0" borderId="1" xfId="38" applyFont="1" applyFill="1" applyBorder="1" applyAlignment="1" applyProtection="1">
      <alignment horizontal="center" vertical="center" wrapText="1"/>
      <protection locked="0"/>
    </xf>
    <xf numFmtId="1" fontId="79" fillId="0" borderId="1" xfId="38" applyNumberFormat="1" applyFont="1" applyFill="1" applyBorder="1" applyAlignment="1" applyProtection="1">
      <alignment horizontal="center" vertical="center" wrapText="1"/>
      <protection locked="0"/>
    </xf>
    <xf numFmtId="0" fontId="82" fillId="0" borderId="1" xfId="8" applyFont="1" applyFill="1" applyBorder="1" applyAlignment="1" applyProtection="1">
      <alignment horizontal="center" vertical="center" wrapText="1"/>
    </xf>
    <xf numFmtId="0" fontId="79" fillId="0" borderId="1" xfId="87" applyFont="1" applyFill="1" applyBorder="1" applyAlignment="1" applyProtection="1">
      <alignment horizontal="center" vertical="center"/>
    </xf>
    <xf numFmtId="0" fontId="57" fillId="0" borderId="0" xfId="0" applyFont="1" applyFill="1" applyAlignment="1" applyProtection="1">
      <alignment wrapText="1"/>
    </xf>
    <xf numFmtId="0" fontId="82" fillId="0" borderId="1" xfId="8" applyFont="1" applyFill="1" applyBorder="1" applyAlignment="1" applyProtection="1">
      <alignment horizontal="center" vertical="center" wrapText="1"/>
    </xf>
    <xf numFmtId="0" fontId="82" fillId="0" borderId="0" xfId="62" applyFont="1" applyFill="1" applyAlignment="1" applyProtection="1">
      <alignment horizontal="right" vertical="center"/>
    </xf>
    <xf numFmtId="0" fontId="47" fillId="0" borderId="1" xfId="8" applyFont="1" applyFill="1" applyBorder="1" applyAlignment="1" applyProtection="1">
      <alignment horizontal="center" vertical="center" wrapText="1"/>
      <protection locked="0"/>
    </xf>
    <xf numFmtId="0" fontId="108" fillId="0" borderId="1" xfId="0" applyFont="1" applyFill="1" applyBorder="1" applyAlignment="1" applyProtection="1">
      <alignment horizontal="justify"/>
      <protection locked="0"/>
    </xf>
    <xf numFmtId="0" fontId="78" fillId="0" borderId="1" xfId="8" applyFont="1" applyFill="1" applyBorder="1" applyAlignment="1" applyProtection="1">
      <alignment horizontal="left" vertical="center" wrapText="1"/>
      <protection locked="0"/>
    </xf>
    <xf numFmtId="0" fontId="78" fillId="0" borderId="1" xfId="8" applyFont="1" applyFill="1" applyBorder="1" applyAlignment="1" applyProtection="1">
      <alignment horizontal="right" vertical="center" wrapText="1"/>
      <protection locked="0"/>
    </xf>
    <xf numFmtId="0" fontId="108" fillId="0" borderId="1" xfId="8" applyFont="1" applyFill="1" applyBorder="1" applyAlignment="1" applyProtection="1">
      <alignment horizontal="left" vertical="center" wrapText="1"/>
      <protection locked="0"/>
    </xf>
    <xf numFmtId="0" fontId="47" fillId="0" borderId="1" xfId="8" applyFont="1" applyFill="1" applyBorder="1" applyAlignment="1" applyProtection="1">
      <alignment wrapText="1"/>
      <protection locked="0"/>
    </xf>
    <xf numFmtId="0" fontId="108" fillId="0" borderId="1" xfId="8" applyFont="1" applyFill="1" applyBorder="1" applyAlignment="1" applyProtection="1">
      <alignment wrapText="1"/>
      <protection locked="0"/>
    </xf>
    <xf numFmtId="0" fontId="79" fillId="0" borderId="1" xfId="9" applyFont="1" applyFill="1" applyBorder="1" applyAlignment="1" applyProtection="1">
      <alignment horizontal="left" vertical="center" wrapText="1"/>
    </xf>
    <xf numFmtId="167" fontId="78" fillId="0" borderId="1" xfId="8" applyNumberFormat="1" applyFont="1" applyFill="1" applyBorder="1" applyAlignment="1" applyProtection="1">
      <alignment vertical="center" wrapText="1"/>
      <protection locked="0"/>
    </xf>
    <xf numFmtId="1" fontId="82" fillId="0" borderId="1" xfId="4" applyNumberFormat="1" applyFont="1" applyFill="1" applyBorder="1" applyAlignment="1" applyProtection="1">
      <alignment horizontal="center" vertical="center" wrapText="1"/>
      <protection locked="0"/>
    </xf>
    <xf numFmtId="167" fontId="84" fillId="0" borderId="1" xfId="11" applyNumberFormat="1" applyFont="1" applyFill="1" applyBorder="1" applyAlignment="1" applyProtection="1">
      <alignment vertical="center" wrapText="1"/>
      <protection locked="0"/>
    </xf>
    <xf numFmtId="0" fontId="84" fillId="0" borderId="1" xfId="11" applyFont="1" applyFill="1" applyBorder="1" applyAlignment="1" applyProtection="1">
      <alignment vertical="center"/>
      <protection locked="0"/>
    </xf>
    <xf numFmtId="0" fontId="82" fillId="0" borderId="1" xfId="11" applyFont="1" applyFill="1" applyBorder="1" applyAlignment="1" applyProtection="1">
      <alignment vertical="center" wrapText="1"/>
      <protection locked="0"/>
    </xf>
    <xf numFmtId="0" fontId="65" fillId="0" borderId="1" xfId="11" applyFont="1" applyFill="1" applyBorder="1" applyAlignment="1" applyProtection="1">
      <alignment horizontal="left" wrapText="1"/>
      <protection locked="0"/>
    </xf>
    <xf numFmtId="0" fontId="51" fillId="0" borderId="1" xfId="0" applyFont="1" applyFill="1" applyBorder="1" applyAlignment="1" applyProtection="1">
      <alignment horizontal="left" vertical="center" wrapText="1"/>
    </xf>
    <xf numFmtId="2" fontId="82" fillId="0" borderId="1" xfId="0" applyNumberFormat="1" applyFont="1" applyFill="1" applyBorder="1" applyAlignment="1" applyProtection="1">
      <alignment horizontal="center" vertical="center" wrapText="1"/>
      <protection locked="0"/>
    </xf>
    <xf numFmtId="0" fontId="43" fillId="0" borderId="1" xfId="8" applyFont="1" applyFill="1" applyBorder="1" applyAlignment="1" applyProtection="1">
      <alignment horizontal="center" vertical="center" wrapText="1"/>
      <protection locked="0"/>
    </xf>
    <xf numFmtId="0" fontId="45" fillId="0" borderId="1" xfId="8" applyFont="1" applyFill="1" applyBorder="1" applyAlignment="1" applyProtection="1">
      <alignment horizontal="center" vertical="center" wrapText="1"/>
      <protection locked="0"/>
    </xf>
    <xf numFmtId="168" fontId="82" fillId="0" borderId="1" xfId="1" applyNumberFormat="1" applyFont="1" applyFill="1" applyBorder="1" applyAlignment="1" applyProtection="1">
      <alignment horizontal="center" vertical="center" wrapText="1"/>
    </xf>
    <xf numFmtId="0" fontId="82" fillId="0" borderId="1" xfId="11" applyFont="1" applyFill="1" applyBorder="1" applyAlignment="1" applyProtection="1">
      <alignment horizontal="center" vertical="center" wrapText="1"/>
      <protection locked="0"/>
    </xf>
    <xf numFmtId="2" fontId="82" fillId="0" borderId="1" xfId="11" applyNumberFormat="1" applyFont="1" applyFill="1" applyBorder="1" applyAlignment="1" applyProtection="1">
      <alignment horizontal="center" vertical="center" wrapText="1"/>
      <protection locked="0"/>
    </xf>
    <xf numFmtId="0" fontId="42" fillId="0" borderId="1" xfId="8" applyFont="1" applyFill="1" applyBorder="1" applyAlignment="1" applyProtection="1">
      <alignment horizontal="center" vertical="center" wrapText="1"/>
      <protection locked="0"/>
    </xf>
    <xf numFmtId="0" fontId="118" fillId="0" borderId="0" xfId="0" applyFont="1" applyFill="1" applyAlignment="1" applyProtection="1">
      <alignment horizontal="justify" vertical="center"/>
      <protection locked="0"/>
    </xf>
    <xf numFmtId="0" fontId="118" fillId="0" borderId="1" xfId="0" applyFont="1" applyFill="1" applyBorder="1" applyAlignment="1" applyProtection="1">
      <alignment wrapText="1"/>
      <protection locked="0"/>
    </xf>
    <xf numFmtId="0" fontId="118" fillId="0" borderId="18" xfId="0" applyFont="1" applyFill="1" applyBorder="1" applyAlignment="1" applyProtection="1">
      <alignment horizontal="justify" vertical="center" wrapText="1"/>
      <protection locked="0"/>
    </xf>
    <xf numFmtId="2" fontId="82" fillId="0" borderId="1" xfId="87" applyNumberFormat="1" applyFont="1" applyFill="1" applyBorder="1" applyAlignment="1" applyProtection="1">
      <alignment horizontal="right" vertical="center" wrapText="1"/>
    </xf>
    <xf numFmtId="0" fontId="82" fillId="0" borderId="1" xfId="88" applyFont="1" applyFill="1" applyBorder="1" applyAlignment="1" applyProtection="1">
      <alignment vertical="center"/>
      <protection locked="0"/>
    </xf>
    <xf numFmtId="2" fontId="82" fillId="0" borderId="1" xfId="88" applyNumberFormat="1" applyFont="1" applyFill="1" applyBorder="1" applyAlignment="1" applyProtection="1">
      <alignment horizontal="right" vertical="center"/>
    </xf>
    <xf numFmtId="167" fontId="82" fillId="0" borderId="1" xfId="87" applyNumberFormat="1" applyFont="1" applyFill="1" applyBorder="1" applyAlignment="1" applyProtection="1">
      <alignment horizontal="right" vertical="center"/>
      <protection locked="0"/>
    </xf>
    <xf numFmtId="0" fontId="121" fillId="0" borderId="5" xfId="87" applyFont="1" applyFill="1" applyBorder="1" applyAlignment="1" applyProtection="1">
      <alignment horizontal="left" vertical="center" wrapText="1"/>
      <protection locked="0"/>
    </xf>
    <xf numFmtId="0" fontId="116" fillId="0" borderId="1" xfId="0" applyFont="1" applyFill="1" applyBorder="1" applyAlignment="1" applyProtection="1">
      <alignment horizontal="left" vertical="top" wrapText="1"/>
      <protection locked="0"/>
    </xf>
    <xf numFmtId="0" fontId="78" fillId="0" borderId="1" xfId="0" applyFont="1" applyFill="1" applyBorder="1" applyAlignment="1" applyProtection="1">
      <alignment horizontal="center" wrapText="1"/>
      <protection locked="0"/>
    </xf>
    <xf numFmtId="0" fontId="78" fillId="0" borderId="1" xfId="0" applyFont="1" applyFill="1" applyBorder="1" applyAlignment="1" applyProtection="1">
      <alignment horizontal="left" wrapText="1"/>
      <protection locked="0"/>
    </xf>
    <xf numFmtId="0" fontId="44" fillId="0" borderId="1" xfId="0" applyFont="1" applyFill="1" applyBorder="1" applyAlignment="1">
      <alignment horizontal="left" vertical="top" wrapText="1"/>
    </xf>
    <xf numFmtId="0" fontId="50" fillId="0" borderId="1" xfId="11" applyFont="1" applyFill="1" applyBorder="1" applyAlignment="1" applyProtection="1">
      <alignment vertical="center" wrapText="1"/>
      <protection locked="0"/>
    </xf>
    <xf numFmtId="0" fontId="57" fillId="0" borderId="1" xfId="11" applyFont="1" applyFill="1" applyBorder="1" applyAlignment="1" applyProtection="1">
      <alignment vertical="center" wrapText="1"/>
      <protection locked="0"/>
    </xf>
    <xf numFmtId="2" fontId="57" fillId="0" borderId="1" xfId="11" applyNumberFormat="1" applyFont="1" applyFill="1" applyBorder="1" applyAlignment="1" applyProtection="1">
      <alignment horizontal="right" vertical="center" wrapText="1"/>
    </xf>
    <xf numFmtId="0" fontId="42" fillId="0" borderId="1" xfId="9" applyFont="1" applyFill="1" applyBorder="1" applyAlignment="1" applyProtection="1">
      <alignment horizontal="left" vertical="center" wrapText="1"/>
      <protection locked="0"/>
    </xf>
    <xf numFmtId="0" fontId="125" fillId="0" borderId="1" xfId="8" applyFont="1" applyFill="1" applyBorder="1" applyAlignment="1" applyProtection="1">
      <alignment horizontal="center" vertical="center" wrapText="1"/>
      <protection locked="0"/>
    </xf>
    <xf numFmtId="167" fontId="82" fillId="0" borderId="1" xfId="9" applyNumberFormat="1" applyFont="1" applyFill="1" applyBorder="1" applyAlignment="1" applyProtection="1">
      <alignment vertical="center" wrapText="1"/>
      <protection locked="0"/>
    </xf>
    <xf numFmtId="0" fontId="44" fillId="0" borderId="1" xfId="8" applyFont="1" applyFill="1" applyBorder="1" applyAlignment="1" applyProtection="1">
      <alignment horizontal="center" vertical="center" wrapText="1"/>
      <protection locked="0"/>
    </xf>
    <xf numFmtId="167" fontId="50" fillId="0" borderId="1" xfId="9" applyNumberFormat="1" applyFont="1" applyFill="1" applyBorder="1" applyAlignment="1" applyProtection="1">
      <alignment vertical="center" wrapText="1"/>
      <protection locked="0"/>
    </xf>
    <xf numFmtId="167" fontId="57" fillId="0" borderId="1" xfId="9" applyNumberFormat="1" applyFont="1" applyFill="1" applyBorder="1" applyAlignment="1" applyProtection="1">
      <alignment vertical="center" wrapText="1"/>
      <protection locked="0"/>
    </xf>
    <xf numFmtId="2" fontId="57" fillId="0" borderId="1" xfId="4" applyNumberFormat="1" applyFont="1" applyFill="1" applyBorder="1" applyAlignment="1" applyProtection="1">
      <alignment horizontal="left" vertical="center" wrapText="1"/>
      <protection locked="0"/>
    </xf>
    <xf numFmtId="2" fontId="82" fillId="0" borderId="1" xfId="4" applyNumberFormat="1" applyFont="1" applyFill="1" applyBorder="1" applyAlignment="1" applyProtection="1">
      <alignment horizontal="left" vertical="center" wrapText="1"/>
      <protection locked="0"/>
    </xf>
    <xf numFmtId="1" fontId="82" fillId="0" borderId="1" xfId="4" applyNumberFormat="1" applyFont="1" applyFill="1" applyBorder="1" applyAlignment="1" applyProtection="1">
      <alignment horizontal="left" vertical="center" wrapText="1"/>
    </xf>
    <xf numFmtId="2" fontId="82" fillId="0" borderId="0" xfId="4" applyNumberFormat="1" applyFont="1" applyFill="1" applyAlignment="1" applyProtection="1">
      <alignment horizontal="left" vertical="center" wrapText="1"/>
    </xf>
    <xf numFmtId="0" fontId="82" fillId="0" borderId="1" xfId="62" applyFont="1" applyFill="1" applyBorder="1" applyAlignment="1" applyProtection="1">
      <alignment horizontal="right" vertical="center" wrapText="1"/>
      <protection locked="0"/>
    </xf>
    <xf numFmtId="0" fontId="82" fillId="0" borderId="5" xfId="0" applyFont="1" applyFill="1" applyBorder="1" applyAlignment="1" applyProtection="1">
      <alignment horizontal="left" vertical="center" wrapText="1" readingOrder="1"/>
      <protection locked="0"/>
    </xf>
    <xf numFmtId="0" fontId="111" fillId="0" borderId="1" xfId="4" applyFont="1" applyFill="1" applyBorder="1" applyAlignment="1" applyProtection="1">
      <alignment horizontal="right" vertical="center" wrapText="1"/>
      <protection locked="0"/>
    </xf>
    <xf numFmtId="0" fontId="124" fillId="0" borderId="1" xfId="62" applyFont="1" applyFill="1" applyBorder="1" applyAlignment="1" applyProtection="1">
      <alignment horizontal="right" vertical="center"/>
      <protection locked="0"/>
    </xf>
    <xf numFmtId="0" fontId="121" fillId="0" borderId="5" xfId="62" applyFont="1" applyFill="1" applyBorder="1" applyAlignment="1" applyProtection="1">
      <alignment horizontal="left" vertical="center" wrapText="1"/>
      <protection locked="0"/>
    </xf>
    <xf numFmtId="0" fontId="82" fillId="0" borderId="1" xfId="62" quotePrefix="1"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xf>
    <xf numFmtId="0" fontId="48" fillId="0" borderId="1" xfId="82" applyFont="1" applyFill="1" applyBorder="1" applyAlignment="1" applyProtection="1">
      <alignment vertical="center" wrapText="1"/>
      <protection locked="0"/>
    </xf>
    <xf numFmtId="0" fontId="48" fillId="0" borderId="5" xfId="82" applyFont="1" applyFill="1" applyBorder="1" applyAlignment="1" applyProtection="1">
      <alignment horizontal="left" vertical="center" wrapText="1"/>
      <protection locked="0"/>
    </xf>
    <xf numFmtId="0" fontId="55" fillId="0" borderId="1" xfId="82" applyFont="1" applyFill="1" applyBorder="1" applyAlignment="1" applyProtection="1">
      <alignment horizontal="center" vertical="center"/>
    </xf>
    <xf numFmtId="0" fontId="50" fillId="0" borderId="1" xfId="0" applyFont="1" applyFill="1" applyBorder="1" applyAlignment="1" applyProtection="1">
      <alignment vertical="center"/>
      <protection locked="0"/>
    </xf>
    <xf numFmtId="0" fontId="57" fillId="0" borderId="1" xfId="0" applyFont="1" applyFill="1" applyBorder="1" applyAlignment="1" applyProtection="1">
      <alignment vertical="center"/>
      <protection locked="0"/>
    </xf>
    <xf numFmtId="167" fontId="50" fillId="0" borderId="1" xfId="14" applyNumberFormat="1" applyFont="1" applyFill="1" applyBorder="1" applyAlignment="1" applyProtection="1">
      <alignment vertical="center" wrapText="1"/>
      <protection locked="0"/>
    </xf>
    <xf numFmtId="167" fontId="57" fillId="0" borderId="1" xfId="14" applyNumberFormat="1" applyFont="1" applyFill="1" applyBorder="1" applyAlignment="1" applyProtection="1">
      <alignment vertical="center" wrapText="1"/>
      <protection locked="0"/>
    </xf>
    <xf numFmtId="0" fontId="48" fillId="0" borderId="5" xfId="82" applyFont="1" applyFill="1" applyBorder="1" applyAlignment="1" applyProtection="1">
      <alignment horizontal="left" vertical="center"/>
      <protection locked="0"/>
    </xf>
    <xf numFmtId="0" fontId="48" fillId="0" borderId="1" xfId="82" applyFont="1" applyFill="1" applyBorder="1" applyAlignment="1" applyProtection="1">
      <alignment vertical="center"/>
      <protection locked="0"/>
    </xf>
    <xf numFmtId="0" fontId="65" fillId="0" borderId="19" xfId="0" applyFont="1" applyFill="1" applyBorder="1" applyAlignment="1" applyProtection="1">
      <alignment vertical="center"/>
      <protection locked="0"/>
    </xf>
    <xf numFmtId="0" fontId="44" fillId="0" borderId="1" xfId="82" applyFont="1" applyFill="1" applyBorder="1" applyAlignment="1" applyProtection="1">
      <alignment vertical="center" wrapText="1"/>
      <protection locked="0"/>
    </xf>
    <xf numFmtId="0" fontId="44" fillId="0" borderId="5" xfId="82" applyFont="1" applyFill="1" applyBorder="1" applyAlignment="1" applyProtection="1">
      <alignment horizontal="left" vertical="center" wrapText="1"/>
      <protection locked="0"/>
    </xf>
    <xf numFmtId="167" fontId="44" fillId="0" borderId="1" xfId="14" applyNumberFormat="1" applyFont="1" applyFill="1" applyBorder="1" applyAlignment="1" applyProtection="1">
      <alignment vertical="center" wrapText="1"/>
      <protection locked="0"/>
    </xf>
    <xf numFmtId="0" fontId="44" fillId="0" borderId="1" xfId="4" applyFont="1" applyFill="1" applyBorder="1" applyAlignment="1" applyProtection="1">
      <alignment vertical="center" wrapText="1"/>
      <protection locked="0"/>
    </xf>
    <xf numFmtId="167" fontId="44" fillId="0" borderId="1" xfId="8" applyNumberFormat="1" applyFont="1" applyFill="1" applyBorder="1" applyAlignment="1" applyProtection="1">
      <alignment horizontal="right" vertical="center" wrapText="1"/>
      <protection locked="0"/>
    </xf>
    <xf numFmtId="0" fontId="44" fillId="0" borderId="1" xfId="4" applyFont="1" applyFill="1" applyBorder="1" applyAlignment="1" applyProtection="1">
      <alignment horizontal="left" vertical="center" wrapText="1"/>
      <protection locked="0"/>
    </xf>
    <xf numFmtId="0" fontId="44" fillId="0" borderId="1" xfId="8" applyFont="1" applyFill="1" applyBorder="1" applyAlignment="1" applyProtection="1">
      <alignment vertical="center" wrapText="1"/>
      <protection locked="0"/>
    </xf>
    <xf numFmtId="0" fontId="44" fillId="0" borderId="1" xfId="8" applyFont="1" applyFill="1" applyBorder="1" applyAlignment="1" applyProtection="1">
      <alignment horizontal="left" vertical="center" wrapText="1"/>
      <protection locked="0"/>
    </xf>
    <xf numFmtId="0" fontId="55" fillId="0" borderId="1" xfId="11" applyFont="1" applyFill="1" applyBorder="1" applyAlignment="1" applyProtection="1">
      <alignment horizontal="left" vertical="center"/>
    </xf>
    <xf numFmtId="0" fontId="50" fillId="0" borderId="1" xfId="4" applyFont="1" applyFill="1" applyBorder="1" applyAlignment="1" applyProtection="1">
      <alignment horizontal="center" vertical="center" wrapText="1"/>
      <protection locked="0"/>
    </xf>
    <xf numFmtId="0" fontId="44" fillId="0" borderId="1" xfId="4" applyFont="1" applyFill="1" applyBorder="1" applyAlignment="1" applyProtection="1">
      <alignment horizontal="center" vertical="center" wrapText="1"/>
      <protection locked="0"/>
    </xf>
    <xf numFmtId="167" fontId="50" fillId="0" borderId="1" xfId="11" applyNumberFormat="1" applyFont="1" applyFill="1" applyBorder="1" applyAlignment="1" applyProtection="1">
      <alignment horizontal="right" vertical="center" wrapText="1"/>
      <protection locked="0"/>
    </xf>
    <xf numFmtId="167" fontId="44" fillId="0" borderId="1" xfId="11" applyNumberFormat="1" applyFont="1" applyFill="1" applyBorder="1" applyAlignment="1" applyProtection="1">
      <alignment horizontal="right" vertical="center" wrapText="1"/>
      <protection locked="0"/>
    </xf>
    <xf numFmtId="0" fontId="44" fillId="0" borderId="1" xfId="11" applyFont="1" applyFill="1" applyBorder="1" applyAlignment="1" applyProtection="1">
      <alignment vertical="center"/>
      <protection locked="0"/>
    </xf>
    <xf numFmtId="0" fontId="44" fillId="0" borderId="1" xfId="11" applyFont="1" applyFill="1" applyBorder="1" applyAlignment="1" applyProtection="1">
      <alignment horizontal="left" vertical="center" wrapText="1"/>
      <protection locked="0"/>
    </xf>
    <xf numFmtId="0" fontId="44" fillId="0" borderId="1" xfId="11" applyFont="1" applyFill="1" applyBorder="1" applyAlignment="1" applyProtection="1">
      <alignment vertical="center" wrapText="1"/>
      <protection locked="0"/>
    </xf>
    <xf numFmtId="0" fontId="82" fillId="0" borderId="1" xfId="0" applyFont="1" applyFill="1" applyBorder="1" applyAlignment="1" applyProtection="1">
      <alignment vertical="center"/>
    </xf>
    <xf numFmtId="0" fontId="79" fillId="0" borderId="1" xfId="48" applyFont="1" applyFill="1" applyBorder="1" applyAlignment="1" applyProtection="1">
      <alignment horizontal="left" vertical="center"/>
    </xf>
    <xf numFmtId="0" fontId="79" fillId="0" borderId="1" xfId="48" applyFont="1" applyFill="1" applyBorder="1" applyAlignment="1" applyProtection="1">
      <alignment horizontal="left" vertical="center"/>
      <protection locked="0"/>
    </xf>
    <xf numFmtId="167" fontId="57" fillId="0" borderId="1" xfId="48" applyNumberFormat="1" applyFont="1" applyFill="1" applyBorder="1" applyAlignment="1" applyProtection="1">
      <alignment horizontal="right" vertical="center"/>
      <protection locked="0"/>
    </xf>
    <xf numFmtId="2" fontId="44" fillId="0" borderId="1" xfId="48" applyNumberFormat="1" applyFont="1" applyFill="1" applyBorder="1" applyAlignment="1" applyProtection="1">
      <alignment horizontal="left" vertical="center"/>
      <protection locked="0"/>
    </xf>
    <xf numFmtId="0" fontId="79" fillId="0" borderId="1" xfId="48" applyFont="1" applyFill="1" applyBorder="1" applyAlignment="1" applyProtection="1">
      <alignment horizontal="right" vertical="center"/>
      <protection locked="0"/>
    </xf>
    <xf numFmtId="2" fontId="96" fillId="0" borderId="19" xfId="0" applyNumberFormat="1" applyFont="1" applyFill="1" applyBorder="1" applyAlignment="1" applyProtection="1">
      <alignment horizontal="left" vertical="top" wrapText="1"/>
      <protection locked="0"/>
    </xf>
    <xf numFmtId="0" fontId="82" fillId="0" borderId="1" xfId="0" applyFont="1" applyFill="1" applyBorder="1" applyAlignment="1" applyProtection="1">
      <alignment horizontal="center" vertical="top"/>
      <protection locked="0"/>
    </xf>
    <xf numFmtId="2" fontId="96" fillId="0" borderId="19" xfId="0" applyNumberFormat="1" applyFont="1" applyFill="1" applyBorder="1" applyAlignment="1" applyProtection="1">
      <alignment horizontal="left" vertical="center" wrapText="1"/>
      <protection locked="0"/>
    </xf>
    <xf numFmtId="0" fontId="57" fillId="0" borderId="1" xfId="4" applyFont="1" applyFill="1" applyBorder="1" applyAlignment="1" applyProtection="1">
      <alignment horizontal="left" vertical="center" wrapText="1"/>
      <protection locked="0"/>
    </xf>
    <xf numFmtId="2" fontId="44" fillId="0" borderId="1" xfId="48" applyNumberFormat="1" applyFont="1" applyFill="1" applyBorder="1" applyAlignment="1" applyProtection="1">
      <alignment horizontal="left" vertical="center" wrapText="1"/>
      <protection locked="0"/>
    </xf>
    <xf numFmtId="0" fontId="57" fillId="0" borderId="1" xfId="48" applyFont="1" applyFill="1" applyBorder="1" applyAlignment="1" applyProtection="1">
      <alignment horizontal="left" vertical="center" wrapText="1"/>
      <protection locked="0"/>
    </xf>
    <xf numFmtId="0" fontId="79" fillId="0" borderId="1" xfId="48" applyFont="1" applyFill="1" applyBorder="1" applyAlignment="1" applyProtection="1">
      <alignment horizontal="left" vertical="center" wrapText="1"/>
      <protection locked="0"/>
    </xf>
    <xf numFmtId="0" fontId="44" fillId="0" borderId="1" xfId="97" applyFont="1" applyFill="1" applyBorder="1" applyAlignment="1" applyProtection="1">
      <alignment horizontal="center" vertical="center"/>
      <protection locked="0"/>
    </xf>
    <xf numFmtId="2" fontId="44" fillId="0" borderId="5" xfId="48" applyNumberFormat="1" applyFont="1" applyFill="1" applyBorder="1" applyAlignment="1" applyProtection="1">
      <alignment horizontal="left" vertical="center" wrapText="1"/>
      <protection locked="0"/>
    </xf>
    <xf numFmtId="167" fontId="44" fillId="0" borderId="1" xfId="48" applyNumberFormat="1" applyFont="1" applyFill="1" applyBorder="1" applyAlignment="1" applyProtection="1">
      <alignment horizontal="center" vertical="center"/>
      <protection locked="0"/>
    </xf>
    <xf numFmtId="2" fontId="50" fillId="0" borderId="1" xfId="4" applyNumberFormat="1" applyFont="1" applyFill="1" applyBorder="1" applyAlignment="1" applyProtection="1">
      <alignment horizontal="right" vertical="center" wrapText="1"/>
      <protection locked="0"/>
    </xf>
    <xf numFmtId="2" fontId="57" fillId="0" borderId="1" xfId="4" applyNumberFormat="1" applyFont="1" applyFill="1" applyBorder="1" applyAlignment="1" applyProtection="1">
      <alignment horizontal="right" vertical="center" wrapText="1"/>
      <protection locked="0"/>
    </xf>
    <xf numFmtId="0" fontId="48" fillId="0" borderId="1" xfId="4" applyFont="1" applyFill="1" applyBorder="1" applyAlignment="1" applyProtection="1">
      <alignment vertical="center" wrapText="1"/>
      <protection locked="0"/>
    </xf>
    <xf numFmtId="0" fontId="112" fillId="0" borderId="1" xfId="82" applyFont="1" applyFill="1" applyBorder="1" applyAlignment="1" applyProtection="1">
      <alignment horizontal="left" vertical="center" wrapText="1"/>
      <protection locked="0"/>
    </xf>
    <xf numFmtId="0" fontId="82" fillId="0" borderId="1" xfId="0" applyFont="1" applyFill="1" applyBorder="1" applyAlignment="1">
      <alignment horizontal="left" vertical="center"/>
    </xf>
    <xf numFmtId="0" fontId="84" fillId="0" borderId="1" xfId="8" applyFont="1" applyFill="1" applyBorder="1" applyAlignment="1">
      <alignment horizontal="center" vertical="center" wrapText="1"/>
    </xf>
    <xf numFmtId="43" fontId="82" fillId="0" borderId="1" xfId="1" applyFont="1" applyFill="1" applyBorder="1" applyAlignment="1">
      <alignment horizontal="right" vertical="center"/>
    </xf>
    <xf numFmtId="0" fontId="82" fillId="0" borderId="1" xfId="0" applyFont="1" applyFill="1" applyBorder="1" applyAlignment="1" applyProtection="1">
      <alignment horizontal="left" vertical="center"/>
      <protection locked="0"/>
    </xf>
    <xf numFmtId="0" fontId="50" fillId="0" borderId="1" xfId="0" applyFont="1" applyFill="1" applyBorder="1" applyAlignment="1" applyProtection="1">
      <alignment horizontal="center" vertical="center" wrapText="1"/>
      <protection locked="0"/>
    </xf>
    <xf numFmtId="0" fontId="57" fillId="0" borderId="1" xfId="0" applyFont="1" applyFill="1" applyBorder="1" applyAlignment="1" applyProtection="1">
      <alignment horizontal="left" vertical="center" wrapText="1"/>
      <protection locked="0"/>
    </xf>
    <xf numFmtId="0" fontId="79" fillId="0" borderId="1" xfId="0" applyFont="1" applyFill="1" applyBorder="1" applyAlignment="1" applyProtection="1">
      <alignment horizontal="left" wrapText="1"/>
      <protection locked="0"/>
    </xf>
    <xf numFmtId="0" fontId="44" fillId="0" borderId="5" xfId="0" applyFont="1" applyFill="1" applyBorder="1" applyAlignment="1" applyProtection="1">
      <alignment horizontal="left" vertical="center" wrapText="1"/>
      <protection locked="0"/>
    </xf>
    <xf numFmtId="0" fontId="50" fillId="0" borderId="1" xfId="0" applyFont="1" applyFill="1" applyBorder="1" applyAlignment="1" applyProtection="1">
      <alignment horizontal="center" wrapText="1"/>
      <protection locked="0"/>
    </xf>
    <xf numFmtId="0" fontId="57" fillId="0" borderId="1" xfId="0" applyFont="1" applyFill="1" applyBorder="1" applyAlignment="1" applyProtection="1">
      <alignment horizontal="left" wrapText="1"/>
      <protection locked="0"/>
    </xf>
    <xf numFmtId="0" fontId="82" fillId="0" borderId="1" xfId="38" applyFont="1" applyFill="1" applyBorder="1" applyAlignment="1" applyProtection="1">
      <alignment horizontal="left" vertical="center" wrapText="1"/>
    </xf>
    <xf numFmtId="0" fontId="82" fillId="0" borderId="1" xfId="8" applyFont="1" applyFill="1" applyBorder="1" applyAlignment="1" applyProtection="1">
      <alignment horizontal="center" vertical="center" wrapText="1"/>
    </xf>
    <xf numFmtId="0" fontId="0" fillId="0" borderId="1" xfId="0" applyFill="1" applyBorder="1" applyAlignment="1" applyProtection="1">
      <alignment horizontal="center" vertical="center"/>
      <protection locked="0"/>
    </xf>
    <xf numFmtId="0" fontId="0" fillId="0" borderId="1" xfId="0" applyFill="1" applyBorder="1" applyAlignment="1" applyProtection="1">
      <alignment horizontal="left" vertical="center" wrapText="1"/>
      <protection locked="0"/>
    </xf>
    <xf numFmtId="0" fontId="0" fillId="0" borderId="1" xfId="0" applyFill="1" applyBorder="1" applyAlignment="1">
      <alignment horizontal="center" vertical="center"/>
    </xf>
    <xf numFmtId="0" fontId="0" fillId="0" borderId="1" xfId="0" applyFill="1" applyBorder="1" applyAlignment="1">
      <alignment horizontal="center" vertical="center" wrapText="1"/>
    </xf>
    <xf numFmtId="0" fontId="0" fillId="0" borderId="1" xfId="0" applyFill="1" applyBorder="1" applyAlignment="1">
      <alignment horizontal="left" vertical="center" wrapText="1"/>
    </xf>
    <xf numFmtId="0" fontId="82" fillId="0" borderId="1" xfId="38" applyFont="1" applyFill="1" applyBorder="1" applyAlignment="1" applyProtection="1">
      <alignment horizontal="center" vertical="center" wrapText="1"/>
      <protection locked="0"/>
    </xf>
    <xf numFmtId="0" fontId="84" fillId="0" borderId="1" xfId="0" applyFont="1" applyFill="1" applyBorder="1" applyAlignment="1" applyProtection="1">
      <alignment horizontal="center" vertical="center" wrapText="1"/>
      <protection locked="0"/>
    </xf>
    <xf numFmtId="0" fontId="79" fillId="0" borderId="1" xfId="0" applyFont="1" applyFill="1" applyBorder="1" applyAlignment="1" applyProtection="1">
      <alignment horizontal="center" vertical="center" wrapText="1"/>
      <protection locked="0"/>
    </xf>
    <xf numFmtId="0" fontId="40" fillId="0" borderId="1" xfId="8" applyFont="1" applyFill="1" applyBorder="1" applyAlignment="1" applyProtection="1">
      <alignment horizontal="center" vertical="center" wrapText="1"/>
      <protection locked="0"/>
    </xf>
    <xf numFmtId="2" fontId="84" fillId="0" borderId="1" xfId="8" applyNumberFormat="1" applyFont="1" applyFill="1" applyBorder="1" applyAlignment="1" applyProtection="1">
      <alignment horizontal="center" vertical="center" wrapText="1"/>
      <protection locked="0"/>
    </xf>
    <xf numFmtId="167" fontId="82" fillId="0" borderId="1" xfId="8" applyNumberFormat="1" applyFont="1" applyFill="1" applyBorder="1" applyAlignment="1" applyProtection="1">
      <alignment horizontal="center" vertical="center" wrapText="1"/>
      <protection locked="0"/>
    </xf>
    <xf numFmtId="0" fontId="0" fillId="0" borderId="1" xfId="0" applyFill="1" applyBorder="1" applyAlignment="1" applyProtection="1">
      <alignment horizontal="center" vertical="center" wrapText="1"/>
      <protection locked="0"/>
    </xf>
    <xf numFmtId="0" fontId="115" fillId="0" borderId="1" xfId="0" applyFont="1" applyFill="1" applyBorder="1" applyAlignment="1" applyProtection="1">
      <alignment horizontal="left" vertical="center" wrapText="1"/>
      <protection locked="0"/>
    </xf>
    <xf numFmtId="2" fontId="84" fillId="0" borderId="1" xfId="0" applyNumberFormat="1" applyFont="1" applyFill="1" applyBorder="1" applyAlignment="1" applyProtection="1">
      <alignment vertical="center" wrapText="1"/>
      <protection locked="0"/>
    </xf>
    <xf numFmtId="0" fontId="82" fillId="0" borderId="1" xfId="87" applyFont="1" applyFill="1" applyBorder="1" applyAlignment="1" applyProtection="1">
      <alignment horizontal="center" vertical="center" wrapText="1"/>
      <protection locked="0"/>
    </xf>
    <xf numFmtId="169" fontId="57" fillId="0" borderId="1" xfId="0" applyNumberFormat="1" applyFont="1" applyFill="1" applyBorder="1" applyAlignment="1" applyProtection="1">
      <alignment horizontal="right" vertical="center" wrapText="1"/>
    </xf>
    <xf numFmtId="0" fontId="79" fillId="0" borderId="1" xfId="87" applyFont="1" applyFill="1" applyBorder="1" applyAlignment="1" applyProtection="1">
      <alignment vertical="center" wrapText="1"/>
    </xf>
    <xf numFmtId="0" fontId="79" fillId="0" borderId="1" xfId="8" applyFont="1" applyFill="1" applyBorder="1" applyAlignment="1" applyProtection="1">
      <alignment horizontal="center" vertical="center" wrapText="1"/>
    </xf>
    <xf numFmtId="0" fontId="86" fillId="0" borderId="1" xfId="9" applyFont="1" applyFill="1" applyBorder="1" applyAlignment="1" applyProtection="1">
      <alignment horizontal="center" vertical="center" wrapText="1"/>
      <protection locked="0"/>
    </xf>
    <xf numFmtId="0" fontId="82" fillId="0" borderId="1" xfId="8" applyFont="1" applyFill="1" applyBorder="1" applyAlignment="1" applyProtection="1">
      <alignment horizontal="right" vertical="center" wrapText="1"/>
      <protection locked="0"/>
    </xf>
    <xf numFmtId="0" fontId="82" fillId="0" borderId="0" xfId="38" applyFont="1" applyFill="1" applyAlignment="1" applyProtection="1">
      <alignment horizontal="right" vertical="center" wrapText="1"/>
      <protection locked="0"/>
    </xf>
    <xf numFmtId="0" fontId="84" fillId="0" borderId="5" xfId="9" applyFont="1" applyFill="1" applyBorder="1" applyAlignment="1" applyProtection="1">
      <alignment horizontal="right" vertical="center" wrapText="1"/>
      <protection locked="0"/>
    </xf>
    <xf numFmtId="0" fontId="78" fillId="0" borderId="0" xfId="9" applyFont="1" applyFill="1" applyAlignment="1" applyProtection="1">
      <alignment horizontal="center" vertical="center" wrapText="1"/>
      <protection locked="0"/>
    </xf>
    <xf numFmtId="2" fontId="82" fillId="0" borderId="5" xfId="4" applyNumberFormat="1" applyFont="1" applyFill="1" applyBorder="1" applyAlignment="1" applyProtection="1">
      <alignment horizontal="right" vertical="center" wrapText="1"/>
      <protection locked="0"/>
    </xf>
    <xf numFmtId="0" fontId="82" fillId="0" borderId="5" xfId="9" applyFont="1" applyFill="1" applyBorder="1" applyAlignment="1" applyProtection="1">
      <alignment horizontal="right" vertical="center" wrapText="1"/>
      <protection locked="0"/>
    </xf>
    <xf numFmtId="0" fontId="82" fillId="0" borderId="1" xfId="9" applyFont="1" applyFill="1" applyBorder="1" applyAlignment="1" applyProtection="1">
      <alignment horizontal="right" vertical="center" wrapText="1"/>
      <protection locked="0"/>
    </xf>
    <xf numFmtId="2" fontId="82" fillId="0" borderId="16" xfId="4" applyNumberFormat="1" applyFont="1" applyFill="1" applyBorder="1" applyAlignment="1" applyProtection="1">
      <alignment horizontal="right" vertical="center" wrapText="1"/>
      <protection locked="0"/>
    </xf>
    <xf numFmtId="2" fontId="82" fillId="0" borderId="17" xfId="4" applyNumberFormat="1" applyFont="1" applyFill="1" applyBorder="1" applyAlignment="1" applyProtection="1">
      <alignment horizontal="right" vertical="center" wrapText="1"/>
      <protection locked="0"/>
    </xf>
    <xf numFmtId="0" fontId="40" fillId="0" borderId="5" xfId="9" applyFont="1" applyFill="1" applyBorder="1" applyAlignment="1" applyProtection="1">
      <alignment horizontal="left" vertical="center" wrapText="1"/>
      <protection locked="0"/>
    </xf>
    <xf numFmtId="0" fontId="41" fillId="0" borderId="1" xfId="8" applyFont="1" applyFill="1" applyBorder="1" applyAlignment="1" applyProtection="1">
      <alignment horizontal="center" vertical="center" wrapText="1"/>
      <protection locked="0"/>
    </xf>
    <xf numFmtId="0" fontId="129" fillId="0" borderId="1" xfId="0" applyFont="1" applyFill="1" applyBorder="1" applyAlignment="1" applyProtection="1">
      <alignment horizontal="left" vertical="top" wrapText="1"/>
      <protection locked="0"/>
    </xf>
    <xf numFmtId="0" fontId="78" fillId="0" borderId="5" xfId="9" applyFont="1" applyFill="1" applyBorder="1" applyAlignment="1" applyProtection="1">
      <alignment horizontal="left" vertical="center" wrapText="1"/>
      <protection locked="0"/>
    </xf>
    <xf numFmtId="0" fontId="41" fillId="0" borderId="1" xfId="9" applyFont="1" applyFill="1" applyBorder="1" applyAlignment="1" applyProtection="1">
      <alignment vertical="center" wrapText="1"/>
      <protection locked="0"/>
    </xf>
    <xf numFmtId="0" fontId="41" fillId="0" borderId="0" xfId="8" applyFont="1" applyFill="1" applyAlignment="1" applyProtection="1">
      <alignment vertical="top" wrapText="1"/>
      <protection locked="0"/>
    </xf>
    <xf numFmtId="0" fontId="41" fillId="0" borderId="5" xfId="9" applyFont="1" applyFill="1" applyBorder="1" applyAlignment="1" applyProtection="1">
      <alignment horizontal="left" vertical="center" wrapText="1"/>
      <protection locked="0"/>
    </xf>
    <xf numFmtId="1" fontId="57" fillId="0" borderId="1" xfId="4" applyNumberFormat="1" applyFont="1" applyFill="1" applyBorder="1" applyAlignment="1" applyProtection="1">
      <alignment horizontal="center" vertical="center" wrapText="1"/>
      <protection locked="0"/>
    </xf>
    <xf numFmtId="0" fontId="84" fillId="0" borderId="1" xfId="4" applyFont="1" applyFill="1" applyBorder="1" applyAlignment="1" applyProtection="1">
      <alignment horizontal="center" vertical="center" wrapText="1"/>
    </xf>
    <xf numFmtId="0" fontId="39" fillId="0" borderId="1" xfId="8" applyFont="1" applyFill="1" applyBorder="1" applyAlignment="1" applyProtection="1">
      <alignment horizontal="center" vertical="center" wrapText="1"/>
      <protection locked="0"/>
    </xf>
    <xf numFmtId="0" fontId="82" fillId="0" borderId="5" xfId="65" applyFont="1" applyFill="1" applyBorder="1" applyAlignment="1" applyProtection="1">
      <alignment horizontal="left" vertical="center" wrapText="1"/>
      <protection locked="0"/>
    </xf>
    <xf numFmtId="0" fontId="82" fillId="0" borderId="5" xfId="71" applyFont="1" applyFill="1" applyBorder="1" applyAlignment="1" applyProtection="1">
      <alignment horizontal="left" vertical="center" wrapText="1"/>
      <protection locked="0"/>
    </xf>
    <xf numFmtId="0" fontId="82" fillId="0" borderId="1" xfId="63" applyFont="1" applyFill="1" applyBorder="1" applyAlignment="1" applyProtection="1">
      <alignment horizontal="right" vertical="center"/>
      <protection locked="0"/>
    </xf>
    <xf numFmtId="0" fontId="82" fillId="0" borderId="5" xfId="63" applyFont="1" applyFill="1" applyBorder="1" applyAlignment="1" applyProtection="1">
      <alignment horizontal="left" vertical="center" wrapText="1"/>
      <protection locked="0"/>
    </xf>
    <xf numFmtId="0" fontId="57" fillId="0" borderId="0" xfId="11" applyFont="1" applyFill="1" applyAlignment="1" applyProtection="1">
      <alignment horizontal="right" vertical="center" wrapText="1"/>
    </xf>
    <xf numFmtId="0" fontId="84" fillId="0" borderId="1" xfId="62" applyFont="1" applyFill="1" applyBorder="1" applyAlignment="1" applyProtection="1">
      <alignment horizontal="right" vertical="center"/>
      <protection locked="0"/>
    </xf>
    <xf numFmtId="0" fontId="91" fillId="0" borderId="0" xfId="0" applyFont="1" applyFill="1" applyAlignment="1" applyProtection="1">
      <alignment wrapText="1"/>
      <protection locked="0"/>
    </xf>
    <xf numFmtId="0" fontId="82" fillId="0" borderId="5" xfId="80" applyFont="1" applyFill="1" applyBorder="1" applyAlignment="1" applyProtection="1">
      <alignment horizontal="left" vertical="center" wrapText="1"/>
      <protection locked="0"/>
    </xf>
    <xf numFmtId="0" fontId="84" fillId="0" borderId="1" xfId="62" applyFont="1" applyFill="1" applyBorder="1" applyAlignment="1" applyProtection="1">
      <alignment horizontal="right" vertical="center" wrapText="1"/>
      <protection locked="0"/>
    </xf>
    <xf numFmtId="0" fontId="39" fillId="0" borderId="1" xfId="82" applyFont="1" applyFill="1" applyBorder="1" applyAlignment="1" applyProtection="1">
      <alignment vertical="center"/>
      <protection locked="0"/>
    </xf>
    <xf numFmtId="0" fontId="39" fillId="0" borderId="5" xfId="82" applyFont="1" applyFill="1" applyBorder="1" applyAlignment="1" applyProtection="1">
      <alignment horizontal="left" vertical="center" wrapText="1"/>
      <protection locked="0"/>
    </xf>
    <xf numFmtId="0" fontId="41" fillId="0" borderId="1" xfId="0" applyFont="1" applyFill="1" applyBorder="1" applyAlignment="1" applyProtection="1">
      <alignment horizontal="left" vertical="center" wrapText="1"/>
      <protection locked="0"/>
    </xf>
    <xf numFmtId="0" fontId="131" fillId="0" borderId="1" xfId="0" applyFont="1" applyFill="1" applyBorder="1" applyAlignment="1" applyProtection="1">
      <alignment horizontal="left" vertical="top" wrapText="1"/>
      <protection locked="0"/>
    </xf>
    <xf numFmtId="0" fontId="41" fillId="0" borderId="1" xfId="8" applyFont="1" applyFill="1" applyBorder="1" applyAlignment="1" applyProtection="1">
      <alignment horizontal="left" vertical="center" wrapText="1"/>
      <protection locked="0"/>
    </xf>
    <xf numFmtId="0" fontId="41" fillId="0" borderId="1" xfId="8" applyFont="1" applyFill="1" applyBorder="1" applyAlignment="1" applyProtection="1">
      <alignment horizontal="center" vertical="center"/>
      <protection locked="0"/>
    </xf>
    <xf numFmtId="167" fontId="41" fillId="0" borderId="1" xfId="8" applyNumberFormat="1" applyFont="1" applyFill="1" applyBorder="1" applyAlignment="1" applyProtection="1">
      <alignment horizontal="right" vertical="center" wrapText="1"/>
      <protection locked="0"/>
    </xf>
    <xf numFmtId="164" fontId="41" fillId="0" borderId="1" xfId="8" applyNumberFormat="1" applyFont="1" applyFill="1" applyBorder="1" applyAlignment="1" applyProtection="1">
      <alignment vertical="center"/>
      <protection locked="0"/>
    </xf>
    <xf numFmtId="0" fontId="39" fillId="0" borderId="1" xfId="11" applyFont="1" applyFill="1" applyBorder="1" applyAlignment="1" applyProtection="1">
      <alignment horizontal="left" vertical="center" wrapText="1"/>
      <protection locked="0"/>
    </xf>
    <xf numFmtId="0" fontId="41" fillId="0" borderId="1" xfId="97" applyFont="1" applyFill="1" applyBorder="1" applyAlignment="1" applyProtection="1">
      <alignment horizontal="center" vertical="center"/>
      <protection locked="0"/>
    </xf>
    <xf numFmtId="2" fontId="41" fillId="0" borderId="5" xfId="48" applyNumberFormat="1" applyFont="1" applyFill="1" applyBorder="1" applyAlignment="1" applyProtection="1">
      <alignment horizontal="left" vertical="center" wrapText="1"/>
      <protection locked="0"/>
    </xf>
    <xf numFmtId="0" fontId="53" fillId="0" borderId="1" xfId="4" applyFont="1" applyFill="1" applyBorder="1" applyAlignment="1" applyProtection="1">
      <alignment horizontal="left" vertical="center" wrapText="1"/>
      <protection locked="0"/>
    </xf>
    <xf numFmtId="0" fontId="84" fillId="0" borderId="1" xfId="0" applyFont="1" applyFill="1" applyBorder="1" applyAlignment="1" applyProtection="1">
      <alignment horizontal="center" vertical="center"/>
      <protection locked="0"/>
    </xf>
    <xf numFmtId="0" fontId="121" fillId="0" borderId="1" xfId="0" applyFont="1" applyFill="1" applyBorder="1" applyAlignment="1" applyProtection="1">
      <alignment horizontal="left" vertical="center" wrapText="1"/>
      <protection locked="0"/>
    </xf>
    <xf numFmtId="43" fontId="82" fillId="0" borderId="1" xfId="1" applyFont="1" applyFill="1" applyBorder="1" applyAlignment="1" applyProtection="1">
      <alignment horizontal="left" vertical="center"/>
      <protection locked="0"/>
    </xf>
    <xf numFmtId="0" fontId="37" fillId="0" borderId="1" xfId="8" applyFont="1" applyFill="1" applyBorder="1" applyAlignment="1" applyProtection="1">
      <alignment horizontal="left" vertical="center" wrapText="1"/>
      <protection locked="0"/>
    </xf>
    <xf numFmtId="0" fontId="82" fillId="0" borderId="1" xfId="8" applyFont="1" applyFill="1" applyBorder="1" applyAlignment="1" applyProtection="1">
      <alignment horizontal="center" vertical="center" wrapText="1"/>
    </xf>
    <xf numFmtId="0" fontId="36" fillId="0" borderId="1" xfId="8" applyFont="1" applyFill="1" applyBorder="1" applyAlignment="1" applyProtection="1">
      <alignment horizontal="center" vertical="center" wrapText="1"/>
      <protection locked="0"/>
    </xf>
    <xf numFmtId="0" fontId="82" fillId="26" borderId="5" xfId="9" applyFont="1" applyFill="1" applyBorder="1" applyAlignment="1" applyProtection="1">
      <alignment horizontal="left" vertical="center" wrapText="1"/>
      <protection locked="0"/>
    </xf>
    <xf numFmtId="0" fontId="0" fillId="0" borderId="1" xfId="0" applyBorder="1" applyAlignment="1">
      <alignment horizontal="left" vertical="center" wrapText="1"/>
    </xf>
    <xf numFmtId="0" fontId="0" fillId="0" borderId="1" xfId="0" applyBorder="1" applyAlignment="1">
      <alignment horizontal="center" vertical="center" wrapText="1"/>
    </xf>
    <xf numFmtId="0" fontId="57" fillId="0" borderId="1" xfId="62" applyFont="1" applyFill="1" applyBorder="1" applyAlignment="1" applyProtection="1">
      <alignment horizontal="center" vertical="center" wrapText="1"/>
    </xf>
    <xf numFmtId="0" fontId="57" fillId="0" borderId="1" xfId="62" applyFont="1" applyFill="1" applyBorder="1" applyAlignment="1" applyProtection="1">
      <alignment horizontal="right" vertical="center" wrapText="1"/>
      <protection locked="0"/>
    </xf>
    <xf numFmtId="0" fontId="35" fillId="0" borderId="1" xfId="8" applyFont="1" applyFill="1" applyBorder="1" applyAlignment="1" applyProtection="1">
      <alignment horizontal="center" vertical="center" wrapText="1"/>
      <protection locked="0"/>
    </xf>
    <xf numFmtId="0" fontId="57" fillId="0" borderId="1" xfId="62" applyFont="1" applyFill="1" applyBorder="1" applyAlignment="1" applyProtection="1">
      <alignment horizontal="left" vertical="center" wrapText="1"/>
      <protection locked="0"/>
    </xf>
    <xf numFmtId="0" fontId="82" fillId="0" borderId="1" xfId="8" applyFont="1" applyFill="1" applyBorder="1" applyAlignment="1" applyProtection="1">
      <alignment horizontal="center" vertical="center" wrapText="1"/>
    </xf>
    <xf numFmtId="0" fontId="34" fillId="0" borderId="1" xfId="8" applyFont="1" applyBorder="1" applyAlignment="1" applyProtection="1">
      <alignment horizontal="center" vertical="center" wrapText="1"/>
      <protection locked="0"/>
    </xf>
    <xf numFmtId="0" fontId="82" fillId="0" borderId="1" xfId="62" applyFont="1" applyBorder="1" applyAlignment="1" applyProtection="1">
      <alignment horizontal="center" vertical="center"/>
      <protection locked="0"/>
    </xf>
    <xf numFmtId="0" fontId="34" fillId="0" borderId="1" xfId="8" applyFont="1" applyFill="1" applyBorder="1" applyAlignment="1" applyProtection="1">
      <alignment horizontal="left" vertical="center" wrapText="1"/>
      <protection locked="0"/>
    </xf>
    <xf numFmtId="167" fontId="34" fillId="0" borderId="1" xfId="48" applyNumberFormat="1" applyFont="1" applyBorder="1" applyAlignment="1" applyProtection="1">
      <alignment horizontal="center" vertical="center"/>
      <protection locked="0"/>
    </xf>
    <xf numFmtId="0" fontId="34" fillId="0" borderId="1" xfId="97" applyFont="1" applyBorder="1" applyAlignment="1" applyProtection="1">
      <alignment horizontal="center" vertical="center"/>
      <protection locked="0"/>
    </xf>
    <xf numFmtId="2" fontId="34" fillId="0" borderId="5" xfId="48" applyNumberFormat="1" applyFont="1" applyBorder="1" applyAlignment="1" applyProtection="1">
      <alignment horizontal="left" vertical="center" wrapText="1"/>
      <protection locked="0"/>
    </xf>
    <xf numFmtId="0" fontId="37" fillId="0" borderId="1" xfId="8" applyFont="1" applyFill="1" applyBorder="1" applyAlignment="1" applyProtection="1">
      <alignment horizontal="center" vertical="center" wrapText="1"/>
      <protection locked="0"/>
    </xf>
    <xf numFmtId="0" fontId="34" fillId="0" borderId="1" xfId="8" applyFont="1" applyFill="1" applyBorder="1" applyAlignment="1" applyProtection="1">
      <alignment horizontal="center" vertical="center" wrapText="1"/>
      <protection locked="0"/>
    </xf>
    <xf numFmtId="166" fontId="82" fillId="0" borderId="1" xfId="1" applyNumberFormat="1" applyFont="1" applyFill="1" applyBorder="1" applyAlignment="1" applyProtection="1">
      <alignment horizontal="center" vertical="center"/>
      <protection locked="0"/>
    </xf>
    <xf numFmtId="1" fontId="82" fillId="0" borderId="1" xfId="0" applyNumberFormat="1" applyFont="1" applyFill="1" applyBorder="1" applyAlignment="1" applyProtection="1">
      <alignment horizontal="center" vertical="center"/>
      <protection locked="0"/>
    </xf>
    <xf numFmtId="0" fontId="116" fillId="0" borderId="1" xfId="0" applyFont="1" applyFill="1" applyBorder="1" applyAlignment="1" applyProtection="1">
      <alignment horizontal="left" vertical="center" wrapText="1"/>
      <protection locked="0"/>
    </xf>
    <xf numFmtId="0" fontId="121" fillId="0" borderId="1" xfId="0" applyFont="1" applyFill="1" applyBorder="1" applyAlignment="1" applyProtection="1">
      <alignment horizontal="center" vertical="center" wrapText="1"/>
      <protection locked="0"/>
    </xf>
    <xf numFmtId="0" fontId="132" fillId="0" borderId="1" xfId="0" applyFont="1" applyFill="1" applyBorder="1" applyAlignment="1" applyProtection="1">
      <alignment horizontal="left" vertical="center" wrapText="1"/>
      <protection locked="0"/>
    </xf>
    <xf numFmtId="1" fontId="82" fillId="0" borderId="1" xfId="6" applyNumberFormat="1" applyFont="1" applyFill="1" applyBorder="1" applyAlignment="1" applyProtection="1">
      <alignment horizontal="center" vertical="center"/>
      <protection locked="0"/>
    </xf>
    <xf numFmtId="2" fontId="121" fillId="0" borderId="1" xfId="0" applyNumberFormat="1" applyFont="1" applyFill="1" applyBorder="1" applyAlignment="1" applyProtection="1">
      <alignment horizontal="center" vertical="center" wrapText="1"/>
      <protection locked="0"/>
    </xf>
    <xf numFmtId="0" fontId="121" fillId="0" borderId="0" xfId="0" applyFont="1" applyFill="1" applyAlignment="1" applyProtection="1">
      <alignment horizontal="center" vertical="center" wrapText="1"/>
      <protection locked="0"/>
    </xf>
    <xf numFmtId="0" fontId="133" fillId="0" borderId="1" xfId="0" applyFont="1" applyFill="1" applyBorder="1" applyAlignment="1" applyProtection="1">
      <alignment horizontal="center" vertical="center" wrapText="1"/>
      <protection locked="0"/>
    </xf>
    <xf numFmtId="0" fontId="121" fillId="0" borderId="0" xfId="0" applyFont="1" applyFill="1" applyAlignment="1" applyProtection="1">
      <alignment horizontal="left" vertical="center" wrapText="1"/>
      <protection locked="0"/>
    </xf>
    <xf numFmtId="167" fontId="84" fillId="0" borderId="1" xfId="0" applyNumberFormat="1" applyFont="1" applyFill="1" applyBorder="1" applyAlignment="1" applyProtection="1">
      <alignment horizontal="center" vertical="center" wrapText="1"/>
      <protection locked="0"/>
    </xf>
    <xf numFmtId="0" fontId="133" fillId="0" borderId="0" xfId="0" applyFont="1" applyFill="1" applyBorder="1" applyAlignment="1" applyProtection="1">
      <alignment vertical="center" wrapText="1"/>
      <protection locked="0"/>
    </xf>
    <xf numFmtId="0" fontId="56" fillId="0" borderId="1" xfId="4" applyFont="1" applyFill="1" applyBorder="1" applyAlignment="1" applyProtection="1">
      <alignment horizontal="left" vertical="center" wrapText="1"/>
    </xf>
    <xf numFmtId="167" fontId="134" fillId="0" borderId="1" xfId="8" applyNumberFormat="1" applyFont="1" applyFill="1" applyBorder="1" applyAlignment="1" applyProtection="1">
      <alignment horizontal="center" vertical="center" wrapText="1"/>
      <protection locked="0"/>
    </xf>
    <xf numFmtId="0" fontId="134" fillId="0" borderId="1" xfId="8" applyFont="1" applyFill="1" applyBorder="1" applyAlignment="1" applyProtection="1">
      <alignment horizontal="center" vertical="center" wrapText="1"/>
      <protection locked="0"/>
    </xf>
    <xf numFmtId="0" fontId="136" fillId="0" borderId="1" xfId="8" applyFont="1" applyFill="1" applyBorder="1" applyAlignment="1" applyProtection="1">
      <alignment horizontal="center" vertical="center" wrapText="1"/>
      <protection locked="0"/>
    </xf>
    <xf numFmtId="0" fontId="137" fillId="0" borderId="1" xfId="0" applyFont="1" applyFill="1" applyBorder="1" applyAlignment="1" applyProtection="1">
      <alignment horizontal="left" vertical="center" wrapText="1"/>
      <protection locked="0"/>
    </xf>
    <xf numFmtId="2" fontId="82" fillId="0" borderId="1" xfId="8" applyNumberFormat="1" applyFont="1" applyFill="1" applyBorder="1" applyAlignment="1" applyProtection="1">
      <alignment horizontal="center" vertical="center" wrapText="1"/>
      <protection locked="0"/>
    </xf>
    <xf numFmtId="0" fontId="61" fillId="0" borderId="1" xfId="8" applyFont="1" applyFill="1" applyBorder="1" applyAlignment="1" applyProtection="1">
      <alignment horizontal="center" vertical="center"/>
      <protection locked="0"/>
    </xf>
    <xf numFmtId="0" fontId="82" fillId="0" borderId="1" xfId="8" applyFont="1" applyFill="1" applyBorder="1" applyAlignment="1" applyProtection="1">
      <alignment horizontal="left" vertical="center"/>
      <protection locked="0"/>
    </xf>
    <xf numFmtId="167" fontId="82" fillId="0" borderId="1" xfId="8" applyNumberFormat="1" applyFont="1" applyFill="1" applyBorder="1" applyAlignment="1" applyProtection="1">
      <alignment vertical="center" wrapText="1"/>
      <protection locked="0"/>
    </xf>
    <xf numFmtId="164" fontId="82" fillId="0" borderId="1" xfId="8" applyNumberFormat="1" applyFont="1" applyFill="1" applyBorder="1" applyAlignment="1" applyProtection="1">
      <alignment vertical="center" wrapText="1"/>
      <protection locked="0"/>
    </xf>
    <xf numFmtId="0" fontId="0" fillId="0" borderId="1" xfId="0" applyFill="1" applyBorder="1" applyAlignment="1" applyProtection="1">
      <alignment horizontal="center" vertical="center" wrapText="1"/>
    </xf>
    <xf numFmtId="0" fontId="78" fillId="0" borderId="2" xfId="8" applyFont="1" applyFill="1" applyBorder="1" applyAlignment="1" applyProtection="1">
      <alignment vertical="center" wrapText="1"/>
      <protection locked="0"/>
    </xf>
    <xf numFmtId="0" fontId="38" fillId="0" borderId="1" xfId="8" applyFont="1" applyFill="1" applyBorder="1" applyAlignment="1" applyProtection="1">
      <alignment horizontal="center" vertical="center" wrapText="1"/>
      <protection locked="0"/>
    </xf>
    <xf numFmtId="0" fontId="57" fillId="0" borderId="1" xfId="0" applyFont="1" applyFill="1" applyBorder="1" applyAlignment="1" applyProtection="1">
      <alignment vertical="top" wrapText="1"/>
    </xf>
    <xf numFmtId="0" fontId="82" fillId="0" borderId="1" xfId="87" applyFont="1" applyFill="1" applyBorder="1" applyAlignment="1" applyProtection="1">
      <alignment horizontal="center" wrapText="1"/>
      <protection locked="0"/>
    </xf>
    <xf numFmtId="2" fontId="84" fillId="0" borderId="1" xfId="87" applyNumberFormat="1" applyFont="1" applyFill="1" applyBorder="1" applyAlignment="1" applyProtection="1">
      <alignment vertical="center" wrapText="1"/>
      <protection locked="0"/>
    </xf>
    <xf numFmtId="0" fontId="134" fillId="0" borderId="1" xfId="4" applyFont="1" applyFill="1" applyBorder="1" applyAlignment="1" applyProtection="1">
      <alignment vertical="center" wrapText="1"/>
      <protection locked="0"/>
    </xf>
    <xf numFmtId="0" fontId="134" fillId="0" borderId="1" xfId="4" applyFont="1" applyFill="1" applyBorder="1" applyAlignment="1" applyProtection="1">
      <alignment horizontal="left" vertical="center" wrapText="1"/>
      <protection locked="0"/>
    </xf>
    <xf numFmtId="0" fontId="57" fillId="0" borderId="1" xfId="4" applyFont="1" applyFill="1" applyBorder="1" applyAlignment="1" applyProtection="1">
      <alignment vertical="center"/>
    </xf>
    <xf numFmtId="0" fontId="82" fillId="0" borderId="5" xfId="0" applyFont="1" applyFill="1" applyBorder="1" applyAlignment="1" applyProtection="1">
      <alignment horizontal="left" vertical="center" wrapText="1"/>
      <protection locked="0"/>
    </xf>
    <xf numFmtId="0" fontId="82" fillId="0" borderId="1" xfId="0" applyFont="1" applyFill="1" applyBorder="1" applyAlignment="1" applyProtection="1">
      <alignment horizontal="center" vertical="center"/>
      <protection locked="0"/>
    </xf>
    <xf numFmtId="0" fontId="84" fillId="0" borderId="1" xfId="87" applyFont="1" applyFill="1" applyBorder="1" applyAlignment="1" applyProtection="1">
      <alignment vertical="center"/>
      <protection locked="0"/>
    </xf>
    <xf numFmtId="0" fontId="84" fillId="0" borderId="5" xfId="87" applyFont="1" applyFill="1" applyBorder="1" applyAlignment="1" applyProtection="1">
      <alignment horizontal="left" vertical="center" wrapText="1"/>
      <protection locked="0"/>
    </xf>
    <xf numFmtId="0" fontId="82" fillId="0" borderId="1" xfId="0" applyFont="1" applyFill="1" applyBorder="1" applyAlignment="1" applyProtection="1">
      <alignment horizontal="center" wrapText="1"/>
      <protection locked="0"/>
    </xf>
    <xf numFmtId="0" fontId="57" fillId="0" borderId="1" xfId="88" applyFont="1" applyFill="1" applyBorder="1" applyAlignment="1" applyProtection="1">
      <alignment vertical="center"/>
    </xf>
    <xf numFmtId="0" fontId="78" fillId="0" borderId="5" xfId="87" applyFont="1" applyFill="1" applyBorder="1" applyAlignment="1" applyProtection="1">
      <alignment horizontal="left" vertical="center" wrapText="1"/>
      <protection locked="0"/>
    </xf>
    <xf numFmtId="0" fontId="36" fillId="0" borderId="1" xfId="9" applyFont="1" applyFill="1" applyBorder="1" applyAlignment="1" applyProtection="1">
      <alignment horizontal="center" vertical="center" wrapText="1"/>
      <protection locked="0"/>
    </xf>
    <xf numFmtId="0" fontId="36" fillId="0" borderId="5" xfId="9" applyFont="1" applyFill="1" applyBorder="1" applyAlignment="1" applyProtection="1">
      <alignment horizontal="left" vertical="center" wrapText="1"/>
      <protection locked="0"/>
    </xf>
    <xf numFmtId="0" fontId="57" fillId="0" borderId="3" xfId="4" applyFont="1" applyFill="1" applyBorder="1" applyAlignment="1" applyProtection="1">
      <alignment vertical="center" wrapText="1"/>
    </xf>
    <xf numFmtId="0" fontId="57" fillId="0" borderId="1" xfId="0" applyFont="1" applyFill="1" applyBorder="1" applyAlignment="1" applyProtection="1">
      <alignment horizontal="center" vertical="center"/>
      <protection locked="0"/>
    </xf>
    <xf numFmtId="0" fontId="36" fillId="0" borderId="1" xfId="38" applyFont="1" applyFill="1" applyBorder="1" applyAlignment="1" applyProtection="1">
      <alignment horizontal="center" vertical="center" wrapText="1"/>
      <protection locked="0"/>
    </xf>
    <xf numFmtId="0" fontId="36" fillId="0" borderId="1" xfId="9" applyFont="1" applyFill="1" applyBorder="1" applyAlignment="1" applyProtection="1">
      <alignment vertical="center" wrapText="1"/>
      <protection locked="0"/>
    </xf>
    <xf numFmtId="0" fontId="57" fillId="0" borderId="1" xfId="38" applyFont="1" applyFill="1" applyBorder="1" applyAlignment="1" applyProtection="1">
      <alignment horizontal="center" vertical="center" wrapText="1"/>
      <protection locked="0"/>
    </xf>
    <xf numFmtId="2" fontId="82" fillId="0" borderId="16" xfId="4" applyNumberFormat="1" applyFont="1" applyFill="1" applyBorder="1" applyAlignment="1" applyProtection="1">
      <alignment horizontal="left" vertical="center" wrapText="1"/>
      <protection locked="0"/>
    </xf>
    <xf numFmtId="0" fontId="57" fillId="0" borderId="1" xfId="9" applyFont="1" applyFill="1" applyBorder="1" applyAlignment="1" applyProtection="1">
      <alignment horizontal="left" vertical="center"/>
    </xf>
    <xf numFmtId="0" fontId="78" fillId="0" borderId="2" xfId="9" applyFont="1" applyFill="1" applyBorder="1" applyAlignment="1" applyProtection="1">
      <alignment vertical="center" wrapText="1"/>
      <protection locked="0"/>
    </xf>
    <xf numFmtId="0" fontId="84" fillId="0" borderId="1" xfId="9" applyFont="1" applyFill="1" applyBorder="1" applyAlignment="1" applyProtection="1">
      <alignment vertical="center" wrapText="1"/>
      <protection locked="0"/>
    </xf>
    <xf numFmtId="0" fontId="82" fillId="0" borderId="5" xfId="11" applyFont="1" applyFill="1" applyBorder="1" applyAlignment="1" applyProtection="1">
      <alignment horizontal="left" vertical="center" wrapText="1"/>
      <protection locked="0"/>
    </xf>
    <xf numFmtId="2" fontId="57" fillId="0" borderId="1" xfId="8" applyNumberFormat="1" applyFont="1" applyFill="1" applyBorder="1" applyAlignment="1" applyProtection="1">
      <alignment vertical="center" wrapText="1"/>
    </xf>
    <xf numFmtId="2" fontId="79" fillId="0" borderId="1" xfId="8" applyNumberFormat="1" applyFont="1" applyFill="1" applyBorder="1" applyAlignment="1" applyProtection="1">
      <alignment vertical="center" wrapText="1"/>
    </xf>
    <xf numFmtId="0" fontId="82" fillId="0" borderId="5" xfId="8" applyFont="1" applyFill="1" applyBorder="1" applyAlignment="1" applyProtection="1">
      <alignment horizontal="left" vertical="center" wrapText="1"/>
      <protection locked="0"/>
    </xf>
    <xf numFmtId="0" fontId="38" fillId="0" borderId="1" xfId="9" applyFont="1" applyFill="1" applyBorder="1" applyAlignment="1" applyProtection="1">
      <alignment vertical="center" wrapText="1"/>
      <protection locked="0"/>
    </xf>
    <xf numFmtId="0" fontId="38" fillId="0" borderId="5" xfId="9" applyFont="1" applyFill="1" applyBorder="1" applyAlignment="1" applyProtection="1">
      <alignment horizontal="left" vertical="center" wrapText="1"/>
      <protection locked="0"/>
    </xf>
    <xf numFmtId="0" fontId="82" fillId="0" borderId="1" xfId="0" applyFont="1" applyFill="1" applyBorder="1" applyAlignment="1" applyProtection="1">
      <alignment horizontal="center" vertical="center"/>
    </xf>
    <xf numFmtId="0" fontId="37" fillId="0" borderId="1" xfId="9" applyFont="1" applyFill="1" applyBorder="1" applyAlignment="1" applyProtection="1">
      <alignment horizontal="left" vertical="center" wrapText="1"/>
      <protection locked="0"/>
    </xf>
    <xf numFmtId="0" fontId="37" fillId="0" borderId="5" xfId="9" applyFont="1" applyFill="1" applyBorder="1" applyAlignment="1" applyProtection="1">
      <alignment horizontal="left" vertical="center" wrapText="1"/>
      <protection locked="0"/>
    </xf>
    <xf numFmtId="0" fontId="134" fillId="0" borderId="1" xfId="4" applyFont="1" applyFill="1" applyBorder="1" applyAlignment="1" applyProtection="1">
      <alignment horizontal="right" vertical="center" wrapText="1"/>
      <protection locked="0"/>
    </xf>
    <xf numFmtId="0" fontId="138" fillId="0" borderId="1" xfId="4" applyFont="1" applyFill="1" applyBorder="1" applyAlignment="1" applyProtection="1">
      <alignment horizontal="right" vertical="center" wrapText="1"/>
      <protection locked="0"/>
    </xf>
    <xf numFmtId="0" fontId="134" fillId="0" borderId="1" xfId="62" applyFont="1" applyFill="1" applyBorder="1" applyAlignment="1" applyProtection="1">
      <alignment horizontal="left" vertical="center" wrapText="1"/>
      <protection locked="0"/>
    </xf>
    <xf numFmtId="0" fontId="134" fillId="0" borderId="5" xfId="69" applyFont="1" applyFill="1" applyBorder="1" applyAlignment="1" applyProtection="1">
      <alignment horizontal="left" vertical="center" wrapText="1"/>
      <protection locked="0"/>
    </xf>
    <xf numFmtId="0" fontId="134" fillId="0" borderId="1" xfId="62" applyFont="1" applyFill="1" applyBorder="1" applyAlignment="1" applyProtection="1">
      <alignment horizontal="right" vertical="center"/>
      <protection locked="0"/>
    </xf>
    <xf numFmtId="0" fontId="36" fillId="0" borderId="1" xfId="82" applyFont="1" applyFill="1" applyBorder="1" applyAlignment="1" applyProtection="1">
      <alignment vertical="center"/>
      <protection locked="0"/>
    </xf>
    <xf numFmtId="0" fontId="36" fillId="0" borderId="5" xfId="82" applyFont="1" applyFill="1" applyBorder="1" applyAlignment="1" applyProtection="1">
      <alignment horizontal="left" vertical="center" wrapText="1"/>
      <protection locked="0"/>
    </xf>
    <xf numFmtId="0" fontId="57" fillId="0" borderId="5" xfId="0" applyFont="1" applyFill="1" applyBorder="1" applyAlignment="1" applyProtection="1">
      <alignment horizontal="left" vertical="center" wrapText="1"/>
      <protection locked="0"/>
    </xf>
    <xf numFmtId="0" fontId="36" fillId="0" borderId="5" xfId="0" applyFont="1" applyFill="1" applyBorder="1" applyAlignment="1" applyProtection="1">
      <alignment horizontal="left" vertical="center" wrapText="1"/>
      <protection locked="0"/>
    </xf>
    <xf numFmtId="167" fontId="36" fillId="0" borderId="1" xfId="14" applyNumberFormat="1" applyFont="1" applyFill="1" applyBorder="1" applyAlignment="1" applyProtection="1">
      <alignment vertical="center" wrapText="1"/>
      <protection locked="0"/>
    </xf>
    <xf numFmtId="0" fontId="36" fillId="0" borderId="1" xfId="82" applyFont="1" applyFill="1" applyBorder="1" applyAlignment="1" applyProtection="1">
      <alignment horizontal="center" vertical="center" wrapText="1"/>
      <protection locked="0"/>
    </xf>
    <xf numFmtId="0" fontId="36" fillId="0" borderId="1" xfId="0" applyFont="1" applyFill="1" applyBorder="1" applyAlignment="1" applyProtection="1">
      <alignment vertical="center" wrapText="1"/>
      <protection locked="0"/>
    </xf>
    <xf numFmtId="0" fontId="136" fillId="0" borderId="1" xfId="82" applyFont="1" applyFill="1" applyBorder="1" applyAlignment="1" applyProtection="1">
      <alignment vertical="center"/>
      <protection locked="0"/>
    </xf>
    <xf numFmtId="0" fontId="136" fillId="0" borderId="5" xfId="82" applyFont="1" applyFill="1" applyBorder="1" applyAlignment="1" applyProtection="1">
      <alignment horizontal="left" vertical="center" wrapText="1"/>
      <protection locked="0"/>
    </xf>
    <xf numFmtId="0" fontId="37" fillId="0" borderId="1" xfId="82" applyFont="1" applyFill="1" applyBorder="1" applyAlignment="1" applyProtection="1">
      <alignment vertical="center"/>
      <protection locked="0"/>
    </xf>
    <xf numFmtId="0" fontId="37" fillId="0" borderId="5" xfId="82" applyFont="1" applyFill="1" applyBorder="1" applyAlignment="1" applyProtection="1">
      <alignment horizontal="left" vertical="center"/>
      <protection locked="0"/>
    </xf>
    <xf numFmtId="0" fontId="37" fillId="0" borderId="1" xfId="85" applyFont="1" applyFill="1" applyBorder="1" applyAlignment="1" applyProtection="1">
      <alignment vertical="center" wrapText="1"/>
      <protection locked="0"/>
    </xf>
    <xf numFmtId="0" fontId="37" fillId="0" borderId="5" xfId="60" applyFont="1" applyFill="1" applyBorder="1" applyAlignment="1" applyProtection="1">
      <alignment horizontal="left" vertical="center" wrapText="1"/>
      <protection locked="0"/>
    </xf>
    <xf numFmtId="167" fontId="34" fillId="0" borderId="1" xfId="8" applyNumberFormat="1" applyFont="1" applyFill="1" applyBorder="1" applyAlignment="1" applyProtection="1">
      <alignment horizontal="right" vertical="center" wrapText="1"/>
      <protection locked="0"/>
    </xf>
    <xf numFmtId="0" fontId="34" fillId="0" borderId="1" xfId="8" applyFont="1" applyFill="1" applyBorder="1" applyAlignment="1" applyProtection="1">
      <alignment vertical="center"/>
      <protection locked="0"/>
    </xf>
    <xf numFmtId="0" fontId="37" fillId="0" borderId="1" xfId="11" applyFont="1" applyFill="1" applyBorder="1" applyAlignment="1" applyProtection="1">
      <alignment vertical="center"/>
      <protection locked="0"/>
    </xf>
    <xf numFmtId="0" fontId="37" fillId="0" borderId="1" xfId="11" applyFont="1" applyFill="1" applyBorder="1" applyAlignment="1" applyProtection="1">
      <alignment horizontal="left" vertical="center" wrapText="1"/>
      <protection locked="0"/>
    </xf>
    <xf numFmtId="0" fontId="79" fillId="0" borderId="1" xfId="97" applyFont="1" applyFill="1" applyBorder="1" applyAlignment="1" applyProtection="1">
      <alignment horizontal="center" vertical="center"/>
    </xf>
    <xf numFmtId="0" fontId="36" fillId="0" borderId="1" xfId="97" applyFont="1" applyFill="1" applyBorder="1" applyAlignment="1" applyProtection="1">
      <alignment horizontal="center" vertical="center"/>
      <protection locked="0"/>
    </xf>
    <xf numFmtId="2" fontId="36" fillId="0" borderId="5" xfId="48" applyNumberFormat="1" applyFont="1" applyFill="1" applyBorder="1" applyAlignment="1" applyProtection="1">
      <alignment horizontal="left" vertical="center" wrapText="1"/>
      <protection locked="0"/>
    </xf>
    <xf numFmtId="0" fontId="79" fillId="0" borderId="1" xfId="5" applyFont="1" applyFill="1" applyBorder="1" applyAlignment="1" applyProtection="1">
      <alignment horizontal="center" vertical="center" wrapText="1"/>
    </xf>
    <xf numFmtId="0" fontId="38" fillId="0" borderId="1" xfId="97" applyFont="1" applyFill="1" applyBorder="1" applyAlignment="1" applyProtection="1">
      <alignment horizontal="center" vertical="center"/>
      <protection locked="0"/>
    </xf>
    <xf numFmtId="0" fontId="36" fillId="0" borderId="1" xfId="5" applyFont="1" applyFill="1" applyBorder="1" applyAlignment="1" applyProtection="1">
      <alignment horizontal="center" vertical="center" wrapText="1"/>
      <protection locked="0"/>
    </xf>
    <xf numFmtId="0" fontId="140" fillId="0" borderId="1" xfId="0" applyFont="1" applyFill="1" applyBorder="1" applyAlignment="1" applyProtection="1">
      <alignment horizontal="left" vertical="center" wrapText="1"/>
      <protection locked="0"/>
    </xf>
    <xf numFmtId="0" fontId="32" fillId="0" borderId="1" xfId="9" applyFont="1" applyFill="1" applyBorder="1" applyAlignment="1" applyProtection="1">
      <alignment horizontal="left" vertical="center" wrapText="1"/>
      <protection locked="0"/>
    </xf>
    <xf numFmtId="0" fontId="32" fillId="0" borderId="1" xfId="9" applyFont="1" applyFill="1" applyBorder="1" applyAlignment="1" applyProtection="1">
      <alignment horizontal="center" vertical="center" wrapText="1"/>
      <protection locked="0"/>
    </xf>
    <xf numFmtId="167" fontId="79" fillId="0" borderId="1" xfId="9" applyNumberFormat="1" applyFont="1" applyFill="1" applyBorder="1" applyAlignment="1" applyProtection="1">
      <alignment vertical="center" wrapText="1"/>
      <protection locked="0"/>
    </xf>
    <xf numFmtId="2" fontId="31" fillId="0" borderId="1" xfId="4" applyNumberFormat="1" applyFont="1" applyFill="1" applyBorder="1" applyAlignment="1" applyProtection="1">
      <alignment horizontal="left" vertical="center" wrapText="1"/>
      <protection locked="0"/>
    </xf>
    <xf numFmtId="0" fontId="31" fillId="0" borderId="1" xfId="5" applyFont="1" applyBorder="1" applyAlignment="1" applyProtection="1">
      <alignment horizontal="left" vertical="center" wrapText="1"/>
    </xf>
    <xf numFmtId="0" fontId="90" fillId="0" borderId="1" xfId="0" applyFont="1" applyBorder="1" applyAlignment="1" applyProtection="1">
      <alignment horizontal="left" vertical="center" wrapText="1"/>
      <protection locked="0"/>
    </xf>
    <xf numFmtId="0" fontId="31" fillId="0" borderId="1" xfId="8" applyFont="1" applyFill="1" applyBorder="1" applyAlignment="1" applyProtection="1">
      <alignment horizontal="left" vertical="center" wrapText="1"/>
      <protection locked="0"/>
    </xf>
    <xf numFmtId="167" fontId="84" fillId="0" borderId="1" xfId="9" applyNumberFormat="1" applyFont="1" applyFill="1" applyBorder="1" applyAlignment="1" applyProtection="1">
      <alignment horizontal="center" vertical="center" wrapText="1"/>
      <protection locked="0"/>
    </xf>
    <xf numFmtId="0" fontId="50" fillId="0" borderId="1" xfId="48" applyFont="1" applyFill="1" applyBorder="1" applyAlignment="1" applyProtection="1">
      <alignment vertical="center" wrapText="1"/>
      <protection locked="0"/>
    </xf>
    <xf numFmtId="0" fontId="57" fillId="0" borderId="1" xfId="48" applyFont="1" applyFill="1" applyBorder="1" applyAlignment="1" applyProtection="1">
      <alignment vertical="center" wrapText="1"/>
      <protection locked="0"/>
    </xf>
    <xf numFmtId="2" fontId="38" fillId="0" borderId="1" xfId="48" applyNumberFormat="1" applyFont="1" applyFill="1" applyBorder="1" applyAlignment="1" applyProtection="1">
      <alignment horizontal="left" vertical="center"/>
      <protection locked="0"/>
    </xf>
    <xf numFmtId="0" fontId="36" fillId="0" borderId="1" xfId="9" applyFont="1" applyFill="1" applyBorder="1" applyAlignment="1" applyProtection="1">
      <alignment horizontal="left" vertical="center" wrapText="1"/>
      <protection locked="0"/>
    </xf>
    <xf numFmtId="0" fontId="30" fillId="0" borderId="5" xfId="9" applyFont="1" applyBorder="1" applyAlignment="1" applyProtection="1">
      <alignment horizontal="left" vertical="center" wrapText="1"/>
      <protection locked="0"/>
    </xf>
    <xf numFmtId="2" fontId="30" fillId="0" borderId="1" xfId="48" applyNumberFormat="1" applyFont="1" applyBorder="1" applyAlignment="1" applyProtection="1">
      <alignment horizontal="left" vertical="center" wrapText="1"/>
      <protection locked="0"/>
    </xf>
    <xf numFmtId="0" fontId="91" fillId="0" borderId="0" xfId="0" applyFont="1" applyAlignment="1">
      <alignment horizontal="justify" vertical="center"/>
    </xf>
    <xf numFmtId="0" fontId="82" fillId="0" borderId="1" xfId="8" applyFont="1" applyFill="1" applyBorder="1" applyAlignment="1" applyProtection="1">
      <alignment horizontal="center" vertical="center" wrapText="1"/>
    </xf>
    <xf numFmtId="167" fontId="26" fillId="0" borderId="1" xfId="9" applyNumberFormat="1" applyFont="1" applyFill="1" applyBorder="1" applyAlignment="1" applyProtection="1">
      <alignment horizontal="right" vertical="center" wrapText="1"/>
      <protection locked="0"/>
    </xf>
    <xf numFmtId="0" fontId="26" fillId="0" borderId="1" xfId="9" applyFont="1" applyFill="1" applyBorder="1" applyAlignment="1" applyProtection="1">
      <alignment vertical="center" wrapText="1"/>
      <protection locked="0"/>
    </xf>
    <xf numFmtId="0" fontId="26" fillId="0" borderId="1" xfId="8" applyFont="1" applyFill="1" applyBorder="1" applyAlignment="1" applyProtection="1">
      <alignment horizontal="center" vertical="center" wrapText="1"/>
      <protection locked="0"/>
    </xf>
    <xf numFmtId="0" fontId="96" fillId="0" borderId="1" xfId="0" applyFont="1" applyFill="1" applyBorder="1" applyAlignment="1" applyProtection="1">
      <alignment vertical="center"/>
    </xf>
    <xf numFmtId="0" fontId="46" fillId="0" borderId="1" xfId="4" applyFont="1" applyFill="1" applyBorder="1" applyAlignment="1" applyProtection="1">
      <alignment horizontal="left" vertical="center" wrapText="1"/>
    </xf>
    <xf numFmtId="2" fontId="82" fillId="0" borderId="1" xfId="4" applyNumberFormat="1" applyFont="1" applyFill="1" applyBorder="1" applyAlignment="1" applyProtection="1">
      <alignment horizontal="left" vertical="center" wrapText="1"/>
    </xf>
    <xf numFmtId="0" fontId="55" fillId="0" borderId="1" xfId="8" applyFont="1" applyFill="1" applyBorder="1" applyAlignment="1" applyProtection="1">
      <alignment horizontal="center" vertical="center" wrapText="1"/>
    </xf>
    <xf numFmtId="0" fontId="50" fillId="0" borderId="1" xfId="8" applyFont="1" applyFill="1" applyBorder="1" applyAlignment="1" applyProtection="1">
      <alignment horizontal="center" vertical="center" wrapText="1"/>
      <protection locked="0"/>
    </xf>
    <xf numFmtId="0" fontId="55" fillId="0" borderId="1" xfId="8" applyFont="1" applyFill="1" applyBorder="1" applyAlignment="1" applyProtection="1">
      <alignment horizontal="left" vertical="center" wrapText="1"/>
    </xf>
    <xf numFmtId="0" fontId="29" fillId="0" borderId="1" xfId="8" applyFont="1" applyFill="1" applyBorder="1" applyAlignment="1" applyProtection="1">
      <alignment horizontal="left" vertical="center"/>
      <protection locked="0"/>
    </xf>
    <xf numFmtId="0" fontId="86" fillId="0" borderId="1" xfId="8" applyFont="1" applyFill="1" applyBorder="1" applyAlignment="1" applyProtection="1">
      <alignment horizontal="center" vertical="center" wrapText="1"/>
      <protection locked="0"/>
    </xf>
    <xf numFmtId="0" fontId="79" fillId="0" borderId="0" xfId="87" applyFont="1" applyFill="1" applyAlignment="1" applyProtection="1">
      <alignment vertical="center"/>
      <protection locked="0"/>
    </xf>
    <xf numFmtId="0" fontId="82" fillId="0" borderId="1" xfId="62" applyFont="1" applyFill="1" applyBorder="1" applyAlignment="1" applyProtection="1">
      <alignment horizontal="center" vertical="center" wrapText="1"/>
    </xf>
    <xf numFmtId="0" fontId="26" fillId="0" borderId="1" xfId="9" applyFont="1" applyBorder="1" applyAlignment="1" applyProtection="1">
      <alignment vertical="center" wrapText="1"/>
      <protection locked="0"/>
    </xf>
    <xf numFmtId="0" fontId="29" fillId="0" borderId="5" xfId="82" applyFont="1" applyFill="1" applyBorder="1" applyAlignment="1" applyProtection="1">
      <alignment horizontal="left" vertical="center" wrapText="1"/>
      <protection locked="0"/>
    </xf>
    <xf numFmtId="0" fontId="27" fillId="0" borderId="1" xfId="8" applyFont="1" applyFill="1" applyBorder="1" applyAlignment="1" applyProtection="1">
      <alignment horizontal="left" vertical="center" wrapText="1"/>
      <protection locked="0"/>
    </xf>
    <xf numFmtId="0" fontId="26" fillId="0" borderId="5" xfId="0" applyFont="1" applyFill="1" applyBorder="1" applyAlignment="1" applyProtection="1">
      <alignment horizontal="left" vertical="center" wrapText="1"/>
      <protection locked="0"/>
    </xf>
    <xf numFmtId="0" fontId="26" fillId="0" borderId="5" xfId="82" applyFont="1" applyFill="1" applyBorder="1" applyAlignment="1" applyProtection="1">
      <alignment horizontal="left" vertical="center" wrapText="1"/>
      <protection locked="0"/>
    </xf>
    <xf numFmtId="2" fontId="50" fillId="0" borderId="1" xfId="4" applyNumberFormat="1" applyFont="1" applyFill="1" applyBorder="1" applyAlignment="1" applyProtection="1">
      <alignment horizontal="left" vertical="center" wrapText="1"/>
      <protection locked="0"/>
    </xf>
    <xf numFmtId="167" fontId="36" fillId="0" borderId="1" xfId="9" applyNumberFormat="1" applyFont="1" applyFill="1" applyBorder="1" applyAlignment="1" applyProtection="1">
      <alignment vertical="center" wrapText="1"/>
      <protection locked="0"/>
    </xf>
    <xf numFmtId="2" fontId="36" fillId="0" borderId="1" xfId="4" applyNumberFormat="1" applyFont="1" applyFill="1" applyBorder="1" applyAlignment="1" applyProtection="1">
      <alignment horizontal="left" vertical="center" wrapText="1"/>
      <protection locked="0"/>
    </xf>
    <xf numFmtId="0" fontId="111" fillId="0" borderId="1" xfId="8" applyFont="1" applyFill="1" applyBorder="1" applyAlignment="1" applyProtection="1">
      <alignment horizontal="left" vertical="center" wrapText="1"/>
      <protection locked="0"/>
    </xf>
    <xf numFmtId="0" fontId="96" fillId="0" borderId="0" xfId="0" applyFont="1" applyFill="1" applyAlignment="1" applyProtection="1">
      <alignment horizontal="justify" vertical="center"/>
      <protection locked="0"/>
    </xf>
    <xf numFmtId="0" fontId="57" fillId="0" borderId="1" xfId="0" applyFont="1" applyFill="1" applyBorder="1" applyAlignment="1" applyProtection="1">
      <alignment horizontal="center" vertical="center" wrapText="1"/>
      <protection locked="0"/>
    </xf>
    <xf numFmtId="0" fontId="82" fillId="0" borderId="5" xfId="9" applyNumberFormat="1" applyFont="1" applyFill="1" applyBorder="1" applyAlignment="1" applyProtection="1">
      <alignment horizontal="left" vertical="center" wrapText="1"/>
      <protection locked="0"/>
    </xf>
    <xf numFmtId="0" fontId="82" fillId="0" borderId="1" xfId="87" applyFont="1" applyFill="1" applyBorder="1" applyAlignment="1" applyProtection="1">
      <alignment horizontal="left" vertical="center"/>
      <protection locked="0"/>
    </xf>
    <xf numFmtId="0" fontId="28" fillId="0" borderId="1" xfId="8" applyFont="1" applyFill="1" applyBorder="1" applyAlignment="1" applyProtection="1">
      <alignment horizontal="center" vertical="center" wrapText="1"/>
      <protection locked="0"/>
    </xf>
    <xf numFmtId="0" fontId="82" fillId="0" borderId="5" xfId="87" applyNumberFormat="1" applyFont="1" applyFill="1" applyBorder="1" applyAlignment="1" applyProtection="1">
      <alignment horizontal="left" vertical="center" wrapText="1"/>
      <protection locked="0"/>
    </xf>
    <xf numFmtId="0" fontId="35" fillId="0" borderId="1" xfId="9" applyFont="1" applyFill="1" applyBorder="1" applyAlignment="1" applyProtection="1">
      <alignment vertical="center" wrapText="1"/>
      <protection locked="0"/>
    </xf>
    <xf numFmtId="0" fontId="82" fillId="0" borderId="1" xfId="0" applyNumberFormat="1" applyFont="1" applyFill="1" applyBorder="1" applyAlignment="1" applyProtection="1">
      <alignment horizontal="left" vertical="center" wrapText="1"/>
      <protection locked="0"/>
    </xf>
    <xf numFmtId="0" fontId="79" fillId="0" borderId="1" xfId="0" applyFont="1" applyFill="1" applyBorder="1" applyAlignment="1">
      <alignment horizontal="center" vertical="center" wrapText="1"/>
    </xf>
    <xf numFmtId="0" fontId="25" fillId="0" borderId="1" xfId="8" applyFont="1" applyBorder="1" applyAlignment="1" applyProtection="1">
      <alignment horizontal="center" vertical="center" wrapText="1"/>
      <protection locked="0"/>
    </xf>
    <xf numFmtId="0" fontId="25" fillId="0" borderId="1" xfId="8" applyFont="1" applyFill="1" applyBorder="1" applyAlignment="1" applyProtection="1">
      <alignment horizontal="center" vertical="center" wrapText="1"/>
      <protection locked="0"/>
    </xf>
    <xf numFmtId="2" fontId="79" fillId="0" borderId="1" xfId="9" applyNumberFormat="1" applyFont="1" applyBorder="1" applyAlignment="1" applyProtection="1">
      <alignment vertical="center" wrapText="1"/>
      <protection locked="0"/>
    </xf>
    <xf numFmtId="0" fontId="25" fillId="0" borderId="1" xfId="9" applyFont="1" applyFill="1" applyBorder="1" applyAlignment="1" applyProtection="1">
      <alignment vertical="center" wrapText="1"/>
      <protection locked="0"/>
    </xf>
    <xf numFmtId="0" fontId="25" fillId="0" borderId="1" xfId="9" applyFont="1" applyFill="1" applyBorder="1" applyAlignment="1" applyProtection="1">
      <alignment horizontal="center" vertical="center" wrapText="1"/>
      <protection locked="0"/>
    </xf>
    <xf numFmtId="0" fontId="25" fillId="0" borderId="1" xfId="9" applyFont="1" applyFill="1" applyBorder="1" applyAlignment="1" applyProtection="1">
      <alignment horizontal="left" vertical="center" wrapText="1"/>
      <protection locked="0"/>
    </xf>
    <xf numFmtId="0" fontId="25" fillId="0" borderId="1" xfId="9" applyFont="1" applyBorder="1" applyAlignment="1" applyProtection="1">
      <alignment horizontal="left" vertical="center" wrapText="1"/>
      <protection locked="0"/>
    </xf>
    <xf numFmtId="0" fontId="25" fillId="0" borderId="1" xfId="9" applyFont="1" applyBorder="1" applyAlignment="1" applyProtection="1">
      <alignment horizontal="center" vertical="center" wrapText="1"/>
      <protection locked="0"/>
    </xf>
    <xf numFmtId="167" fontId="79" fillId="0" borderId="1" xfId="9" applyNumberFormat="1" applyFont="1" applyBorder="1" applyAlignment="1" applyProtection="1">
      <alignment vertical="center" wrapText="1"/>
      <protection locked="0"/>
    </xf>
    <xf numFmtId="167" fontId="79" fillId="0" borderId="1" xfId="9" applyNumberFormat="1" applyFont="1" applyFill="1" applyBorder="1" applyAlignment="1" applyProtection="1">
      <alignment horizontal="center" vertical="center" wrapText="1"/>
      <protection locked="0"/>
    </xf>
    <xf numFmtId="0" fontId="24" fillId="0" borderId="1" xfId="0" applyFont="1" applyFill="1" applyBorder="1" applyAlignment="1" applyProtection="1">
      <alignment vertical="center" wrapText="1"/>
      <protection locked="0"/>
    </xf>
    <xf numFmtId="0" fontId="24" fillId="0" borderId="1" xfId="0" applyFont="1" applyFill="1" applyBorder="1" applyAlignment="1" applyProtection="1">
      <alignment horizontal="center" vertical="center" wrapText="1"/>
      <protection locked="0"/>
    </xf>
    <xf numFmtId="2" fontId="24" fillId="0" borderId="1" xfId="0" applyNumberFormat="1" applyFont="1" applyFill="1" applyBorder="1" applyAlignment="1" applyProtection="1">
      <alignment horizontal="right" vertical="center" wrapText="1"/>
      <protection locked="0"/>
    </xf>
    <xf numFmtId="2" fontId="79" fillId="0" borderId="1" xfId="0" applyNumberFormat="1" applyFont="1" applyFill="1" applyBorder="1" applyAlignment="1" applyProtection="1">
      <alignment vertical="center" wrapText="1"/>
      <protection locked="0"/>
    </xf>
    <xf numFmtId="0" fontId="24" fillId="0" borderId="1" xfId="8" applyFont="1" applyFill="1" applyBorder="1" applyAlignment="1" applyProtection="1">
      <alignment vertical="center" wrapText="1"/>
      <protection locked="0"/>
    </xf>
    <xf numFmtId="0" fontId="24" fillId="0" borderId="1" xfId="8" applyFont="1" applyFill="1" applyBorder="1" applyAlignment="1" applyProtection="1">
      <alignment horizontal="center" vertical="center" wrapText="1"/>
      <protection locked="0"/>
    </xf>
    <xf numFmtId="167" fontId="24" fillId="0" borderId="1" xfId="8" applyNumberFormat="1" applyFont="1" applyFill="1" applyBorder="1" applyAlignment="1" applyProtection="1">
      <alignment horizontal="right" vertical="center" wrapText="1"/>
      <protection locked="0"/>
    </xf>
    <xf numFmtId="0" fontId="24" fillId="0" borderId="1" xfId="8" applyFont="1" applyBorder="1" applyAlignment="1" applyProtection="1">
      <alignment vertical="center" wrapText="1"/>
      <protection locked="0"/>
    </xf>
    <xf numFmtId="0" fontId="24" fillId="0" borderId="1" xfId="8" applyFont="1" applyBorder="1" applyAlignment="1" applyProtection="1">
      <alignment horizontal="center" vertical="center" wrapText="1"/>
      <protection locked="0"/>
    </xf>
    <xf numFmtId="167" fontId="24" fillId="0" borderId="1" xfId="8" applyNumberFormat="1" applyFont="1" applyBorder="1" applyAlignment="1" applyProtection="1">
      <alignment horizontal="right" vertical="center" wrapText="1"/>
      <protection locked="0"/>
    </xf>
    <xf numFmtId="2" fontId="79" fillId="0" borderId="1" xfId="8" applyNumberFormat="1" applyFont="1" applyBorder="1" applyAlignment="1" applyProtection="1">
      <alignment vertical="center" wrapText="1"/>
      <protection locked="0"/>
    </xf>
    <xf numFmtId="0" fontId="24" fillId="0" borderId="1" xfId="9" applyFont="1" applyFill="1" applyBorder="1" applyAlignment="1" applyProtection="1">
      <alignment vertical="center" wrapText="1"/>
      <protection locked="0"/>
    </xf>
    <xf numFmtId="0" fontId="24" fillId="27" borderId="1" xfId="8" applyFont="1" applyFill="1" applyBorder="1" applyAlignment="1" applyProtection="1">
      <alignment vertical="center" wrapText="1"/>
      <protection locked="0"/>
    </xf>
    <xf numFmtId="0" fontId="24" fillId="0" borderId="1" xfId="8" applyFont="1" applyFill="1" applyBorder="1" applyAlignment="1" applyProtection="1">
      <alignment horizontal="left" vertical="center" wrapText="1"/>
      <protection locked="0"/>
    </xf>
    <xf numFmtId="0" fontId="76" fillId="0" borderId="1" xfId="0" applyFont="1" applyFill="1" applyBorder="1" applyAlignment="1" applyProtection="1">
      <alignment horizontal="center" vertical="center" wrapText="1"/>
      <protection locked="0"/>
    </xf>
    <xf numFmtId="0" fontId="76" fillId="0" borderId="1" xfId="0" applyFont="1" applyFill="1" applyBorder="1" applyAlignment="1" applyProtection="1">
      <alignment horizontal="center" vertical="center"/>
      <protection locked="0"/>
    </xf>
    <xf numFmtId="0" fontId="82" fillId="0" borderId="0" xfId="0" applyFont="1" applyFill="1" applyAlignment="1" applyProtection="1">
      <alignment vertical="center" wrapText="1"/>
      <protection locked="0"/>
    </xf>
    <xf numFmtId="0" fontId="23" fillId="0" borderId="1" xfId="8" applyFont="1" applyFill="1" applyBorder="1" applyAlignment="1" applyProtection="1">
      <alignment horizontal="left" vertical="center" wrapText="1"/>
    </xf>
    <xf numFmtId="2" fontId="23" fillId="0" borderId="5" xfId="48" applyNumberFormat="1" applyFont="1" applyFill="1" applyBorder="1" applyAlignment="1" applyProtection="1">
      <alignment horizontal="left" vertical="center" wrapText="1"/>
      <protection locked="0"/>
    </xf>
    <xf numFmtId="0" fontId="57" fillId="13" borderId="1" xfId="8" applyFont="1" applyFill="1" applyBorder="1" applyAlignment="1" applyProtection="1">
      <alignment horizontal="left" vertical="center" wrapText="1"/>
    </xf>
    <xf numFmtId="0" fontId="79" fillId="13" borderId="1" xfId="0" applyFont="1" applyFill="1" applyBorder="1" applyAlignment="1" applyProtection="1">
      <alignment horizontal="center" vertical="center" wrapText="1"/>
    </xf>
    <xf numFmtId="0" fontId="57" fillId="13" borderId="1" xfId="8" applyFont="1" applyFill="1" applyBorder="1" applyAlignment="1" applyProtection="1">
      <alignment horizontal="center" vertical="center" wrapText="1"/>
    </xf>
    <xf numFmtId="0" fontId="50" fillId="13" borderId="1" xfId="9" applyFont="1" applyFill="1" applyBorder="1" applyAlignment="1" applyProtection="1">
      <alignment horizontal="center" vertical="center" wrapText="1"/>
      <protection locked="0"/>
    </xf>
    <xf numFmtId="0" fontId="57" fillId="13" borderId="1" xfId="9" applyFont="1" applyFill="1" applyBorder="1" applyAlignment="1" applyProtection="1">
      <alignment horizontal="center" vertical="center" wrapText="1"/>
      <protection locked="0"/>
    </xf>
    <xf numFmtId="0" fontId="57" fillId="13" borderId="0" xfId="8" applyFont="1" applyFill="1" applyAlignment="1" applyProtection="1">
      <alignment vertical="center" wrapText="1"/>
    </xf>
    <xf numFmtId="0" fontId="100" fillId="13" borderId="1" xfId="9" applyFont="1" applyFill="1" applyBorder="1" applyAlignment="1" applyProtection="1">
      <alignment horizontal="left" vertical="center" wrapText="1"/>
      <protection locked="0"/>
    </xf>
    <xf numFmtId="0" fontId="79" fillId="13" borderId="1" xfId="50" applyFont="1" applyFill="1" applyBorder="1" applyAlignment="1" applyProtection="1">
      <alignment horizontal="left" vertical="center" wrapText="1"/>
    </xf>
    <xf numFmtId="0" fontId="57" fillId="13" borderId="1" xfId="5" applyFont="1" applyFill="1" applyBorder="1" applyAlignment="1" applyProtection="1">
      <alignment horizontal="left" vertical="center" wrapText="1"/>
    </xf>
    <xf numFmtId="0" fontId="57" fillId="13" borderId="1" xfId="97" applyFont="1" applyFill="1" applyBorder="1" applyAlignment="1" applyProtection="1">
      <alignment horizontal="center" vertical="center" wrapText="1"/>
    </xf>
    <xf numFmtId="0" fontId="50" fillId="13" borderId="1" xfId="97" applyFont="1" applyFill="1" applyBorder="1" applyAlignment="1" applyProtection="1">
      <alignment horizontal="center" vertical="center"/>
      <protection locked="0"/>
    </xf>
    <xf numFmtId="0" fontId="57" fillId="13" borderId="1" xfId="97" applyFont="1" applyFill="1" applyBorder="1" applyAlignment="1" applyProtection="1">
      <alignment horizontal="center" vertical="center"/>
      <protection locked="0"/>
    </xf>
    <xf numFmtId="43" fontId="57" fillId="13" borderId="1" xfId="1" applyFont="1" applyFill="1" applyBorder="1" applyAlignment="1" applyProtection="1">
      <alignment horizontal="center" vertical="center" wrapText="1"/>
    </xf>
    <xf numFmtId="0" fontId="57" fillId="13" borderId="1" xfId="8" applyFont="1" applyFill="1" applyBorder="1" applyAlignment="1" applyProtection="1">
      <alignment horizontal="center" vertical="center" wrapText="1"/>
      <protection locked="0"/>
    </xf>
    <xf numFmtId="0" fontId="103" fillId="13" borderId="1" xfId="0" applyFont="1" applyFill="1" applyBorder="1" applyAlignment="1" applyProtection="1">
      <alignment vertical="center" wrapText="1"/>
    </xf>
    <xf numFmtId="0" fontId="57" fillId="13" borderId="0" xfId="97" applyFont="1" applyFill="1" applyAlignment="1" applyProtection="1">
      <alignment vertical="center"/>
    </xf>
    <xf numFmtId="0" fontId="91" fillId="13" borderId="1" xfId="0" applyFont="1" applyFill="1" applyBorder="1" applyAlignment="1" applyProtection="1">
      <alignment horizontal="left" vertical="center" wrapText="1"/>
    </xf>
    <xf numFmtId="0" fontId="57" fillId="13" borderId="1" xfId="40" applyFont="1" applyFill="1" applyBorder="1" applyAlignment="1" applyProtection="1">
      <alignment horizontal="left" vertical="center" wrapText="1"/>
    </xf>
    <xf numFmtId="0" fontId="21" fillId="13" borderId="1" xfId="9" applyFont="1" applyFill="1" applyBorder="1" applyAlignment="1" applyProtection="1">
      <alignment horizontal="left" vertical="center" wrapText="1"/>
      <protection locked="0"/>
    </xf>
    <xf numFmtId="0" fontId="82" fillId="0" borderId="1" xfId="8" applyFont="1" applyFill="1" applyBorder="1" applyAlignment="1" applyProtection="1">
      <alignment horizontal="center" vertical="center" wrapText="1"/>
    </xf>
    <xf numFmtId="0" fontId="79" fillId="0" borderId="1" xfId="4" applyFont="1" applyFill="1" applyBorder="1" applyAlignment="1" applyProtection="1">
      <alignment horizontal="center" vertical="center" wrapText="1"/>
      <protection locked="0"/>
    </xf>
    <xf numFmtId="0" fontId="101" fillId="0" borderId="1" xfId="9" applyFont="1" applyFill="1" applyBorder="1" applyAlignment="1" applyProtection="1">
      <alignment horizontal="left" vertical="center" wrapText="1"/>
      <protection locked="0"/>
    </xf>
    <xf numFmtId="0" fontId="99" fillId="0" borderId="1" xfId="9" applyFont="1" applyFill="1" applyBorder="1" applyAlignment="1" applyProtection="1">
      <alignment horizontal="left" vertical="center" wrapText="1"/>
      <protection locked="0"/>
    </xf>
    <xf numFmtId="0" fontId="86" fillId="11" borderId="1" xfId="0" applyFont="1" applyFill="1" applyBorder="1" applyAlignment="1" applyProtection="1">
      <alignment horizontal="left" vertical="center" wrapText="1"/>
      <protection locked="0"/>
    </xf>
    <xf numFmtId="0" fontId="79" fillId="11" borderId="1" xfId="0" applyFont="1" applyFill="1" applyBorder="1" applyAlignment="1" applyProtection="1">
      <alignment horizontal="left" vertical="center" wrapText="1"/>
      <protection locked="0"/>
    </xf>
    <xf numFmtId="2" fontId="82" fillId="11" borderId="1" xfId="38" applyNumberFormat="1" applyFont="1" applyFill="1" applyBorder="1" applyAlignment="1" applyProtection="1">
      <alignment horizontal="left" vertical="center" wrapText="1"/>
      <protection locked="0"/>
    </xf>
    <xf numFmtId="2" fontId="82" fillId="11" borderId="1" xfId="0" applyNumberFormat="1" applyFont="1" applyFill="1" applyBorder="1" applyAlignment="1" applyProtection="1">
      <alignment vertical="center"/>
      <protection locked="0"/>
    </xf>
    <xf numFmtId="2" fontId="82" fillId="11" borderId="1" xfId="0" applyNumberFormat="1" applyFont="1" applyFill="1" applyBorder="1" applyAlignment="1" applyProtection="1">
      <alignment vertical="center" wrapText="1"/>
      <protection locked="0"/>
    </xf>
    <xf numFmtId="0" fontId="82" fillId="11" borderId="1" xfId="38" applyFont="1" applyFill="1" applyBorder="1" applyAlignment="1" applyProtection="1">
      <alignment vertical="center" wrapText="1"/>
      <protection locked="0"/>
    </xf>
    <xf numFmtId="0" fontId="82" fillId="11" borderId="1" xfId="38" applyFont="1" applyFill="1" applyBorder="1" applyAlignment="1" applyProtection="1">
      <alignment horizontal="left" vertical="center" wrapText="1"/>
      <protection locked="0"/>
    </xf>
    <xf numFmtId="0" fontId="82" fillId="11" borderId="1" xfId="0" applyFont="1" applyFill="1" applyBorder="1" applyAlignment="1" applyProtection="1">
      <alignment horizontal="left" vertical="top" wrapText="1"/>
      <protection locked="0"/>
    </xf>
    <xf numFmtId="165" fontId="82" fillId="11" borderId="1" xfId="0" applyNumberFormat="1" applyFont="1" applyFill="1" applyBorder="1" applyAlignment="1" applyProtection="1">
      <alignment vertical="top" wrapText="1"/>
      <protection locked="0"/>
    </xf>
    <xf numFmtId="2" fontId="82" fillId="11" borderId="1" xfId="4" applyNumberFormat="1" applyFont="1" applyFill="1" applyBorder="1" applyAlignment="1" applyProtection="1">
      <alignment horizontal="left" vertical="top" wrapText="1"/>
      <protection locked="0"/>
    </xf>
    <xf numFmtId="0" fontId="82" fillId="11" borderId="1" xfId="306" applyFont="1" applyFill="1" applyBorder="1" applyAlignment="1" applyProtection="1">
      <alignment horizontal="left" vertical="center" wrapText="1"/>
      <protection locked="0"/>
    </xf>
    <xf numFmtId="0" fontId="82" fillId="0" borderId="1" xfId="0" applyFont="1" applyBorder="1" applyAlignment="1" applyProtection="1">
      <alignment vertical="top" wrapText="1"/>
      <protection locked="0"/>
    </xf>
    <xf numFmtId="43" fontId="82" fillId="0" borderId="1" xfId="1" applyFont="1" applyFill="1" applyBorder="1" applyAlignment="1" applyProtection="1">
      <alignment vertical="center" wrapText="1"/>
      <protection locked="0"/>
    </xf>
    <xf numFmtId="43" fontId="82" fillId="11" borderId="1" xfId="306" applyNumberFormat="1" applyFont="1" applyFill="1" applyBorder="1" applyAlignment="1" applyProtection="1">
      <alignment vertical="center" wrapText="1"/>
      <protection locked="0"/>
    </xf>
    <xf numFmtId="0" fontId="82" fillId="11" borderId="1" xfId="0" applyFont="1" applyFill="1" applyBorder="1" applyAlignment="1" applyProtection="1">
      <alignment vertical="center" wrapText="1"/>
      <protection locked="0"/>
    </xf>
    <xf numFmtId="0" fontId="136" fillId="11" borderId="1" xfId="306" applyFont="1" applyFill="1" applyBorder="1" applyAlignment="1" applyProtection="1">
      <alignment horizontal="left" vertical="center" wrapText="1"/>
      <protection locked="0"/>
    </xf>
    <xf numFmtId="43" fontId="20" fillId="11" borderId="1" xfId="1" applyFont="1" applyFill="1" applyBorder="1" applyAlignment="1" applyProtection="1">
      <alignment horizontal="right" vertical="center"/>
      <protection locked="0"/>
    </xf>
    <xf numFmtId="0" fontId="20" fillId="2" borderId="1" xfId="306" applyFill="1" applyBorder="1" applyAlignment="1" applyProtection="1">
      <alignment horizontal="left" vertical="center" wrapText="1"/>
      <protection locked="0"/>
    </xf>
    <xf numFmtId="0" fontId="82" fillId="0" borderId="1" xfId="0" quotePrefix="1" applyFont="1" applyFill="1" applyBorder="1" applyAlignment="1" applyProtection="1">
      <alignment horizontal="left" vertical="center" wrapText="1"/>
      <protection locked="0"/>
    </xf>
    <xf numFmtId="43" fontId="84" fillId="5" borderId="1" xfId="1" applyFont="1" applyFill="1" applyBorder="1" applyAlignment="1" applyProtection="1">
      <alignment vertical="center" wrapText="1"/>
    </xf>
    <xf numFmtId="43" fontId="84" fillId="22" borderId="1" xfId="1" applyFont="1" applyFill="1" applyBorder="1" applyAlignment="1" applyProtection="1">
      <alignment vertical="center" wrapText="1"/>
    </xf>
    <xf numFmtId="43" fontId="82" fillId="11" borderId="1" xfId="1" applyFont="1" applyFill="1" applyBorder="1" applyAlignment="1" applyProtection="1">
      <alignment vertical="center" wrapText="1"/>
      <protection locked="0"/>
    </xf>
    <xf numFmtId="2" fontId="82" fillId="0" borderId="1" xfId="1" applyNumberFormat="1" applyFont="1" applyFill="1" applyBorder="1" applyAlignment="1" applyProtection="1">
      <alignment vertical="center" wrapText="1"/>
      <protection locked="0"/>
    </xf>
    <xf numFmtId="43" fontId="84" fillId="0" borderId="1" xfId="1" applyFont="1" applyFill="1" applyBorder="1" applyAlignment="1" applyProtection="1">
      <alignment vertical="center" wrapText="1"/>
      <protection locked="0"/>
    </xf>
    <xf numFmtId="43" fontId="84" fillId="2" borderId="1" xfId="1" applyFont="1" applyFill="1" applyBorder="1" applyAlignment="1" applyProtection="1">
      <alignment vertical="center" wrapText="1"/>
      <protection locked="0"/>
    </xf>
    <xf numFmtId="43" fontId="84" fillId="11" borderId="1" xfId="1" applyFont="1" applyFill="1" applyBorder="1" applyAlignment="1" applyProtection="1">
      <alignment vertical="center" wrapText="1"/>
      <protection locked="0"/>
    </xf>
    <xf numFmtId="2" fontId="82" fillId="11" borderId="1" xfId="4" applyNumberFormat="1" applyFont="1" applyFill="1" applyBorder="1" applyAlignment="1" applyProtection="1">
      <alignment vertical="top" wrapText="1"/>
      <protection locked="0"/>
    </xf>
    <xf numFmtId="2" fontId="82" fillId="11" borderId="1" xfId="306" applyNumberFormat="1" applyFont="1" applyFill="1" applyBorder="1" applyAlignment="1" applyProtection="1">
      <alignment vertical="center" wrapText="1"/>
      <protection locked="0"/>
    </xf>
    <xf numFmtId="0" fontId="82" fillId="0" borderId="1" xfId="38" applyFont="1" applyFill="1" applyBorder="1" applyAlignment="1" applyProtection="1">
      <alignment horizontal="left" vertical="center" wrapText="1"/>
    </xf>
    <xf numFmtId="0" fontId="84" fillId="0" borderId="1" xfId="38" applyFont="1" applyFill="1" applyBorder="1" applyAlignment="1" applyProtection="1">
      <alignment horizontal="left" vertical="center" wrapText="1"/>
    </xf>
    <xf numFmtId="0" fontId="82" fillId="0" borderId="1" xfId="0" applyFont="1" applyBorder="1" applyAlignment="1" applyProtection="1">
      <alignment horizontal="center" vertical="center" wrapText="1"/>
    </xf>
    <xf numFmtId="0" fontId="82" fillId="0" borderId="1" xfId="0" applyFont="1" applyBorder="1" applyAlignment="1" applyProtection="1">
      <alignment horizontal="left" vertical="center" wrapText="1"/>
    </xf>
    <xf numFmtId="0" fontId="82" fillId="11" borderId="1" xfId="0" applyFont="1" applyFill="1" applyBorder="1" applyAlignment="1" applyProtection="1">
      <alignment horizontal="center" vertical="center" wrapText="1"/>
      <protection locked="0"/>
    </xf>
    <xf numFmtId="0" fontId="82" fillId="4" borderId="1" xfId="0" applyFont="1" applyFill="1" applyBorder="1" applyAlignment="1" applyProtection="1">
      <alignment horizontal="left" vertical="center" wrapText="1"/>
      <protection locked="0"/>
    </xf>
    <xf numFmtId="43" fontId="82" fillId="4" borderId="1" xfId="1" applyFont="1" applyFill="1" applyBorder="1" applyAlignment="1" applyProtection="1">
      <alignment vertical="center" wrapText="1"/>
      <protection locked="0"/>
    </xf>
    <xf numFmtId="2" fontId="82" fillId="0" borderId="1" xfId="1" applyNumberFormat="1" applyFont="1" applyFill="1" applyBorder="1" applyAlignment="1" applyProtection="1">
      <alignment horizontal="right" vertical="center" wrapText="1"/>
      <protection locked="0"/>
    </xf>
    <xf numFmtId="0" fontId="82" fillId="5" borderId="1" xfId="0" applyFont="1" applyFill="1" applyBorder="1" applyAlignment="1" applyProtection="1">
      <alignment horizontal="left" vertical="center" wrapText="1"/>
      <protection locked="0"/>
    </xf>
    <xf numFmtId="43" fontId="82" fillId="5" borderId="1" xfId="1" applyFont="1" applyFill="1" applyBorder="1" applyAlignment="1" applyProtection="1">
      <alignment vertical="center" wrapText="1"/>
      <protection locked="0"/>
    </xf>
    <xf numFmtId="0" fontId="84" fillId="5" borderId="1" xfId="0" applyFont="1" applyFill="1" applyBorder="1" applyAlignment="1" applyProtection="1">
      <alignment horizontal="left" vertical="center" wrapText="1"/>
      <protection locked="0"/>
    </xf>
    <xf numFmtId="43" fontId="84" fillId="5" borderId="1" xfId="1" applyFont="1" applyFill="1" applyBorder="1" applyAlignment="1" applyProtection="1">
      <alignment vertical="center" wrapText="1"/>
      <protection locked="0"/>
    </xf>
    <xf numFmtId="0" fontId="84" fillId="5" borderId="1" xfId="38" applyFont="1" applyFill="1" applyBorder="1" applyAlignment="1" applyProtection="1">
      <alignment horizontal="left" vertical="center" wrapText="1"/>
      <protection locked="0"/>
    </xf>
    <xf numFmtId="0" fontId="84" fillId="5" borderId="1" xfId="11" applyFont="1" applyFill="1" applyBorder="1" applyAlignment="1" applyProtection="1">
      <alignment horizontal="left" vertical="center" wrapText="1"/>
      <protection locked="0"/>
    </xf>
    <xf numFmtId="43" fontId="84" fillId="4" borderId="1" xfId="1" applyFont="1" applyFill="1" applyBorder="1" applyAlignment="1" applyProtection="1">
      <alignment vertical="center" wrapText="1"/>
      <protection locked="0"/>
    </xf>
    <xf numFmtId="0" fontId="84" fillId="4" borderId="1" xfId="306" applyFont="1" applyFill="1" applyBorder="1" applyAlignment="1" applyProtection="1">
      <alignment horizontal="left" vertical="center" wrapText="1"/>
      <protection locked="0"/>
    </xf>
    <xf numFmtId="0" fontId="84" fillId="22" borderId="1" xfId="306" applyFont="1" applyFill="1" applyBorder="1" applyAlignment="1" applyProtection="1">
      <alignment horizontal="left" vertical="center" wrapText="1"/>
      <protection locked="0"/>
    </xf>
    <xf numFmtId="43" fontId="84" fillId="22" borderId="1" xfId="1" applyFont="1" applyFill="1" applyBorder="1" applyAlignment="1" applyProtection="1">
      <alignment vertical="center" wrapText="1"/>
      <protection locked="0"/>
    </xf>
    <xf numFmtId="0" fontId="84" fillId="5" borderId="1" xfId="38" applyFont="1" applyFill="1" applyBorder="1" applyAlignment="1" applyProtection="1">
      <alignment vertical="center" wrapText="1"/>
    </xf>
    <xf numFmtId="0" fontId="82" fillId="5" borderId="1" xfId="0" quotePrefix="1" applyFont="1" applyFill="1" applyBorder="1" applyAlignment="1" applyProtection="1">
      <alignment horizontal="left" vertical="center" wrapText="1"/>
      <protection locked="0"/>
    </xf>
    <xf numFmtId="2" fontId="84" fillId="5" borderId="1" xfId="38" applyNumberFormat="1" applyFont="1" applyFill="1" applyBorder="1" applyAlignment="1" applyProtection="1">
      <alignment vertical="center" wrapText="1"/>
    </xf>
    <xf numFmtId="2" fontId="84" fillId="2" borderId="12" xfId="4" applyNumberFormat="1" applyFont="1" applyFill="1" applyBorder="1" applyAlignment="1" applyProtection="1">
      <alignment vertical="center" wrapText="1"/>
    </xf>
    <xf numFmtId="2" fontId="57" fillId="0" borderId="0" xfId="87" applyNumberFormat="1" applyFont="1" applyAlignment="1" applyProtection="1">
      <alignment vertical="center"/>
    </xf>
    <xf numFmtId="2" fontId="82" fillId="11" borderId="1" xfId="1" applyNumberFormat="1" applyFont="1" applyFill="1" applyBorder="1" applyAlignment="1" applyProtection="1">
      <alignment vertical="center" wrapText="1"/>
      <protection locked="0"/>
    </xf>
    <xf numFmtId="0" fontId="82" fillId="11" borderId="1" xfId="38" applyFont="1" applyFill="1" applyBorder="1" applyAlignment="1" applyProtection="1">
      <alignment horizontal="center" vertical="center" wrapText="1"/>
      <protection locked="0"/>
    </xf>
    <xf numFmtId="43" fontId="82" fillId="11" borderId="1" xfId="1" applyFont="1" applyFill="1" applyBorder="1" applyAlignment="1" applyProtection="1">
      <alignment horizontal="center" vertical="center" wrapText="1"/>
      <protection locked="0"/>
    </xf>
    <xf numFmtId="0" fontId="82" fillId="11" borderId="0" xfId="0" applyFont="1" applyFill="1" applyAlignment="1" applyProtection="1">
      <alignment vertical="center" wrapText="1"/>
    </xf>
    <xf numFmtId="43" fontId="19" fillId="11" borderId="1" xfId="1" applyFont="1" applyFill="1" applyBorder="1" applyAlignment="1" applyProtection="1">
      <alignment vertical="center" wrapText="1"/>
      <protection locked="0"/>
    </xf>
    <xf numFmtId="0" fontId="82" fillId="0" borderId="0" xfId="0" applyFont="1"/>
    <xf numFmtId="0" fontId="18" fillId="11" borderId="1" xfId="0" applyFont="1" applyFill="1" applyBorder="1" applyAlignment="1" applyProtection="1">
      <alignment horizontal="left" vertical="center" wrapText="1"/>
      <protection locked="0"/>
    </xf>
    <xf numFmtId="170" fontId="82" fillId="11" borderId="1" xfId="1" applyNumberFormat="1" applyFont="1" applyFill="1" applyBorder="1" applyAlignment="1" applyProtection="1">
      <alignment vertical="center" wrapText="1"/>
      <protection locked="0"/>
    </xf>
    <xf numFmtId="2" fontId="84" fillId="5" borderId="1" xfId="1" applyNumberFormat="1" applyFont="1" applyFill="1" applyBorder="1" applyAlignment="1" applyProtection="1">
      <alignment vertical="center" wrapText="1"/>
      <protection locked="0"/>
    </xf>
    <xf numFmtId="2" fontId="84" fillId="2" borderId="1" xfId="1" applyNumberFormat="1" applyFont="1" applyFill="1" applyBorder="1" applyAlignment="1" applyProtection="1">
      <alignment vertical="center" wrapText="1"/>
      <protection locked="0"/>
    </xf>
    <xf numFmtId="2" fontId="84" fillId="2" borderId="1" xfId="1" applyNumberFormat="1" applyFont="1" applyFill="1" applyBorder="1" applyAlignment="1" applyProtection="1">
      <alignment horizontal="right" vertical="center" wrapText="1"/>
      <protection locked="0"/>
    </xf>
    <xf numFmtId="2" fontId="84" fillId="4" borderId="1" xfId="1" applyNumberFormat="1" applyFont="1" applyFill="1" applyBorder="1" applyAlignment="1" applyProtection="1">
      <alignment horizontal="right" vertical="center" wrapText="1"/>
      <protection locked="0"/>
    </xf>
    <xf numFmtId="2" fontId="84" fillId="5" borderId="1" xfId="1" applyNumberFormat="1" applyFont="1" applyFill="1" applyBorder="1" applyAlignment="1" applyProtection="1">
      <alignment horizontal="right" vertical="center" wrapText="1"/>
      <protection locked="0"/>
    </xf>
    <xf numFmtId="0" fontId="84" fillId="11" borderId="1" xfId="0" applyFont="1" applyFill="1" applyBorder="1" applyAlignment="1" applyProtection="1">
      <alignment horizontal="left" vertical="center" wrapText="1"/>
      <protection locked="0"/>
    </xf>
    <xf numFmtId="0" fontId="82" fillId="11" borderId="1" xfId="0" quotePrefix="1" applyFont="1" applyFill="1" applyBorder="1" applyAlignment="1" applyProtection="1">
      <alignment horizontal="left" vertical="center" wrapText="1"/>
      <protection locked="0"/>
    </xf>
    <xf numFmtId="0" fontId="82" fillId="11" borderId="1" xfId="0" quotePrefix="1" applyFont="1" applyFill="1" applyBorder="1" applyAlignment="1" applyProtection="1">
      <alignment horizontal="center" vertical="center" wrapText="1"/>
      <protection locked="0"/>
    </xf>
    <xf numFmtId="2" fontId="82" fillId="11" borderId="1" xfId="0" applyNumberFormat="1" applyFont="1" applyFill="1" applyBorder="1" applyAlignment="1" applyProtection="1">
      <alignment vertical="top" wrapText="1"/>
      <protection locked="0"/>
    </xf>
    <xf numFmtId="164" fontId="84" fillId="22" borderId="1" xfId="1" applyNumberFormat="1" applyFont="1" applyFill="1" applyBorder="1" applyAlignment="1" applyProtection="1">
      <alignment horizontal="center" vertical="center" wrapText="1"/>
      <protection locked="0"/>
    </xf>
    <xf numFmtId="0" fontId="18" fillId="11" borderId="1" xfId="0" applyFont="1" applyFill="1" applyBorder="1" applyAlignment="1" applyProtection="1">
      <alignment horizontal="left" vertical="top" wrapText="1"/>
      <protection locked="0"/>
    </xf>
    <xf numFmtId="2" fontId="84" fillId="22" borderId="1" xfId="1" applyNumberFormat="1" applyFont="1" applyFill="1" applyBorder="1" applyAlignment="1" applyProtection="1">
      <alignment horizontal="right" vertical="center" wrapText="1"/>
      <protection locked="0"/>
    </xf>
    <xf numFmtId="0" fontId="82" fillId="0" borderId="1" xfId="306" applyFont="1" applyBorder="1" applyAlignment="1" applyProtection="1">
      <alignment horizontal="center" vertical="center" wrapText="1"/>
      <protection locked="0"/>
    </xf>
    <xf numFmtId="0" fontId="121" fillId="0" borderId="1" xfId="38" applyFont="1" applyFill="1" applyBorder="1" applyAlignment="1" applyProtection="1">
      <alignment horizontal="left" vertical="center" wrapText="1"/>
    </xf>
    <xf numFmtId="0" fontId="121" fillId="0" borderId="1" xfId="38" applyFont="1" applyFill="1" applyBorder="1" applyAlignment="1" applyProtection="1">
      <alignment vertical="center" wrapText="1"/>
    </xf>
    <xf numFmtId="0" fontId="121" fillId="0" borderId="1" xfId="38" applyFont="1" applyFill="1" applyBorder="1" applyAlignment="1" applyProtection="1">
      <alignment horizontal="center" vertical="center" wrapText="1"/>
    </xf>
    <xf numFmtId="43" fontId="121" fillId="0" borderId="1" xfId="1" applyFont="1" applyFill="1" applyBorder="1" applyAlignment="1" applyProtection="1">
      <alignment horizontal="center" vertical="center" wrapText="1"/>
    </xf>
    <xf numFmtId="43" fontId="121" fillId="11" borderId="1" xfId="1" applyFont="1" applyFill="1" applyBorder="1" applyAlignment="1" applyProtection="1">
      <alignment vertical="center" wrapText="1"/>
      <protection locked="0"/>
    </xf>
    <xf numFmtId="0" fontId="121" fillId="0" borderId="0" xfId="0" applyFont="1" applyFill="1" applyAlignment="1" applyProtection="1">
      <alignment vertical="center" wrapText="1"/>
    </xf>
    <xf numFmtId="0" fontId="121" fillId="11" borderId="1" xfId="0" applyFont="1" applyFill="1" applyBorder="1" applyAlignment="1" applyProtection="1">
      <alignment horizontal="left" vertical="center" wrapText="1"/>
      <protection locked="0"/>
    </xf>
    <xf numFmtId="2" fontId="17" fillId="11" borderId="1" xfId="1" applyNumberFormat="1" applyFont="1" applyFill="1" applyBorder="1" applyAlignment="1" applyProtection="1">
      <alignment horizontal="right" vertical="center" wrapText="1"/>
      <protection locked="0"/>
    </xf>
    <xf numFmtId="0" fontId="17" fillId="11" borderId="1" xfId="306" applyFont="1" applyFill="1" applyBorder="1" applyAlignment="1" applyProtection="1">
      <alignment horizontal="left" vertical="center" wrapText="1"/>
      <protection locked="0"/>
    </xf>
    <xf numFmtId="0" fontId="82" fillId="0" borderId="1" xfId="0" applyFont="1" applyBorder="1" applyAlignment="1" applyProtection="1">
      <alignment horizontal="left" vertical="center"/>
    </xf>
    <xf numFmtId="0" fontId="82" fillId="0" borderId="1" xfId="0" applyFont="1" applyBorder="1" applyAlignment="1" applyProtection="1">
      <alignment horizontal="left" vertical="center" wrapText="1"/>
    </xf>
    <xf numFmtId="0" fontId="82" fillId="0" borderId="1" xfId="38" applyFont="1" applyBorder="1" applyAlignment="1" applyProtection="1">
      <alignment horizontal="left" vertical="center" wrapText="1"/>
    </xf>
    <xf numFmtId="0" fontId="82" fillId="0" borderId="1" xfId="0" applyFont="1" applyBorder="1" applyAlignment="1" applyProtection="1">
      <alignment horizontal="left" vertical="center" wrapText="1"/>
    </xf>
    <xf numFmtId="0" fontId="83" fillId="8" borderId="1" xfId="3" applyFont="1" applyFill="1" applyBorder="1" applyAlignment="1" applyProtection="1">
      <alignment horizontal="left" vertical="top" wrapText="1"/>
    </xf>
    <xf numFmtId="0" fontId="83" fillId="0" borderId="12" xfId="3" applyFont="1" applyFill="1" applyBorder="1" applyAlignment="1" applyProtection="1">
      <alignment horizontal="left" vertical="top" wrapText="1"/>
    </xf>
    <xf numFmtId="0" fontId="79" fillId="2" borderId="1" xfId="38" applyFont="1" applyFill="1" applyBorder="1" applyAlignment="1" applyProtection="1">
      <alignment horizontal="left" vertical="top" wrapText="1"/>
    </xf>
    <xf numFmtId="0" fontId="55" fillId="0" borderId="1" xfId="38" applyFont="1" applyFill="1" applyBorder="1" applyAlignment="1" applyProtection="1">
      <alignment horizontal="left" vertical="top" wrapText="1"/>
    </xf>
    <xf numFmtId="0" fontId="79" fillId="2" borderId="1" xfId="8" applyFont="1" applyFill="1" applyBorder="1" applyAlignment="1" applyProtection="1">
      <alignment horizontal="left" vertical="top" wrapText="1"/>
    </xf>
    <xf numFmtId="0" fontId="79" fillId="2" borderId="1" xfId="40" applyFont="1" applyFill="1" applyBorder="1" applyAlignment="1" applyProtection="1">
      <alignment horizontal="left" vertical="top" wrapText="1"/>
    </xf>
    <xf numFmtId="0" fontId="79" fillId="2" borderId="1" xfId="11" applyFont="1" applyFill="1" applyBorder="1" applyAlignment="1" applyProtection="1">
      <alignment horizontal="left" vertical="top" wrapText="1"/>
    </xf>
    <xf numFmtId="0" fontId="55" fillId="0" borderId="1" xfId="11" applyFont="1" applyFill="1" applyBorder="1" applyAlignment="1" applyProtection="1">
      <alignment horizontal="left" vertical="top" wrapText="1"/>
    </xf>
    <xf numFmtId="0" fontId="82" fillId="0" borderId="1" xfId="4" applyFont="1" applyBorder="1" applyAlignment="1" applyProtection="1">
      <alignment horizontal="left" vertical="top" wrapText="1"/>
    </xf>
    <xf numFmtId="0" fontId="82" fillId="0" borderId="1" xfId="0" applyFont="1" applyBorder="1" applyAlignment="1" applyProtection="1">
      <alignment horizontal="left" vertical="top" wrapText="1"/>
    </xf>
    <xf numFmtId="0" fontId="82" fillId="0" borderId="0" xfId="0" applyFont="1" applyAlignment="1" applyProtection="1">
      <alignment horizontal="left" vertical="top"/>
    </xf>
    <xf numFmtId="0" fontId="82" fillId="0" borderId="1" xfId="0" applyFont="1" applyBorder="1" applyAlignment="1" applyProtection="1">
      <alignment horizontal="left" vertical="top" wrapText="1"/>
      <protection locked="0"/>
    </xf>
    <xf numFmtId="43" fontId="82" fillId="0" borderId="1" xfId="1" applyNumberFormat="1" applyFont="1" applyBorder="1" applyAlignment="1" applyProtection="1">
      <alignment horizontal="left" vertical="top"/>
      <protection locked="0"/>
    </xf>
    <xf numFmtId="0" fontId="16" fillId="0" borderId="1" xfId="0" applyFont="1" applyFill="1" applyBorder="1" applyAlignment="1" applyProtection="1">
      <alignment horizontal="left" vertical="center" wrapText="1"/>
      <protection locked="0"/>
    </xf>
    <xf numFmtId="43" fontId="16" fillId="0" borderId="1" xfId="1" applyFont="1" applyFill="1" applyBorder="1" applyAlignment="1" applyProtection="1">
      <alignment vertical="center"/>
      <protection locked="0"/>
    </xf>
    <xf numFmtId="0" fontId="82" fillId="13" borderId="1" xfId="0" applyFont="1" applyFill="1" applyBorder="1" applyAlignment="1" applyProtection="1">
      <alignment horizontal="left" vertical="center"/>
      <protection locked="0"/>
    </xf>
    <xf numFmtId="43" fontId="82" fillId="0" borderId="1" xfId="1" applyNumberFormat="1" applyFont="1" applyBorder="1" applyAlignment="1" applyProtection="1">
      <alignment horizontal="center" vertical="center" wrapText="1"/>
    </xf>
    <xf numFmtId="0" fontId="82" fillId="2" borderId="1" xfId="0" applyFont="1" applyFill="1" applyBorder="1" applyAlignment="1" applyProtection="1">
      <alignment vertical="center" wrapText="1"/>
    </xf>
    <xf numFmtId="2" fontId="82" fillId="0" borderId="1" xfId="0" applyNumberFormat="1" applyFont="1" applyBorder="1" applyAlignment="1" applyProtection="1">
      <alignment vertical="center"/>
      <protection locked="0"/>
    </xf>
    <xf numFmtId="0" fontId="82" fillId="13" borderId="0" xfId="0" applyFont="1" applyFill="1" applyBorder="1" applyAlignment="1" applyProtection="1">
      <alignment vertical="center"/>
    </xf>
    <xf numFmtId="0" fontId="91" fillId="0" borderId="21" xfId="0" applyFont="1" applyBorder="1" applyAlignment="1">
      <alignment horizontal="left" vertical="top" wrapText="1"/>
    </xf>
    <xf numFmtId="2" fontId="91" fillId="0" borderId="21" xfId="0" applyNumberFormat="1" applyFont="1" applyBorder="1" applyAlignment="1">
      <alignment horizontal="center" vertical="top" wrapText="1"/>
    </xf>
    <xf numFmtId="0" fontId="82" fillId="13" borderId="1" xfId="0" applyFont="1" applyFill="1" applyBorder="1" applyAlignment="1" applyProtection="1">
      <alignment horizontal="left" vertical="center" wrapText="1"/>
      <protection locked="0"/>
    </xf>
    <xf numFmtId="2" fontId="82" fillId="0" borderId="1" xfId="1" applyNumberFormat="1" applyFont="1" applyBorder="1" applyAlignment="1" applyProtection="1">
      <alignment vertical="center" wrapText="1"/>
      <protection locked="0"/>
    </xf>
    <xf numFmtId="2" fontId="79" fillId="2" borderId="1" xfId="1" applyNumberFormat="1" applyFont="1" applyFill="1" applyBorder="1" applyAlignment="1" applyProtection="1">
      <alignment horizontal="center" vertical="center" wrapText="1"/>
      <protection locked="0"/>
    </xf>
    <xf numFmtId="2" fontId="79" fillId="2" borderId="1" xfId="1" applyNumberFormat="1" applyFont="1" applyFill="1" applyBorder="1" applyAlignment="1" applyProtection="1">
      <alignment horizontal="center" vertical="center" wrapText="1"/>
    </xf>
    <xf numFmtId="2" fontId="55" fillId="2" borderId="1" xfId="1" applyNumberFormat="1" applyFont="1" applyFill="1" applyBorder="1" applyAlignment="1" applyProtection="1">
      <alignment horizontal="center" vertical="center" wrapText="1"/>
    </xf>
    <xf numFmtId="2" fontId="82" fillId="0" borderId="0" xfId="1" applyNumberFormat="1" applyFont="1" applyFill="1" applyBorder="1" applyAlignment="1" applyProtection="1">
      <alignment horizontal="center" vertical="center" wrapText="1"/>
    </xf>
    <xf numFmtId="2" fontId="60" fillId="0" borderId="0" xfId="1" applyNumberFormat="1" applyFont="1" applyFill="1" applyBorder="1" applyAlignment="1" applyProtection="1">
      <alignment horizontal="center" vertical="center" wrapText="1"/>
    </xf>
    <xf numFmtId="2" fontId="84" fillId="23" borderId="1" xfId="1" applyNumberFormat="1" applyFont="1" applyFill="1" applyBorder="1" applyAlignment="1" applyProtection="1">
      <alignment horizontal="center" vertical="center" wrapText="1"/>
    </xf>
    <xf numFmtId="2" fontId="82" fillId="0" borderId="1" xfId="1" applyNumberFormat="1" applyFont="1" applyBorder="1" applyAlignment="1" applyProtection="1">
      <alignment horizontal="center" vertical="center" wrapText="1"/>
    </xf>
    <xf numFmtId="2" fontId="82" fillId="0" borderId="0" xfId="1" applyNumberFormat="1" applyFont="1" applyAlignment="1" applyProtection="1">
      <alignment horizontal="center" vertical="center" wrapText="1"/>
    </xf>
    <xf numFmtId="2" fontId="84" fillId="5" borderId="1" xfId="1" applyNumberFormat="1" applyFont="1" applyFill="1" applyBorder="1" applyAlignment="1" applyProtection="1">
      <alignment horizontal="center" vertical="center" wrapText="1"/>
    </xf>
    <xf numFmtId="2" fontId="82" fillId="0" borderId="1" xfId="1" applyNumberFormat="1" applyFont="1" applyBorder="1" applyAlignment="1" applyProtection="1">
      <alignment horizontal="center" vertical="center" wrapText="1"/>
      <protection locked="0"/>
    </xf>
    <xf numFmtId="2" fontId="82" fillId="0" borderId="1" xfId="1" applyNumberFormat="1" applyFont="1" applyFill="1" applyBorder="1" applyAlignment="1" applyProtection="1">
      <alignment horizontal="center" vertical="center" wrapText="1"/>
      <protection locked="0"/>
    </xf>
    <xf numFmtId="0" fontId="91" fillId="0" borderId="20" xfId="0" applyFont="1" applyBorder="1" applyAlignment="1" applyProtection="1">
      <alignment vertical="center" wrapText="1"/>
      <protection locked="0"/>
    </xf>
    <xf numFmtId="0" fontId="91" fillId="0" borderId="19" xfId="0" applyFont="1" applyBorder="1" applyAlignment="1" applyProtection="1">
      <alignment vertical="center" wrapText="1"/>
      <protection locked="0"/>
    </xf>
    <xf numFmtId="0" fontId="16" fillId="0" borderId="0" xfId="8" applyFont="1" applyFill="1" applyAlignment="1" applyProtection="1">
      <alignment vertical="center"/>
    </xf>
    <xf numFmtId="0" fontId="16" fillId="0" borderId="1" xfId="8" applyFont="1" applyFill="1" applyBorder="1" applyAlignment="1" applyProtection="1">
      <alignment horizontal="left" vertical="center"/>
      <protection locked="0"/>
    </xf>
    <xf numFmtId="0" fontId="16" fillId="0" borderId="1" xfId="8" applyFont="1" applyFill="1" applyBorder="1" applyAlignment="1" applyProtection="1">
      <alignment horizontal="left" vertical="center" wrapText="1"/>
      <protection locked="0"/>
    </xf>
    <xf numFmtId="0" fontId="112" fillId="0" borderId="1" xfId="8" applyFont="1" applyFill="1" applyBorder="1" applyAlignment="1" applyProtection="1">
      <alignment vertical="center" wrapText="1"/>
      <protection locked="0"/>
    </xf>
    <xf numFmtId="43" fontId="16" fillId="0" borderId="1" xfId="1" applyFont="1" applyFill="1" applyBorder="1" applyAlignment="1" applyProtection="1">
      <alignment horizontal="right" vertical="center"/>
      <protection locked="0"/>
    </xf>
    <xf numFmtId="0" fontId="103" fillId="13" borderId="1" xfId="0" applyFont="1" applyFill="1" applyBorder="1" applyAlignment="1" applyProtection="1">
      <alignment vertical="center" wrapText="1"/>
      <protection locked="0"/>
    </xf>
    <xf numFmtId="0" fontId="115" fillId="0" borderId="1" xfId="107" applyFont="1" applyFill="1" applyBorder="1" applyAlignment="1" applyProtection="1">
      <alignment horizontal="left" vertical="center" wrapText="1"/>
      <protection locked="0"/>
    </xf>
    <xf numFmtId="0" fontId="82" fillId="0" borderId="1" xfId="11" applyFont="1" applyFill="1" applyBorder="1" applyAlignment="1" applyProtection="1">
      <alignment horizontal="left" wrapText="1"/>
      <protection locked="0"/>
    </xf>
    <xf numFmtId="2" fontId="20" fillId="0" borderId="1" xfId="48" applyNumberFormat="1" applyFont="1" applyBorder="1" applyAlignment="1">
      <alignment horizontal="left" vertical="center" wrapText="1"/>
    </xf>
    <xf numFmtId="2" fontId="84" fillId="5" borderId="1" xfId="1" applyNumberFormat="1" applyFont="1" applyFill="1" applyBorder="1" applyAlignment="1">
      <alignment horizontal="center" vertical="center" wrapText="1"/>
    </xf>
    <xf numFmtId="2" fontId="79" fillId="2" borderId="1" xfId="1" applyNumberFormat="1" applyFont="1" applyFill="1" applyBorder="1" applyAlignment="1">
      <alignment horizontal="center" vertical="center" wrapText="1"/>
    </xf>
    <xf numFmtId="2" fontId="84" fillId="23" borderId="1" xfId="1" applyNumberFormat="1" applyFont="1" applyFill="1" applyBorder="1" applyAlignment="1">
      <alignment horizontal="center" vertical="center" wrapText="1"/>
    </xf>
    <xf numFmtId="2" fontId="82" fillId="0" borderId="0" xfId="0" applyNumberFormat="1" applyFont="1" applyFill="1" applyAlignment="1" applyProtection="1">
      <alignment horizontal="center" wrapText="1"/>
      <protection locked="0"/>
    </xf>
    <xf numFmtId="2" fontId="82" fillId="0" borderId="0" xfId="0" applyNumberFormat="1" applyFont="1" applyFill="1" applyAlignment="1">
      <alignment horizontal="center" wrapText="1"/>
    </xf>
    <xf numFmtId="2" fontId="55" fillId="0" borderId="3" xfId="38" applyNumberFormat="1" applyFont="1" applyBorder="1" applyAlignment="1">
      <alignment horizontal="center" vertical="center" wrapText="1"/>
    </xf>
    <xf numFmtId="2" fontId="82" fillId="0" borderId="1" xfId="0" applyNumberFormat="1" applyFont="1" applyBorder="1" applyAlignment="1">
      <alignment horizontal="center" vertical="center" wrapText="1"/>
    </xf>
    <xf numFmtId="2" fontId="82" fillId="0" borderId="0" xfId="0" applyNumberFormat="1" applyFont="1" applyAlignment="1">
      <alignment horizontal="center" wrapText="1"/>
    </xf>
    <xf numFmtId="0" fontId="84" fillId="36" borderId="1" xfId="0" applyFont="1" applyFill="1" applyBorder="1" applyAlignment="1" applyProtection="1">
      <alignment horizontal="left" vertical="center" wrapText="1"/>
      <protection locked="0"/>
    </xf>
    <xf numFmtId="2" fontId="82" fillId="0" borderId="0" xfId="1" applyNumberFormat="1" applyFont="1" applyFill="1" applyBorder="1" applyAlignment="1" applyProtection="1">
      <alignment horizontal="center" vertical="center"/>
    </xf>
    <xf numFmtId="2" fontId="82" fillId="0" borderId="0" xfId="1" applyNumberFormat="1" applyFont="1" applyFill="1" applyAlignment="1" applyProtection="1">
      <alignment horizontal="center" vertical="center"/>
    </xf>
    <xf numFmtId="2" fontId="82" fillId="2" borderId="1" xfId="1" applyNumberFormat="1" applyFont="1" applyFill="1" applyBorder="1" applyAlignment="1" applyProtection="1">
      <alignment horizontal="center" vertical="center"/>
    </xf>
    <xf numFmtId="2" fontId="84" fillId="3" borderId="1" xfId="1" applyNumberFormat="1" applyFont="1" applyFill="1" applyBorder="1" applyAlignment="1" applyProtection="1">
      <alignment horizontal="center" vertical="center" wrapText="1"/>
    </xf>
    <xf numFmtId="2" fontId="84" fillId="36" borderId="1" xfId="1" applyNumberFormat="1" applyFont="1" applyFill="1" applyBorder="1" applyAlignment="1" applyProtection="1">
      <alignment horizontal="center" vertical="center"/>
      <protection locked="0"/>
    </xf>
    <xf numFmtId="2" fontId="82" fillId="0" borderId="1" xfId="1" applyNumberFormat="1" applyFont="1" applyBorder="1" applyAlignment="1" applyProtection="1">
      <alignment horizontal="center" vertical="center"/>
      <protection locked="0"/>
    </xf>
    <xf numFmtId="2" fontId="82" fillId="0" borderId="1" xfId="1" applyNumberFormat="1" applyFont="1" applyBorder="1" applyAlignment="1" applyProtection="1">
      <alignment horizontal="left" vertical="center"/>
      <protection locked="0"/>
    </xf>
    <xf numFmtId="2" fontId="84" fillId="36" borderId="1" xfId="1" applyNumberFormat="1" applyFont="1" applyFill="1" applyBorder="1" applyAlignment="1" applyProtection="1">
      <alignment horizontal="left" vertical="center"/>
      <protection locked="0"/>
    </xf>
    <xf numFmtId="2" fontId="82" fillId="2" borderId="1" xfId="1" applyNumberFormat="1" applyFont="1" applyFill="1" applyBorder="1" applyAlignment="1" applyProtection="1">
      <alignment horizontal="center" vertical="center"/>
      <protection locked="0"/>
    </xf>
    <xf numFmtId="2" fontId="84" fillId="2" borderId="1" xfId="1" applyNumberFormat="1" applyFont="1" applyFill="1" applyBorder="1" applyAlignment="1" applyProtection="1">
      <alignment horizontal="center" vertical="center" wrapText="1"/>
      <protection locked="0"/>
    </xf>
    <xf numFmtId="2" fontId="82" fillId="0" borderId="0" xfId="1" applyNumberFormat="1" applyFont="1" applyAlignment="1" applyProtection="1">
      <alignment horizontal="center" vertical="center"/>
    </xf>
    <xf numFmtId="2" fontId="84" fillId="36" borderId="1" xfId="1" applyNumberFormat="1" applyFont="1" applyFill="1" applyBorder="1" applyAlignment="1" applyProtection="1">
      <alignment horizontal="center" vertical="center" wrapText="1"/>
    </xf>
    <xf numFmtId="2" fontId="84" fillId="2" borderId="1" xfId="1" applyNumberFormat="1" applyFont="1" applyFill="1" applyBorder="1" applyAlignment="1" applyProtection="1">
      <alignment horizontal="center" vertical="center" wrapText="1"/>
    </xf>
    <xf numFmtId="2" fontId="103" fillId="0" borderId="1" xfId="0" applyNumberFormat="1" applyFont="1" applyFill="1" applyBorder="1" applyAlignment="1" applyProtection="1">
      <alignment vertical="center"/>
      <protection locked="0"/>
    </xf>
    <xf numFmtId="0" fontId="91" fillId="13" borderId="1" xfId="0" applyFont="1" applyFill="1" applyBorder="1" applyAlignment="1" applyProtection="1">
      <alignment vertical="center" wrapText="1"/>
    </xf>
    <xf numFmtId="0" fontId="57" fillId="0" borderId="0" xfId="87" applyFont="1" applyAlignment="1" applyProtection="1">
      <alignment horizontal="left" vertical="center" wrapText="1"/>
    </xf>
    <xf numFmtId="2" fontId="84" fillId="0" borderId="0" xfId="0" applyNumberFormat="1" applyFont="1" applyFill="1" applyBorder="1" applyAlignment="1" applyProtection="1">
      <alignment vertical="center" wrapText="1"/>
    </xf>
    <xf numFmtId="2" fontId="79" fillId="0" borderId="0" xfId="1" applyNumberFormat="1" applyFont="1" applyFill="1" applyBorder="1" applyAlignment="1" applyProtection="1">
      <alignment vertical="center" wrapText="1"/>
    </xf>
    <xf numFmtId="2" fontId="106" fillId="47" borderId="1" xfId="0" applyNumberFormat="1" applyFont="1" applyFill="1" applyBorder="1" applyAlignment="1" applyProtection="1">
      <alignment vertical="center" wrapText="1"/>
    </xf>
    <xf numFmtId="2" fontId="106" fillId="48" borderId="1" xfId="1" applyNumberFormat="1" applyFont="1" applyFill="1" applyBorder="1" applyAlignment="1" applyProtection="1">
      <alignment vertical="center" wrapText="1"/>
    </xf>
    <xf numFmtId="2" fontId="91" fillId="0" borderId="1" xfId="1" applyNumberFormat="1" applyFont="1" applyBorder="1" applyAlignment="1" applyProtection="1">
      <alignment vertical="center"/>
    </xf>
    <xf numFmtId="2" fontId="91" fillId="13" borderId="1" xfId="1" applyNumberFormat="1" applyFont="1" applyFill="1" applyBorder="1" applyAlignment="1" applyProtection="1">
      <alignment vertical="center"/>
    </xf>
    <xf numFmtId="2" fontId="91" fillId="0" borderId="1" xfId="1" applyNumberFormat="1" applyFont="1" applyFill="1" applyBorder="1" applyAlignment="1" applyProtection="1">
      <alignment vertical="center"/>
    </xf>
    <xf numFmtId="2" fontId="103" fillId="45" borderId="1" xfId="0" applyNumberFormat="1" applyFont="1" applyFill="1" applyBorder="1" applyAlignment="1" applyProtection="1">
      <alignment vertical="center"/>
      <protection locked="0"/>
    </xf>
    <xf numFmtId="2" fontId="91" fillId="0" borderId="1" xfId="0" applyNumberFormat="1" applyFont="1" applyBorder="1" applyAlignment="1" applyProtection="1">
      <alignment vertical="center"/>
    </xf>
    <xf numFmtId="2" fontId="106" fillId="32" borderId="1" xfId="1" applyNumberFormat="1" applyFont="1" applyFill="1" applyBorder="1" applyAlignment="1" applyProtection="1">
      <alignment vertical="center" wrapText="1"/>
    </xf>
    <xf numFmtId="2" fontId="106" fillId="0" borderId="1" xfId="1" applyNumberFormat="1" applyFont="1" applyFill="1" applyBorder="1" applyAlignment="1" applyProtection="1">
      <alignment vertical="center" wrapText="1"/>
    </xf>
    <xf numFmtId="2" fontId="106" fillId="32" borderId="1" xfId="0" applyNumberFormat="1" applyFont="1" applyFill="1" applyBorder="1" applyAlignment="1" applyProtection="1">
      <alignment vertical="center" wrapText="1"/>
    </xf>
    <xf numFmtId="2" fontId="106" fillId="44" borderId="1" xfId="1" applyNumberFormat="1" applyFont="1" applyFill="1" applyBorder="1" applyAlignment="1" applyProtection="1">
      <alignment vertical="center" wrapText="1"/>
    </xf>
    <xf numFmtId="2" fontId="59" fillId="0" borderId="0" xfId="1" applyNumberFormat="1" applyFont="1" applyFill="1" applyBorder="1" applyProtection="1"/>
    <xf numFmtId="2" fontId="79" fillId="2" borderId="1" xfId="1" applyNumberFormat="1" applyFont="1" applyFill="1" applyBorder="1" applyAlignment="1" applyProtection="1">
      <alignment horizontal="center"/>
    </xf>
    <xf numFmtId="2" fontId="82" fillId="0" borderId="0" xfId="1" applyNumberFormat="1" applyFont="1" applyProtection="1"/>
    <xf numFmtId="2" fontId="82" fillId="0" borderId="1" xfId="1" applyNumberFormat="1" applyFont="1" applyBorder="1" applyAlignment="1" applyProtection="1">
      <alignment horizontal="center"/>
    </xf>
    <xf numFmtId="2" fontId="82" fillId="0" borderId="1" xfId="1" applyNumberFormat="1" applyFont="1" applyBorder="1" applyAlignment="1" applyProtection="1">
      <alignment vertical="center"/>
      <protection locked="0"/>
    </xf>
    <xf numFmtId="2" fontId="82" fillId="0" borderId="0" xfId="1" applyNumberFormat="1" applyFont="1" applyFill="1" applyAlignment="1" applyProtection="1">
      <alignment vertical="center" wrapText="1"/>
    </xf>
    <xf numFmtId="2" fontId="55" fillId="2" borderId="1" xfId="1" applyNumberFormat="1" applyFont="1" applyFill="1" applyBorder="1" applyAlignment="1" applyProtection="1">
      <alignment vertical="center" wrapText="1"/>
    </xf>
    <xf numFmtId="2" fontId="55" fillId="2" borderId="1" xfId="1" applyNumberFormat="1" applyFont="1" applyFill="1" applyBorder="1" applyAlignment="1" applyProtection="1">
      <alignment vertical="center" wrapText="1"/>
      <protection locked="0"/>
    </xf>
    <xf numFmtId="2" fontId="55" fillId="0" borderId="1" xfId="1" applyNumberFormat="1" applyFont="1" applyFill="1" applyBorder="1" applyAlignment="1" applyProtection="1">
      <alignment vertical="center" wrapText="1"/>
      <protection locked="0"/>
    </xf>
    <xf numFmtId="2" fontId="82" fillId="0" borderId="0" xfId="1" applyNumberFormat="1" applyFont="1" applyAlignment="1" applyProtection="1">
      <alignment vertical="center" wrapText="1"/>
    </xf>
    <xf numFmtId="2" fontId="55" fillId="0" borderId="1" xfId="1" applyNumberFormat="1" applyFont="1" applyFill="1" applyBorder="1" applyAlignment="1" applyProtection="1">
      <alignment horizontal="center" vertical="center" wrapText="1"/>
    </xf>
    <xf numFmtId="2" fontId="84" fillId="5" borderId="12" xfId="1" applyNumberFormat="1" applyFont="1" applyFill="1" applyBorder="1" applyAlignment="1" applyProtection="1">
      <alignment horizontal="center" vertical="center" wrapText="1"/>
    </xf>
    <xf numFmtId="2" fontId="55" fillId="2" borderId="3" xfId="1" applyNumberFormat="1" applyFont="1" applyFill="1" applyBorder="1" applyAlignment="1" applyProtection="1">
      <alignment horizontal="center" vertical="center" wrapText="1"/>
      <protection locked="0"/>
    </xf>
    <xf numFmtId="2" fontId="84" fillId="23" borderId="12" xfId="1" applyNumberFormat="1" applyFont="1" applyFill="1" applyBorder="1" applyAlignment="1" applyProtection="1">
      <alignment horizontal="center" vertical="center" wrapText="1"/>
    </xf>
    <xf numFmtId="2" fontId="62" fillId="0" borderId="1" xfId="1" applyNumberFormat="1" applyFont="1" applyBorder="1" applyAlignment="1" applyProtection="1">
      <alignment horizontal="center" vertical="center" wrapText="1"/>
    </xf>
    <xf numFmtId="1" fontId="82" fillId="0" borderId="1" xfId="38" applyNumberFormat="1" applyFont="1" applyFill="1" applyBorder="1" applyAlignment="1" applyProtection="1">
      <alignment horizontal="left" vertical="center" wrapText="1"/>
    </xf>
    <xf numFmtId="1" fontId="82" fillId="0" borderId="1" xfId="38" applyNumberFormat="1" applyFont="1" applyBorder="1" applyAlignment="1" applyProtection="1">
      <alignment horizontal="left" vertical="center" wrapText="1"/>
    </xf>
    <xf numFmtId="1" fontId="82" fillId="0" borderId="1" xfId="40" applyNumberFormat="1" applyFont="1" applyBorder="1" applyAlignment="1" applyProtection="1">
      <alignment horizontal="left" vertical="center" wrapText="1"/>
    </xf>
    <xf numFmtId="43" fontId="84" fillId="2" borderId="5" xfId="1" applyFont="1" applyFill="1" applyBorder="1" applyAlignment="1" applyProtection="1">
      <alignment horizontal="left" vertical="center" wrapText="1"/>
    </xf>
    <xf numFmtId="1" fontId="82" fillId="0" borderId="5" xfId="40" applyNumberFormat="1" applyFont="1" applyFill="1" applyBorder="1" applyAlignment="1" applyProtection="1">
      <alignment horizontal="left" vertical="center" wrapText="1"/>
    </xf>
    <xf numFmtId="1" fontId="82" fillId="0" borderId="5" xfId="0" applyNumberFormat="1" applyFont="1" applyBorder="1" applyAlignment="1" applyProtection="1">
      <alignment horizontal="left" vertical="center" wrapText="1"/>
    </xf>
    <xf numFmtId="1" fontId="82" fillId="0" borderId="5" xfId="0" applyNumberFormat="1" applyFont="1" applyFill="1" applyBorder="1" applyAlignment="1" applyProtection="1">
      <alignment horizontal="left" vertical="center" wrapText="1"/>
    </xf>
    <xf numFmtId="0" fontId="82" fillId="0" borderId="1" xfId="8" applyFont="1" applyFill="1" applyBorder="1" applyAlignment="1" applyProtection="1">
      <alignment horizontal="center" vertical="center" wrapText="1"/>
    </xf>
    <xf numFmtId="43" fontId="79" fillId="29" borderId="1" xfId="1" applyFont="1" applyFill="1" applyBorder="1" applyAlignment="1" applyProtection="1">
      <alignment horizontal="center" vertical="top" wrapText="1"/>
    </xf>
    <xf numFmtId="43" fontId="79" fillId="0" borderId="1" xfId="1" applyFont="1" applyFill="1" applyBorder="1" applyAlignment="1" applyProtection="1">
      <alignment horizontal="center" vertical="top" wrapText="1"/>
    </xf>
    <xf numFmtId="43" fontId="84" fillId="23" borderId="1" xfId="1" applyFont="1" applyFill="1" applyBorder="1" applyAlignment="1" applyProtection="1">
      <alignment horizontal="center" vertical="top" wrapText="1"/>
    </xf>
    <xf numFmtId="43" fontId="77" fillId="7" borderId="1" xfId="1" applyFont="1" applyFill="1" applyBorder="1" applyAlignment="1" applyProtection="1">
      <alignment horizontal="center" vertical="top" wrapText="1"/>
    </xf>
    <xf numFmtId="43" fontId="79" fillId="2" borderId="1" xfId="1" applyFont="1" applyFill="1" applyBorder="1" applyAlignment="1" applyProtection="1">
      <alignment horizontal="center" vertical="top" wrapText="1"/>
    </xf>
    <xf numFmtId="43" fontId="84" fillId="4" borderId="1" xfId="1" applyFont="1" applyFill="1" applyBorder="1" applyAlignment="1" applyProtection="1">
      <alignment horizontal="center" vertical="top" wrapText="1"/>
    </xf>
    <xf numFmtId="43" fontId="79" fillId="4" borderId="1" xfId="1" applyFont="1" applyFill="1" applyBorder="1" applyAlignment="1" applyProtection="1">
      <alignment horizontal="center" vertical="top" wrapText="1"/>
      <protection locked="0"/>
    </xf>
    <xf numFmtId="43" fontId="79" fillId="0" borderId="1" xfId="1" applyFont="1" applyFill="1" applyBorder="1" applyAlignment="1" applyProtection="1">
      <alignment horizontal="center" vertical="top" wrapText="1"/>
      <protection locked="0"/>
    </xf>
    <xf numFmtId="43" fontId="79" fillId="3" borderId="1" xfId="1" applyFont="1" applyFill="1" applyBorder="1" applyAlignment="1" applyProtection="1">
      <alignment horizontal="center" vertical="top" wrapText="1"/>
      <protection locked="0"/>
    </xf>
    <xf numFmtId="43" fontId="79" fillId="0" borderId="1" xfId="1" applyFont="1" applyBorder="1" applyAlignment="1" applyProtection="1">
      <alignment horizontal="center" vertical="top" wrapText="1"/>
      <protection locked="0"/>
    </xf>
    <xf numFmtId="43" fontId="57" fillId="2" borderId="1" xfId="1" applyFont="1" applyFill="1" applyBorder="1" applyAlignment="1" applyProtection="1">
      <alignment horizontal="center" vertical="top" wrapText="1"/>
      <protection locked="0"/>
    </xf>
    <xf numFmtId="43" fontId="79" fillId="2" borderId="1" xfId="1" applyFont="1" applyFill="1" applyBorder="1" applyAlignment="1" applyProtection="1">
      <alignment horizontal="center" vertical="top" wrapText="1"/>
      <protection locked="0"/>
    </xf>
    <xf numFmtId="43" fontId="57" fillId="0" borderId="0" xfId="1" applyFont="1" applyAlignment="1" applyProtection="1">
      <alignment horizontal="center" vertical="top" wrapText="1"/>
    </xf>
    <xf numFmtId="0" fontId="142" fillId="0" borderId="21" xfId="0" applyFont="1" applyFill="1" applyBorder="1" applyAlignment="1">
      <alignment horizontal="left" vertical="top" wrapText="1"/>
    </xf>
    <xf numFmtId="0" fontId="142" fillId="2" borderId="0" xfId="0" applyFont="1" applyFill="1" applyAlignment="1">
      <alignment horizontal="left" vertical="top" wrapText="1"/>
    </xf>
    <xf numFmtId="0" fontId="142" fillId="2" borderId="21" xfId="0" applyFont="1" applyFill="1" applyBorder="1" applyAlignment="1">
      <alignment horizontal="left" vertical="top" wrapText="1"/>
    </xf>
    <xf numFmtId="43" fontId="84" fillId="2" borderId="1" xfId="1" applyFont="1" applyFill="1" applyBorder="1" applyAlignment="1" applyProtection="1">
      <alignment horizontal="center" vertical="top" wrapText="1"/>
      <protection locked="0"/>
    </xf>
    <xf numFmtId="2" fontId="84" fillId="0" borderId="0" xfId="1" applyNumberFormat="1" applyFont="1" applyFill="1" applyBorder="1" applyAlignment="1" applyProtection="1">
      <alignment vertical="center" wrapText="1"/>
    </xf>
    <xf numFmtId="2" fontId="79" fillId="0" borderId="0" xfId="1" applyNumberFormat="1" applyFont="1" applyFill="1" applyBorder="1" applyAlignment="1" applyProtection="1">
      <alignment horizontal="center" vertical="center" wrapText="1"/>
    </xf>
    <xf numFmtId="2" fontId="106" fillId="43" borderId="1" xfId="1" applyNumberFormat="1" applyFont="1" applyFill="1" applyBorder="1" applyAlignment="1" applyProtection="1">
      <alignment horizontal="center" vertical="center" wrapText="1"/>
    </xf>
    <xf numFmtId="2" fontId="106" fillId="47" borderId="1" xfId="1" applyNumberFormat="1" applyFont="1" applyFill="1" applyBorder="1" applyAlignment="1" applyProtection="1">
      <alignment vertical="center" wrapText="1"/>
    </xf>
    <xf numFmtId="2" fontId="103" fillId="0" borderId="1" xfId="1" applyNumberFormat="1" applyFont="1" applyBorder="1" applyAlignment="1" applyProtection="1">
      <alignment vertical="center" wrapText="1"/>
    </xf>
    <xf numFmtId="2" fontId="103" fillId="45" borderId="1" xfId="1" applyNumberFormat="1" applyFont="1" applyFill="1" applyBorder="1" applyAlignment="1" applyProtection="1">
      <alignment horizontal="right" vertical="center" wrapText="1"/>
      <protection locked="0"/>
    </xf>
    <xf numFmtId="2" fontId="106" fillId="40" borderId="1" xfId="1" applyNumberFormat="1" applyFont="1" applyFill="1" applyBorder="1" applyAlignment="1" applyProtection="1">
      <alignment vertical="center" wrapText="1"/>
    </xf>
    <xf numFmtId="2" fontId="106" fillId="0" borderId="1" xfId="1" applyNumberFormat="1" applyFont="1" applyBorder="1" applyAlignment="1" applyProtection="1">
      <alignment horizontal="right" vertical="center" wrapText="1"/>
    </xf>
    <xf numFmtId="2" fontId="103" fillId="0" borderId="1" xfId="1" applyNumberFormat="1" applyFont="1" applyFill="1" applyBorder="1" applyAlignment="1" applyProtection="1">
      <alignment vertical="center" wrapText="1"/>
    </xf>
    <xf numFmtId="2" fontId="106" fillId="45" borderId="1" xfId="1" applyNumberFormat="1" applyFont="1" applyFill="1" applyBorder="1" applyAlignment="1" applyProtection="1">
      <alignment horizontal="right" vertical="center" wrapText="1"/>
      <protection locked="0"/>
    </xf>
    <xf numFmtId="2" fontId="106" fillId="32" borderId="1" xfId="1" applyNumberFormat="1" applyFont="1" applyFill="1" applyBorder="1" applyAlignment="1" applyProtection="1">
      <alignment horizontal="right" vertical="center" wrapText="1"/>
    </xf>
    <xf numFmtId="2" fontId="106" fillId="47" borderId="1" xfId="1" applyNumberFormat="1" applyFont="1" applyFill="1" applyBorder="1" applyAlignment="1" applyProtection="1">
      <alignment horizontal="right" vertical="center" wrapText="1"/>
    </xf>
    <xf numFmtId="2" fontId="106" fillId="40" borderId="1" xfId="1" applyNumberFormat="1" applyFont="1" applyFill="1" applyBorder="1" applyAlignment="1" applyProtection="1">
      <alignment horizontal="right" vertical="center" wrapText="1"/>
    </xf>
    <xf numFmtId="2" fontId="106" fillId="44" borderId="1" xfId="1" applyNumberFormat="1" applyFont="1" applyFill="1" applyBorder="1" applyAlignment="1" applyProtection="1">
      <alignment horizontal="right" vertical="center" wrapText="1"/>
    </xf>
    <xf numFmtId="2" fontId="103" fillId="0" borderId="1" xfId="1" applyNumberFormat="1" applyFont="1" applyFill="1" applyBorder="1" applyAlignment="1" applyProtection="1">
      <alignment horizontal="right" vertical="center" wrapText="1"/>
    </xf>
    <xf numFmtId="2" fontId="103" fillId="0" borderId="1" xfId="1" applyNumberFormat="1" applyFont="1" applyBorder="1" applyAlignment="1" applyProtection="1">
      <alignment horizontal="right" vertical="center" wrapText="1"/>
    </xf>
    <xf numFmtId="2" fontId="106" fillId="48" borderId="1" xfId="1" applyNumberFormat="1" applyFont="1" applyFill="1" applyBorder="1" applyAlignment="1" applyProtection="1">
      <alignment horizontal="right" vertical="center" wrapText="1"/>
    </xf>
    <xf numFmtId="2" fontId="103" fillId="0" borderId="1" xfId="1" applyNumberFormat="1" applyFont="1" applyFill="1" applyBorder="1" applyAlignment="1" applyProtection="1">
      <alignment horizontal="right" vertical="center" wrapText="1"/>
      <protection locked="0"/>
    </xf>
    <xf numFmtId="2" fontId="103" fillId="45" borderId="1" xfId="1" applyNumberFormat="1" applyFont="1" applyFill="1" applyBorder="1" applyAlignment="1" applyProtection="1">
      <alignment horizontal="right" vertical="center"/>
      <protection locked="0"/>
    </xf>
    <xf numFmtId="2" fontId="91" fillId="0" borderId="1" xfId="1" applyNumberFormat="1" applyFont="1" applyFill="1" applyBorder="1" applyAlignment="1" applyProtection="1">
      <alignment vertical="center" wrapText="1"/>
    </xf>
    <xf numFmtId="2" fontId="91" fillId="0" borderId="1" xfId="1" applyNumberFormat="1" applyFont="1" applyBorder="1" applyAlignment="1" applyProtection="1">
      <alignment vertical="center" wrapText="1"/>
    </xf>
    <xf numFmtId="2" fontId="57" fillId="0" borderId="0" xfId="1" applyNumberFormat="1" applyFont="1" applyAlignment="1" applyProtection="1">
      <alignment horizontal="right" vertical="center"/>
    </xf>
    <xf numFmtId="0" fontId="142" fillId="0" borderId="0" xfId="0" applyFont="1" applyAlignment="1">
      <alignment wrapText="1"/>
    </xf>
    <xf numFmtId="0" fontId="141" fillId="0" borderId="0" xfId="0" applyFont="1" applyAlignment="1">
      <alignment wrapText="1"/>
    </xf>
    <xf numFmtId="0" fontId="142" fillId="0" borderId="3" xfId="0" applyFont="1" applyBorder="1" applyAlignment="1">
      <alignment wrapText="1"/>
    </xf>
    <xf numFmtId="0" fontId="142" fillId="0" borderId="1" xfId="0" applyFont="1" applyBorder="1" applyAlignment="1">
      <alignment wrapText="1"/>
    </xf>
    <xf numFmtId="2" fontId="26" fillId="0" borderId="1" xfId="48" applyNumberFormat="1" applyFont="1" applyBorder="1" applyAlignment="1" applyProtection="1">
      <alignment horizontal="left" vertical="center" wrapText="1"/>
      <protection locked="0"/>
    </xf>
    <xf numFmtId="0" fontId="142" fillId="0" borderId="21" xfId="0" applyFont="1" applyFill="1" applyBorder="1" applyAlignment="1">
      <alignment horizontal="justify" vertical="center" wrapText="1"/>
    </xf>
    <xf numFmtId="0" fontId="142" fillId="4" borderId="1" xfId="0" applyFont="1" applyFill="1" applyBorder="1" applyAlignment="1">
      <alignment horizontal="justify" vertical="top" wrapText="1"/>
    </xf>
    <xf numFmtId="2" fontId="79" fillId="4" borderId="1" xfId="48" applyNumberFormat="1" applyFont="1" applyFill="1" applyBorder="1" applyAlignment="1" applyProtection="1">
      <alignment horizontal="right" vertical="top" wrapText="1"/>
    </xf>
    <xf numFmtId="0" fontId="142" fillId="4" borderId="21" xfId="0" applyFont="1" applyFill="1" applyBorder="1" applyAlignment="1">
      <alignment horizontal="justify" vertical="top" wrapText="1"/>
    </xf>
    <xf numFmtId="2" fontId="81" fillId="0" borderId="0" xfId="1" applyNumberFormat="1" applyFont="1" applyFill="1" applyBorder="1" applyAlignment="1" applyProtection="1">
      <alignment horizontal="center" vertical="center" wrapText="1"/>
    </xf>
    <xf numFmtId="2" fontId="77" fillId="7" borderId="1" xfId="1" applyNumberFormat="1" applyFont="1" applyFill="1" applyBorder="1" applyAlignment="1" applyProtection="1">
      <alignment horizontal="center" vertical="center" wrapText="1"/>
    </xf>
    <xf numFmtId="2" fontId="79" fillId="0" borderId="1" xfId="1" applyNumberFormat="1" applyFont="1" applyFill="1" applyBorder="1" applyAlignment="1" applyProtection="1">
      <alignment horizontal="center" vertical="center" wrapText="1"/>
    </xf>
    <xf numFmtId="2" fontId="57" fillId="0" borderId="1" xfId="1" applyNumberFormat="1" applyFont="1" applyBorder="1" applyAlignment="1" applyProtection="1">
      <alignment horizontal="center" vertical="center"/>
    </xf>
    <xf numFmtId="2" fontId="57" fillId="0" borderId="1" xfId="1" applyNumberFormat="1" applyFont="1" applyFill="1" applyBorder="1" applyAlignment="1" applyProtection="1">
      <alignment horizontal="center" vertical="center"/>
    </xf>
    <xf numFmtId="2" fontId="57" fillId="0" borderId="1" xfId="1" applyNumberFormat="1" applyFont="1" applyBorder="1" applyAlignment="1" applyProtection="1">
      <alignment horizontal="center" vertical="center" wrapText="1"/>
    </xf>
    <xf numFmtId="2" fontId="57" fillId="0" borderId="1" xfId="1" applyNumberFormat="1" applyFont="1" applyFill="1" applyBorder="1" applyAlignment="1" applyProtection="1">
      <alignment horizontal="center" vertical="center" wrapText="1"/>
    </xf>
    <xf numFmtId="2" fontId="57" fillId="13" borderId="1" xfId="1" applyNumberFormat="1" applyFont="1" applyFill="1" applyBorder="1" applyAlignment="1" applyProtection="1">
      <alignment horizontal="center" vertical="center"/>
    </xf>
    <xf numFmtId="2" fontId="57" fillId="0" borderId="0" xfId="1" applyNumberFormat="1" applyFont="1" applyAlignment="1" applyProtection="1">
      <alignment horizontal="center" vertical="center"/>
    </xf>
    <xf numFmtId="2" fontId="105" fillId="30" borderId="1" xfId="1" applyNumberFormat="1" applyFont="1" applyFill="1" applyBorder="1" applyAlignment="1" applyProtection="1">
      <alignment horizontal="center" vertical="center" wrapText="1"/>
    </xf>
    <xf numFmtId="2" fontId="106" fillId="32" borderId="1" xfId="1" applyNumberFormat="1" applyFont="1" applyFill="1" applyBorder="1" applyAlignment="1" applyProtection="1">
      <alignment horizontal="center" vertical="center" wrapText="1"/>
    </xf>
    <xf numFmtId="2" fontId="106" fillId="0" borderId="1" xfId="1" applyNumberFormat="1" applyFont="1" applyFill="1" applyBorder="1" applyAlignment="1" applyProtection="1">
      <alignment horizontal="center" vertical="center" wrapText="1"/>
    </xf>
    <xf numFmtId="2" fontId="103" fillId="0" borderId="1" xfId="1" applyNumberFormat="1" applyFont="1" applyBorder="1" applyAlignment="1" applyProtection="1">
      <alignment vertical="center"/>
    </xf>
    <xf numFmtId="2" fontId="103" fillId="0" borderId="1" xfId="1" applyNumberFormat="1" applyFont="1" applyFill="1" applyBorder="1" applyAlignment="1" applyProtection="1">
      <alignment vertical="center"/>
    </xf>
    <xf numFmtId="2" fontId="106" fillId="0" borderId="1" xfId="1" applyNumberFormat="1" applyFont="1" applyBorder="1" applyAlignment="1" applyProtection="1">
      <alignment horizontal="center" vertical="center" wrapText="1"/>
    </xf>
    <xf numFmtId="2" fontId="103" fillId="0" borderId="1" xfId="1" applyNumberFormat="1" applyFont="1" applyBorder="1" applyAlignment="1" applyProtection="1">
      <alignment horizontal="right" vertical="center"/>
    </xf>
    <xf numFmtId="2" fontId="103" fillId="0" borderId="1" xfId="1" applyNumberFormat="1" applyFont="1" applyFill="1" applyBorder="1" applyAlignment="1" applyProtection="1">
      <alignment horizontal="right" vertical="center"/>
    </xf>
    <xf numFmtId="2" fontId="57" fillId="0" borderId="0" xfId="1" applyNumberFormat="1" applyFont="1" applyAlignment="1" applyProtection="1">
      <alignment vertical="center"/>
    </xf>
    <xf numFmtId="2" fontId="84" fillId="0" borderId="0" xfId="1" applyNumberFormat="1" applyFont="1" applyFill="1" applyBorder="1" applyAlignment="1" applyProtection="1">
      <alignment horizontal="center" vertical="center" wrapText="1"/>
    </xf>
    <xf numFmtId="2" fontId="103" fillId="45" borderId="1" xfId="1" applyNumberFormat="1" applyFont="1" applyFill="1" applyBorder="1" applyAlignment="1" applyProtection="1">
      <alignment horizontal="center" vertical="center"/>
      <protection locked="0"/>
    </xf>
    <xf numFmtId="2" fontId="103" fillId="0" borderId="1" xfId="1" applyNumberFormat="1" applyFont="1" applyBorder="1" applyAlignment="1" applyProtection="1">
      <alignment horizontal="center" vertical="center"/>
    </xf>
    <xf numFmtId="2" fontId="103" fillId="0" borderId="1" xfId="1" applyNumberFormat="1" applyFont="1" applyFill="1" applyBorder="1" applyAlignment="1" applyProtection="1">
      <alignment horizontal="center" vertical="center"/>
    </xf>
    <xf numFmtId="2" fontId="103" fillId="0" borderId="1" xfId="1" applyNumberFormat="1" applyFont="1" applyBorder="1" applyAlignment="1" applyProtection="1">
      <alignment horizontal="center" vertical="center" wrapText="1"/>
    </xf>
    <xf numFmtId="2" fontId="103" fillId="0" borderId="1" xfId="1" applyNumberFormat="1" applyFont="1" applyFill="1" applyBorder="1" applyAlignment="1" applyProtection="1">
      <alignment horizontal="center" vertical="center"/>
      <protection locked="0"/>
    </xf>
    <xf numFmtId="2" fontId="103" fillId="0" borderId="1" xfId="1" applyNumberFormat="1" applyFont="1" applyFill="1" applyBorder="1" applyAlignment="1" applyProtection="1">
      <alignment horizontal="center" vertical="center" wrapText="1"/>
    </xf>
    <xf numFmtId="2" fontId="103" fillId="13" borderId="1" xfId="1" applyNumberFormat="1" applyFont="1" applyFill="1" applyBorder="1" applyAlignment="1" applyProtection="1">
      <alignment horizontal="center" vertical="center" wrapText="1"/>
    </xf>
    <xf numFmtId="2" fontId="103" fillId="45" borderId="1" xfId="1" applyNumberFormat="1" applyFont="1" applyFill="1" applyBorder="1" applyAlignment="1" applyProtection="1">
      <alignment horizontal="center" vertical="center" wrapText="1"/>
      <protection locked="0"/>
    </xf>
    <xf numFmtId="2" fontId="79" fillId="29" borderId="1" xfId="0" applyNumberFormat="1" applyFont="1" applyFill="1" applyBorder="1" applyAlignment="1" applyProtection="1">
      <alignment horizontal="center" vertical="center" wrapText="1"/>
    </xf>
    <xf numFmtId="2" fontId="84" fillId="0" borderId="1" xfId="1" applyNumberFormat="1" applyFont="1" applyBorder="1" applyAlignment="1" applyProtection="1">
      <alignment horizontal="center" vertical="center" wrapText="1"/>
    </xf>
    <xf numFmtId="2" fontId="84" fillId="4" borderId="1" xfId="1" applyNumberFormat="1" applyFont="1" applyFill="1" applyBorder="1" applyAlignment="1" applyProtection="1">
      <alignment horizontal="center" vertical="center" wrapText="1"/>
    </xf>
    <xf numFmtId="2" fontId="61" fillId="0" borderId="1" xfId="1" applyNumberFormat="1" applyFont="1" applyBorder="1" applyAlignment="1" applyProtection="1">
      <alignment horizontal="center" vertical="center" wrapText="1"/>
    </xf>
    <xf numFmtId="2" fontId="61" fillId="0" borderId="1" xfId="1" applyNumberFormat="1" applyFont="1" applyFill="1" applyBorder="1" applyAlignment="1" applyProtection="1">
      <alignment horizontal="center" vertical="center" wrapText="1"/>
    </xf>
    <xf numFmtId="2" fontId="79" fillId="4" borderId="1" xfId="1" applyNumberFormat="1" applyFont="1" applyFill="1" applyBorder="1" applyAlignment="1" applyProtection="1">
      <alignment horizontal="center" vertical="center" wrapText="1"/>
    </xf>
    <xf numFmtId="2" fontId="79" fillId="6" borderId="1" xfId="1" applyNumberFormat="1" applyFont="1" applyFill="1" applyBorder="1" applyAlignment="1" applyProtection="1">
      <alignment horizontal="center" vertical="center" wrapText="1"/>
    </xf>
    <xf numFmtId="2" fontId="79" fillId="0" borderId="1" xfId="1" applyNumberFormat="1" applyFont="1" applyFill="1" applyBorder="1" applyAlignment="1" applyProtection="1">
      <alignment vertical="center" wrapText="1"/>
    </xf>
    <xf numFmtId="2" fontId="84" fillId="6" borderId="1" xfId="1" applyNumberFormat="1" applyFont="1" applyFill="1" applyBorder="1" applyAlignment="1" applyProtection="1">
      <alignment horizontal="center" vertical="center" wrapText="1"/>
    </xf>
    <xf numFmtId="2" fontId="80" fillId="14" borderId="1" xfId="1" applyNumberFormat="1" applyFont="1" applyFill="1" applyBorder="1" applyAlignment="1" applyProtection="1">
      <alignment horizontal="center" vertical="center" wrapText="1"/>
    </xf>
    <xf numFmtId="2" fontId="61" fillId="0" borderId="0" xfId="1" applyNumberFormat="1" applyFont="1" applyAlignment="1" applyProtection="1">
      <alignment horizontal="center" vertical="center" wrapText="1"/>
    </xf>
    <xf numFmtId="2" fontId="79" fillId="29" borderId="1" xfId="1" applyNumberFormat="1" applyFont="1" applyFill="1" applyBorder="1" applyAlignment="1" applyProtection="1">
      <alignment horizontal="center" vertical="center" wrapText="1"/>
    </xf>
    <xf numFmtId="2" fontId="106" fillId="44" borderId="1" xfId="1" applyNumberFormat="1" applyFont="1" applyFill="1" applyBorder="1" applyAlignment="1" applyProtection="1">
      <alignment horizontal="center" vertical="center" wrapText="1"/>
    </xf>
    <xf numFmtId="2" fontId="103" fillId="0" borderId="1" xfId="1" applyNumberFormat="1" applyFont="1" applyFill="1" applyBorder="1" applyAlignment="1" applyProtection="1">
      <alignment horizontal="center" vertical="center" wrapText="1"/>
      <protection locked="0"/>
    </xf>
    <xf numFmtId="2" fontId="91" fillId="0" borderId="1" xfId="1" applyNumberFormat="1" applyFont="1" applyBorder="1" applyAlignment="1" applyProtection="1">
      <alignment horizontal="center" vertical="center" wrapText="1"/>
    </xf>
    <xf numFmtId="2" fontId="106" fillId="40" borderId="1" xfId="1" applyNumberFormat="1" applyFont="1" applyFill="1" applyBorder="1" applyAlignment="1" applyProtection="1">
      <alignment horizontal="center" vertical="center" wrapText="1"/>
    </xf>
    <xf numFmtId="2" fontId="91" fillId="0" borderId="1" xfId="1" applyNumberFormat="1" applyFont="1" applyFill="1" applyBorder="1" applyAlignment="1" applyProtection="1">
      <alignment horizontal="center" vertical="center" wrapText="1"/>
    </xf>
    <xf numFmtId="2" fontId="107" fillId="46" borderId="1" xfId="1" applyNumberFormat="1" applyFont="1" applyFill="1" applyBorder="1" applyAlignment="1" applyProtection="1">
      <alignment horizontal="center" vertical="center" wrapText="1"/>
    </xf>
    <xf numFmtId="2" fontId="84" fillId="2" borderId="1" xfId="1" applyNumberFormat="1" applyFont="1" applyFill="1" applyBorder="1" applyAlignment="1" applyProtection="1">
      <alignment horizontal="left" vertical="center" wrapText="1"/>
    </xf>
    <xf numFmtId="2" fontId="82" fillId="4" borderId="1" xfId="1" applyNumberFormat="1" applyFont="1" applyFill="1" applyBorder="1" applyAlignment="1" applyProtection="1">
      <alignment horizontal="left" vertical="center" wrapText="1"/>
    </xf>
    <xf numFmtId="2" fontId="84" fillId="27" borderId="1" xfId="1" applyNumberFormat="1" applyFont="1" applyFill="1" applyBorder="1" applyAlignment="1" applyProtection="1">
      <alignment horizontal="right" vertical="center" wrapText="1"/>
    </xf>
    <xf numFmtId="2" fontId="82" fillId="0" borderId="1" xfId="1" applyNumberFormat="1" applyFont="1" applyFill="1" applyBorder="1" applyAlignment="1" applyProtection="1">
      <alignment horizontal="right" vertical="center" wrapText="1"/>
    </xf>
    <xf numFmtId="2" fontId="82" fillId="0" borderId="1" xfId="1" applyNumberFormat="1" applyFont="1" applyBorder="1" applyAlignment="1" applyProtection="1">
      <alignment horizontal="right" vertical="center" wrapText="1"/>
    </xf>
    <xf numFmtId="2" fontId="82" fillId="0" borderId="0" xfId="1" applyNumberFormat="1" applyFont="1" applyAlignment="1" applyProtection="1">
      <alignment horizontal="right" vertical="center" wrapText="1"/>
    </xf>
    <xf numFmtId="2" fontId="106" fillId="43" borderId="1" xfId="0" applyNumberFormat="1" applyFont="1" applyFill="1" applyBorder="1" applyAlignment="1" applyProtection="1">
      <alignment horizontal="center" vertical="center" wrapText="1"/>
    </xf>
    <xf numFmtId="2" fontId="103" fillId="44" borderId="1" xfId="0" applyNumberFormat="1" applyFont="1" applyFill="1" applyBorder="1" applyAlignment="1" applyProtection="1">
      <alignment vertical="center" wrapText="1"/>
    </xf>
    <xf numFmtId="2" fontId="106" fillId="47" borderId="1" xfId="0" applyNumberFormat="1" applyFont="1" applyFill="1" applyBorder="1" applyAlignment="1" applyProtection="1">
      <alignment horizontal="right" vertical="center" wrapText="1"/>
    </xf>
    <xf numFmtId="2" fontId="91" fillId="0" borderId="1" xfId="0" applyNumberFormat="1" applyFont="1" applyFill="1" applyBorder="1" applyAlignment="1" applyProtection="1">
      <alignment vertical="center" wrapText="1"/>
    </xf>
    <xf numFmtId="2" fontId="91" fillId="0" borderId="1" xfId="0" applyNumberFormat="1" applyFont="1" applyBorder="1" applyAlignment="1" applyProtection="1">
      <alignment vertical="center" wrapText="1"/>
    </xf>
    <xf numFmtId="2" fontId="77" fillId="7" borderId="1" xfId="1" applyNumberFormat="1" applyFont="1" applyFill="1" applyBorder="1" applyAlignment="1" applyProtection="1">
      <alignment horizontal="right" vertical="center" wrapText="1"/>
    </xf>
    <xf numFmtId="2" fontId="79" fillId="2" borderId="1" xfId="1" applyNumberFormat="1" applyFont="1" applyFill="1" applyBorder="1" applyAlignment="1" applyProtection="1">
      <alignment horizontal="right" vertical="center" wrapText="1"/>
    </xf>
    <xf numFmtId="2" fontId="79" fillId="4" borderId="1" xfId="1" applyNumberFormat="1" applyFont="1" applyFill="1" applyBorder="1" applyAlignment="1" applyProtection="1">
      <alignment horizontal="right" vertical="center" wrapText="1"/>
    </xf>
    <xf numFmtId="2" fontId="79" fillId="3" borderId="1" xfId="1" applyNumberFormat="1" applyFont="1" applyFill="1" applyBorder="1" applyAlignment="1" applyProtection="1">
      <alignment horizontal="right" vertical="center" wrapText="1"/>
    </xf>
    <xf numFmtId="2" fontId="57" fillId="0" borderId="1" xfId="1" applyNumberFormat="1" applyFont="1" applyBorder="1" applyAlignment="1" applyProtection="1">
      <alignment horizontal="right" vertical="center" wrapText="1"/>
    </xf>
    <xf numFmtId="2" fontId="84" fillId="3" borderId="1" xfId="1" applyNumberFormat="1" applyFont="1" applyFill="1" applyBorder="1" applyAlignment="1" applyProtection="1">
      <alignment horizontal="right" vertical="center" wrapText="1"/>
    </xf>
    <xf numFmtId="2" fontId="57" fillId="0" borderId="1" xfId="1" applyNumberFormat="1" applyFont="1" applyFill="1" applyBorder="1" applyAlignment="1" applyProtection="1">
      <alignment horizontal="right" vertical="center" wrapText="1"/>
    </xf>
    <xf numFmtId="2" fontId="57" fillId="0" borderId="1" xfId="1" applyNumberFormat="1" applyFont="1" applyBorder="1" applyAlignment="1" applyProtection="1">
      <alignment horizontal="right" vertical="center"/>
    </xf>
    <xf numFmtId="2" fontId="105" fillId="30" borderId="1" xfId="1" applyNumberFormat="1" applyFont="1" applyFill="1" applyBorder="1" applyAlignment="1" applyProtection="1">
      <alignment horizontal="right" vertical="center" wrapText="1"/>
    </xf>
    <xf numFmtId="2" fontId="91" fillId="0" borderId="1" xfId="1" applyNumberFormat="1" applyFont="1" applyBorder="1" applyAlignment="1" applyProtection="1">
      <alignment horizontal="right" vertical="center" wrapText="1"/>
    </xf>
    <xf numFmtId="2" fontId="91" fillId="10" borderId="1" xfId="1" applyNumberFormat="1" applyFont="1" applyFill="1" applyBorder="1" applyAlignment="1" applyProtection="1">
      <alignment horizontal="right" vertical="center" wrapText="1"/>
      <protection locked="0"/>
    </xf>
    <xf numFmtId="2" fontId="91" fillId="0" borderId="1" xfId="1" applyNumberFormat="1" applyFont="1" applyFill="1" applyBorder="1" applyAlignment="1" applyProtection="1">
      <alignment horizontal="right" vertical="center" wrapText="1"/>
    </xf>
    <xf numFmtId="2" fontId="103" fillId="44" borderId="1" xfId="1" applyNumberFormat="1" applyFont="1" applyFill="1" applyBorder="1" applyAlignment="1" applyProtection="1">
      <alignment horizontal="right" vertical="center" wrapText="1"/>
    </xf>
    <xf numFmtId="0" fontId="15" fillId="0" borderId="0" xfId="87" applyFont="1" applyAlignment="1" applyProtection="1">
      <alignment vertical="center"/>
    </xf>
    <xf numFmtId="0" fontId="15" fillId="0" borderId="0" xfId="87" applyFont="1" applyFill="1" applyAlignment="1" applyProtection="1">
      <alignment vertical="center"/>
    </xf>
    <xf numFmtId="2" fontId="103" fillId="13" borderId="1" xfId="1" applyNumberFormat="1" applyFont="1" applyFill="1" applyBorder="1" applyAlignment="1" applyProtection="1">
      <alignment horizontal="right" vertical="center" wrapText="1"/>
      <protection locked="0"/>
    </xf>
    <xf numFmtId="0" fontId="103" fillId="0" borderId="1" xfId="0" applyFont="1" applyFill="1" applyBorder="1" applyAlignment="1" applyProtection="1">
      <alignment horizontal="left" vertical="center" wrapText="1"/>
      <protection locked="0"/>
    </xf>
    <xf numFmtId="2" fontId="106" fillId="32" borderId="1" xfId="0" applyNumberFormat="1" applyFont="1" applyFill="1" applyBorder="1" applyAlignment="1" applyProtection="1">
      <alignment horizontal="right" vertical="center" wrapText="1"/>
    </xf>
    <xf numFmtId="2" fontId="91" fillId="0" borderId="1" xfId="0" applyNumberFormat="1" applyFont="1" applyFill="1" applyBorder="1" applyAlignment="1" applyProtection="1">
      <alignment vertical="center"/>
    </xf>
    <xf numFmtId="2" fontId="103" fillId="45" borderId="1" xfId="0" applyNumberFormat="1" applyFont="1" applyFill="1" applyBorder="1" applyAlignment="1" applyProtection="1">
      <alignment horizontal="right" vertical="center"/>
      <protection locked="0"/>
    </xf>
    <xf numFmtId="2" fontId="91" fillId="0" borderId="1" xfId="0" applyNumberFormat="1" applyFont="1" applyBorder="1" applyAlignment="1" applyProtection="1">
      <alignment horizontal="right" vertical="center"/>
    </xf>
    <xf numFmtId="2" fontId="91" fillId="0" borderId="1" xfId="0" applyNumberFormat="1" applyFont="1" applyFill="1" applyBorder="1" applyAlignment="1" applyProtection="1">
      <alignment horizontal="right" vertical="center" wrapText="1"/>
    </xf>
    <xf numFmtId="2" fontId="103" fillId="0" borderId="1" xfId="0" applyNumberFormat="1" applyFont="1" applyFill="1" applyBorder="1" applyAlignment="1" applyProtection="1">
      <alignment horizontal="right" vertical="center"/>
      <protection locked="0"/>
    </xf>
    <xf numFmtId="2" fontId="91" fillId="0" borderId="1" xfId="0" applyNumberFormat="1" applyFont="1" applyFill="1" applyBorder="1" applyAlignment="1" applyProtection="1">
      <alignment horizontal="right" vertical="center"/>
    </xf>
    <xf numFmtId="2" fontId="57" fillId="0" borderId="0" xfId="62" applyNumberFormat="1" applyFont="1" applyAlignment="1" applyProtection="1">
      <alignment horizontal="right" vertical="center"/>
    </xf>
    <xf numFmtId="2" fontId="79" fillId="27" borderId="1" xfId="1" applyNumberFormat="1" applyFont="1" applyFill="1" applyBorder="1" applyAlignment="1" applyProtection="1">
      <alignment horizontal="right" vertical="center" wrapText="1"/>
    </xf>
    <xf numFmtId="2" fontId="91" fillId="13" borderId="1" xfId="0" applyNumberFormat="1" applyFont="1" applyFill="1" applyBorder="1" applyAlignment="1" applyProtection="1">
      <alignment vertical="center"/>
    </xf>
    <xf numFmtId="0" fontId="103" fillId="13" borderId="1" xfId="0" applyFont="1" applyFill="1" applyBorder="1" applyAlignment="1" applyProtection="1">
      <alignment horizontal="left" vertical="center" wrapText="1"/>
      <protection locked="0"/>
    </xf>
    <xf numFmtId="2" fontId="103" fillId="13" borderId="1" xfId="0" applyNumberFormat="1" applyFont="1" applyFill="1" applyBorder="1" applyAlignment="1" applyProtection="1">
      <alignment horizontal="right" vertical="center"/>
      <protection locked="0"/>
    </xf>
    <xf numFmtId="0" fontId="103" fillId="0" borderId="1" xfId="0" applyFont="1" applyBorder="1" applyAlignment="1" applyProtection="1">
      <alignment horizontal="left" vertical="center" wrapText="1"/>
    </xf>
    <xf numFmtId="2" fontId="103" fillId="45" borderId="1" xfId="1" applyNumberFormat="1" applyFont="1" applyFill="1" applyBorder="1" applyAlignment="1" applyProtection="1">
      <alignment vertical="center"/>
      <protection locked="0"/>
    </xf>
    <xf numFmtId="2" fontId="106" fillId="0" borderId="1" xfId="1" applyNumberFormat="1" applyFont="1" applyFill="1" applyBorder="1" applyAlignment="1" applyProtection="1">
      <alignment horizontal="right" vertical="center" wrapText="1"/>
    </xf>
    <xf numFmtId="2" fontId="106" fillId="0" borderId="1" xfId="1" applyNumberFormat="1" applyFont="1" applyFill="1" applyBorder="1" applyAlignment="1" applyProtection="1">
      <alignment horizontal="left" vertical="center" wrapText="1"/>
    </xf>
    <xf numFmtId="2" fontId="79" fillId="2" borderId="1" xfId="1" applyNumberFormat="1" applyFont="1" applyFill="1" applyBorder="1" applyAlignment="1" applyProtection="1">
      <alignment vertical="center" wrapText="1"/>
    </xf>
    <xf numFmtId="2" fontId="57" fillId="0" borderId="1" xfId="1" applyNumberFormat="1" applyFont="1" applyBorder="1" applyAlignment="1" applyProtection="1">
      <alignment vertical="center" wrapText="1"/>
    </xf>
    <xf numFmtId="2" fontId="57" fillId="0" borderId="1" xfId="1" applyNumberFormat="1" applyFont="1" applyFill="1" applyBorder="1" applyAlignment="1" applyProtection="1">
      <alignment vertical="center" wrapText="1"/>
    </xf>
    <xf numFmtId="2" fontId="103" fillId="13" borderId="1" xfId="0" applyNumberFormat="1" applyFont="1" applyFill="1" applyBorder="1" applyAlignment="1" applyProtection="1">
      <alignment horizontal="left" vertical="center" wrapText="1"/>
    </xf>
    <xf numFmtId="2" fontId="103" fillId="13" borderId="1" xfId="1" applyNumberFormat="1" applyFont="1" applyFill="1" applyBorder="1" applyAlignment="1" applyProtection="1">
      <alignment vertical="center"/>
    </xf>
    <xf numFmtId="0" fontId="15" fillId="0" borderId="1" xfId="38" applyFont="1" applyFill="1" applyBorder="1" applyAlignment="1" applyProtection="1">
      <alignment horizontal="left" vertical="center" wrapText="1"/>
      <protection locked="0"/>
    </xf>
    <xf numFmtId="0" fontId="15" fillId="11" borderId="1" xfId="38" applyFont="1" applyFill="1" applyBorder="1" applyAlignment="1" applyProtection="1">
      <alignment horizontal="left" vertical="center" wrapText="1"/>
      <protection locked="0"/>
    </xf>
    <xf numFmtId="0" fontId="0" fillId="0" borderId="0" xfId="0" applyFill="1" applyAlignment="1" applyProtection="1">
      <alignment vertical="top" wrapText="1"/>
      <protection locked="0"/>
    </xf>
    <xf numFmtId="0" fontId="142" fillId="4" borderId="0" xfId="0" applyFont="1" applyFill="1" applyAlignment="1" applyProtection="1">
      <alignment horizontal="justify" vertical="top" wrapText="1"/>
      <protection locked="0"/>
    </xf>
    <xf numFmtId="0" fontId="15" fillId="13" borderId="0" xfId="87" applyFont="1" applyFill="1" applyAlignment="1" applyProtection="1">
      <alignment vertical="center"/>
    </xf>
    <xf numFmtId="2" fontId="103" fillId="0" borderId="1" xfId="0" applyNumberFormat="1" applyFont="1" applyFill="1" applyBorder="1" applyAlignment="1" applyProtection="1">
      <alignment vertical="center" wrapText="1"/>
    </xf>
    <xf numFmtId="2" fontId="82" fillId="13" borderId="1" xfId="1" applyNumberFormat="1" applyFont="1" applyFill="1" applyBorder="1" applyAlignment="1" applyProtection="1">
      <alignment horizontal="right" vertical="center"/>
      <protection locked="0"/>
    </xf>
    <xf numFmtId="0" fontId="82" fillId="0" borderId="1" xfId="38" applyFont="1" applyFill="1" applyBorder="1" applyAlignment="1" applyProtection="1">
      <alignment horizontal="left" vertical="center" wrapText="1"/>
    </xf>
    <xf numFmtId="0" fontId="79" fillId="2" borderId="1" xfId="40" applyFont="1" applyFill="1" applyBorder="1" applyAlignment="1" applyProtection="1">
      <alignment horizontal="left" vertical="center" wrapText="1"/>
    </xf>
    <xf numFmtId="0" fontId="24" fillId="0" borderId="1" xfId="4" applyFont="1" applyFill="1" applyBorder="1" applyAlignment="1" applyProtection="1">
      <alignment vertical="center" wrapText="1"/>
    </xf>
    <xf numFmtId="0" fontId="14" fillId="0" borderId="0" xfId="87" applyFont="1" applyFill="1" applyAlignment="1" applyProtection="1">
      <alignment vertical="center"/>
    </xf>
    <xf numFmtId="0" fontId="142" fillId="0" borderId="1" xfId="0" applyFont="1" applyFill="1" applyBorder="1" applyAlignment="1">
      <alignment horizontal="left" vertical="top" wrapText="1"/>
    </xf>
    <xf numFmtId="0" fontId="142" fillId="0" borderId="0" xfId="0" applyFont="1" applyAlignment="1">
      <alignment horizontal="left" vertical="top" wrapText="1"/>
    </xf>
    <xf numFmtId="0" fontId="142" fillId="41" borderId="21" xfId="0" applyFont="1" applyFill="1" applyBorder="1" applyAlignment="1">
      <alignment horizontal="left" vertical="top" wrapText="1"/>
    </xf>
    <xf numFmtId="43" fontId="148" fillId="29" borderId="1" xfId="1" applyFont="1" applyFill="1" applyBorder="1" applyAlignment="1" applyProtection="1">
      <alignment horizontal="center" vertical="top" wrapText="1"/>
    </xf>
    <xf numFmtId="43" fontId="148" fillId="0" borderId="1" xfId="1" applyFont="1" applyFill="1" applyBorder="1" applyAlignment="1" applyProtection="1">
      <alignment horizontal="center" vertical="top" wrapText="1"/>
    </xf>
    <xf numFmtId="0" fontId="147" fillId="5" borderId="1" xfId="38" applyFont="1" applyFill="1" applyBorder="1" applyAlignment="1" applyProtection="1">
      <alignment horizontal="center" vertical="top" wrapText="1"/>
    </xf>
    <xf numFmtId="0" fontId="149" fillId="7" borderId="1" xfId="8" applyFont="1" applyFill="1" applyBorder="1" applyAlignment="1" applyProtection="1">
      <alignment horizontal="left" vertical="top" wrapText="1"/>
    </xf>
    <xf numFmtId="0" fontId="146" fillId="2" borderId="1" xfId="8" applyFont="1" applyFill="1" applyBorder="1" applyAlignment="1" applyProtection="1">
      <alignment horizontal="left" vertical="top" wrapText="1"/>
    </xf>
    <xf numFmtId="0" fontId="146" fillId="4" borderId="1" xfId="8" applyFont="1" applyFill="1" applyBorder="1" applyAlignment="1" applyProtection="1">
      <alignment horizontal="left" vertical="top" wrapText="1"/>
    </xf>
    <xf numFmtId="0" fontId="150" fillId="0" borderId="1" xfId="8" applyFont="1" applyBorder="1" applyAlignment="1" applyProtection="1">
      <alignment horizontal="left" vertical="top" wrapText="1"/>
      <protection locked="0"/>
    </xf>
    <xf numFmtId="0" fontId="148" fillId="26" borderId="1" xfId="8" applyFont="1" applyFill="1" applyBorder="1" applyAlignment="1" applyProtection="1">
      <alignment horizontal="left" vertical="top" wrapText="1"/>
      <protection locked="0"/>
    </xf>
    <xf numFmtId="0" fontId="146" fillId="26" borderId="1" xfId="8" applyFont="1" applyFill="1" applyBorder="1" applyAlignment="1" applyProtection="1">
      <alignment horizontal="left" vertical="top" wrapText="1"/>
      <protection locked="0"/>
    </xf>
    <xf numFmtId="0" fontId="146" fillId="0" borderId="1" xfId="8" applyFont="1" applyFill="1" applyBorder="1" applyAlignment="1" applyProtection="1">
      <alignment horizontal="left" vertical="top" wrapText="1"/>
      <protection locked="0"/>
    </xf>
    <xf numFmtId="0" fontId="146" fillId="0" borderId="1" xfId="8" applyFont="1" applyBorder="1" applyAlignment="1" applyProtection="1">
      <alignment horizontal="left" vertical="top" wrapText="1"/>
      <protection locked="0"/>
    </xf>
    <xf numFmtId="0" fontId="146" fillId="4" borderId="1" xfId="8" applyFont="1" applyFill="1" applyBorder="1" applyAlignment="1" applyProtection="1">
      <alignment horizontal="left" vertical="top" wrapText="1"/>
      <protection locked="0"/>
    </xf>
    <xf numFmtId="0" fontId="150" fillId="0" borderId="1" xfId="8" applyFont="1" applyFill="1" applyBorder="1" applyAlignment="1" applyProtection="1">
      <alignment horizontal="left" vertical="top" wrapText="1"/>
      <protection locked="0"/>
    </xf>
    <xf numFmtId="0" fontId="150" fillId="3" borderId="1" xfId="8" applyFont="1" applyFill="1" applyBorder="1" applyAlignment="1" applyProtection="1">
      <alignment horizontal="left" vertical="top" wrapText="1"/>
      <protection locked="0"/>
    </xf>
    <xf numFmtId="0" fontId="150" fillId="31" borderId="1" xfId="8" applyFont="1" applyFill="1" applyBorder="1" applyAlignment="1" applyProtection="1">
      <alignment horizontal="left" vertical="top" wrapText="1"/>
      <protection locked="0"/>
    </xf>
    <xf numFmtId="0" fontId="150" fillId="0" borderId="1" xfId="8" applyFont="1" applyFill="1" applyBorder="1" applyAlignment="1" applyProtection="1">
      <alignment horizontal="left" vertical="top" wrapText="1"/>
    </xf>
    <xf numFmtId="0" fontId="147" fillId="3" borderId="1" xfId="8" applyFont="1" applyFill="1" applyBorder="1" applyAlignment="1" applyProtection="1">
      <alignment horizontal="left" vertical="top" wrapText="1"/>
      <protection locked="0"/>
    </xf>
    <xf numFmtId="0" fontId="146" fillId="2" borderId="1" xfId="8" applyFont="1" applyFill="1" applyBorder="1" applyAlignment="1" applyProtection="1">
      <alignment horizontal="left" vertical="top" wrapText="1"/>
      <protection locked="0"/>
    </xf>
    <xf numFmtId="0" fontId="146" fillId="0" borderId="1" xfId="8" applyFont="1" applyBorder="1" applyAlignment="1" applyProtection="1">
      <alignment horizontal="left" vertical="top" wrapText="1"/>
    </xf>
    <xf numFmtId="0" fontId="150" fillId="0" borderId="1" xfId="8" applyFont="1" applyBorder="1" applyAlignment="1" applyProtection="1">
      <alignment horizontal="left" vertical="top" wrapText="1"/>
    </xf>
    <xf numFmtId="0" fontId="150" fillId="0" borderId="0" xfId="8" applyFont="1" applyAlignment="1" applyProtection="1">
      <alignment horizontal="left" vertical="top" wrapText="1"/>
    </xf>
    <xf numFmtId="43" fontId="82" fillId="0" borderId="1" xfId="1" applyFont="1" applyFill="1" applyBorder="1" applyAlignment="1" applyProtection="1">
      <alignment vertical="center"/>
      <protection locked="0"/>
    </xf>
    <xf numFmtId="0" fontId="151" fillId="0" borderId="1" xfId="8" applyFont="1" applyBorder="1" applyAlignment="1" applyProtection="1">
      <alignment vertical="center" wrapText="1"/>
      <protection locked="0"/>
    </xf>
    <xf numFmtId="2" fontId="55" fillId="2" borderId="3" xfId="1" applyNumberFormat="1" applyFont="1" applyFill="1" applyBorder="1" applyAlignment="1" applyProtection="1">
      <alignment horizontal="center" vertical="center" wrapText="1"/>
    </xf>
    <xf numFmtId="0" fontId="13" fillId="0" borderId="1" xfId="97" applyFont="1" applyBorder="1" applyAlignment="1" applyProtection="1">
      <alignment horizontal="center" vertical="center" wrapText="1"/>
    </xf>
    <xf numFmtId="43" fontId="82" fillId="0" borderId="0" xfId="0" applyNumberFormat="1" applyFont="1" applyFill="1" applyBorder="1" applyAlignment="1" applyProtection="1">
      <alignment vertical="center" wrapText="1"/>
    </xf>
    <xf numFmtId="2" fontId="61" fillId="0" borderId="0" xfId="8" applyNumberFormat="1" applyFont="1" applyAlignment="1" applyProtection="1">
      <alignment vertical="center" wrapText="1"/>
    </xf>
    <xf numFmtId="2" fontId="79" fillId="20" borderId="1" xfId="8" applyNumberFormat="1" applyFont="1" applyFill="1" applyBorder="1" applyAlignment="1" applyProtection="1">
      <alignment horizontal="right" vertical="center" wrapText="1"/>
    </xf>
    <xf numFmtId="2" fontId="82" fillId="0" borderId="1" xfId="1" applyNumberFormat="1" applyFont="1" applyBorder="1" applyAlignment="1" applyProtection="1">
      <alignment horizontal="left" vertical="center" wrapText="1"/>
    </xf>
    <xf numFmtId="1" fontId="82" fillId="0" borderId="1" xfId="1" applyNumberFormat="1" applyFont="1" applyBorder="1" applyAlignment="1" applyProtection="1">
      <alignment horizontal="left" vertical="center" wrapText="1"/>
    </xf>
    <xf numFmtId="2" fontId="82" fillId="0" borderId="1" xfId="1" applyNumberFormat="1" applyFont="1" applyFill="1" applyBorder="1" applyAlignment="1" applyProtection="1">
      <alignment horizontal="center" vertical="center"/>
      <protection locked="0"/>
    </xf>
    <xf numFmtId="2" fontId="59" fillId="0" borderId="0" xfId="0" applyNumberFormat="1" applyFont="1" applyFill="1" applyBorder="1" applyAlignment="1" applyProtection="1">
      <alignment vertical="center"/>
    </xf>
    <xf numFmtId="2" fontId="55" fillId="2" borderId="1" xfId="0" applyNumberFormat="1" applyFont="1" applyFill="1" applyBorder="1" applyAlignment="1" applyProtection="1">
      <alignment vertical="center"/>
    </xf>
    <xf numFmtId="2" fontId="82" fillId="2" borderId="1" xfId="0" applyNumberFormat="1" applyFont="1" applyFill="1" applyBorder="1" applyAlignment="1" applyProtection="1">
      <alignment vertical="center"/>
    </xf>
    <xf numFmtId="2" fontId="82" fillId="0" borderId="1" xfId="0" applyNumberFormat="1" applyFont="1" applyBorder="1" applyAlignment="1" applyProtection="1">
      <alignment vertical="center"/>
    </xf>
    <xf numFmtId="2" fontId="82" fillId="0" borderId="0" xfId="0" applyNumberFormat="1" applyFont="1" applyAlignment="1" applyProtection="1">
      <alignment vertical="center"/>
    </xf>
    <xf numFmtId="2" fontId="82" fillId="0" borderId="2" xfId="0" applyNumberFormat="1" applyFont="1" applyBorder="1" applyAlignment="1" applyProtection="1">
      <alignment vertical="center"/>
      <protection locked="0"/>
    </xf>
    <xf numFmtId="2" fontId="55" fillId="50" borderId="1" xfId="0" applyNumberFormat="1" applyFont="1" applyFill="1" applyBorder="1" applyAlignment="1" applyProtection="1">
      <alignment horizontal="right" vertical="center"/>
    </xf>
    <xf numFmtId="2" fontId="59" fillId="0" borderId="0" xfId="1" applyNumberFormat="1" applyFont="1" applyFill="1" applyBorder="1" applyAlignment="1" applyProtection="1">
      <alignment vertical="center"/>
    </xf>
    <xf numFmtId="2" fontId="79" fillId="2" borderId="1" xfId="1" applyNumberFormat="1" applyFont="1" applyFill="1" applyBorder="1" applyAlignment="1" applyProtection="1">
      <alignment horizontal="center" vertical="center"/>
    </xf>
    <xf numFmtId="2" fontId="79" fillId="2" borderId="1" xfId="1" applyNumberFormat="1" applyFont="1" applyFill="1" applyBorder="1" applyAlignment="1" applyProtection="1">
      <alignment horizontal="center" vertical="center"/>
      <protection locked="0"/>
    </xf>
    <xf numFmtId="2" fontId="82" fillId="0" borderId="0" xfId="1" applyNumberFormat="1" applyFont="1" applyAlignment="1" applyProtection="1">
      <alignment vertical="center"/>
    </xf>
    <xf numFmtId="0" fontId="12" fillId="0" borderId="1" xfId="0" applyFont="1" applyFill="1" applyBorder="1" applyAlignment="1" applyProtection="1">
      <alignment horizontal="left" vertical="center" wrapText="1"/>
      <protection locked="0"/>
    </xf>
    <xf numFmtId="2" fontId="84" fillId="7" borderId="1" xfId="1" applyNumberFormat="1" applyFont="1" applyFill="1" applyBorder="1" applyAlignment="1" applyProtection="1">
      <alignment horizontal="right" vertical="center" wrapText="1"/>
    </xf>
    <xf numFmtId="2" fontId="84" fillId="2" borderId="1" xfId="1" applyNumberFormat="1" applyFont="1" applyFill="1" applyBorder="1" applyAlignment="1" applyProtection="1">
      <alignment horizontal="right" vertical="center" wrapText="1"/>
    </xf>
    <xf numFmtId="2" fontId="84" fillId="35" borderId="1" xfId="1" applyNumberFormat="1" applyFont="1" applyFill="1" applyBorder="1" applyAlignment="1" applyProtection="1">
      <alignment horizontal="right" vertical="center" wrapText="1"/>
    </xf>
    <xf numFmtId="2" fontId="82" fillId="0" borderId="1" xfId="1" applyNumberFormat="1" applyFont="1" applyFill="1" applyBorder="1" applyAlignment="1" applyProtection="1">
      <alignment vertical="center" wrapText="1"/>
    </xf>
    <xf numFmtId="2" fontId="82" fillId="0" borderId="1" xfId="1" applyNumberFormat="1" applyFont="1" applyFill="1" applyBorder="1" applyAlignment="1" applyProtection="1">
      <alignment horizontal="right" vertical="center"/>
    </xf>
    <xf numFmtId="0" fontId="11" fillId="0" borderId="0" xfId="38" applyFont="1" applyBorder="1" applyAlignment="1" applyProtection="1">
      <alignment horizontal="center" vertical="center" wrapText="1"/>
    </xf>
    <xf numFmtId="0" fontId="11" fillId="0" borderId="0" xfId="8" applyFont="1" applyAlignment="1" applyProtection="1">
      <alignment horizontal="center" vertical="center" wrapText="1"/>
    </xf>
    <xf numFmtId="0" fontId="11" fillId="0" borderId="0" xfId="11" applyFont="1" applyAlignment="1" applyProtection="1">
      <alignment horizontal="center" vertical="center" wrapText="1"/>
    </xf>
    <xf numFmtId="0" fontId="11" fillId="0" borderId="0" xfId="8" applyFont="1" applyAlignment="1" applyProtection="1">
      <alignment horizontal="center" vertical="center"/>
    </xf>
    <xf numFmtId="0" fontId="142" fillId="0" borderId="1" xfId="0" applyFont="1" applyBorder="1" applyAlignment="1">
      <alignment horizontal="left" wrapText="1"/>
    </xf>
    <xf numFmtId="0" fontId="152" fillId="13" borderId="1" xfId="8" applyFont="1" applyFill="1" applyBorder="1" applyAlignment="1" applyProtection="1">
      <alignment horizontal="left" vertical="center" wrapText="1"/>
      <protection locked="0"/>
    </xf>
    <xf numFmtId="2" fontId="11" fillId="11" borderId="1" xfId="4" applyNumberFormat="1" applyFont="1" applyFill="1" applyBorder="1" applyAlignment="1" applyProtection="1">
      <alignment horizontal="left" vertical="center" wrapText="1"/>
      <protection locked="0"/>
    </xf>
    <xf numFmtId="0" fontId="11" fillId="0" borderId="0" xfId="11" applyFont="1" applyAlignment="1" applyProtection="1">
      <alignment horizontal="center" vertical="center"/>
    </xf>
    <xf numFmtId="0" fontId="11" fillId="0" borderId="0" xfId="48" applyFont="1" applyAlignment="1" applyProtection="1">
      <alignment horizontal="center" vertical="center"/>
    </xf>
    <xf numFmtId="2" fontId="57" fillId="0" borderId="0" xfId="48" applyNumberFormat="1" applyFont="1" applyProtection="1"/>
    <xf numFmtId="2" fontId="57" fillId="0" borderId="0" xfId="48" applyNumberFormat="1" applyFont="1" applyAlignment="1" applyProtection="1">
      <alignment vertical="center"/>
    </xf>
    <xf numFmtId="2" fontId="57" fillId="0" borderId="0" xfId="11" applyNumberFormat="1" applyFont="1" applyProtection="1"/>
    <xf numFmtId="0" fontId="11" fillId="0" borderId="0" xfId="97" applyFont="1" applyAlignment="1" applyProtection="1">
      <alignment horizontal="center" vertical="center"/>
    </xf>
    <xf numFmtId="2" fontId="57" fillId="0" borderId="0" xfId="97" applyNumberFormat="1" applyFont="1" applyAlignment="1" applyProtection="1">
      <alignment vertical="center"/>
    </xf>
    <xf numFmtId="0" fontId="71" fillId="0" borderId="1" xfId="0" applyFont="1" applyBorder="1" applyAlignment="1" applyProtection="1">
      <alignment horizontal="left" vertical="center" wrapText="1"/>
      <protection locked="0"/>
    </xf>
    <xf numFmtId="0" fontId="11" fillId="0" borderId="0" xfId="38" applyFont="1" applyAlignment="1" applyProtection="1">
      <alignment horizontal="center" vertical="center" wrapText="1"/>
    </xf>
    <xf numFmtId="0" fontId="72" fillId="2" borderId="1" xfId="48" applyFont="1" applyFill="1" applyBorder="1" applyAlignment="1" applyProtection="1">
      <alignment horizontal="left" vertical="center" wrapText="1"/>
      <protection locked="0"/>
    </xf>
    <xf numFmtId="1" fontId="57" fillId="0" borderId="1" xfId="8" applyNumberFormat="1" applyFont="1" applyBorder="1" applyAlignment="1" applyProtection="1">
      <alignment horizontal="left" vertical="center" wrapText="1"/>
    </xf>
    <xf numFmtId="0" fontId="142" fillId="0" borderId="1" xfId="0" applyFont="1" applyFill="1" applyBorder="1" applyAlignment="1">
      <alignment horizontal="left" vertical="center" wrapText="1"/>
    </xf>
    <xf numFmtId="0" fontId="150" fillId="0" borderId="1" xfId="8" applyFont="1" applyFill="1" applyBorder="1" applyAlignment="1" applyProtection="1">
      <alignment vertical="top" wrapText="1"/>
      <protection locked="0"/>
    </xf>
    <xf numFmtId="0" fontId="82" fillId="13" borderId="1" xfId="0" applyFont="1" applyFill="1" applyBorder="1" applyAlignment="1" applyProtection="1">
      <alignment horizontal="left" vertical="top" wrapText="1"/>
      <protection locked="0"/>
    </xf>
    <xf numFmtId="2" fontId="79" fillId="0" borderId="1" xfId="48" applyNumberFormat="1" applyFont="1" applyFill="1" applyBorder="1" applyAlignment="1" applyProtection="1">
      <alignment horizontal="left" vertical="top" wrapText="1"/>
      <protection locked="0"/>
    </xf>
    <xf numFmtId="0" fontId="146" fillId="0" borderId="1" xfId="0" applyFont="1" applyFill="1" applyBorder="1" applyAlignment="1">
      <alignment vertical="top" wrapText="1"/>
    </xf>
    <xf numFmtId="2" fontId="10" fillId="0" borderId="1" xfId="48" applyNumberFormat="1" applyFont="1" applyFill="1" applyBorder="1" applyAlignment="1" applyProtection="1">
      <alignment horizontal="left" vertical="center" wrapText="1"/>
      <protection locked="0"/>
    </xf>
    <xf numFmtId="0" fontId="142" fillId="0" borderId="0" xfId="0" applyFont="1" applyFill="1" applyAlignment="1">
      <alignment wrapText="1"/>
    </xf>
    <xf numFmtId="0" fontId="82" fillId="0" borderId="1" xfId="0" applyFont="1" applyBorder="1" applyAlignment="1" applyProtection="1">
      <alignment horizontal="center" vertical="center" wrapText="1"/>
    </xf>
    <xf numFmtId="0" fontId="82" fillId="0" borderId="1" xfId="8" applyFont="1" applyFill="1" applyBorder="1" applyAlignment="1" applyProtection="1">
      <alignment horizontal="center" vertical="center" wrapText="1"/>
    </xf>
    <xf numFmtId="43" fontId="61" fillId="0" borderId="0" xfId="38" applyNumberFormat="1" applyFont="1" applyBorder="1" applyAlignment="1" applyProtection="1">
      <alignment vertical="center" wrapText="1"/>
    </xf>
    <xf numFmtId="0" fontId="82" fillId="0" borderId="1" xfId="8" applyFont="1" applyFill="1" applyBorder="1" applyAlignment="1" applyProtection="1">
      <alignment horizontal="left" vertical="top" wrapText="1"/>
    </xf>
    <xf numFmtId="43" fontId="82" fillId="0" borderId="0" xfId="8" applyNumberFormat="1" applyFont="1" applyAlignment="1" applyProtection="1">
      <alignment vertical="center" wrapText="1"/>
    </xf>
    <xf numFmtId="0" fontId="9" fillId="0" borderId="1" xfId="8" applyFont="1" applyFill="1" applyBorder="1" applyAlignment="1" applyProtection="1">
      <alignment horizontal="left" vertical="center"/>
    </xf>
    <xf numFmtId="0" fontId="9" fillId="11" borderId="1" xfId="0" applyFont="1" applyFill="1" applyBorder="1" applyAlignment="1" applyProtection="1">
      <alignment horizontal="left" vertical="center" wrapText="1"/>
      <protection locked="0"/>
    </xf>
    <xf numFmtId="1" fontId="57" fillId="0" borderId="1" xfId="8" applyNumberFormat="1" applyFont="1" applyFill="1" applyBorder="1" applyAlignment="1" applyProtection="1">
      <alignment horizontal="left" vertical="center" wrapText="1"/>
    </xf>
    <xf numFmtId="2" fontId="57" fillId="10" borderId="1" xfId="8" applyNumberFormat="1" applyFont="1" applyFill="1" applyBorder="1" applyAlignment="1" applyProtection="1">
      <alignment horizontal="left" vertical="center" wrapText="1"/>
      <protection locked="0"/>
    </xf>
    <xf numFmtId="1" fontId="57" fillId="10" borderId="1" xfId="8" applyNumberFormat="1" applyFont="1" applyFill="1" applyBorder="1" applyAlignment="1" applyProtection="1">
      <alignment horizontal="left" vertical="center" wrapText="1"/>
      <protection locked="0"/>
    </xf>
    <xf numFmtId="1" fontId="79" fillId="6" borderId="1" xfId="8" applyNumberFormat="1" applyFont="1" applyFill="1" applyBorder="1" applyAlignment="1" applyProtection="1">
      <alignment horizontal="left" vertical="center" wrapText="1"/>
    </xf>
    <xf numFmtId="0" fontId="9" fillId="0" borderId="1" xfId="11" applyFont="1" applyFill="1" applyBorder="1" applyAlignment="1" applyProtection="1">
      <alignment horizontal="left" vertical="center"/>
    </xf>
    <xf numFmtId="2" fontId="57" fillId="0" borderId="0" xfId="11" applyNumberFormat="1" applyFont="1" applyAlignment="1" applyProtection="1">
      <alignment vertical="top"/>
    </xf>
    <xf numFmtId="0" fontId="83" fillId="37" borderId="9" xfId="3" applyFont="1" applyFill="1" applyBorder="1" applyAlignment="1" applyProtection="1">
      <alignment horizontal="left"/>
    </xf>
    <xf numFmtId="0" fontId="83" fillId="37" borderId="14" xfId="3" applyFont="1" applyFill="1" applyBorder="1" applyAlignment="1" applyProtection="1">
      <alignment horizontal="left"/>
    </xf>
    <xf numFmtId="43" fontId="84" fillId="0" borderId="12" xfId="1" applyFont="1" applyFill="1" applyBorder="1" applyAlignment="1" applyProtection="1">
      <alignment horizontal="center" vertical="center" wrapText="1"/>
    </xf>
    <xf numFmtId="43" fontId="81" fillId="0" borderId="0" xfId="0" applyNumberFormat="1" applyFont="1" applyFill="1" applyBorder="1" applyAlignment="1" applyProtection="1">
      <alignment horizontal="center" vertical="center" wrapText="1"/>
    </xf>
    <xf numFmtId="0" fontId="144" fillId="0" borderId="22" xfId="0" applyFont="1" applyFill="1" applyBorder="1" applyAlignment="1">
      <alignment horizontal="justify" vertical="center" wrapText="1"/>
    </xf>
    <xf numFmtId="2" fontId="79" fillId="0" borderId="1" xfId="48" applyNumberFormat="1" applyFont="1" applyFill="1" applyBorder="1" applyAlignment="1" applyProtection="1">
      <alignment horizontal="right" vertical="top" wrapText="1"/>
      <protection locked="0"/>
    </xf>
    <xf numFmtId="0" fontId="9" fillId="0" borderId="1" xfId="48" applyFont="1" applyBorder="1" applyAlignment="1" applyProtection="1">
      <alignment horizontal="left" vertical="center"/>
    </xf>
    <xf numFmtId="0" fontId="142" fillId="0" borderId="1" xfId="0" applyFont="1" applyFill="1" applyBorder="1" applyAlignment="1">
      <alignment vertical="top" wrapText="1"/>
    </xf>
    <xf numFmtId="2" fontId="9" fillId="10" borderId="1" xfId="48" applyNumberFormat="1" applyFont="1" applyFill="1" applyBorder="1" applyAlignment="1" applyProtection="1">
      <alignment horizontal="left" vertical="center" wrapText="1"/>
      <protection locked="0"/>
    </xf>
    <xf numFmtId="0" fontId="61" fillId="0" borderId="1" xfId="38" applyFont="1" applyBorder="1" applyAlignment="1" applyProtection="1">
      <alignment horizontal="center" vertical="center" wrapText="1"/>
    </xf>
    <xf numFmtId="0" fontId="79" fillId="27" borderId="0" xfId="8" applyFont="1" applyFill="1" applyBorder="1" applyAlignment="1" applyProtection="1">
      <alignment horizontal="center" vertical="center"/>
    </xf>
    <xf numFmtId="0" fontId="79" fillId="27" borderId="0" xfId="0" applyFont="1" applyFill="1" applyBorder="1" applyAlignment="1" applyProtection="1">
      <alignment horizontal="center" vertical="center" wrapText="1"/>
    </xf>
    <xf numFmtId="0" fontId="84" fillId="0" borderId="1" xfId="0" applyFont="1" applyBorder="1" applyAlignment="1" applyProtection="1">
      <alignment horizontal="center" vertical="top" wrapText="1"/>
    </xf>
    <xf numFmtId="0" fontId="57" fillId="0" borderId="1" xfId="11" applyFont="1" applyBorder="1" applyAlignment="1" applyProtection="1">
      <alignment vertical="center" wrapText="1"/>
    </xf>
    <xf numFmtId="0" fontId="57" fillId="0" borderId="1" xfId="62" applyFont="1" applyBorder="1" applyAlignment="1" applyProtection="1">
      <alignment vertical="center"/>
    </xf>
    <xf numFmtId="2" fontId="82" fillId="0" borderId="1" xfId="4" applyNumberFormat="1" applyFont="1" applyBorder="1" applyAlignment="1" applyProtection="1">
      <alignment horizontal="left" vertical="center" wrapText="1"/>
    </xf>
    <xf numFmtId="0" fontId="57" fillId="0" borderId="1" xfId="11" applyFont="1" applyBorder="1" applyAlignment="1" applyProtection="1">
      <alignment vertical="center"/>
    </xf>
    <xf numFmtId="2" fontId="84" fillId="5" borderId="5" xfId="38" applyNumberFormat="1" applyFont="1" applyFill="1" applyBorder="1" applyAlignment="1" applyProtection="1">
      <alignment horizontal="center" vertical="center" wrapText="1"/>
    </xf>
    <xf numFmtId="2" fontId="77" fillId="7" borderId="5" xfId="38" applyNumberFormat="1" applyFont="1" applyFill="1" applyBorder="1" applyAlignment="1" applyProtection="1">
      <alignment horizontal="right" vertical="center" wrapText="1"/>
    </xf>
    <xf numFmtId="2" fontId="79" fillId="2" borderId="5" xfId="38" applyNumberFormat="1" applyFont="1" applyFill="1" applyBorder="1" applyAlignment="1" applyProtection="1">
      <alignment horizontal="right" vertical="center" wrapText="1"/>
    </xf>
    <xf numFmtId="2" fontId="82" fillId="0" borderId="5" xfId="8" applyNumberFormat="1" applyFont="1" applyBorder="1" applyAlignment="1" applyProtection="1">
      <alignment horizontal="right" vertical="center" wrapText="1"/>
    </xf>
    <xf numFmtId="43" fontId="96" fillId="0" borderId="5" xfId="1" applyFont="1" applyBorder="1" applyAlignment="1" applyProtection="1">
      <alignment horizontal="left" vertical="center" wrapText="1"/>
    </xf>
    <xf numFmtId="2" fontId="82" fillId="0" borderId="5" xfId="8" applyNumberFormat="1" applyFont="1" applyBorder="1" applyAlignment="1" applyProtection="1">
      <alignment horizontal="right" vertical="center" wrapText="1"/>
      <protection locked="0"/>
    </xf>
    <xf numFmtId="2" fontId="84" fillId="2" borderId="5" xfId="8" applyNumberFormat="1" applyFont="1" applyFill="1" applyBorder="1" applyAlignment="1" applyProtection="1">
      <alignment horizontal="right" vertical="center" wrapText="1"/>
    </xf>
    <xf numFmtId="2" fontId="82" fillId="0" borderId="5" xfId="8" applyNumberFormat="1" applyFont="1" applyFill="1" applyBorder="1" applyAlignment="1" applyProtection="1">
      <alignment horizontal="right" vertical="center" wrapText="1"/>
      <protection locked="0"/>
    </xf>
    <xf numFmtId="2" fontId="84" fillId="4" borderId="5" xfId="8" applyNumberFormat="1" applyFont="1" applyFill="1" applyBorder="1" applyAlignment="1" applyProtection="1">
      <alignment horizontal="right" vertical="center" wrapText="1"/>
    </xf>
    <xf numFmtId="2" fontId="79" fillId="2" borderId="5" xfId="38" applyNumberFormat="1" applyFont="1" applyFill="1" applyBorder="1" applyAlignment="1" applyProtection="1">
      <alignment horizontal="right" vertical="center" wrapText="1"/>
      <protection locked="0"/>
    </xf>
    <xf numFmtId="2" fontId="79" fillId="0" borderId="5" xfId="38" applyNumberFormat="1" applyFont="1" applyFill="1" applyBorder="1" applyAlignment="1" applyProtection="1">
      <alignment horizontal="right" vertical="center" wrapText="1"/>
      <protection locked="0"/>
    </xf>
    <xf numFmtId="2" fontId="84" fillId="0" borderId="5" xfId="8" applyNumberFormat="1" applyFont="1" applyFill="1" applyBorder="1" applyAlignment="1" applyProtection="1">
      <alignment horizontal="right" vertical="center" wrapText="1"/>
    </xf>
    <xf numFmtId="2" fontId="82" fillId="11" borderId="5" xfId="8" applyNumberFormat="1" applyFont="1" applyFill="1" applyBorder="1" applyAlignment="1" applyProtection="1">
      <alignment horizontal="right" vertical="center" wrapText="1"/>
      <protection locked="0"/>
    </xf>
    <xf numFmtId="2" fontId="82" fillId="13" borderId="5" xfId="8" applyNumberFormat="1" applyFont="1" applyFill="1" applyBorder="1" applyAlignment="1" applyProtection="1">
      <alignment horizontal="right" vertical="center" wrapText="1"/>
      <protection locked="0"/>
    </xf>
    <xf numFmtId="2" fontId="84" fillId="26" borderId="5" xfId="8" applyNumberFormat="1" applyFont="1" applyFill="1" applyBorder="1" applyAlignment="1" applyProtection="1">
      <alignment horizontal="right" vertical="center" wrapText="1"/>
    </xf>
    <xf numFmtId="2" fontId="84" fillId="0" borderId="5" xfId="8" applyNumberFormat="1" applyFont="1" applyBorder="1" applyAlignment="1" applyProtection="1">
      <alignment horizontal="right" vertical="center" wrapText="1"/>
      <protection locked="0"/>
    </xf>
    <xf numFmtId="2" fontId="84" fillId="3" borderId="5" xfId="8" applyNumberFormat="1" applyFont="1" applyFill="1" applyBorder="1" applyAlignment="1" applyProtection="1">
      <alignment horizontal="right" vertical="center" wrapText="1"/>
    </xf>
    <xf numFmtId="2" fontId="84" fillId="0" borderId="5" xfId="8" applyNumberFormat="1" applyFont="1" applyBorder="1" applyAlignment="1" applyProtection="1">
      <alignment horizontal="right" vertical="center" wrapText="1"/>
    </xf>
    <xf numFmtId="2" fontId="77" fillId="7" borderId="5" xfId="38" applyNumberFormat="1" applyFont="1" applyFill="1" applyBorder="1" applyAlignment="1" applyProtection="1">
      <alignment horizontal="right" vertical="center" wrapText="1"/>
      <protection locked="0"/>
    </xf>
    <xf numFmtId="2" fontId="82" fillId="14" borderId="5" xfId="8" applyNumberFormat="1" applyFont="1" applyFill="1" applyBorder="1" applyAlignment="1" applyProtection="1">
      <alignment horizontal="right" vertical="center" wrapText="1"/>
      <protection locked="0"/>
    </xf>
    <xf numFmtId="2" fontId="84" fillId="2" borderId="5" xfId="8" applyNumberFormat="1" applyFont="1" applyFill="1" applyBorder="1" applyAlignment="1" applyProtection="1">
      <alignment horizontal="right" vertical="center" wrapText="1"/>
      <protection locked="0"/>
    </xf>
    <xf numFmtId="2" fontId="84" fillId="4" borderId="5" xfId="8" applyNumberFormat="1" applyFont="1" applyFill="1" applyBorder="1" applyAlignment="1" applyProtection="1">
      <alignment horizontal="right" vertical="center" wrapText="1"/>
      <protection locked="0"/>
    </xf>
    <xf numFmtId="2" fontId="84" fillId="18" borderId="5" xfId="8" applyNumberFormat="1" applyFont="1" applyFill="1" applyBorder="1" applyAlignment="1" applyProtection="1">
      <alignment horizontal="right" vertical="center" wrapText="1"/>
      <protection locked="0"/>
    </xf>
    <xf numFmtId="2" fontId="84" fillId="0" borderId="5" xfId="8" applyNumberFormat="1" applyFont="1" applyFill="1" applyBorder="1" applyAlignment="1" applyProtection="1">
      <alignment horizontal="right" vertical="center" wrapText="1"/>
      <protection locked="0"/>
    </xf>
    <xf numFmtId="2" fontId="82" fillId="0" borderId="1" xfId="0" applyNumberFormat="1" applyFont="1" applyBorder="1" applyAlignment="1" applyProtection="1">
      <alignment vertical="center" wrapText="1"/>
    </xf>
    <xf numFmtId="43" fontId="82" fillId="0" borderId="0" xfId="0" applyNumberFormat="1" applyFont="1" applyBorder="1" applyAlignment="1" applyProtection="1">
      <alignment vertical="center" wrapText="1"/>
    </xf>
    <xf numFmtId="2" fontId="82" fillId="0" borderId="1" xfId="0" applyNumberFormat="1" applyFont="1" applyFill="1" applyBorder="1" applyAlignment="1" applyProtection="1">
      <alignment vertical="center" wrapText="1"/>
    </xf>
    <xf numFmtId="2" fontId="82" fillId="0" borderId="1" xfId="8" applyNumberFormat="1" applyFont="1" applyFill="1" applyBorder="1" applyAlignment="1" applyProtection="1">
      <alignment vertical="center" wrapText="1"/>
    </xf>
    <xf numFmtId="0" fontId="153" fillId="0" borderId="5" xfId="9" applyFont="1" applyFill="1" applyBorder="1" applyAlignment="1" applyProtection="1">
      <alignment horizontal="left" vertical="center" wrapText="1"/>
      <protection locked="0"/>
    </xf>
    <xf numFmtId="0" fontId="155" fillId="0" borderId="1" xfId="0" applyFont="1" applyFill="1" applyBorder="1" applyAlignment="1" applyProtection="1">
      <alignment horizontal="left" vertical="top" wrapText="1"/>
    </xf>
    <xf numFmtId="0" fontId="91" fillId="0" borderId="1" xfId="0" applyFont="1" applyFill="1" applyBorder="1" applyAlignment="1" applyProtection="1">
      <alignment vertical="top" wrapText="1"/>
    </xf>
    <xf numFmtId="0" fontId="154" fillId="0" borderId="1" xfId="0" applyFont="1" applyFill="1" applyBorder="1" applyAlignment="1" applyProtection="1">
      <alignment vertical="top" wrapText="1"/>
    </xf>
    <xf numFmtId="2" fontId="91" fillId="0" borderId="1" xfId="1" applyNumberFormat="1" applyFont="1" applyFill="1" applyBorder="1" applyAlignment="1" applyProtection="1">
      <alignment horizontal="center" vertical="center"/>
    </xf>
    <xf numFmtId="0" fontId="57" fillId="0" borderId="1" xfId="87" applyFont="1" applyFill="1" applyBorder="1" applyAlignment="1" applyProtection="1">
      <alignment vertical="top"/>
    </xf>
    <xf numFmtId="0" fontId="57" fillId="0" borderId="1" xfId="4" applyFont="1" applyFill="1" applyBorder="1" applyAlignment="1" applyProtection="1">
      <alignment vertical="top" wrapText="1"/>
    </xf>
    <xf numFmtId="0" fontId="57" fillId="0" borderId="1" xfId="4" applyFont="1" applyFill="1" applyBorder="1" applyAlignment="1" applyProtection="1">
      <alignment vertical="top"/>
    </xf>
    <xf numFmtId="0" fontId="84" fillId="0" borderId="1" xfId="8" applyFont="1" applyFill="1" applyBorder="1" applyAlignment="1" applyProtection="1">
      <alignment horizontal="center" vertical="top" wrapText="1"/>
    </xf>
    <xf numFmtId="0" fontId="57" fillId="0" borderId="1" xfId="87" applyFont="1" applyFill="1" applyBorder="1" applyAlignment="1" applyProtection="1">
      <alignment horizontal="center" vertical="top" wrapText="1"/>
    </xf>
    <xf numFmtId="0" fontId="82" fillId="0" borderId="1" xfId="87" applyFont="1" applyFill="1" applyBorder="1" applyAlignment="1" applyProtection="1">
      <alignment vertical="top" wrapText="1"/>
      <protection locked="0"/>
    </xf>
    <xf numFmtId="0" fontId="82" fillId="0" borderId="1" xfId="87" applyFont="1" applyFill="1" applyBorder="1" applyAlignment="1" applyProtection="1">
      <alignment horizontal="center" vertical="top" wrapText="1"/>
      <protection locked="0"/>
    </xf>
    <xf numFmtId="167" fontId="82" fillId="0" borderId="1" xfId="87" applyNumberFormat="1" applyFont="1" applyFill="1" applyBorder="1" applyAlignment="1" applyProtection="1">
      <alignment horizontal="right" vertical="top"/>
      <protection locked="0"/>
    </xf>
    <xf numFmtId="2" fontId="84" fillId="0" borderId="1" xfId="87" applyNumberFormat="1" applyFont="1" applyFill="1" applyBorder="1" applyAlignment="1" applyProtection="1">
      <alignment vertical="top" wrapText="1"/>
      <protection locked="0"/>
    </xf>
    <xf numFmtId="0" fontId="57" fillId="0" borderId="1" xfId="8" applyFont="1" applyFill="1" applyBorder="1" applyAlignment="1" applyProtection="1">
      <alignment horizontal="center" vertical="top" wrapText="1"/>
      <protection locked="0"/>
    </xf>
    <xf numFmtId="2" fontId="57" fillId="0" borderId="1" xfId="0" applyNumberFormat="1" applyFont="1" applyFill="1" applyBorder="1" applyAlignment="1" applyProtection="1">
      <alignment horizontal="right" vertical="top" wrapText="1"/>
    </xf>
    <xf numFmtId="2" fontId="82" fillId="0" borderId="1" xfId="87" applyNumberFormat="1" applyFont="1" applyFill="1" applyBorder="1" applyAlignment="1" applyProtection="1">
      <alignment horizontal="right" vertical="top"/>
    </xf>
    <xf numFmtId="0" fontId="82" fillId="0" borderId="5" xfId="9" applyFont="1" applyFill="1" applyBorder="1" applyAlignment="1" applyProtection="1">
      <alignment horizontal="left" vertical="top" wrapText="1"/>
      <protection locked="0"/>
    </xf>
    <xf numFmtId="2" fontId="91" fillId="0" borderId="1" xfId="1" applyNumberFormat="1" applyFont="1" applyFill="1" applyBorder="1" applyAlignment="1" applyProtection="1">
      <alignment vertical="top"/>
    </xf>
    <xf numFmtId="0" fontId="57" fillId="0" borderId="0" xfId="87" applyFont="1" applyFill="1" applyAlignment="1" applyProtection="1">
      <alignment vertical="top"/>
    </xf>
    <xf numFmtId="0" fontId="156" fillId="0" borderId="5" xfId="88" applyFont="1" applyFill="1" applyBorder="1" applyAlignment="1" applyProtection="1">
      <alignment horizontal="left" vertical="center" wrapText="1"/>
      <protection locked="0"/>
    </xf>
    <xf numFmtId="0" fontId="79" fillId="0" borderId="1" xfId="4" applyFont="1" applyFill="1" applyBorder="1" applyAlignment="1" applyProtection="1">
      <alignment vertical="top" wrapText="1"/>
    </xf>
    <xf numFmtId="0" fontId="82" fillId="0" borderId="1" xfId="4" applyFont="1" applyFill="1" applyBorder="1" applyAlignment="1" applyProtection="1">
      <alignment horizontal="center" vertical="top" wrapText="1"/>
    </xf>
    <xf numFmtId="0" fontId="84" fillId="0" borderId="1" xfId="4" applyFont="1" applyFill="1" applyBorder="1" applyAlignment="1" applyProtection="1">
      <alignment vertical="top" wrapText="1"/>
      <protection locked="0"/>
    </xf>
    <xf numFmtId="2" fontId="84" fillId="0" borderId="1" xfId="4" applyNumberFormat="1" applyFont="1" applyFill="1" applyBorder="1" applyAlignment="1" applyProtection="1">
      <alignment horizontal="right" vertical="top" wrapText="1"/>
    </xf>
    <xf numFmtId="0" fontId="84" fillId="0" borderId="5" xfId="4" applyNumberFormat="1" applyFont="1" applyFill="1" applyBorder="1" applyAlignment="1" applyProtection="1">
      <alignment horizontal="left" vertical="top" wrapText="1"/>
      <protection locked="0"/>
    </xf>
    <xf numFmtId="0" fontId="82" fillId="0" borderId="5" xfId="87" applyFont="1" applyFill="1" applyBorder="1" applyAlignment="1" applyProtection="1">
      <alignment horizontal="left" vertical="top" wrapText="1"/>
      <protection locked="0"/>
    </xf>
    <xf numFmtId="0" fontId="57" fillId="0" borderId="1" xfId="87" applyFont="1" applyFill="1" applyBorder="1" applyAlignment="1" applyProtection="1">
      <alignment horizontal="left" vertical="top" wrapText="1"/>
    </xf>
    <xf numFmtId="2" fontId="57" fillId="0" borderId="1" xfId="87" applyNumberFormat="1" applyFont="1" applyFill="1" applyBorder="1" applyAlignment="1" applyProtection="1">
      <alignment vertical="center"/>
    </xf>
    <xf numFmtId="2" fontId="57" fillId="0" borderId="1" xfId="62" applyNumberFormat="1" applyFont="1" applyBorder="1" applyAlignment="1" applyProtection="1">
      <alignment vertical="center"/>
    </xf>
    <xf numFmtId="0" fontId="96" fillId="0" borderId="0" xfId="0" applyFont="1" applyFill="1" applyAlignment="1" applyProtection="1">
      <alignment vertical="top"/>
    </xf>
    <xf numFmtId="2" fontId="57" fillId="0" borderId="0" xfId="8" applyNumberFormat="1" applyFont="1" applyAlignment="1" applyProtection="1">
      <alignment vertical="center"/>
    </xf>
    <xf numFmtId="2" fontId="57" fillId="0" borderId="1" xfId="8" applyNumberFormat="1" applyFont="1" applyBorder="1" applyAlignment="1" applyProtection="1">
      <alignment vertical="center"/>
    </xf>
    <xf numFmtId="2" fontId="57" fillId="0" borderId="1" xfId="8" applyNumberFormat="1" applyFont="1" applyFill="1" applyBorder="1" applyAlignment="1" applyProtection="1">
      <alignment vertical="center"/>
    </xf>
    <xf numFmtId="2" fontId="57" fillId="0" borderId="0" xfId="8" applyNumberFormat="1" applyFont="1" applyFill="1" applyAlignment="1" applyProtection="1">
      <alignment vertical="center"/>
    </xf>
    <xf numFmtId="2" fontId="57" fillId="0" borderId="1" xfId="82" applyNumberFormat="1" applyFont="1" applyFill="1" applyBorder="1" applyAlignment="1" applyProtection="1">
      <alignment vertical="center"/>
    </xf>
    <xf numFmtId="2" fontId="57" fillId="0" borderId="1" xfId="82" applyNumberFormat="1" applyFont="1" applyBorder="1" applyAlignment="1" applyProtection="1">
      <alignment vertical="center"/>
    </xf>
    <xf numFmtId="2" fontId="57" fillId="0" borderId="1" xfId="11" applyNumberFormat="1" applyFont="1" applyBorder="1" applyAlignment="1" applyProtection="1">
      <alignment vertical="center" wrapText="1"/>
    </xf>
    <xf numFmtId="2" fontId="57" fillId="0" borderId="1" xfId="11" applyNumberFormat="1" applyFont="1" applyFill="1" applyBorder="1" applyAlignment="1" applyProtection="1">
      <alignment vertical="center" wrapText="1"/>
    </xf>
    <xf numFmtId="2" fontId="79" fillId="0" borderId="1" xfId="8" applyNumberFormat="1" applyFont="1" applyBorder="1" applyAlignment="1" applyProtection="1">
      <alignment vertical="center"/>
    </xf>
    <xf numFmtId="0" fontId="79" fillId="0" borderId="1" xfId="0" applyFont="1" applyFill="1" applyBorder="1" applyAlignment="1" applyProtection="1">
      <alignment horizontal="center" vertical="top" wrapText="1"/>
    </xf>
    <xf numFmtId="0" fontId="55" fillId="0" borderId="1" xfId="8" applyFont="1" applyFill="1" applyBorder="1" applyAlignment="1" applyProtection="1">
      <alignment horizontal="center" vertical="top"/>
    </xf>
    <xf numFmtId="0" fontId="50" fillId="0" borderId="1" xfId="8" applyFont="1" applyFill="1" applyBorder="1" applyAlignment="1" applyProtection="1">
      <alignment vertical="top"/>
      <protection locked="0"/>
    </xf>
    <xf numFmtId="0" fontId="57" fillId="0" borderId="1" xfId="8" applyFont="1" applyFill="1" applyBorder="1" applyAlignment="1" applyProtection="1">
      <alignment vertical="top"/>
      <protection locked="0"/>
    </xf>
    <xf numFmtId="0" fontId="37" fillId="0" borderId="1" xfId="8" applyFont="1" applyFill="1" applyBorder="1" applyAlignment="1" applyProtection="1">
      <alignment vertical="top"/>
      <protection locked="0"/>
    </xf>
    <xf numFmtId="0" fontId="37" fillId="0" borderId="1" xfId="8" applyFont="1" applyFill="1" applyBorder="1" applyAlignment="1" applyProtection="1">
      <alignment horizontal="center" vertical="top" wrapText="1"/>
      <protection locked="0"/>
    </xf>
    <xf numFmtId="43" fontId="57" fillId="0" borderId="1" xfId="1" applyFont="1" applyFill="1" applyBorder="1" applyAlignment="1" applyProtection="1">
      <alignment horizontal="right" vertical="top" wrapText="1"/>
    </xf>
    <xf numFmtId="0" fontId="37" fillId="0" borderId="1" xfId="8" applyFont="1" applyFill="1" applyBorder="1" applyAlignment="1" applyProtection="1">
      <alignment horizontal="left" vertical="top"/>
      <protection locked="0"/>
    </xf>
    <xf numFmtId="2" fontId="57" fillId="0" borderId="1" xfId="11" applyNumberFormat="1" applyFont="1" applyBorder="1" applyAlignment="1" applyProtection="1">
      <alignment vertical="center"/>
    </xf>
    <xf numFmtId="2" fontId="57" fillId="0" borderId="1" xfId="11" applyNumberFormat="1" applyFont="1" applyFill="1" applyBorder="1" applyAlignment="1" applyProtection="1">
      <alignment vertical="center"/>
    </xf>
    <xf numFmtId="0" fontId="57" fillId="0" borderId="1" xfId="11" applyFont="1" applyFill="1" applyBorder="1" applyAlignment="1" applyProtection="1">
      <alignment horizontal="left" vertical="top" wrapText="1"/>
    </xf>
    <xf numFmtId="2" fontId="57" fillId="0" borderId="1" xfId="97" applyNumberFormat="1" applyFont="1" applyBorder="1" applyAlignment="1" applyProtection="1">
      <alignment vertical="center"/>
    </xf>
    <xf numFmtId="2" fontId="57" fillId="0" borderId="1" xfId="97" applyNumberFormat="1" applyFont="1" applyFill="1" applyBorder="1" applyAlignment="1" applyProtection="1">
      <alignment vertical="center"/>
    </xf>
    <xf numFmtId="2" fontId="57" fillId="13" borderId="1" xfId="97" applyNumberFormat="1" applyFont="1" applyFill="1" applyBorder="1" applyAlignment="1" applyProtection="1">
      <alignment vertical="center"/>
    </xf>
    <xf numFmtId="43" fontId="84" fillId="0" borderId="0" xfId="0" applyNumberFormat="1" applyFont="1" applyAlignment="1">
      <alignment vertical="center"/>
    </xf>
    <xf numFmtId="2" fontId="84" fillId="0" borderId="1" xfId="0" applyNumberFormat="1" applyFont="1" applyBorder="1" applyAlignment="1">
      <alignment vertical="center"/>
    </xf>
    <xf numFmtId="2" fontId="82" fillId="0" borderId="1" xfId="0" applyNumberFormat="1" applyFont="1" applyBorder="1" applyAlignment="1">
      <alignment vertical="center"/>
    </xf>
    <xf numFmtId="2" fontId="82" fillId="0" borderId="1" xfId="0" applyNumberFormat="1" applyFont="1" applyBorder="1" applyProtection="1"/>
    <xf numFmtId="2" fontId="82" fillId="0" borderId="1" xfId="0" applyNumberFormat="1" applyFont="1" applyFill="1" applyBorder="1" applyProtection="1"/>
    <xf numFmtId="2" fontId="79" fillId="0" borderId="1" xfId="8" applyNumberFormat="1" applyFont="1" applyFill="1" applyBorder="1" applyAlignment="1" applyProtection="1">
      <alignment vertical="center"/>
    </xf>
    <xf numFmtId="2" fontId="57" fillId="0" borderId="1" xfId="11" applyNumberFormat="1" applyFont="1" applyBorder="1" applyAlignment="1" applyProtection="1">
      <alignment horizontal="right" vertical="center" wrapText="1"/>
    </xf>
    <xf numFmtId="2" fontId="79" fillId="0" borderId="1" xfId="62" applyNumberFormat="1" applyFont="1" applyBorder="1" applyAlignment="1" applyProtection="1">
      <alignment horizontal="right" vertical="center" wrapText="1"/>
    </xf>
    <xf numFmtId="2" fontId="57" fillId="0" borderId="1" xfId="62" applyNumberFormat="1" applyFont="1" applyBorder="1" applyAlignment="1" applyProtection="1">
      <alignment horizontal="right" vertical="center" wrapText="1"/>
    </xf>
    <xf numFmtId="2" fontId="57" fillId="0" borderId="1" xfId="62" applyNumberFormat="1" applyFont="1" applyFill="1" applyBorder="1" applyAlignment="1" applyProtection="1">
      <alignment horizontal="right" vertical="center" wrapText="1"/>
    </xf>
    <xf numFmtId="2" fontId="57" fillId="0" borderId="1" xfId="11" applyNumberFormat="1" applyFont="1" applyFill="1" applyBorder="1" applyAlignment="1" applyProtection="1">
      <alignment horizontal="center" vertical="center" wrapText="1"/>
    </xf>
    <xf numFmtId="2" fontId="57" fillId="0" borderId="1" xfId="62" applyNumberFormat="1" applyFont="1" applyBorder="1" applyAlignment="1" applyProtection="1">
      <alignment horizontal="right" vertical="center"/>
    </xf>
    <xf numFmtId="2" fontId="57" fillId="0" borderId="1" xfId="62" applyNumberFormat="1" applyFont="1" applyFill="1" applyBorder="1" applyAlignment="1" applyProtection="1">
      <alignment horizontal="right" vertical="center"/>
    </xf>
    <xf numFmtId="2" fontId="82" fillId="0" borderId="1" xfId="62" applyNumberFormat="1" applyFont="1" applyFill="1" applyBorder="1" applyAlignment="1" applyProtection="1">
      <alignment horizontal="right" vertical="center"/>
    </xf>
    <xf numFmtId="2" fontId="82" fillId="0" borderId="1" xfId="62" applyNumberFormat="1" applyFont="1" applyBorder="1" applyAlignment="1" applyProtection="1">
      <alignment horizontal="right" vertical="center"/>
    </xf>
    <xf numFmtId="2" fontId="79" fillId="0" borderId="1" xfId="8" applyNumberFormat="1" applyFont="1" applyBorder="1" applyAlignment="1" applyProtection="1">
      <alignment vertical="center" wrapText="1"/>
    </xf>
    <xf numFmtId="2" fontId="57" fillId="13" borderId="1" xfId="8" applyNumberFormat="1" applyFont="1" applyFill="1" applyBorder="1" applyAlignment="1" applyProtection="1">
      <alignment vertical="center" wrapText="1"/>
    </xf>
    <xf numFmtId="2" fontId="84" fillId="0" borderId="1" xfId="8" applyNumberFormat="1" applyFont="1" applyBorder="1" applyAlignment="1" applyProtection="1">
      <alignment vertical="center" wrapText="1"/>
    </xf>
    <xf numFmtId="2" fontId="57" fillId="0" borderId="0" xfId="0" applyNumberFormat="1" applyFont="1" applyFill="1" applyAlignment="1" applyProtection="1">
      <alignment horizontal="left" vertical="center" wrapText="1"/>
    </xf>
    <xf numFmtId="0" fontId="82" fillId="0" borderId="1" xfId="11" applyFont="1" applyBorder="1" applyAlignment="1" applyProtection="1">
      <alignment horizontal="left" vertical="top" wrapText="1"/>
      <protection locked="0"/>
    </xf>
    <xf numFmtId="2" fontId="61" fillId="0" borderId="1" xfId="38" applyNumberFormat="1" applyFont="1" applyBorder="1" applyAlignment="1" applyProtection="1">
      <alignment vertical="center" wrapText="1"/>
    </xf>
    <xf numFmtId="2" fontId="84" fillId="0" borderId="1" xfId="0" applyNumberFormat="1" applyFont="1" applyFill="1" applyBorder="1" applyAlignment="1" applyProtection="1">
      <alignment vertical="center" wrapText="1"/>
    </xf>
    <xf numFmtId="2" fontId="84" fillId="0" borderId="1" xfId="0" applyNumberFormat="1" applyFont="1" applyBorder="1" applyAlignment="1" applyProtection="1">
      <alignment vertical="center" wrapText="1"/>
    </xf>
    <xf numFmtId="2" fontId="84" fillId="0" borderId="1" xfId="8" applyNumberFormat="1" applyFont="1" applyBorder="1" applyAlignment="1" applyProtection="1">
      <alignment vertical="center"/>
    </xf>
    <xf numFmtId="2" fontId="57" fillId="0" borderId="1" xfId="8" applyNumberFormat="1" applyFont="1" applyBorder="1" applyAlignment="1" applyProtection="1">
      <alignment wrapText="1"/>
    </xf>
    <xf numFmtId="2" fontId="57" fillId="0" borderId="1" xfId="8" applyNumberFormat="1" applyFont="1" applyFill="1" applyBorder="1" applyAlignment="1" applyProtection="1">
      <alignment wrapText="1"/>
    </xf>
    <xf numFmtId="2" fontId="57" fillId="0" borderId="1" xfId="62" applyNumberFormat="1" applyFont="1" applyFill="1" applyBorder="1" applyAlignment="1" applyProtection="1">
      <alignment vertical="center"/>
    </xf>
    <xf numFmtId="2" fontId="57" fillId="0" borderId="1" xfId="87" applyNumberFormat="1" applyFont="1" applyBorder="1" applyAlignment="1" applyProtection="1">
      <alignment vertical="center"/>
    </xf>
    <xf numFmtId="2" fontId="57" fillId="0" borderId="1" xfId="87" applyNumberFormat="1" applyFont="1" applyFill="1" applyBorder="1" applyAlignment="1" applyProtection="1">
      <alignment vertical="top"/>
    </xf>
    <xf numFmtId="2" fontId="57" fillId="0" borderId="1" xfId="87" applyNumberFormat="1" applyFont="1" applyFill="1" applyBorder="1" applyAlignment="1" applyProtection="1">
      <alignment horizontal="center" vertical="center"/>
    </xf>
    <xf numFmtId="0" fontId="57" fillId="0" borderId="1" xfId="4" applyFont="1" applyFill="1" applyBorder="1" applyAlignment="1" applyProtection="1">
      <alignment horizontal="left" vertical="top" wrapText="1"/>
    </xf>
    <xf numFmtId="0" fontId="57" fillId="0" borderId="1" xfId="8" applyFont="1" applyFill="1" applyBorder="1" applyAlignment="1" applyProtection="1">
      <alignment horizontal="center" vertical="top"/>
    </xf>
    <xf numFmtId="0" fontId="78" fillId="0" borderId="1" xfId="9" applyFont="1" applyFill="1" applyBorder="1" applyAlignment="1" applyProtection="1">
      <alignment vertical="top" wrapText="1"/>
      <protection locked="0"/>
    </xf>
    <xf numFmtId="0" fontId="82" fillId="0" borderId="1" xfId="9" applyFont="1" applyFill="1" applyBorder="1" applyAlignment="1" applyProtection="1">
      <alignment horizontal="center" vertical="top" wrapText="1"/>
      <protection locked="0"/>
    </xf>
    <xf numFmtId="167" fontId="78" fillId="0" borderId="1" xfId="9" applyNumberFormat="1" applyFont="1" applyFill="1" applyBorder="1" applyAlignment="1" applyProtection="1">
      <alignment vertical="top" wrapText="1"/>
      <protection locked="0"/>
    </xf>
    <xf numFmtId="0" fontId="86" fillId="0" borderId="1" xfId="9" applyFont="1" applyFill="1" applyBorder="1" applyAlignment="1" applyProtection="1">
      <alignment vertical="top" wrapText="1"/>
      <protection locked="0"/>
    </xf>
    <xf numFmtId="0" fontId="41" fillId="0" borderId="1" xfId="8" applyFont="1" applyFill="1" applyBorder="1" applyAlignment="1" applyProtection="1">
      <alignment horizontal="center" vertical="top" wrapText="1"/>
      <protection locked="0"/>
    </xf>
    <xf numFmtId="2" fontId="57" fillId="0" borderId="1" xfId="9" applyNumberFormat="1" applyFont="1" applyFill="1" applyBorder="1" applyAlignment="1" applyProtection="1">
      <alignment vertical="top" wrapText="1"/>
    </xf>
    <xf numFmtId="0" fontId="103" fillId="0" borderId="1" xfId="0" applyFont="1" applyFill="1" applyBorder="1" applyAlignment="1" applyProtection="1">
      <alignment vertical="top" wrapText="1"/>
      <protection locked="0"/>
    </xf>
    <xf numFmtId="0" fontId="57" fillId="0" borderId="12" xfId="8" applyFont="1" applyFill="1" applyBorder="1" applyAlignment="1" applyProtection="1">
      <alignment horizontal="center" vertical="center" wrapText="1"/>
      <protection locked="0"/>
    </xf>
    <xf numFmtId="2" fontId="82" fillId="0" borderId="1" xfId="8" applyNumberFormat="1" applyFont="1" applyBorder="1" applyAlignment="1" applyProtection="1">
      <alignment horizontal="center" vertical="center" wrapText="1"/>
    </xf>
    <xf numFmtId="2" fontId="82" fillId="0" borderId="1" xfId="8" applyNumberFormat="1" applyFont="1" applyFill="1" applyBorder="1" applyAlignment="1" applyProtection="1">
      <alignment horizontal="center" vertical="center" wrapText="1"/>
    </xf>
    <xf numFmtId="0" fontId="82" fillId="0" borderId="12" xfId="11" applyFont="1" applyFill="1" applyBorder="1" applyAlignment="1" applyProtection="1">
      <alignment horizontal="left" vertical="center"/>
    </xf>
    <xf numFmtId="0" fontId="57" fillId="0" borderId="12" xfId="4" applyFont="1" applyFill="1" applyBorder="1" applyAlignment="1" applyProtection="1">
      <alignment vertical="center" wrapText="1"/>
    </xf>
    <xf numFmtId="0" fontId="79" fillId="0" borderId="12" xfId="0" applyFont="1" applyFill="1" applyBorder="1" applyAlignment="1" applyProtection="1">
      <alignment horizontal="center" vertical="center" wrapText="1"/>
    </xf>
    <xf numFmtId="0" fontId="82" fillId="0" borderId="12" xfId="11" applyFont="1" applyFill="1" applyBorder="1" applyAlignment="1" applyProtection="1">
      <alignment horizontal="center" vertical="center"/>
    </xf>
    <xf numFmtId="0" fontId="82" fillId="0" borderId="12" xfId="11" applyFont="1" applyFill="1" applyBorder="1" applyAlignment="1" applyProtection="1">
      <alignment vertical="center"/>
      <protection locked="0"/>
    </xf>
    <xf numFmtId="2" fontId="57" fillId="0" borderId="12" xfId="0" applyNumberFormat="1" applyFont="1" applyFill="1" applyBorder="1" applyAlignment="1" applyProtection="1">
      <alignment horizontal="right" vertical="center" wrapText="1"/>
    </xf>
    <xf numFmtId="2" fontId="84" fillId="0" borderId="12" xfId="11" applyNumberFormat="1" applyFont="1" applyFill="1" applyBorder="1" applyAlignment="1" applyProtection="1">
      <alignment vertical="center" wrapText="1"/>
    </xf>
    <xf numFmtId="0" fontId="82" fillId="0" borderId="12" xfId="38" applyFont="1" applyFill="1" applyBorder="1" applyAlignment="1" applyProtection="1">
      <alignment horizontal="left" vertical="top" wrapText="1"/>
      <protection locked="0"/>
    </xf>
    <xf numFmtId="0" fontId="82" fillId="0" borderId="12" xfId="11" applyFont="1" applyFill="1" applyBorder="1" applyAlignment="1" applyProtection="1">
      <alignment horizontal="left" vertical="top" wrapText="1"/>
      <protection locked="0"/>
    </xf>
    <xf numFmtId="2" fontId="82" fillId="0" borderId="12" xfId="11" applyNumberFormat="1" applyFont="1" applyFill="1" applyBorder="1" applyAlignment="1" applyProtection="1">
      <alignment vertical="center"/>
      <protection locked="0"/>
    </xf>
    <xf numFmtId="2" fontId="82" fillId="0" borderId="12" xfId="0" applyNumberFormat="1" applyFont="1" applyFill="1" applyBorder="1" applyAlignment="1" applyProtection="1">
      <alignment horizontal="center" vertical="center"/>
    </xf>
    <xf numFmtId="2" fontId="82" fillId="0" borderId="12" xfId="0" applyNumberFormat="1" applyFont="1" applyFill="1" applyBorder="1" applyProtection="1"/>
    <xf numFmtId="2" fontId="82" fillId="0" borderId="12" xfId="0" applyNumberFormat="1" applyFont="1" applyBorder="1" applyProtection="1"/>
    <xf numFmtId="0" fontId="142" fillId="0" borderId="1" xfId="0" applyFont="1" applyBorder="1" applyAlignment="1">
      <alignment horizontal="left" vertical="top" wrapText="1"/>
    </xf>
    <xf numFmtId="2" fontId="57" fillId="0" borderId="1" xfId="11" applyNumberFormat="1" applyFont="1" applyBorder="1" applyProtection="1"/>
    <xf numFmtId="2" fontId="57" fillId="0" borderId="1" xfId="48" applyNumberFormat="1" applyFont="1" applyBorder="1" applyProtection="1"/>
    <xf numFmtId="2" fontId="57" fillId="0" borderId="1" xfId="48" applyNumberFormat="1" applyFont="1" applyFill="1" applyBorder="1" applyProtection="1"/>
    <xf numFmtId="2" fontId="57" fillId="0" borderId="1" xfId="48" applyNumberFormat="1" applyFont="1" applyBorder="1" applyAlignment="1" applyProtection="1">
      <alignment vertical="center"/>
    </xf>
    <xf numFmtId="2" fontId="57" fillId="0" borderId="1" xfId="48" applyNumberFormat="1" applyFont="1" applyFill="1" applyBorder="1" applyAlignment="1" applyProtection="1">
      <alignment vertical="center"/>
    </xf>
    <xf numFmtId="0" fontId="8" fillId="0" borderId="1" xfId="4" applyFont="1" applyBorder="1" applyAlignment="1" applyProtection="1">
      <alignment vertical="center" wrapText="1"/>
    </xf>
    <xf numFmtId="2" fontId="61" fillId="0" borderId="1" xfId="8" applyNumberFormat="1" applyFont="1" applyBorder="1" applyAlignment="1" applyProtection="1">
      <alignment vertical="center" wrapText="1"/>
    </xf>
    <xf numFmtId="2" fontId="61" fillId="0" borderId="1" xfId="8" applyNumberFormat="1" applyFont="1" applyFill="1" applyBorder="1" applyAlignment="1" applyProtection="1">
      <alignment vertical="center" wrapText="1"/>
    </xf>
    <xf numFmtId="0" fontId="26" fillId="0" borderId="5" xfId="9" applyFont="1" applyFill="1" applyBorder="1" applyAlignment="1" applyProtection="1">
      <alignment horizontal="left" vertical="top" wrapText="1"/>
      <protection locked="0"/>
    </xf>
    <xf numFmtId="2" fontId="57" fillId="0" borderId="0" xfId="11" applyNumberFormat="1" applyFont="1" applyAlignment="1" applyProtection="1">
      <alignment vertical="center"/>
    </xf>
    <xf numFmtId="1" fontId="150" fillId="0" borderId="1" xfId="48" applyNumberFormat="1" applyFont="1" applyBorder="1" applyAlignment="1">
      <alignment horizontal="left" vertical="center" wrapText="1"/>
    </xf>
    <xf numFmtId="2" fontId="82" fillId="0" borderId="1" xfId="0" applyNumberFormat="1" applyFont="1" applyFill="1" applyBorder="1" applyAlignment="1" applyProtection="1">
      <alignment vertical="center"/>
    </xf>
    <xf numFmtId="0" fontId="82" fillId="0" borderId="20" xfId="0" applyFont="1" applyFill="1" applyBorder="1" applyAlignment="1" applyProtection="1">
      <alignment vertical="center" wrapText="1"/>
      <protection locked="0"/>
    </xf>
    <xf numFmtId="2" fontId="82" fillId="0" borderId="0" xfId="0" applyNumberFormat="1" applyFont="1" applyBorder="1" applyAlignment="1" applyProtection="1">
      <alignment vertical="center" wrapText="1"/>
    </xf>
    <xf numFmtId="0" fontId="82" fillId="0" borderId="1" xfId="4" applyFont="1" applyBorder="1" applyAlignment="1" applyProtection="1">
      <alignment vertical="top" wrapText="1"/>
    </xf>
    <xf numFmtId="0" fontId="79" fillId="29" borderId="1" xfId="0" applyFont="1" applyFill="1" applyBorder="1" applyAlignment="1" applyProtection="1">
      <alignment horizontal="center" vertical="top" wrapText="1"/>
    </xf>
    <xf numFmtId="0" fontId="82" fillId="0" borderId="1" xfId="8" applyFont="1" applyBorder="1" applyAlignment="1" applyProtection="1">
      <alignment horizontal="center" vertical="top" wrapText="1"/>
    </xf>
    <xf numFmtId="0" fontId="26" fillId="0" borderId="1" xfId="9" applyFont="1" applyBorder="1" applyAlignment="1" applyProtection="1">
      <alignment vertical="top" wrapText="1"/>
      <protection locked="0"/>
    </xf>
    <xf numFmtId="0" fontId="78" fillId="0" borderId="1" xfId="9" applyFont="1" applyBorder="1" applyAlignment="1" applyProtection="1">
      <alignment horizontal="center" vertical="top" wrapText="1"/>
      <protection locked="0"/>
    </xf>
    <xf numFmtId="167" fontId="78" fillId="0" borderId="1" xfId="9" applyNumberFormat="1" applyFont="1" applyBorder="1" applyAlignment="1" applyProtection="1">
      <alignment horizontal="right" vertical="top" wrapText="1"/>
      <protection locked="0"/>
    </xf>
    <xf numFmtId="0" fontId="86" fillId="0" borderId="1" xfId="9" applyFont="1" applyBorder="1" applyAlignment="1" applyProtection="1">
      <alignment vertical="top" wrapText="1"/>
      <protection locked="0"/>
    </xf>
    <xf numFmtId="0" fontId="78" fillId="0" borderId="1" xfId="38" applyFont="1" applyFill="1" applyBorder="1" applyAlignment="1" applyProtection="1">
      <alignment horizontal="center" vertical="top" wrapText="1"/>
      <protection locked="0"/>
    </xf>
    <xf numFmtId="0" fontId="57" fillId="0" borderId="1" xfId="8" applyFont="1" applyBorder="1" applyAlignment="1" applyProtection="1">
      <alignment horizontal="center" vertical="top" wrapText="1"/>
      <protection locked="0"/>
    </xf>
    <xf numFmtId="43" fontId="57" fillId="0" borderId="1" xfId="1" applyFont="1" applyBorder="1" applyAlignment="1" applyProtection="1">
      <alignment horizontal="right" vertical="top" wrapText="1"/>
    </xf>
    <xf numFmtId="2" fontId="57" fillId="0" borderId="1" xfId="1" applyNumberFormat="1" applyFont="1" applyBorder="1" applyAlignment="1" applyProtection="1">
      <alignment horizontal="right" vertical="top" wrapText="1"/>
    </xf>
    <xf numFmtId="0" fontId="82" fillId="0" borderId="5" xfId="38" applyFont="1" applyFill="1" applyBorder="1" applyAlignment="1" applyProtection="1">
      <alignment horizontal="left" vertical="top" wrapText="1"/>
      <protection locked="0"/>
    </xf>
    <xf numFmtId="0" fontId="61" fillId="0" borderId="1" xfId="0" applyFont="1" applyFill="1" applyBorder="1" applyAlignment="1" applyProtection="1">
      <alignment horizontal="left" vertical="top" wrapText="1"/>
    </xf>
    <xf numFmtId="0" fontId="82" fillId="0" borderId="1" xfId="0" applyFont="1" applyFill="1" applyBorder="1" applyAlignment="1" applyProtection="1">
      <alignment horizontal="left" vertical="top" wrapText="1"/>
    </xf>
    <xf numFmtId="0" fontId="61" fillId="0" borderId="1" xfId="0" applyFont="1" applyFill="1" applyBorder="1" applyAlignment="1" applyProtection="1">
      <alignment horizontal="center" vertical="top" wrapText="1"/>
    </xf>
    <xf numFmtId="0" fontId="82" fillId="0" borderId="1" xfId="0" applyFont="1" applyFill="1" applyBorder="1" applyAlignment="1" applyProtection="1">
      <alignment horizontal="center" vertical="top" wrapText="1"/>
      <protection locked="0"/>
    </xf>
    <xf numFmtId="0" fontId="61" fillId="0" borderId="1" xfId="8" applyFont="1" applyFill="1" applyBorder="1" applyAlignment="1" applyProtection="1">
      <alignment horizontal="center" vertical="top" wrapText="1"/>
      <protection locked="0"/>
    </xf>
    <xf numFmtId="43" fontId="82" fillId="0" borderId="1" xfId="1" applyFont="1" applyFill="1" applyBorder="1" applyAlignment="1" applyProtection="1">
      <alignment horizontal="center" vertical="top" wrapText="1"/>
    </xf>
    <xf numFmtId="2" fontId="82" fillId="0" borderId="1" xfId="1" applyNumberFormat="1" applyFont="1" applyFill="1" applyBorder="1" applyAlignment="1" applyProtection="1">
      <alignment horizontal="center" vertical="top" wrapText="1"/>
    </xf>
    <xf numFmtId="0" fontId="24" fillId="0" borderId="1" xfId="0" applyFont="1" applyFill="1" applyBorder="1" applyAlignment="1" applyProtection="1">
      <alignment horizontal="left" vertical="top" wrapText="1"/>
      <protection locked="0"/>
    </xf>
    <xf numFmtId="43" fontId="82" fillId="0" borderId="1" xfId="1" applyFont="1" applyFill="1" applyBorder="1" applyAlignment="1" applyProtection="1">
      <alignment horizontal="left" vertical="top" wrapText="1"/>
    </xf>
    <xf numFmtId="0" fontId="82" fillId="0" borderId="0" xfId="0" applyFont="1" applyFill="1" applyBorder="1" applyAlignment="1" applyProtection="1">
      <alignment vertical="top" wrapText="1"/>
    </xf>
    <xf numFmtId="2" fontId="82" fillId="0" borderId="1" xfId="0" applyNumberFormat="1" applyFont="1" applyFill="1" applyBorder="1" applyAlignment="1" applyProtection="1">
      <alignment vertical="top" wrapText="1"/>
    </xf>
    <xf numFmtId="2" fontId="57" fillId="0" borderId="1" xfId="0" applyNumberFormat="1" applyFont="1" applyFill="1" applyBorder="1" applyAlignment="1" applyProtection="1">
      <alignment horizontal="left" vertical="center" wrapText="1"/>
    </xf>
    <xf numFmtId="2" fontId="79" fillId="0" borderId="1" xfId="0" applyNumberFormat="1" applyFont="1" applyBorder="1" applyAlignment="1" applyProtection="1">
      <alignment vertical="center" wrapText="1"/>
    </xf>
    <xf numFmtId="2" fontId="57" fillId="0" borderId="1" xfId="0" applyNumberFormat="1" applyFont="1" applyFill="1" applyBorder="1" applyAlignment="1" applyProtection="1">
      <alignment vertical="center" wrapText="1"/>
    </xf>
    <xf numFmtId="2" fontId="91" fillId="0" borderId="1" xfId="1" applyNumberFormat="1" applyFont="1" applyFill="1" applyBorder="1" applyAlignment="1" applyProtection="1">
      <alignment horizontal="right" vertical="center"/>
    </xf>
    <xf numFmtId="0" fontId="82" fillId="13" borderId="1" xfId="0" applyFont="1" applyFill="1" applyBorder="1" applyAlignment="1" applyProtection="1">
      <alignment horizontal="center" vertical="center" wrapText="1"/>
      <protection locked="0"/>
    </xf>
    <xf numFmtId="0" fontId="82" fillId="13" borderId="1" xfId="8" applyFont="1" applyFill="1" applyBorder="1" applyAlignment="1" applyProtection="1">
      <alignment horizontal="center" vertical="center" wrapText="1"/>
    </xf>
    <xf numFmtId="0" fontId="48" fillId="13" borderId="1" xfId="8" applyFont="1" applyFill="1" applyBorder="1" applyAlignment="1" applyProtection="1">
      <alignment horizontal="center" vertical="center" wrapText="1"/>
      <protection locked="0"/>
    </xf>
    <xf numFmtId="0" fontId="82" fillId="13" borderId="1" xfId="4" applyFont="1" applyFill="1" applyBorder="1" applyAlignment="1" applyProtection="1">
      <alignment vertical="center" wrapText="1"/>
    </xf>
    <xf numFmtId="0" fontId="36" fillId="13" borderId="1" xfId="8" applyFont="1" applyFill="1" applyBorder="1" applyAlignment="1" applyProtection="1">
      <alignment horizontal="center" vertical="center" wrapText="1"/>
      <protection locked="0"/>
    </xf>
    <xf numFmtId="43" fontId="57" fillId="13" borderId="1" xfId="1" applyFont="1" applyFill="1" applyBorder="1" applyAlignment="1" applyProtection="1">
      <alignment horizontal="right" vertical="center" wrapText="1"/>
    </xf>
    <xf numFmtId="0" fontId="82" fillId="13" borderId="0" xfId="8" applyFont="1" applyFill="1" applyAlignment="1" applyProtection="1">
      <alignment vertical="center" wrapText="1"/>
    </xf>
    <xf numFmtId="0" fontId="82" fillId="13" borderId="1" xfId="8" applyFont="1" applyFill="1" applyBorder="1" applyAlignment="1" applyProtection="1">
      <alignment vertical="center" wrapText="1"/>
    </xf>
    <xf numFmtId="2" fontId="82" fillId="13" borderId="1" xfId="8" applyNumberFormat="1" applyFont="1" applyFill="1" applyBorder="1" applyAlignment="1" applyProtection="1">
      <alignment vertical="center" wrapText="1"/>
    </xf>
    <xf numFmtId="0" fontId="82" fillId="13" borderId="1" xfId="9" applyFont="1" applyFill="1" applyBorder="1" applyAlignment="1" applyProtection="1">
      <alignment vertical="center" wrapText="1"/>
      <protection locked="0"/>
    </xf>
    <xf numFmtId="2" fontId="57" fillId="13" borderId="1" xfId="1" applyNumberFormat="1" applyFont="1" applyFill="1" applyBorder="1" applyAlignment="1" applyProtection="1">
      <alignment horizontal="right" vertical="center" wrapText="1"/>
    </xf>
    <xf numFmtId="0" fontId="82" fillId="13" borderId="5" xfId="9" applyFont="1" applyFill="1" applyBorder="1" applyAlignment="1" applyProtection="1">
      <alignment horizontal="left" vertical="center" wrapText="1"/>
      <protection locked="0"/>
    </xf>
    <xf numFmtId="0" fontId="103" fillId="13" borderId="1" xfId="0" applyFont="1" applyFill="1" applyBorder="1" applyAlignment="1" applyProtection="1">
      <alignment horizontal="left" vertical="top" wrapText="1"/>
      <protection locked="0"/>
    </xf>
    <xf numFmtId="0" fontId="57" fillId="13" borderId="1" xfId="87" applyFont="1" applyFill="1" applyBorder="1" applyAlignment="1" applyProtection="1">
      <alignment vertical="center"/>
    </xf>
    <xf numFmtId="0" fontId="57" fillId="13" borderId="1" xfId="4" applyFont="1" applyFill="1" applyBorder="1" applyAlignment="1" applyProtection="1">
      <alignment vertical="center" wrapText="1"/>
    </xf>
    <xf numFmtId="0" fontId="57" fillId="13" borderId="1" xfId="87" applyFont="1" applyFill="1" applyBorder="1" applyAlignment="1" applyProtection="1">
      <alignment horizontal="center" vertical="center" wrapText="1"/>
    </xf>
    <xf numFmtId="0" fontId="82" fillId="13" borderId="1" xfId="0" applyFont="1" applyFill="1" applyBorder="1" applyAlignment="1" applyProtection="1">
      <alignment horizontal="center" vertical="center"/>
      <protection locked="0"/>
    </xf>
    <xf numFmtId="2" fontId="82" fillId="13" borderId="1" xfId="0" applyNumberFormat="1" applyFont="1" applyFill="1" applyBorder="1" applyAlignment="1" applyProtection="1">
      <alignment horizontal="center" vertical="center" wrapText="1"/>
      <protection locked="0"/>
    </xf>
    <xf numFmtId="0" fontId="0" fillId="13" borderId="1" xfId="0" applyFill="1" applyBorder="1" applyAlignment="1" applyProtection="1">
      <alignment horizontal="center" vertical="center" wrapText="1"/>
      <protection locked="0"/>
    </xf>
    <xf numFmtId="0" fontId="0" fillId="13" borderId="1" xfId="0" applyFill="1" applyBorder="1" applyAlignment="1" applyProtection="1">
      <alignment horizontal="center" vertical="center"/>
      <protection locked="0"/>
    </xf>
    <xf numFmtId="2" fontId="57" fillId="13" borderId="1" xfId="0" applyNumberFormat="1" applyFont="1" applyFill="1" applyBorder="1" applyAlignment="1" applyProtection="1">
      <alignment horizontal="right" vertical="center" wrapText="1"/>
    </xf>
    <xf numFmtId="2" fontId="82" fillId="13" borderId="1" xfId="87" applyNumberFormat="1" applyFont="1" applyFill="1" applyBorder="1" applyAlignment="1" applyProtection="1">
      <alignment horizontal="right" vertical="center"/>
    </xf>
    <xf numFmtId="0" fontId="0" fillId="13" borderId="1" xfId="0" applyFill="1" applyBorder="1" applyAlignment="1" applyProtection="1">
      <alignment horizontal="left" vertical="center" wrapText="1"/>
      <protection locked="0"/>
    </xf>
    <xf numFmtId="2" fontId="103" fillId="13" borderId="1" xfId="0" applyNumberFormat="1" applyFont="1" applyFill="1" applyBorder="1" applyAlignment="1" applyProtection="1">
      <alignment vertical="center"/>
      <protection locked="0"/>
    </xf>
    <xf numFmtId="0" fontId="57" fillId="13" borderId="0" xfId="87" applyFont="1" applyFill="1" applyAlignment="1" applyProtection="1">
      <alignment vertical="center"/>
    </xf>
    <xf numFmtId="2" fontId="57" fillId="13" borderId="1" xfId="87" applyNumberFormat="1" applyFont="1" applyFill="1" applyBorder="1" applyAlignment="1" applyProtection="1">
      <alignment vertical="center"/>
    </xf>
    <xf numFmtId="2" fontId="57" fillId="13" borderId="1" xfId="62" applyNumberFormat="1" applyFont="1" applyFill="1" applyBorder="1" applyAlignment="1" applyProtection="1">
      <alignment vertical="center"/>
    </xf>
    <xf numFmtId="0" fontId="57" fillId="13" borderId="1" xfId="87" applyFont="1" applyFill="1" applyBorder="1" applyAlignment="1" applyProtection="1">
      <alignment vertical="center" wrapText="1"/>
    </xf>
    <xf numFmtId="0" fontId="79" fillId="13" borderId="1" xfId="87" applyFont="1" applyFill="1" applyBorder="1" applyAlignment="1" applyProtection="1">
      <alignment vertical="center" wrapText="1"/>
    </xf>
    <xf numFmtId="0" fontId="79" fillId="13" borderId="1" xfId="8" applyFont="1" applyFill="1" applyBorder="1" applyAlignment="1" applyProtection="1">
      <alignment horizontal="center" vertical="center"/>
    </xf>
    <xf numFmtId="0" fontId="82" fillId="13" borderId="1" xfId="0" applyFont="1" applyFill="1" applyBorder="1" applyAlignment="1" applyProtection="1">
      <alignment vertical="center" wrapText="1"/>
      <protection locked="0"/>
    </xf>
    <xf numFmtId="0" fontId="82" fillId="13" borderId="1" xfId="87" applyFont="1" applyFill="1" applyBorder="1" applyAlignment="1" applyProtection="1">
      <alignment vertical="center"/>
      <protection locked="0"/>
    </xf>
    <xf numFmtId="0" fontId="40" fillId="13" borderId="1" xfId="8" applyFont="1" applyFill="1" applyBorder="1" applyAlignment="1" applyProtection="1">
      <alignment horizontal="center" vertical="center" wrapText="1"/>
      <protection locked="0"/>
    </xf>
    <xf numFmtId="0" fontId="82" fillId="13" borderId="5" xfId="87" applyFont="1" applyFill="1" applyBorder="1" applyAlignment="1" applyProtection="1">
      <alignment horizontal="left" vertical="center" wrapText="1"/>
      <protection locked="0"/>
    </xf>
    <xf numFmtId="0" fontId="57" fillId="13" borderId="1" xfId="82" applyFont="1" applyFill="1" applyBorder="1" applyAlignment="1" applyProtection="1">
      <alignment vertical="center"/>
    </xf>
    <xf numFmtId="0" fontId="79" fillId="13" borderId="1" xfId="4" applyFont="1" applyFill="1" applyBorder="1" applyAlignment="1" applyProtection="1">
      <alignment horizontal="center" vertical="center" wrapText="1"/>
    </xf>
    <xf numFmtId="0" fontId="57" fillId="13" borderId="1" xfId="82" applyFont="1" applyFill="1" applyBorder="1" applyAlignment="1" applyProtection="1">
      <alignment horizontal="center" vertical="center"/>
    </xf>
    <xf numFmtId="0" fontId="50" fillId="13" borderId="1" xfId="82" applyFont="1" applyFill="1" applyBorder="1" applyAlignment="1" applyProtection="1">
      <alignment vertical="center"/>
      <protection locked="0"/>
    </xf>
    <xf numFmtId="0" fontId="57" fillId="13" borderId="1" xfId="82" applyFont="1" applyFill="1" applyBorder="1" applyAlignment="1" applyProtection="1">
      <alignment vertical="center"/>
      <protection locked="0"/>
    </xf>
    <xf numFmtId="167" fontId="50" fillId="13" borderId="1" xfId="14" applyNumberFormat="1" applyFont="1" applyFill="1" applyBorder="1" applyAlignment="1" applyProtection="1">
      <alignment vertical="center" wrapText="1"/>
      <protection locked="0"/>
    </xf>
    <xf numFmtId="167" fontId="36" fillId="13" borderId="1" xfId="14" applyNumberFormat="1" applyFont="1" applyFill="1" applyBorder="1" applyAlignment="1" applyProtection="1">
      <alignment vertical="center" wrapText="1"/>
      <protection locked="0"/>
    </xf>
    <xf numFmtId="0" fontId="36" fillId="13" borderId="1" xfId="82" applyFont="1" applyFill="1" applyBorder="1" applyAlignment="1" applyProtection="1">
      <alignment vertical="center"/>
      <protection locked="0"/>
    </xf>
    <xf numFmtId="2" fontId="57" fillId="13" borderId="1" xfId="1" applyNumberFormat="1" applyFont="1" applyFill="1" applyBorder="1" applyAlignment="1" applyProtection="1">
      <alignment vertical="center" wrapText="1"/>
    </xf>
    <xf numFmtId="0" fontId="36" fillId="13" borderId="5" xfId="82" applyFont="1" applyFill="1" applyBorder="1" applyAlignment="1" applyProtection="1">
      <alignment horizontal="left" vertical="center" wrapText="1"/>
      <protection locked="0"/>
    </xf>
    <xf numFmtId="0" fontId="103" fillId="13" borderId="1" xfId="0" applyFont="1" applyFill="1" applyBorder="1" applyAlignment="1" applyProtection="1">
      <alignment horizontal="left" vertical="center" wrapText="1"/>
    </xf>
    <xf numFmtId="0" fontId="57" fillId="13" borderId="0" xfId="82" applyFont="1" applyFill="1" applyAlignment="1" applyProtection="1">
      <alignment vertical="center"/>
    </xf>
    <xf numFmtId="2" fontId="57" fillId="13" borderId="1" xfId="82" applyNumberFormat="1" applyFont="1" applyFill="1" applyBorder="1" applyAlignment="1" applyProtection="1">
      <alignment vertical="center"/>
    </xf>
    <xf numFmtId="0" fontId="57" fillId="13" borderId="1" xfId="0" applyFont="1" applyFill="1" applyBorder="1" applyAlignment="1" applyProtection="1">
      <alignment horizontal="left" vertical="center" wrapText="1"/>
    </xf>
    <xf numFmtId="0" fontId="57" fillId="13" borderId="1" xfId="0" applyFont="1" applyFill="1" applyBorder="1" applyAlignment="1" applyProtection="1">
      <alignment horizontal="center" vertical="center" wrapText="1"/>
    </xf>
    <xf numFmtId="0" fontId="48" fillId="13" borderId="1" xfId="82" applyFont="1" applyFill="1" applyBorder="1" applyAlignment="1" applyProtection="1">
      <alignment vertical="center" wrapText="1"/>
      <protection locked="0"/>
    </xf>
    <xf numFmtId="0" fontId="48" fillId="13" borderId="5" xfId="82" applyFont="1" applyFill="1" applyBorder="1" applyAlignment="1" applyProtection="1">
      <alignment horizontal="left" vertical="center" wrapText="1"/>
      <protection locked="0"/>
    </xf>
    <xf numFmtId="2" fontId="57" fillId="13" borderId="0" xfId="97" applyNumberFormat="1" applyFont="1" applyFill="1" applyAlignment="1" applyProtection="1">
      <alignment vertical="center"/>
    </xf>
    <xf numFmtId="0" fontId="84" fillId="13" borderId="1" xfId="0" applyFont="1" applyFill="1" applyBorder="1" applyAlignment="1" applyProtection="1">
      <alignment horizontal="center" vertical="center"/>
    </xf>
    <xf numFmtId="2" fontId="79" fillId="13" borderId="5" xfId="48" applyNumberFormat="1" applyFont="1" applyFill="1" applyBorder="1" applyAlignment="1" applyProtection="1">
      <alignment horizontal="left" vertical="center"/>
      <protection locked="0"/>
    </xf>
    <xf numFmtId="0" fontId="39" fillId="13" borderId="1" xfId="8" applyFont="1" applyFill="1" applyBorder="1" applyAlignment="1" applyProtection="1">
      <alignment horizontal="center" vertical="center" wrapText="1"/>
      <protection locked="0"/>
    </xf>
    <xf numFmtId="2" fontId="79" fillId="13" borderId="5" xfId="48" applyNumberFormat="1" applyFont="1" applyFill="1" applyBorder="1" applyAlignment="1" applyProtection="1">
      <alignment horizontal="left" vertical="center" wrapText="1"/>
      <protection locked="0"/>
    </xf>
    <xf numFmtId="0" fontId="82" fillId="11" borderId="1" xfId="4" applyFont="1" applyFill="1" applyBorder="1" applyAlignment="1" applyProtection="1">
      <alignment horizontal="left" vertical="center" wrapText="1"/>
    </xf>
    <xf numFmtId="0" fontId="82" fillId="11" borderId="1" xfId="4" applyFont="1" applyFill="1" applyBorder="1" applyAlignment="1" applyProtection="1">
      <alignment vertical="center" wrapText="1"/>
    </xf>
    <xf numFmtId="0" fontId="84" fillId="11" borderId="1" xfId="8" applyFont="1" applyFill="1" applyBorder="1" applyAlignment="1" applyProtection="1">
      <alignment horizontal="center" vertical="center" wrapText="1"/>
    </xf>
    <xf numFmtId="0" fontId="82" fillId="11" borderId="1" xfId="8" applyFont="1" applyFill="1" applyBorder="1" applyAlignment="1" applyProtection="1">
      <alignment horizontal="center" vertical="center" wrapText="1"/>
    </xf>
    <xf numFmtId="0" fontId="78" fillId="11" borderId="1" xfId="8" applyFont="1" applyFill="1" applyBorder="1" applyAlignment="1" applyProtection="1">
      <alignment vertical="center" wrapText="1"/>
      <protection locked="0"/>
    </xf>
    <xf numFmtId="167" fontId="78" fillId="11" borderId="1" xfId="8" applyNumberFormat="1" applyFont="1" applyFill="1" applyBorder="1" applyAlignment="1" applyProtection="1">
      <alignment horizontal="right" vertical="center" wrapText="1"/>
      <protection locked="0"/>
    </xf>
    <xf numFmtId="43" fontId="82" fillId="11" borderId="1" xfId="1" applyFont="1" applyFill="1" applyBorder="1" applyAlignment="1" applyProtection="1">
      <alignment horizontal="right" vertical="center" wrapText="1"/>
    </xf>
    <xf numFmtId="0" fontId="91" fillId="11" borderId="1" xfId="0" applyFont="1" applyFill="1" applyBorder="1" applyAlignment="1" applyProtection="1">
      <alignment vertical="center" wrapText="1"/>
    </xf>
    <xf numFmtId="2" fontId="82" fillId="11" borderId="0" xfId="8" applyNumberFormat="1" applyFont="1" applyFill="1" applyAlignment="1" applyProtection="1">
      <alignment vertical="center" wrapText="1"/>
    </xf>
    <xf numFmtId="0" fontId="82" fillId="11" borderId="0" xfId="8" applyFont="1" applyFill="1" applyAlignment="1" applyProtection="1">
      <alignment vertical="center" wrapText="1"/>
    </xf>
    <xf numFmtId="2" fontId="82" fillId="11" borderId="1" xfId="8" applyNumberFormat="1" applyFont="1" applyFill="1" applyBorder="1" applyAlignment="1" applyProtection="1">
      <alignment vertical="center" wrapText="1"/>
    </xf>
    <xf numFmtId="0" fontId="24" fillId="11" borderId="1" xfId="8" applyFont="1" applyFill="1" applyBorder="1" applyAlignment="1" applyProtection="1">
      <alignment vertical="center" wrapText="1"/>
      <protection locked="0"/>
    </xf>
    <xf numFmtId="0" fontId="24" fillId="11" borderId="1" xfId="8" applyFont="1" applyFill="1" applyBorder="1" applyAlignment="1" applyProtection="1">
      <alignment horizontal="center" vertical="center" wrapText="1"/>
      <protection locked="0"/>
    </xf>
    <xf numFmtId="167" fontId="24" fillId="11" borderId="1" xfId="8" applyNumberFormat="1" applyFont="1" applyFill="1" applyBorder="1" applyAlignment="1" applyProtection="1">
      <alignment horizontal="right" vertical="center" wrapText="1"/>
      <protection locked="0"/>
    </xf>
    <xf numFmtId="2" fontId="78" fillId="11" borderId="1" xfId="8" applyNumberFormat="1" applyFont="1" applyFill="1" applyBorder="1" applyAlignment="1" applyProtection="1">
      <alignment vertical="center" wrapText="1"/>
      <protection locked="0"/>
    </xf>
    <xf numFmtId="0" fontId="57" fillId="11" borderId="1" xfId="8" applyFont="1" applyFill="1" applyBorder="1" applyAlignment="1" applyProtection="1">
      <alignment horizontal="center" vertical="center" wrapText="1"/>
      <protection locked="0"/>
    </xf>
    <xf numFmtId="2" fontId="57" fillId="11" borderId="0" xfId="8" applyNumberFormat="1" applyFont="1" applyFill="1" applyAlignment="1" applyProtection="1">
      <alignment wrapText="1"/>
    </xf>
    <xf numFmtId="0" fontId="57" fillId="11" borderId="0" xfId="8" applyFont="1" applyFill="1" applyAlignment="1" applyProtection="1">
      <alignment vertical="center" wrapText="1"/>
    </xf>
    <xf numFmtId="2" fontId="57" fillId="11" borderId="1" xfId="8" applyNumberFormat="1" applyFont="1" applyFill="1" applyBorder="1" applyAlignment="1" applyProtection="1">
      <alignment vertical="center" wrapText="1"/>
    </xf>
    <xf numFmtId="0" fontId="57" fillId="11" borderId="1" xfId="82" applyFont="1" applyFill="1" applyBorder="1" applyAlignment="1" applyProtection="1">
      <alignment vertical="center"/>
    </xf>
    <xf numFmtId="0" fontId="79" fillId="11" borderId="1" xfId="4" applyFont="1" applyFill="1" applyBorder="1" applyAlignment="1" applyProtection="1">
      <alignment horizontal="center" vertical="center" wrapText="1"/>
    </xf>
    <xf numFmtId="0" fontId="57" fillId="11" borderId="1" xfId="82" applyFont="1" applyFill="1" applyBorder="1" applyAlignment="1" applyProtection="1">
      <alignment horizontal="center" vertical="center"/>
    </xf>
    <xf numFmtId="0" fontId="79" fillId="11" borderId="1" xfId="0" applyFont="1" applyFill="1" applyBorder="1" applyAlignment="1" applyProtection="1">
      <alignment vertical="center"/>
      <protection locked="0"/>
    </xf>
    <xf numFmtId="167" fontId="50" fillId="11" borderId="1" xfId="14" applyNumberFormat="1" applyFont="1" applyFill="1" applyBorder="1" applyAlignment="1" applyProtection="1">
      <alignment vertical="center" wrapText="1"/>
      <protection locked="0"/>
    </xf>
    <xf numFmtId="167" fontId="34" fillId="11" borderId="1" xfId="14" applyNumberFormat="1" applyFont="1" applyFill="1" applyBorder="1" applyAlignment="1" applyProtection="1">
      <alignment vertical="center" wrapText="1"/>
      <protection locked="0"/>
    </xf>
    <xf numFmtId="0" fontId="34" fillId="11" borderId="1" xfId="82" applyFont="1" applyFill="1" applyBorder="1" applyAlignment="1" applyProtection="1">
      <alignment vertical="center" wrapText="1"/>
      <protection locked="0"/>
    </xf>
    <xf numFmtId="0" fontId="34" fillId="11" borderId="1" xfId="8" applyFont="1" applyFill="1" applyBorder="1" applyAlignment="1" applyProtection="1">
      <alignment horizontal="center" vertical="center" wrapText="1"/>
      <protection locked="0"/>
    </xf>
    <xf numFmtId="2" fontId="57" fillId="11" borderId="1" xfId="1" applyNumberFormat="1" applyFont="1" applyFill="1" applyBorder="1" applyAlignment="1" applyProtection="1">
      <alignment vertical="center" wrapText="1"/>
    </xf>
    <xf numFmtId="0" fontId="34" fillId="11" borderId="5" xfId="82" applyFont="1" applyFill="1" applyBorder="1" applyAlignment="1" applyProtection="1">
      <alignment horizontal="left" vertical="center" wrapText="1"/>
      <protection locked="0"/>
    </xf>
    <xf numFmtId="0" fontId="103" fillId="11" borderId="1" xfId="0" applyFont="1" applyFill="1" applyBorder="1" applyAlignment="1" applyProtection="1">
      <alignment horizontal="left" vertical="center" wrapText="1"/>
    </xf>
    <xf numFmtId="2" fontId="103" fillId="11" borderId="1" xfId="1" applyNumberFormat="1" applyFont="1" applyFill="1" applyBorder="1" applyAlignment="1" applyProtection="1">
      <alignment vertical="center"/>
    </xf>
    <xf numFmtId="0" fontId="57" fillId="11" borderId="0" xfId="82" applyFont="1" applyFill="1" applyAlignment="1" applyProtection="1">
      <alignment vertical="center"/>
    </xf>
    <xf numFmtId="2" fontId="57" fillId="11" borderId="1" xfId="82" applyNumberFormat="1" applyFont="1" applyFill="1" applyBorder="1" applyAlignment="1" applyProtection="1">
      <alignment vertical="center"/>
    </xf>
    <xf numFmtId="2" fontId="57" fillId="11" borderId="1" xfId="62" applyNumberFormat="1" applyFont="1" applyFill="1" applyBorder="1" applyAlignment="1" applyProtection="1">
      <alignment vertical="center"/>
    </xf>
    <xf numFmtId="0" fontId="57" fillId="11" borderId="1" xfId="8" applyFont="1" applyFill="1" applyBorder="1" applyAlignment="1" applyProtection="1">
      <alignment horizontal="left" vertical="center" wrapText="1"/>
    </xf>
    <xf numFmtId="0" fontId="57" fillId="11" borderId="1" xfId="8" applyFont="1" applyFill="1" applyBorder="1" applyAlignment="1" applyProtection="1">
      <alignment horizontal="center" vertical="center"/>
    </xf>
    <xf numFmtId="0" fontId="50" fillId="11" borderId="1" xfId="8" applyFont="1" applyFill="1" applyBorder="1" applyAlignment="1" applyProtection="1">
      <alignment vertical="center"/>
      <protection locked="0"/>
    </xf>
    <xf numFmtId="0" fontId="57" fillId="11" borderId="1" xfId="8" applyFont="1" applyFill="1" applyBorder="1" applyAlignment="1" applyProtection="1">
      <alignment vertical="center"/>
      <protection locked="0"/>
    </xf>
    <xf numFmtId="167" fontId="50" fillId="11" borderId="1" xfId="8" applyNumberFormat="1" applyFont="1" applyFill="1" applyBorder="1" applyAlignment="1" applyProtection="1">
      <alignment horizontal="right" vertical="center" wrapText="1"/>
      <protection locked="0"/>
    </xf>
    <xf numFmtId="167" fontId="57" fillId="11" borderId="1" xfId="8" applyNumberFormat="1" applyFont="1" applyFill="1" applyBorder="1" applyAlignment="1" applyProtection="1">
      <alignment horizontal="right" vertical="center" wrapText="1"/>
      <protection locked="0"/>
    </xf>
    <xf numFmtId="0" fontId="79" fillId="11" borderId="1" xfId="8" applyFont="1" applyFill="1" applyBorder="1" applyAlignment="1" applyProtection="1">
      <alignment vertical="center"/>
      <protection locked="0"/>
    </xf>
    <xf numFmtId="1" fontId="57" fillId="11" borderId="1" xfId="8" applyNumberFormat="1" applyFont="1" applyFill="1" applyBorder="1" applyAlignment="1" applyProtection="1">
      <alignment horizontal="left" vertical="top" wrapText="1"/>
    </xf>
    <xf numFmtId="43" fontId="57" fillId="11" borderId="1" xfId="1" applyFont="1" applyFill="1" applyBorder="1" applyAlignment="1" applyProtection="1">
      <alignment horizontal="left" vertical="center"/>
    </xf>
    <xf numFmtId="0" fontId="57" fillId="11" borderId="0" xfId="8" applyFont="1" applyFill="1" applyAlignment="1" applyProtection="1">
      <alignment vertical="center"/>
    </xf>
    <xf numFmtId="2" fontId="57" fillId="11" borderId="1" xfId="8" applyNumberFormat="1" applyFont="1" applyFill="1" applyBorder="1" applyAlignment="1" applyProtection="1">
      <alignment vertical="center"/>
    </xf>
    <xf numFmtId="0" fontId="94" fillId="0" borderId="1" xfId="0" applyFont="1" applyFill="1" applyBorder="1" applyAlignment="1" applyProtection="1">
      <alignment horizontal="left" vertical="top" wrapText="1"/>
    </xf>
    <xf numFmtId="0" fontId="61" fillId="11" borderId="1" xfId="0" applyFont="1" applyFill="1" applyBorder="1" applyAlignment="1" applyProtection="1">
      <alignment horizontal="left" vertical="center" wrapText="1"/>
    </xf>
    <xf numFmtId="0" fontId="79" fillId="11" borderId="1" xfId="0" applyFont="1" applyFill="1" applyBorder="1" applyAlignment="1" applyProtection="1">
      <alignment horizontal="center" vertical="center" wrapText="1"/>
    </xf>
    <xf numFmtId="0" fontId="61" fillId="11" borderId="1" xfId="0" applyFont="1" applyFill="1" applyBorder="1" applyAlignment="1" applyProtection="1">
      <alignment horizontal="center" vertical="center" wrapText="1"/>
    </xf>
    <xf numFmtId="0" fontId="121" fillId="11" borderId="1" xfId="0" applyFont="1" applyFill="1" applyBorder="1" applyAlignment="1" applyProtection="1">
      <alignment horizontal="center" vertical="center" wrapText="1"/>
      <protection locked="0"/>
    </xf>
    <xf numFmtId="0" fontId="125" fillId="11" borderId="1" xfId="8" applyFont="1" applyFill="1" applyBorder="1" applyAlignment="1" applyProtection="1">
      <alignment horizontal="center" vertical="center" wrapText="1"/>
      <protection locked="0"/>
    </xf>
    <xf numFmtId="43" fontId="61" fillId="11" borderId="1" xfId="1" applyFont="1" applyFill="1" applyBorder="1" applyAlignment="1" applyProtection="1">
      <alignment horizontal="center" vertical="center" wrapText="1"/>
    </xf>
    <xf numFmtId="2" fontId="61" fillId="11" borderId="1" xfId="1" applyNumberFormat="1" applyFont="1" applyFill="1" applyBorder="1" applyAlignment="1" applyProtection="1">
      <alignment horizontal="center" vertical="center" wrapText="1"/>
    </xf>
    <xf numFmtId="0" fontId="132" fillId="11" borderId="1" xfId="0" applyFont="1" applyFill="1" applyBorder="1" applyAlignment="1" applyProtection="1">
      <alignment horizontal="left" vertical="center" wrapText="1"/>
      <protection locked="0"/>
    </xf>
    <xf numFmtId="0" fontId="82" fillId="11" borderId="1" xfId="0" applyFont="1" applyFill="1" applyBorder="1" applyAlignment="1" applyProtection="1">
      <alignment horizontal="left" vertical="center" wrapText="1"/>
    </xf>
    <xf numFmtId="43" fontId="82" fillId="11" borderId="1" xfId="1" applyFont="1" applyFill="1" applyBorder="1" applyAlignment="1" applyProtection="1">
      <alignment horizontal="left" vertical="center" wrapText="1"/>
    </xf>
    <xf numFmtId="0" fontId="82" fillId="11" borderId="0" xfId="0" applyFont="1" applyFill="1" applyBorder="1" applyAlignment="1" applyProtection="1">
      <alignment vertical="center" wrapText="1"/>
    </xf>
    <xf numFmtId="2" fontId="82" fillId="11" borderId="1" xfId="0" applyNumberFormat="1" applyFont="1" applyFill="1" applyBorder="1" applyAlignment="1" applyProtection="1">
      <alignment vertical="center" wrapText="1"/>
    </xf>
    <xf numFmtId="2" fontId="7" fillId="0" borderId="1" xfId="97" applyNumberFormat="1" applyFont="1" applyBorder="1" applyAlignment="1" applyProtection="1">
      <alignment vertical="center"/>
    </xf>
    <xf numFmtId="167" fontId="34" fillId="13" borderId="1" xfId="48" applyNumberFormat="1" applyFont="1" applyFill="1" applyBorder="1" applyAlignment="1" applyProtection="1">
      <alignment horizontal="center" vertical="center"/>
      <protection locked="0"/>
    </xf>
    <xf numFmtId="0" fontId="34" fillId="13" borderId="1" xfId="97" applyFont="1" applyFill="1" applyBorder="1" applyAlignment="1" applyProtection="1">
      <alignment horizontal="center" vertical="center"/>
      <protection locked="0"/>
    </xf>
    <xf numFmtId="0" fontId="34" fillId="13" borderId="1" xfId="8" applyFont="1" applyFill="1" applyBorder="1" applyAlignment="1" applyProtection="1">
      <alignment horizontal="center" vertical="center" wrapText="1"/>
      <protection locked="0"/>
    </xf>
    <xf numFmtId="2" fontId="34" fillId="13" borderId="5" xfId="48" applyNumberFormat="1" applyFont="1" applyFill="1" applyBorder="1" applyAlignment="1" applyProtection="1">
      <alignment horizontal="left" vertical="center" wrapText="1"/>
      <protection locked="0"/>
    </xf>
    <xf numFmtId="0" fontId="136" fillId="13" borderId="1" xfId="8" applyFont="1" applyFill="1" applyBorder="1" applyAlignment="1" applyProtection="1">
      <alignment horizontal="center" vertical="center" wrapText="1"/>
      <protection locked="0"/>
    </xf>
    <xf numFmtId="2" fontId="139" fillId="13" borderId="5" xfId="48" applyNumberFormat="1" applyFont="1" applyFill="1" applyBorder="1" applyAlignment="1" applyProtection="1">
      <alignment horizontal="left" vertical="center" wrapText="1"/>
      <protection locked="0"/>
    </xf>
    <xf numFmtId="2" fontId="106" fillId="13" borderId="1" xfId="1" applyNumberFormat="1" applyFont="1" applyFill="1" applyBorder="1" applyAlignment="1" applyProtection="1">
      <alignment horizontal="center" vertical="center" wrapText="1"/>
    </xf>
    <xf numFmtId="0" fontId="79" fillId="13" borderId="1" xfId="5" applyFont="1" applyFill="1" applyBorder="1" applyAlignment="1" applyProtection="1">
      <alignment horizontal="center" vertical="center" wrapText="1"/>
    </xf>
    <xf numFmtId="0" fontId="79" fillId="13" borderId="1" xfId="50" applyFont="1" applyFill="1" applyBorder="1" applyAlignment="1" applyProtection="1">
      <alignment horizontal="center" vertical="center" wrapText="1"/>
      <protection locked="0"/>
    </xf>
    <xf numFmtId="0" fontId="139" fillId="13" borderId="1" xfId="50" applyFont="1" applyFill="1" applyBorder="1" applyAlignment="1" applyProtection="1">
      <alignment horizontal="center" vertical="center" wrapText="1"/>
      <protection locked="0"/>
    </xf>
    <xf numFmtId="0" fontId="6" fillId="0" borderId="1" xfId="4" applyFont="1" applyBorder="1" applyAlignment="1" applyProtection="1">
      <alignment horizontal="left" vertical="center" wrapText="1"/>
    </xf>
    <xf numFmtId="0" fontId="84" fillId="0" borderId="1" xfId="50" applyFont="1" applyFill="1" applyBorder="1" applyAlignment="1" applyProtection="1">
      <alignment horizontal="left" vertical="center" wrapText="1"/>
    </xf>
    <xf numFmtId="0" fontId="82" fillId="0" borderId="1" xfId="97" applyFont="1" applyFill="1" applyBorder="1" applyAlignment="1" applyProtection="1">
      <alignment horizontal="left" vertical="center" wrapText="1"/>
    </xf>
    <xf numFmtId="0" fontId="82" fillId="0" borderId="1" xfId="97" applyFont="1" applyFill="1" applyBorder="1" applyAlignment="1" applyProtection="1">
      <alignment horizontal="center" vertical="center" wrapText="1"/>
    </xf>
    <xf numFmtId="0" fontId="82" fillId="0" borderId="1" xfId="97" applyFont="1" applyFill="1" applyBorder="1" applyAlignment="1" applyProtection="1">
      <alignment horizontal="center" vertical="center"/>
      <protection locked="0"/>
    </xf>
    <xf numFmtId="2" fontId="82" fillId="0" borderId="1" xfId="1" applyNumberFormat="1" applyFont="1" applyFill="1" applyBorder="1" applyAlignment="1" applyProtection="1">
      <alignment horizontal="center" vertical="center"/>
    </xf>
    <xf numFmtId="2" fontId="82" fillId="0" borderId="5" xfId="48" applyNumberFormat="1" applyFont="1" applyFill="1" applyBorder="1" applyAlignment="1" applyProtection="1">
      <alignment horizontal="left" vertical="center" wrapText="1"/>
      <protection locked="0"/>
    </xf>
    <xf numFmtId="2" fontId="82" fillId="0" borderId="0" xfId="97" applyNumberFormat="1" applyFont="1" applyAlignment="1" applyProtection="1">
      <alignment vertical="center"/>
    </xf>
    <xf numFmtId="0" fontId="82" fillId="0" borderId="0" xfId="97" applyFont="1" applyFill="1" applyAlignment="1" applyProtection="1">
      <alignment vertical="center"/>
    </xf>
    <xf numFmtId="2" fontId="82" fillId="0" borderId="1" xfId="97" applyNumberFormat="1" applyFont="1" applyFill="1" applyBorder="1" applyAlignment="1" applyProtection="1">
      <alignment vertical="center"/>
    </xf>
    <xf numFmtId="2" fontId="82" fillId="0" borderId="1" xfId="97" applyNumberFormat="1" applyFont="1" applyBorder="1" applyAlignment="1" applyProtection="1">
      <alignment vertical="center"/>
    </xf>
    <xf numFmtId="0" fontId="6" fillId="0" borderId="1" xfId="4" applyFont="1" applyFill="1" applyBorder="1" applyAlignment="1" applyProtection="1">
      <alignment vertical="center" wrapText="1"/>
    </xf>
    <xf numFmtId="43" fontId="82" fillId="0" borderId="0" xfId="0" applyNumberFormat="1" applyFont="1" applyAlignment="1" applyProtection="1">
      <alignment vertical="center" wrapText="1"/>
    </xf>
    <xf numFmtId="164" fontId="82" fillId="0" borderId="0" xfId="0" applyNumberFormat="1" applyFont="1" applyAlignment="1" applyProtection="1">
      <alignment vertical="center" wrapText="1"/>
    </xf>
    <xf numFmtId="0" fontId="82" fillId="0" borderId="1" xfId="8"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protection locked="0"/>
    </xf>
    <xf numFmtId="167" fontId="82" fillId="0" borderId="1" xfId="9" applyNumberFormat="1" applyFont="1" applyFill="1" applyBorder="1" applyAlignment="1" applyProtection="1">
      <alignment horizontal="right" vertical="center" wrapText="1"/>
      <protection locked="0"/>
    </xf>
    <xf numFmtId="0" fontId="64" fillId="0" borderId="1" xfId="0" applyFont="1" applyFill="1" applyBorder="1" applyAlignment="1" applyProtection="1">
      <alignment horizontal="center" vertical="center" wrapText="1"/>
      <protection locked="0"/>
    </xf>
    <xf numFmtId="0" fontId="64" fillId="0" borderId="1" xfId="0" applyFont="1" applyFill="1" applyBorder="1" applyAlignment="1" applyProtection="1">
      <alignment horizontal="left" vertical="center" wrapText="1"/>
      <protection locked="0"/>
    </xf>
    <xf numFmtId="2" fontId="91" fillId="0" borderId="1" xfId="0" applyNumberFormat="1" applyFont="1" applyFill="1" applyBorder="1" applyAlignment="1" applyProtection="1">
      <alignment horizontal="left" vertical="center" wrapText="1"/>
    </xf>
    <xf numFmtId="2" fontId="78" fillId="0" borderId="1" xfId="0" applyNumberFormat="1" applyFont="1" applyFill="1" applyBorder="1" applyAlignment="1" applyProtection="1">
      <alignment vertical="center" wrapText="1"/>
    </xf>
    <xf numFmtId="2" fontId="91" fillId="11" borderId="1" xfId="0" applyNumberFormat="1" applyFont="1" applyFill="1" applyBorder="1" applyAlignment="1" applyProtection="1">
      <alignment vertical="center" wrapText="1"/>
    </xf>
    <xf numFmtId="2" fontId="106" fillId="44" borderId="1" xfId="0" applyNumberFormat="1" applyFont="1" applyFill="1" applyBorder="1" applyAlignment="1" applyProtection="1">
      <alignment horizontal="right" vertical="center" wrapText="1"/>
    </xf>
    <xf numFmtId="2" fontId="84" fillId="0" borderId="1" xfId="1" applyNumberFormat="1" applyFont="1" applyFill="1" applyBorder="1" applyAlignment="1" applyProtection="1">
      <alignment horizontal="right" vertical="center" wrapText="1"/>
    </xf>
    <xf numFmtId="2" fontId="57" fillId="11" borderId="0" xfId="8" applyNumberFormat="1" applyFont="1" applyFill="1" applyAlignment="1" applyProtection="1">
      <alignment vertical="center" wrapText="1"/>
    </xf>
    <xf numFmtId="2" fontId="84" fillId="0" borderId="0" xfId="8" applyNumberFormat="1" applyFont="1" applyFill="1" applyAlignment="1" applyProtection="1">
      <alignment vertical="center" wrapText="1"/>
    </xf>
    <xf numFmtId="2" fontId="103" fillId="47" borderId="1" xfId="0" applyNumberFormat="1" applyFont="1" applyFill="1" applyBorder="1" applyAlignment="1" applyProtection="1">
      <alignment vertical="center" wrapText="1"/>
    </xf>
    <xf numFmtId="2" fontId="91" fillId="0" borderId="1" xfId="0" applyNumberFormat="1" applyFont="1" applyBorder="1" applyAlignment="1" applyProtection="1">
      <alignment horizontal="right" vertical="center" wrapText="1"/>
    </xf>
    <xf numFmtId="2" fontId="106" fillId="44" borderId="1" xfId="0" applyNumberFormat="1" applyFont="1" applyFill="1" applyBorder="1" applyAlignment="1" applyProtection="1">
      <alignment vertical="center" wrapText="1"/>
    </xf>
    <xf numFmtId="2" fontId="103" fillId="45" borderId="1" xfId="0" applyNumberFormat="1" applyFont="1" applyFill="1" applyBorder="1" applyAlignment="1" applyProtection="1">
      <alignment horizontal="right" vertical="center" wrapText="1"/>
      <protection locked="0"/>
    </xf>
    <xf numFmtId="167" fontId="82" fillId="11" borderId="1" xfId="8" applyNumberFormat="1" applyFont="1" applyFill="1" applyBorder="1" applyAlignment="1" applyProtection="1">
      <alignment vertical="center" wrapText="1"/>
      <protection locked="0"/>
    </xf>
    <xf numFmtId="0" fontId="82" fillId="11" borderId="1" xfId="8" applyFont="1" applyFill="1" applyBorder="1" applyAlignment="1" applyProtection="1">
      <alignment vertical="center" wrapText="1"/>
      <protection locked="0"/>
    </xf>
    <xf numFmtId="0" fontId="36" fillId="11" borderId="1" xfId="8" applyFont="1" applyFill="1" applyBorder="1" applyAlignment="1" applyProtection="1">
      <alignment horizontal="center" vertical="center" wrapText="1"/>
      <protection locked="0"/>
    </xf>
    <xf numFmtId="2" fontId="82" fillId="11" borderId="1" xfId="1" applyNumberFormat="1" applyFont="1" applyFill="1" applyBorder="1" applyAlignment="1" applyProtection="1">
      <alignment horizontal="right" vertical="center" wrapText="1"/>
    </xf>
    <xf numFmtId="0" fontId="93" fillId="11" borderId="1" xfId="0" applyFont="1" applyFill="1" applyBorder="1" applyAlignment="1" applyProtection="1">
      <alignment horizontal="left" vertical="center" wrapText="1"/>
      <protection locked="0"/>
    </xf>
    <xf numFmtId="164" fontId="82" fillId="11" borderId="1" xfId="8" applyNumberFormat="1" applyFont="1" applyFill="1" applyBorder="1" applyAlignment="1" applyProtection="1">
      <alignment vertical="center" wrapText="1"/>
      <protection locked="0"/>
    </xf>
    <xf numFmtId="167" fontId="24" fillId="11" borderId="1" xfId="8" applyNumberFormat="1" applyFont="1" applyFill="1" applyBorder="1" applyAlignment="1" applyProtection="1">
      <alignment vertical="center" wrapText="1"/>
      <protection locked="0"/>
    </xf>
    <xf numFmtId="0" fontId="82" fillId="11" borderId="1" xfId="4" applyFont="1" applyFill="1" applyBorder="1" applyAlignment="1" applyProtection="1">
      <alignment vertical="center" wrapText="1"/>
      <protection locked="0"/>
    </xf>
    <xf numFmtId="0" fontId="82" fillId="11" borderId="1" xfId="0" applyFont="1" applyFill="1" applyBorder="1" applyAlignment="1" applyProtection="1">
      <alignment vertical="top" wrapText="1"/>
    </xf>
    <xf numFmtId="164" fontId="24" fillId="11" borderId="1" xfId="8" applyNumberFormat="1" applyFont="1" applyFill="1" applyBorder="1" applyAlignment="1" applyProtection="1">
      <alignment vertical="center" wrapText="1"/>
      <protection locked="0"/>
    </xf>
    <xf numFmtId="0" fontId="47" fillId="11" borderId="1" xfId="8" applyFont="1" applyFill="1" applyBorder="1" applyAlignment="1" applyProtection="1">
      <alignment horizontal="center" vertical="center" wrapText="1"/>
      <protection locked="0"/>
    </xf>
    <xf numFmtId="0" fontId="82" fillId="0" borderId="1" xfId="8" applyFont="1" applyFill="1" applyBorder="1" applyAlignment="1" applyProtection="1">
      <alignment horizontal="center" vertical="center" wrapText="1"/>
    </xf>
    <xf numFmtId="0" fontId="56" fillId="11" borderId="1" xfId="4" applyFont="1" applyFill="1" applyBorder="1" applyAlignment="1" applyProtection="1">
      <alignment horizontal="left" vertical="center" wrapText="1"/>
    </xf>
    <xf numFmtId="2" fontId="82" fillId="0" borderId="1" xfId="1" applyNumberFormat="1" applyFont="1" applyFill="1" applyBorder="1" applyAlignment="1" applyProtection="1">
      <alignment horizontal="center" vertical="center" wrapText="1"/>
    </xf>
    <xf numFmtId="2" fontId="82" fillId="0" borderId="1" xfId="87" applyNumberFormat="1" applyFont="1" applyFill="1" applyBorder="1" applyAlignment="1" applyProtection="1">
      <alignment vertical="center"/>
    </xf>
    <xf numFmtId="0" fontId="96" fillId="0" borderId="0" xfId="0" applyFont="1" applyFill="1" applyAlignment="1" applyProtection="1">
      <alignment vertical="top" wrapText="1"/>
    </xf>
    <xf numFmtId="0" fontId="82" fillId="0" borderId="1" xfId="8" applyFont="1" applyFill="1" applyBorder="1" applyAlignment="1" applyProtection="1">
      <alignment horizontal="center" vertical="center" wrapText="1"/>
    </xf>
    <xf numFmtId="0" fontId="84" fillId="11" borderId="1" xfId="50" applyFont="1" applyFill="1" applyBorder="1" applyAlignment="1" applyProtection="1">
      <alignment horizontal="left" vertical="center" wrapText="1"/>
    </xf>
    <xf numFmtId="0" fontId="82" fillId="11" borderId="1" xfId="5" applyFont="1" applyFill="1" applyBorder="1" applyAlignment="1" applyProtection="1">
      <alignment horizontal="left" vertical="center" wrapText="1"/>
    </xf>
    <xf numFmtId="0" fontId="82" fillId="11" borderId="1" xfId="97" applyFont="1" applyFill="1" applyBorder="1" applyAlignment="1" applyProtection="1">
      <alignment horizontal="center" vertical="center" wrapText="1"/>
    </xf>
    <xf numFmtId="0" fontId="82" fillId="11" borderId="1" xfId="97" applyFont="1" applyFill="1" applyBorder="1" applyAlignment="1" applyProtection="1">
      <alignment horizontal="center" vertical="center"/>
      <protection locked="0"/>
    </xf>
    <xf numFmtId="43" fontId="82" fillId="11" borderId="1" xfId="1" applyFont="1" applyFill="1" applyBorder="1" applyAlignment="1" applyProtection="1">
      <alignment horizontal="center" vertical="center" wrapText="1"/>
    </xf>
    <xf numFmtId="0" fontId="82" fillId="11" borderId="1" xfId="8" applyFont="1" applyFill="1" applyBorder="1" applyAlignment="1" applyProtection="1">
      <alignment horizontal="center" vertical="center" wrapText="1"/>
      <protection locked="0"/>
    </xf>
    <xf numFmtId="2" fontId="82" fillId="11" borderId="1" xfId="1" applyNumberFormat="1" applyFont="1" applyFill="1" applyBorder="1" applyAlignment="1" applyProtection="1">
      <alignment horizontal="center" vertical="center"/>
    </xf>
    <xf numFmtId="0" fontId="118" fillId="11" borderId="0" xfId="0" applyFont="1" applyFill="1" applyAlignment="1">
      <alignment wrapText="1"/>
    </xf>
    <xf numFmtId="2" fontId="91" fillId="11" borderId="1" xfId="1" applyNumberFormat="1" applyFont="1" applyFill="1" applyBorder="1" applyAlignment="1" applyProtection="1">
      <alignment horizontal="center" vertical="center" wrapText="1"/>
    </xf>
    <xf numFmtId="2" fontId="82" fillId="11" borderId="0" xfId="97" applyNumberFormat="1" applyFont="1" applyFill="1" applyAlignment="1" applyProtection="1">
      <alignment vertical="center"/>
    </xf>
    <xf numFmtId="0" fontId="82" fillId="11" borderId="0" xfId="97" applyFont="1" applyFill="1" applyAlignment="1" applyProtection="1">
      <alignment vertical="center"/>
    </xf>
    <xf numFmtId="2" fontId="82" fillId="11" borderId="1" xfId="97" applyNumberFormat="1" applyFont="1" applyFill="1" applyBorder="1" applyAlignment="1" applyProtection="1">
      <alignment vertical="center"/>
    </xf>
    <xf numFmtId="0" fontId="124" fillId="0" borderId="1" xfId="8" applyFont="1" applyFill="1" applyBorder="1" applyAlignment="1" applyProtection="1">
      <alignment vertical="center" wrapText="1"/>
      <protection locked="0"/>
    </xf>
    <xf numFmtId="0" fontId="124" fillId="0" borderId="1" xfId="9" applyFont="1" applyFill="1" applyBorder="1" applyAlignment="1" applyProtection="1">
      <alignment vertical="center" wrapText="1"/>
      <protection locked="0"/>
    </xf>
    <xf numFmtId="0" fontId="124" fillId="0" borderId="1" xfId="11" applyFont="1" applyFill="1" applyBorder="1" applyAlignment="1" applyProtection="1">
      <alignment vertical="center" wrapText="1"/>
      <protection locked="0"/>
    </xf>
    <xf numFmtId="0" fontId="121" fillId="0" borderId="1" xfId="8" applyFont="1" applyFill="1" applyBorder="1" applyAlignment="1" applyProtection="1">
      <alignment horizontal="center" vertical="center" wrapText="1"/>
      <protection locked="0"/>
    </xf>
    <xf numFmtId="2" fontId="82" fillId="0" borderId="1" xfId="0" applyNumberFormat="1" applyFont="1" applyFill="1" applyBorder="1" applyAlignment="1" applyProtection="1">
      <alignment horizontal="right" vertical="center" wrapText="1"/>
    </xf>
    <xf numFmtId="2" fontId="82" fillId="0" borderId="1" xfId="9" applyNumberFormat="1" applyFont="1" applyFill="1" applyBorder="1" applyAlignment="1" applyProtection="1">
      <alignment vertical="center" wrapText="1"/>
    </xf>
    <xf numFmtId="0" fontId="121" fillId="0" borderId="5" xfId="9" applyFont="1" applyFill="1" applyBorder="1" applyAlignment="1" applyProtection="1">
      <alignment horizontal="left" vertical="center" wrapText="1"/>
      <protection locked="0"/>
    </xf>
    <xf numFmtId="0" fontId="82" fillId="0" borderId="1" xfId="5" applyFont="1" applyFill="1" applyBorder="1" applyAlignment="1" applyProtection="1">
      <alignment horizontal="left" vertical="top" wrapText="1"/>
    </xf>
    <xf numFmtId="0" fontId="84" fillId="0" borderId="1" xfId="50" applyFont="1" applyFill="1" applyBorder="1" applyAlignment="1" applyProtection="1">
      <alignment horizontal="left" vertical="top" wrapText="1"/>
    </xf>
    <xf numFmtId="0" fontId="82" fillId="0" borderId="1" xfId="97" applyFont="1" applyFill="1" applyBorder="1" applyAlignment="1" applyProtection="1">
      <alignment horizontal="center" vertical="top" wrapText="1"/>
    </xf>
    <xf numFmtId="0" fontId="82" fillId="0" borderId="1" xfId="97" applyFont="1" applyFill="1" applyBorder="1" applyAlignment="1" applyProtection="1">
      <alignment horizontal="center" vertical="top"/>
      <protection locked="0"/>
    </xf>
    <xf numFmtId="0" fontId="82" fillId="0" borderId="1" xfId="8" applyFont="1" applyFill="1" applyBorder="1" applyAlignment="1" applyProtection="1">
      <alignment horizontal="center" vertical="top" wrapText="1"/>
      <protection locked="0"/>
    </xf>
    <xf numFmtId="2" fontId="82" fillId="0" borderId="1" xfId="1" applyNumberFormat="1" applyFont="1" applyFill="1" applyBorder="1" applyAlignment="1" applyProtection="1">
      <alignment horizontal="center" vertical="top"/>
    </xf>
    <xf numFmtId="2" fontId="82" fillId="0" borderId="5" xfId="48" applyNumberFormat="1" applyFont="1" applyFill="1" applyBorder="1" applyAlignment="1" applyProtection="1">
      <alignment horizontal="center" vertical="top" wrapText="1"/>
      <protection locked="0"/>
    </xf>
    <xf numFmtId="2" fontId="91" fillId="0" borderId="1" xfId="1" applyNumberFormat="1" applyFont="1" applyFill="1" applyBorder="1" applyAlignment="1" applyProtection="1">
      <alignment horizontal="center" vertical="top" wrapText="1"/>
    </xf>
    <xf numFmtId="2" fontId="82" fillId="0" borderId="0" xfId="97" applyNumberFormat="1" applyFont="1" applyAlignment="1" applyProtection="1">
      <alignment vertical="top"/>
    </xf>
    <xf numFmtId="0" fontId="82" fillId="0" borderId="0" xfId="97" applyFont="1" applyFill="1" applyAlignment="1" applyProtection="1">
      <alignment vertical="top"/>
    </xf>
    <xf numFmtId="2" fontId="82" fillId="0" borderId="1" xfId="97" applyNumberFormat="1" applyFont="1" applyFill="1" applyBorder="1" applyAlignment="1" applyProtection="1">
      <alignment vertical="top"/>
    </xf>
    <xf numFmtId="2" fontId="82" fillId="0" borderId="1" xfId="97" applyNumberFormat="1" applyFont="1" applyBorder="1" applyAlignment="1" applyProtection="1">
      <alignment vertical="top"/>
    </xf>
    <xf numFmtId="2" fontId="78" fillId="0" borderId="1" xfId="8" applyNumberFormat="1" applyFont="1" applyFill="1" applyBorder="1" applyAlignment="1" applyProtection="1">
      <alignment vertical="center" wrapText="1"/>
    </xf>
    <xf numFmtId="2" fontId="5" fillId="0" borderId="1" xfId="8" applyNumberFormat="1" applyFont="1" applyFill="1" applyBorder="1" applyAlignment="1" applyProtection="1">
      <alignment vertical="center"/>
    </xf>
    <xf numFmtId="0" fontId="82" fillId="0" borderId="1" xfId="8" applyFont="1" applyFill="1" applyBorder="1" applyAlignment="1" applyProtection="1">
      <alignment horizontal="center" vertical="center" wrapText="1"/>
    </xf>
    <xf numFmtId="0" fontId="82" fillId="0" borderId="1" xfId="8" applyFont="1" applyFill="1" applyBorder="1" applyAlignment="1" applyProtection="1">
      <alignment horizontal="center" vertical="center" wrapText="1"/>
    </xf>
    <xf numFmtId="0" fontId="82" fillId="0" borderId="1" xfId="87" applyFont="1" applyFill="1" applyBorder="1" applyAlignment="1" applyProtection="1">
      <alignment vertical="center"/>
    </xf>
    <xf numFmtId="0" fontId="82" fillId="0" borderId="1" xfId="87" applyFont="1" applyFill="1" applyBorder="1" applyAlignment="1" applyProtection="1">
      <alignment vertical="center" wrapText="1"/>
    </xf>
    <xf numFmtId="0" fontId="82" fillId="0" borderId="1" xfId="87" applyFont="1" applyFill="1" applyBorder="1" applyAlignment="1" applyProtection="1">
      <alignment horizontal="center" vertical="center" wrapText="1"/>
    </xf>
    <xf numFmtId="0" fontId="82" fillId="0" borderId="5" xfId="56" applyFont="1" applyFill="1" applyBorder="1" applyAlignment="1" applyProtection="1">
      <alignment horizontal="left" vertical="center" wrapText="1"/>
      <protection locked="0"/>
    </xf>
    <xf numFmtId="0" fontId="82" fillId="0" borderId="0" xfId="87" applyFont="1" applyFill="1" applyAlignment="1" applyProtection="1">
      <alignment vertical="center"/>
    </xf>
    <xf numFmtId="2" fontId="82" fillId="0" borderId="1" xfId="62" applyNumberFormat="1" applyFont="1" applyBorder="1" applyAlignment="1" applyProtection="1">
      <alignment vertical="center"/>
    </xf>
    <xf numFmtId="0" fontId="82" fillId="0" borderId="1" xfId="95" applyFont="1" applyFill="1" applyBorder="1" applyAlignment="1" applyProtection="1">
      <alignment vertical="center" wrapText="1"/>
      <protection locked="0"/>
    </xf>
    <xf numFmtId="167" fontId="134" fillId="0" borderId="1" xfId="8" applyNumberFormat="1" applyFont="1" applyFill="1" applyBorder="1" applyAlignment="1" applyProtection="1">
      <alignment horizontal="right" vertical="center" wrapText="1"/>
      <protection locked="0"/>
    </xf>
    <xf numFmtId="0" fontId="135" fillId="0" borderId="1" xfId="8" applyFont="1" applyFill="1" applyBorder="1" applyAlignment="1" applyProtection="1">
      <alignment vertical="center" wrapText="1"/>
      <protection locked="0"/>
    </xf>
    <xf numFmtId="0" fontId="134" fillId="0" borderId="1" xfId="8" applyFont="1" applyFill="1" applyBorder="1" applyAlignment="1" applyProtection="1">
      <alignment vertical="center" wrapText="1"/>
      <protection locked="0"/>
    </xf>
    <xf numFmtId="0" fontId="82" fillId="0" borderId="5" xfId="75" applyFont="1" applyFill="1" applyBorder="1" applyAlignment="1" applyProtection="1">
      <alignment horizontal="left" vertical="center" wrapText="1"/>
      <protection locked="0"/>
    </xf>
    <xf numFmtId="0" fontId="136" fillId="0" borderId="1" xfId="97" applyFont="1" applyFill="1" applyBorder="1" applyAlignment="1" applyProtection="1">
      <alignment horizontal="center" vertical="center"/>
      <protection locked="0"/>
    </xf>
    <xf numFmtId="2" fontId="139" fillId="0" borderId="5" xfId="48" applyNumberFormat="1" applyFont="1" applyFill="1" applyBorder="1" applyAlignment="1" applyProtection="1">
      <alignment horizontal="left" vertical="center" wrapText="1"/>
      <protection locked="0"/>
    </xf>
    <xf numFmtId="2" fontId="57" fillId="0" borderId="0" xfId="97" applyNumberFormat="1" applyFont="1" applyFill="1" applyAlignment="1" applyProtection="1">
      <alignment vertical="center"/>
    </xf>
    <xf numFmtId="2" fontId="139" fillId="0" borderId="5" xfId="48" applyNumberFormat="1" applyFont="1" applyFill="1" applyBorder="1" applyAlignment="1" applyProtection="1">
      <alignment horizontal="left" vertical="center"/>
      <protection locked="0"/>
    </xf>
    <xf numFmtId="167" fontId="34" fillId="0" borderId="1" xfId="48" applyNumberFormat="1" applyFont="1" applyFill="1" applyBorder="1" applyAlignment="1" applyProtection="1">
      <alignment horizontal="center" vertical="center"/>
      <protection locked="0"/>
    </xf>
    <xf numFmtId="0" fontId="34" fillId="0" borderId="1" xfId="97" applyFont="1" applyFill="1" applyBorder="1" applyAlignment="1" applyProtection="1">
      <alignment horizontal="center" vertical="center"/>
      <protection locked="0"/>
    </xf>
    <xf numFmtId="2" fontId="34" fillId="0" borderId="5" xfId="48" applyNumberFormat="1" applyFont="1" applyFill="1" applyBorder="1" applyAlignment="1" applyProtection="1">
      <alignment horizontal="left" vertical="center" wrapText="1"/>
      <protection locked="0"/>
    </xf>
    <xf numFmtId="0" fontId="82" fillId="0" borderId="1" xfId="5" applyFont="1" applyFill="1" applyBorder="1" applyAlignment="1" applyProtection="1">
      <alignment horizontal="left" vertical="center" wrapText="1"/>
    </xf>
    <xf numFmtId="0" fontId="84" fillId="0" borderId="1" xfId="97" applyFont="1" applyFill="1" applyBorder="1" applyAlignment="1" applyProtection="1">
      <alignment horizontal="center" vertical="center"/>
    </xf>
    <xf numFmtId="167" fontId="82" fillId="0" borderId="1" xfId="48" applyNumberFormat="1" applyFont="1" applyFill="1" applyBorder="1" applyAlignment="1" applyProtection="1">
      <alignment horizontal="center" vertical="center"/>
      <protection locked="0"/>
    </xf>
    <xf numFmtId="2" fontId="82" fillId="0" borderId="0" xfId="97" applyNumberFormat="1" applyFont="1" applyFill="1" applyAlignment="1" applyProtection="1">
      <alignment vertical="center"/>
    </xf>
    <xf numFmtId="0" fontId="82" fillId="11" borderId="1" xfId="9" applyFont="1" applyFill="1" applyBorder="1" applyAlignment="1" applyProtection="1">
      <alignment horizontal="center" vertical="center" wrapText="1"/>
    </xf>
    <xf numFmtId="0" fontId="77" fillId="16" borderId="1" xfId="38" applyFont="1" applyFill="1" applyBorder="1" applyAlignment="1" applyProtection="1">
      <alignment horizontal="center" vertical="center" wrapText="1"/>
    </xf>
    <xf numFmtId="0" fontId="57" fillId="0" borderId="12" xfId="48" applyFont="1" applyFill="1" applyBorder="1" applyAlignment="1" applyProtection="1">
      <alignment horizontal="center" vertical="center" wrapText="1"/>
    </xf>
    <xf numFmtId="0" fontId="57" fillId="0" borderId="13" xfId="48" applyFont="1" applyFill="1" applyBorder="1" applyAlignment="1" applyProtection="1">
      <alignment horizontal="center" vertical="center" wrapText="1"/>
    </xf>
    <xf numFmtId="0" fontId="57" fillId="0" borderId="3" xfId="48" applyFont="1" applyFill="1" applyBorder="1" applyAlignment="1" applyProtection="1">
      <alignment horizontal="center" vertical="center" wrapText="1"/>
    </xf>
    <xf numFmtId="0" fontId="57" fillId="0" borderId="1" xfId="48" applyFont="1" applyBorder="1" applyAlignment="1" applyProtection="1">
      <alignment horizontal="center" vertical="center" wrapText="1"/>
    </xf>
    <xf numFmtId="0" fontId="82" fillId="0" borderId="1" xfId="8" applyFont="1" applyFill="1" applyBorder="1" applyAlignment="1" applyProtection="1">
      <alignment vertical="top" wrapText="1"/>
    </xf>
    <xf numFmtId="0" fontId="92" fillId="34" borderId="1" xfId="0" applyFont="1" applyFill="1" applyBorder="1" applyAlignment="1" applyProtection="1">
      <alignment horizontal="center" vertical="center" wrapText="1"/>
    </xf>
    <xf numFmtId="0" fontId="57" fillId="0" borderId="1" xfId="48" applyFont="1" applyFill="1" applyBorder="1" applyAlignment="1" applyProtection="1">
      <alignment horizontal="left" vertical="top" wrapText="1"/>
    </xf>
    <xf numFmtId="0" fontId="57" fillId="0" borderId="1" xfId="48" applyFont="1" applyFill="1" applyBorder="1" applyAlignment="1" applyProtection="1">
      <alignment horizontal="left" vertical="top"/>
    </xf>
    <xf numFmtId="2" fontId="9" fillId="0" borderId="12" xfId="48" applyNumberFormat="1" applyFont="1" applyFill="1" applyBorder="1" applyAlignment="1" applyProtection="1">
      <alignment horizontal="right" vertical="top" wrapText="1"/>
      <protection locked="0"/>
    </xf>
    <xf numFmtId="0" fontId="77" fillId="16" borderId="1" xfId="38" applyFont="1" applyFill="1" applyBorder="1" applyAlignment="1" applyProtection="1">
      <alignment horizontal="center" vertical="center" wrapText="1"/>
    </xf>
    <xf numFmtId="0" fontId="82" fillId="0" borderId="1" xfId="0" applyFont="1" applyBorder="1" applyAlignment="1" applyProtection="1">
      <alignment horizontal="center" vertical="center" wrapText="1"/>
    </xf>
    <xf numFmtId="0" fontId="82" fillId="0" borderId="1" xfId="0" applyFont="1" applyBorder="1" applyAlignment="1" applyProtection="1">
      <alignment horizontal="left" vertical="center" wrapText="1"/>
    </xf>
    <xf numFmtId="2" fontId="82" fillId="0" borderId="1" xfId="8" applyNumberFormat="1" applyFont="1" applyBorder="1" applyAlignment="1" applyProtection="1">
      <alignment vertical="top" wrapText="1"/>
    </xf>
    <xf numFmtId="2" fontId="57" fillId="0" borderId="1" xfId="8" applyNumberFormat="1" applyFont="1" applyBorder="1" applyAlignment="1" applyProtection="1">
      <alignment vertical="top" wrapText="1"/>
    </xf>
    <xf numFmtId="2" fontId="57" fillId="0" borderId="1" xfId="48" applyNumberFormat="1" applyFont="1" applyBorder="1" applyAlignment="1" applyProtection="1">
      <alignment vertical="top"/>
    </xf>
    <xf numFmtId="2" fontId="57" fillId="0" borderId="1" xfId="11" applyNumberFormat="1" applyFont="1" applyBorder="1" applyAlignment="1" applyProtection="1">
      <alignment vertical="top"/>
    </xf>
    <xf numFmtId="2" fontId="57" fillId="0" borderId="1" xfId="48" applyNumberFormat="1" applyFont="1" applyFill="1" applyBorder="1" applyAlignment="1" applyProtection="1">
      <alignment vertical="top"/>
    </xf>
    <xf numFmtId="0" fontId="79" fillId="27" borderId="0" xfId="8" applyFont="1" applyFill="1" applyBorder="1" applyAlignment="1" applyProtection="1">
      <alignment horizontal="center" vertical="top"/>
    </xf>
    <xf numFmtId="0" fontId="82" fillId="0" borderId="0" xfId="0" applyFont="1" applyAlignment="1" applyProtection="1">
      <alignment vertical="top" wrapText="1"/>
    </xf>
    <xf numFmtId="0" fontId="61" fillId="0" borderId="1" xfId="38" applyFont="1" applyBorder="1" applyAlignment="1" applyProtection="1">
      <alignment horizontal="center" vertical="top" wrapText="1"/>
    </xf>
    <xf numFmtId="2" fontId="82" fillId="0" borderId="1" xfId="0" applyNumberFormat="1" applyFont="1" applyBorder="1" applyAlignment="1" applyProtection="1">
      <alignment vertical="top" wrapText="1"/>
    </xf>
    <xf numFmtId="2" fontId="82" fillId="11" borderId="1" xfId="0" applyNumberFormat="1" applyFont="1" applyFill="1" applyBorder="1" applyAlignment="1" applyProtection="1">
      <alignment vertical="top" wrapText="1"/>
    </xf>
    <xf numFmtId="2" fontId="84" fillId="0" borderId="1" xfId="0" applyNumberFormat="1" applyFont="1" applyFill="1" applyBorder="1" applyAlignment="1" applyProtection="1">
      <alignment vertical="top" wrapText="1"/>
    </xf>
    <xf numFmtId="2" fontId="78" fillId="0" borderId="1" xfId="0" applyNumberFormat="1" applyFont="1" applyFill="1" applyBorder="1" applyAlignment="1" applyProtection="1">
      <alignment vertical="top" wrapText="1"/>
    </xf>
    <xf numFmtId="2" fontId="61" fillId="0" borderId="1" xfId="8" applyNumberFormat="1" applyFont="1" applyBorder="1" applyAlignment="1" applyProtection="1">
      <alignment vertical="top" wrapText="1"/>
    </xf>
    <xf numFmtId="2" fontId="61" fillId="0" borderId="1" xfId="8" applyNumberFormat="1" applyFont="1" applyFill="1" applyBorder="1" applyAlignment="1" applyProtection="1">
      <alignment vertical="top" wrapText="1"/>
    </xf>
    <xf numFmtId="0" fontId="61" fillId="0" borderId="0" xfId="8" applyFont="1" applyFill="1" applyAlignment="1" applyProtection="1">
      <alignment vertical="top" wrapText="1"/>
    </xf>
    <xf numFmtId="2" fontId="82" fillId="0" borderId="1" xfId="8" applyNumberFormat="1" applyFont="1" applyFill="1" applyBorder="1" applyAlignment="1" applyProtection="1">
      <alignment vertical="top" wrapText="1"/>
    </xf>
    <xf numFmtId="2" fontId="82" fillId="11" borderId="1" xfId="8" applyNumberFormat="1" applyFont="1" applyFill="1" applyBorder="1" applyAlignment="1" applyProtection="1">
      <alignment vertical="top" wrapText="1"/>
    </xf>
    <xf numFmtId="2" fontId="57" fillId="0" borderId="1" xfId="8" applyNumberFormat="1" applyFont="1" applyFill="1" applyBorder="1" applyAlignment="1" applyProtection="1">
      <alignment vertical="top" wrapText="1"/>
    </xf>
    <xf numFmtId="2" fontId="57" fillId="11" borderId="1" xfId="8" applyNumberFormat="1" applyFont="1" applyFill="1" applyBorder="1" applyAlignment="1" applyProtection="1">
      <alignment vertical="top" wrapText="1"/>
    </xf>
    <xf numFmtId="2" fontId="82" fillId="0" borderId="1" xfId="0" applyNumberFormat="1" applyFont="1" applyBorder="1" applyAlignment="1" applyProtection="1">
      <alignment vertical="top"/>
    </xf>
    <xf numFmtId="2" fontId="82" fillId="0" borderId="1" xfId="0" applyNumberFormat="1" applyFont="1" applyFill="1" applyBorder="1" applyAlignment="1" applyProtection="1">
      <alignment vertical="top"/>
    </xf>
    <xf numFmtId="2" fontId="82" fillId="13" borderId="1" xfId="8" applyNumberFormat="1" applyFont="1" applyFill="1" applyBorder="1" applyAlignment="1" applyProtection="1">
      <alignment vertical="top" wrapText="1"/>
    </xf>
    <xf numFmtId="2" fontId="57" fillId="0" borderId="1" xfId="87" applyNumberFormat="1" applyFont="1" applyBorder="1" applyAlignment="1" applyProtection="1">
      <alignment vertical="top"/>
    </xf>
    <xf numFmtId="2" fontId="57" fillId="0" borderId="1" xfId="62" applyNumberFormat="1" applyFont="1" applyBorder="1" applyAlignment="1" applyProtection="1">
      <alignment vertical="top"/>
    </xf>
    <xf numFmtId="2" fontId="82" fillId="0" borderId="1" xfId="87" applyNumberFormat="1" applyFont="1" applyFill="1" applyBorder="1" applyAlignment="1" applyProtection="1">
      <alignment vertical="top"/>
    </xf>
    <xf numFmtId="2" fontId="57" fillId="13" borderId="1" xfId="87" applyNumberFormat="1" applyFont="1" applyFill="1" applyBorder="1" applyAlignment="1" applyProtection="1">
      <alignment vertical="top"/>
    </xf>
    <xf numFmtId="2" fontId="57" fillId="13" borderId="1" xfId="62" applyNumberFormat="1" applyFont="1" applyFill="1" applyBorder="1" applyAlignment="1" applyProtection="1">
      <alignment vertical="top"/>
    </xf>
    <xf numFmtId="2" fontId="57" fillId="0" borderId="1" xfId="87" applyNumberFormat="1" applyFont="1" applyFill="1" applyBorder="1" applyAlignment="1" applyProtection="1">
      <alignment horizontal="center" vertical="top"/>
    </xf>
    <xf numFmtId="2" fontId="82" fillId="0" borderId="1" xfId="62" applyNumberFormat="1" applyFont="1" applyBorder="1" applyAlignment="1" applyProtection="1">
      <alignment vertical="top"/>
    </xf>
    <xf numFmtId="2" fontId="57" fillId="0" borderId="1" xfId="8" applyNumberFormat="1" applyFont="1" applyFill="1" applyBorder="1" applyAlignment="1" applyProtection="1">
      <alignment vertical="top"/>
    </xf>
    <xf numFmtId="2" fontId="57" fillId="0" borderId="1" xfId="8" applyNumberFormat="1" applyFont="1" applyBorder="1" applyAlignment="1" applyProtection="1">
      <alignment vertical="top"/>
    </xf>
    <xf numFmtId="2" fontId="57" fillId="0" borderId="0" xfId="8" applyNumberFormat="1" applyFont="1" applyFill="1" applyAlignment="1" applyProtection="1">
      <alignment vertical="top"/>
    </xf>
    <xf numFmtId="2" fontId="57" fillId="13" borderId="1" xfId="8" applyNumberFormat="1" applyFont="1" applyFill="1" applyBorder="1" applyAlignment="1" applyProtection="1">
      <alignment vertical="top" wrapText="1"/>
    </xf>
    <xf numFmtId="2" fontId="79" fillId="0" borderId="1" xfId="8" applyNumberFormat="1" applyFont="1" applyBorder="1" applyAlignment="1" applyProtection="1">
      <alignment vertical="top"/>
    </xf>
    <xf numFmtId="2" fontId="79" fillId="0" borderId="1" xfId="8" applyNumberFormat="1" applyFont="1" applyFill="1" applyBorder="1" applyAlignment="1" applyProtection="1">
      <alignment vertical="top"/>
    </xf>
    <xf numFmtId="2" fontId="5" fillId="0" borderId="1" xfId="8" applyNumberFormat="1" applyFont="1" applyFill="1" applyBorder="1" applyAlignment="1" applyProtection="1">
      <alignment vertical="top"/>
    </xf>
    <xf numFmtId="2" fontId="82" fillId="0" borderId="1" xfId="8" applyNumberFormat="1" applyFont="1" applyFill="1" applyBorder="1" applyAlignment="1" applyProtection="1">
      <alignment vertical="top"/>
    </xf>
    <xf numFmtId="2" fontId="84" fillId="0" borderId="1" xfId="8" applyNumberFormat="1" applyFont="1" applyBorder="1" applyAlignment="1" applyProtection="1">
      <alignment vertical="top"/>
    </xf>
    <xf numFmtId="2" fontId="82" fillId="0" borderId="0" xfId="8" applyNumberFormat="1" applyFont="1" applyFill="1" applyAlignment="1" applyProtection="1">
      <alignment vertical="top"/>
    </xf>
    <xf numFmtId="2" fontId="84" fillId="0" borderId="1" xfId="8" applyNumberFormat="1" applyFont="1" applyFill="1" applyBorder="1" applyAlignment="1" applyProtection="1">
      <alignment vertical="top"/>
    </xf>
    <xf numFmtId="2" fontId="82" fillId="0" borderId="1" xfId="4" applyNumberFormat="1" applyFont="1" applyFill="1" applyBorder="1" applyAlignment="1" applyProtection="1">
      <alignment horizontal="left" vertical="top" wrapText="1"/>
    </xf>
    <xf numFmtId="2" fontId="57" fillId="0" borderId="1" xfId="62" applyNumberFormat="1" applyFont="1" applyFill="1" applyBorder="1" applyAlignment="1" applyProtection="1">
      <alignment horizontal="right" vertical="top"/>
    </xf>
    <xf numFmtId="2" fontId="57" fillId="0" borderId="1" xfId="62" applyNumberFormat="1" applyFont="1" applyBorder="1" applyAlignment="1" applyProtection="1">
      <alignment horizontal="right" vertical="top"/>
    </xf>
    <xf numFmtId="2" fontId="57" fillId="0" borderId="1" xfId="11" applyNumberFormat="1" applyFont="1" applyFill="1" applyBorder="1" applyAlignment="1" applyProtection="1">
      <alignment horizontal="right" vertical="top" wrapText="1"/>
    </xf>
    <xf numFmtId="2" fontId="82" fillId="0" borderId="1" xfId="62" applyNumberFormat="1" applyFont="1" applyFill="1" applyBorder="1" applyAlignment="1" applyProtection="1">
      <alignment horizontal="right" vertical="top"/>
    </xf>
    <xf numFmtId="2" fontId="57" fillId="0" borderId="1" xfId="82" applyNumberFormat="1" applyFont="1" applyFill="1" applyBorder="1" applyAlignment="1" applyProtection="1">
      <alignment vertical="top"/>
    </xf>
    <xf numFmtId="2" fontId="57" fillId="13" borderId="1" xfId="82" applyNumberFormat="1" applyFont="1" applyFill="1" applyBorder="1" applyAlignment="1" applyProtection="1">
      <alignment vertical="top"/>
    </xf>
    <xf numFmtId="2" fontId="57" fillId="11" borderId="1" xfId="82" applyNumberFormat="1" applyFont="1" applyFill="1" applyBorder="1" applyAlignment="1" applyProtection="1">
      <alignment vertical="top"/>
    </xf>
    <xf numFmtId="2" fontId="57" fillId="11" borderId="1" xfId="62" applyNumberFormat="1" applyFont="1" applyFill="1" applyBorder="1" applyAlignment="1" applyProtection="1">
      <alignment vertical="top"/>
    </xf>
    <xf numFmtId="2" fontId="57" fillId="11" borderId="1" xfId="8" applyNumberFormat="1" applyFont="1" applyFill="1" applyBorder="1" applyAlignment="1" applyProtection="1">
      <alignment vertical="top"/>
    </xf>
    <xf numFmtId="2" fontId="57" fillId="0" borderId="1" xfId="11" applyNumberFormat="1" applyFont="1" applyFill="1" applyBorder="1" applyAlignment="1" applyProtection="1">
      <alignment vertical="top"/>
    </xf>
    <xf numFmtId="2" fontId="57" fillId="0" borderId="1" xfId="97" applyNumberFormat="1" applyFont="1" applyFill="1" applyBorder="1" applyAlignment="1" applyProtection="1">
      <alignment vertical="top"/>
    </xf>
    <xf numFmtId="2" fontId="57" fillId="0" borderId="1" xfId="97" applyNumberFormat="1" applyFont="1" applyBorder="1" applyAlignment="1" applyProtection="1">
      <alignment vertical="top"/>
    </xf>
    <xf numFmtId="2" fontId="82" fillId="11" borderId="1" xfId="97" applyNumberFormat="1" applyFont="1" applyFill="1" applyBorder="1" applyAlignment="1" applyProtection="1">
      <alignment vertical="top"/>
    </xf>
    <xf numFmtId="2" fontId="57" fillId="13" borderId="1" xfId="97" applyNumberFormat="1" applyFont="1" applyFill="1" applyBorder="1" applyAlignment="1" applyProtection="1">
      <alignment vertical="top"/>
    </xf>
    <xf numFmtId="2" fontId="82" fillId="0" borderId="1" xfId="0" applyNumberFormat="1" applyFont="1" applyFill="1" applyBorder="1" applyAlignment="1">
      <alignment vertical="top"/>
    </xf>
    <xf numFmtId="2" fontId="84" fillId="0" borderId="1" xfId="0" applyNumberFormat="1" applyFont="1" applyBorder="1" applyAlignment="1">
      <alignment vertical="top"/>
    </xf>
    <xf numFmtId="0" fontId="82" fillId="0" borderId="0" xfId="0" applyFont="1" applyBorder="1" applyAlignment="1" applyProtection="1">
      <alignment vertical="top" wrapText="1"/>
    </xf>
    <xf numFmtId="2" fontId="4" fillId="0" borderId="1" xfId="48" applyNumberFormat="1" applyFont="1" applyFill="1" applyBorder="1" applyAlignment="1" applyProtection="1">
      <alignment horizontal="right" vertical="top" wrapText="1"/>
      <protection locked="0"/>
    </xf>
    <xf numFmtId="43" fontId="82" fillId="0" borderId="1" xfId="1" applyFont="1" applyFill="1" applyBorder="1" applyAlignment="1" applyProtection="1">
      <alignment horizontal="right" vertical="top" wrapText="1"/>
    </xf>
    <xf numFmtId="2" fontId="91" fillId="0" borderId="1" xfId="1" applyNumberFormat="1" applyFont="1" applyFill="1" applyBorder="1" applyAlignment="1" applyProtection="1">
      <alignment horizontal="right" vertical="top"/>
    </xf>
    <xf numFmtId="2" fontId="79" fillId="0" borderId="12" xfId="48" applyNumberFormat="1" applyFont="1" applyFill="1" applyBorder="1" applyAlignment="1" applyProtection="1">
      <alignment horizontal="right" vertical="top" wrapText="1"/>
      <protection locked="0"/>
    </xf>
    <xf numFmtId="2" fontId="91" fillId="0" borderId="1" xfId="1" applyNumberFormat="1" applyFont="1" applyFill="1" applyBorder="1" applyAlignment="1" applyProtection="1">
      <alignment horizontal="right" vertical="top" wrapText="1"/>
    </xf>
    <xf numFmtId="0" fontId="82" fillId="0" borderId="0" xfId="0" applyFont="1" applyAlignment="1" applyProtection="1">
      <alignment horizontal="center" vertical="top" wrapText="1"/>
    </xf>
    <xf numFmtId="43" fontId="84" fillId="5" borderId="1" xfId="1" applyFont="1" applyFill="1" applyBorder="1" applyAlignment="1" applyProtection="1">
      <alignment horizontal="right" vertical="top" wrapText="1"/>
    </xf>
    <xf numFmtId="0" fontId="11" fillId="0" borderId="0" xfId="38" applyFont="1" applyBorder="1" applyAlignment="1" applyProtection="1">
      <alignment horizontal="center" vertical="top" wrapText="1"/>
    </xf>
    <xf numFmtId="0" fontId="61" fillId="0" borderId="0" xfId="38" applyFont="1" applyBorder="1" applyAlignment="1" applyProtection="1">
      <alignment horizontal="center" vertical="top" wrapText="1"/>
    </xf>
    <xf numFmtId="43" fontId="82" fillId="0" borderId="1" xfId="1" applyFont="1" applyBorder="1" applyAlignment="1" applyProtection="1">
      <alignment horizontal="right" vertical="top" wrapText="1"/>
    </xf>
    <xf numFmtId="43" fontId="82" fillId="0" borderId="0" xfId="0" applyNumberFormat="1" applyFont="1" applyFill="1" applyBorder="1" applyAlignment="1" applyProtection="1">
      <alignment vertical="top" wrapText="1"/>
    </xf>
    <xf numFmtId="0" fontId="84" fillId="0" borderId="0" xfId="0" applyFont="1" applyFill="1" applyBorder="1" applyAlignment="1" applyProtection="1">
      <alignment vertical="top" wrapText="1"/>
    </xf>
    <xf numFmtId="0" fontId="82" fillId="0" borderId="1" xfId="0" applyFont="1" applyFill="1" applyBorder="1" applyAlignment="1" applyProtection="1">
      <alignment horizontal="right" vertical="top" wrapText="1"/>
    </xf>
    <xf numFmtId="2" fontId="91" fillId="0" borderId="1" xfId="0" applyNumberFormat="1" applyFont="1" applyFill="1" applyBorder="1" applyAlignment="1" applyProtection="1">
      <alignment horizontal="right" vertical="top" wrapText="1"/>
    </xf>
    <xf numFmtId="2" fontId="82" fillId="0" borderId="0" xfId="8" applyNumberFormat="1" applyFont="1" applyFill="1" applyAlignment="1" applyProtection="1">
      <alignment vertical="top" wrapText="1"/>
    </xf>
    <xf numFmtId="0" fontId="82" fillId="0" borderId="0" xfId="8" applyFont="1" applyFill="1" applyAlignment="1" applyProtection="1">
      <alignment vertical="top" wrapText="1"/>
    </xf>
    <xf numFmtId="2" fontId="57" fillId="0" borderId="0" xfId="8" applyNumberFormat="1" applyFont="1" applyFill="1" applyAlignment="1" applyProtection="1">
      <alignment vertical="top" wrapText="1"/>
    </xf>
    <xf numFmtId="2" fontId="82" fillId="0" borderId="1" xfId="11" applyNumberFormat="1" applyFont="1" applyFill="1" applyBorder="1" applyAlignment="1" applyProtection="1">
      <alignment horizontal="right" vertical="top"/>
      <protection locked="0"/>
    </xf>
    <xf numFmtId="0" fontId="82" fillId="0" borderId="0" xfId="0" applyFont="1" applyFill="1" applyAlignment="1" applyProtection="1">
      <alignment vertical="top"/>
    </xf>
    <xf numFmtId="2" fontId="103" fillId="0" borderId="1" xfId="1" applyNumberFormat="1" applyFont="1" applyFill="1" applyBorder="1" applyAlignment="1" applyProtection="1">
      <alignment horizontal="right" vertical="top" wrapText="1"/>
    </xf>
    <xf numFmtId="0" fontId="15" fillId="0" borderId="0" xfId="87" applyFont="1" applyFill="1" applyAlignment="1" applyProtection="1">
      <alignment vertical="top"/>
    </xf>
    <xf numFmtId="2" fontId="103" fillId="0" borderId="1" xfId="0" applyNumberFormat="1" applyFont="1" applyFill="1" applyBorder="1" applyAlignment="1" applyProtection="1">
      <alignment horizontal="right" vertical="top"/>
      <protection locked="0"/>
    </xf>
    <xf numFmtId="0" fontId="82" fillId="0" borderId="0" xfId="87" applyFont="1" applyFill="1" applyAlignment="1" applyProtection="1">
      <alignment vertical="top"/>
    </xf>
    <xf numFmtId="0" fontId="57" fillId="0" borderId="0" xfId="8" applyFont="1" applyFill="1" applyAlignment="1" applyProtection="1">
      <alignment vertical="top"/>
    </xf>
    <xf numFmtId="2" fontId="57" fillId="0" borderId="1" xfId="8" applyNumberFormat="1" applyFont="1" applyFill="1" applyBorder="1" applyAlignment="1" applyProtection="1">
      <alignment horizontal="right" vertical="top" wrapText="1"/>
      <protection locked="0"/>
    </xf>
    <xf numFmtId="2" fontId="82" fillId="0" borderId="1" xfId="8" applyNumberFormat="1" applyFont="1" applyFill="1" applyBorder="1" applyAlignment="1" applyProtection="1">
      <alignment horizontal="right" vertical="top" wrapText="1"/>
    </xf>
    <xf numFmtId="0" fontId="57" fillId="0" borderId="0" xfId="8" applyFont="1" applyFill="1" applyAlignment="1" applyProtection="1">
      <alignment vertical="top" wrapText="1"/>
    </xf>
    <xf numFmtId="43" fontId="79" fillId="0" borderId="1" xfId="1" applyFont="1" applyFill="1" applyBorder="1" applyAlignment="1" applyProtection="1">
      <alignment horizontal="right" vertical="top" wrapText="1"/>
      <protection locked="0"/>
    </xf>
    <xf numFmtId="43" fontId="82" fillId="0" borderId="1" xfId="1" applyFont="1" applyFill="1" applyBorder="1" applyAlignment="1" applyProtection="1">
      <alignment horizontal="right" vertical="top" wrapText="1"/>
      <protection locked="0"/>
    </xf>
    <xf numFmtId="0" fontId="57" fillId="0" borderId="1" xfId="8" applyFont="1" applyFill="1" applyBorder="1" applyAlignment="1" applyProtection="1">
      <alignment horizontal="right" vertical="top" wrapText="1"/>
    </xf>
    <xf numFmtId="0" fontId="79" fillId="0" borderId="0" xfId="8" applyFont="1" applyFill="1" applyAlignment="1" applyProtection="1">
      <alignment vertical="top"/>
    </xf>
    <xf numFmtId="2" fontId="103" fillId="0" borderId="1" xfId="1" applyNumberFormat="1" applyFont="1" applyFill="1" applyBorder="1" applyAlignment="1" applyProtection="1">
      <alignment horizontal="right" vertical="top" wrapText="1"/>
      <protection locked="0"/>
    </xf>
    <xf numFmtId="0" fontId="82" fillId="0" borderId="0" xfId="8" applyFont="1" applyFill="1" applyAlignment="1" applyProtection="1">
      <alignment vertical="top"/>
    </xf>
    <xf numFmtId="2" fontId="103" fillId="0" borderId="1" xfId="0" applyNumberFormat="1" applyFont="1" applyFill="1" applyBorder="1" applyAlignment="1" applyProtection="1">
      <alignment horizontal="right" vertical="top" wrapText="1"/>
    </xf>
    <xf numFmtId="2" fontId="82" fillId="0" borderId="0" xfId="4" applyNumberFormat="1" applyFont="1" applyFill="1" applyAlignment="1" applyProtection="1">
      <alignment horizontal="left" vertical="top" wrapText="1"/>
    </xf>
    <xf numFmtId="2" fontId="91" fillId="0" borderId="1" xfId="0" applyNumberFormat="1" applyFont="1" applyFill="1" applyBorder="1" applyAlignment="1" applyProtection="1">
      <alignment horizontal="right" vertical="top"/>
    </xf>
    <xf numFmtId="0" fontId="57" fillId="0" borderId="0" xfId="62" applyFont="1" applyFill="1" applyAlignment="1" applyProtection="1">
      <alignment horizontal="right" vertical="top"/>
    </xf>
    <xf numFmtId="2" fontId="91" fillId="0" borderId="1" xfId="0" applyNumberFormat="1" applyFont="1" applyFill="1" applyBorder="1" applyAlignment="1" applyProtection="1">
      <alignment horizontal="right" vertical="top"/>
      <protection locked="0"/>
    </xf>
    <xf numFmtId="0" fontId="57" fillId="0" borderId="0" xfId="11" applyFont="1" applyFill="1" applyAlignment="1" applyProtection="1">
      <alignment horizontal="right" vertical="top" wrapText="1"/>
    </xf>
    <xf numFmtId="0" fontId="82" fillId="0" borderId="0" xfId="62" applyFont="1" applyFill="1" applyAlignment="1" applyProtection="1">
      <alignment horizontal="right" vertical="top"/>
    </xf>
    <xf numFmtId="0" fontId="57" fillId="0" borderId="0" xfId="82" applyFont="1" applyFill="1" applyAlignment="1" applyProtection="1">
      <alignment vertical="top"/>
    </xf>
    <xf numFmtId="2" fontId="103" fillId="0" borderId="1" xfId="1" applyNumberFormat="1" applyFont="1" applyFill="1" applyBorder="1" applyAlignment="1" applyProtection="1">
      <alignment horizontal="right" vertical="top"/>
    </xf>
    <xf numFmtId="43" fontId="57" fillId="0" borderId="1" xfId="1" applyFont="1" applyFill="1" applyBorder="1" applyAlignment="1" applyProtection="1">
      <alignment horizontal="right" vertical="top"/>
      <protection locked="0"/>
    </xf>
    <xf numFmtId="0" fontId="16" fillId="0" borderId="0" xfId="8" applyFont="1" applyFill="1" applyAlignment="1" applyProtection="1">
      <alignment vertical="top"/>
    </xf>
    <xf numFmtId="43" fontId="16" fillId="0" borderId="1" xfId="1" applyFont="1" applyFill="1" applyBorder="1" applyAlignment="1" applyProtection="1">
      <alignment horizontal="right" vertical="top"/>
      <protection locked="0"/>
    </xf>
    <xf numFmtId="43" fontId="57" fillId="0" borderId="1" xfId="1" applyFont="1" applyFill="1" applyBorder="1" applyAlignment="1" applyProtection="1">
      <alignment horizontal="right" vertical="top"/>
    </xf>
    <xf numFmtId="0" fontId="57" fillId="0" borderId="0" xfId="11" applyFont="1" applyFill="1" applyAlignment="1" applyProtection="1">
      <alignment vertical="top"/>
    </xf>
    <xf numFmtId="0" fontId="57" fillId="0" borderId="0" xfId="48" applyFont="1" applyFill="1" applyAlignment="1" applyProtection="1">
      <alignment vertical="top"/>
    </xf>
    <xf numFmtId="0" fontId="57" fillId="0" borderId="0" xfId="97" applyFont="1" applyFill="1" applyAlignment="1" applyProtection="1">
      <alignment vertical="top"/>
    </xf>
    <xf numFmtId="2" fontId="82" fillId="0" borderId="0" xfId="97" applyNumberFormat="1" applyFont="1" applyFill="1" applyAlignment="1" applyProtection="1">
      <alignment vertical="top"/>
    </xf>
    <xf numFmtId="2" fontId="57" fillId="0" borderId="0" xfId="97" applyNumberFormat="1" applyFont="1" applyFill="1" applyAlignment="1" applyProtection="1">
      <alignment vertical="top"/>
    </xf>
    <xf numFmtId="2" fontId="103" fillId="0" borderId="1" xfId="1" applyNumberFormat="1" applyFont="1" applyFill="1" applyBorder="1" applyAlignment="1" applyProtection="1">
      <alignment horizontal="right" vertical="top"/>
      <protection locked="0"/>
    </xf>
    <xf numFmtId="0" fontId="82" fillId="0" borderId="0" xfId="0" applyFont="1" applyFill="1" applyAlignment="1" applyProtection="1">
      <alignment vertical="top" wrapText="1"/>
    </xf>
    <xf numFmtId="2" fontId="82" fillId="0" borderId="1" xfId="0" applyNumberFormat="1" applyFont="1" applyFill="1" applyBorder="1" applyAlignment="1" applyProtection="1">
      <alignment horizontal="right" vertical="top" wrapText="1"/>
      <protection locked="0"/>
    </xf>
    <xf numFmtId="0" fontId="82" fillId="0" borderId="0" xfId="0" applyFont="1" applyFill="1" applyAlignment="1">
      <alignment vertical="top"/>
    </xf>
    <xf numFmtId="43" fontId="82" fillId="0" borderId="1" xfId="1" applyFont="1" applyFill="1" applyBorder="1" applyAlignment="1" applyProtection="1">
      <alignment horizontal="right" vertical="top"/>
      <protection locked="0"/>
    </xf>
    <xf numFmtId="2" fontId="82" fillId="0" borderId="1" xfId="1" applyNumberFormat="1" applyFont="1" applyFill="1" applyBorder="1" applyAlignment="1" applyProtection="1">
      <alignment horizontal="right" vertical="top"/>
      <protection locked="0"/>
    </xf>
    <xf numFmtId="43" fontId="82" fillId="0" borderId="0" xfId="1" applyFont="1" applyAlignment="1" applyProtection="1">
      <alignment horizontal="right" vertical="top" wrapText="1"/>
    </xf>
    <xf numFmtId="0" fontId="65" fillId="0" borderId="5" xfId="11" applyFont="1" applyFill="1" applyBorder="1" applyAlignment="1" applyProtection="1">
      <alignment horizontal="left" wrapText="1"/>
      <protection locked="0"/>
    </xf>
    <xf numFmtId="0" fontId="4" fillId="0" borderId="1" xfId="4" applyFont="1" applyFill="1" applyBorder="1" applyAlignment="1" applyProtection="1">
      <alignment vertical="center" wrapText="1"/>
    </xf>
    <xf numFmtId="0" fontId="78" fillId="0" borderId="1" xfId="4" applyFont="1" applyFill="1" applyBorder="1" applyAlignment="1" applyProtection="1">
      <alignment horizontal="left" vertical="center" wrapText="1"/>
    </xf>
    <xf numFmtId="0" fontId="78" fillId="0" borderId="1" xfId="4" applyFont="1" applyFill="1" applyBorder="1" applyAlignment="1" applyProtection="1">
      <alignment vertical="center" wrapText="1"/>
    </xf>
    <xf numFmtId="0" fontId="86" fillId="0" borderId="1" xfId="8" applyFont="1" applyFill="1" applyBorder="1" applyAlignment="1" applyProtection="1">
      <alignment horizontal="center" vertical="center" wrapText="1"/>
    </xf>
    <xf numFmtId="43" fontId="78" fillId="0" borderId="1" xfId="1" applyFont="1" applyFill="1" applyBorder="1" applyAlignment="1" applyProtection="1">
      <alignment horizontal="right" vertical="center" wrapText="1"/>
    </xf>
    <xf numFmtId="0" fontId="158" fillId="0" borderId="1" xfId="0" applyFont="1" applyFill="1" applyBorder="1" applyAlignment="1" applyProtection="1">
      <alignment vertical="center" wrapText="1"/>
    </xf>
    <xf numFmtId="2" fontId="158" fillId="0" borderId="1" xfId="0" applyNumberFormat="1" applyFont="1" applyFill="1" applyBorder="1" applyAlignment="1" applyProtection="1">
      <alignment horizontal="right" vertical="top" wrapText="1"/>
    </xf>
    <xf numFmtId="2" fontId="78" fillId="0" borderId="0" xfId="8" applyNumberFormat="1" applyFont="1" applyFill="1" applyAlignment="1" applyProtection="1">
      <alignment vertical="top" wrapText="1"/>
    </xf>
    <xf numFmtId="2" fontId="78" fillId="0" borderId="1" xfId="8" applyNumberFormat="1" applyFont="1" applyFill="1" applyBorder="1" applyAlignment="1" applyProtection="1">
      <alignment vertical="top" wrapText="1"/>
    </xf>
    <xf numFmtId="0" fontId="78" fillId="0" borderId="0" xfId="0" applyFont="1" applyFill="1" applyBorder="1" applyAlignment="1" applyProtection="1">
      <alignment vertical="center" wrapText="1"/>
    </xf>
    <xf numFmtId="0" fontId="3" fillId="0" borderId="1" xfId="8" applyFont="1" applyFill="1" applyBorder="1" applyAlignment="1" applyProtection="1">
      <alignment horizontal="center" vertical="center"/>
    </xf>
    <xf numFmtId="0" fontId="82" fillId="0" borderId="1" xfId="0" applyFont="1" applyBorder="1" applyAlignment="1" applyProtection="1">
      <alignment vertical="top" wrapText="1"/>
    </xf>
    <xf numFmtId="43" fontId="82" fillId="0" borderId="1" xfId="1" applyNumberFormat="1" applyFont="1" applyBorder="1" applyAlignment="1" applyProtection="1">
      <alignment horizontal="right" vertical="top" wrapText="1"/>
    </xf>
    <xf numFmtId="2" fontId="82" fillId="0" borderId="0" xfId="0" applyNumberFormat="1" applyFont="1" applyAlignment="1" applyProtection="1">
      <alignment vertical="top" wrapText="1"/>
    </xf>
    <xf numFmtId="2" fontId="82" fillId="0" borderId="0" xfId="0" applyNumberFormat="1" applyFont="1" applyBorder="1" applyAlignment="1" applyProtection="1">
      <alignment vertical="top" wrapText="1"/>
    </xf>
    <xf numFmtId="0" fontId="84" fillId="29" borderId="1" xfId="0" applyFont="1" applyFill="1" applyBorder="1" applyAlignment="1" applyProtection="1">
      <alignment horizontal="center" vertical="center" wrapText="1"/>
    </xf>
    <xf numFmtId="2" fontId="84" fillId="0" borderId="1" xfId="0" applyNumberFormat="1" applyFont="1" applyBorder="1" applyAlignment="1" applyProtection="1">
      <alignment vertical="top" wrapText="1"/>
    </xf>
    <xf numFmtId="2" fontId="61" fillId="0" borderId="1" xfId="38" applyNumberFormat="1" applyFont="1" applyBorder="1" applyAlignment="1" applyProtection="1">
      <alignment vertical="top" wrapText="1"/>
    </xf>
    <xf numFmtId="2" fontId="82" fillId="0" borderId="1" xfId="4" applyNumberFormat="1" applyFont="1" applyFill="1" applyBorder="1" applyAlignment="1" applyProtection="1">
      <alignment vertical="top" wrapText="1"/>
    </xf>
    <xf numFmtId="2" fontId="57" fillId="0" borderId="1" xfId="62" applyNumberFormat="1" applyFont="1" applyFill="1" applyBorder="1" applyAlignment="1" applyProtection="1">
      <alignment vertical="top"/>
    </xf>
    <xf numFmtId="43" fontId="82" fillId="0" borderId="0" xfId="1" applyFont="1" applyAlignment="1" applyProtection="1">
      <alignment vertical="top" wrapText="1"/>
    </xf>
    <xf numFmtId="0" fontId="57" fillId="0" borderId="12" xfId="9" applyFont="1" applyFill="1" applyBorder="1" applyAlignment="1" applyProtection="1">
      <alignment horizontal="center" vertical="center" wrapText="1"/>
      <protection locked="0"/>
    </xf>
    <xf numFmtId="0" fontId="57" fillId="0" borderId="13" xfId="9" applyFont="1" applyFill="1" applyBorder="1" applyAlignment="1" applyProtection="1">
      <alignment horizontal="center" vertical="center" wrapText="1"/>
      <protection locked="0"/>
    </xf>
    <xf numFmtId="0" fontId="57" fillId="0" borderId="12" xfId="8" applyFont="1" applyFill="1" applyBorder="1" applyAlignment="1" applyProtection="1">
      <alignment horizontal="center" vertical="center" wrapText="1"/>
      <protection locked="0"/>
    </xf>
    <xf numFmtId="0" fontId="57" fillId="0" borderId="13" xfId="8" applyFont="1" applyFill="1" applyBorder="1" applyAlignment="1" applyProtection="1">
      <alignment horizontal="center" vertical="center" wrapText="1"/>
      <protection locked="0"/>
    </xf>
    <xf numFmtId="43" fontId="57" fillId="0" borderId="12" xfId="1" applyFont="1" applyFill="1" applyBorder="1" applyAlignment="1" applyProtection="1">
      <alignment horizontal="center" vertical="center" wrapText="1"/>
      <protection locked="0"/>
    </xf>
    <xf numFmtId="43" fontId="57" fillId="0" borderId="13" xfId="1" applyFont="1" applyFill="1" applyBorder="1" applyAlignment="1" applyProtection="1">
      <alignment horizontal="center" vertical="center" wrapText="1"/>
      <protection locked="0"/>
    </xf>
    <xf numFmtId="43" fontId="79" fillId="0" borderId="12" xfId="1" applyFont="1" applyFill="1" applyBorder="1" applyAlignment="1" applyProtection="1">
      <alignment horizontal="center" vertical="top" wrapText="1"/>
      <protection locked="0"/>
    </xf>
    <xf numFmtId="43" fontId="79" fillId="0" borderId="13" xfId="1" applyFont="1" applyFill="1" applyBorder="1" applyAlignment="1" applyProtection="1">
      <alignment horizontal="center" vertical="top" wrapText="1"/>
      <protection locked="0"/>
    </xf>
    <xf numFmtId="0" fontId="79" fillId="0" borderId="12" xfId="48" applyFont="1" applyFill="1" applyBorder="1" applyAlignment="1" applyProtection="1">
      <alignment horizontal="center" vertical="center" wrapText="1"/>
      <protection locked="0"/>
    </xf>
    <xf numFmtId="2" fontId="57" fillId="0" borderId="12" xfId="0" applyNumberFormat="1" applyFont="1" applyFill="1" applyBorder="1" applyAlignment="1" applyProtection="1">
      <alignment horizontal="center" vertical="center" wrapText="1"/>
    </xf>
    <xf numFmtId="2" fontId="57" fillId="0" borderId="12" xfId="48" applyNumberFormat="1" applyFont="1" applyFill="1" applyBorder="1" applyAlignment="1" applyProtection="1">
      <alignment horizontal="center" vertical="center"/>
    </xf>
    <xf numFmtId="0" fontId="82" fillId="0" borderId="1" xfId="38" applyFont="1" applyFill="1" applyBorder="1" applyAlignment="1" applyProtection="1">
      <alignment horizontal="left" vertical="center" wrapText="1"/>
    </xf>
    <xf numFmtId="0" fontId="82" fillId="0" borderId="1" xfId="8" applyFont="1" applyFill="1" applyBorder="1" applyAlignment="1" applyProtection="1">
      <alignment horizontal="center" vertical="center" wrapText="1"/>
    </xf>
    <xf numFmtId="43" fontId="82" fillId="0" borderId="0" xfId="1" applyFont="1" applyBorder="1" applyAlignment="1" applyProtection="1">
      <alignment horizontal="right" vertical="top" wrapText="1"/>
    </xf>
    <xf numFmtId="0" fontId="141" fillId="0" borderId="21" xfId="0" applyFont="1" applyFill="1" applyBorder="1" applyAlignment="1">
      <alignment horizontal="left" vertical="top" wrapText="1"/>
    </xf>
    <xf numFmtId="0" fontId="103" fillId="0" borderId="1" xfId="0" applyFont="1" applyFill="1" applyBorder="1" applyAlignment="1" applyProtection="1">
      <alignment horizontal="left" vertical="top" wrapText="1"/>
      <protection locked="0"/>
    </xf>
    <xf numFmtId="0" fontId="6" fillId="0" borderId="1" xfId="4" applyFont="1" applyFill="1" applyBorder="1" applyAlignment="1" applyProtection="1">
      <alignment horizontal="left" vertical="center" wrapText="1"/>
    </xf>
    <xf numFmtId="0" fontId="82" fillId="0" borderId="1" xfId="0" applyFont="1" applyFill="1" applyBorder="1" applyAlignment="1" applyProtection="1">
      <alignment vertical="top" wrapText="1"/>
    </xf>
    <xf numFmtId="0" fontId="82" fillId="0" borderId="1" xfId="11" applyFont="1" applyFill="1" applyBorder="1" applyAlignment="1" applyProtection="1">
      <alignment horizontal="left" vertical="top" wrapText="1"/>
      <protection locked="0"/>
    </xf>
    <xf numFmtId="0" fontId="82" fillId="0" borderId="1" xfId="4" applyFont="1" applyFill="1" applyBorder="1" applyAlignment="1" applyProtection="1">
      <alignment vertical="top" wrapText="1"/>
    </xf>
    <xf numFmtId="0" fontId="82" fillId="0" borderId="1" xfId="8" applyFont="1" applyFill="1" applyBorder="1" applyAlignment="1" applyProtection="1">
      <alignment horizontal="center" vertical="top" wrapText="1"/>
    </xf>
    <xf numFmtId="2" fontId="57" fillId="0" borderId="1" xfId="1" applyNumberFormat="1" applyFont="1" applyFill="1" applyBorder="1" applyAlignment="1" applyProtection="1">
      <alignment horizontal="right" vertical="top" wrapText="1"/>
    </xf>
    <xf numFmtId="0" fontId="4" fillId="0" borderId="1" xfId="87" applyFont="1" applyFill="1" applyBorder="1" applyAlignment="1" applyProtection="1">
      <alignment horizontal="center" vertical="center" wrapText="1"/>
    </xf>
    <xf numFmtId="0" fontId="98" fillId="0" borderId="1" xfId="9" applyFont="1" applyFill="1" applyBorder="1" applyAlignment="1" applyProtection="1">
      <alignment horizontal="left" vertical="center" wrapText="1"/>
      <protection locked="0"/>
    </xf>
    <xf numFmtId="43" fontId="82" fillId="0" borderId="0" xfId="8" applyNumberFormat="1" applyFont="1" applyFill="1" applyAlignment="1" applyProtection="1">
      <alignment vertical="top" wrapText="1"/>
    </xf>
    <xf numFmtId="0" fontId="100" fillId="0" borderId="1" xfId="9" applyFont="1" applyFill="1" applyBorder="1" applyAlignment="1" applyProtection="1">
      <alignment horizontal="left" vertical="center" wrapText="1"/>
      <protection locked="0"/>
    </xf>
    <xf numFmtId="43" fontId="57" fillId="0" borderId="10" xfId="1" applyFont="1" applyFill="1" applyBorder="1" applyAlignment="1" applyProtection="1">
      <alignment horizontal="right" vertical="top" wrapText="1"/>
      <protection locked="0"/>
    </xf>
    <xf numFmtId="0" fontId="142" fillId="0" borderId="1" xfId="0" applyFont="1" applyFill="1" applyBorder="1" applyAlignment="1">
      <alignment horizontal="left" wrapText="1"/>
    </xf>
    <xf numFmtId="0" fontId="142" fillId="0" borderId="0" xfId="0" applyFont="1" applyFill="1" applyAlignment="1">
      <alignment horizontal="left" vertical="top" wrapText="1"/>
    </xf>
    <xf numFmtId="43" fontId="57" fillId="0" borderId="12" xfId="1" applyFont="1" applyFill="1" applyBorder="1" applyAlignment="1" applyProtection="1">
      <alignment horizontal="right" vertical="top" wrapText="1"/>
      <protection locked="0"/>
    </xf>
    <xf numFmtId="0" fontId="4" fillId="0" borderId="1" xfId="8" applyFont="1" applyFill="1" applyBorder="1" applyAlignment="1" applyProtection="1">
      <alignment horizontal="left" vertical="center" wrapText="1"/>
    </xf>
    <xf numFmtId="43" fontId="57" fillId="0" borderId="13" xfId="1" applyFont="1" applyFill="1" applyBorder="1" applyAlignment="1" applyProtection="1">
      <alignment horizontal="right" vertical="top" wrapText="1"/>
      <protection locked="0"/>
    </xf>
    <xf numFmtId="0" fontId="97" fillId="0" borderId="1" xfId="9" applyFont="1" applyFill="1" applyBorder="1" applyAlignment="1" applyProtection="1">
      <alignment horizontal="left" vertical="center" wrapText="1"/>
      <protection locked="0"/>
    </xf>
    <xf numFmtId="0" fontId="21" fillId="0" borderId="1" xfId="9" applyFont="1" applyFill="1" applyBorder="1" applyAlignment="1" applyProtection="1">
      <alignment horizontal="left" vertical="center" wrapText="1"/>
      <protection locked="0"/>
    </xf>
    <xf numFmtId="43" fontId="57" fillId="0" borderId="7" xfId="1" applyFont="1" applyFill="1" applyBorder="1" applyAlignment="1" applyProtection="1">
      <alignment horizontal="right" vertical="top" wrapText="1"/>
      <protection locked="0"/>
    </xf>
    <xf numFmtId="0" fontId="57" fillId="0" borderId="1" xfId="38" applyFont="1" applyFill="1" applyBorder="1" applyAlignment="1" applyProtection="1">
      <alignment horizontal="left" vertical="center" wrapText="1"/>
      <protection locked="0"/>
    </xf>
    <xf numFmtId="43" fontId="57" fillId="0" borderId="1" xfId="1" applyFont="1" applyFill="1" applyBorder="1" applyAlignment="1" applyProtection="1">
      <alignment horizontal="right" vertical="top" wrapText="1"/>
      <protection locked="0"/>
    </xf>
    <xf numFmtId="43" fontId="57" fillId="0" borderId="1" xfId="1" applyFont="1" applyFill="1" applyBorder="1" applyAlignment="1" applyProtection="1">
      <alignment horizontal="center" vertical="top" wrapText="1"/>
      <protection locked="0"/>
    </xf>
    <xf numFmtId="43" fontId="84" fillId="0" borderId="1" xfId="1" applyFont="1" applyFill="1" applyBorder="1" applyAlignment="1" applyProtection="1">
      <alignment horizontal="right" vertical="top" wrapText="1"/>
      <protection locked="0"/>
    </xf>
    <xf numFmtId="0" fontId="4" fillId="0" borderId="1" xfId="4" applyFont="1" applyFill="1" applyBorder="1" applyAlignment="1" applyProtection="1">
      <alignment horizontal="left" vertical="center" wrapText="1"/>
    </xf>
    <xf numFmtId="0" fontId="79" fillId="0" borderId="5" xfId="8" applyFont="1" applyFill="1" applyBorder="1" applyAlignment="1" applyProtection="1">
      <alignment horizontal="left" vertical="center" wrapText="1"/>
      <protection locked="0"/>
    </xf>
    <xf numFmtId="2" fontId="106" fillId="0" borderId="1" xfId="1" applyNumberFormat="1" applyFont="1" applyFill="1" applyBorder="1" applyAlignment="1" applyProtection="1">
      <alignment horizontal="right" vertical="top" wrapText="1"/>
      <protection locked="0"/>
    </xf>
    <xf numFmtId="0" fontId="30" fillId="0" borderId="5" xfId="9" applyFont="1" applyFill="1" applyBorder="1" applyAlignment="1" applyProtection="1">
      <alignment horizontal="left" vertical="center" wrapText="1"/>
      <protection locked="0"/>
    </xf>
    <xf numFmtId="0" fontId="152" fillId="0" borderId="1" xfId="8" applyFont="1" applyFill="1" applyBorder="1" applyAlignment="1" applyProtection="1">
      <alignment horizontal="left" vertical="center" wrapText="1"/>
      <protection locked="0"/>
    </xf>
    <xf numFmtId="0" fontId="82" fillId="0" borderId="5" xfId="73" applyFont="1" applyFill="1" applyBorder="1" applyAlignment="1" applyProtection="1">
      <alignment horizontal="left" vertical="center" wrapText="1"/>
      <protection locked="0"/>
    </xf>
    <xf numFmtId="2" fontId="103" fillId="0" borderId="1" xfId="0" applyNumberFormat="1" applyFont="1" applyFill="1" applyBorder="1" applyAlignment="1" applyProtection="1">
      <alignment horizontal="left" vertical="center" wrapText="1"/>
    </xf>
    <xf numFmtId="0" fontId="34" fillId="0" borderId="1" xfId="82" applyFont="1" applyFill="1" applyBorder="1" applyAlignment="1" applyProtection="1">
      <alignment vertical="center" wrapText="1"/>
      <protection locked="0"/>
    </xf>
    <xf numFmtId="0" fontId="34" fillId="0" borderId="5" xfId="82" applyFont="1" applyFill="1" applyBorder="1" applyAlignment="1" applyProtection="1">
      <alignment horizontal="left" vertical="center" wrapText="1"/>
      <protection locked="0"/>
    </xf>
    <xf numFmtId="2" fontId="11" fillId="0" borderId="1" xfId="4" applyNumberFormat="1" applyFont="1" applyFill="1" applyBorder="1" applyAlignment="1" applyProtection="1">
      <alignment horizontal="left" vertical="center" wrapText="1"/>
      <protection locked="0"/>
    </xf>
    <xf numFmtId="1" fontId="57" fillId="0" borderId="1" xfId="8" applyNumberFormat="1" applyFont="1" applyFill="1" applyBorder="1" applyAlignment="1" applyProtection="1">
      <alignment horizontal="left" vertical="top" wrapText="1"/>
    </xf>
    <xf numFmtId="0" fontId="136" fillId="0" borderId="1" xfId="306" applyFont="1" applyFill="1" applyBorder="1" applyAlignment="1" applyProtection="1">
      <alignment horizontal="left" vertical="center" wrapText="1"/>
      <protection locked="0"/>
    </xf>
    <xf numFmtId="43" fontId="20" fillId="0" borderId="1" xfId="1" applyFont="1" applyFill="1" applyBorder="1" applyAlignment="1" applyProtection="1">
      <alignment horizontal="right" vertical="top"/>
      <protection locked="0"/>
    </xf>
    <xf numFmtId="2" fontId="57" fillId="0" borderId="0" xfId="11" applyNumberFormat="1" applyFont="1" applyFill="1" applyAlignment="1" applyProtection="1">
      <alignment vertical="top"/>
    </xf>
    <xf numFmtId="1" fontId="150" fillId="0" borderId="1" xfId="48" applyNumberFormat="1" applyFont="1" applyFill="1" applyBorder="1" applyAlignment="1">
      <alignment horizontal="left" vertical="center" wrapText="1"/>
    </xf>
    <xf numFmtId="2" fontId="20" fillId="0" borderId="1" xfId="48" applyNumberFormat="1" applyFont="1" applyFill="1" applyBorder="1" applyAlignment="1">
      <alignment horizontal="right" vertical="top" wrapText="1"/>
    </xf>
    <xf numFmtId="0" fontId="4" fillId="0" borderId="1" xfId="48" applyFont="1" applyFill="1" applyBorder="1" applyAlignment="1" applyProtection="1">
      <alignment horizontal="left" vertical="center" wrapText="1"/>
    </xf>
    <xf numFmtId="0" fontId="57" fillId="0" borderId="1" xfId="48" applyFont="1" applyFill="1" applyBorder="1" applyAlignment="1" applyProtection="1">
      <alignment horizontal="center" vertical="center" wrapText="1"/>
    </xf>
    <xf numFmtId="0" fontId="4" fillId="0" borderId="1" xfId="48" applyFont="1" applyFill="1" applyBorder="1" applyAlignment="1" applyProtection="1">
      <alignment horizontal="center" vertical="center" wrapText="1"/>
    </xf>
    <xf numFmtId="2" fontId="102" fillId="0" borderId="1" xfId="48" applyNumberFormat="1" applyFont="1" applyFill="1" applyBorder="1" applyAlignment="1" applyProtection="1">
      <alignment horizontal="left" vertical="center" wrapText="1"/>
      <protection locked="0"/>
    </xf>
    <xf numFmtId="0" fontId="142" fillId="0" borderId="3" xfId="0" applyFont="1" applyFill="1" applyBorder="1" applyAlignment="1">
      <alignment wrapText="1"/>
    </xf>
    <xf numFmtId="0" fontId="9" fillId="0" borderId="1" xfId="48" applyFont="1" applyFill="1" applyBorder="1" applyAlignment="1" applyProtection="1">
      <alignment horizontal="left" vertical="center"/>
    </xf>
    <xf numFmtId="0" fontId="8" fillId="0" borderId="1" xfId="4" applyFont="1" applyFill="1" applyBorder="1" applyAlignment="1" applyProtection="1">
      <alignment vertical="center" wrapText="1"/>
    </xf>
    <xf numFmtId="2" fontId="9" fillId="0" borderId="1" xfId="48" applyNumberFormat="1" applyFont="1" applyFill="1" applyBorder="1" applyAlignment="1" applyProtection="1">
      <alignment horizontal="left" vertical="center" wrapText="1"/>
      <protection locked="0"/>
    </xf>
    <xf numFmtId="0" fontId="142" fillId="0" borderId="1" xfId="0" applyFont="1" applyFill="1" applyBorder="1" applyAlignment="1">
      <alignment wrapText="1"/>
    </xf>
    <xf numFmtId="2" fontId="30" fillId="0" borderId="1" xfId="48" applyNumberFormat="1" applyFont="1" applyFill="1" applyBorder="1" applyAlignment="1" applyProtection="1">
      <alignment horizontal="left" vertical="center" wrapText="1"/>
      <protection locked="0"/>
    </xf>
    <xf numFmtId="0" fontId="142" fillId="0" borderId="21" xfId="0" applyFont="1" applyFill="1" applyBorder="1" applyAlignment="1">
      <alignment horizontal="justify" vertical="top" wrapText="1"/>
    </xf>
    <xf numFmtId="2" fontId="79" fillId="0" borderId="1" xfId="48" applyNumberFormat="1" applyFont="1" applyFill="1" applyBorder="1" applyAlignment="1" applyProtection="1">
      <alignment horizontal="right" vertical="top" wrapText="1"/>
    </xf>
    <xf numFmtId="0" fontId="71" fillId="0" borderId="1" xfId="0" applyFont="1" applyFill="1" applyBorder="1" applyAlignment="1" applyProtection="1">
      <alignment horizontal="left" vertical="center" wrapText="1"/>
      <protection locked="0"/>
    </xf>
    <xf numFmtId="0" fontId="118" fillId="0" borderId="0" xfId="0" applyFont="1" applyFill="1" applyAlignment="1">
      <alignment wrapText="1"/>
    </xf>
    <xf numFmtId="0" fontId="139" fillId="0" borderId="1" xfId="50" applyFont="1" applyFill="1" applyBorder="1" applyAlignment="1" applyProtection="1">
      <alignment horizontal="center" vertical="center" wrapText="1"/>
      <protection locked="0"/>
    </xf>
    <xf numFmtId="2" fontId="106" fillId="0" borderId="1" xfId="1" applyNumberFormat="1" applyFont="1" applyFill="1" applyBorder="1" applyAlignment="1" applyProtection="1">
      <alignment horizontal="right" vertical="top" wrapText="1"/>
    </xf>
    <xf numFmtId="2" fontId="82" fillId="0" borderId="0" xfId="1" applyNumberFormat="1" applyFont="1" applyFill="1" applyAlignment="1" applyProtection="1">
      <alignment horizontal="center" vertical="center" wrapText="1"/>
    </xf>
    <xf numFmtId="43" fontId="82" fillId="0" borderId="0" xfId="1" applyFont="1" applyFill="1" applyAlignment="1" applyProtection="1">
      <alignment horizontal="right" vertical="top" wrapText="1"/>
    </xf>
    <xf numFmtId="0" fontId="87" fillId="15" borderId="1" xfId="0" applyFont="1" applyFill="1" applyBorder="1" applyAlignment="1" applyProtection="1">
      <alignment horizontal="left" vertical="center" wrapText="1"/>
    </xf>
    <xf numFmtId="0" fontId="84" fillId="28" borderId="1" xfId="0" applyFont="1" applyFill="1" applyBorder="1" applyAlignment="1" applyProtection="1">
      <alignment horizontal="center" vertical="center" wrapText="1"/>
    </xf>
    <xf numFmtId="0" fontId="84" fillId="29" borderId="5" xfId="0" applyFont="1" applyFill="1" applyBorder="1" applyAlignment="1" applyProtection="1">
      <alignment horizontal="center" vertical="center" wrapText="1"/>
    </xf>
    <xf numFmtId="0" fontId="84" fillId="29" borderId="6" xfId="0" applyFont="1" applyFill="1" applyBorder="1" applyAlignment="1" applyProtection="1">
      <alignment horizontal="center" vertical="center" wrapText="1"/>
    </xf>
    <xf numFmtId="0" fontId="84" fillId="29" borderId="2" xfId="0" applyFont="1" applyFill="1" applyBorder="1" applyAlignment="1" applyProtection="1">
      <alignment horizontal="center" vertical="center" wrapText="1"/>
    </xf>
    <xf numFmtId="0" fontId="79" fillId="10" borderId="5" xfId="0" applyFont="1" applyFill="1" applyBorder="1" applyAlignment="1" applyProtection="1">
      <alignment horizontal="center" vertical="top" wrapText="1"/>
    </xf>
    <xf numFmtId="0" fontId="79" fillId="10" borderId="6" xfId="0" applyFont="1" applyFill="1" applyBorder="1" applyAlignment="1" applyProtection="1">
      <alignment horizontal="center" vertical="top" wrapText="1"/>
    </xf>
    <xf numFmtId="0" fontId="79" fillId="10" borderId="2" xfId="0" applyFont="1" applyFill="1" applyBorder="1" applyAlignment="1" applyProtection="1">
      <alignment horizontal="center" vertical="top" wrapText="1"/>
    </xf>
    <xf numFmtId="0" fontId="77" fillId="16" borderId="3" xfId="0" applyFont="1" applyFill="1" applyBorder="1" applyAlignment="1" applyProtection="1">
      <alignment horizontal="center" vertical="center" wrapText="1"/>
    </xf>
    <xf numFmtId="0" fontId="77" fillId="16" borderId="3" xfId="38" applyFont="1" applyFill="1" applyBorder="1" applyAlignment="1" applyProtection="1">
      <alignment horizontal="center" vertical="center" wrapText="1"/>
    </xf>
    <xf numFmtId="0" fontId="77" fillId="16" borderId="1" xfId="38" applyFont="1" applyFill="1" applyBorder="1" applyAlignment="1" applyProtection="1">
      <alignment horizontal="center" vertical="center" wrapText="1"/>
    </xf>
    <xf numFmtId="0" fontId="57" fillId="0" borderId="12" xfId="8" applyFont="1" applyFill="1" applyBorder="1" applyAlignment="1" applyProtection="1">
      <alignment horizontal="center" vertical="center" wrapText="1"/>
      <protection locked="0"/>
    </xf>
    <xf numFmtId="0" fontId="57" fillId="0" borderId="13" xfId="8" applyFont="1" applyFill="1" applyBorder="1" applyAlignment="1" applyProtection="1">
      <alignment horizontal="center" vertical="center" wrapText="1"/>
      <protection locked="0"/>
    </xf>
    <xf numFmtId="43" fontId="57" fillId="0" borderId="12" xfId="1" applyFont="1" applyFill="1" applyBorder="1" applyAlignment="1" applyProtection="1">
      <alignment horizontal="center" vertical="center" wrapText="1"/>
      <protection locked="0"/>
    </xf>
    <xf numFmtId="43" fontId="57" fillId="0" borderId="13" xfId="1" applyFont="1" applyFill="1" applyBorder="1" applyAlignment="1" applyProtection="1">
      <alignment horizontal="center" vertical="center" wrapText="1"/>
      <protection locked="0"/>
    </xf>
    <xf numFmtId="43" fontId="79" fillId="0" borderId="12" xfId="1" applyFont="1" applyFill="1" applyBorder="1" applyAlignment="1" applyProtection="1">
      <alignment horizontal="right" vertical="top" wrapText="1"/>
      <protection locked="0"/>
    </xf>
    <xf numFmtId="43" fontId="79" fillId="0" borderId="13" xfId="1" applyFont="1" applyFill="1" applyBorder="1" applyAlignment="1" applyProtection="1">
      <alignment horizontal="right" vertical="top" wrapText="1"/>
      <protection locked="0"/>
    </xf>
    <xf numFmtId="43" fontId="79" fillId="0" borderId="3" xfId="1" applyFont="1" applyFill="1" applyBorder="1" applyAlignment="1" applyProtection="1">
      <alignment horizontal="right" vertical="top" wrapText="1"/>
      <protection locked="0"/>
    </xf>
    <xf numFmtId="0" fontId="79" fillId="27" borderId="1" xfId="8" applyFont="1" applyFill="1" applyBorder="1" applyAlignment="1" applyProtection="1">
      <alignment horizontal="center" vertical="top"/>
    </xf>
    <xf numFmtId="0" fontId="0" fillId="0" borderId="12" xfId="0" applyFill="1" applyBorder="1" applyAlignment="1">
      <alignment horizontal="left" vertical="center" wrapText="1"/>
    </xf>
    <xf numFmtId="0" fontId="0" fillId="0" borderId="13" xfId="0" applyFill="1" applyBorder="1" applyAlignment="1">
      <alignment horizontal="left" vertical="center" wrapText="1"/>
    </xf>
    <xf numFmtId="0" fontId="0" fillId="0" borderId="3" xfId="0" applyFill="1" applyBorder="1" applyAlignment="1">
      <alignment horizontal="left" vertical="center" wrapText="1"/>
    </xf>
    <xf numFmtId="0" fontId="57" fillId="0" borderId="12" xfId="9" applyFont="1" applyFill="1" applyBorder="1" applyAlignment="1" applyProtection="1">
      <alignment horizontal="center" vertical="center" wrapText="1"/>
      <protection locked="0"/>
    </xf>
    <xf numFmtId="0" fontId="57" fillId="0" borderId="13" xfId="9" applyFont="1" applyFill="1" applyBorder="1" applyAlignment="1" applyProtection="1">
      <alignment horizontal="center" vertical="center" wrapText="1"/>
      <protection locked="0"/>
    </xf>
    <xf numFmtId="43" fontId="79" fillId="0" borderId="12" xfId="1" applyFont="1" applyFill="1" applyBorder="1" applyAlignment="1" applyProtection="1">
      <alignment horizontal="center" vertical="top" wrapText="1"/>
      <protection locked="0"/>
    </xf>
    <xf numFmtId="43" fontId="79" fillId="0" borderId="13" xfId="1" applyFont="1" applyFill="1" applyBorder="1" applyAlignment="1" applyProtection="1">
      <alignment horizontal="center" vertical="top" wrapText="1"/>
      <protection locked="0"/>
    </xf>
    <xf numFmtId="0" fontId="21" fillId="0" borderId="12" xfId="9" applyFont="1" applyFill="1" applyBorder="1" applyAlignment="1" applyProtection="1">
      <alignment horizontal="left" vertical="top" wrapText="1"/>
      <protection locked="0"/>
    </xf>
    <xf numFmtId="0" fontId="57" fillId="0" borderId="13" xfId="9" applyFont="1" applyFill="1" applyBorder="1" applyAlignment="1" applyProtection="1">
      <alignment horizontal="left" vertical="top" wrapText="1"/>
      <protection locked="0"/>
    </xf>
    <xf numFmtId="43" fontId="57" fillId="0" borderId="10" xfId="1" applyFont="1" applyFill="1" applyBorder="1" applyAlignment="1" applyProtection="1">
      <alignment horizontal="right" vertical="top" wrapText="1"/>
      <protection locked="0"/>
    </xf>
    <xf numFmtId="43" fontId="57" fillId="0" borderId="7" xfId="1" applyFont="1" applyFill="1" applyBorder="1" applyAlignment="1" applyProtection="1">
      <alignment horizontal="right" vertical="top" wrapText="1"/>
      <protection locked="0"/>
    </xf>
    <xf numFmtId="0" fontId="57" fillId="0" borderId="3" xfId="8" applyFont="1" applyFill="1" applyBorder="1" applyAlignment="1" applyProtection="1">
      <alignment horizontal="center" vertical="center" wrapText="1"/>
      <protection locked="0"/>
    </xf>
    <xf numFmtId="43" fontId="79" fillId="0" borderId="3" xfId="1" applyFont="1" applyFill="1" applyBorder="1" applyAlignment="1" applyProtection="1">
      <alignment horizontal="center" vertical="top" wrapText="1"/>
      <protection locked="0"/>
    </xf>
    <xf numFmtId="43" fontId="57" fillId="0" borderId="12" xfId="1" applyFont="1" applyFill="1" applyBorder="1" applyAlignment="1" applyProtection="1">
      <alignment horizontal="right" vertical="top" wrapText="1"/>
      <protection locked="0"/>
    </xf>
    <xf numFmtId="43" fontId="57" fillId="0" borderId="13" xfId="1" applyFont="1" applyFill="1" applyBorder="1" applyAlignment="1" applyProtection="1">
      <alignment horizontal="right" vertical="top" wrapText="1"/>
      <protection locked="0"/>
    </xf>
    <xf numFmtId="43" fontId="57" fillId="0" borderId="3" xfId="1" applyFont="1" applyFill="1" applyBorder="1" applyAlignment="1" applyProtection="1">
      <alignment horizontal="right" vertical="top" wrapText="1"/>
      <protection locked="0"/>
    </xf>
    <xf numFmtId="0" fontId="57" fillId="0" borderId="3" xfId="9" applyFont="1" applyFill="1" applyBorder="1" applyAlignment="1" applyProtection="1">
      <alignment horizontal="center" vertical="center" wrapText="1"/>
      <protection locked="0"/>
    </xf>
    <xf numFmtId="43" fontId="57" fillId="0" borderId="3" xfId="1" applyFont="1" applyFill="1" applyBorder="1" applyAlignment="1" applyProtection="1">
      <alignment horizontal="center" vertical="center" wrapText="1"/>
      <protection locked="0"/>
    </xf>
    <xf numFmtId="43" fontId="57" fillId="0" borderId="11" xfId="1" applyFont="1" applyFill="1" applyBorder="1" applyAlignment="1" applyProtection="1">
      <alignment horizontal="right" vertical="top" wrapText="1"/>
      <protection locked="0"/>
    </xf>
    <xf numFmtId="43" fontId="57" fillId="0" borderId="12" xfId="1" applyFont="1" applyFill="1" applyBorder="1" applyAlignment="1" applyProtection="1">
      <alignment horizontal="center" vertical="top" wrapText="1"/>
      <protection locked="0"/>
    </xf>
    <xf numFmtId="43" fontId="57" fillId="0" borderId="13" xfId="1" applyFont="1" applyFill="1" applyBorder="1" applyAlignment="1" applyProtection="1">
      <alignment horizontal="center" vertical="top" wrapText="1"/>
      <protection locked="0"/>
    </xf>
    <xf numFmtId="43" fontId="57" fillId="0" borderId="3" xfId="1" applyFont="1" applyFill="1" applyBorder="1" applyAlignment="1" applyProtection="1">
      <alignment horizontal="center" vertical="top" wrapText="1"/>
      <protection locked="0"/>
    </xf>
    <xf numFmtId="0" fontId="4" fillId="0" borderId="1" xfId="48" applyFont="1" applyFill="1" applyBorder="1" applyAlignment="1" applyProtection="1">
      <alignment horizontal="center" vertical="center" wrapText="1"/>
    </xf>
    <xf numFmtId="0" fontId="57" fillId="0" borderId="1" xfId="48" applyFont="1" applyFill="1" applyBorder="1" applyAlignment="1" applyProtection="1">
      <alignment horizontal="center" vertical="center" wrapText="1"/>
    </xf>
    <xf numFmtId="0" fontId="57" fillId="0" borderId="12" xfId="48" applyFont="1" applyFill="1" applyBorder="1" applyAlignment="1" applyProtection="1">
      <alignment horizontal="center" vertical="center" wrapText="1"/>
      <protection locked="0"/>
    </xf>
    <xf numFmtId="0" fontId="57" fillId="0" borderId="13" xfId="48" applyFont="1" applyFill="1" applyBorder="1" applyAlignment="1" applyProtection="1">
      <alignment horizontal="center" vertical="center" wrapText="1"/>
      <protection locked="0"/>
    </xf>
    <xf numFmtId="2" fontId="57" fillId="0" borderId="12" xfId="48" applyNumberFormat="1" applyFont="1" applyFill="1" applyBorder="1" applyAlignment="1" applyProtection="1">
      <alignment horizontal="right" vertical="top" wrapText="1"/>
      <protection locked="0"/>
    </xf>
    <xf numFmtId="2" fontId="57" fillId="0" borderId="13" xfId="48" applyNumberFormat="1" applyFont="1" applyFill="1" applyBorder="1" applyAlignment="1" applyProtection="1">
      <alignment horizontal="right" vertical="top" wrapText="1"/>
      <protection locked="0"/>
    </xf>
    <xf numFmtId="2" fontId="57" fillId="0" borderId="12" xfId="0" applyNumberFormat="1" applyFont="1" applyFill="1" applyBorder="1" applyAlignment="1" applyProtection="1">
      <alignment horizontal="center" vertical="center" wrapText="1"/>
    </xf>
    <xf numFmtId="2" fontId="57" fillId="0" borderId="13" xfId="0" applyNumberFormat="1" applyFont="1" applyFill="1" applyBorder="1" applyAlignment="1" applyProtection="1">
      <alignment horizontal="center" vertical="center" wrapText="1"/>
    </xf>
    <xf numFmtId="2" fontId="57" fillId="0" borderId="12" xfId="48" applyNumberFormat="1" applyFont="1" applyFill="1" applyBorder="1" applyAlignment="1" applyProtection="1">
      <alignment horizontal="center" vertical="top"/>
    </xf>
    <xf numFmtId="2" fontId="57" fillId="0" borderId="13" xfId="48" applyNumberFormat="1" applyFont="1" applyFill="1" applyBorder="1" applyAlignment="1" applyProtection="1">
      <alignment horizontal="center" vertical="top"/>
    </xf>
    <xf numFmtId="2" fontId="57" fillId="0" borderId="12" xfId="48" applyNumberFormat="1" applyFont="1" applyFill="1" applyBorder="1" applyAlignment="1" applyProtection="1">
      <alignment horizontal="center" vertical="center"/>
    </xf>
    <xf numFmtId="2" fontId="57" fillId="0" borderId="13" xfId="48" applyNumberFormat="1" applyFont="1" applyFill="1" applyBorder="1" applyAlignment="1" applyProtection="1">
      <alignment horizontal="center" vertical="center"/>
    </xf>
    <xf numFmtId="2" fontId="57" fillId="0" borderId="3" xfId="48" applyNumberFormat="1" applyFont="1" applyFill="1" applyBorder="1" applyAlignment="1" applyProtection="1">
      <alignment horizontal="right" vertical="top" wrapText="1"/>
      <protection locked="0"/>
    </xf>
    <xf numFmtId="0" fontId="79" fillId="0" borderId="12" xfId="48" applyFont="1" applyFill="1" applyBorder="1" applyAlignment="1" applyProtection="1">
      <alignment horizontal="center" vertical="center" wrapText="1"/>
      <protection locked="0"/>
    </xf>
    <xf numFmtId="0" fontId="79" fillId="0" borderId="13" xfId="48" applyFont="1" applyFill="1" applyBorder="1" applyAlignment="1" applyProtection="1">
      <alignment horizontal="center" vertical="center" wrapText="1"/>
      <protection locked="0"/>
    </xf>
    <xf numFmtId="2" fontId="79" fillId="0" borderId="12" xfId="48" applyNumberFormat="1" applyFont="1" applyFill="1" applyBorder="1" applyAlignment="1" applyProtection="1">
      <alignment horizontal="right" vertical="top" wrapText="1"/>
      <protection locked="0"/>
    </xf>
    <xf numFmtId="2" fontId="79" fillId="0" borderId="13" xfId="48" applyNumberFormat="1" applyFont="1" applyFill="1" applyBorder="1" applyAlignment="1" applyProtection="1">
      <alignment horizontal="right" vertical="top" wrapText="1"/>
      <protection locked="0"/>
    </xf>
    <xf numFmtId="2" fontId="79" fillId="0" borderId="7" xfId="48" applyNumberFormat="1" applyFont="1" applyFill="1" applyBorder="1" applyAlignment="1" applyProtection="1">
      <alignment horizontal="right" vertical="top" wrapText="1"/>
      <protection locked="0"/>
    </xf>
    <xf numFmtId="2" fontId="79" fillId="0" borderId="11" xfId="48" applyNumberFormat="1" applyFont="1" applyFill="1" applyBorder="1" applyAlignment="1" applyProtection="1">
      <alignment horizontal="right" vertical="top" wrapText="1"/>
      <protection locked="0"/>
    </xf>
    <xf numFmtId="0" fontId="3" fillId="0" borderId="1" xfId="48" applyFont="1" applyFill="1" applyBorder="1" applyAlignment="1" applyProtection="1">
      <alignment horizontal="center" vertical="center" wrapText="1"/>
    </xf>
    <xf numFmtId="0" fontId="44" fillId="0" borderId="13" xfId="8" applyFont="1" applyFill="1" applyBorder="1" applyAlignment="1" applyProtection="1">
      <alignment horizontal="center" vertical="center" wrapText="1"/>
      <protection locked="0"/>
    </xf>
    <xf numFmtId="2" fontId="79" fillId="0" borderId="3" xfId="48" applyNumberFormat="1" applyFont="1" applyFill="1" applyBorder="1" applyAlignment="1" applyProtection="1">
      <alignment horizontal="right" vertical="top" wrapText="1"/>
      <protection locked="0"/>
    </xf>
    <xf numFmtId="0" fontId="79" fillId="27" borderId="1" xfId="8" applyFont="1" applyFill="1" applyBorder="1" applyAlignment="1" applyProtection="1">
      <alignment horizontal="center" vertical="center"/>
    </xf>
    <xf numFmtId="0" fontId="83" fillId="8" borderId="12" xfId="3" applyFont="1" applyFill="1" applyBorder="1" applyAlignment="1" applyProtection="1">
      <alignment horizontal="center" vertical="center"/>
    </xf>
    <xf numFmtId="0" fontId="83" fillId="8" borderId="13" xfId="3" applyFont="1" applyFill="1" applyBorder="1" applyAlignment="1" applyProtection="1">
      <alignment horizontal="center" vertical="center"/>
    </xf>
    <xf numFmtId="0" fontId="83" fillId="8" borderId="3" xfId="3" applyFont="1" applyFill="1" applyBorder="1" applyAlignment="1" applyProtection="1">
      <alignment horizontal="center" vertical="center"/>
    </xf>
    <xf numFmtId="0" fontId="92" fillId="34" borderId="1" xfId="0" applyFont="1" applyFill="1" applyBorder="1" applyAlignment="1" applyProtection="1">
      <alignment horizontal="center" vertical="center" wrapText="1"/>
    </xf>
    <xf numFmtId="0" fontId="79" fillId="10" borderId="5" xfId="0" applyFont="1" applyFill="1" applyBorder="1" applyAlignment="1" applyProtection="1">
      <alignment horizontal="center" vertical="center" wrapText="1"/>
    </xf>
    <xf numFmtId="0" fontId="79" fillId="10" borderId="6" xfId="0" applyFont="1" applyFill="1" applyBorder="1" applyAlignment="1" applyProtection="1">
      <alignment horizontal="center" vertical="center" wrapText="1"/>
    </xf>
    <xf numFmtId="0" fontId="79" fillId="10" borderId="2" xfId="0" applyFont="1" applyFill="1" applyBorder="1" applyAlignment="1" applyProtection="1">
      <alignment horizontal="center" vertical="center" wrapText="1"/>
    </xf>
    <xf numFmtId="0" fontId="105" fillId="42" borderId="1" xfId="0" applyFont="1" applyFill="1" applyBorder="1" applyAlignment="1" applyProtection="1">
      <alignment horizontal="center" vertical="center" wrapText="1"/>
    </xf>
    <xf numFmtId="0" fontId="79" fillId="27" borderId="8" xfId="8" applyFont="1" applyFill="1" applyBorder="1" applyAlignment="1" applyProtection="1">
      <alignment horizontal="center" vertical="center"/>
    </xf>
    <xf numFmtId="0" fontId="79" fillId="27" borderId="4" xfId="8" applyFont="1" applyFill="1" applyBorder="1" applyAlignment="1" applyProtection="1">
      <alignment horizontal="center" vertical="center"/>
    </xf>
    <xf numFmtId="0" fontId="77" fillId="15" borderId="1" xfId="8" applyFont="1" applyFill="1" applyBorder="1" applyAlignment="1" applyProtection="1">
      <alignment horizontal="left" vertical="center" wrapText="1"/>
    </xf>
    <xf numFmtId="0" fontId="77" fillId="16" borderId="1" xfId="0" applyFont="1" applyFill="1" applyBorder="1" applyAlignment="1" applyProtection="1">
      <alignment horizontal="center" vertical="center" wrapText="1"/>
    </xf>
    <xf numFmtId="0" fontId="77" fillId="16" borderId="8" xfId="0" applyFont="1" applyFill="1" applyBorder="1" applyAlignment="1" applyProtection="1">
      <alignment horizontal="center" vertical="center" wrapText="1"/>
    </xf>
    <xf numFmtId="0" fontId="77" fillId="16" borderId="4" xfId="0" applyFont="1" applyFill="1" applyBorder="1" applyAlignment="1" applyProtection="1">
      <alignment horizontal="center" vertical="center" wrapText="1"/>
    </xf>
    <xf numFmtId="0" fontId="77" fillId="15" borderId="5" xfId="8" applyFont="1" applyFill="1" applyBorder="1" applyAlignment="1" applyProtection="1">
      <alignment horizontal="left" vertical="center"/>
    </xf>
    <xf numFmtId="0" fontId="77" fillId="15" borderId="6" xfId="8" applyFont="1" applyFill="1" applyBorder="1" applyAlignment="1" applyProtection="1">
      <alignment horizontal="left" vertical="center"/>
    </xf>
    <xf numFmtId="0" fontId="77" fillId="15" borderId="2" xfId="8" applyFont="1" applyFill="1" applyBorder="1" applyAlignment="1" applyProtection="1">
      <alignment horizontal="left" vertical="center"/>
    </xf>
    <xf numFmtId="0" fontId="92" fillId="34" borderId="7" xfId="0" applyFont="1" applyFill="1" applyBorder="1" applyAlignment="1" applyProtection="1">
      <alignment horizontal="center" vertical="center"/>
    </xf>
    <xf numFmtId="0" fontId="92" fillId="34" borderId="11" xfId="0" applyFont="1" applyFill="1" applyBorder="1" applyAlignment="1" applyProtection="1">
      <alignment horizontal="center" vertical="center"/>
    </xf>
    <xf numFmtId="0" fontId="84" fillId="28" borderId="5" xfId="0" applyFont="1" applyFill="1" applyBorder="1" applyAlignment="1" applyProtection="1">
      <alignment horizontal="center" vertical="center"/>
    </xf>
    <xf numFmtId="0" fontId="84" fillId="28" borderId="6" xfId="0" applyFont="1" applyFill="1" applyBorder="1" applyAlignment="1" applyProtection="1">
      <alignment horizontal="center" vertical="center"/>
    </xf>
    <xf numFmtId="0" fontId="84" fillId="28" borderId="2" xfId="0" applyFont="1" applyFill="1" applyBorder="1" applyAlignment="1" applyProtection="1">
      <alignment horizontal="center" vertical="center"/>
    </xf>
    <xf numFmtId="0" fontId="77" fillId="16" borderId="1" xfId="38" applyFont="1" applyFill="1" applyBorder="1" applyAlignment="1" applyProtection="1">
      <alignment horizontal="center" vertical="center"/>
    </xf>
    <xf numFmtId="0" fontId="77" fillId="16" borderId="5" xfId="0" applyFont="1" applyFill="1" applyBorder="1" applyAlignment="1" applyProtection="1">
      <alignment horizontal="center" vertical="center"/>
    </xf>
    <xf numFmtId="0" fontId="77" fillId="16" borderId="6" xfId="0" applyFont="1" applyFill="1" applyBorder="1" applyAlignment="1" applyProtection="1">
      <alignment horizontal="center" vertical="center"/>
    </xf>
    <xf numFmtId="0" fontId="77" fillId="16" borderId="2" xfId="0" applyFont="1" applyFill="1" applyBorder="1" applyAlignment="1" applyProtection="1">
      <alignment horizontal="center" vertical="center"/>
    </xf>
    <xf numFmtId="0" fontId="77" fillId="16" borderId="5" xfId="38" applyFont="1" applyFill="1" applyBorder="1" applyAlignment="1" applyProtection="1">
      <alignment horizontal="center" vertical="center"/>
    </xf>
    <xf numFmtId="0" fontId="77" fillId="16" borderId="2" xfId="38" applyFont="1" applyFill="1" applyBorder="1" applyAlignment="1" applyProtection="1">
      <alignment horizontal="center" vertical="center"/>
    </xf>
    <xf numFmtId="0" fontId="84" fillId="29" borderId="5" xfId="0" applyFont="1" applyFill="1" applyBorder="1" applyAlignment="1" applyProtection="1">
      <alignment horizontal="center" vertical="center"/>
    </xf>
    <xf numFmtId="0" fontId="84" fillId="29" borderId="6" xfId="0" applyFont="1" applyFill="1" applyBorder="1" applyAlignment="1" applyProtection="1">
      <alignment horizontal="center" vertical="center"/>
    </xf>
    <xf numFmtId="0" fontId="84" fillId="29" borderId="2" xfId="0" applyFont="1" applyFill="1" applyBorder="1" applyAlignment="1" applyProtection="1">
      <alignment horizontal="center" vertical="center"/>
    </xf>
    <xf numFmtId="0" fontId="79" fillId="10" borderId="8" xfId="0" applyFont="1" applyFill="1" applyBorder="1" applyAlignment="1" applyProtection="1">
      <alignment horizontal="center" vertical="center"/>
    </xf>
    <xf numFmtId="0" fontId="79" fillId="10" borderId="4" xfId="0" applyFont="1" applyFill="1" applyBorder="1" applyAlignment="1" applyProtection="1">
      <alignment horizontal="center" vertical="center"/>
    </xf>
    <xf numFmtId="0" fontId="79" fillId="10" borderId="11" xfId="0" applyFont="1" applyFill="1" applyBorder="1" applyAlignment="1" applyProtection="1">
      <alignment horizontal="center" vertical="center"/>
    </xf>
    <xf numFmtId="0" fontId="79" fillId="27" borderId="5" xfId="8" applyFont="1" applyFill="1" applyBorder="1" applyAlignment="1" applyProtection="1">
      <alignment horizontal="center" vertical="center"/>
    </xf>
    <xf numFmtId="0" fontId="79" fillId="27" borderId="6" xfId="8" applyFont="1" applyFill="1" applyBorder="1" applyAlignment="1" applyProtection="1">
      <alignment horizontal="center" vertical="center"/>
    </xf>
    <xf numFmtId="0" fontId="79" fillId="27" borderId="2" xfId="8" applyFont="1" applyFill="1" applyBorder="1" applyAlignment="1" applyProtection="1">
      <alignment horizontal="center" vertical="center"/>
    </xf>
    <xf numFmtId="0" fontId="77" fillId="16" borderId="1" xfId="0" applyFont="1" applyFill="1" applyBorder="1" applyAlignment="1" applyProtection="1">
      <alignment horizontal="center" vertical="center"/>
    </xf>
    <xf numFmtId="2" fontId="77" fillId="16" borderId="1" xfId="0" applyNumberFormat="1" applyFont="1" applyFill="1" applyBorder="1" applyAlignment="1" applyProtection="1">
      <alignment horizontal="center" vertical="center" wrapText="1"/>
    </xf>
    <xf numFmtId="0" fontId="77" fillId="16" borderId="5" xfId="0" applyFont="1" applyFill="1" applyBorder="1" applyAlignment="1" applyProtection="1">
      <alignment horizontal="center" vertical="center" wrapText="1"/>
    </xf>
    <xf numFmtId="2" fontId="105" fillId="42" borderId="1" xfId="0" applyNumberFormat="1" applyFont="1" applyFill="1" applyBorder="1" applyAlignment="1" applyProtection="1">
      <alignment horizontal="center" vertical="center" wrapText="1"/>
    </xf>
    <xf numFmtId="0" fontId="84" fillId="27" borderId="1" xfId="4" applyFont="1" applyFill="1" applyBorder="1" applyAlignment="1" applyProtection="1">
      <alignment horizontal="left" vertical="center" wrapText="1"/>
    </xf>
    <xf numFmtId="0" fontId="84" fillId="4" borderId="1" xfId="4" applyFont="1" applyFill="1" applyBorder="1" applyAlignment="1" applyProtection="1">
      <alignment horizontal="left" vertical="center" wrapText="1"/>
    </xf>
    <xf numFmtId="0" fontId="84" fillId="4" borderId="6" xfId="4" applyFont="1" applyFill="1" applyBorder="1" applyAlignment="1" applyProtection="1">
      <alignment horizontal="left" vertical="center" wrapText="1"/>
    </xf>
    <xf numFmtId="0" fontId="84" fillId="4" borderId="2" xfId="4" applyFont="1" applyFill="1" applyBorder="1" applyAlignment="1" applyProtection="1">
      <alignment horizontal="left" vertical="center" wrapText="1"/>
    </xf>
    <xf numFmtId="0" fontId="79" fillId="10" borderId="8" xfId="0" applyFont="1" applyFill="1" applyBorder="1" applyAlignment="1" applyProtection="1">
      <alignment horizontal="center" vertical="center" wrapText="1"/>
    </xf>
    <xf numFmtId="0" fontId="79" fillId="10" borderId="4" xfId="0" applyFont="1" applyFill="1" applyBorder="1" applyAlignment="1" applyProtection="1">
      <alignment horizontal="center" vertical="center" wrapText="1"/>
    </xf>
    <xf numFmtId="0" fontId="79" fillId="10" borderId="11" xfId="0" applyFont="1" applyFill="1" applyBorder="1" applyAlignment="1" applyProtection="1">
      <alignment horizontal="center" vertical="center" wrapText="1"/>
    </xf>
    <xf numFmtId="0" fontId="77" fillId="16" borderId="6" xfId="0" applyFont="1" applyFill="1" applyBorder="1" applyAlignment="1" applyProtection="1">
      <alignment horizontal="center" vertical="center" wrapText="1"/>
    </xf>
    <xf numFmtId="0" fontId="77" fillId="16" borderId="2" xfId="0" applyFont="1" applyFill="1" applyBorder="1" applyAlignment="1" applyProtection="1">
      <alignment horizontal="center" vertical="center" wrapText="1"/>
    </xf>
    <xf numFmtId="0" fontId="77" fillId="16" borderId="5" xfId="38" applyFont="1" applyFill="1" applyBorder="1" applyAlignment="1" applyProtection="1">
      <alignment horizontal="center" vertical="center" wrapText="1"/>
    </xf>
    <xf numFmtId="0" fontId="77" fillId="16" borderId="2" xfId="38" applyFont="1" applyFill="1" applyBorder="1" applyAlignment="1" applyProtection="1">
      <alignment horizontal="center" vertical="center" wrapText="1"/>
    </xf>
    <xf numFmtId="0" fontId="77" fillId="15" borderId="8" xfId="48" applyFont="1" applyFill="1" applyBorder="1" applyAlignment="1" applyProtection="1">
      <alignment horizontal="left" vertical="center"/>
    </xf>
    <xf numFmtId="0" fontId="77" fillId="15" borderId="4" xfId="48" applyFont="1" applyFill="1" applyBorder="1" applyAlignment="1" applyProtection="1">
      <alignment horizontal="left" vertical="center"/>
    </xf>
    <xf numFmtId="0" fontId="84" fillId="28" borderId="5" xfId="0" applyFont="1" applyFill="1" applyBorder="1" applyAlignment="1" applyProtection="1">
      <alignment horizontal="center" vertical="center" wrapText="1"/>
    </xf>
    <xf numFmtId="0" fontId="84" fillId="28" borderId="6" xfId="0" applyFont="1" applyFill="1" applyBorder="1" applyAlignment="1" applyProtection="1">
      <alignment horizontal="center" vertical="center" wrapText="1"/>
    </xf>
    <xf numFmtId="0" fontId="84" fillId="28" borderId="2" xfId="0" applyFont="1" applyFill="1" applyBorder="1" applyAlignment="1" applyProtection="1">
      <alignment horizontal="center" vertical="center" wrapText="1"/>
    </xf>
    <xf numFmtId="0" fontId="77" fillId="16" borderId="9" xfId="38" applyFont="1" applyFill="1" applyBorder="1" applyAlignment="1" applyProtection="1">
      <alignment horizontal="center" vertical="center" wrapText="1"/>
    </xf>
    <xf numFmtId="0" fontId="77" fillId="16" borderId="10" xfId="38" applyFont="1" applyFill="1" applyBorder="1" applyAlignment="1" applyProtection="1">
      <alignment horizontal="center" vertical="center" wrapText="1"/>
    </xf>
    <xf numFmtId="0" fontId="77" fillId="15" borderId="1" xfId="8" applyFont="1" applyFill="1" applyBorder="1" applyAlignment="1" applyProtection="1">
      <alignment horizontal="left" vertical="center"/>
    </xf>
    <xf numFmtId="0" fontId="77" fillId="15" borderId="5" xfId="87" applyFont="1" applyFill="1" applyBorder="1" applyAlignment="1" applyProtection="1">
      <alignment horizontal="left" vertical="center" wrapText="1"/>
    </xf>
    <xf numFmtId="0" fontId="77" fillId="15" borderId="6" xfId="87" applyFont="1" applyFill="1" applyBorder="1" applyAlignment="1" applyProtection="1">
      <alignment horizontal="left" vertical="center" wrapText="1"/>
    </xf>
    <xf numFmtId="0" fontId="77" fillId="15" borderId="2" xfId="87" applyFont="1" applyFill="1" applyBorder="1" applyAlignment="1" applyProtection="1">
      <alignment horizontal="left" vertical="center" wrapText="1"/>
    </xf>
    <xf numFmtId="0" fontId="79" fillId="27" borderId="1" xfId="62" applyFont="1" applyFill="1" applyBorder="1" applyAlignment="1" applyProtection="1">
      <alignment horizontal="left" vertical="center"/>
    </xf>
    <xf numFmtId="0" fontId="77" fillId="15" borderId="6" xfId="8" applyFont="1" applyFill="1" applyBorder="1" applyAlignment="1" applyProtection="1">
      <alignment horizontal="left" vertical="center" wrapText="1"/>
    </xf>
    <xf numFmtId="0" fontId="77" fillId="15" borderId="2" xfId="8" applyFont="1" applyFill="1" applyBorder="1" applyAlignment="1" applyProtection="1">
      <alignment horizontal="left" vertical="center" wrapText="1"/>
    </xf>
    <xf numFmtId="0" fontId="77" fillId="16" borderId="8" xfId="38" applyFont="1" applyFill="1" applyBorder="1" applyAlignment="1" applyProtection="1">
      <alignment horizontal="center" vertical="center" wrapText="1"/>
    </xf>
    <xf numFmtId="0" fontId="77" fillId="16" borderId="11" xfId="38" applyFont="1" applyFill="1" applyBorder="1" applyAlignment="1" applyProtection="1">
      <alignment horizontal="center" vertical="center" wrapText="1"/>
    </xf>
    <xf numFmtId="43" fontId="79" fillId="0" borderId="12" xfId="1" applyFont="1" applyBorder="1" applyAlignment="1" applyProtection="1">
      <alignment horizontal="center" vertical="top" wrapText="1"/>
      <protection locked="0"/>
    </xf>
    <xf numFmtId="43" fontId="79" fillId="0" borderId="13" xfId="1" applyFont="1" applyBorder="1" applyAlignment="1" applyProtection="1">
      <alignment horizontal="center" vertical="top" wrapText="1"/>
      <protection locked="0"/>
    </xf>
    <xf numFmtId="43" fontId="79" fillId="0" borderId="3" xfId="1" applyFont="1" applyBorder="1" applyAlignment="1" applyProtection="1">
      <alignment horizontal="center" vertical="top" wrapText="1"/>
      <protection locked="0"/>
    </xf>
    <xf numFmtId="0" fontId="50" fillId="0" borderId="12" xfId="8" applyFont="1" applyBorder="1" applyAlignment="1" applyProtection="1">
      <alignment horizontal="center" vertical="center" wrapText="1"/>
      <protection locked="0"/>
    </xf>
    <xf numFmtId="0" fontId="50" fillId="0" borderId="13" xfId="8" applyFont="1" applyBorder="1" applyAlignment="1" applyProtection="1">
      <alignment horizontal="center" vertical="center" wrapText="1"/>
      <protection locked="0"/>
    </xf>
    <xf numFmtId="0" fontId="50" fillId="0" borderId="3" xfId="8" applyFont="1" applyBorder="1" applyAlignment="1" applyProtection="1">
      <alignment horizontal="center" vertical="center" wrapText="1"/>
      <protection locked="0"/>
    </xf>
    <xf numFmtId="0" fontId="57" fillId="0" borderId="12" xfId="8" applyFont="1" applyBorder="1" applyAlignment="1" applyProtection="1">
      <alignment horizontal="center" vertical="center" wrapText="1"/>
      <protection locked="0"/>
    </xf>
    <xf numFmtId="0" fontId="57" fillId="0" borderId="13" xfId="8" applyFont="1" applyBorder="1" applyAlignment="1" applyProtection="1">
      <alignment horizontal="center" vertical="center" wrapText="1"/>
      <protection locked="0"/>
    </xf>
    <xf numFmtId="0" fontId="57" fillId="0" borderId="3" xfId="8" applyFont="1" applyBorder="1" applyAlignment="1" applyProtection="1">
      <alignment horizontal="center" vertical="center" wrapText="1"/>
      <protection locked="0"/>
    </xf>
    <xf numFmtId="43" fontId="57" fillId="0" borderId="12" xfId="1" applyFont="1" applyBorder="1" applyAlignment="1" applyProtection="1">
      <alignment horizontal="center" vertical="center" wrapText="1"/>
      <protection locked="0"/>
    </xf>
    <xf numFmtId="43" fontId="57" fillId="0" borderId="13" xfId="1" applyFont="1" applyBorder="1" applyAlignment="1" applyProtection="1">
      <alignment horizontal="center" vertical="center" wrapText="1"/>
      <protection locked="0"/>
    </xf>
    <xf numFmtId="43" fontId="57" fillId="0" borderId="3" xfId="1" applyFont="1" applyBorder="1" applyAlignment="1" applyProtection="1">
      <alignment horizontal="center" vertical="center" wrapText="1"/>
      <protection locked="0"/>
    </xf>
    <xf numFmtId="0" fontId="57" fillId="0" borderId="12" xfId="9" applyFont="1" applyBorder="1" applyAlignment="1" applyProtection="1">
      <alignment horizontal="center" vertical="center" wrapText="1"/>
      <protection locked="0"/>
    </xf>
    <xf numFmtId="0" fontId="57" fillId="0" borderId="13" xfId="9" applyFont="1" applyBorder="1" applyAlignment="1" applyProtection="1">
      <alignment horizontal="center" vertical="center" wrapText="1"/>
      <protection locked="0"/>
    </xf>
    <xf numFmtId="0" fontId="57" fillId="0" borderId="3" xfId="9" applyFont="1" applyBorder="1" applyAlignment="1" applyProtection="1">
      <alignment horizontal="center" vertical="center" wrapText="1"/>
      <protection locked="0"/>
    </xf>
    <xf numFmtId="0" fontId="50" fillId="0" borderId="12" xfId="9" applyFont="1" applyBorder="1" applyAlignment="1" applyProtection="1">
      <alignment horizontal="center" vertical="center" wrapText="1"/>
      <protection locked="0"/>
    </xf>
    <xf numFmtId="0" fontId="50" fillId="0" borderId="13" xfId="9" applyFont="1" applyBorder="1" applyAlignment="1" applyProtection="1">
      <alignment horizontal="center" vertical="center" wrapText="1"/>
      <protection locked="0"/>
    </xf>
    <xf numFmtId="0" fontId="50" fillId="0" borderId="3" xfId="9" applyFont="1" applyBorder="1" applyAlignment="1" applyProtection="1">
      <alignment horizontal="center" vertical="center" wrapText="1"/>
      <protection locked="0"/>
    </xf>
    <xf numFmtId="0" fontId="50" fillId="0" borderId="12" xfId="9" applyFont="1" applyFill="1" applyBorder="1" applyAlignment="1" applyProtection="1">
      <alignment horizontal="center" vertical="center" wrapText="1"/>
      <protection locked="0"/>
    </xf>
    <xf numFmtId="0" fontId="50" fillId="0" borderId="13" xfId="9" applyFont="1" applyFill="1" applyBorder="1" applyAlignment="1" applyProtection="1">
      <alignment horizontal="center" vertical="center" wrapText="1"/>
      <protection locked="0"/>
    </xf>
    <xf numFmtId="0" fontId="50" fillId="0" borderId="3" xfId="9" applyFont="1" applyFill="1" applyBorder="1" applyAlignment="1" applyProtection="1">
      <alignment horizontal="center" vertical="center" wrapText="1"/>
      <protection locked="0"/>
    </xf>
    <xf numFmtId="0" fontId="82" fillId="0" borderId="12" xfId="9" applyFont="1" applyFill="1" applyBorder="1" applyAlignment="1" applyProtection="1">
      <alignment horizontal="center" vertical="center" wrapText="1"/>
      <protection locked="0"/>
    </xf>
    <xf numFmtId="0" fontId="82" fillId="0" borderId="3" xfId="9" applyFont="1" applyFill="1" applyBorder="1" applyAlignment="1" applyProtection="1">
      <alignment horizontal="center" vertical="center" wrapText="1"/>
      <protection locked="0"/>
    </xf>
    <xf numFmtId="43" fontId="57" fillId="0" borderId="12" xfId="1" applyFont="1" applyBorder="1" applyAlignment="1" applyProtection="1">
      <alignment horizontal="center" vertical="top" wrapText="1"/>
      <protection locked="0"/>
    </xf>
    <xf numFmtId="43" fontId="57" fillId="0" borderId="13" xfId="1" applyFont="1" applyBorder="1" applyAlignment="1" applyProtection="1">
      <alignment horizontal="center" vertical="top" wrapText="1"/>
      <protection locked="0"/>
    </xf>
    <xf numFmtId="43" fontId="57" fillId="0" borderId="3" xfId="1" applyFont="1" applyBorder="1" applyAlignment="1" applyProtection="1">
      <alignment horizontal="center" vertical="top" wrapText="1"/>
      <protection locked="0"/>
    </xf>
    <xf numFmtId="2" fontId="57" fillId="0" borderId="12" xfId="9" applyNumberFormat="1" applyFont="1" applyBorder="1" applyAlignment="1" applyProtection="1">
      <alignment horizontal="center" vertical="center" wrapText="1"/>
      <protection locked="0"/>
    </xf>
    <xf numFmtId="2" fontId="57" fillId="0" borderId="13" xfId="9" applyNumberFormat="1" applyFont="1" applyBorder="1" applyAlignment="1" applyProtection="1">
      <alignment horizontal="center" vertical="center" wrapText="1"/>
      <protection locked="0"/>
    </xf>
    <xf numFmtId="2" fontId="57" fillId="0" borderId="3" xfId="9" applyNumberFormat="1" applyFont="1" applyBorder="1" applyAlignment="1" applyProtection="1">
      <alignment horizontal="center" vertical="center" wrapText="1"/>
      <protection locked="0"/>
    </xf>
    <xf numFmtId="0" fontId="57" fillId="0" borderId="3" xfId="9" applyFont="1" applyFill="1" applyBorder="1" applyAlignment="1" applyProtection="1">
      <alignment horizontal="left" vertical="top" wrapText="1"/>
      <protection locked="0"/>
    </xf>
    <xf numFmtId="43" fontId="79" fillId="0" borderId="12" xfId="1" applyFont="1" applyFill="1" applyBorder="1" applyAlignment="1" applyProtection="1">
      <alignment horizontal="center" vertical="center" wrapText="1"/>
      <protection locked="0"/>
    </xf>
    <xf numFmtId="43" fontId="79" fillId="0" borderId="13" xfId="1" applyFont="1" applyFill="1" applyBorder="1" applyAlignment="1" applyProtection="1">
      <alignment horizontal="center" vertical="center" wrapText="1"/>
      <protection locked="0"/>
    </xf>
    <xf numFmtId="43" fontId="79" fillId="0" borderId="3" xfId="1" applyFont="1" applyFill="1" applyBorder="1" applyAlignment="1" applyProtection="1">
      <alignment horizontal="center" vertical="center" wrapText="1"/>
      <protection locked="0"/>
    </xf>
    <xf numFmtId="43" fontId="82" fillId="0" borderId="12" xfId="1" applyFont="1" applyFill="1" applyBorder="1" applyAlignment="1" applyProtection="1">
      <alignment horizontal="center" vertical="center" wrapText="1"/>
      <protection locked="0"/>
    </xf>
    <xf numFmtId="43" fontId="82" fillId="0" borderId="3" xfId="1" applyFont="1" applyFill="1" applyBorder="1" applyAlignment="1" applyProtection="1">
      <alignment horizontal="center" vertical="center" wrapText="1"/>
      <protection locked="0"/>
    </xf>
    <xf numFmtId="0" fontId="84" fillId="27" borderId="5" xfId="8" applyFont="1" applyFill="1" applyBorder="1" applyAlignment="1" applyProtection="1">
      <alignment horizontal="left" vertical="center" wrapText="1"/>
    </xf>
    <xf numFmtId="0" fontId="84" fillId="27" borderId="6" xfId="8" applyFont="1" applyFill="1" applyBorder="1" applyAlignment="1" applyProtection="1">
      <alignment horizontal="left" vertical="center" wrapText="1"/>
    </xf>
    <xf numFmtId="0" fontId="84" fillId="27" borderId="2" xfId="8" applyFont="1" applyFill="1" applyBorder="1" applyAlignment="1" applyProtection="1">
      <alignment horizontal="left" vertical="center" wrapText="1"/>
    </xf>
    <xf numFmtId="0" fontId="79" fillId="27" borderId="5" xfId="8" applyFont="1" applyFill="1" applyBorder="1" applyAlignment="1" applyProtection="1">
      <alignment horizontal="center" vertical="center" wrapText="1"/>
    </xf>
    <xf numFmtId="0" fontId="79" fillId="27" borderId="6" xfId="8" applyFont="1" applyFill="1" applyBorder="1" applyAlignment="1" applyProtection="1">
      <alignment horizontal="center" vertical="center" wrapText="1"/>
    </xf>
    <xf numFmtId="0" fontId="79" fillId="27" borderId="2" xfId="8" applyFont="1" applyFill="1" applyBorder="1" applyAlignment="1" applyProtection="1">
      <alignment horizontal="center" vertical="center" wrapText="1"/>
    </xf>
    <xf numFmtId="0" fontId="83" fillId="8" borderId="12" xfId="3" applyFont="1" applyFill="1" applyBorder="1" applyAlignment="1" applyProtection="1">
      <alignment horizontal="center" vertical="center" wrapText="1"/>
    </xf>
    <xf numFmtId="0" fontId="83" fillId="8" borderId="13" xfId="3" applyFont="1" applyFill="1" applyBorder="1" applyAlignment="1" applyProtection="1">
      <alignment horizontal="center" vertical="center" wrapText="1"/>
    </xf>
    <xf numFmtId="0" fontId="83" fillId="8" borderId="3" xfId="3" applyFont="1" applyFill="1" applyBorder="1" applyAlignment="1" applyProtection="1">
      <alignment horizontal="center" vertical="center" wrapText="1"/>
    </xf>
    <xf numFmtId="0" fontId="77" fillId="15" borderId="5" xfId="62" applyFont="1" applyFill="1" applyBorder="1" applyAlignment="1" applyProtection="1">
      <alignment horizontal="left" vertical="center" wrapText="1"/>
    </xf>
    <xf numFmtId="0" fontId="77" fillId="15" borderId="6" xfId="62" applyFont="1" applyFill="1" applyBorder="1" applyAlignment="1" applyProtection="1">
      <alignment horizontal="left" vertical="center" wrapText="1"/>
    </xf>
    <xf numFmtId="0" fontId="77" fillId="15" borderId="2" xfId="62" applyFont="1" applyFill="1" applyBorder="1" applyAlignment="1" applyProtection="1">
      <alignment horizontal="left" vertical="center" wrapText="1"/>
    </xf>
    <xf numFmtId="0" fontId="79" fillId="27" borderId="1" xfId="11" applyFont="1" applyFill="1" applyBorder="1" applyAlignment="1" applyProtection="1">
      <alignment horizontal="left" vertical="center" wrapText="1"/>
    </xf>
    <xf numFmtId="0" fontId="79" fillId="27" borderId="1" xfId="8" applyFont="1" applyFill="1" applyBorder="1" applyAlignment="1" applyProtection="1">
      <alignment horizontal="center" vertical="center" wrapText="1"/>
    </xf>
    <xf numFmtId="0" fontId="83" fillId="8" borderId="12" xfId="3" applyFont="1" applyFill="1" applyBorder="1" applyAlignment="1" applyProtection="1">
      <alignment vertical="center" wrapText="1"/>
    </xf>
    <xf numFmtId="0" fontId="83" fillId="8" borderId="13" xfId="3" applyFont="1" applyFill="1" applyBorder="1" applyAlignment="1" applyProtection="1">
      <alignment vertical="center" wrapText="1"/>
    </xf>
    <xf numFmtId="0" fontId="83" fillId="8" borderId="3" xfId="3" applyFont="1" applyFill="1" applyBorder="1" applyAlignment="1" applyProtection="1">
      <alignment vertical="center" wrapText="1"/>
    </xf>
    <xf numFmtId="0" fontId="77" fillId="15" borderId="5" xfId="4" applyFont="1" applyFill="1" applyBorder="1" applyAlignment="1" applyProtection="1">
      <alignment vertical="center" wrapText="1"/>
    </xf>
    <xf numFmtId="0" fontId="77" fillId="15" borderId="6" xfId="4" applyFont="1" applyFill="1" applyBorder="1" applyAlignment="1" applyProtection="1">
      <alignment vertical="center" wrapText="1"/>
    </xf>
    <xf numFmtId="0" fontId="77" fillId="15" borderId="2" xfId="4" applyFont="1" applyFill="1" applyBorder="1" applyAlignment="1" applyProtection="1">
      <alignment vertical="center" wrapText="1"/>
    </xf>
    <xf numFmtId="0" fontId="84" fillId="29" borderId="1" xfId="0" applyFont="1" applyFill="1" applyBorder="1" applyAlignment="1" applyProtection="1">
      <alignment horizontal="center" vertical="center" wrapText="1"/>
    </xf>
    <xf numFmtId="0" fontId="79" fillId="10" borderId="1" xfId="0" applyFont="1" applyFill="1" applyBorder="1" applyAlignment="1" applyProtection="1">
      <alignment horizontal="center" vertical="center" wrapText="1"/>
    </xf>
    <xf numFmtId="43" fontId="77" fillId="16" borderId="6" xfId="1" applyFont="1" applyFill="1" applyBorder="1" applyAlignment="1" applyProtection="1">
      <alignment horizontal="center" vertical="center" wrapText="1"/>
    </xf>
    <xf numFmtId="43" fontId="77" fillId="16" borderId="2" xfId="1" applyFont="1" applyFill="1" applyBorder="1" applyAlignment="1" applyProtection="1">
      <alignment horizontal="center" vertical="center" wrapText="1"/>
    </xf>
    <xf numFmtId="43" fontId="84" fillId="28" borderId="6" xfId="1" applyFont="1" applyFill="1" applyBorder="1" applyAlignment="1" applyProtection="1">
      <alignment horizontal="center" vertical="center" wrapText="1"/>
    </xf>
    <xf numFmtId="43" fontId="84" fillId="29" borderId="5" xfId="1" applyFont="1" applyFill="1" applyBorder="1" applyAlignment="1" applyProtection="1">
      <alignment horizontal="center" vertical="center" wrapText="1"/>
    </xf>
    <xf numFmtId="43" fontId="84" fillId="29" borderId="6" xfId="1" applyFont="1" applyFill="1" applyBorder="1" applyAlignment="1" applyProtection="1">
      <alignment horizontal="center" vertical="center" wrapText="1"/>
    </xf>
    <xf numFmtId="0" fontId="77" fillId="15" borderId="5" xfId="11" applyFont="1" applyFill="1" applyBorder="1" applyAlignment="1" applyProtection="1">
      <alignment horizontal="left" vertical="center"/>
    </xf>
    <xf numFmtId="0" fontId="77" fillId="15" borderId="6" xfId="11" applyFont="1" applyFill="1" applyBorder="1" applyAlignment="1" applyProtection="1">
      <alignment horizontal="left" vertical="center"/>
    </xf>
    <xf numFmtId="0" fontId="77" fillId="15" borderId="2" xfId="11" applyFont="1" applyFill="1" applyBorder="1" applyAlignment="1" applyProtection="1">
      <alignment horizontal="left" vertical="center"/>
    </xf>
    <xf numFmtId="0" fontId="84" fillId="33" borderId="1" xfId="0" applyFont="1" applyFill="1" applyBorder="1" applyAlignment="1" applyProtection="1">
      <alignment horizontal="center" vertical="center" wrapText="1"/>
    </xf>
    <xf numFmtId="0" fontId="84" fillId="10" borderId="1" xfId="0" applyFont="1" applyFill="1" applyBorder="1" applyAlignment="1" applyProtection="1">
      <alignment horizontal="center" vertical="center" wrapText="1"/>
    </xf>
    <xf numFmtId="0" fontId="84" fillId="27" borderId="1" xfId="0" applyFont="1" applyFill="1" applyBorder="1" applyAlignment="1" applyProtection="1">
      <alignment horizontal="center" vertical="center" wrapText="1"/>
    </xf>
    <xf numFmtId="0" fontId="79" fillId="0" borderId="12" xfId="48" applyFont="1" applyBorder="1" applyAlignment="1" applyProtection="1">
      <alignment horizontal="center" vertical="center" wrapText="1"/>
      <protection locked="0"/>
    </xf>
    <xf numFmtId="0" fontId="79" fillId="0" borderId="13" xfId="48" applyFont="1" applyBorder="1" applyAlignment="1" applyProtection="1">
      <alignment horizontal="center" vertical="center" wrapText="1"/>
      <protection locked="0"/>
    </xf>
    <xf numFmtId="0" fontId="79" fillId="0" borderId="3" xfId="48" applyFont="1" applyBorder="1" applyAlignment="1" applyProtection="1">
      <alignment horizontal="center" vertical="center" wrapText="1"/>
      <protection locked="0"/>
    </xf>
    <xf numFmtId="0" fontId="57" fillId="0" borderId="1" xfId="48" applyFont="1" applyBorder="1" applyAlignment="1" applyProtection="1">
      <alignment horizontal="center" vertical="center" wrapText="1"/>
    </xf>
    <xf numFmtId="0" fontId="57" fillId="0" borderId="12" xfId="48" applyFont="1" applyBorder="1" applyAlignment="1" applyProtection="1">
      <alignment horizontal="center" vertical="center" wrapText="1"/>
      <protection locked="0"/>
    </xf>
    <xf numFmtId="0" fontId="57" fillId="0" borderId="13" xfId="48" applyFont="1" applyBorder="1" applyAlignment="1" applyProtection="1">
      <alignment horizontal="center" vertical="center" wrapText="1"/>
      <protection locked="0"/>
    </xf>
    <xf numFmtId="0" fontId="57" fillId="0" borderId="3" xfId="48" applyFont="1" applyBorder="1" applyAlignment="1" applyProtection="1">
      <alignment horizontal="center" vertical="center" wrapText="1"/>
      <protection locked="0"/>
    </xf>
    <xf numFmtId="2" fontId="57" fillId="0" borderId="12" xfId="48" applyNumberFormat="1" applyFont="1" applyBorder="1" applyAlignment="1" applyProtection="1">
      <alignment horizontal="center" vertical="top"/>
    </xf>
    <xf numFmtId="2" fontId="57" fillId="0" borderId="13" xfId="48" applyNumberFormat="1" applyFont="1" applyBorder="1" applyAlignment="1" applyProtection="1">
      <alignment horizontal="center" vertical="top"/>
    </xf>
    <xf numFmtId="2" fontId="57" fillId="0" borderId="3" xfId="48" applyNumberFormat="1" applyFont="1" applyBorder="1" applyAlignment="1" applyProtection="1">
      <alignment horizontal="center" vertical="top"/>
    </xf>
    <xf numFmtId="2" fontId="57" fillId="0" borderId="12" xfId="0" applyNumberFormat="1" applyFont="1" applyBorder="1" applyAlignment="1" applyProtection="1">
      <alignment horizontal="center" vertical="center" wrapText="1"/>
    </xf>
    <xf numFmtId="2" fontId="57" fillId="0" borderId="13" xfId="0" applyNumberFormat="1" applyFont="1" applyBorder="1" applyAlignment="1" applyProtection="1">
      <alignment horizontal="center" vertical="center" wrapText="1"/>
    </xf>
    <xf numFmtId="2" fontId="57" fillId="0" borderId="3" xfId="0" applyNumberFormat="1" applyFont="1" applyBorder="1" applyAlignment="1" applyProtection="1">
      <alignment horizontal="center" vertical="center" wrapText="1"/>
    </xf>
    <xf numFmtId="2" fontId="57" fillId="0" borderId="12" xfId="48" applyNumberFormat="1" applyFont="1" applyBorder="1" applyAlignment="1" applyProtection="1">
      <alignment horizontal="center" vertical="center"/>
    </xf>
    <xf numFmtId="2" fontId="57" fillId="0" borderId="13" xfId="48" applyNumberFormat="1" applyFont="1" applyBorder="1" applyAlignment="1" applyProtection="1">
      <alignment horizontal="center" vertical="center"/>
    </xf>
    <xf numFmtId="2" fontId="57" fillId="0" borderId="3" xfId="48" applyNumberFormat="1" applyFont="1" applyBorder="1" applyAlignment="1" applyProtection="1">
      <alignment horizontal="center" vertical="center"/>
    </xf>
    <xf numFmtId="0" fontId="77" fillId="15" borderId="5" xfId="48" applyFont="1" applyFill="1" applyBorder="1" applyAlignment="1" applyProtection="1">
      <alignment horizontal="left" vertical="center"/>
    </xf>
    <xf numFmtId="0" fontId="77" fillId="15" borderId="6" xfId="48" applyFont="1" applyFill="1" applyBorder="1" applyAlignment="1" applyProtection="1">
      <alignment horizontal="left" vertical="center"/>
    </xf>
    <xf numFmtId="0" fontId="77" fillId="15" borderId="2" xfId="48" applyFont="1" applyFill="1" applyBorder="1" applyAlignment="1" applyProtection="1">
      <alignment horizontal="left" vertical="center"/>
    </xf>
    <xf numFmtId="0" fontId="50" fillId="0" borderId="12" xfId="48" applyFont="1" applyBorder="1" applyAlignment="1" applyProtection="1">
      <alignment horizontal="center" vertical="center" wrapText="1"/>
      <protection locked="0"/>
    </xf>
    <xf numFmtId="0" fontId="50" fillId="0" borderId="13" xfId="48" applyFont="1" applyBorder="1" applyAlignment="1" applyProtection="1">
      <alignment horizontal="center" vertical="center" wrapText="1"/>
      <protection locked="0"/>
    </xf>
    <xf numFmtId="0" fontId="50" fillId="0" borderId="3" xfId="48" applyFont="1" applyBorder="1" applyAlignment="1" applyProtection="1">
      <alignment horizontal="center" vertical="center" wrapText="1"/>
      <protection locked="0"/>
    </xf>
    <xf numFmtId="0" fontId="44" fillId="0" borderId="12" xfId="8" applyFont="1" applyFill="1" applyBorder="1" applyAlignment="1" applyProtection="1">
      <alignment horizontal="center" vertical="center" wrapText="1"/>
      <protection locked="0"/>
    </xf>
    <xf numFmtId="0" fontId="44" fillId="0" borderId="3" xfId="8" applyFont="1" applyFill="1" applyBorder="1" applyAlignment="1" applyProtection="1">
      <alignment horizontal="center" vertical="center" wrapText="1"/>
      <protection locked="0"/>
    </xf>
    <xf numFmtId="0" fontId="79" fillId="0" borderId="3" xfId="48" applyFont="1" applyFill="1" applyBorder="1" applyAlignment="1" applyProtection="1">
      <alignment horizontal="center" vertical="center" wrapText="1"/>
      <protection locked="0"/>
    </xf>
    <xf numFmtId="2" fontId="57" fillId="0" borderId="12" xfId="48" applyNumberFormat="1" applyFont="1" applyFill="1" applyBorder="1" applyAlignment="1" applyProtection="1">
      <alignment horizontal="center" vertical="top" wrapText="1"/>
      <protection locked="0"/>
    </xf>
    <xf numFmtId="2" fontId="57" fillId="0" borderId="13" xfId="48" applyNumberFormat="1" applyFont="1" applyFill="1" applyBorder="1" applyAlignment="1" applyProtection="1">
      <alignment horizontal="center" vertical="top" wrapText="1"/>
      <protection locked="0"/>
    </xf>
    <xf numFmtId="2" fontId="57" fillId="0" borderId="3" xfId="48" applyNumberFormat="1" applyFont="1" applyFill="1" applyBorder="1" applyAlignment="1" applyProtection="1">
      <alignment horizontal="center" vertical="top" wrapText="1"/>
      <protection locked="0"/>
    </xf>
    <xf numFmtId="2" fontId="79" fillId="10" borderId="12" xfId="48" applyNumberFormat="1" applyFont="1" applyFill="1" applyBorder="1" applyAlignment="1" applyProtection="1">
      <alignment horizontal="center" vertical="center" wrapText="1"/>
      <protection locked="0"/>
    </xf>
    <xf numFmtId="2" fontId="79" fillId="10" borderId="13" xfId="48" applyNumberFormat="1" applyFont="1" applyFill="1" applyBorder="1" applyAlignment="1" applyProtection="1">
      <alignment horizontal="center" vertical="center" wrapText="1"/>
      <protection locked="0"/>
    </xf>
    <xf numFmtId="2" fontId="79" fillId="10" borderId="3" xfId="48" applyNumberFormat="1" applyFont="1" applyFill="1" applyBorder="1" applyAlignment="1" applyProtection="1">
      <alignment horizontal="center" vertical="center" wrapText="1"/>
      <protection locked="0"/>
    </xf>
    <xf numFmtId="2" fontId="57" fillId="0" borderId="3" xfId="0" applyNumberFormat="1" applyFont="1" applyFill="1" applyBorder="1" applyAlignment="1" applyProtection="1">
      <alignment horizontal="center" vertical="center" wrapText="1"/>
    </xf>
    <xf numFmtId="2" fontId="57" fillId="0" borderId="3" xfId="48" applyNumberFormat="1" applyFont="1" applyFill="1" applyBorder="1" applyAlignment="1" applyProtection="1">
      <alignment horizontal="center" vertical="center"/>
    </xf>
    <xf numFmtId="2" fontId="79" fillId="0" borderId="12" xfId="48" applyNumberFormat="1" applyFont="1" applyFill="1" applyBorder="1" applyAlignment="1" applyProtection="1">
      <alignment horizontal="center" vertical="top" wrapText="1"/>
      <protection locked="0"/>
    </xf>
    <xf numFmtId="2" fontId="79" fillId="0" borderId="13" xfId="48" applyNumberFormat="1" applyFont="1" applyFill="1" applyBorder="1" applyAlignment="1" applyProtection="1">
      <alignment horizontal="center" vertical="top" wrapText="1"/>
      <protection locked="0"/>
    </xf>
    <xf numFmtId="2" fontId="79" fillId="0" borderId="3" xfId="48" applyNumberFormat="1" applyFont="1" applyFill="1" applyBorder="1" applyAlignment="1" applyProtection="1">
      <alignment horizontal="center" vertical="top" wrapText="1"/>
      <protection locked="0"/>
    </xf>
    <xf numFmtId="2" fontId="9" fillId="0" borderId="12" xfId="48" applyNumberFormat="1" applyFont="1" applyFill="1" applyBorder="1" applyAlignment="1" applyProtection="1">
      <alignment horizontal="center" vertical="top" wrapText="1"/>
      <protection locked="0"/>
    </xf>
    <xf numFmtId="2" fontId="9" fillId="0" borderId="13" xfId="48" applyNumberFormat="1" applyFont="1" applyFill="1" applyBorder="1" applyAlignment="1" applyProtection="1">
      <alignment horizontal="center" vertical="top" wrapText="1"/>
      <protection locked="0"/>
    </xf>
    <xf numFmtId="2" fontId="9" fillId="0" borderId="3" xfId="48" applyNumberFormat="1" applyFont="1" applyFill="1" applyBorder="1" applyAlignment="1" applyProtection="1">
      <alignment horizontal="center" vertical="top" wrapText="1"/>
      <protection locked="0"/>
    </xf>
    <xf numFmtId="0" fontId="9" fillId="0" borderId="12" xfId="48" applyFont="1" applyFill="1" applyBorder="1" applyAlignment="1" applyProtection="1">
      <alignment horizontal="left" vertical="center" wrapText="1"/>
      <protection locked="0"/>
    </xf>
    <xf numFmtId="0" fontId="9" fillId="0" borderId="13" xfId="48" applyFont="1" applyFill="1" applyBorder="1" applyAlignment="1" applyProtection="1">
      <alignment horizontal="left" vertical="center" wrapText="1"/>
      <protection locked="0"/>
    </xf>
    <xf numFmtId="0" fontId="9" fillId="0" borderId="3" xfId="48" applyFont="1" applyFill="1" applyBorder="1" applyAlignment="1" applyProtection="1">
      <alignment horizontal="left" vertical="center" wrapText="1"/>
      <protection locked="0"/>
    </xf>
    <xf numFmtId="0" fontId="57" fillId="0" borderId="12" xfId="48" applyFont="1" applyFill="1" applyBorder="1" applyAlignment="1" applyProtection="1">
      <alignment horizontal="center" vertical="center" wrapText="1"/>
    </xf>
    <xf numFmtId="0" fontId="57" fillId="0" borderId="13" xfId="48" applyFont="1" applyFill="1" applyBorder="1" applyAlignment="1" applyProtection="1">
      <alignment horizontal="center" vertical="center" wrapText="1"/>
    </xf>
    <xf numFmtId="0" fontId="57" fillId="0" borderId="3" xfId="48" applyFont="1" applyFill="1" applyBorder="1" applyAlignment="1" applyProtection="1">
      <alignment horizontal="center" vertical="center" wrapText="1"/>
    </xf>
    <xf numFmtId="2" fontId="57" fillId="10" borderId="12" xfId="48" applyNumberFormat="1" applyFont="1" applyFill="1" applyBorder="1" applyAlignment="1" applyProtection="1">
      <alignment horizontal="center" vertical="center" wrapText="1"/>
      <protection locked="0"/>
    </xf>
    <xf numFmtId="2" fontId="57" fillId="10" borderId="13" xfId="48" applyNumberFormat="1" applyFont="1" applyFill="1" applyBorder="1" applyAlignment="1" applyProtection="1">
      <alignment horizontal="center" vertical="center" wrapText="1"/>
      <protection locked="0"/>
    </xf>
    <xf numFmtId="2" fontId="57" fillId="10" borderId="3" xfId="48" applyNumberFormat="1" applyFont="1" applyFill="1" applyBorder="1" applyAlignment="1" applyProtection="1">
      <alignment horizontal="center" vertical="center" wrapText="1"/>
      <protection locked="0"/>
    </xf>
    <xf numFmtId="43" fontId="77" fillId="16" borderId="4" xfId="1" applyFont="1" applyFill="1" applyBorder="1" applyAlignment="1" applyProtection="1">
      <alignment vertical="center" wrapText="1"/>
    </xf>
    <xf numFmtId="0" fontId="77" fillId="9" borderId="12" xfId="38" applyFont="1" applyFill="1" applyBorder="1" applyAlignment="1" applyProtection="1">
      <alignment horizontal="center" vertical="center" wrapText="1"/>
    </xf>
    <xf numFmtId="0" fontId="77" fillId="9" borderId="3" xfId="38" applyFont="1" applyFill="1" applyBorder="1" applyAlignment="1" applyProtection="1">
      <alignment horizontal="center" vertical="center" wrapText="1"/>
    </xf>
    <xf numFmtId="0" fontId="77" fillId="9" borderId="9" xfId="38" applyFont="1" applyFill="1" applyBorder="1" applyAlignment="1" applyProtection="1">
      <alignment horizontal="center" vertical="center" wrapText="1"/>
    </xf>
    <xf numFmtId="0" fontId="77" fillId="9" borderId="14" xfId="38" applyFont="1" applyFill="1" applyBorder="1" applyAlignment="1" applyProtection="1">
      <alignment horizontal="center" vertical="center" wrapText="1"/>
    </xf>
    <xf numFmtId="0" fontId="77" fillId="9" borderId="8" xfId="38" applyFont="1" applyFill="1" applyBorder="1" applyAlignment="1" applyProtection="1">
      <alignment horizontal="center" vertical="center" wrapText="1"/>
    </xf>
    <xf numFmtId="0" fontId="77" fillId="9" borderId="4" xfId="38" applyFont="1" applyFill="1" applyBorder="1" applyAlignment="1" applyProtection="1">
      <alignment horizontal="center" vertical="center" wrapText="1"/>
    </xf>
    <xf numFmtId="0" fontId="77" fillId="16" borderId="1" xfId="0" applyFont="1" applyFill="1" applyBorder="1" applyAlignment="1">
      <alignment horizontal="center" vertical="center" wrapText="1"/>
    </xf>
    <xf numFmtId="0" fontId="77" fillId="16" borderId="1" xfId="38" applyFont="1" applyFill="1" applyBorder="1" applyAlignment="1">
      <alignment horizontal="center" vertical="center" wrapText="1"/>
    </xf>
    <xf numFmtId="0" fontId="77" fillId="15" borderId="1" xfId="48" applyFont="1" applyFill="1" applyBorder="1" applyAlignment="1">
      <alignment horizontal="left" vertical="center"/>
    </xf>
    <xf numFmtId="0" fontId="92" fillId="34" borderId="1" xfId="0" applyFont="1" applyFill="1" applyBorder="1" applyAlignment="1">
      <alignment horizontal="center" vertical="center" wrapText="1"/>
    </xf>
    <xf numFmtId="0" fontId="84" fillId="28" borderId="5" xfId="0" applyFont="1" applyFill="1" applyBorder="1" applyAlignment="1">
      <alignment horizontal="center" vertical="center" wrapText="1"/>
    </xf>
    <xf numFmtId="0" fontId="84" fillId="28" borderId="6" xfId="0" applyFont="1" applyFill="1" applyBorder="1" applyAlignment="1">
      <alignment horizontal="center" vertical="center" wrapText="1"/>
    </xf>
    <xf numFmtId="0" fontId="84" fillId="28" borderId="2" xfId="0" applyFont="1" applyFill="1" applyBorder="1" applyAlignment="1">
      <alignment horizontal="center" vertical="center" wrapText="1"/>
    </xf>
    <xf numFmtId="0" fontId="83" fillId="8" borderId="12" xfId="3" applyFont="1" applyFill="1" applyBorder="1" applyAlignment="1">
      <alignment horizontal="center" vertical="center"/>
    </xf>
    <xf numFmtId="0" fontId="83" fillId="8" borderId="13" xfId="3" applyFont="1" applyFill="1" applyBorder="1" applyAlignment="1">
      <alignment horizontal="center" vertical="center"/>
    </xf>
    <xf numFmtId="0" fontId="83" fillId="8" borderId="3" xfId="3" applyFont="1" applyFill="1" applyBorder="1" applyAlignment="1">
      <alignment horizontal="center" vertical="center"/>
    </xf>
    <xf numFmtId="0" fontId="84" fillId="29" borderId="5" xfId="0" applyFont="1" applyFill="1" applyBorder="1" applyAlignment="1">
      <alignment horizontal="center" vertical="center" wrapText="1"/>
    </xf>
    <xf numFmtId="0" fontId="84" fillId="29" borderId="6" xfId="0" applyFont="1" applyFill="1" applyBorder="1" applyAlignment="1">
      <alignment horizontal="center" vertical="center" wrapText="1"/>
    </xf>
    <xf numFmtId="0" fontId="79" fillId="10" borderId="8" xfId="0" applyFont="1" applyFill="1" applyBorder="1" applyAlignment="1">
      <alignment horizontal="center" vertical="center" wrapText="1"/>
    </xf>
    <xf numFmtId="0" fontId="79" fillId="10" borderId="4" xfId="0" applyFont="1" applyFill="1" applyBorder="1" applyAlignment="1">
      <alignment horizontal="center" vertical="center" wrapText="1"/>
    </xf>
    <xf numFmtId="0" fontId="79" fillId="10" borderId="11" xfId="0" applyFont="1" applyFill="1" applyBorder="1" applyAlignment="1">
      <alignment horizontal="center" vertical="center" wrapText="1"/>
    </xf>
    <xf numFmtId="0" fontId="79" fillId="27" borderId="5" xfId="8" applyFont="1" applyFill="1" applyBorder="1" applyAlignment="1">
      <alignment horizontal="center" vertical="center"/>
    </xf>
    <xf numFmtId="0" fontId="79" fillId="27" borderId="6" xfId="8" applyFont="1" applyFill="1" applyBorder="1" applyAlignment="1">
      <alignment horizontal="center" vertical="center"/>
    </xf>
    <xf numFmtId="0" fontId="79" fillId="27" borderId="2" xfId="8" applyFont="1" applyFill="1" applyBorder="1" applyAlignment="1">
      <alignment horizontal="center" vertical="center"/>
    </xf>
    <xf numFmtId="0" fontId="84" fillId="33" borderId="1" xfId="0" applyFont="1" applyFill="1" applyBorder="1" applyAlignment="1">
      <alignment horizontal="center" vertical="center" wrapText="1"/>
    </xf>
    <xf numFmtId="0" fontId="84" fillId="10" borderId="1" xfId="0" applyFont="1" applyFill="1" applyBorder="1" applyAlignment="1">
      <alignment horizontal="center" vertical="center" wrapText="1"/>
    </xf>
    <xf numFmtId="0" fontId="84" fillId="27" borderId="1" xfId="0" applyFont="1" applyFill="1" applyBorder="1" applyAlignment="1">
      <alignment horizontal="center" vertical="center" wrapText="1"/>
    </xf>
    <xf numFmtId="0" fontId="77" fillId="15" borderId="0" xfId="0" applyFont="1" applyFill="1" applyAlignment="1" applyProtection="1">
      <alignment horizontal="left" vertical="center" wrapText="1"/>
    </xf>
    <xf numFmtId="0" fontId="82" fillId="0" borderId="1" xfId="38" applyFont="1" applyFill="1" applyBorder="1" applyAlignment="1" applyProtection="1">
      <alignment horizontal="left" vertical="center" wrapText="1"/>
    </xf>
    <xf numFmtId="0" fontId="84" fillId="0" borderId="1" xfId="38" applyFont="1" applyFill="1" applyBorder="1" applyAlignment="1" applyProtection="1">
      <alignment horizontal="left" vertical="center" wrapText="1"/>
    </xf>
    <xf numFmtId="0" fontId="82" fillId="0" borderId="12" xfId="38" applyFont="1" applyFill="1" applyBorder="1" applyAlignment="1" applyProtection="1">
      <alignment horizontal="left" vertical="center" wrapText="1"/>
    </xf>
    <xf numFmtId="0" fontId="82" fillId="0" borderId="13" xfId="38" applyFont="1" applyFill="1" applyBorder="1" applyAlignment="1" applyProtection="1">
      <alignment horizontal="left" vertical="center" wrapText="1"/>
    </xf>
    <xf numFmtId="0" fontId="82" fillId="0" borderId="3" xfId="38" applyFont="1" applyFill="1" applyBorder="1" applyAlignment="1" applyProtection="1">
      <alignment horizontal="left" vertical="center" wrapText="1"/>
    </xf>
    <xf numFmtId="0" fontId="77" fillId="24" borderId="5" xfId="0" applyFont="1" applyFill="1" applyBorder="1" applyAlignment="1" applyProtection="1">
      <alignment vertical="center" wrapText="1"/>
    </xf>
    <xf numFmtId="0" fontId="77" fillId="24" borderId="6" xfId="0" applyFont="1" applyFill="1" applyBorder="1" applyAlignment="1" applyProtection="1">
      <alignment vertical="center" wrapText="1"/>
    </xf>
    <xf numFmtId="0" fontId="77" fillId="24" borderId="2" xfId="0" applyFont="1" applyFill="1" applyBorder="1" applyAlignment="1" applyProtection="1">
      <alignment vertical="center" wrapText="1"/>
    </xf>
    <xf numFmtId="0" fontId="77" fillId="16" borderId="3" xfId="38" applyFont="1" applyFill="1" applyBorder="1" applyAlignment="1">
      <alignment horizontal="center" vertical="center" wrapText="1"/>
    </xf>
    <xf numFmtId="0" fontId="77" fillId="24" borderId="5" xfId="0" applyFont="1" applyFill="1" applyBorder="1" applyAlignment="1" applyProtection="1">
      <alignment horizontal="left" vertical="center"/>
      <protection locked="0"/>
    </xf>
    <xf numFmtId="0" fontId="77" fillId="24" borderId="6" xfId="0" applyFont="1" applyFill="1" applyBorder="1" applyAlignment="1" applyProtection="1">
      <alignment horizontal="left" vertical="center"/>
      <protection locked="0"/>
    </xf>
    <xf numFmtId="0" fontId="77" fillId="24" borderId="2" xfId="0" applyFont="1" applyFill="1" applyBorder="1" applyAlignment="1" applyProtection="1">
      <alignment horizontal="left" vertical="center"/>
      <protection locked="0"/>
    </xf>
    <xf numFmtId="0" fontId="77" fillId="16" borderId="3" xfId="0" applyFont="1" applyFill="1" applyBorder="1" applyAlignment="1">
      <alignment horizontal="center" vertical="center" wrapText="1"/>
    </xf>
    <xf numFmtId="0" fontId="77" fillId="24" borderId="0" xfId="0" applyFont="1" applyFill="1" applyAlignment="1" applyProtection="1">
      <alignment horizontal="center" vertical="center"/>
    </xf>
    <xf numFmtId="0" fontId="77" fillId="16" borderId="1" xfId="38" applyFont="1" applyFill="1" applyBorder="1" applyAlignment="1" applyProtection="1">
      <alignment horizontal="left" vertical="center" wrapText="1"/>
    </xf>
    <xf numFmtId="0" fontId="82" fillId="0" borderId="12" xfId="0" applyFont="1" applyBorder="1" applyAlignment="1" applyProtection="1">
      <alignment horizontal="center" vertical="center"/>
    </xf>
    <xf numFmtId="0" fontId="82" fillId="0" borderId="13" xfId="0" applyFont="1" applyBorder="1" applyAlignment="1" applyProtection="1">
      <alignment horizontal="center" vertical="center"/>
    </xf>
    <xf numFmtId="0" fontId="82" fillId="0" borderId="3" xfId="0" applyFont="1" applyBorder="1" applyAlignment="1" applyProtection="1">
      <alignment horizontal="center" vertical="center"/>
    </xf>
    <xf numFmtId="0" fontId="82" fillId="0" borderId="1" xfId="0" applyFont="1" applyBorder="1" applyAlignment="1" applyProtection="1">
      <alignment horizontal="left" vertical="top"/>
    </xf>
    <xf numFmtId="0" fontId="77" fillId="24" borderId="5" xfId="0" applyFont="1" applyFill="1" applyBorder="1" applyAlignment="1" applyProtection="1">
      <alignment horizontal="left" vertical="center"/>
    </xf>
    <xf numFmtId="0" fontId="77" fillId="24" borderId="6" xfId="0" applyFont="1" applyFill="1" applyBorder="1" applyAlignment="1" applyProtection="1">
      <alignment horizontal="left" vertical="center"/>
    </xf>
    <xf numFmtId="0" fontId="77" fillId="24" borderId="2" xfId="0" applyFont="1" applyFill="1" applyBorder="1" applyAlignment="1" applyProtection="1">
      <alignment horizontal="left" vertical="center"/>
    </xf>
    <xf numFmtId="0" fontId="77" fillId="16" borderId="1" xfId="38" applyFont="1" applyFill="1" applyBorder="1" applyAlignment="1" applyProtection="1">
      <alignment horizontal="center" vertical="top" wrapText="1"/>
    </xf>
    <xf numFmtId="0" fontId="77" fillId="24" borderId="5" xfId="0" applyFont="1" applyFill="1" applyBorder="1" applyAlignment="1" applyProtection="1">
      <alignment horizontal="center" vertical="center"/>
    </xf>
    <xf numFmtId="0" fontId="77" fillId="24" borderId="6" xfId="0" applyFont="1" applyFill="1" applyBorder="1" applyAlignment="1" applyProtection="1">
      <alignment horizontal="center" vertical="center"/>
    </xf>
    <xf numFmtId="0" fontId="77" fillId="24" borderId="2" xfId="0" applyFont="1" applyFill="1" applyBorder="1" applyAlignment="1" applyProtection="1">
      <alignment horizontal="center" vertical="center"/>
    </xf>
    <xf numFmtId="0" fontId="82" fillId="0" borderId="1" xfId="0" applyFont="1" applyBorder="1" applyAlignment="1" applyProtection="1">
      <alignment horizontal="center" vertical="center"/>
    </xf>
    <xf numFmtId="0" fontId="82" fillId="0" borderId="1" xfId="0" applyFont="1" applyBorder="1" applyAlignment="1" applyProtection="1">
      <alignment horizontal="center" vertical="center" wrapText="1"/>
    </xf>
    <xf numFmtId="0" fontId="82" fillId="0" borderId="1" xfId="0" applyFont="1" applyBorder="1" applyAlignment="1" applyProtection="1">
      <alignment horizontal="left" vertical="center"/>
    </xf>
    <xf numFmtId="0" fontId="77" fillId="24" borderId="1" xfId="0" applyFont="1" applyFill="1" applyBorder="1" applyAlignment="1" applyProtection="1">
      <alignment horizontal="left" vertical="center"/>
    </xf>
    <xf numFmtId="0" fontId="79" fillId="2" borderId="1" xfId="40" applyFont="1" applyFill="1" applyBorder="1" applyAlignment="1" applyProtection="1">
      <alignment horizontal="left" vertical="center" wrapText="1"/>
    </xf>
    <xf numFmtId="0" fontId="77" fillId="24" borderId="4" xfId="0" applyFont="1" applyFill="1" applyBorder="1" applyAlignment="1" applyProtection="1">
      <alignment horizontal="left" vertical="center"/>
    </xf>
    <xf numFmtId="0" fontId="82" fillId="0" borderId="1" xfId="0" applyFont="1" applyBorder="1" applyAlignment="1" applyProtection="1">
      <alignment horizontal="left" vertical="center" wrapText="1"/>
    </xf>
    <xf numFmtId="0" fontId="82" fillId="0" borderId="1" xfId="8" applyFont="1" applyFill="1" applyBorder="1" applyAlignment="1" applyProtection="1">
      <alignment horizontal="center" vertical="center" wrapText="1"/>
    </xf>
    <xf numFmtId="0" fontId="82" fillId="0" borderId="1" xfId="40" applyFont="1" applyBorder="1" applyAlignment="1" applyProtection="1">
      <alignment horizontal="center" vertical="center" wrapText="1"/>
    </xf>
    <xf numFmtId="0" fontId="77" fillId="24" borderId="4" xfId="0" applyFont="1" applyFill="1" applyBorder="1" applyAlignment="1" applyProtection="1">
      <alignment horizontal="left" vertical="center" wrapText="1"/>
    </xf>
    <xf numFmtId="0" fontId="82" fillId="0" borderId="12" xfId="0" applyFont="1" applyBorder="1" applyAlignment="1" applyProtection="1">
      <alignment horizontal="center" vertical="center" wrapText="1"/>
    </xf>
    <xf numFmtId="0" fontId="82" fillId="0" borderId="13" xfId="0" applyFont="1" applyBorder="1" applyAlignment="1" applyProtection="1">
      <alignment horizontal="center" vertical="center" wrapText="1"/>
    </xf>
    <xf numFmtId="0" fontId="82" fillId="0" borderId="3" xfId="0" applyFont="1" applyBorder="1" applyAlignment="1" applyProtection="1">
      <alignment horizontal="center" vertical="center" wrapText="1"/>
    </xf>
    <xf numFmtId="0" fontId="77" fillId="24" borderId="8" xfId="0" applyFont="1" applyFill="1" applyBorder="1" applyAlignment="1" applyProtection="1">
      <alignment horizontal="left" vertical="center" wrapText="1"/>
    </xf>
    <xf numFmtId="0" fontId="82" fillId="0" borderId="1" xfId="38" applyFont="1" applyBorder="1" applyAlignment="1" applyProtection="1">
      <alignment horizontal="left" vertical="center" wrapText="1"/>
    </xf>
    <xf numFmtId="43" fontId="77" fillId="16" borderId="1" xfId="1" applyFont="1" applyFill="1" applyBorder="1" applyAlignment="1" applyProtection="1">
      <alignment horizontal="center" vertical="center" wrapText="1"/>
    </xf>
    <xf numFmtId="0" fontId="77" fillId="16" borderId="12" xfId="38" applyFont="1" applyFill="1" applyBorder="1" applyAlignment="1" applyProtection="1">
      <alignment horizontal="center" vertical="center" wrapText="1"/>
    </xf>
    <xf numFmtId="0" fontId="87" fillId="24" borderId="1" xfId="0" applyFont="1" applyFill="1" applyBorder="1" applyAlignment="1" applyProtection="1">
      <alignment horizontal="left" vertical="center" wrapText="1"/>
    </xf>
    <xf numFmtId="0" fontId="55" fillId="0" borderId="1" xfId="38" applyFont="1" applyFill="1" applyBorder="1" applyAlignment="1" applyProtection="1">
      <alignment horizontal="center" vertical="center" wrapText="1"/>
    </xf>
    <xf numFmtId="0" fontId="77" fillId="24" borderId="1" xfId="0" applyFont="1" applyFill="1" applyBorder="1" applyAlignment="1" applyProtection="1">
      <alignment horizontal="left" vertical="center" wrapText="1"/>
    </xf>
    <xf numFmtId="0" fontId="82" fillId="0" borderId="12" xfId="0" applyFont="1" applyBorder="1" applyAlignment="1" applyProtection="1">
      <alignment horizontal="left" vertical="center" wrapText="1"/>
    </xf>
    <xf numFmtId="0" fontId="82" fillId="0" borderId="3" xfId="0" applyFont="1" applyBorder="1" applyAlignment="1" applyProtection="1">
      <alignment horizontal="left" vertical="center" wrapText="1"/>
    </xf>
    <xf numFmtId="0" fontId="82" fillId="0" borderId="12" xfId="0" applyFont="1" applyBorder="1" applyAlignment="1" applyProtection="1">
      <alignment horizontal="left" vertical="center"/>
    </xf>
    <xf numFmtId="0" fontId="82" fillId="0" borderId="3" xfId="0" applyFont="1" applyBorder="1" applyAlignment="1" applyProtection="1">
      <alignment horizontal="left" vertical="center"/>
    </xf>
    <xf numFmtId="0" fontId="62" fillId="0" borderId="12" xfId="87" applyFont="1" applyBorder="1" applyAlignment="1" applyProtection="1">
      <alignment horizontal="left" vertical="center" wrapText="1"/>
    </xf>
    <xf numFmtId="0" fontId="62" fillId="0" borderId="3" xfId="87" applyFont="1" applyBorder="1" applyAlignment="1" applyProtection="1">
      <alignment horizontal="left" vertical="center" wrapText="1"/>
    </xf>
    <xf numFmtId="0" fontId="73" fillId="25" borderId="1" xfId="0" applyFont="1" applyFill="1" applyBorder="1" applyAlignment="1">
      <alignment horizontal="left" vertical="center" wrapText="1"/>
    </xf>
    <xf numFmtId="0" fontId="73" fillId="16" borderId="1" xfId="0" applyFont="1" applyFill="1" applyBorder="1" applyAlignment="1">
      <alignment horizontal="center" vertical="center" wrapText="1"/>
    </xf>
    <xf numFmtId="0" fontId="73" fillId="9" borderId="12" xfId="38" applyFont="1" applyFill="1" applyBorder="1" applyAlignment="1">
      <alignment horizontal="center" vertical="center" wrapText="1"/>
    </xf>
    <xf numFmtId="0" fontId="73" fillId="9" borderId="3" xfId="38" applyFont="1" applyFill="1" applyBorder="1" applyAlignment="1">
      <alignment horizontal="center" vertical="center" wrapText="1"/>
    </xf>
    <xf numFmtId="0" fontId="73" fillId="16" borderId="5" xfId="0" applyFont="1" applyFill="1" applyBorder="1" applyAlignment="1">
      <alignment horizontal="center" vertical="center" wrapText="1"/>
    </xf>
    <xf numFmtId="0" fontId="73" fillId="16" borderId="6" xfId="0" applyFont="1" applyFill="1" applyBorder="1" applyAlignment="1">
      <alignment horizontal="center" vertical="center" wrapText="1"/>
    </xf>
    <xf numFmtId="0" fontId="73" fillId="16" borderId="2" xfId="0" applyFont="1" applyFill="1" applyBorder="1" applyAlignment="1">
      <alignment horizontal="center" vertical="center" wrapText="1"/>
    </xf>
    <xf numFmtId="0" fontId="73" fillId="16" borderId="5" xfId="38" applyFont="1" applyFill="1" applyBorder="1" applyAlignment="1">
      <alignment horizontal="center" vertical="center" wrapText="1"/>
    </xf>
    <xf numFmtId="0" fontId="73" fillId="16" borderId="2" xfId="38" applyFont="1" applyFill="1" applyBorder="1" applyAlignment="1">
      <alignment horizontal="center" vertical="center" wrapText="1"/>
    </xf>
  </cellXfs>
  <cellStyles count="310">
    <cellStyle name="Comma" xfId="1" builtinId="3"/>
    <cellStyle name="Comma 2" xfId="2"/>
    <cellStyle name="Comma 3" xfId="103"/>
    <cellStyle name="Comma 3 2" xfId="204"/>
    <cellStyle name="Comma 3 3" xfId="303"/>
    <cellStyle name="Hyperlink" xfId="3" builtinId="8"/>
    <cellStyle name="Hyperlink 2" xfId="105"/>
    <cellStyle name="Normal" xfId="0" builtinId="0"/>
    <cellStyle name="Normal 10" xfId="107"/>
    <cellStyle name="Normal 11" xfId="307"/>
    <cellStyle name="Normal 2" xfId="4"/>
    <cellStyle name="Normal 2 3" xfId="5"/>
    <cellStyle name="Normal 2 5" xfId="6"/>
    <cellStyle name="Normal 2 5 2" xfId="7"/>
    <cellStyle name="Normal 2 5 2 2" xfId="109"/>
    <cellStyle name="Normal 2 5 2 3" xfId="208"/>
    <cellStyle name="Normal 2 5 3" xfId="108"/>
    <cellStyle name="Normal 2 5 4" xfId="207"/>
    <cellStyle name="Normal 3" xfId="8"/>
    <cellStyle name="Normal 3 10" xfId="9"/>
    <cellStyle name="Normal 3 10 2" xfId="10"/>
    <cellStyle name="Normal 3 10 2 2" xfId="112"/>
    <cellStyle name="Normal 3 10 2 3" xfId="211"/>
    <cellStyle name="Normal 3 10 3" xfId="104"/>
    <cellStyle name="Normal 3 10 3 2" xfId="205"/>
    <cellStyle name="Normal 3 10 3 3" xfId="304"/>
    <cellStyle name="Normal 3 10 4" xfId="111"/>
    <cellStyle name="Normal 3 10 5" xfId="210"/>
    <cellStyle name="Normal 3 11" xfId="209"/>
    <cellStyle name="Normal 3 12" xfId="308"/>
    <cellStyle name="Normal 3 2" xfId="11"/>
    <cellStyle name="Normal 3 2 13" xfId="12"/>
    <cellStyle name="Normal 3 2 13 2" xfId="13"/>
    <cellStyle name="Normal 3 2 13 2 2" xfId="115"/>
    <cellStyle name="Normal 3 2 13 2 3" xfId="214"/>
    <cellStyle name="Normal 3 2 13 3" xfId="114"/>
    <cellStyle name="Normal 3 2 13 4" xfId="213"/>
    <cellStyle name="Normal 3 2 15" xfId="14"/>
    <cellStyle name="Normal 3 2 15 2" xfId="15"/>
    <cellStyle name="Normal 3 2 15 2 2" xfId="117"/>
    <cellStyle name="Normal 3 2 15 2 3" xfId="216"/>
    <cellStyle name="Normal 3 2 15 3" xfId="116"/>
    <cellStyle name="Normal 3 2 15 4" xfId="215"/>
    <cellStyle name="Normal 3 2 16" xfId="16"/>
    <cellStyle name="Normal 3 2 16 2" xfId="17"/>
    <cellStyle name="Normal 3 2 16 2 2" xfId="119"/>
    <cellStyle name="Normal 3 2 16 2 3" xfId="218"/>
    <cellStyle name="Normal 3 2 16 3" xfId="118"/>
    <cellStyle name="Normal 3 2 16 4" xfId="217"/>
    <cellStyle name="Normal 3 2 17" xfId="18"/>
    <cellStyle name="Normal 3 2 17 2" xfId="19"/>
    <cellStyle name="Normal 3 2 17 2 2" xfId="121"/>
    <cellStyle name="Normal 3 2 17 2 3" xfId="220"/>
    <cellStyle name="Normal 3 2 17 3" xfId="120"/>
    <cellStyle name="Normal 3 2 17 4" xfId="219"/>
    <cellStyle name="Normal 3 2 18" xfId="20"/>
    <cellStyle name="Normal 3 2 18 2" xfId="21"/>
    <cellStyle name="Normal 3 2 18 2 2" xfId="123"/>
    <cellStyle name="Normal 3 2 18 2 3" xfId="222"/>
    <cellStyle name="Normal 3 2 18 3" xfId="122"/>
    <cellStyle name="Normal 3 2 18 4" xfId="221"/>
    <cellStyle name="Normal 3 2 19" xfId="22"/>
    <cellStyle name="Normal 3 2 19 2" xfId="23"/>
    <cellStyle name="Normal 3 2 19 2 2" xfId="125"/>
    <cellStyle name="Normal 3 2 19 2 3" xfId="224"/>
    <cellStyle name="Normal 3 2 19 3" xfId="124"/>
    <cellStyle name="Normal 3 2 19 4" xfId="223"/>
    <cellStyle name="Normal 3 2 2" xfId="24"/>
    <cellStyle name="Normal 3 2 2 2" xfId="25"/>
    <cellStyle name="Normal 3 2 2 2 2" xfId="127"/>
    <cellStyle name="Normal 3 2 2 2 3" xfId="226"/>
    <cellStyle name="Normal 3 2 2 3" xfId="126"/>
    <cellStyle name="Normal 3 2 2 4" xfId="225"/>
    <cellStyle name="Normal 3 2 20" xfId="26"/>
    <cellStyle name="Normal 3 2 20 2" xfId="27"/>
    <cellStyle name="Normal 3 2 20 2 2" xfId="129"/>
    <cellStyle name="Normal 3 2 20 2 3" xfId="228"/>
    <cellStyle name="Normal 3 2 20 3" xfId="128"/>
    <cellStyle name="Normal 3 2 20 4" xfId="227"/>
    <cellStyle name="Normal 3 2 21" xfId="28"/>
    <cellStyle name="Normal 3 2 21 2" xfId="29"/>
    <cellStyle name="Normal 3 2 21 2 2" xfId="131"/>
    <cellStyle name="Normal 3 2 21 2 3" xfId="230"/>
    <cellStyle name="Normal 3 2 21 3" xfId="130"/>
    <cellStyle name="Normal 3 2 21 4" xfId="229"/>
    <cellStyle name="Normal 3 2 22" xfId="30"/>
    <cellStyle name="Normal 3 2 22 2" xfId="31"/>
    <cellStyle name="Normal 3 2 22 2 2" xfId="133"/>
    <cellStyle name="Normal 3 2 22 2 3" xfId="232"/>
    <cellStyle name="Normal 3 2 22 3" xfId="132"/>
    <cellStyle name="Normal 3 2 22 4" xfId="231"/>
    <cellStyle name="Normal 3 2 23" xfId="32"/>
    <cellStyle name="Normal 3 2 23 2" xfId="33"/>
    <cellStyle name="Normal 3 2 23 2 2" xfId="135"/>
    <cellStyle name="Normal 3 2 23 2 3" xfId="234"/>
    <cellStyle name="Normal 3 2 23 3" xfId="134"/>
    <cellStyle name="Normal 3 2 23 4" xfId="233"/>
    <cellStyle name="Normal 3 2 24" xfId="34"/>
    <cellStyle name="Normal 3 2 24 2" xfId="35"/>
    <cellStyle name="Normal 3 2 24 2 2" xfId="137"/>
    <cellStyle name="Normal 3 2 24 2 3" xfId="236"/>
    <cellStyle name="Normal 3 2 24 3" xfId="136"/>
    <cellStyle name="Normal 3 2 24 4" xfId="235"/>
    <cellStyle name="Normal 3 2 25" xfId="36"/>
    <cellStyle name="Normal 3 2 25 2" xfId="37"/>
    <cellStyle name="Normal 3 2 25 2 2" xfId="139"/>
    <cellStyle name="Normal 3 2 25 2 3" xfId="238"/>
    <cellStyle name="Normal 3 2 25 3" xfId="138"/>
    <cellStyle name="Normal 3 2 25 4" xfId="237"/>
    <cellStyle name="Normal 3 2 3" xfId="38"/>
    <cellStyle name="Normal 3 2 3 2" xfId="39"/>
    <cellStyle name="Normal 3 2 3 2 2" xfId="40"/>
    <cellStyle name="Normal 3 2 3 2 2 2" xfId="41"/>
    <cellStyle name="Normal 3 2 3 2 2 2 2" xfId="143"/>
    <cellStyle name="Normal 3 2 3 2 2 2 2 2" xfId="306"/>
    <cellStyle name="Normal 3 2 3 2 2 2 3" xfId="242"/>
    <cellStyle name="Normal 3 2 3 2 2 3" xfId="102"/>
    <cellStyle name="Normal 3 2 3 2 2 3 2" xfId="203"/>
    <cellStyle name="Normal 3 2 3 2 2 3 3" xfId="302"/>
    <cellStyle name="Normal 3 2 3 2 2 4" xfId="142"/>
    <cellStyle name="Normal 3 2 3 2 2 5" xfId="241"/>
    <cellStyle name="Normal 3 2 3 2 3" xfId="42"/>
    <cellStyle name="Normal 3 2 3 2 3 2" xfId="144"/>
    <cellStyle name="Normal 3 2 3 2 3 3" xfId="243"/>
    <cellStyle name="Normal 3 2 3 2 4" xfId="141"/>
    <cellStyle name="Normal 3 2 3 2 5" xfId="240"/>
    <cellStyle name="Normal 3 2 3 3" xfId="43"/>
    <cellStyle name="Normal 3 2 3 3 2" xfId="145"/>
    <cellStyle name="Normal 3 2 3 3 3" xfId="244"/>
    <cellStyle name="Normal 3 2 3 4" xfId="101"/>
    <cellStyle name="Normal 3 2 3 4 2" xfId="202"/>
    <cellStyle name="Normal 3 2 3 4 3" xfId="301"/>
    <cellStyle name="Normal 3 2 3 5" xfId="140"/>
    <cellStyle name="Normal 3 2 3 6" xfId="239"/>
    <cellStyle name="Normal 3 2 4" xfId="44"/>
    <cellStyle name="Normal 3 2 4 2" xfId="45"/>
    <cellStyle name="Normal 3 2 4 2 2" xfId="46"/>
    <cellStyle name="Normal 3 2 4 2 2 2" xfId="148"/>
    <cellStyle name="Normal 3 2 4 2 2 3" xfId="247"/>
    <cellStyle name="Normal 3 2 4 2 3" xfId="147"/>
    <cellStyle name="Normal 3 2 4 2 4" xfId="246"/>
    <cellStyle name="Normal 3 2 4 3" xfId="47"/>
    <cellStyle name="Normal 3 2 4 3 2" xfId="149"/>
    <cellStyle name="Normal 3 2 4 3 3" xfId="248"/>
    <cellStyle name="Normal 3 2 4 4" xfId="146"/>
    <cellStyle name="Normal 3 2 4 5" xfId="245"/>
    <cellStyle name="Normal 3 2 5" xfId="48"/>
    <cellStyle name="Normal 3 2 5 2" xfId="49"/>
    <cellStyle name="Normal 3 2 5 2 2" xfId="151"/>
    <cellStyle name="Normal 3 2 5 2 3" xfId="250"/>
    <cellStyle name="Normal 3 2 5 3" xfId="150"/>
    <cellStyle name="Normal 3 2 5 4" xfId="249"/>
    <cellStyle name="Normal 3 2 6" xfId="50"/>
    <cellStyle name="Normal 3 2 6 2" xfId="51"/>
    <cellStyle name="Normal 3 2 6 2 2" xfId="153"/>
    <cellStyle name="Normal 3 2 6 2 3" xfId="252"/>
    <cellStyle name="Normal 3 2 6 3" xfId="152"/>
    <cellStyle name="Normal 3 2 6 4" xfId="251"/>
    <cellStyle name="Normal 3 2 7" xfId="52"/>
    <cellStyle name="Normal 3 2 7 2" xfId="154"/>
    <cellStyle name="Normal 3 2 7 3" xfId="253"/>
    <cellStyle name="Normal 3 2 8" xfId="113"/>
    <cellStyle name="Normal 3 2 9" xfId="212"/>
    <cellStyle name="Normal 3 3" xfId="53"/>
    <cellStyle name="Normal 3 3 2" xfId="155"/>
    <cellStyle name="Normal 3 3 3" xfId="254"/>
    <cellStyle name="Normal 3 4" xfId="100"/>
    <cellStyle name="Normal 3 4 2" xfId="201"/>
    <cellStyle name="Normal 3 4 3" xfId="300"/>
    <cellStyle name="Normal 3 5" xfId="110"/>
    <cellStyle name="Normal 3 6" xfId="54"/>
    <cellStyle name="Normal 3 6 2" xfId="55"/>
    <cellStyle name="Normal 3 6 2 2" xfId="157"/>
    <cellStyle name="Normal 3 6 2 3" xfId="256"/>
    <cellStyle name="Normal 3 6 3" xfId="156"/>
    <cellStyle name="Normal 3 6 4" xfId="255"/>
    <cellStyle name="Normal 3 7" xfId="56"/>
    <cellStyle name="Normal 3 7 2" xfId="57"/>
    <cellStyle name="Normal 3 7 2 2" xfId="159"/>
    <cellStyle name="Normal 3 7 2 3" xfId="258"/>
    <cellStyle name="Normal 3 7 3" xfId="158"/>
    <cellStyle name="Normal 3 7 4" xfId="257"/>
    <cellStyle name="Normal 3 8" xfId="58"/>
    <cellStyle name="Normal 3 8 2" xfId="59"/>
    <cellStyle name="Normal 3 8 2 2" xfId="161"/>
    <cellStyle name="Normal 3 8 2 3" xfId="260"/>
    <cellStyle name="Normal 3 8 3" xfId="160"/>
    <cellStyle name="Normal 3 8 4" xfId="259"/>
    <cellStyle name="Normal 3 9" xfId="60"/>
    <cellStyle name="Normal 3 9 2" xfId="61"/>
    <cellStyle name="Normal 3 9 2 2" xfId="163"/>
    <cellStyle name="Normal 3 9 2 3" xfId="262"/>
    <cellStyle name="Normal 3 9 3" xfId="162"/>
    <cellStyle name="Normal 3 9 4" xfId="261"/>
    <cellStyle name="Normal 4" xfId="62"/>
    <cellStyle name="Normal 4 10" xfId="63"/>
    <cellStyle name="Normal 4 10 2" xfId="64"/>
    <cellStyle name="Normal 4 10 2 2" xfId="166"/>
    <cellStyle name="Normal 4 10 2 3" xfId="265"/>
    <cellStyle name="Normal 4 10 3" xfId="165"/>
    <cellStyle name="Normal 4 10 4" xfId="264"/>
    <cellStyle name="Normal 4 11" xfId="65"/>
    <cellStyle name="Normal 4 11 2" xfId="66"/>
    <cellStyle name="Normal 4 11 2 2" xfId="168"/>
    <cellStyle name="Normal 4 11 2 3" xfId="267"/>
    <cellStyle name="Normal 4 11 3" xfId="167"/>
    <cellStyle name="Normal 4 11 4" xfId="266"/>
    <cellStyle name="Normal 4 12" xfId="67"/>
    <cellStyle name="Normal 4 12 2" xfId="68"/>
    <cellStyle name="Normal 4 12 2 2" xfId="170"/>
    <cellStyle name="Normal 4 12 2 3" xfId="269"/>
    <cellStyle name="Normal 4 12 3" xfId="169"/>
    <cellStyle name="Normal 4 12 4" xfId="268"/>
    <cellStyle name="Normal 4 13" xfId="69"/>
    <cellStyle name="Normal 4 13 2" xfId="70"/>
    <cellStyle name="Normal 4 13 2 2" xfId="172"/>
    <cellStyle name="Normal 4 13 2 3" xfId="271"/>
    <cellStyle name="Normal 4 13 3" xfId="171"/>
    <cellStyle name="Normal 4 13 4" xfId="270"/>
    <cellStyle name="Normal 4 14" xfId="71"/>
    <cellStyle name="Normal 4 14 2" xfId="72"/>
    <cellStyle name="Normal 4 14 2 2" xfId="174"/>
    <cellStyle name="Normal 4 14 2 3" xfId="273"/>
    <cellStyle name="Normal 4 14 3" xfId="173"/>
    <cellStyle name="Normal 4 14 4" xfId="272"/>
    <cellStyle name="Normal 4 15" xfId="73"/>
    <cellStyle name="Normal 4 15 2" xfId="74"/>
    <cellStyle name="Normal 4 15 2 2" xfId="176"/>
    <cellStyle name="Normal 4 15 2 3" xfId="275"/>
    <cellStyle name="Normal 4 15 3" xfId="175"/>
    <cellStyle name="Normal 4 15 4" xfId="274"/>
    <cellStyle name="Normal 4 16" xfId="75"/>
    <cellStyle name="Normal 4 16 2" xfId="76"/>
    <cellStyle name="Normal 4 16 2 2" xfId="178"/>
    <cellStyle name="Normal 4 16 2 3" xfId="277"/>
    <cellStyle name="Normal 4 16 3" xfId="177"/>
    <cellStyle name="Normal 4 16 4" xfId="276"/>
    <cellStyle name="Normal 4 17" xfId="77"/>
    <cellStyle name="Normal 4 17 2" xfId="78"/>
    <cellStyle name="Normal 4 17 2 2" xfId="180"/>
    <cellStyle name="Normal 4 17 2 3" xfId="279"/>
    <cellStyle name="Normal 4 17 3" xfId="179"/>
    <cellStyle name="Normal 4 17 4" xfId="278"/>
    <cellStyle name="Normal 4 2" xfId="79"/>
    <cellStyle name="Normal 4 2 2" xfId="181"/>
    <cellStyle name="Normal 4 2 3" xfId="280"/>
    <cellStyle name="Normal 4 20" xfId="80"/>
    <cellStyle name="Normal 4 20 2" xfId="81"/>
    <cellStyle name="Normal 4 20 2 2" xfId="183"/>
    <cellStyle name="Normal 4 20 2 3" xfId="282"/>
    <cellStyle name="Normal 4 20 3" xfId="182"/>
    <cellStyle name="Normal 4 20 4" xfId="281"/>
    <cellStyle name="Normal 4 3" xfId="164"/>
    <cellStyle name="Normal 4 4" xfId="263"/>
    <cellStyle name="Normal 5" xfId="82"/>
    <cellStyle name="Normal 5 2" xfId="83"/>
    <cellStyle name="Normal 5 2 2" xfId="185"/>
    <cellStyle name="Normal 5 2 3" xfId="284"/>
    <cellStyle name="Normal 5 3" xfId="84"/>
    <cellStyle name="Normal 5 4" xfId="184"/>
    <cellStyle name="Normal 5 5" xfId="283"/>
    <cellStyle name="Normal 5 9" xfId="85"/>
    <cellStyle name="Normal 5 9 2" xfId="86"/>
    <cellStyle name="Normal 5 9 2 2" xfId="187"/>
    <cellStyle name="Normal 5 9 2 3" xfId="286"/>
    <cellStyle name="Normal 5 9 3" xfId="186"/>
    <cellStyle name="Normal 5 9 4" xfId="285"/>
    <cellStyle name="Normal 6" xfId="87"/>
    <cellStyle name="Normal 6 2" xfId="88"/>
    <cellStyle name="Normal 6 2 2" xfId="89"/>
    <cellStyle name="Normal 6 2 2 2" xfId="190"/>
    <cellStyle name="Normal 6 2 2 3" xfId="289"/>
    <cellStyle name="Normal 6 2 3" xfId="189"/>
    <cellStyle name="Normal 6 2 4" xfId="288"/>
    <cellStyle name="Normal 6 3" xfId="90"/>
    <cellStyle name="Normal 6 3 2" xfId="191"/>
    <cellStyle name="Normal 6 3 3" xfId="290"/>
    <cellStyle name="Normal 6 4" xfId="91"/>
    <cellStyle name="Normal 6 4 2" xfId="92"/>
    <cellStyle name="Normal 6 4 2 2" xfId="193"/>
    <cellStyle name="Normal 6 4 2 3" xfId="292"/>
    <cellStyle name="Normal 6 4 3" xfId="192"/>
    <cellStyle name="Normal 6 4 4" xfId="291"/>
    <cellStyle name="Normal 6 5" xfId="93"/>
    <cellStyle name="Normal 6 5 2" xfId="94"/>
    <cellStyle name="Normal 6 5 2 2" xfId="195"/>
    <cellStyle name="Normal 6 5 2 3" xfId="294"/>
    <cellStyle name="Normal 6 5 3" xfId="194"/>
    <cellStyle name="Normal 6 5 4" xfId="293"/>
    <cellStyle name="Normal 6 6" xfId="95"/>
    <cellStyle name="Normal 6 6 2" xfId="96"/>
    <cellStyle name="Normal 6 6 2 2" xfId="197"/>
    <cellStyle name="Normal 6 6 2 3" xfId="296"/>
    <cellStyle name="Normal 6 6 3" xfId="196"/>
    <cellStyle name="Normal 6 6 4" xfId="295"/>
    <cellStyle name="Normal 6 7" xfId="188"/>
    <cellStyle name="Normal 6 8" xfId="287"/>
    <cellStyle name="Normal 7" xfId="97"/>
    <cellStyle name="Normal 7 2" xfId="98"/>
    <cellStyle name="Normal 7 2 2" xfId="199"/>
    <cellStyle name="Normal 7 2 3" xfId="298"/>
    <cellStyle name="Normal 7 3" xfId="198"/>
    <cellStyle name="Normal 7 4" xfId="297"/>
    <cellStyle name="Normal 8" xfId="99"/>
    <cellStyle name="Normal 8 2" xfId="200"/>
    <cellStyle name="Normal 8 3" xfId="299"/>
    <cellStyle name="Normal 9" xfId="106"/>
    <cellStyle name="Normal 9 2" xfId="206"/>
    <cellStyle name="Normal 9 3" xfId="305"/>
    <cellStyle name="Percent 2" xfId="309"/>
  </cellStyles>
  <dxfs count="0"/>
  <tableStyles count="0" defaultTableStyle="TableStyleMedium2" defaultPivotStyle="PivotStyleLight16"/>
  <colors>
    <mruColors>
      <color rgb="FF0000FF"/>
      <color rgb="FF66FFFF"/>
      <color rgb="FF5B9BD5"/>
      <color rgb="FFCCE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7.xml"/><Relationship Id="rId26" Type="http://schemas.openxmlformats.org/officeDocument/2006/relationships/worksheet" Target="worksheets/sheet25.xml"/><Relationship Id="rId39" Type="http://schemas.openxmlformats.org/officeDocument/2006/relationships/worksheet" Target="worksheets/sheet38.xml"/><Relationship Id="rId21" Type="http://schemas.openxmlformats.org/officeDocument/2006/relationships/worksheet" Target="worksheets/sheet20.xml"/><Relationship Id="rId34" Type="http://schemas.openxmlformats.org/officeDocument/2006/relationships/worksheet" Target="worksheets/sheet33.xml"/><Relationship Id="rId42" Type="http://schemas.openxmlformats.org/officeDocument/2006/relationships/worksheet" Target="worksheets/sheet41.xml"/><Relationship Id="rId47" Type="http://schemas.openxmlformats.org/officeDocument/2006/relationships/worksheet" Target="worksheets/sheet46.xml"/><Relationship Id="rId50" Type="http://schemas.openxmlformats.org/officeDocument/2006/relationships/worksheet" Target="worksheets/sheet49.xml"/><Relationship Id="rId55" Type="http://schemas.openxmlformats.org/officeDocument/2006/relationships/worksheet" Target="worksheets/sheet5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chartsheet" Target="chartsheets/sheet1.xml"/><Relationship Id="rId20" Type="http://schemas.openxmlformats.org/officeDocument/2006/relationships/worksheet" Target="worksheets/sheet19.xml"/><Relationship Id="rId29" Type="http://schemas.openxmlformats.org/officeDocument/2006/relationships/worksheet" Target="worksheets/sheet28.xml"/><Relationship Id="rId41" Type="http://schemas.openxmlformats.org/officeDocument/2006/relationships/worksheet" Target="worksheets/sheet40.xml"/><Relationship Id="rId54" Type="http://schemas.openxmlformats.org/officeDocument/2006/relationships/worksheet" Target="worksheets/sheet5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3.xml"/><Relationship Id="rId32" Type="http://schemas.openxmlformats.org/officeDocument/2006/relationships/worksheet" Target="worksheets/sheet31.xml"/><Relationship Id="rId37" Type="http://schemas.openxmlformats.org/officeDocument/2006/relationships/worksheet" Target="worksheets/sheet36.xml"/><Relationship Id="rId40" Type="http://schemas.openxmlformats.org/officeDocument/2006/relationships/worksheet" Target="worksheets/sheet39.xml"/><Relationship Id="rId45" Type="http://schemas.openxmlformats.org/officeDocument/2006/relationships/worksheet" Target="worksheets/sheet44.xml"/><Relationship Id="rId53" Type="http://schemas.openxmlformats.org/officeDocument/2006/relationships/worksheet" Target="worksheets/sheet52.xml"/><Relationship Id="rId58"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2.xml"/><Relationship Id="rId28" Type="http://schemas.openxmlformats.org/officeDocument/2006/relationships/worksheet" Target="worksheets/sheet27.xml"/><Relationship Id="rId36" Type="http://schemas.openxmlformats.org/officeDocument/2006/relationships/worksheet" Target="worksheets/sheet35.xml"/><Relationship Id="rId49" Type="http://schemas.openxmlformats.org/officeDocument/2006/relationships/worksheet" Target="worksheets/sheet48.xml"/><Relationship Id="rId57" Type="http://schemas.openxmlformats.org/officeDocument/2006/relationships/externalLink" Target="externalLinks/externalLink1.xml"/><Relationship Id="rId61"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8.xml"/><Relationship Id="rId31" Type="http://schemas.openxmlformats.org/officeDocument/2006/relationships/worksheet" Target="worksheets/sheet30.xml"/><Relationship Id="rId44" Type="http://schemas.openxmlformats.org/officeDocument/2006/relationships/worksheet" Target="worksheets/sheet43.xml"/><Relationship Id="rId52" Type="http://schemas.openxmlformats.org/officeDocument/2006/relationships/worksheet" Target="worksheets/sheet51.xml"/><Relationship Id="rId6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1.xml"/><Relationship Id="rId27" Type="http://schemas.openxmlformats.org/officeDocument/2006/relationships/worksheet" Target="worksheets/sheet26.xml"/><Relationship Id="rId30" Type="http://schemas.openxmlformats.org/officeDocument/2006/relationships/worksheet" Target="worksheets/sheet29.xml"/><Relationship Id="rId35" Type="http://schemas.openxmlformats.org/officeDocument/2006/relationships/worksheet" Target="worksheets/sheet34.xml"/><Relationship Id="rId43" Type="http://schemas.openxmlformats.org/officeDocument/2006/relationships/worksheet" Target="worksheets/sheet42.xml"/><Relationship Id="rId48" Type="http://schemas.openxmlformats.org/officeDocument/2006/relationships/worksheet" Target="worksheets/sheet47.xml"/><Relationship Id="rId56" Type="http://schemas.openxmlformats.org/officeDocument/2006/relationships/worksheet" Target="worksheets/sheet55.xml"/><Relationship Id="rId8" Type="http://schemas.openxmlformats.org/officeDocument/2006/relationships/worksheet" Target="worksheets/sheet8.xml"/><Relationship Id="rId51" Type="http://schemas.openxmlformats.org/officeDocument/2006/relationships/worksheet" Target="worksheets/sheet50.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6.xml"/><Relationship Id="rId25" Type="http://schemas.openxmlformats.org/officeDocument/2006/relationships/worksheet" Target="worksheets/sheet24.xml"/><Relationship Id="rId33" Type="http://schemas.openxmlformats.org/officeDocument/2006/relationships/worksheet" Target="worksheets/sheet32.xml"/><Relationship Id="rId38" Type="http://schemas.openxmlformats.org/officeDocument/2006/relationships/worksheet" Target="worksheets/sheet37.xml"/><Relationship Id="rId46" Type="http://schemas.openxmlformats.org/officeDocument/2006/relationships/worksheet" Target="worksheets/sheet45.xml"/><Relationship Id="rId59"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c:lang val="en-IN"/>
  <c:chart>
    <c:plotArea>
      <c:layout/>
      <c:barChart>
        <c:barDir val="col"/>
        <c:grouping val="clustered"/>
        <c:ser>
          <c:idx val="0"/>
          <c:order val="0"/>
          <c:tx>
            <c:strRef>
              <c:f>'11-A. IEC Sub-Annex'!$F$1:$F$4</c:f>
              <c:strCache>
                <c:ptCount val="1"/>
                <c:pt idx="0">
                  <c:v>Summary of Abst. As in RoP 2020-21 Physical Targets 2020-21</c:v>
                </c:pt>
              </c:strCache>
            </c:strRef>
          </c:tx>
          <c:cat>
            <c:multiLvlStrRef>
              <c:f>'11-A. IEC Sub-Annex'!$A$5:$E$106</c:f>
              <c:multiLvlStrCache>
                <c:ptCount val="102"/>
                <c:lvl>
                  <c:pt idx="2">
                    <c:v>RCH</c:v>
                  </c:pt>
                  <c:pt idx="3">
                    <c:v>RCH</c:v>
                  </c:pt>
                  <c:pt idx="4">
                    <c:v>RCH</c:v>
                  </c:pt>
                  <c:pt idx="6">
                    <c:v>RCH</c:v>
                  </c:pt>
                  <c:pt idx="7">
                    <c:v>RCH</c:v>
                  </c:pt>
                  <c:pt idx="8">
                    <c:v>RCH</c:v>
                  </c:pt>
                  <c:pt idx="9">
                    <c:v>RCH</c:v>
                  </c:pt>
                  <c:pt idx="11">
                    <c:v>RCH</c:v>
                  </c:pt>
                  <c:pt idx="12">
                    <c:v>RCH</c:v>
                  </c:pt>
                  <c:pt idx="13">
                    <c:v>RCH</c:v>
                  </c:pt>
                  <c:pt idx="14">
                    <c:v>RCH</c:v>
                  </c:pt>
                  <c:pt idx="15">
                    <c:v>RCH</c:v>
                  </c:pt>
                  <c:pt idx="16">
                    <c:v>RCH</c:v>
                  </c:pt>
                  <c:pt idx="18">
                    <c:v>RCH</c:v>
                  </c:pt>
                  <c:pt idx="19">
                    <c:v>RCH</c:v>
                  </c:pt>
                  <c:pt idx="20">
                    <c:v>RCH</c:v>
                  </c:pt>
                  <c:pt idx="22">
                    <c:v>RCH</c:v>
                  </c:pt>
                  <c:pt idx="23">
                    <c:v>RCH</c:v>
                  </c:pt>
                  <c:pt idx="25">
                    <c:v>RCH</c:v>
                  </c:pt>
                  <c:pt idx="26">
                    <c:v>RCH</c:v>
                  </c:pt>
                  <c:pt idx="28">
                    <c:v>RCH</c:v>
                  </c:pt>
                  <c:pt idx="29">
                    <c:v>RCH</c:v>
                  </c:pt>
                  <c:pt idx="31">
                    <c:v>HSS</c:v>
                  </c:pt>
                  <c:pt idx="33">
                    <c:v>HSS</c:v>
                  </c:pt>
                  <c:pt idx="34">
                    <c:v>HSS</c:v>
                  </c:pt>
                  <c:pt idx="36">
                    <c:v>HSS</c:v>
                  </c:pt>
                  <c:pt idx="37">
                    <c:v>HSS</c:v>
                  </c:pt>
                  <c:pt idx="38">
                    <c:v>HSS</c:v>
                  </c:pt>
                  <c:pt idx="39">
                    <c:v>HSS</c:v>
                  </c:pt>
                  <c:pt idx="40">
                    <c:v>HSS</c:v>
                  </c:pt>
                  <c:pt idx="42">
                    <c:v>HSS</c:v>
                  </c:pt>
                  <c:pt idx="43">
                    <c:v>HSS</c:v>
                  </c:pt>
                  <c:pt idx="44">
                    <c:v>HSS</c:v>
                  </c:pt>
                  <c:pt idx="46">
                    <c:v>HSS</c:v>
                  </c:pt>
                  <c:pt idx="47">
                    <c:v>HSS</c:v>
                  </c:pt>
                  <c:pt idx="48">
                    <c:v>HSS</c:v>
                  </c:pt>
                  <c:pt idx="49">
                    <c:v>HSS</c:v>
                  </c:pt>
                  <c:pt idx="50">
                    <c:v>HSS</c:v>
                  </c:pt>
                  <c:pt idx="53">
                    <c:v>NDCP</c:v>
                  </c:pt>
                  <c:pt idx="54">
                    <c:v>NDCP</c:v>
                  </c:pt>
                  <c:pt idx="55">
                    <c:v>NDCP</c:v>
                  </c:pt>
                  <c:pt idx="56">
                    <c:v>NDCP</c:v>
                  </c:pt>
                  <c:pt idx="57">
                    <c:v>NDCP</c:v>
                  </c:pt>
                  <c:pt idx="58">
                    <c:v>NDCP</c:v>
                  </c:pt>
                  <c:pt idx="59">
                    <c:v>NDCP</c:v>
                  </c:pt>
                  <c:pt idx="60">
                    <c:v>NDCP</c:v>
                  </c:pt>
                  <c:pt idx="62">
                    <c:v>NDCP</c:v>
                  </c:pt>
                  <c:pt idx="63">
                    <c:v>NDCP</c:v>
                  </c:pt>
                  <c:pt idx="65">
                    <c:v>NDCP</c:v>
                  </c:pt>
                  <c:pt idx="66">
                    <c:v>NDCP</c:v>
                  </c:pt>
                  <c:pt idx="67">
                    <c:v>NDCP</c:v>
                  </c:pt>
                  <c:pt idx="68">
                    <c:v>NDCP</c:v>
                  </c:pt>
                  <c:pt idx="69">
                    <c:v>NDCP</c:v>
                  </c:pt>
                  <c:pt idx="70">
                    <c:v>NDCP</c:v>
                  </c:pt>
                  <c:pt idx="73">
                    <c:v>NCD</c:v>
                  </c:pt>
                  <c:pt idx="74">
                    <c:v>NCD</c:v>
                  </c:pt>
                  <c:pt idx="76">
                    <c:v>NCD</c:v>
                  </c:pt>
                  <c:pt idx="77">
                    <c:v>NCD</c:v>
                  </c:pt>
                  <c:pt idx="78">
                    <c:v>NCD</c:v>
                  </c:pt>
                  <c:pt idx="80">
                    <c:v>NCD</c:v>
                  </c:pt>
                  <c:pt idx="81">
                    <c:v>NCD</c:v>
                  </c:pt>
                  <c:pt idx="83">
                    <c:v>NCD</c:v>
                  </c:pt>
                  <c:pt idx="85">
                    <c:v>NCD</c:v>
                  </c:pt>
                  <c:pt idx="86">
                    <c:v>NCD</c:v>
                  </c:pt>
                  <c:pt idx="87">
                    <c:v>NCD</c:v>
                  </c:pt>
                  <c:pt idx="88">
                    <c:v>NCD</c:v>
                  </c:pt>
                  <c:pt idx="89">
                    <c:v>NCD</c:v>
                  </c:pt>
                  <c:pt idx="90">
                    <c:v>NCD</c:v>
                  </c:pt>
                  <c:pt idx="91">
                    <c:v>NCD</c:v>
                  </c:pt>
                  <c:pt idx="93">
                    <c:v>NCD</c:v>
                  </c:pt>
                  <c:pt idx="94">
                    <c:v>NCD</c:v>
                  </c:pt>
                  <c:pt idx="96">
                    <c:v>NCD</c:v>
                  </c:pt>
                  <c:pt idx="97">
                    <c:v>NCD</c:v>
                  </c:pt>
                  <c:pt idx="98">
                    <c:v>NCD</c:v>
                  </c:pt>
                  <c:pt idx="100">
                    <c:v>NCD</c:v>
                  </c:pt>
                  <c:pt idx="101">
                    <c:v>NCD</c:v>
                  </c:pt>
                </c:lvl>
                <c:lvl>
                  <c:pt idx="1">
                    <c:v>IEC/BCC activities under MH</c:v>
                  </c:pt>
                  <c:pt idx="2">
                    <c:v>Media Mix of Mid Media/ Mass Media</c:v>
                  </c:pt>
                  <c:pt idx="3">
                    <c:v>Inter Personal Communication</c:v>
                  </c:pt>
                  <c:pt idx="4">
                    <c:v>Any other IEC/BCC activities (please specify)</c:v>
                  </c:pt>
                  <c:pt idx="5">
                    <c:v>IEC/BCC activities under CH</c:v>
                  </c:pt>
                  <c:pt idx="6">
                    <c:v>Media Mix of Mid Media/ Mass Media</c:v>
                  </c:pt>
                  <c:pt idx="7">
                    <c:v>Inter Personal Communication</c:v>
                  </c:pt>
                  <c:pt idx="8">
                    <c:v>IEC for family participatory care</c:v>
                  </c:pt>
                  <c:pt idx="9">
                    <c:v>Any other IEC/BCC activities (please specify) including SAANS campaign IEC at state/district level</c:v>
                  </c:pt>
                  <c:pt idx="10">
                    <c:v>IEC/BCC activities under FP</c:v>
                  </c:pt>
                  <c:pt idx="11">
                    <c:v>Media Mix of Mid Media/ Mass Media</c:v>
                  </c:pt>
                  <c:pt idx="12">
                    <c:v>Inter Personal Communication</c:v>
                  </c:pt>
                  <c:pt idx="13">
                    <c:v>IEC &amp; promotional activities for World Population Day celebration</c:v>
                  </c:pt>
                  <c:pt idx="14">
                    <c:v>IEC &amp; promotional activities for Vasectomy Fortnight celebration </c:v>
                  </c:pt>
                  <c:pt idx="15">
                    <c:v>IEC activities for Mission Parivar Vikas Campaign (Frequency-at least 4/year)</c:v>
                  </c:pt>
                  <c:pt idx="16">
                    <c:v>Any other IEC/BCC activities (please specify)</c:v>
                  </c:pt>
                  <c:pt idx="17">
                    <c:v>IEC/BCC activities under AH</c:v>
                  </c:pt>
                  <c:pt idx="18">
                    <c:v>Media Mix of Mass Media/ Mid Media including promotion of menstrual hygiene scheme</c:v>
                  </c:pt>
                  <c:pt idx="19">
                    <c:v>Inter Personal Communication</c:v>
                  </c:pt>
                  <c:pt idx="20">
                    <c:v>Any other IEC/BCC activities (please specify)</c:v>
                  </c:pt>
                  <c:pt idx="21">
                    <c:v>IEC/BCC activities under Immunization</c:v>
                  </c:pt>
                  <c:pt idx="22">
                    <c:v>IEC activities for Immunization</c:v>
                  </c:pt>
                  <c:pt idx="23">
                    <c:v>Any other IEC/BCC activities (please specify)</c:v>
                  </c:pt>
                  <c:pt idx="24">
                    <c:v>IEC/BCC activities under PNDT</c:v>
                  </c:pt>
                  <c:pt idx="25">
                    <c:v>Creating awareness on declining sex ratio issue (PNDT)</c:v>
                  </c:pt>
                  <c:pt idx="26">
                    <c:v>Any other IEC/BCC activities (please specify)</c:v>
                  </c:pt>
                  <c:pt idx="27">
                    <c:v>IEC/BCC activities under NIDDCP</c:v>
                  </c:pt>
                  <c:pt idx="28">
                    <c:v>Health Education &amp; Publicity for NIDDCP</c:v>
                  </c:pt>
                  <c:pt idx="29">
                    <c:v>Any other IEC/BCC activities (please specify)</c:v>
                  </c:pt>
                  <c:pt idx="31">
                    <c:v>Development of State Communication strategy (comprising of district plans)</c:v>
                  </c:pt>
                  <c:pt idx="32">
                    <c:v>IEC/BCC activities under Blood services &amp; disorders</c:v>
                  </c:pt>
                  <c:pt idx="33">
                    <c:v>IEC/BCC activities under Blood Services</c:v>
                  </c:pt>
                  <c:pt idx="34">
                    <c:v>IEC/BCC activities under Blood Disorders</c:v>
                  </c:pt>
                  <c:pt idx="35">
                    <c:v>IEC/BCC activities under ASHA</c:v>
                  </c:pt>
                  <c:pt idx="38">
                    <c:v>IEC activities for Ayushman Bharat Health &amp; Wellness centre (H&amp;WC)</c:v>
                  </c:pt>
                  <c:pt idx="39">
                    <c:v>IEC Activity under NQAP, LaQshya, Kayakalp &amp; Mera-Aspataal (Signages- Approach road, Departmental, Directional and other facility level signage's)</c:v>
                  </c:pt>
                  <c:pt idx="40">
                    <c:v>IEC/BCC- Free Diagnostic Service Initiative (Pathology &amp; Radiology)</c:v>
                  </c:pt>
                  <c:pt idx="41">
                    <c:v>Other IEC/BCC activities</c:v>
                  </c:pt>
                  <c:pt idx="42">
                    <c:v>Interpersonal Communication Tools for the frontline health workers</c:v>
                  </c:pt>
                  <c:pt idx="43">
                    <c:v>Targeting Naturally Occurring Gathering of People/ Health Mela</c:v>
                  </c:pt>
                  <c:pt idx="44">
                    <c:v>Innovative IEC/ BCC Strategies including mobile based solutions, social media and engagement of youth</c:v>
                  </c:pt>
                  <c:pt idx="45">
                    <c:v>SBCC/IEC/Advocacy campaigns </c:v>
                  </c:pt>
                  <c:pt idx="46">
                    <c:v>Places covered with hoardings/ bill boards/ signage etc.</c:v>
                  </c:pt>
                  <c:pt idx="47">
                    <c:v>Usage of Folk media such as Nukkad Natak/ mobile audio visual services/ local radio etc.</c:v>
                  </c:pt>
                  <c:pt idx="48">
                    <c:v>Development of IEC Material</c:v>
                  </c:pt>
                  <c:pt idx="49">
                    <c:v>State-level IEC Campaigns/Other IEC Campaigns</c:v>
                  </c:pt>
                  <c:pt idx="50">
                    <c:v>Any other (please specify)</c:v>
                  </c:pt>
                  <c:pt idx="52">
                    <c:v>IEC/BCC activities under NVBDCP</c:v>
                  </c:pt>
                  <c:pt idx="53">
                    <c:v>IEC/BCC for Malaria</c:v>
                  </c:pt>
                  <c:pt idx="54">
                    <c:v>IEC/BCC for Social mobilization (Dengue and Chikungunya)</c:v>
                  </c:pt>
                  <c:pt idx="55">
                    <c:v>IEC/BCC specific to J.E. in endemic areas</c:v>
                  </c:pt>
                  <c:pt idx="56">
                    <c:v>Specific IEC/BCC for Lymphatic Filariasis at State, District, PHC, Sub-centre and village level including VHSC/GKs for community mobilization efforts to realize the desired drug compliance of 85% during MDA</c:v>
                  </c:pt>
                  <c:pt idx="57">
                    <c:v>IEC/BCC/Advocacy for Kala-azar</c:v>
                  </c:pt>
                  <c:pt idx="58">
                    <c:v>IEC/BCC activities as per the GFATM project</c:v>
                  </c:pt>
                  <c:pt idx="59">
                    <c:v>IEC/ BCC activities under MVCR</c:v>
                  </c:pt>
                  <c:pt idx="60">
                    <c:v>Any other IEC/BCC activities (please specify)</c:v>
                  </c:pt>
                  <c:pt idx="61">
                    <c:v>IEC/BCC activities under NLEP</c:v>
                  </c:pt>
                  <c:pt idx="62">
                    <c:v>IEC/BCC: Mass media, Outdoor media, Rural media, Advocacy media for NLEP including Sparsh Leprosy Awareness Campaign</c:v>
                  </c:pt>
                  <c:pt idx="63">
                    <c:v>Any other IEC/BCC activities (please specify)</c:v>
                  </c:pt>
                  <c:pt idx="64">
                    <c:v>IEC/BCC activities under NTEP</c:v>
                  </c:pt>
                  <c:pt idx="65">
                    <c:v>ACSM (State &amp; district)</c:v>
                  </c:pt>
                  <c:pt idx="66">
                    <c:v>TB Harega Desh Jeetega' Campaign</c:v>
                  </c:pt>
                  <c:pt idx="67">
                    <c:v>Any other IEC/BCC activities (please specify)</c:v>
                  </c:pt>
                  <c:pt idx="68">
                    <c:v>IEC/BCC under NRCP: Rabies Awareness and Do's and Don'ts in the event of Animal Bites</c:v>
                  </c:pt>
                  <c:pt idx="69">
                    <c:v>IEC under Programme for Prevention and Control of Leptospirosis</c:v>
                  </c:pt>
                  <c:pt idx="70">
                    <c:v>IEC under NVHCP</c:v>
                  </c:pt>
                  <c:pt idx="72">
                    <c:v>IEC/BCC activities under NPCB</c:v>
                  </c:pt>
                  <c:pt idx="73">
                    <c:v>State level IEC for Minor State @ Rs. 10 lakh and for Major States @ Rs. 20 lakh under NPCB&amp;VI</c:v>
                  </c:pt>
                  <c:pt idx="74">
                    <c:v>Any other IEC/BCC activities (please specify)</c:v>
                  </c:pt>
                  <c:pt idx="75">
                    <c:v>IEC/BCC activities under NMHP</c:v>
                  </c:pt>
                  <c:pt idx="76">
                    <c:v>Translation of IEC material and distribution</c:v>
                  </c:pt>
                  <c:pt idx="77">
                    <c:v>Awareness generation activities in the community, schools, workplaces with community involvement</c:v>
                  </c:pt>
                  <c:pt idx="78">
                    <c:v>Any other IEC/BCC activities (please specify)</c:v>
                  </c:pt>
                  <c:pt idx="79">
                    <c:v>IEC/BCC activities under NPHCE</c:v>
                  </c:pt>
                  <c:pt idx="80">
                    <c:v>IPC,Group activities and mass media for NPHCE</c:v>
                  </c:pt>
                  <c:pt idx="81">
                    <c:v>Celebration of days-ie International Day for older persons</c:v>
                  </c:pt>
                  <c:pt idx="82">
                    <c:v>IEC/BCC activities under NTCP</c:v>
                  </c:pt>
                  <c:pt idx="83">
                    <c:v>IEC/BCC for NTCP</c:v>
                  </c:pt>
                  <c:pt idx="84">
                    <c:v>IEC/BCC activities under NPCDCS</c:v>
                  </c:pt>
                  <c:pt idx="85">
                    <c:v>IEC/BCC for State NCD  Cell</c:v>
                  </c:pt>
                  <c:pt idx="86">
                    <c:v>IEC/BCC for District  NCD Cell</c:v>
                  </c:pt>
                  <c:pt idx="87">
                    <c:v>IEC/BCC activities for Universal Screening of NCDs</c:v>
                  </c:pt>
                  <c:pt idx="88">
                    <c:v>Any other IEC/BCC activities (please specify)</c:v>
                  </c:pt>
                  <c:pt idx="89">
                    <c:v>IEC/BCC under NOHP</c:v>
                  </c:pt>
                  <c:pt idx="90">
                    <c:v>IEC on Climate Sensitive Diseases at Block , District and State level  – Air pollution, Heat and other relevant Climate Sensitive diseases</c:v>
                  </c:pt>
                  <c:pt idx="91">
                    <c:v>IEC/BCC - National Dialysis Programme (Haemodialysis and Peritoneal Dialysis)</c:v>
                  </c:pt>
                  <c:pt idx="92">
                    <c:v>IEC/BCC activities under NPPCD</c:v>
                  </c:pt>
                  <c:pt idx="93">
                    <c:v>IEC activities</c:v>
                  </c:pt>
                  <c:pt idx="94">
                    <c:v>Any Other</c:v>
                  </c:pt>
                  <c:pt idx="95">
                    <c:v>IEC/BCC activities under NPPC</c:v>
                  </c:pt>
                  <c:pt idx="96">
                    <c:v>IEC for DH</c:v>
                  </c:pt>
                  <c:pt idx="97">
                    <c:v>IEC for State Palliative care cell</c:v>
                  </c:pt>
                  <c:pt idx="98">
                    <c:v>Any other IEC/BCC activities (please specify)</c:v>
                  </c:pt>
                  <c:pt idx="99">
                    <c:v>IEC/BCC activities under NPPCF</c:v>
                  </c:pt>
                  <c:pt idx="100">
                    <c:v>Health Education &amp; Publicity for National Programme for Fluorosis (State and District Level)</c:v>
                  </c:pt>
                  <c:pt idx="101">
                    <c:v>Any other IEC/BCC activities (please specify)</c:v>
                  </c:pt>
                </c:lvl>
                <c:lvl>
                  <c:pt idx="1">
                    <c:v>B.10.3.1</c:v>
                  </c:pt>
                  <c:pt idx="2">
                    <c:v>B.10.3.1.1</c:v>
                  </c:pt>
                  <c:pt idx="3">
                    <c:v>B.10.3.1.2</c:v>
                  </c:pt>
                  <c:pt idx="5">
                    <c:v>B.10.3.2</c:v>
                  </c:pt>
                  <c:pt idx="6">
                    <c:v>B.10.3.2.1</c:v>
                  </c:pt>
                  <c:pt idx="7">
                    <c:v>B.10.3.2.2</c:v>
                  </c:pt>
                  <c:pt idx="10">
                    <c:v>B.10.3.3</c:v>
                  </c:pt>
                  <c:pt idx="11">
                    <c:v>B.10.3.3.1</c:v>
                  </c:pt>
                  <c:pt idx="12">
                    <c:v>B.10.3.3.2</c:v>
                  </c:pt>
                  <c:pt idx="13">
                    <c:v>A.3.5.4</c:v>
                  </c:pt>
                  <c:pt idx="14">
                    <c:v>A.3.5.5</c:v>
                  </c:pt>
                  <c:pt idx="15">
                    <c:v>A.3.7.4</c:v>
                  </c:pt>
                  <c:pt idx="17">
                    <c:v>B.10.3.4</c:v>
                  </c:pt>
                  <c:pt idx="18">
                    <c:v>B.10.3.4.1</c:v>
                  </c:pt>
                  <c:pt idx="19">
                    <c:v>B.10.3.4.2</c:v>
                  </c:pt>
                  <c:pt idx="25">
                    <c:v>B.10.3.5</c:v>
                  </c:pt>
                  <c:pt idx="28">
                    <c:v>B.10.6.7</c:v>
                  </c:pt>
                  <c:pt idx="31">
                    <c:v>B.10.2</c:v>
                  </c:pt>
                  <c:pt idx="32">
                    <c:v>B.10.7.4.5</c:v>
                  </c:pt>
                  <c:pt idx="38">
                    <c:v>B18.3</c:v>
                  </c:pt>
                  <c:pt idx="42">
                    <c:v>B.10.4</c:v>
                  </c:pt>
                  <c:pt idx="43">
                    <c:v>B.10.5</c:v>
                  </c:pt>
                  <c:pt idx="44">
                    <c:v>B.10.6.1</c:v>
                  </c:pt>
                  <c:pt idx="45">
                    <c:v>B.10.6.14.1</c:v>
                  </c:pt>
                  <c:pt idx="46">
                    <c:v>B.10.6.14.1.b</c:v>
                  </c:pt>
                  <c:pt idx="47">
                    <c:v>B.10.6.14.1.c</c:v>
                  </c:pt>
                  <c:pt idx="48">
                    <c:v>B.10.6.14.3.a</c:v>
                  </c:pt>
                  <c:pt idx="49">
                    <c:v>B.10.6.14.3.b</c:v>
                  </c:pt>
                  <c:pt idx="53">
                    <c:v>B.10.6.9.a</c:v>
                  </c:pt>
                  <c:pt idx="54">
                    <c:v>B.10.6.9.b</c:v>
                  </c:pt>
                  <c:pt idx="55">
                    <c:v>B.10.6.9.c</c:v>
                  </c:pt>
                  <c:pt idx="56">
                    <c:v>B.10.6.9.d</c:v>
                  </c:pt>
                  <c:pt idx="57">
                    <c:v>B.10.6.9.e</c:v>
                  </c:pt>
                  <c:pt idx="58">
                    <c:v>B.10.6.9.f</c:v>
                  </c:pt>
                  <c:pt idx="62">
                    <c:v>B.10.6.10</c:v>
                  </c:pt>
                  <c:pt idx="65">
                    <c:v>H.4</c:v>
                  </c:pt>
                  <c:pt idx="73">
                    <c:v>B.10.6.11</c:v>
                  </c:pt>
                  <c:pt idx="75">
                    <c:v>B.10.6.12</c:v>
                  </c:pt>
                  <c:pt idx="76">
                    <c:v>B.10.6.12.a</c:v>
                  </c:pt>
                  <c:pt idx="77">
                    <c:v>B.10.6.12.b</c:v>
                  </c:pt>
                  <c:pt idx="80">
                    <c:v>B.10.6.13</c:v>
                  </c:pt>
                  <c:pt idx="83">
                    <c:v>B.10.6.14</c:v>
                  </c:pt>
                  <c:pt idx="84">
                    <c:v>O.2.3</c:v>
                  </c:pt>
                  <c:pt idx="85">
                    <c:v>O.2.3.1</c:v>
                  </c:pt>
                  <c:pt idx="86">
                    <c:v>O.2.3.2</c:v>
                  </c:pt>
                  <c:pt idx="92">
                    <c:v>B.10.6.5</c:v>
                  </c:pt>
                  <c:pt idx="96">
                    <c:v>B.27.1.3</c:v>
                  </c:pt>
                  <c:pt idx="97">
                    <c:v>B.27.2.2</c:v>
                  </c:pt>
                  <c:pt idx="100">
                    <c:v>B.10.6.6</c:v>
                  </c:pt>
                </c:lvl>
                <c:lvl>
                  <c:pt idx="1">
                    <c:v>11.4</c:v>
                  </c:pt>
                  <c:pt idx="2">
                    <c:v>11.4.1</c:v>
                  </c:pt>
                  <c:pt idx="3">
                    <c:v>11.4.2</c:v>
                  </c:pt>
                  <c:pt idx="4">
                    <c:v>11.4.3</c:v>
                  </c:pt>
                  <c:pt idx="5">
                    <c:v>11.5</c:v>
                  </c:pt>
                  <c:pt idx="6">
                    <c:v>11.5.1</c:v>
                  </c:pt>
                  <c:pt idx="7">
                    <c:v>11.5.2</c:v>
                  </c:pt>
                  <c:pt idx="8">
                    <c:v>11.5.3</c:v>
                  </c:pt>
                  <c:pt idx="9">
                    <c:v>11.5.4</c:v>
                  </c:pt>
                  <c:pt idx="10">
                    <c:v>11.6</c:v>
                  </c:pt>
                  <c:pt idx="11">
                    <c:v>11.6.1</c:v>
                  </c:pt>
                  <c:pt idx="12">
                    <c:v>11.6.2</c:v>
                  </c:pt>
                  <c:pt idx="13">
                    <c:v>11.6.3</c:v>
                  </c:pt>
                  <c:pt idx="14">
                    <c:v>11.6.4</c:v>
                  </c:pt>
                  <c:pt idx="15">
                    <c:v>11.6.5</c:v>
                  </c:pt>
                  <c:pt idx="16">
                    <c:v>11.6.6</c:v>
                  </c:pt>
                  <c:pt idx="17">
                    <c:v>11.7</c:v>
                  </c:pt>
                  <c:pt idx="18">
                    <c:v>11.7.1</c:v>
                  </c:pt>
                  <c:pt idx="19">
                    <c:v>11.7.2</c:v>
                  </c:pt>
                  <c:pt idx="20">
                    <c:v>11.7.3</c:v>
                  </c:pt>
                  <c:pt idx="21">
                    <c:v>11.8</c:v>
                  </c:pt>
                  <c:pt idx="22">
                    <c:v>11.8.1</c:v>
                  </c:pt>
                  <c:pt idx="23">
                    <c:v>11.8.2</c:v>
                  </c:pt>
                  <c:pt idx="24">
                    <c:v>11.9</c:v>
                  </c:pt>
                  <c:pt idx="25">
                    <c:v>11.9.1</c:v>
                  </c:pt>
                  <c:pt idx="26">
                    <c:v>11.9.2</c:v>
                  </c:pt>
                  <c:pt idx="27">
                    <c:v>11.14</c:v>
                  </c:pt>
                  <c:pt idx="28">
                    <c:v>11.14.1</c:v>
                  </c:pt>
                  <c:pt idx="29">
                    <c:v>11.14.2</c:v>
                  </c:pt>
                  <c:pt idx="31">
                    <c:v>11.1</c:v>
                  </c:pt>
                  <c:pt idx="32">
                    <c:v>11.10</c:v>
                  </c:pt>
                  <c:pt idx="33">
                    <c:v>11.10.1</c:v>
                  </c:pt>
                  <c:pt idx="34">
                    <c:v>11.10.2</c:v>
                  </c:pt>
                  <c:pt idx="35">
                    <c:v>11.23</c:v>
                  </c:pt>
                  <c:pt idx="36">
                    <c:v>11.23.1</c:v>
                  </c:pt>
                  <c:pt idx="37">
                    <c:v>11.23.2</c:v>
                  </c:pt>
                  <c:pt idx="38">
                    <c:v>11.24.1</c:v>
                  </c:pt>
                  <c:pt idx="39">
                    <c:v>11.24.4.5</c:v>
                  </c:pt>
                  <c:pt idx="40">
                    <c:v>11.24.4.7</c:v>
                  </c:pt>
                  <c:pt idx="41">
                    <c:v>11.24</c:v>
                  </c:pt>
                  <c:pt idx="42">
                    <c:v>11.2</c:v>
                  </c:pt>
                  <c:pt idx="43">
                    <c:v>11.3</c:v>
                  </c:pt>
                  <c:pt idx="44">
                    <c:v>11.24.2</c:v>
                  </c:pt>
                  <c:pt idx="45">
                    <c:v>11.24.3</c:v>
                  </c:pt>
                  <c:pt idx="46">
                    <c:v>11.24.3.1</c:v>
                  </c:pt>
                  <c:pt idx="47">
                    <c:v>11.24.3.2</c:v>
                  </c:pt>
                  <c:pt idx="48">
                    <c:v>11.24.3.3</c:v>
                  </c:pt>
                  <c:pt idx="49">
                    <c:v>11.24.3.4</c:v>
                  </c:pt>
                  <c:pt idx="50">
                    <c:v>11.24.4.9</c:v>
                  </c:pt>
                  <c:pt idx="52">
                    <c:v>11.15</c:v>
                  </c:pt>
                  <c:pt idx="53">
                    <c:v>11.15.1</c:v>
                  </c:pt>
                  <c:pt idx="54">
                    <c:v>11.15.2</c:v>
                  </c:pt>
                  <c:pt idx="55">
                    <c:v>11.15.3</c:v>
                  </c:pt>
                  <c:pt idx="56">
                    <c:v>11.15.4</c:v>
                  </c:pt>
                  <c:pt idx="57">
                    <c:v>11.15.5</c:v>
                  </c:pt>
                  <c:pt idx="58">
                    <c:v>11.15.6</c:v>
                  </c:pt>
                  <c:pt idx="59">
                    <c:v>11.15.7</c:v>
                  </c:pt>
                  <c:pt idx="60">
                    <c:v>11.15.8</c:v>
                  </c:pt>
                  <c:pt idx="61">
                    <c:v>11.16</c:v>
                  </c:pt>
                  <c:pt idx="62">
                    <c:v>11.16.1</c:v>
                  </c:pt>
                  <c:pt idx="63">
                    <c:v>11.16.2</c:v>
                  </c:pt>
                  <c:pt idx="64">
                    <c:v>11.17</c:v>
                  </c:pt>
                  <c:pt idx="65">
                    <c:v>11.17.1</c:v>
                  </c:pt>
                  <c:pt idx="66">
                    <c:v>11.17.2</c:v>
                  </c:pt>
                  <c:pt idx="67">
                    <c:v>11.17.3</c:v>
                  </c:pt>
                  <c:pt idx="68">
                    <c:v>11.24.4.1</c:v>
                  </c:pt>
                  <c:pt idx="69">
                    <c:v>11.24.4.6</c:v>
                  </c:pt>
                  <c:pt idx="72">
                    <c:v>11.18</c:v>
                  </c:pt>
                  <c:pt idx="73">
                    <c:v>11.18.1</c:v>
                  </c:pt>
                  <c:pt idx="74">
                    <c:v>11.18.2</c:v>
                  </c:pt>
                  <c:pt idx="75">
                    <c:v>11.19</c:v>
                  </c:pt>
                  <c:pt idx="76">
                    <c:v>11.19.1</c:v>
                  </c:pt>
                  <c:pt idx="77">
                    <c:v>11.19.2</c:v>
                  </c:pt>
                  <c:pt idx="78">
                    <c:v>11.19.3</c:v>
                  </c:pt>
                  <c:pt idx="79">
                    <c:v>11.20</c:v>
                  </c:pt>
                  <c:pt idx="80">
                    <c:v>11.20.1</c:v>
                  </c:pt>
                  <c:pt idx="81">
                    <c:v>11.20.2</c:v>
                  </c:pt>
                  <c:pt idx="82">
                    <c:v>11.21</c:v>
                  </c:pt>
                  <c:pt idx="83">
                    <c:v>11.21.1</c:v>
                  </c:pt>
                  <c:pt idx="84">
                    <c:v>11.22</c:v>
                  </c:pt>
                  <c:pt idx="85">
                    <c:v>11.22.1</c:v>
                  </c:pt>
                  <c:pt idx="86">
                    <c:v>11.22.2</c:v>
                  </c:pt>
                  <c:pt idx="87">
                    <c:v>11.22.3</c:v>
                  </c:pt>
                  <c:pt idx="88">
                    <c:v>11.22.4</c:v>
                  </c:pt>
                  <c:pt idx="89">
                    <c:v>11.24.4.2</c:v>
                  </c:pt>
                  <c:pt idx="90">
                    <c:v>11.24.4.4</c:v>
                  </c:pt>
                  <c:pt idx="91">
                    <c:v>11.24.4.8</c:v>
                  </c:pt>
                  <c:pt idx="92">
                    <c:v>11.11</c:v>
                  </c:pt>
                  <c:pt idx="93">
                    <c:v>11.11.1</c:v>
                  </c:pt>
                  <c:pt idx="94">
                    <c:v>11.11.2</c:v>
                  </c:pt>
                  <c:pt idx="95">
                    <c:v>11.12</c:v>
                  </c:pt>
                  <c:pt idx="96">
                    <c:v>11.12.1</c:v>
                  </c:pt>
                  <c:pt idx="97">
                    <c:v>11.12.2</c:v>
                  </c:pt>
                  <c:pt idx="98">
                    <c:v>11.12.3</c:v>
                  </c:pt>
                  <c:pt idx="99">
                    <c:v>11.13</c:v>
                  </c:pt>
                  <c:pt idx="100">
                    <c:v>11.13.1</c:v>
                  </c:pt>
                  <c:pt idx="101">
                    <c:v>11.13.2</c:v>
                  </c:pt>
                </c:lvl>
              </c:multiLvlStrCache>
            </c:multiLvlStrRef>
          </c:cat>
          <c:val>
            <c:numRef>
              <c:f>'11-A. IEC Sub-Annex'!$F$5:$F$106</c:f>
            </c:numRef>
          </c:val>
          <c:extLst xmlns:c16r2="http://schemas.microsoft.com/office/drawing/2015/06/chart">
            <c:ext xmlns:c16="http://schemas.microsoft.com/office/drawing/2014/chart" uri="{C3380CC4-5D6E-409C-BE32-E72D297353CC}">
              <c16:uniqueId val="{00000000-5F31-4E66-B011-A29233064213}"/>
            </c:ext>
          </c:extLst>
        </c:ser>
        <c:ser>
          <c:idx val="1"/>
          <c:order val="1"/>
          <c:tx>
            <c:strRef>
              <c:f>'11-A. IEC Sub-Annex'!$G$1:$G$4</c:f>
              <c:strCache>
                <c:ptCount val="1"/>
                <c:pt idx="0">
                  <c:v>Summary of Abst. As in RoP 2020-21 Physical Achievement (as on Dec'20) </c:v>
                </c:pt>
              </c:strCache>
            </c:strRef>
          </c:tx>
          <c:cat>
            <c:multiLvlStrRef>
              <c:f>'11-A. IEC Sub-Annex'!$A$5:$E$106</c:f>
              <c:multiLvlStrCache>
                <c:ptCount val="102"/>
                <c:lvl>
                  <c:pt idx="2">
                    <c:v>RCH</c:v>
                  </c:pt>
                  <c:pt idx="3">
                    <c:v>RCH</c:v>
                  </c:pt>
                  <c:pt idx="4">
                    <c:v>RCH</c:v>
                  </c:pt>
                  <c:pt idx="6">
                    <c:v>RCH</c:v>
                  </c:pt>
                  <c:pt idx="7">
                    <c:v>RCH</c:v>
                  </c:pt>
                  <c:pt idx="8">
                    <c:v>RCH</c:v>
                  </c:pt>
                  <c:pt idx="9">
                    <c:v>RCH</c:v>
                  </c:pt>
                  <c:pt idx="11">
                    <c:v>RCH</c:v>
                  </c:pt>
                  <c:pt idx="12">
                    <c:v>RCH</c:v>
                  </c:pt>
                  <c:pt idx="13">
                    <c:v>RCH</c:v>
                  </c:pt>
                  <c:pt idx="14">
                    <c:v>RCH</c:v>
                  </c:pt>
                  <c:pt idx="15">
                    <c:v>RCH</c:v>
                  </c:pt>
                  <c:pt idx="16">
                    <c:v>RCH</c:v>
                  </c:pt>
                  <c:pt idx="18">
                    <c:v>RCH</c:v>
                  </c:pt>
                  <c:pt idx="19">
                    <c:v>RCH</c:v>
                  </c:pt>
                  <c:pt idx="20">
                    <c:v>RCH</c:v>
                  </c:pt>
                  <c:pt idx="22">
                    <c:v>RCH</c:v>
                  </c:pt>
                  <c:pt idx="23">
                    <c:v>RCH</c:v>
                  </c:pt>
                  <c:pt idx="25">
                    <c:v>RCH</c:v>
                  </c:pt>
                  <c:pt idx="26">
                    <c:v>RCH</c:v>
                  </c:pt>
                  <c:pt idx="28">
                    <c:v>RCH</c:v>
                  </c:pt>
                  <c:pt idx="29">
                    <c:v>RCH</c:v>
                  </c:pt>
                  <c:pt idx="31">
                    <c:v>HSS</c:v>
                  </c:pt>
                  <c:pt idx="33">
                    <c:v>HSS</c:v>
                  </c:pt>
                  <c:pt idx="34">
                    <c:v>HSS</c:v>
                  </c:pt>
                  <c:pt idx="36">
                    <c:v>HSS</c:v>
                  </c:pt>
                  <c:pt idx="37">
                    <c:v>HSS</c:v>
                  </c:pt>
                  <c:pt idx="38">
                    <c:v>HSS</c:v>
                  </c:pt>
                  <c:pt idx="39">
                    <c:v>HSS</c:v>
                  </c:pt>
                  <c:pt idx="40">
                    <c:v>HSS</c:v>
                  </c:pt>
                  <c:pt idx="42">
                    <c:v>HSS</c:v>
                  </c:pt>
                  <c:pt idx="43">
                    <c:v>HSS</c:v>
                  </c:pt>
                  <c:pt idx="44">
                    <c:v>HSS</c:v>
                  </c:pt>
                  <c:pt idx="46">
                    <c:v>HSS</c:v>
                  </c:pt>
                  <c:pt idx="47">
                    <c:v>HSS</c:v>
                  </c:pt>
                  <c:pt idx="48">
                    <c:v>HSS</c:v>
                  </c:pt>
                  <c:pt idx="49">
                    <c:v>HSS</c:v>
                  </c:pt>
                  <c:pt idx="50">
                    <c:v>HSS</c:v>
                  </c:pt>
                  <c:pt idx="53">
                    <c:v>NDCP</c:v>
                  </c:pt>
                  <c:pt idx="54">
                    <c:v>NDCP</c:v>
                  </c:pt>
                  <c:pt idx="55">
                    <c:v>NDCP</c:v>
                  </c:pt>
                  <c:pt idx="56">
                    <c:v>NDCP</c:v>
                  </c:pt>
                  <c:pt idx="57">
                    <c:v>NDCP</c:v>
                  </c:pt>
                  <c:pt idx="58">
                    <c:v>NDCP</c:v>
                  </c:pt>
                  <c:pt idx="59">
                    <c:v>NDCP</c:v>
                  </c:pt>
                  <c:pt idx="60">
                    <c:v>NDCP</c:v>
                  </c:pt>
                  <c:pt idx="62">
                    <c:v>NDCP</c:v>
                  </c:pt>
                  <c:pt idx="63">
                    <c:v>NDCP</c:v>
                  </c:pt>
                  <c:pt idx="65">
                    <c:v>NDCP</c:v>
                  </c:pt>
                  <c:pt idx="66">
                    <c:v>NDCP</c:v>
                  </c:pt>
                  <c:pt idx="67">
                    <c:v>NDCP</c:v>
                  </c:pt>
                  <c:pt idx="68">
                    <c:v>NDCP</c:v>
                  </c:pt>
                  <c:pt idx="69">
                    <c:v>NDCP</c:v>
                  </c:pt>
                  <c:pt idx="70">
                    <c:v>NDCP</c:v>
                  </c:pt>
                  <c:pt idx="73">
                    <c:v>NCD</c:v>
                  </c:pt>
                  <c:pt idx="74">
                    <c:v>NCD</c:v>
                  </c:pt>
                  <c:pt idx="76">
                    <c:v>NCD</c:v>
                  </c:pt>
                  <c:pt idx="77">
                    <c:v>NCD</c:v>
                  </c:pt>
                  <c:pt idx="78">
                    <c:v>NCD</c:v>
                  </c:pt>
                  <c:pt idx="80">
                    <c:v>NCD</c:v>
                  </c:pt>
                  <c:pt idx="81">
                    <c:v>NCD</c:v>
                  </c:pt>
                  <c:pt idx="83">
                    <c:v>NCD</c:v>
                  </c:pt>
                  <c:pt idx="85">
                    <c:v>NCD</c:v>
                  </c:pt>
                  <c:pt idx="86">
                    <c:v>NCD</c:v>
                  </c:pt>
                  <c:pt idx="87">
                    <c:v>NCD</c:v>
                  </c:pt>
                  <c:pt idx="88">
                    <c:v>NCD</c:v>
                  </c:pt>
                  <c:pt idx="89">
                    <c:v>NCD</c:v>
                  </c:pt>
                  <c:pt idx="90">
                    <c:v>NCD</c:v>
                  </c:pt>
                  <c:pt idx="91">
                    <c:v>NCD</c:v>
                  </c:pt>
                  <c:pt idx="93">
                    <c:v>NCD</c:v>
                  </c:pt>
                  <c:pt idx="94">
                    <c:v>NCD</c:v>
                  </c:pt>
                  <c:pt idx="96">
                    <c:v>NCD</c:v>
                  </c:pt>
                  <c:pt idx="97">
                    <c:v>NCD</c:v>
                  </c:pt>
                  <c:pt idx="98">
                    <c:v>NCD</c:v>
                  </c:pt>
                  <c:pt idx="100">
                    <c:v>NCD</c:v>
                  </c:pt>
                  <c:pt idx="101">
                    <c:v>NCD</c:v>
                  </c:pt>
                </c:lvl>
                <c:lvl>
                  <c:pt idx="1">
                    <c:v>IEC/BCC activities under MH</c:v>
                  </c:pt>
                  <c:pt idx="2">
                    <c:v>Media Mix of Mid Media/ Mass Media</c:v>
                  </c:pt>
                  <c:pt idx="3">
                    <c:v>Inter Personal Communication</c:v>
                  </c:pt>
                  <c:pt idx="4">
                    <c:v>Any other IEC/BCC activities (please specify)</c:v>
                  </c:pt>
                  <c:pt idx="5">
                    <c:v>IEC/BCC activities under CH</c:v>
                  </c:pt>
                  <c:pt idx="6">
                    <c:v>Media Mix of Mid Media/ Mass Media</c:v>
                  </c:pt>
                  <c:pt idx="7">
                    <c:v>Inter Personal Communication</c:v>
                  </c:pt>
                  <c:pt idx="8">
                    <c:v>IEC for family participatory care</c:v>
                  </c:pt>
                  <c:pt idx="9">
                    <c:v>Any other IEC/BCC activities (please specify) including SAANS campaign IEC at state/district level</c:v>
                  </c:pt>
                  <c:pt idx="10">
                    <c:v>IEC/BCC activities under FP</c:v>
                  </c:pt>
                  <c:pt idx="11">
                    <c:v>Media Mix of Mid Media/ Mass Media</c:v>
                  </c:pt>
                  <c:pt idx="12">
                    <c:v>Inter Personal Communication</c:v>
                  </c:pt>
                  <c:pt idx="13">
                    <c:v>IEC &amp; promotional activities for World Population Day celebration</c:v>
                  </c:pt>
                  <c:pt idx="14">
                    <c:v>IEC &amp; promotional activities for Vasectomy Fortnight celebration </c:v>
                  </c:pt>
                  <c:pt idx="15">
                    <c:v>IEC activities for Mission Parivar Vikas Campaign (Frequency-at least 4/year)</c:v>
                  </c:pt>
                  <c:pt idx="16">
                    <c:v>Any other IEC/BCC activities (please specify)</c:v>
                  </c:pt>
                  <c:pt idx="17">
                    <c:v>IEC/BCC activities under AH</c:v>
                  </c:pt>
                  <c:pt idx="18">
                    <c:v>Media Mix of Mass Media/ Mid Media including promotion of menstrual hygiene scheme</c:v>
                  </c:pt>
                  <c:pt idx="19">
                    <c:v>Inter Personal Communication</c:v>
                  </c:pt>
                  <c:pt idx="20">
                    <c:v>Any other IEC/BCC activities (please specify)</c:v>
                  </c:pt>
                  <c:pt idx="21">
                    <c:v>IEC/BCC activities under Immunization</c:v>
                  </c:pt>
                  <c:pt idx="22">
                    <c:v>IEC activities for Immunization</c:v>
                  </c:pt>
                  <c:pt idx="23">
                    <c:v>Any other IEC/BCC activities (please specify)</c:v>
                  </c:pt>
                  <c:pt idx="24">
                    <c:v>IEC/BCC activities under PNDT</c:v>
                  </c:pt>
                  <c:pt idx="25">
                    <c:v>Creating awareness on declining sex ratio issue (PNDT)</c:v>
                  </c:pt>
                  <c:pt idx="26">
                    <c:v>Any other IEC/BCC activities (please specify)</c:v>
                  </c:pt>
                  <c:pt idx="27">
                    <c:v>IEC/BCC activities under NIDDCP</c:v>
                  </c:pt>
                  <c:pt idx="28">
                    <c:v>Health Education &amp; Publicity for NIDDCP</c:v>
                  </c:pt>
                  <c:pt idx="29">
                    <c:v>Any other IEC/BCC activities (please specify)</c:v>
                  </c:pt>
                  <c:pt idx="31">
                    <c:v>Development of State Communication strategy (comprising of district plans)</c:v>
                  </c:pt>
                  <c:pt idx="32">
                    <c:v>IEC/BCC activities under Blood services &amp; disorders</c:v>
                  </c:pt>
                  <c:pt idx="33">
                    <c:v>IEC/BCC activities under Blood Services</c:v>
                  </c:pt>
                  <c:pt idx="34">
                    <c:v>IEC/BCC activities under Blood Disorders</c:v>
                  </c:pt>
                  <c:pt idx="35">
                    <c:v>IEC/BCC activities under ASHA</c:v>
                  </c:pt>
                  <c:pt idx="38">
                    <c:v>IEC activities for Ayushman Bharat Health &amp; Wellness centre (H&amp;WC)</c:v>
                  </c:pt>
                  <c:pt idx="39">
                    <c:v>IEC Activity under NQAP, LaQshya, Kayakalp &amp; Mera-Aspataal (Signages- Approach road, Departmental, Directional and other facility level signage's)</c:v>
                  </c:pt>
                  <c:pt idx="40">
                    <c:v>IEC/BCC- Free Diagnostic Service Initiative (Pathology &amp; Radiology)</c:v>
                  </c:pt>
                  <c:pt idx="41">
                    <c:v>Other IEC/BCC activities</c:v>
                  </c:pt>
                  <c:pt idx="42">
                    <c:v>Interpersonal Communication Tools for the frontline health workers</c:v>
                  </c:pt>
                  <c:pt idx="43">
                    <c:v>Targeting Naturally Occurring Gathering of People/ Health Mela</c:v>
                  </c:pt>
                  <c:pt idx="44">
                    <c:v>Innovative IEC/ BCC Strategies including mobile based solutions, social media and engagement of youth</c:v>
                  </c:pt>
                  <c:pt idx="45">
                    <c:v>SBCC/IEC/Advocacy campaigns </c:v>
                  </c:pt>
                  <c:pt idx="46">
                    <c:v>Places covered with hoardings/ bill boards/ signage etc.</c:v>
                  </c:pt>
                  <c:pt idx="47">
                    <c:v>Usage of Folk media such as Nukkad Natak/ mobile audio visual services/ local radio etc.</c:v>
                  </c:pt>
                  <c:pt idx="48">
                    <c:v>Development of IEC Material</c:v>
                  </c:pt>
                  <c:pt idx="49">
                    <c:v>State-level IEC Campaigns/Other IEC Campaigns</c:v>
                  </c:pt>
                  <c:pt idx="50">
                    <c:v>Any other (please specify)</c:v>
                  </c:pt>
                  <c:pt idx="52">
                    <c:v>IEC/BCC activities under NVBDCP</c:v>
                  </c:pt>
                  <c:pt idx="53">
                    <c:v>IEC/BCC for Malaria</c:v>
                  </c:pt>
                  <c:pt idx="54">
                    <c:v>IEC/BCC for Social mobilization (Dengue and Chikungunya)</c:v>
                  </c:pt>
                  <c:pt idx="55">
                    <c:v>IEC/BCC specific to J.E. in endemic areas</c:v>
                  </c:pt>
                  <c:pt idx="56">
                    <c:v>Specific IEC/BCC for Lymphatic Filariasis at State, District, PHC, Sub-centre and village level including VHSC/GKs for community mobilization efforts to realize the desired drug compliance of 85% during MDA</c:v>
                  </c:pt>
                  <c:pt idx="57">
                    <c:v>IEC/BCC/Advocacy for Kala-azar</c:v>
                  </c:pt>
                  <c:pt idx="58">
                    <c:v>IEC/BCC activities as per the GFATM project</c:v>
                  </c:pt>
                  <c:pt idx="59">
                    <c:v>IEC/ BCC activities under MVCR</c:v>
                  </c:pt>
                  <c:pt idx="60">
                    <c:v>Any other IEC/BCC activities (please specify)</c:v>
                  </c:pt>
                  <c:pt idx="61">
                    <c:v>IEC/BCC activities under NLEP</c:v>
                  </c:pt>
                  <c:pt idx="62">
                    <c:v>IEC/BCC: Mass media, Outdoor media, Rural media, Advocacy media for NLEP including Sparsh Leprosy Awareness Campaign</c:v>
                  </c:pt>
                  <c:pt idx="63">
                    <c:v>Any other IEC/BCC activities (please specify)</c:v>
                  </c:pt>
                  <c:pt idx="64">
                    <c:v>IEC/BCC activities under NTEP</c:v>
                  </c:pt>
                  <c:pt idx="65">
                    <c:v>ACSM (State &amp; district)</c:v>
                  </c:pt>
                  <c:pt idx="66">
                    <c:v>TB Harega Desh Jeetega' Campaign</c:v>
                  </c:pt>
                  <c:pt idx="67">
                    <c:v>Any other IEC/BCC activities (please specify)</c:v>
                  </c:pt>
                  <c:pt idx="68">
                    <c:v>IEC/BCC under NRCP: Rabies Awareness and Do's and Don'ts in the event of Animal Bites</c:v>
                  </c:pt>
                  <c:pt idx="69">
                    <c:v>IEC under Programme for Prevention and Control of Leptospirosis</c:v>
                  </c:pt>
                  <c:pt idx="70">
                    <c:v>IEC under NVHCP</c:v>
                  </c:pt>
                  <c:pt idx="72">
                    <c:v>IEC/BCC activities under NPCB</c:v>
                  </c:pt>
                  <c:pt idx="73">
                    <c:v>State level IEC for Minor State @ Rs. 10 lakh and for Major States @ Rs. 20 lakh under NPCB&amp;VI</c:v>
                  </c:pt>
                  <c:pt idx="74">
                    <c:v>Any other IEC/BCC activities (please specify)</c:v>
                  </c:pt>
                  <c:pt idx="75">
                    <c:v>IEC/BCC activities under NMHP</c:v>
                  </c:pt>
                  <c:pt idx="76">
                    <c:v>Translation of IEC material and distribution</c:v>
                  </c:pt>
                  <c:pt idx="77">
                    <c:v>Awareness generation activities in the community, schools, workplaces with community involvement</c:v>
                  </c:pt>
                  <c:pt idx="78">
                    <c:v>Any other IEC/BCC activities (please specify)</c:v>
                  </c:pt>
                  <c:pt idx="79">
                    <c:v>IEC/BCC activities under NPHCE</c:v>
                  </c:pt>
                  <c:pt idx="80">
                    <c:v>IPC,Group activities and mass media for NPHCE</c:v>
                  </c:pt>
                  <c:pt idx="81">
                    <c:v>Celebration of days-ie International Day for older persons</c:v>
                  </c:pt>
                  <c:pt idx="82">
                    <c:v>IEC/BCC activities under NTCP</c:v>
                  </c:pt>
                  <c:pt idx="83">
                    <c:v>IEC/BCC for NTCP</c:v>
                  </c:pt>
                  <c:pt idx="84">
                    <c:v>IEC/BCC activities under NPCDCS</c:v>
                  </c:pt>
                  <c:pt idx="85">
                    <c:v>IEC/BCC for State NCD  Cell</c:v>
                  </c:pt>
                  <c:pt idx="86">
                    <c:v>IEC/BCC for District  NCD Cell</c:v>
                  </c:pt>
                  <c:pt idx="87">
                    <c:v>IEC/BCC activities for Universal Screening of NCDs</c:v>
                  </c:pt>
                  <c:pt idx="88">
                    <c:v>Any other IEC/BCC activities (please specify)</c:v>
                  </c:pt>
                  <c:pt idx="89">
                    <c:v>IEC/BCC under NOHP</c:v>
                  </c:pt>
                  <c:pt idx="90">
                    <c:v>IEC on Climate Sensitive Diseases at Block , District and State level  – Air pollution, Heat and other relevant Climate Sensitive diseases</c:v>
                  </c:pt>
                  <c:pt idx="91">
                    <c:v>IEC/BCC - National Dialysis Programme (Haemodialysis and Peritoneal Dialysis)</c:v>
                  </c:pt>
                  <c:pt idx="92">
                    <c:v>IEC/BCC activities under NPPCD</c:v>
                  </c:pt>
                  <c:pt idx="93">
                    <c:v>IEC activities</c:v>
                  </c:pt>
                  <c:pt idx="94">
                    <c:v>Any Other</c:v>
                  </c:pt>
                  <c:pt idx="95">
                    <c:v>IEC/BCC activities under NPPC</c:v>
                  </c:pt>
                  <c:pt idx="96">
                    <c:v>IEC for DH</c:v>
                  </c:pt>
                  <c:pt idx="97">
                    <c:v>IEC for State Palliative care cell</c:v>
                  </c:pt>
                  <c:pt idx="98">
                    <c:v>Any other IEC/BCC activities (please specify)</c:v>
                  </c:pt>
                  <c:pt idx="99">
                    <c:v>IEC/BCC activities under NPPCF</c:v>
                  </c:pt>
                  <c:pt idx="100">
                    <c:v>Health Education &amp; Publicity for National Programme for Fluorosis (State and District Level)</c:v>
                  </c:pt>
                  <c:pt idx="101">
                    <c:v>Any other IEC/BCC activities (please specify)</c:v>
                  </c:pt>
                </c:lvl>
                <c:lvl>
                  <c:pt idx="1">
                    <c:v>B.10.3.1</c:v>
                  </c:pt>
                  <c:pt idx="2">
                    <c:v>B.10.3.1.1</c:v>
                  </c:pt>
                  <c:pt idx="3">
                    <c:v>B.10.3.1.2</c:v>
                  </c:pt>
                  <c:pt idx="5">
                    <c:v>B.10.3.2</c:v>
                  </c:pt>
                  <c:pt idx="6">
                    <c:v>B.10.3.2.1</c:v>
                  </c:pt>
                  <c:pt idx="7">
                    <c:v>B.10.3.2.2</c:v>
                  </c:pt>
                  <c:pt idx="10">
                    <c:v>B.10.3.3</c:v>
                  </c:pt>
                  <c:pt idx="11">
                    <c:v>B.10.3.3.1</c:v>
                  </c:pt>
                  <c:pt idx="12">
                    <c:v>B.10.3.3.2</c:v>
                  </c:pt>
                  <c:pt idx="13">
                    <c:v>A.3.5.4</c:v>
                  </c:pt>
                  <c:pt idx="14">
                    <c:v>A.3.5.5</c:v>
                  </c:pt>
                  <c:pt idx="15">
                    <c:v>A.3.7.4</c:v>
                  </c:pt>
                  <c:pt idx="17">
                    <c:v>B.10.3.4</c:v>
                  </c:pt>
                  <c:pt idx="18">
                    <c:v>B.10.3.4.1</c:v>
                  </c:pt>
                  <c:pt idx="19">
                    <c:v>B.10.3.4.2</c:v>
                  </c:pt>
                  <c:pt idx="25">
                    <c:v>B.10.3.5</c:v>
                  </c:pt>
                  <c:pt idx="28">
                    <c:v>B.10.6.7</c:v>
                  </c:pt>
                  <c:pt idx="31">
                    <c:v>B.10.2</c:v>
                  </c:pt>
                  <c:pt idx="32">
                    <c:v>B.10.7.4.5</c:v>
                  </c:pt>
                  <c:pt idx="38">
                    <c:v>B18.3</c:v>
                  </c:pt>
                  <c:pt idx="42">
                    <c:v>B.10.4</c:v>
                  </c:pt>
                  <c:pt idx="43">
                    <c:v>B.10.5</c:v>
                  </c:pt>
                  <c:pt idx="44">
                    <c:v>B.10.6.1</c:v>
                  </c:pt>
                  <c:pt idx="45">
                    <c:v>B.10.6.14.1</c:v>
                  </c:pt>
                  <c:pt idx="46">
                    <c:v>B.10.6.14.1.b</c:v>
                  </c:pt>
                  <c:pt idx="47">
                    <c:v>B.10.6.14.1.c</c:v>
                  </c:pt>
                  <c:pt idx="48">
                    <c:v>B.10.6.14.3.a</c:v>
                  </c:pt>
                  <c:pt idx="49">
                    <c:v>B.10.6.14.3.b</c:v>
                  </c:pt>
                  <c:pt idx="53">
                    <c:v>B.10.6.9.a</c:v>
                  </c:pt>
                  <c:pt idx="54">
                    <c:v>B.10.6.9.b</c:v>
                  </c:pt>
                  <c:pt idx="55">
                    <c:v>B.10.6.9.c</c:v>
                  </c:pt>
                  <c:pt idx="56">
                    <c:v>B.10.6.9.d</c:v>
                  </c:pt>
                  <c:pt idx="57">
                    <c:v>B.10.6.9.e</c:v>
                  </c:pt>
                  <c:pt idx="58">
                    <c:v>B.10.6.9.f</c:v>
                  </c:pt>
                  <c:pt idx="62">
                    <c:v>B.10.6.10</c:v>
                  </c:pt>
                  <c:pt idx="65">
                    <c:v>H.4</c:v>
                  </c:pt>
                  <c:pt idx="73">
                    <c:v>B.10.6.11</c:v>
                  </c:pt>
                  <c:pt idx="75">
                    <c:v>B.10.6.12</c:v>
                  </c:pt>
                  <c:pt idx="76">
                    <c:v>B.10.6.12.a</c:v>
                  </c:pt>
                  <c:pt idx="77">
                    <c:v>B.10.6.12.b</c:v>
                  </c:pt>
                  <c:pt idx="80">
                    <c:v>B.10.6.13</c:v>
                  </c:pt>
                  <c:pt idx="83">
                    <c:v>B.10.6.14</c:v>
                  </c:pt>
                  <c:pt idx="84">
                    <c:v>O.2.3</c:v>
                  </c:pt>
                  <c:pt idx="85">
                    <c:v>O.2.3.1</c:v>
                  </c:pt>
                  <c:pt idx="86">
                    <c:v>O.2.3.2</c:v>
                  </c:pt>
                  <c:pt idx="92">
                    <c:v>B.10.6.5</c:v>
                  </c:pt>
                  <c:pt idx="96">
                    <c:v>B.27.1.3</c:v>
                  </c:pt>
                  <c:pt idx="97">
                    <c:v>B.27.2.2</c:v>
                  </c:pt>
                  <c:pt idx="100">
                    <c:v>B.10.6.6</c:v>
                  </c:pt>
                </c:lvl>
                <c:lvl>
                  <c:pt idx="1">
                    <c:v>11.4</c:v>
                  </c:pt>
                  <c:pt idx="2">
                    <c:v>11.4.1</c:v>
                  </c:pt>
                  <c:pt idx="3">
                    <c:v>11.4.2</c:v>
                  </c:pt>
                  <c:pt idx="4">
                    <c:v>11.4.3</c:v>
                  </c:pt>
                  <c:pt idx="5">
                    <c:v>11.5</c:v>
                  </c:pt>
                  <c:pt idx="6">
                    <c:v>11.5.1</c:v>
                  </c:pt>
                  <c:pt idx="7">
                    <c:v>11.5.2</c:v>
                  </c:pt>
                  <c:pt idx="8">
                    <c:v>11.5.3</c:v>
                  </c:pt>
                  <c:pt idx="9">
                    <c:v>11.5.4</c:v>
                  </c:pt>
                  <c:pt idx="10">
                    <c:v>11.6</c:v>
                  </c:pt>
                  <c:pt idx="11">
                    <c:v>11.6.1</c:v>
                  </c:pt>
                  <c:pt idx="12">
                    <c:v>11.6.2</c:v>
                  </c:pt>
                  <c:pt idx="13">
                    <c:v>11.6.3</c:v>
                  </c:pt>
                  <c:pt idx="14">
                    <c:v>11.6.4</c:v>
                  </c:pt>
                  <c:pt idx="15">
                    <c:v>11.6.5</c:v>
                  </c:pt>
                  <c:pt idx="16">
                    <c:v>11.6.6</c:v>
                  </c:pt>
                  <c:pt idx="17">
                    <c:v>11.7</c:v>
                  </c:pt>
                  <c:pt idx="18">
                    <c:v>11.7.1</c:v>
                  </c:pt>
                  <c:pt idx="19">
                    <c:v>11.7.2</c:v>
                  </c:pt>
                  <c:pt idx="20">
                    <c:v>11.7.3</c:v>
                  </c:pt>
                  <c:pt idx="21">
                    <c:v>11.8</c:v>
                  </c:pt>
                  <c:pt idx="22">
                    <c:v>11.8.1</c:v>
                  </c:pt>
                  <c:pt idx="23">
                    <c:v>11.8.2</c:v>
                  </c:pt>
                  <c:pt idx="24">
                    <c:v>11.9</c:v>
                  </c:pt>
                  <c:pt idx="25">
                    <c:v>11.9.1</c:v>
                  </c:pt>
                  <c:pt idx="26">
                    <c:v>11.9.2</c:v>
                  </c:pt>
                  <c:pt idx="27">
                    <c:v>11.14</c:v>
                  </c:pt>
                  <c:pt idx="28">
                    <c:v>11.14.1</c:v>
                  </c:pt>
                  <c:pt idx="29">
                    <c:v>11.14.2</c:v>
                  </c:pt>
                  <c:pt idx="31">
                    <c:v>11.1</c:v>
                  </c:pt>
                  <c:pt idx="32">
                    <c:v>11.10</c:v>
                  </c:pt>
                  <c:pt idx="33">
                    <c:v>11.10.1</c:v>
                  </c:pt>
                  <c:pt idx="34">
                    <c:v>11.10.2</c:v>
                  </c:pt>
                  <c:pt idx="35">
                    <c:v>11.23</c:v>
                  </c:pt>
                  <c:pt idx="36">
                    <c:v>11.23.1</c:v>
                  </c:pt>
                  <c:pt idx="37">
                    <c:v>11.23.2</c:v>
                  </c:pt>
                  <c:pt idx="38">
                    <c:v>11.24.1</c:v>
                  </c:pt>
                  <c:pt idx="39">
                    <c:v>11.24.4.5</c:v>
                  </c:pt>
                  <c:pt idx="40">
                    <c:v>11.24.4.7</c:v>
                  </c:pt>
                  <c:pt idx="41">
                    <c:v>11.24</c:v>
                  </c:pt>
                  <c:pt idx="42">
                    <c:v>11.2</c:v>
                  </c:pt>
                  <c:pt idx="43">
                    <c:v>11.3</c:v>
                  </c:pt>
                  <c:pt idx="44">
                    <c:v>11.24.2</c:v>
                  </c:pt>
                  <c:pt idx="45">
                    <c:v>11.24.3</c:v>
                  </c:pt>
                  <c:pt idx="46">
                    <c:v>11.24.3.1</c:v>
                  </c:pt>
                  <c:pt idx="47">
                    <c:v>11.24.3.2</c:v>
                  </c:pt>
                  <c:pt idx="48">
                    <c:v>11.24.3.3</c:v>
                  </c:pt>
                  <c:pt idx="49">
                    <c:v>11.24.3.4</c:v>
                  </c:pt>
                  <c:pt idx="50">
                    <c:v>11.24.4.9</c:v>
                  </c:pt>
                  <c:pt idx="52">
                    <c:v>11.15</c:v>
                  </c:pt>
                  <c:pt idx="53">
                    <c:v>11.15.1</c:v>
                  </c:pt>
                  <c:pt idx="54">
                    <c:v>11.15.2</c:v>
                  </c:pt>
                  <c:pt idx="55">
                    <c:v>11.15.3</c:v>
                  </c:pt>
                  <c:pt idx="56">
                    <c:v>11.15.4</c:v>
                  </c:pt>
                  <c:pt idx="57">
                    <c:v>11.15.5</c:v>
                  </c:pt>
                  <c:pt idx="58">
                    <c:v>11.15.6</c:v>
                  </c:pt>
                  <c:pt idx="59">
                    <c:v>11.15.7</c:v>
                  </c:pt>
                  <c:pt idx="60">
                    <c:v>11.15.8</c:v>
                  </c:pt>
                  <c:pt idx="61">
                    <c:v>11.16</c:v>
                  </c:pt>
                  <c:pt idx="62">
                    <c:v>11.16.1</c:v>
                  </c:pt>
                  <c:pt idx="63">
                    <c:v>11.16.2</c:v>
                  </c:pt>
                  <c:pt idx="64">
                    <c:v>11.17</c:v>
                  </c:pt>
                  <c:pt idx="65">
                    <c:v>11.17.1</c:v>
                  </c:pt>
                  <c:pt idx="66">
                    <c:v>11.17.2</c:v>
                  </c:pt>
                  <c:pt idx="67">
                    <c:v>11.17.3</c:v>
                  </c:pt>
                  <c:pt idx="68">
                    <c:v>11.24.4.1</c:v>
                  </c:pt>
                  <c:pt idx="69">
                    <c:v>11.24.4.6</c:v>
                  </c:pt>
                  <c:pt idx="72">
                    <c:v>11.18</c:v>
                  </c:pt>
                  <c:pt idx="73">
                    <c:v>11.18.1</c:v>
                  </c:pt>
                  <c:pt idx="74">
                    <c:v>11.18.2</c:v>
                  </c:pt>
                  <c:pt idx="75">
                    <c:v>11.19</c:v>
                  </c:pt>
                  <c:pt idx="76">
                    <c:v>11.19.1</c:v>
                  </c:pt>
                  <c:pt idx="77">
                    <c:v>11.19.2</c:v>
                  </c:pt>
                  <c:pt idx="78">
                    <c:v>11.19.3</c:v>
                  </c:pt>
                  <c:pt idx="79">
                    <c:v>11.20</c:v>
                  </c:pt>
                  <c:pt idx="80">
                    <c:v>11.20.1</c:v>
                  </c:pt>
                  <c:pt idx="81">
                    <c:v>11.20.2</c:v>
                  </c:pt>
                  <c:pt idx="82">
                    <c:v>11.21</c:v>
                  </c:pt>
                  <c:pt idx="83">
                    <c:v>11.21.1</c:v>
                  </c:pt>
                  <c:pt idx="84">
                    <c:v>11.22</c:v>
                  </c:pt>
                  <c:pt idx="85">
                    <c:v>11.22.1</c:v>
                  </c:pt>
                  <c:pt idx="86">
                    <c:v>11.22.2</c:v>
                  </c:pt>
                  <c:pt idx="87">
                    <c:v>11.22.3</c:v>
                  </c:pt>
                  <c:pt idx="88">
                    <c:v>11.22.4</c:v>
                  </c:pt>
                  <c:pt idx="89">
                    <c:v>11.24.4.2</c:v>
                  </c:pt>
                  <c:pt idx="90">
                    <c:v>11.24.4.4</c:v>
                  </c:pt>
                  <c:pt idx="91">
                    <c:v>11.24.4.8</c:v>
                  </c:pt>
                  <c:pt idx="92">
                    <c:v>11.11</c:v>
                  </c:pt>
                  <c:pt idx="93">
                    <c:v>11.11.1</c:v>
                  </c:pt>
                  <c:pt idx="94">
                    <c:v>11.11.2</c:v>
                  </c:pt>
                  <c:pt idx="95">
                    <c:v>11.12</c:v>
                  </c:pt>
                  <c:pt idx="96">
                    <c:v>11.12.1</c:v>
                  </c:pt>
                  <c:pt idx="97">
                    <c:v>11.12.2</c:v>
                  </c:pt>
                  <c:pt idx="98">
                    <c:v>11.12.3</c:v>
                  </c:pt>
                  <c:pt idx="99">
                    <c:v>11.13</c:v>
                  </c:pt>
                  <c:pt idx="100">
                    <c:v>11.13.1</c:v>
                  </c:pt>
                  <c:pt idx="101">
                    <c:v>11.13.2</c:v>
                  </c:pt>
                </c:lvl>
              </c:multiLvlStrCache>
            </c:multiLvlStrRef>
          </c:cat>
          <c:val>
            <c:numRef>
              <c:f>'11-A. IEC Sub-Annex'!$G$5:$G$106</c:f>
            </c:numRef>
          </c:val>
          <c:extLst xmlns:c16r2="http://schemas.microsoft.com/office/drawing/2015/06/chart">
            <c:ext xmlns:c16="http://schemas.microsoft.com/office/drawing/2014/chart" uri="{C3380CC4-5D6E-409C-BE32-E72D297353CC}">
              <c16:uniqueId val="{00000001-5F31-4E66-B011-A29233064213}"/>
            </c:ext>
          </c:extLst>
        </c:ser>
        <c:ser>
          <c:idx val="2"/>
          <c:order val="2"/>
          <c:tx>
            <c:strRef>
              <c:f>'11-A. IEC Sub-Annex'!$H$1:$H$4</c:f>
              <c:strCache>
                <c:ptCount val="1"/>
                <c:pt idx="0">
                  <c:v>Summary of Abst. As in RoP 2020-21 Budget 2020-21</c:v>
                </c:pt>
              </c:strCache>
            </c:strRef>
          </c:tx>
          <c:cat>
            <c:multiLvlStrRef>
              <c:f>'11-A. IEC Sub-Annex'!$A$5:$E$106</c:f>
              <c:multiLvlStrCache>
                <c:ptCount val="102"/>
                <c:lvl>
                  <c:pt idx="2">
                    <c:v>RCH</c:v>
                  </c:pt>
                  <c:pt idx="3">
                    <c:v>RCH</c:v>
                  </c:pt>
                  <c:pt idx="4">
                    <c:v>RCH</c:v>
                  </c:pt>
                  <c:pt idx="6">
                    <c:v>RCH</c:v>
                  </c:pt>
                  <c:pt idx="7">
                    <c:v>RCH</c:v>
                  </c:pt>
                  <c:pt idx="8">
                    <c:v>RCH</c:v>
                  </c:pt>
                  <c:pt idx="9">
                    <c:v>RCH</c:v>
                  </c:pt>
                  <c:pt idx="11">
                    <c:v>RCH</c:v>
                  </c:pt>
                  <c:pt idx="12">
                    <c:v>RCH</c:v>
                  </c:pt>
                  <c:pt idx="13">
                    <c:v>RCH</c:v>
                  </c:pt>
                  <c:pt idx="14">
                    <c:v>RCH</c:v>
                  </c:pt>
                  <c:pt idx="15">
                    <c:v>RCH</c:v>
                  </c:pt>
                  <c:pt idx="16">
                    <c:v>RCH</c:v>
                  </c:pt>
                  <c:pt idx="18">
                    <c:v>RCH</c:v>
                  </c:pt>
                  <c:pt idx="19">
                    <c:v>RCH</c:v>
                  </c:pt>
                  <c:pt idx="20">
                    <c:v>RCH</c:v>
                  </c:pt>
                  <c:pt idx="22">
                    <c:v>RCH</c:v>
                  </c:pt>
                  <c:pt idx="23">
                    <c:v>RCH</c:v>
                  </c:pt>
                  <c:pt idx="25">
                    <c:v>RCH</c:v>
                  </c:pt>
                  <c:pt idx="26">
                    <c:v>RCH</c:v>
                  </c:pt>
                  <c:pt idx="28">
                    <c:v>RCH</c:v>
                  </c:pt>
                  <c:pt idx="29">
                    <c:v>RCH</c:v>
                  </c:pt>
                  <c:pt idx="31">
                    <c:v>HSS</c:v>
                  </c:pt>
                  <c:pt idx="33">
                    <c:v>HSS</c:v>
                  </c:pt>
                  <c:pt idx="34">
                    <c:v>HSS</c:v>
                  </c:pt>
                  <c:pt idx="36">
                    <c:v>HSS</c:v>
                  </c:pt>
                  <c:pt idx="37">
                    <c:v>HSS</c:v>
                  </c:pt>
                  <c:pt idx="38">
                    <c:v>HSS</c:v>
                  </c:pt>
                  <c:pt idx="39">
                    <c:v>HSS</c:v>
                  </c:pt>
                  <c:pt idx="40">
                    <c:v>HSS</c:v>
                  </c:pt>
                  <c:pt idx="42">
                    <c:v>HSS</c:v>
                  </c:pt>
                  <c:pt idx="43">
                    <c:v>HSS</c:v>
                  </c:pt>
                  <c:pt idx="44">
                    <c:v>HSS</c:v>
                  </c:pt>
                  <c:pt idx="46">
                    <c:v>HSS</c:v>
                  </c:pt>
                  <c:pt idx="47">
                    <c:v>HSS</c:v>
                  </c:pt>
                  <c:pt idx="48">
                    <c:v>HSS</c:v>
                  </c:pt>
                  <c:pt idx="49">
                    <c:v>HSS</c:v>
                  </c:pt>
                  <c:pt idx="50">
                    <c:v>HSS</c:v>
                  </c:pt>
                  <c:pt idx="53">
                    <c:v>NDCP</c:v>
                  </c:pt>
                  <c:pt idx="54">
                    <c:v>NDCP</c:v>
                  </c:pt>
                  <c:pt idx="55">
                    <c:v>NDCP</c:v>
                  </c:pt>
                  <c:pt idx="56">
                    <c:v>NDCP</c:v>
                  </c:pt>
                  <c:pt idx="57">
                    <c:v>NDCP</c:v>
                  </c:pt>
                  <c:pt idx="58">
                    <c:v>NDCP</c:v>
                  </c:pt>
                  <c:pt idx="59">
                    <c:v>NDCP</c:v>
                  </c:pt>
                  <c:pt idx="60">
                    <c:v>NDCP</c:v>
                  </c:pt>
                  <c:pt idx="62">
                    <c:v>NDCP</c:v>
                  </c:pt>
                  <c:pt idx="63">
                    <c:v>NDCP</c:v>
                  </c:pt>
                  <c:pt idx="65">
                    <c:v>NDCP</c:v>
                  </c:pt>
                  <c:pt idx="66">
                    <c:v>NDCP</c:v>
                  </c:pt>
                  <c:pt idx="67">
                    <c:v>NDCP</c:v>
                  </c:pt>
                  <c:pt idx="68">
                    <c:v>NDCP</c:v>
                  </c:pt>
                  <c:pt idx="69">
                    <c:v>NDCP</c:v>
                  </c:pt>
                  <c:pt idx="70">
                    <c:v>NDCP</c:v>
                  </c:pt>
                  <c:pt idx="73">
                    <c:v>NCD</c:v>
                  </c:pt>
                  <c:pt idx="74">
                    <c:v>NCD</c:v>
                  </c:pt>
                  <c:pt idx="76">
                    <c:v>NCD</c:v>
                  </c:pt>
                  <c:pt idx="77">
                    <c:v>NCD</c:v>
                  </c:pt>
                  <c:pt idx="78">
                    <c:v>NCD</c:v>
                  </c:pt>
                  <c:pt idx="80">
                    <c:v>NCD</c:v>
                  </c:pt>
                  <c:pt idx="81">
                    <c:v>NCD</c:v>
                  </c:pt>
                  <c:pt idx="83">
                    <c:v>NCD</c:v>
                  </c:pt>
                  <c:pt idx="85">
                    <c:v>NCD</c:v>
                  </c:pt>
                  <c:pt idx="86">
                    <c:v>NCD</c:v>
                  </c:pt>
                  <c:pt idx="87">
                    <c:v>NCD</c:v>
                  </c:pt>
                  <c:pt idx="88">
                    <c:v>NCD</c:v>
                  </c:pt>
                  <c:pt idx="89">
                    <c:v>NCD</c:v>
                  </c:pt>
                  <c:pt idx="90">
                    <c:v>NCD</c:v>
                  </c:pt>
                  <c:pt idx="91">
                    <c:v>NCD</c:v>
                  </c:pt>
                  <c:pt idx="93">
                    <c:v>NCD</c:v>
                  </c:pt>
                  <c:pt idx="94">
                    <c:v>NCD</c:v>
                  </c:pt>
                  <c:pt idx="96">
                    <c:v>NCD</c:v>
                  </c:pt>
                  <c:pt idx="97">
                    <c:v>NCD</c:v>
                  </c:pt>
                  <c:pt idx="98">
                    <c:v>NCD</c:v>
                  </c:pt>
                  <c:pt idx="100">
                    <c:v>NCD</c:v>
                  </c:pt>
                  <c:pt idx="101">
                    <c:v>NCD</c:v>
                  </c:pt>
                </c:lvl>
                <c:lvl>
                  <c:pt idx="1">
                    <c:v>IEC/BCC activities under MH</c:v>
                  </c:pt>
                  <c:pt idx="2">
                    <c:v>Media Mix of Mid Media/ Mass Media</c:v>
                  </c:pt>
                  <c:pt idx="3">
                    <c:v>Inter Personal Communication</c:v>
                  </c:pt>
                  <c:pt idx="4">
                    <c:v>Any other IEC/BCC activities (please specify)</c:v>
                  </c:pt>
                  <c:pt idx="5">
                    <c:v>IEC/BCC activities under CH</c:v>
                  </c:pt>
                  <c:pt idx="6">
                    <c:v>Media Mix of Mid Media/ Mass Media</c:v>
                  </c:pt>
                  <c:pt idx="7">
                    <c:v>Inter Personal Communication</c:v>
                  </c:pt>
                  <c:pt idx="8">
                    <c:v>IEC for family participatory care</c:v>
                  </c:pt>
                  <c:pt idx="9">
                    <c:v>Any other IEC/BCC activities (please specify) including SAANS campaign IEC at state/district level</c:v>
                  </c:pt>
                  <c:pt idx="10">
                    <c:v>IEC/BCC activities under FP</c:v>
                  </c:pt>
                  <c:pt idx="11">
                    <c:v>Media Mix of Mid Media/ Mass Media</c:v>
                  </c:pt>
                  <c:pt idx="12">
                    <c:v>Inter Personal Communication</c:v>
                  </c:pt>
                  <c:pt idx="13">
                    <c:v>IEC &amp; promotional activities for World Population Day celebration</c:v>
                  </c:pt>
                  <c:pt idx="14">
                    <c:v>IEC &amp; promotional activities for Vasectomy Fortnight celebration </c:v>
                  </c:pt>
                  <c:pt idx="15">
                    <c:v>IEC activities for Mission Parivar Vikas Campaign (Frequency-at least 4/year)</c:v>
                  </c:pt>
                  <c:pt idx="16">
                    <c:v>Any other IEC/BCC activities (please specify)</c:v>
                  </c:pt>
                  <c:pt idx="17">
                    <c:v>IEC/BCC activities under AH</c:v>
                  </c:pt>
                  <c:pt idx="18">
                    <c:v>Media Mix of Mass Media/ Mid Media including promotion of menstrual hygiene scheme</c:v>
                  </c:pt>
                  <c:pt idx="19">
                    <c:v>Inter Personal Communication</c:v>
                  </c:pt>
                  <c:pt idx="20">
                    <c:v>Any other IEC/BCC activities (please specify)</c:v>
                  </c:pt>
                  <c:pt idx="21">
                    <c:v>IEC/BCC activities under Immunization</c:v>
                  </c:pt>
                  <c:pt idx="22">
                    <c:v>IEC activities for Immunization</c:v>
                  </c:pt>
                  <c:pt idx="23">
                    <c:v>Any other IEC/BCC activities (please specify)</c:v>
                  </c:pt>
                  <c:pt idx="24">
                    <c:v>IEC/BCC activities under PNDT</c:v>
                  </c:pt>
                  <c:pt idx="25">
                    <c:v>Creating awareness on declining sex ratio issue (PNDT)</c:v>
                  </c:pt>
                  <c:pt idx="26">
                    <c:v>Any other IEC/BCC activities (please specify)</c:v>
                  </c:pt>
                  <c:pt idx="27">
                    <c:v>IEC/BCC activities under NIDDCP</c:v>
                  </c:pt>
                  <c:pt idx="28">
                    <c:v>Health Education &amp; Publicity for NIDDCP</c:v>
                  </c:pt>
                  <c:pt idx="29">
                    <c:v>Any other IEC/BCC activities (please specify)</c:v>
                  </c:pt>
                  <c:pt idx="31">
                    <c:v>Development of State Communication strategy (comprising of district plans)</c:v>
                  </c:pt>
                  <c:pt idx="32">
                    <c:v>IEC/BCC activities under Blood services &amp; disorders</c:v>
                  </c:pt>
                  <c:pt idx="33">
                    <c:v>IEC/BCC activities under Blood Services</c:v>
                  </c:pt>
                  <c:pt idx="34">
                    <c:v>IEC/BCC activities under Blood Disorders</c:v>
                  </c:pt>
                  <c:pt idx="35">
                    <c:v>IEC/BCC activities under ASHA</c:v>
                  </c:pt>
                  <c:pt idx="38">
                    <c:v>IEC activities for Ayushman Bharat Health &amp; Wellness centre (H&amp;WC)</c:v>
                  </c:pt>
                  <c:pt idx="39">
                    <c:v>IEC Activity under NQAP, LaQshya, Kayakalp &amp; Mera-Aspataal (Signages- Approach road, Departmental, Directional and other facility level signage's)</c:v>
                  </c:pt>
                  <c:pt idx="40">
                    <c:v>IEC/BCC- Free Diagnostic Service Initiative (Pathology &amp; Radiology)</c:v>
                  </c:pt>
                  <c:pt idx="41">
                    <c:v>Other IEC/BCC activities</c:v>
                  </c:pt>
                  <c:pt idx="42">
                    <c:v>Interpersonal Communication Tools for the frontline health workers</c:v>
                  </c:pt>
                  <c:pt idx="43">
                    <c:v>Targeting Naturally Occurring Gathering of People/ Health Mela</c:v>
                  </c:pt>
                  <c:pt idx="44">
                    <c:v>Innovative IEC/ BCC Strategies including mobile based solutions, social media and engagement of youth</c:v>
                  </c:pt>
                  <c:pt idx="45">
                    <c:v>SBCC/IEC/Advocacy campaigns </c:v>
                  </c:pt>
                  <c:pt idx="46">
                    <c:v>Places covered with hoardings/ bill boards/ signage etc.</c:v>
                  </c:pt>
                  <c:pt idx="47">
                    <c:v>Usage of Folk media such as Nukkad Natak/ mobile audio visual services/ local radio etc.</c:v>
                  </c:pt>
                  <c:pt idx="48">
                    <c:v>Development of IEC Material</c:v>
                  </c:pt>
                  <c:pt idx="49">
                    <c:v>State-level IEC Campaigns/Other IEC Campaigns</c:v>
                  </c:pt>
                  <c:pt idx="50">
                    <c:v>Any other (please specify)</c:v>
                  </c:pt>
                  <c:pt idx="52">
                    <c:v>IEC/BCC activities under NVBDCP</c:v>
                  </c:pt>
                  <c:pt idx="53">
                    <c:v>IEC/BCC for Malaria</c:v>
                  </c:pt>
                  <c:pt idx="54">
                    <c:v>IEC/BCC for Social mobilization (Dengue and Chikungunya)</c:v>
                  </c:pt>
                  <c:pt idx="55">
                    <c:v>IEC/BCC specific to J.E. in endemic areas</c:v>
                  </c:pt>
                  <c:pt idx="56">
                    <c:v>Specific IEC/BCC for Lymphatic Filariasis at State, District, PHC, Sub-centre and village level including VHSC/GKs for community mobilization efforts to realize the desired drug compliance of 85% during MDA</c:v>
                  </c:pt>
                  <c:pt idx="57">
                    <c:v>IEC/BCC/Advocacy for Kala-azar</c:v>
                  </c:pt>
                  <c:pt idx="58">
                    <c:v>IEC/BCC activities as per the GFATM project</c:v>
                  </c:pt>
                  <c:pt idx="59">
                    <c:v>IEC/ BCC activities under MVCR</c:v>
                  </c:pt>
                  <c:pt idx="60">
                    <c:v>Any other IEC/BCC activities (please specify)</c:v>
                  </c:pt>
                  <c:pt idx="61">
                    <c:v>IEC/BCC activities under NLEP</c:v>
                  </c:pt>
                  <c:pt idx="62">
                    <c:v>IEC/BCC: Mass media, Outdoor media, Rural media, Advocacy media for NLEP including Sparsh Leprosy Awareness Campaign</c:v>
                  </c:pt>
                  <c:pt idx="63">
                    <c:v>Any other IEC/BCC activities (please specify)</c:v>
                  </c:pt>
                  <c:pt idx="64">
                    <c:v>IEC/BCC activities under NTEP</c:v>
                  </c:pt>
                  <c:pt idx="65">
                    <c:v>ACSM (State &amp; district)</c:v>
                  </c:pt>
                  <c:pt idx="66">
                    <c:v>TB Harega Desh Jeetega' Campaign</c:v>
                  </c:pt>
                  <c:pt idx="67">
                    <c:v>Any other IEC/BCC activities (please specify)</c:v>
                  </c:pt>
                  <c:pt idx="68">
                    <c:v>IEC/BCC under NRCP: Rabies Awareness and Do's and Don'ts in the event of Animal Bites</c:v>
                  </c:pt>
                  <c:pt idx="69">
                    <c:v>IEC under Programme for Prevention and Control of Leptospirosis</c:v>
                  </c:pt>
                  <c:pt idx="70">
                    <c:v>IEC under NVHCP</c:v>
                  </c:pt>
                  <c:pt idx="72">
                    <c:v>IEC/BCC activities under NPCB</c:v>
                  </c:pt>
                  <c:pt idx="73">
                    <c:v>State level IEC for Minor State @ Rs. 10 lakh and for Major States @ Rs. 20 lakh under NPCB&amp;VI</c:v>
                  </c:pt>
                  <c:pt idx="74">
                    <c:v>Any other IEC/BCC activities (please specify)</c:v>
                  </c:pt>
                  <c:pt idx="75">
                    <c:v>IEC/BCC activities under NMHP</c:v>
                  </c:pt>
                  <c:pt idx="76">
                    <c:v>Translation of IEC material and distribution</c:v>
                  </c:pt>
                  <c:pt idx="77">
                    <c:v>Awareness generation activities in the community, schools, workplaces with community involvement</c:v>
                  </c:pt>
                  <c:pt idx="78">
                    <c:v>Any other IEC/BCC activities (please specify)</c:v>
                  </c:pt>
                  <c:pt idx="79">
                    <c:v>IEC/BCC activities under NPHCE</c:v>
                  </c:pt>
                  <c:pt idx="80">
                    <c:v>IPC,Group activities and mass media for NPHCE</c:v>
                  </c:pt>
                  <c:pt idx="81">
                    <c:v>Celebration of days-ie International Day for older persons</c:v>
                  </c:pt>
                  <c:pt idx="82">
                    <c:v>IEC/BCC activities under NTCP</c:v>
                  </c:pt>
                  <c:pt idx="83">
                    <c:v>IEC/BCC for NTCP</c:v>
                  </c:pt>
                  <c:pt idx="84">
                    <c:v>IEC/BCC activities under NPCDCS</c:v>
                  </c:pt>
                  <c:pt idx="85">
                    <c:v>IEC/BCC for State NCD  Cell</c:v>
                  </c:pt>
                  <c:pt idx="86">
                    <c:v>IEC/BCC for District  NCD Cell</c:v>
                  </c:pt>
                  <c:pt idx="87">
                    <c:v>IEC/BCC activities for Universal Screening of NCDs</c:v>
                  </c:pt>
                  <c:pt idx="88">
                    <c:v>Any other IEC/BCC activities (please specify)</c:v>
                  </c:pt>
                  <c:pt idx="89">
                    <c:v>IEC/BCC under NOHP</c:v>
                  </c:pt>
                  <c:pt idx="90">
                    <c:v>IEC on Climate Sensitive Diseases at Block , District and State level  – Air pollution, Heat and other relevant Climate Sensitive diseases</c:v>
                  </c:pt>
                  <c:pt idx="91">
                    <c:v>IEC/BCC - National Dialysis Programme (Haemodialysis and Peritoneal Dialysis)</c:v>
                  </c:pt>
                  <c:pt idx="92">
                    <c:v>IEC/BCC activities under NPPCD</c:v>
                  </c:pt>
                  <c:pt idx="93">
                    <c:v>IEC activities</c:v>
                  </c:pt>
                  <c:pt idx="94">
                    <c:v>Any Other</c:v>
                  </c:pt>
                  <c:pt idx="95">
                    <c:v>IEC/BCC activities under NPPC</c:v>
                  </c:pt>
                  <c:pt idx="96">
                    <c:v>IEC for DH</c:v>
                  </c:pt>
                  <c:pt idx="97">
                    <c:v>IEC for State Palliative care cell</c:v>
                  </c:pt>
                  <c:pt idx="98">
                    <c:v>Any other IEC/BCC activities (please specify)</c:v>
                  </c:pt>
                  <c:pt idx="99">
                    <c:v>IEC/BCC activities under NPPCF</c:v>
                  </c:pt>
                  <c:pt idx="100">
                    <c:v>Health Education &amp; Publicity for National Programme for Fluorosis (State and District Level)</c:v>
                  </c:pt>
                  <c:pt idx="101">
                    <c:v>Any other IEC/BCC activities (please specify)</c:v>
                  </c:pt>
                </c:lvl>
                <c:lvl>
                  <c:pt idx="1">
                    <c:v>B.10.3.1</c:v>
                  </c:pt>
                  <c:pt idx="2">
                    <c:v>B.10.3.1.1</c:v>
                  </c:pt>
                  <c:pt idx="3">
                    <c:v>B.10.3.1.2</c:v>
                  </c:pt>
                  <c:pt idx="5">
                    <c:v>B.10.3.2</c:v>
                  </c:pt>
                  <c:pt idx="6">
                    <c:v>B.10.3.2.1</c:v>
                  </c:pt>
                  <c:pt idx="7">
                    <c:v>B.10.3.2.2</c:v>
                  </c:pt>
                  <c:pt idx="10">
                    <c:v>B.10.3.3</c:v>
                  </c:pt>
                  <c:pt idx="11">
                    <c:v>B.10.3.3.1</c:v>
                  </c:pt>
                  <c:pt idx="12">
                    <c:v>B.10.3.3.2</c:v>
                  </c:pt>
                  <c:pt idx="13">
                    <c:v>A.3.5.4</c:v>
                  </c:pt>
                  <c:pt idx="14">
                    <c:v>A.3.5.5</c:v>
                  </c:pt>
                  <c:pt idx="15">
                    <c:v>A.3.7.4</c:v>
                  </c:pt>
                  <c:pt idx="17">
                    <c:v>B.10.3.4</c:v>
                  </c:pt>
                  <c:pt idx="18">
                    <c:v>B.10.3.4.1</c:v>
                  </c:pt>
                  <c:pt idx="19">
                    <c:v>B.10.3.4.2</c:v>
                  </c:pt>
                  <c:pt idx="25">
                    <c:v>B.10.3.5</c:v>
                  </c:pt>
                  <c:pt idx="28">
                    <c:v>B.10.6.7</c:v>
                  </c:pt>
                  <c:pt idx="31">
                    <c:v>B.10.2</c:v>
                  </c:pt>
                  <c:pt idx="32">
                    <c:v>B.10.7.4.5</c:v>
                  </c:pt>
                  <c:pt idx="38">
                    <c:v>B18.3</c:v>
                  </c:pt>
                  <c:pt idx="42">
                    <c:v>B.10.4</c:v>
                  </c:pt>
                  <c:pt idx="43">
                    <c:v>B.10.5</c:v>
                  </c:pt>
                  <c:pt idx="44">
                    <c:v>B.10.6.1</c:v>
                  </c:pt>
                  <c:pt idx="45">
                    <c:v>B.10.6.14.1</c:v>
                  </c:pt>
                  <c:pt idx="46">
                    <c:v>B.10.6.14.1.b</c:v>
                  </c:pt>
                  <c:pt idx="47">
                    <c:v>B.10.6.14.1.c</c:v>
                  </c:pt>
                  <c:pt idx="48">
                    <c:v>B.10.6.14.3.a</c:v>
                  </c:pt>
                  <c:pt idx="49">
                    <c:v>B.10.6.14.3.b</c:v>
                  </c:pt>
                  <c:pt idx="53">
                    <c:v>B.10.6.9.a</c:v>
                  </c:pt>
                  <c:pt idx="54">
                    <c:v>B.10.6.9.b</c:v>
                  </c:pt>
                  <c:pt idx="55">
                    <c:v>B.10.6.9.c</c:v>
                  </c:pt>
                  <c:pt idx="56">
                    <c:v>B.10.6.9.d</c:v>
                  </c:pt>
                  <c:pt idx="57">
                    <c:v>B.10.6.9.e</c:v>
                  </c:pt>
                  <c:pt idx="58">
                    <c:v>B.10.6.9.f</c:v>
                  </c:pt>
                  <c:pt idx="62">
                    <c:v>B.10.6.10</c:v>
                  </c:pt>
                  <c:pt idx="65">
                    <c:v>H.4</c:v>
                  </c:pt>
                  <c:pt idx="73">
                    <c:v>B.10.6.11</c:v>
                  </c:pt>
                  <c:pt idx="75">
                    <c:v>B.10.6.12</c:v>
                  </c:pt>
                  <c:pt idx="76">
                    <c:v>B.10.6.12.a</c:v>
                  </c:pt>
                  <c:pt idx="77">
                    <c:v>B.10.6.12.b</c:v>
                  </c:pt>
                  <c:pt idx="80">
                    <c:v>B.10.6.13</c:v>
                  </c:pt>
                  <c:pt idx="83">
                    <c:v>B.10.6.14</c:v>
                  </c:pt>
                  <c:pt idx="84">
                    <c:v>O.2.3</c:v>
                  </c:pt>
                  <c:pt idx="85">
                    <c:v>O.2.3.1</c:v>
                  </c:pt>
                  <c:pt idx="86">
                    <c:v>O.2.3.2</c:v>
                  </c:pt>
                  <c:pt idx="92">
                    <c:v>B.10.6.5</c:v>
                  </c:pt>
                  <c:pt idx="96">
                    <c:v>B.27.1.3</c:v>
                  </c:pt>
                  <c:pt idx="97">
                    <c:v>B.27.2.2</c:v>
                  </c:pt>
                  <c:pt idx="100">
                    <c:v>B.10.6.6</c:v>
                  </c:pt>
                </c:lvl>
                <c:lvl>
                  <c:pt idx="1">
                    <c:v>11.4</c:v>
                  </c:pt>
                  <c:pt idx="2">
                    <c:v>11.4.1</c:v>
                  </c:pt>
                  <c:pt idx="3">
                    <c:v>11.4.2</c:v>
                  </c:pt>
                  <c:pt idx="4">
                    <c:v>11.4.3</c:v>
                  </c:pt>
                  <c:pt idx="5">
                    <c:v>11.5</c:v>
                  </c:pt>
                  <c:pt idx="6">
                    <c:v>11.5.1</c:v>
                  </c:pt>
                  <c:pt idx="7">
                    <c:v>11.5.2</c:v>
                  </c:pt>
                  <c:pt idx="8">
                    <c:v>11.5.3</c:v>
                  </c:pt>
                  <c:pt idx="9">
                    <c:v>11.5.4</c:v>
                  </c:pt>
                  <c:pt idx="10">
                    <c:v>11.6</c:v>
                  </c:pt>
                  <c:pt idx="11">
                    <c:v>11.6.1</c:v>
                  </c:pt>
                  <c:pt idx="12">
                    <c:v>11.6.2</c:v>
                  </c:pt>
                  <c:pt idx="13">
                    <c:v>11.6.3</c:v>
                  </c:pt>
                  <c:pt idx="14">
                    <c:v>11.6.4</c:v>
                  </c:pt>
                  <c:pt idx="15">
                    <c:v>11.6.5</c:v>
                  </c:pt>
                  <c:pt idx="16">
                    <c:v>11.6.6</c:v>
                  </c:pt>
                  <c:pt idx="17">
                    <c:v>11.7</c:v>
                  </c:pt>
                  <c:pt idx="18">
                    <c:v>11.7.1</c:v>
                  </c:pt>
                  <c:pt idx="19">
                    <c:v>11.7.2</c:v>
                  </c:pt>
                  <c:pt idx="20">
                    <c:v>11.7.3</c:v>
                  </c:pt>
                  <c:pt idx="21">
                    <c:v>11.8</c:v>
                  </c:pt>
                  <c:pt idx="22">
                    <c:v>11.8.1</c:v>
                  </c:pt>
                  <c:pt idx="23">
                    <c:v>11.8.2</c:v>
                  </c:pt>
                  <c:pt idx="24">
                    <c:v>11.9</c:v>
                  </c:pt>
                  <c:pt idx="25">
                    <c:v>11.9.1</c:v>
                  </c:pt>
                  <c:pt idx="26">
                    <c:v>11.9.2</c:v>
                  </c:pt>
                  <c:pt idx="27">
                    <c:v>11.14</c:v>
                  </c:pt>
                  <c:pt idx="28">
                    <c:v>11.14.1</c:v>
                  </c:pt>
                  <c:pt idx="29">
                    <c:v>11.14.2</c:v>
                  </c:pt>
                  <c:pt idx="31">
                    <c:v>11.1</c:v>
                  </c:pt>
                  <c:pt idx="32">
                    <c:v>11.10</c:v>
                  </c:pt>
                  <c:pt idx="33">
                    <c:v>11.10.1</c:v>
                  </c:pt>
                  <c:pt idx="34">
                    <c:v>11.10.2</c:v>
                  </c:pt>
                  <c:pt idx="35">
                    <c:v>11.23</c:v>
                  </c:pt>
                  <c:pt idx="36">
                    <c:v>11.23.1</c:v>
                  </c:pt>
                  <c:pt idx="37">
                    <c:v>11.23.2</c:v>
                  </c:pt>
                  <c:pt idx="38">
                    <c:v>11.24.1</c:v>
                  </c:pt>
                  <c:pt idx="39">
                    <c:v>11.24.4.5</c:v>
                  </c:pt>
                  <c:pt idx="40">
                    <c:v>11.24.4.7</c:v>
                  </c:pt>
                  <c:pt idx="41">
                    <c:v>11.24</c:v>
                  </c:pt>
                  <c:pt idx="42">
                    <c:v>11.2</c:v>
                  </c:pt>
                  <c:pt idx="43">
                    <c:v>11.3</c:v>
                  </c:pt>
                  <c:pt idx="44">
                    <c:v>11.24.2</c:v>
                  </c:pt>
                  <c:pt idx="45">
                    <c:v>11.24.3</c:v>
                  </c:pt>
                  <c:pt idx="46">
                    <c:v>11.24.3.1</c:v>
                  </c:pt>
                  <c:pt idx="47">
                    <c:v>11.24.3.2</c:v>
                  </c:pt>
                  <c:pt idx="48">
                    <c:v>11.24.3.3</c:v>
                  </c:pt>
                  <c:pt idx="49">
                    <c:v>11.24.3.4</c:v>
                  </c:pt>
                  <c:pt idx="50">
                    <c:v>11.24.4.9</c:v>
                  </c:pt>
                  <c:pt idx="52">
                    <c:v>11.15</c:v>
                  </c:pt>
                  <c:pt idx="53">
                    <c:v>11.15.1</c:v>
                  </c:pt>
                  <c:pt idx="54">
                    <c:v>11.15.2</c:v>
                  </c:pt>
                  <c:pt idx="55">
                    <c:v>11.15.3</c:v>
                  </c:pt>
                  <c:pt idx="56">
                    <c:v>11.15.4</c:v>
                  </c:pt>
                  <c:pt idx="57">
                    <c:v>11.15.5</c:v>
                  </c:pt>
                  <c:pt idx="58">
                    <c:v>11.15.6</c:v>
                  </c:pt>
                  <c:pt idx="59">
                    <c:v>11.15.7</c:v>
                  </c:pt>
                  <c:pt idx="60">
                    <c:v>11.15.8</c:v>
                  </c:pt>
                  <c:pt idx="61">
                    <c:v>11.16</c:v>
                  </c:pt>
                  <c:pt idx="62">
                    <c:v>11.16.1</c:v>
                  </c:pt>
                  <c:pt idx="63">
                    <c:v>11.16.2</c:v>
                  </c:pt>
                  <c:pt idx="64">
                    <c:v>11.17</c:v>
                  </c:pt>
                  <c:pt idx="65">
                    <c:v>11.17.1</c:v>
                  </c:pt>
                  <c:pt idx="66">
                    <c:v>11.17.2</c:v>
                  </c:pt>
                  <c:pt idx="67">
                    <c:v>11.17.3</c:v>
                  </c:pt>
                  <c:pt idx="68">
                    <c:v>11.24.4.1</c:v>
                  </c:pt>
                  <c:pt idx="69">
                    <c:v>11.24.4.6</c:v>
                  </c:pt>
                  <c:pt idx="72">
                    <c:v>11.18</c:v>
                  </c:pt>
                  <c:pt idx="73">
                    <c:v>11.18.1</c:v>
                  </c:pt>
                  <c:pt idx="74">
                    <c:v>11.18.2</c:v>
                  </c:pt>
                  <c:pt idx="75">
                    <c:v>11.19</c:v>
                  </c:pt>
                  <c:pt idx="76">
                    <c:v>11.19.1</c:v>
                  </c:pt>
                  <c:pt idx="77">
                    <c:v>11.19.2</c:v>
                  </c:pt>
                  <c:pt idx="78">
                    <c:v>11.19.3</c:v>
                  </c:pt>
                  <c:pt idx="79">
                    <c:v>11.20</c:v>
                  </c:pt>
                  <c:pt idx="80">
                    <c:v>11.20.1</c:v>
                  </c:pt>
                  <c:pt idx="81">
                    <c:v>11.20.2</c:v>
                  </c:pt>
                  <c:pt idx="82">
                    <c:v>11.21</c:v>
                  </c:pt>
                  <c:pt idx="83">
                    <c:v>11.21.1</c:v>
                  </c:pt>
                  <c:pt idx="84">
                    <c:v>11.22</c:v>
                  </c:pt>
                  <c:pt idx="85">
                    <c:v>11.22.1</c:v>
                  </c:pt>
                  <c:pt idx="86">
                    <c:v>11.22.2</c:v>
                  </c:pt>
                  <c:pt idx="87">
                    <c:v>11.22.3</c:v>
                  </c:pt>
                  <c:pt idx="88">
                    <c:v>11.22.4</c:v>
                  </c:pt>
                  <c:pt idx="89">
                    <c:v>11.24.4.2</c:v>
                  </c:pt>
                  <c:pt idx="90">
                    <c:v>11.24.4.4</c:v>
                  </c:pt>
                  <c:pt idx="91">
                    <c:v>11.24.4.8</c:v>
                  </c:pt>
                  <c:pt idx="92">
                    <c:v>11.11</c:v>
                  </c:pt>
                  <c:pt idx="93">
                    <c:v>11.11.1</c:v>
                  </c:pt>
                  <c:pt idx="94">
                    <c:v>11.11.2</c:v>
                  </c:pt>
                  <c:pt idx="95">
                    <c:v>11.12</c:v>
                  </c:pt>
                  <c:pt idx="96">
                    <c:v>11.12.1</c:v>
                  </c:pt>
                  <c:pt idx="97">
                    <c:v>11.12.2</c:v>
                  </c:pt>
                  <c:pt idx="98">
                    <c:v>11.12.3</c:v>
                  </c:pt>
                  <c:pt idx="99">
                    <c:v>11.13</c:v>
                  </c:pt>
                  <c:pt idx="100">
                    <c:v>11.13.1</c:v>
                  </c:pt>
                  <c:pt idx="101">
                    <c:v>11.13.2</c:v>
                  </c:pt>
                </c:lvl>
              </c:multiLvlStrCache>
            </c:multiLvlStrRef>
          </c:cat>
          <c:val>
            <c:numRef>
              <c:f>'11-A. IEC Sub-Annex'!$H$5:$H$106</c:f>
            </c:numRef>
          </c:val>
          <c:extLst xmlns:c16r2="http://schemas.microsoft.com/office/drawing/2015/06/chart">
            <c:ext xmlns:c16="http://schemas.microsoft.com/office/drawing/2014/chart" uri="{C3380CC4-5D6E-409C-BE32-E72D297353CC}">
              <c16:uniqueId val="{00000002-5F31-4E66-B011-A29233064213}"/>
            </c:ext>
          </c:extLst>
        </c:ser>
        <c:ser>
          <c:idx val="3"/>
          <c:order val="3"/>
          <c:tx>
            <c:strRef>
              <c:f>'11-A. IEC Sub-Annex'!$I$1:$I$4</c:f>
              <c:strCache>
                <c:ptCount val="1"/>
                <c:pt idx="0">
                  <c:v>Summary of Abst. As in RoP 2020-21 Expenditure (as on Dec'20)</c:v>
                </c:pt>
              </c:strCache>
            </c:strRef>
          </c:tx>
          <c:cat>
            <c:multiLvlStrRef>
              <c:f>'11-A. IEC Sub-Annex'!$A$5:$E$106</c:f>
              <c:multiLvlStrCache>
                <c:ptCount val="102"/>
                <c:lvl>
                  <c:pt idx="2">
                    <c:v>RCH</c:v>
                  </c:pt>
                  <c:pt idx="3">
                    <c:v>RCH</c:v>
                  </c:pt>
                  <c:pt idx="4">
                    <c:v>RCH</c:v>
                  </c:pt>
                  <c:pt idx="6">
                    <c:v>RCH</c:v>
                  </c:pt>
                  <c:pt idx="7">
                    <c:v>RCH</c:v>
                  </c:pt>
                  <c:pt idx="8">
                    <c:v>RCH</c:v>
                  </c:pt>
                  <c:pt idx="9">
                    <c:v>RCH</c:v>
                  </c:pt>
                  <c:pt idx="11">
                    <c:v>RCH</c:v>
                  </c:pt>
                  <c:pt idx="12">
                    <c:v>RCH</c:v>
                  </c:pt>
                  <c:pt idx="13">
                    <c:v>RCH</c:v>
                  </c:pt>
                  <c:pt idx="14">
                    <c:v>RCH</c:v>
                  </c:pt>
                  <c:pt idx="15">
                    <c:v>RCH</c:v>
                  </c:pt>
                  <c:pt idx="16">
                    <c:v>RCH</c:v>
                  </c:pt>
                  <c:pt idx="18">
                    <c:v>RCH</c:v>
                  </c:pt>
                  <c:pt idx="19">
                    <c:v>RCH</c:v>
                  </c:pt>
                  <c:pt idx="20">
                    <c:v>RCH</c:v>
                  </c:pt>
                  <c:pt idx="22">
                    <c:v>RCH</c:v>
                  </c:pt>
                  <c:pt idx="23">
                    <c:v>RCH</c:v>
                  </c:pt>
                  <c:pt idx="25">
                    <c:v>RCH</c:v>
                  </c:pt>
                  <c:pt idx="26">
                    <c:v>RCH</c:v>
                  </c:pt>
                  <c:pt idx="28">
                    <c:v>RCH</c:v>
                  </c:pt>
                  <c:pt idx="29">
                    <c:v>RCH</c:v>
                  </c:pt>
                  <c:pt idx="31">
                    <c:v>HSS</c:v>
                  </c:pt>
                  <c:pt idx="33">
                    <c:v>HSS</c:v>
                  </c:pt>
                  <c:pt idx="34">
                    <c:v>HSS</c:v>
                  </c:pt>
                  <c:pt idx="36">
                    <c:v>HSS</c:v>
                  </c:pt>
                  <c:pt idx="37">
                    <c:v>HSS</c:v>
                  </c:pt>
                  <c:pt idx="38">
                    <c:v>HSS</c:v>
                  </c:pt>
                  <c:pt idx="39">
                    <c:v>HSS</c:v>
                  </c:pt>
                  <c:pt idx="40">
                    <c:v>HSS</c:v>
                  </c:pt>
                  <c:pt idx="42">
                    <c:v>HSS</c:v>
                  </c:pt>
                  <c:pt idx="43">
                    <c:v>HSS</c:v>
                  </c:pt>
                  <c:pt idx="44">
                    <c:v>HSS</c:v>
                  </c:pt>
                  <c:pt idx="46">
                    <c:v>HSS</c:v>
                  </c:pt>
                  <c:pt idx="47">
                    <c:v>HSS</c:v>
                  </c:pt>
                  <c:pt idx="48">
                    <c:v>HSS</c:v>
                  </c:pt>
                  <c:pt idx="49">
                    <c:v>HSS</c:v>
                  </c:pt>
                  <c:pt idx="50">
                    <c:v>HSS</c:v>
                  </c:pt>
                  <c:pt idx="53">
                    <c:v>NDCP</c:v>
                  </c:pt>
                  <c:pt idx="54">
                    <c:v>NDCP</c:v>
                  </c:pt>
                  <c:pt idx="55">
                    <c:v>NDCP</c:v>
                  </c:pt>
                  <c:pt idx="56">
                    <c:v>NDCP</c:v>
                  </c:pt>
                  <c:pt idx="57">
                    <c:v>NDCP</c:v>
                  </c:pt>
                  <c:pt idx="58">
                    <c:v>NDCP</c:v>
                  </c:pt>
                  <c:pt idx="59">
                    <c:v>NDCP</c:v>
                  </c:pt>
                  <c:pt idx="60">
                    <c:v>NDCP</c:v>
                  </c:pt>
                  <c:pt idx="62">
                    <c:v>NDCP</c:v>
                  </c:pt>
                  <c:pt idx="63">
                    <c:v>NDCP</c:v>
                  </c:pt>
                  <c:pt idx="65">
                    <c:v>NDCP</c:v>
                  </c:pt>
                  <c:pt idx="66">
                    <c:v>NDCP</c:v>
                  </c:pt>
                  <c:pt idx="67">
                    <c:v>NDCP</c:v>
                  </c:pt>
                  <c:pt idx="68">
                    <c:v>NDCP</c:v>
                  </c:pt>
                  <c:pt idx="69">
                    <c:v>NDCP</c:v>
                  </c:pt>
                  <c:pt idx="70">
                    <c:v>NDCP</c:v>
                  </c:pt>
                  <c:pt idx="73">
                    <c:v>NCD</c:v>
                  </c:pt>
                  <c:pt idx="74">
                    <c:v>NCD</c:v>
                  </c:pt>
                  <c:pt idx="76">
                    <c:v>NCD</c:v>
                  </c:pt>
                  <c:pt idx="77">
                    <c:v>NCD</c:v>
                  </c:pt>
                  <c:pt idx="78">
                    <c:v>NCD</c:v>
                  </c:pt>
                  <c:pt idx="80">
                    <c:v>NCD</c:v>
                  </c:pt>
                  <c:pt idx="81">
                    <c:v>NCD</c:v>
                  </c:pt>
                  <c:pt idx="83">
                    <c:v>NCD</c:v>
                  </c:pt>
                  <c:pt idx="85">
                    <c:v>NCD</c:v>
                  </c:pt>
                  <c:pt idx="86">
                    <c:v>NCD</c:v>
                  </c:pt>
                  <c:pt idx="87">
                    <c:v>NCD</c:v>
                  </c:pt>
                  <c:pt idx="88">
                    <c:v>NCD</c:v>
                  </c:pt>
                  <c:pt idx="89">
                    <c:v>NCD</c:v>
                  </c:pt>
                  <c:pt idx="90">
                    <c:v>NCD</c:v>
                  </c:pt>
                  <c:pt idx="91">
                    <c:v>NCD</c:v>
                  </c:pt>
                  <c:pt idx="93">
                    <c:v>NCD</c:v>
                  </c:pt>
                  <c:pt idx="94">
                    <c:v>NCD</c:v>
                  </c:pt>
                  <c:pt idx="96">
                    <c:v>NCD</c:v>
                  </c:pt>
                  <c:pt idx="97">
                    <c:v>NCD</c:v>
                  </c:pt>
                  <c:pt idx="98">
                    <c:v>NCD</c:v>
                  </c:pt>
                  <c:pt idx="100">
                    <c:v>NCD</c:v>
                  </c:pt>
                  <c:pt idx="101">
                    <c:v>NCD</c:v>
                  </c:pt>
                </c:lvl>
                <c:lvl>
                  <c:pt idx="1">
                    <c:v>IEC/BCC activities under MH</c:v>
                  </c:pt>
                  <c:pt idx="2">
                    <c:v>Media Mix of Mid Media/ Mass Media</c:v>
                  </c:pt>
                  <c:pt idx="3">
                    <c:v>Inter Personal Communication</c:v>
                  </c:pt>
                  <c:pt idx="4">
                    <c:v>Any other IEC/BCC activities (please specify)</c:v>
                  </c:pt>
                  <c:pt idx="5">
                    <c:v>IEC/BCC activities under CH</c:v>
                  </c:pt>
                  <c:pt idx="6">
                    <c:v>Media Mix of Mid Media/ Mass Media</c:v>
                  </c:pt>
                  <c:pt idx="7">
                    <c:v>Inter Personal Communication</c:v>
                  </c:pt>
                  <c:pt idx="8">
                    <c:v>IEC for family participatory care</c:v>
                  </c:pt>
                  <c:pt idx="9">
                    <c:v>Any other IEC/BCC activities (please specify) including SAANS campaign IEC at state/district level</c:v>
                  </c:pt>
                  <c:pt idx="10">
                    <c:v>IEC/BCC activities under FP</c:v>
                  </c:pt>
                  <c:pt idx="11">
                    <c:v>Media Mix of Mid Media/ Mass Media</c:v>
                  </c:pt>
                  <c:pt idx="12">
                    <c:v>Inter Personal Communication</c:v>
                  </c:pt>
                  <c:pt idx="13">
                    <c:v>IEC &amp; promotional activities for World Population Day celebration</c:v>
                  </c:pt>
                  <c:pt idx="14">
                    <c:v>IEC &amp; promotional activities for Vasectomy Fortnight celebration </c:v>
                  </c:pt>
                  <c:pt idx="15">
                    <c:v>IEC activities for Mission Parivar Vikas Campaign (Frequency-at least 4/year)</c:v>
                  </c:pt>
                  <c:pt idx="16">
                    <c:v>Any other IEC/BCC activities (please specify)</c:v>
                  </c:pt>
                  <c:pt idx="17">
                    <c:v>IEC/BCC activities under AH</c:v>
                  </c:pt>
                  <c:pt idx="18">
                    <c:v>Media Mix of Mass Media/ Mid Media including promotion of menstrual hygiene scheme</c:v>
                  </c:pt>
                  <c:pt idx="19">
                    <c:v>Inter Personal Communication</c:v>
                  </c:pt>
                  <c:pt idx="20">
                    <c:v>Any other IEC/BCC activities (please specify)</c:v>
                  </c:pt>
                  <c:pt idx="21">
                    <c:v>IEC/BCC activities under Immunization</c:v>
                  </c:pt>
                  <c:pt idx="22">
                    <c:v>IEC activities for Immunization</c:v>
                  </c:pt>
                  <c:pt idx="23">
                    <c:v>Any other IEC/BCC activities (please specify)</c:v>
                  </c:pt>
                  <c:pt idx="24">
                    <c:v>IEC/BCC activities under PNDT</c:v>
                  </c:pt>
                  <c:pt idx="25">
                    <c:v>Creating awareness on declining sex ratio issue (PNDT)</c:v>
                  </c:pt>
                  <c:pt idx="26">
                    <c:v>Any other IEC/BCC activities (please specify)</c:v>
                  </c:pt>
                  <c:pt idx="27">
                    <c:v>IEC/BCC activities under NIDDCP</c:v>
                  </c:pt>
                  <c:pt idx="28">
                    <c:v>Health Education &amp; Publicity for NIDDCP</c:v>
                  </c:pt>
                  <c:pt idx="29">
                    <c:v>Any other IEC/BCC activities (please specify)</c:v>
                  </c:pt>
                  <c:pt idx="31">
                    <c:v>Development of State Communication strategy (comprising of district plans)</c:v>
                  </c:pt>
                  <c:pt idx="32">
                    <c:v>IEC/BCC activities under Blood services &amp; disorders</c:v>
                  </c:pt>
                  <c:pt idx="33">
                    <c:v>IEC/BCC activities under Blood Services</c:v>
                  </c:pt>
                  <c:pt idx="34">
                    <c:v>IEC/BCC activities under Blood Disorders</c:v>
                  </c:pt>
                  <c:pt idx="35">
                    <c:v>IEC/BCC activities under ASHA</c:v>
                  </c:pt>
                  <c:pt idx="38">
                    <c:v>IEC activities for Ayushman Bharat Health &amp; Wellness centre (H&amp;WC)</c:v>
                  </c:pt>
                  <c:pt idx="39">
                    <c:v>IEC Activity under NQAP, LaQshya, Kayakalp &amp; Mera-Aspataal (Signages- Approach road, Departmental, Directional and other facility level signage's)</c:v>
                  </c:pt>
                  <c:pt idx="40">
                    <c:v>IEC/BCC- Free Diagnostic Service Initiative (Pathology &amp; Radiology)</c:v>
                  </c:pt>
                  <c:pt idx="41">
                    <c:v>Other IEC/BCC activities</c:v>
                  </c:pt>
                  <c:pt idx="42">
                    <c:v>Interpersonal Communication Tools for the frontline health workers</c:v>
                  </c:pt>
                  <c:pt idx="43">
                    <c:v>Targeting Naturally Occurring Gathering of People/ Health Mela</c:v>
                  </c:pt>
                  <c:pt idx="44">
                    <c:v>Innovative IEC/ BCC Strategies including mobile based solutions, social media and engagement of youth</c:v>
                  </c:pt>
                  <c:pt idx="45">
                    <c:v>SBCC/IEC/Advocacy campaigns </c:v>
                  </c:pt>
                  <c:pt idx="46">
                    <c:v>Places covered with hoardings/ bill boards/ signage etc.</c:v>
                  </c:pt>
                  <c:pt idx="47">
                    <c:v>Usage of Folk media such as Nukkad Natak/ mobile audio visual services/ local radio etc.</c:v>
                  </c:pt>
                  <c:pt idx="48">
                    <c:v>Development of IEC Material</c:v>
                  </c:pt>
                  <c:pt idx="49">
                    <c:v>State-level IEC Campaigns/Other IEC Campaigns</c:v>
                  </c:pt>
                  <c:pt idx="50">
                    <c:v>Any other (please specify)</c:v>
                  </c:pt>
                  <c:pt idx="52">
                    <c:v>IEC/BCC activities under NVBDCP</c:v>
                  </c:pt>
                  <c:pt idx="53">
                    <c:v>IEC/BCC for Malaria</c:v>
                  </c:pt>
                  <c:pt idx="54">
                    <c:v>IEC/BCC for Social mobilization (Dengue and Chikungunya)</c:v>
                  </c:pt>
                  <c:pt idx="55">
                    <c:v>IEC/BCC specific to J.E. in endemic areas</c:v>
                  </c:pt>
                  <c:pt idx="56">
                    <c:v>Specific IEC/BCC for Lymphatic Filariasis at State, District, PHC, Sub-centre and village level including VHSC/GKs for community mobilization efforts to realize the desired drug compliance of 85% during MDA</c:v>
                  </c:pt>
                  <c:pt idx="57">
                    <c:v>IEC/BCC/Advocacy for Kala-azar</c:v>
                  </c:pt>
                  <c:pt idx="58">
                    <c:v>IEC/BCC activities as per the GFATM project</c:v>
                  </c:pt>
                  <c:pt idx="59">
                    <c:v>IEC/ BCC activities under MVCR</c:v>
                  </c:pt>
                  <c:pt idx="60">
                    <c:v>Any other IEC/BCC activities (please specify)</c:v>
                  </c:pt>
                  <c:pt idx="61">
                    <c:v>IEC/BCC activities under NLEP</c:v>
                  </c:pt>
                  <c:pt idx="62">
                    <c:v>IEC/BCC: Mass media, Outdoor media, Rural media, Advocacy media for NLEP including Sparsh Leprosy Awareness Campaign</c:v>
                  </c:pt>
                  <c:pt idx="63">
                    <c:v>Any other IEC/BCC activities (please specify)</c:v>
                  </c:pt>
                  <c:pt idx="64">
                    <c:v>IEC/BCC activities under NTEP</c:v>
                  </c:pt>
                  <c:pt idx="65">
                    <c:v>ACSM (State &amp; district)</c:v>
                  </c:pt>
                  <c:pt idx="66">
                    <c:v>TB Harega Desh Jeetega' Campaign</c:v>
                  </c:pt>
                  <c:pt idx="67">
                    <c:v>Any other IEC/BCC activities (please specify)</c:v>
                  </c:pt>
                  <c:pt idx="68">
                    <c:v>IEC/BCC under NRCP: Rabies Awareness and Do's and Don'ts in the event of Animal Bites</c:v>
                  </c:pt>
                  <c:pt idx="69">
                    <c:v>IEC under Programme for Prevention and Control of Leptospirosis</c:v>
                  </c:pt>
                  <c:pt idx="70">
                    <c:v>IEC under NVHCP</c:v>
                  </c:pt>
                  <c:pt idx="72">
                    <c:v>IEC/BCC activities under NPCB</c:v>
                  </c:pt>
                  <c:pt idx="73">
                    <c:v>State level IEC for Minor State @ Rs. 10 lakh and for Major States @ Rs. 20 lakh under NPCB&amp;VI</c:v>
                  </c:pt>
                  <c:pt idx="74">
                    <c:v>Any other IEC/BCC activities (please specify)</c:v>
                  </c:pt>
                  <c:pt idx="75">
                    <c:v>IEC/BCC activities under NMHP</c:v>
                  </c:pt>
                  <c:pt idx="76">
                    <c:v>Translation of IEC material and distribution</c:v>
                  </c:pt>
                  <c:pt idx="77">
                    <c:v>Awareness generation activities in the community, schools, workplaces with community involvement</c:v>
                  </c:pt>
                  <c:pt idx="78">
                    <c:v>Any other IEC/BCC activities (please specify)</c:v>
                  </c:pt>
                  <c:pt idx="79">
                    <c:v>IEC/BCC activities under NPHCE</c:v>
                  </c:pt>
                  <c:pt idx="80">
                    <c:v>IPC,Group activities and mass media for NPHCE</c:v>
                  </c:pt>
                  <c:pt idx="81">
                    <c:v>Celebration of days-ie International Day for older persons</c:v>
                  </c:pt>
                  <c:pt idx="82">
                    <c:v>IEC/BCC activities under NTCP</c:v>
                  </c:pt>
                  <c:pt idx="83">
                    <c:v>IEC/BCC for NTCP</c:v>
                  </c:pt>
                  <c:pt idx="84">
                    <c:v>IEC/BCC activities under NPCDCS</c:v>
                  </c:pt>
                  <c:pt idx="85">
                    <c:v>IEC/BCC for State NCD  Cell</c:v>
                  </c:pt>
                  <c:pt idx="86">
                    <c:v>IEC/BCC for District  NCD Cell</c:v>
                  </c:pt>
                  <c:pt idx="87">
                    <c:v>IEC/BCC activities for Universal Screening of NCDs</c:v>
                  </c:pt>
                  <c:pt idx="88">
                    <c:v>Any other IEC/BCC activities (please specify)</c:v>
                  </c:pt>
                  <c:pt idx="89">
                    <c:v>IEC/BCC under NOHP</c:v>
                  </c:pt>
                  <c:pt idx="90">
                    <c:v>IEC on Climate Sensitive Diseases at Block , District and State level  – Air pollution, Heat and other relevant Climate Sensitive diseases</c:v>
                  </c:pt>
                  <c:pt idx="91">
                    <c:v>IEC/BCC - National Dialysis Programme (Haemodialysis and Peritoneal Dialysis)</c:v>
                  </c:pt>
                  <c:pt idx="92">
                    <c:v>IEC/BCC activities under NPPCD</c:v>
                  </c:pt>
                  <c:pt idx="93">
                    <c:v>IEC activities</c:v>
                  </c:pt>
                  <c:pt idx="94">
                    <c:v>Any Other</c:v>
                  </c:pt>
                  <c:pt idx="95">
                    <c:v>IEC/BCC activities under NPPC</c:v>
                  </c:pt>
                  <c:pt idx="96">
                    <c:v>IEC for DH</c:v>
                  </c:pt>
                  <c:pt idx="97">
                    <c:v>IEC for State Palliative care cell</c:v>
                  </c:pt>
                  <c:pt idx="98">
                    <c:v>Any other IEC/BCC activities (please specify)</c:v>
                  </c:pt>
                  <c:pt idx="99">
                    <c:v>IEC/BCC activities under NPPCF</c:v>
                  </c:pt>
                  <c:pt idx="100">
                    <c:v>Health Education &amp; Publicity for National Programme for Fluorosis (State and District Level)</c:v>
                  </c:pt>
                  <c:pt idx="101">
                    <c:v>Any other IEC/BCC activities (please specify)</c:v>
                  </c:pt>
                </c:lvl>
                <c:lvl>
                  <c:pt idx="1">
                    <c:v>B.10.3.1</c:v>
                  </c:pt>
                  <c:pt idx="2">
                    <c:v>B.10.3.1.1</c:v>
                  </c:pt>
                  <c:pt idx="3">
                    <c:v>B.10.3.1.2</c:v>
                  </c:pt>
                  <c:pt idx="5">
                    <c:v>B.10.3.2</c:v>
                  </c:pt>
                  <c:pt idx="6">
                    <c:v>B.10.3.2.1</c:v>
                  </c:pt>
                  <c:pt idx="7">
                    <c:v>B.10.3.2.2</c:v>
                  </c:pt>
                  <c:pt idx="10">
                    <c:v>B.10.3.3</c:v>
                  </c:pt>
                  <c:pt idx="11">
                    <c:v>B.10.3.3.1</c:v>
                  </c:pt>
                  <c:pt idx="12">
                    <c:v>B.10.3.3.2</c:v>
                  </c:pt>
                  <c:pt idx="13">
                    <c:v>A.3.5.4</c:v>
                  </c:pt>
                  <c:pt idx="14">
                    <c:v>A.3.5.5</c:v>
                  </c:pt>
                  <c:pt idx="15">
                    <c:v>A.3.7.4</c:v>
                  </c:pt>
                  <c:pt idx="17">
                    <c:v>B.10.3.4</c:v>
                  </c:pt>
                  <c:pt idx="18">
                    <c:v>B.10.3.4.1</c:v>
                  </c:pt>
                  <c:pt idx="19">
                    <c:v>B.10.3.4.2</c:v>
                  </c:pt>
                  <c:pt idx="25">
                    <c:v>B.10.3.5</c:v>
                  </c:pt>
                  <c:pt idx="28">
                    <c:v>B.10.6.7</c:v>
                  </c:pt>
                  <c:pt idx="31">
                    <c:v>B.10.2</c:v>
                  </c:pt>
                  <c:pt idx="32">
                    <c:v>B.10.7.4.5</c:v>
                  </c:pt>
                  <c:pt idx="38">
                    <c:v>B18.3</c:v>
                  </c:pt>
                  <c:pt idx="42">
                    <c:v>B.10.4</c:v>
                  </c:pt>
                  <c:pt idx="43">
                    <c:v>B.10.5</c:v>
                  </c:pt>
                  <c:pt idx="44">
                    <c:v>B.10.6.1</c:v>
                  </c:pt>
                  <c:pt idx="45">
                    <c:v>B.10.6.14.1</c:v>
                  </c:pt>
                  <c:pt idx="46">
                    <c:v>B.10.6.14.1.b</c:v>
                  </c:pt>
                  <c:pt idx="47">
                    <c:v>B.10.6.14.1.c</c:v>
                  </c:pt>
                  <c:pt idx="48">
                    <c:v>B.10.6.14.3.a</c:v>
                  </c:pt>
                  <c:pt idx="49">
                    <c:v>B.10.6.14.3.b</c:v>
                  </c:pt>
                  <c:pt idx="53">
                    <c:v>B.10.6.9.a</c:v>
                  </c:pt>
                  <c:pt idx="54">
                    <c:v>B.10.6.9.b</c:v>
                  </c:pt>
                  <c:pt idx="55">
                    <c:v>B.10.6.9.c</c:v>
                  </c:pt>
                  <c:pt idx="56">
                    <c:v>B.10.6.9.d</c:v>
                  </c:pt>
                  <c:pt idx="57">
                    <c:v>B.10.6.9.e</c:v>
                  </c:pt>
                  <c:pt idx="58">
                    <c:v>B.10.6.9.f</c:v>
                  </c:pt>
                  <c:pt idx="62">
                    <c:v>B.10.6.10</c:v>
                  </c:pt>
                  <c:pt idx="65">
                    <c:v>H.4</c:v>
                  </c:pt>
                  <c:pt idx="73">
                    <c:v>B.10.6.11</c:v>
                  </c:pt>
                  <c:pt idx="75">
                    <c:v>B.10.6.12</c:v>
                  </c:pt>
                  <c:pt idx="76">
                    <c:v>B.10.6.12.a</c:v>
                  </c:pt>
                  <c:pt idx="77">
                    <c:v>B.10.6.12.b</c:v>
                  </c:pt>
                  <c:pt idx="80">
                    <c:v>B.10.6.13</c:v>
                  </c:pt>
                  <c:pt idx="83">
                    <c:v>B.10.6.14</c:v>
                  </c:pt>
                  <c:pt idx="84">
                    <c:v>O.2.3</c:v>
                  </c:pt>
                  <c:pt idx="85">
                    <c:v>O.2.3.1</c:v>
                  </c:pt>
                  <c:pt idx="86">
                    <c:v>O.2.3.2</c:v>
                  </c:pt>
                  <c:pt idx="92">
                    <c:v>B.10.6.5</c:v>
                  </c:pt>
                  <c:pt idx="96">
                    <c:v>B.27.1.3</c:v>
                  </c:pt>
                  <c:pt idx="97">
                    <c:v>B.27.2.2</c:v>
                  </c:pt>
                  <c:pt idx="100">
                    <c:v>B.10.6.6</c:v>
                  </c:pt>
                </c:lvl>
                <c:lvl>
                  <c:pt idx="1">
                    <c:v>11.4</c:v>
                  </c:pt>
                  <c:pt idx="2">
                    <c:v>11.4.1</c:v>
                  </c:pt>
                  <c:pt idx="3">
                    <c:v>11.4.2</c:v>
                  </c:pt>
                  <c:pt idx="4">
                    <c:v>11.4.3</c:v>
                  </c:pt>
                  <c:pt idx="5">
                    <c:v>11.5</c:v>
                  </c:pt>
                  <c:pt idx="6">
                    <c:v>11.5.1</c:v>
                  </c:pt>
                  <c:pt idx="7">
                    <c:v>11.5.2</c:v>
                  </c:pt>
                  <c:pt idx="8">
                    <c:v>11.5.3</c:v>
                  </c:pt>
                  <c:pt idx="9">
                    <c:v>11.5.4</c:v>
                  </c:pt>
                  <c:pt idx="10">
                    <c:v>11.6</c:v>
                  </c:pt>
                  <c:pt idx="11">
                    <c:v>11.6.1</c:v>
                  </c:pt>
                  <c:pt idx="12">
                    <c:v>11.6.2</c:v>
                  </c:pt>
                  <c:pt idx="13">
                    <c:v>11.6.3</c:v>
                  </c:pt>
                  <c:pt idx="14">
                    <c:v>11.6.4</c:v>
                  </c:pt>
                  <c:pt idx="15">
                    <c:v>11.6.5</c:v>
                  </c:pt>
                  <c:pt idx="16">
                    <c:v>11.6.6</c:v>
                  </c:pt>
                  <c:pt idx="17">
                    <c:v>11.7</c:v>
                  </c:pt>
                  <c:pt idx="18">
                    <c:v>11.7.1</c:v>
                  </c:pt>
                  <c:pt idx="19">
                    <c:v>11.7.2</c:v>
                  </c:pt>
                  <c:pt idx="20">
                    <c:v>11.7.3</c:v>
                  </c:pt>
                  <c:pt idx="21">
                    <c:v>11.8</c:v>
                  </c:pt>
                  <c:pt idx="22">
                    <c:v>11.8.1</c:v>
                  </c:pt>
                  <c:pt idx="23">
                    <c:v>11.8.2</c:v>
                  </c:pt>
                  <c:pt idx="24">
                    <c:v>11.9</c:v>
                  </c:pt>
                  <c:pt idx="25">
                    <c:v>11.9.1</c:v>
                  </c:pt>
                  <c:pt idx="26">
                    <c:v>11.9.2</c:v>
                  </c:pt>
                  <c:pt idx="27">
                    <c:v>11.14</c:v>
                  </c:pt>
                  <c:pt idx="28">
                    <c:v>11.14.1</c:v>
                  </c:pt>
                  <c:pt idx="29">
                    <c:v>11.14.2</c:v>
                  </c:pt>
                  <c:pt idx="31">
                    <c:v>11.1</c:v>
                  </c:pt>
                  <c:pt idx="32">
                    <c:v>11.10</c:v>
                  </c:pt>
                  <c:pt idx="33">
                    <c:v>11.10.1</c:v>
                  </c:pt>
                  <c:pt idx="34">
                    <c:v>11.10.2</c:v>
                  </c:pt>
                  <c:pt idx="35">
                    <c:v>11.23</c:v>
                  </c:pt>
                  <c:pt idx="36">
                    <c:v>11.23.1</c:v>
                  </c:pt>
                  <c:pt idx="37">
                    <c:v>11.23.2</c:v>
                  </c:pt>
                  <c:pt idx="38">
                    <c:v>11.24.1</c:v>
                  </c:pt>
                  <c:pt idx="39">
                    <c:v>11.24.4.5</c:v>
                  </c:pt>
                  <c:pt idx="40">
                    <c:v>11.24.4.7</c:v>
                  </c:pt>
                  <c:pt idx="41">
                    <c:v>11.24</c:v>
                  </c:pt>
                  <c:pt idx="42">
                    <c:v>11.2</c:v>
                  </c:pt>
                  <c:pt idx="43">
                    <c:v>11.3</c:v>
                  </c:pt>
                  <c:pt idx="44">
                    <c:v>11.24.2</c:v>
                  </c:pt>
                  <c:pt idx="45">
                    <c:v>11.24.3</c:v>
                  </c:pt>
                  <c:pt idx="46">
                    <c:v>11.24.3.1</c:v>
                  </c:pt>
                  <c:pt idx="47">
                    <c:v>11.24.3.2</c:v>
                  </c:pt>
                  <c:pt idx="48">
                    <c:v>11.24.3.3</c:v>
                  </c:pt>
                  <c:pt idx="49">
                    <c:v>11.24.3.4</c:v>
                  </c:pt>
                  <c:pt idx="50">
                    <c:v>11.24.4.9</c:v>
                  </c:pt>
                  <c:pt idx="52">
                    <c:v>11.15</c:v>
                  </c:pt>
                  <c:pt idx="53">
                    <c:v>11.15.1</c:v>
                  </c:pt>
                  <c:pt idx="54">
                    <c:v>11.15.2</c:v>
                  </c:pt>
                  <c:pt idx="55">
                    <c:v>11.15.3</c:v>
                  </c:pt>
                  <c:pt idx="56">
                    <c:v>11.15.4</c:v>
                  </c:pt>
                  <c:pt idx="57">
                    <c:v>11.15.5</c:v>
                  </c:pt>
                  <c:pt idx="58">
                    <c:v>11.15.6</c:v>
                  </c:pt>
                  <c:pt idx="59">
                    <c:v>11.15.7</c:v>
                  </c:pt>
                  <c:pt idx="60">
                    <c:v>11.15.8</c:v>
                  </c:pt>
                  <c:pt idx="61">
                    <c:v>11.16</c:v>
                  </c:pt>
                  <c:pt idx="62">
                    <c:v>11.16.1</c:v>
                  </c:pt>
                  <c:pt idx="63">
                    <c:v>11.16.2</c:v>
                  </c:pt>
                  <c:pt idx="64">
                    <c:v>11.17</c:v>
                  </c:pt>
                  <c:pt idx="65">
                    <c:v>11.17.1</c:v>
                  </c:pt>
                  <c:pt idx="66">
                    <c:v>11.17.2</c:v>
                  </c:pt>
                  <c:pt idx="67">
                    <c:v>11.17.3</c:v>
                  </c:pt>
                  <c:pt idx="68">
                    <c:v>11.24.4.1</c:v>
                  </c:pt>
                  <c:pt idx="69">
                    <c:v>11.24.4.6</c:v>
                  </c:pt>
                  <c:pt idx="72">
                    <c:v>11.18</c:v>
                  </c:pt>
                  <c:pt idx="73">
                    <c:v>11.18.1</c:v>
                  </c:pt>
                  <c:pt idx="74">
                    <c:v>11.18.2</c:v>
                  </c:pt>
                  <c:pt idx="75">
                    <c:v>11.19</c:v>
                  </c:pt>
                  <c:pt idx="76">
                    <c:v>11.19.1</c:v>
                  </c:pt>
                  <c:pt idx="77">
                    <c:v>11.19.2</c:v>
                  </c:pt>
                  <c:pt idx="78">
                    <c:v>11.19.3</c:v>
                  </c:pt>
                  <c:pt idx="79">
                    <c:v>11.20</c:v>
                  </c:pt>
                  <c:pt idx="80">
                    <c:v>11.20.1</c:v>
                  </c:pt>
                  <c:pt idx="81">
                    <c:v>11.20.2</c:v>
                  </c:pt>
                  <c:pt idx="82">
                    <c:v>11.21</c:v>
                  </c:pt>
                  <c:pt idx="83">
                    <c:v>11.21.1</c:v>
                  </c:pt>
                  <c:pt idx="84">
                    <c:v>11.22</c:v>
                  </c:pt>
                  <c:pt idx="85">
                    <c:v>11.22.1</c:v>
                  </c:pt>
                  <c:pt idx="86">
                    <c:v>11.22.2</c:v>
                  </c:pt>
                  <c:pt idx="87">
                    <c:v>11.22.3</c:v>
                  </c:pt>
                  <c:pt idx="88">
                    <c:v>11.22.4</c:v>
                  </c:pt>
                  <c:pt idx="89">
                    <c:v>11.24.4.2</c:v>
                  </c:pt>
                  <c:pt idx="90">
                    <c:v>11.24.4.4</c:v>
                  </c:pt>
                  <c:pt idx="91">
                    <c:v>11.24.4.8</c:v>
                  </c:pt>
                  <c:pt idx="92">
                    <c:v>11.11</c:v>
                  </c:pt>
                  <c:pt idx="93">
                    <c:v>11.11.1</c:v>
                  </c:pt>
                  <c:pt idx="94">
                    <c:v>11.11.2</c:v>
                  </c:pt>
                  <c:pt idx="95">
                    <c:v>11.12</c:v>
                  </c:pt>
                  <c:pt idx="96">
                    <c:v>11.12.1</c:v>
                  </c:pt>
                  <c:pt idx="97">
                    <c:v>11.12.2</c:v>
                  </c:pt>
                  <c:pt idx="98">
                    <c:v>11.12.3</c:v>
                  </c:pt>
                  <c:pt idx="99">
                    <c:v>11.13</c:v>
                  </c:pt>
                  <c:pt idx="100">
                    <c:v>11.13.1</c:v>
                  </c:pt>
                  <c:pt idx="101">
                    <c:v>11.13.2</c:v>
                  </c:pt>
                </c:lvl>
              </c:multiLvlStrCache>
            </c:multiLvlStrRef>
          </c:cat>
          <c:val>
            <c:numRef>
              <c:f>'11-A. IEC Sub-Annex'!$I$5:$I$106</c:f>
            </c:numRef>
          </c:val>
          <c:extLst xmlns:c16r2="http://schemas.microsoft.com/office/drawing/2015/06/chart">
            <c:ext xmlns:c16="http://schemas.microsoft.com/office/drawing/2014/chart" uri="{C3380CC4-5D6E-409C-BE32-E72D297353CC}">
              <c16:uniqueId val="{00000003-5F31-4E66-B011-A29233064213}"/>
            </c:ext>
          </c:extLst>
        </c:ser>
        <c:ser>
          <c:idx val="4"/>
          <c:order val="4"/>
          <c:tx>
            <c:strRef>
              <c:f>'11-A. IEC Sub-Annex'!$J$1:$J$4</c:f>
              <c:strCache>
                <c:ptCount val="1"/>
                <c:pt idx="0">
                  <c:v>Summary of Abst. As in RoP 2020-21 Committed unspent  balance (as on ______)</c:v>
                </c:pt>
              </c:strCache>
            </c:strRef>
          </c:tx>
          <c:cat>
            <c:multiLvlStrRef>
              <c:f>'11-A. IEC Sub-Annex'!$A$5:$E$106</c:f>
              <c:multiLvlStrCache>
                <c:ptCount val="102"/>
                <c:lvl>
                  <c:pt idx="2">
                    <c:v>RCH</c:v>
                  </c:pt>
                  <c:pt idx="3">
                    <c:v>RCH</c:v>
                  </c:pt>
                  <c:pt idx="4">
                    <c:v>RCH</c:v>
                  </c:pt>
                  <c:pt idx="6">
                    <c:v>RCH</c:v>
                  </c:pt>
                  <c:pt idx="7">
                    <c:v>RCH</c:v>
                  </c:pt>
                  <c:pt idx="8">
                    <c:v>RCH</c:v>
                  </c:pt>
                  <c:pt idx="9">
                    <c:v>RCH</c:v>
                  </c:pt>
                  <c:pt idx="11">
                    <c:v>RCH</c:v>
                  </c:pt>
                  <c:pt idx="12">
                    <c:v>RCH</c:v>
                  </c:pt>
                  <c:pt idx="13">
                    <c:v>RCH</c:v>
                  </c:pt>
                  <c:pt idx="14">
                    <c:v>RCH</c:v>
                  </c:pt>
                  <c:pt idx="15">
                    <c:v>RCH</c:v>
                  </c:pt>
                  <c:pt idx="16">
                    <c:v>RCH</c:v>
                  </c:pt>
                  <c:pt idx="18">
                    <c:v>RCH</c:v>
                  </c:pt>
                  <c:pt idx="19">
                    <c:v>RCH</c:v>
                  </c:pt>
                  <c:pt idx="20">
                    <c:v>RCH</c:v>
                  </c:pt>
                  <c:pt idx="22">
                    <c:v>RCH</c:v>
                  </c:pt>
                  <c:pt idx="23">
                    <c:v>RCH</c:v>
                  </c:pt>
                  <c:pt idx="25">
                    <c:v>RCH</c:v>
                  </c:pt>
                  <c:pt idx="26">
                    <c:v>RCH</c:v>
                  </c:pt>
                  <c:pt idx="28">
                    <c:v>RCH</c:v>
                  </c:pt>
                  <c:pt idx="29">
                    <c:v>RCH</c:v>
                  </c:pt>
                  <c:pt idx="31">
                    <c:v>HSS</c:v>
                  </c:pt>
                  <c:pt idx="33">
                    <c:v>HSS</c:v>
                  </c:pt>
                  <c:pt idx="34">
                    <c:v>HSS</c:v>
                  </c:pt>
                  <c:pt idx="36">
                    <c:v>HSS</c:v>
                  </c:pt>
                  <c:pt idx="37">
                    <c:v>HSS</c:v>
                  </c:pt>
                  <c:pt idx="38">
                    <c:v>HSS</c:v>
                  </c:pt>
                  <c:pt idx="39">
                    <c:v>HSS</c:v>
                  </c:pt>
                  <c:pt idx="40">
                    <c:v>HSS</c:v>
                  </c:pt>
                  <c:pt idx="42">
                    <c:v>HSS</c:v>
                  </c:pt>
                  <c:pt idx="43">
                    <c:v>HSS</c:v>
                  </c:pt>
                  <c:pt idx="44">
                    <c:v>HSS</c:v>
                  </c:pt>
                  <c:pt idx="46">
                    <c:v>HSS</c:v>
                  </c:pt>
                  <c:pt idx="47">
                    <c:v>HSS</c:v>
                  </c:pt>
                  <c:pt idx="48">
                    <c:v>HSS</c:v>
                  </c:pt>
                  <c:pt idx="49">
                    <c:v>HSS</c:v>
                  </c:pt>
                  <c:pt idx="50">
                    <c:v>HSS</c:v>
                  </c:pt>
                  <c:pt idx="53">
                    <c:v>NDCP</c:v>
                  </c:pt>
                  <c:pt idx="54">
                    <c:v>NDCP</c:v>
                  </c:pt>
                  <c:pt idx="55">
                    <c:v>NDCP</c:v>
                  </c:pt>
                  <c:pt idx="56">
                    <c:v>NDCP</c:v>
                  </c:pt>
                  <c:pt idx="57">
                    <c:v>NDCP</c:v>
                  </c:pt>
                  <c:pt idx="58">
                    <c:v>NDCP</c:v>
                  </c:pt>
                  <c:pt idx="59">
                    <c:v>NDCP</c:v>
                  </c:pt>
                  <c:pt idx="60">
                    <c:v>NDCP</c:v>
                  </c:pt>
                  <c:pt idx="62">
                    <c:v>NDCP</c:v>
                  </c:pt>
                  <c:pt idx="63">
                    <c:v>NDCP</c:v>
                  </c:pt>
                  <c:pt idx="65">
                    <c:v>NDCP</c:v>
                  </c:pt>
                  <c:pt idx="66">
                    <c:v>NDCP</c:v>
                  </c:pt>
                  <c:pt idx="67">
                    <c:v>NDCP</c:v>
                  </c:pt>
                  <c:pt idx="68">
                    <c:v>NDCP</c:v>
                  </c:pt>
                  <c:pt idx="69">
                    <c:v>NDCP</c:v>
                  </c:pt>
                  <c:pt idx="70">
                    <c:v>NDCP</c:v>
                  </c:pt>
                  <c:pt idx="73">
                    <c:v>NCD</c:v>
                  </c:pt>
                  <c:pt idx="74">
                    <c:v>NCD</c:v>
                  </c:pt>
                  <c:pt idx="76">
                    <c:v>NCD</c:v>
                  </c:pt>
                  <c:pt idx="77">
                    <c:v>NCD</c:v>
                  </c:pt>
                  <c:pt idx="78">
                    <c:v>NCD</c:v>
                  </c:pt>
                  <c:pt idx="80">
                    <c:v>NCD</c:v>
                  </c:pt>
                  <c:pt idx="81">
                    <c:v>NCD</c:v>
                  </c:pt>
                  <c:pt idx="83">
                    <c:v>NCD</c:v>
                  </c:pt>
                  <c:pt idx="85">
                    <c:v>NCD</c:v>
                  </c:pt>
                  <c:pt idx="86">
                    <c:v>NCD</c:v>
                  </c:pt>
                  <c:pt idx="87">
                    <c:v>NCD</c:v>
                  </c:pt>
                  <c:pt idx="88">
                    <c:v>NCD</c:v>
                  </c:pt>
                  <c:pt idx="89">
                    <c:v>NCD</c:v>
                  </c:pt>
                  <c:pt idx="90">
                    <c:v>NCD</c:v>
                  </c:pt>
                  <c:pt idx="91">
                    <c:v>NCD</c:v>
                  </c:pt>
                  <c:pt idx="93">
                    <c:v>NCD</c:v>
                  </c:pt>
                  <c:pt idx="94">
                    <c:v>NCD</c:v>
                  </c:pt>
                  <c:pt idx="96">
                    <c:v>NCD</c:v>
                  </c:pt>
                  <c:pt idx="97">
                    <c:v>NCD</c:v>
                  </c:pt>
                  <c:pt idx="98">
                    <c:v>NCD</c:v>
                  </c:pt>
                  <c:pt idx="100">
                    <c:v>NCD</c:v>
                  </c:pt>
                  <c:pt idx="101">
                    <c:v>NCD</c:v>
                  </c:pt>
                </c:lvl>
                <c:lvl>
                  <c:pt idx="1">
                    <c:v>IEC/BCC activities under MH</c:v>
                  </c:pt>
                  <c:pt idx="2">
                    <c:v>Media Mix of Mid Media/ Mass Media</c:v>
                  </c:pt>
                  <c:pt idx="3">
                    <c:v>Inter Personal Communication</c:v>
                  </c:pt>
                  <c:pt idx="4">
                    <c:v>Any other IEC/BCC activities (please specify)</c:v>
                  </c:pt>
                  <c:pt idx="5">
                    <c:v>IEC/BCC activities under CH</c:v>
                  </c:pt>
                  <c:pt idx="6">
                    <c:v>Media Mix of Mid Media/ Mass Media</c:v>
                  </c:pt>
                  <c:pt idx="7">
                    <c:v>Inter Personal Communication</c:v>
                  </c:pt>
                  <c:pt idx="8">
                    <c:v>IEC for family participatory care</c:v>
                  </c:pt>
                  <c:pt idx="9">
                    <c:v>Any other IEC/BCC activities (please specify) including SAANS campaign IEC at state/district level</c:v>
                  </c:pt>
                  <c:pt idx="10">
                    <c:v>IEC/BCC activities under FP</c:v>
                  </c:pt>
                  <c:pt idx="11">
                    <c:v>Media Mix of Mid Media/ Mass Media</c:v>
                  </c:pt>
                  <c:pt idx="12">
                    <c:v>Inter Personal Communication</c:v>
                  </c:pt>
                  <c:pt idx="13">
                    <c:v>IEC &amp; promotional activities for World Population Day celebration</c:v>
                  </c:pt>
                  <c:pt idx="14">
                    <c:v>IEC &amp; promotional activities for Vasectomy Fortnight celebration </c:v>
                  </c:pt>
                  <c:pt idx="15">
                    <c:v>IEC activities for Mission Parivar Vikas Campaign (Frequency-at least 4/year)</c:v>
                  </c:pt>
                  <c:pt idx="16">
                    <c:v>Any other IEC/BCC activities (please specify)</c:v>
                  </c:pt>
                  <c:pt idx="17">
                    <c:v>IEC/BCC activities under AH</c:v>
                  </c:pt>
                  <c:pt idx="18">
                    <c:v>Media Mix of Mass Media/ Mid Media including promotion of menstrual hygiene scheme</c:v>
                  </c:pt>
                  <c:pt idx="19">
                    <c:v>Inter Personal Communication</c:v>
                  </c:pt>
                  <c:pt idx="20">
                    <c:v>Any other IEC/BCC activities (please specify)</c:v>
                  </c:pt>
                  <c:pt idx="21">
                    <c:v>IEC/BCC activities under Immunization</c:v>
                  </c:pt>
                  <c:pt idx="22">
                    <c:v>IEC activities for Immunization</c:v>
                  </c:pt>
                  <c:pt idx="23">
                    <c:v>Any other IEC/BCC activities (please specify)</c:v>
                  </c:pt>
                  <c:pt idx="24">
                    <c:v>IEC/BCC activities under PNDT</c:v>
                  </c:pt>
                  <c:pt idx="25">
                    <c:v>Creating awareness on declining sex ratio issue (PNDT)</c:v>
                  </c:pt>
                  <c:pt idx="26">
                    <c:v>Any other IEC/BCC activities (please specify)</c:v>
                  </c:pt>
                  <c:pt idx="27">
                    <c:v>IEC/BCC activities under NIDDCP</c:v>
                  </c:pt>
                  <c:pt idx="28">
                    <c:v>Health Education &amp; Publicity for NIDDCP</c:v>
                  </c:pt>
                  <c:pt idx="29">
                    <c:v>Any other IEC/BCC activities (please specify)</c:v>
                  </c:pt>
                  <c:pt idx="31">
                    <c:v>Development of State Communication strategy (comprising of district plans)</c:v>
                  </c:pt>
                  <c:pt idx="32">
                    <c:v>IEC/BCC activities under Blood services &amp; disorders</c:v>
                  </c:pt>
                  <c:pt idx="33">
                    <c:v>IEC/BCC activities under Blood Services</c:v>
                  </c:pt>
                  <c:pt idx="34">
                    <c:v>IEC/BCC activities under Blood Disorders</c:v>
                  </c:pt>
                  <c:pt idx="35">
                    <c:v>IEC/BCC activities under ASHA</c:v>
                  </c:pt>
                  <c:pt idx="38">
                    <c:v>IEC activities for Ayushman Bharat Health &amp; Wellness centre (H&amp;WC)</c:v>
                  </c:pt>
                  <c:pt idx="39">
                    <c:v>IEC Activity under NQAP, LaQshya, Kayakalp &amp; Mera-Aspataal (Signages- Approach road, Departmental, Directional and other facility level signage's)</c:v>
                  </c:pt>
                  <c:pt idx="40">
                    <c:v>IEC/BCC- Free Diagnostic Service Initiative (Pathology &amp; Radiology)</c:v>
                  </c:pt>
                  <c:pt idx="41">
                    <c:v>Other IEC/BCC activities</c:v>
                  </c:pt>
                  <c:pt idx="42">
                    <c:v>Interpersonal Communication Tools for the frontline health workers</c:v>
                  </c:pt>
                  <c:pt idx="43">
                    <c:v>Targeting Naturally Occurring Gathering of People/ Health Mela</c:v>
                  </c:pt>
                  <c:pt idx="44">
                    <c:v>Innovative IEC/ BCC Strategies including mobile based solutions, social media and engagement of youth</c:v>
                  </c:pt>
                  <c:pt idx="45">
                    <c:v>SBCC/IEC/Advocacy campaigns </c:v>
                  </c:pt>
                  <c:pt idx="46">
                    <c:v>Places covered with hoardings/ bill boards/ signage etc.</c:v>
                  </c:pt>
                  <c:pt idx="47">
                    <c:v>Usage of Folk media such as Nukkad Natak/ mobile audio visual services/ local radio etc.</c:v>
                  </c:pt>
                  <c:pt idx="48">
                    <c:v>Development of IEC Material</c:v>
                  </c:pt>
                  <c:pt idx="49">
                    <c:v>State-level IEC Campaigns/Other IEC Campaigns</c:v>
                  </c:pt>
                  <c:pt idx="50">
                    <c:v>Any other (please specify)</c:v>
                  </c:pt>
                  <c:pt idx="52">
                    <c:v>IEC/BCC activities under NVBDCP</c:v>
                  </c:pt>
                  <c:pt idx="53">
                    <c:v>IEC/BCC for Malaria</c:v>
                  </c:pt>
                  <c:pt idx="54">
                    <c:v>IEC/BCC for Social mobilization (Dengue and Chikungunya)</c:v>
                  </c:pt>
                  <c:pt idx="55">
                    <c:v>IEC/BCC specific to J.E. in endemic areas</c:v>
                  </c:pt>
                  <c:pt idx="56">
                    <c:v>Specific IEC/BCC for Lymphatic Filariasis at State, District, PHC, Sub-centre and village level including VHSC/GKs for community mobilization efforts to realize the desired drug compliance of 85% during MDA</c:v>
                  </c:pt>
                  <c:pt idx="57">
                    <c:v>IEC/BCC/Advocacy for Kala-azar</c:v>
                  </c:pt>
                  <c:pt idx="58">
                    <c:v>IEC/BCC activities as per the GFATM project</c:v>
                  </c:pt>
                  <c:pt idx="59">
                    <c:v>IEC/ BCC activities under MVCR</c:v>
                  </c:pt>
                  <c:pt idx="60">
                    <c:v>Any other IEC/BCC activities (please specify)</c:v>
                  </c:pt>
                  <c:pt idx="61">
                    <c:v>IEC/BCC activities under NLEP</c:v>
                  </c:pt>
                  <c:pt idx="62">
                    <c:v>IEC/BCC: Mass media, Outdoor media, Rural media, Advocacy media for NLEP including Sparsh Leprosy Awareness Campaign</c:v>
                  </c:pt>
                  <c:pt idx="63">
                    <c:v>Any other IEC/BCC activities (please specify)</c:v>
                  </c:pt>
                  <c:pt idx="64">
                    <c:v>IEC/BCC activities under NTEP</c:v>
                  </c:pt>
                  <c:pt idx="65">
                    <c:v>ACSM (State &amp; district)</c:v>
                  </c:pt>
                  <c:pt idx="66">
                    <c:v>TB Harega Desh Jeetega' Campaign</c:v>
                  </c:pt>
                  <c:pt idx="67">
                    <c:v>Any other IEC/BCC activities (please specify)</c:v>
                  </c:pt>
                  <c:pt idx="68">
                    <c:v>IEC/BCC under NRCP: Rabies Awareness and Do's and Don'ts in the event of Animal Bites</c:v>
                  </c:pt>
                  <c:pt idx="69">
                    <c:v>IEC under Programme for Prevention and Control of Leptospirosis</c:v>
                  </c:pt>
                  <c:pt idx="70">
                    <c:v>IEC under NVHCP</c:v>
                  </c:pt>
                  <c:pt idx="72">
                    <c:v>IEC/BCC activities under NPCB</c:v>
                  </c:pt>
                  <c:pt idx="73">
                    <c:v>State level IEC for Minor State @ Rs. 10 lakh and for Major States @ Rs. 20 lakh under NPCB&amp;VI</c:v>
                  </c:pt>
                  <c:pt idx="74">
                    <c:v>Any other IEC/BCC activities (please specify)</c:v>
                  </c:pt>
                  <c:pt idx="75">
                    <c:v>IEC/BCC activities under NMHP</c:v>
                  </c:pt>
                  <c:pt idx="76">
                    <c:v>Translation of IEC material and distribution</c:v>
                  </c:pt>
                  <c:pt idx="77">
                    <c:v>Awareness generation activities in the community, schools, workplaces with community involvement</c:v>
                  </c:pt>
                  <c:pt idx="78">
                    <c:v>Any other IEC/BCC activities (please specify)</c:v>
                  </c:pt>
                  <c:pt idx="79">
                    <c:v>IEC/BCC activities under NPHCE</c:v>
                  </c:pt>
                  <c:pt idx="80">
                    <c:v>IPC,Group activities and mass media for NPHCE</c:v>
                  </c:pt>
                  <c:pt idx="81">
                    <c:v>Celebration of days-ie International Day for older persons</c:v>
                  </c:pt>
                  <c:pt idx="82">
                    <c:v>IEC/BCC activities under NTCP</c:v>
                  </c:pt>
                  <c:pt idx="83">
                    <c:v>IEC/BCC for NTCP</c:v>
                  </c:pt>
                  <c:pt idx="84">
                    <c:v>IEC/BCC activities under NPCDCS</c:v>
                  </c:pt>
                  <c:pt idx="85">
                    <c:v>IEC/BCC for State NCD  Cell</c:v>
                  </c:pt>
                  <c:pt idx="86">
                    <c:v>IEC/BCC for District  NCD Cell</c:v>
                  </c:pt>
                  <c:pt idx="87">
                    <c:v>IEC/BCC activities for Universal Screening of NCDs</c:v>
                  </c:pt>
                  <c:pt idx="88">
                    <c:v>Any other IEC/BCC activities (please specify)</c:v>
                  </c:pt>
                  <c:pt idx="89">
                    <c:v>IEC/BCC under NOHP</c:v>
                  </c:pt>
                  <c:pt idx="90">
                    <c:v>IEC on Climate Sensitive Diseases at Block , District and State level  – Air pollution, Heat and other relevant Climate Sensitive diseases</c:v>
                  </c:pt>
                  <c:pt idx="91">
                    <c:v>IEC/BCC - National Dialysis Programme (Haemodialysis and Peritoneal Dialysis)</c:v>
                  </c:pt>
                  <c:pt idx="92">
                    <c:v>IEC/BCC activities under NPPCD</c:v>
                  </c:pt>
                  <c:pt idx="93">
                    <c:v>IEC activities</c:v>
                  </c:pt>
                  <c:pt idx="94">
                    <c:v>Any Other</c:v>
                  </c:pt>
                  <c:pt idx="95">
                    <c:v>IEC/BCC activities under NPPC</c:v>
                  </c:pt>
                  <c:pt idx="96">
                    <c:v>IEC for DH</c:v>
                  </c:pt>
                  <c:pt idx="97">
                    <c:v>IEC for State Palliative care cell</c:v>
                  </c:pt>
                  <c:pt idx="98">
                    <c:v>Any other IEC/BCC activities (please specify)</c:v>
                  </c:pt>
                  <c:pt idx="99">
                    <c:v>IEC/BCC activities under NPPCF</c:v>
                  </c:pt>
                  <c:pt idx="100">
                    <c:v>Health Education &amp; Publicity for National Programme for Fluorosis (State and District Level)</c:v>
                  </c:pt>
                  <c:pt idx="101">
                    <c:v>Any other IEC/BCC activities (please specify)</c:v>
                  </c:pt>
                </c:lvl>
                <c:lvl>
                  <c:pt idx="1">
                    <c:v>B.10.3.1</c:v>
                  </c:pt>
                  <c:pt idx="2">
                    <c:v>B.10.3.1.1</c:v>
                  </c:pt>
                  <c:pt idx="3">
                    <c:v>B.10.3.1.2</c:v>
                  </c:pt>
                  <c:pt idx="5">
                    <c:v>B.10.3.2</c:v>
                  </c:pt>
                  <c:pt idx="6">
                    <c:v>B.10.3.2.1</c:v>
                  </c:pt>
                  <c:pt idx="7">
                    <c:v>B.10.3.2.2</c:v>
                  </c:pt>
                  <c:pt idx="10">
                    <c:v>B.10.3.3</c:v>
                  </c:pt>
                  <c:pt idx="11">
                    <c:v>B.10.3.3.1</c:v>
                  </c:pt>
                  <c:pt idx="12">
                    <c:v>B.10.3.3.2</c:v>
                  </c:pt>
                  <c:pt idx="13">
                    <c:v>A.3.5.4</c:v>
                  </c:pt>
                  <c:pt idx="14">
                    <c:v>A.3.5.5</c:v>
                  </c:pt>
                  <c:pt idx="15">
                    <c:v>A.3.7.4</c:v>
                  </c:pt>
                  <c:pt idx="17">
                    <c:v>B.10.3.4</c:v>
                  </c:pt>
                  <c:pt idx="18">
                    <c:v>B.10.3.4.1</c:v>
                  </c:pt>
                  <c:pt idx="19">
                    <c:v>B.10.3.4.2</c:v>
                  </c:pt>
                  <c:pt idx="25">
                    <c:v>B.10.3.5</c:v>
                  </c:pt>
                  <c:pt idx="28">
                    <c:v>B.10.6.7</c:v>
                  </c:pt>
                  <c:pt idx="31">
                    <c:v>B.10.2</c:v>
                  </c:pt>
                  <c:pt idx="32">
                    <c:v>B.10.7.4.5</c:v>
                  </c:pt>
                  <c:pt idx="38">
                    <c:v>B18.3</c:v>
                  </c:pt>
                  <c:pt idx="42">
                    <c:v>B.10.4</c:v>
                  </c:pt>
                  <c:pt idx="43">
                    <c:v>B.10.5</c:v>
                  </c:pt>
                  <c:pt idx="44">
                    <c:v>B.10.6.1</c:v>
                  </c:pt>
                  <c:pt idx="45">
                    <c:v>B.10.6.14.1</c:v>
                  </c:pt>
                  <c:pt idx="46">
                    <c:v>B.10.6.14.1.b</c:v>
                  </c:pt>
                  <c:pt idx="47">
                    <c:v>B.10.6.14.1.c</c:v>
                  </c:pt>
                  <c:pt idx="48">
                    <c:v>B.10.6.14.3.a</c:v>
                  </c:pt>
                  <c:pt idx="49">
                    <c:v>B.10.6.14.3.b</c:v>
                  </c:pt>
                  <c:pt idx="53">
                    <c:v>B.10.6.9.a</c:v>
                  </c:pt>
                  <c:pt idx="54">
                    <c:v>B.10.6.9.b</c:v>
                  </c:pt>
                  <c:pt idx="55">
                    <c:v>B.10.6.9.c</c:v>
                  </c:pt>
                  <c:pt idx="56">
                    <c:v>B.10.6.9.d</c:v>
                  </c:pt>
                  <c:pt idx="57">
                    <c:v>B.10.6.9.e</c:v>
                  </c:pt>
                  <c:pt idx="58">
                    <c:v>B.10.6.9.f</c:v>
                  </c:pt>
                  <c:pt idx="62">
                    <c:v>B.10.6.10</c:v>
                  </c:pt>
                  <c:pt idx="65">
                    <c:v>H.4</c:v>
                  </c:pt>
                  <c:pt idx="73">
                    <c:v>B.10.6.11</c:v>
                  </c:pt>
                  <c:pt idx="75">
                    <c:v>B.10.6.12</c:v>
                  </c:pt>
                  <c:pt idx="76">
                    <c:v>B.10.6.12.a</c:v>
                  </c:pt>
                  <c:pt idx="77">
                    <c:v>B.10.6.12.b</c:v>
                  </c:pt>
                  <c:pt idx="80">
                    <c:v>B.10.6.13</c:v>
                  </c:pt>
                  <c:pt idx="83">
                    <c:v>B.10.6.14</c:v>
                  </c:pt>
                  <c:pt idx="84">
                    <c:v>O.2.3</c:v>
                  </c:pt>
                  <c:pt idx="85">
                    <c:v>O.2.3.1</c:v>
                  </c:pt>
                  <c:pt idx="86">
                    <c:v>O.2.3.2</c:v>
                  </c:pt>
                  <c:pt idx="92">
                    <c:v>B.10.6.5</c:v>
                  </c:pt>
                  <c:pt idx="96">
                    <c:v>B.27.1.3</c:v>
                  </c:pt>
                  <c:pt idx="97">
                    <c:v>B.27.2.2</c:v>
                  </c:pt>
                  <c:pt idx="100">
                    <c:v>B.10.6.6</c:v>
                  </c:pt>
                </c:lvl>
                <c:lvl>
                  <c:pt idx="1">
                    <c:v>11.4</c:v>
                  </c:pt>
                  <c:pt idx="2">
                    <c:v>11.4.1</c:v>
                  </c:pt>
                  <c:pt idx="3">
                    <c:v>11.4.2</c:v>
                  </c:pt>
                  <c:pt idx="4">
                    <c:v>11.4.3</c:v>
                  </c:pt>
                  <c:pt idx="5">
                    <c:v>11.5</c:v>
                  </c:pt>
                  <c:pt idx="6">
                    <c:v>11.5.1</c:v>
                  </c:pt>
                  <c:pt idx="7">
                    <c:v>11.5.2</c:v>
                  </c:pt>
                  <c:pt idx="8">
                    <c:v>11.5.3</c:v>
                  </c:pt>
                  <c:pt idx="9">
                    <c:v>11.5.4</c:v>
                  </c:pt>
                  <c:pt idx="10">
                    <c:v>11.6</c:v>
                  </c:pt>
                  <c:pt idx="11">
                    <c:v>11.6.1</c:v>
                  </c:pt>
                  <c:pt idx="12">
                    <c:v>11.6.2</c:v>
                  </c:pt>
                  <c:pt idx="13">
                    <c:v>11.6.3</c:v>
                  </c:pt>
                  <c:pt idx="14">
                    <c:v>11.6.4</c:v>
                  </c:pt>
                  <c:pt idx="15">
                    <c:v>11.6.5</c:v>
                  </c:pt>
                  <c:pt idx="16">
                    <c:v>11.6.6</c:v>
                  </c:pt>
                  <c:pt idx="17">
                    <c:v>11.7</c:v>
                  </c:pt>
                  <c:pt idx="18">
                    <c:v>11.7.1</c:v>
                  </c:pt>
                  <c:pt idx="19">
                    <c:v>11.7.2</c:v>
                  </c:pt>
                  <c:pt idx="20">
                    <c:v>11.7.3</c:v>
                  </c:pt>
                  <c:pt idx="21">
                    <c:v>11.8</c:v>
                  </c:pt>
                  <c:pt idx="22">
                    <c:v>11.8.1</c:v>
                  </c:pt>
                  <c:pt idx="23">
                    <c:v>11.8.2</c:v>
                  </c:pt>
                  <c:pt idx="24">
                    <c:v>11.9</c:v>
                  </c:pt>
                  <c:pt idx="25">
                    <c:v>11.9.1</c:v>
                  </c:pt>
                  <c:pt idx="26">
                    <c:v>11.9.2</c:v>
                  </c:pt>
                  <c:pt idx="27">
                    <c:v>11.14</c:v>
                  </c:pt>
                  <c:pt idx="28">
                    <c:v>11.14.1</c:v>
                  </c:pt>
                  <c:pt idx="29">
                    <c:v>11.14.2</c:v>
                  </c:pt>
                  <c:pt idx="31">
                    <c:v>11.1</c:v>
                  </c:pt>
                  <c:pt idx="32">
                    <c:v>11.10</c:v>
                  </c:pt>
                  <c:pt idx="33">
                    <c:v>11.10.1</c:v>
                  </c:pt>
                  <c:pt idx="34">
                    <c:v>11.10.2</c:v>
                  </c:pt>
                  <c:pt idx="35">
                    <c:v>11.23</c:v>
                  </c:pt>
                  <c:pt idx="36">
                    <c:v>11.23.1</c:v>
                  </c:pt>
                  <c:pt idx="37">
                    <c:v>11.23.2</c:v>
                  </c:pt>
                  <c:pt idx="38">
                    <c:v>11.24.1</c:v>
                  </c:pt>
                  <c:pt idx="39">
                    <c:v>11.24.4.5</c:v>
                  </c:pt>
                  <c:pt idx="40">
                    <c:v>11.24.4.7</c:v>
                  </c:pt>
                  <c:pt idx="41">
                    <c:v>11.24</c:v>
                  </c:pt>
                  <c:pt idx="42">
                    <c:v>11.2</c:v>
                  </c:pt>
                  <c:pt idx="43">
                    <c:v>11.3</c:v>
                  </c:pt>
                  <c:pt idx="44">
                    <c:v>11.24.2</c:v>
                  </c:pt>
                  <c:pt idx="45">
                    <c:v>11.24.3</c:v>
                  </c:pt>
                  <c:pt idx="46">
                    <c:v>11.24.3.1</c:v>
                  </c:pt>
                  <c:pt idx="47">
                    <c:v>11.24.3.2</c:v>
                  </c:pt>
                  <c:pt idx="48">
                    <c:v>11.24.3.3</c:v>
                  </c:pt>
                  <c:pt idx="49">
                    <c:v>11.24.3.4</c:v>
                  </c:pt>
                  <c:pt idx="50">
                    <c:v>11.24.4.9</c:v>
                  </c:pt>
                  <c:pt idx="52">
                    <c:v>11.15</c:v>
                  </c:pt>
                  <c:pt idx="53">
                    <c:v>11.15.1</c:v>
                  </c:pt>
                  <c:pt idx="54">
                    <c:v>11.15.2</c:v>
                  </c:pt>
                  <c:pt idx="55">
                    <c:v>11.15.3</c:v>
                  </c:pt>
                  <c:pt idx="56">
                    <c:v>11.15.4</c:v>
                  </c:pt>
                  <c:pt idx="57">
                    <c:v>11.15.5</c:v>
                  </c:pt>
                  <c:pt idx="58">
                    <c:v>11.15.6</c:v>
                  </c:pt>
                  <c:pt idx="59">
                    <c:v>11.15.7</c:v>
                  </c:pt>
                  <c:pt idx="60">
                    <c:v>11.15.8</c:v>
                  </c:pt>
                  <c:pt idx="61">
                    <c:v>11.16</c:v>
                  </c:pt>
                  <c:pt idx="62">
                    <c:v>11.16.1</c:v>
                  </c:pt>
                  <c:pt idx="63">
                    <c:v>11.16.2</c:v>
                  </c:pt>
                  <c:pt idx="64">
                    <c:v>11.17</c:v>
                  </c:pt>
                  <c:pt idx="65">
                    <c:v>11.17.1</c:v>
                  </c:pt>
                  <c:pt idx="66">
                    <c:v>11.17.2</c:v>
                  </c:pt>
                  <c:pt idx="67">
                    <c:v>11.17.3</c:v>
                  </c:pt>
                  <c:pt idx="68">
                    <c:v>11.24.4.1</c:v>
                  </c:pt>
                  <c:pt idx="69">
                    <c:v>11.24.4.6</c:v>
                  </c:pt>
                  <c:pt idx="72">
                    <c:v>11.18</c:v>
                  </c:pt>
                  <c:pt idx="73">
                    <c:v>11.18.1</c:v>
                  </c:pt>
                  <c:pt idx="74">
                    <c:v>11.18.2</c:v>
                  </c:pt>
                  <c:pt idx="75">
                    <c:v>11.19</c:v>
                  </c:pt>
                  <c:pt idx="76">
                    <c:v>11.19.1</c:v>
                  </c:pt>
                  <c:pt idx="77">
                    <c:v>11.19.2</c:v>
                  </c:pt>
                  <c:pt idx="78">
                    <c:v>11.19.3</c:v>
                  </c:pt>
                  <c:pt idx="79">
                    <c:v>11.20</c:v>
                  </c:pt>
                  <c:pt idx="80">
                    <c:v>11.20.1</c:v>
                  </c:pt>
                  <c:pt idx="81">
                    <c:v>11.20.2</c:v>
                  </c:pt>
                  <c:pt idx="82">
                    <c:v>11.21</c:v>
                  </c:pt>
                  <c:pt idx="83">
                    <c:v>11.21.1</c:v>
                  </c:pt>
                  <c:pt idx="84">
                    <c:v>11.22</c:v>
                  </c:pt>
                  <c:pt idx="85">
                    <c:v>11.22.1</c:v>
                  </c:pt>
                  <c:pt idx="86">
                    <c:v>11.22.2</c:v>
                  </c:pt>
                  <c:pt idx="87">
                    <c:v>11.22.3</c:v>
                  </c:pt>
                  <c:pt idx="88">
                    <c:v>11.22.4</c:v>
                  </c:pt>
                  <c:pt idx="89">
                    <c:v>11.24.4.2</c:v>
                  </c:pt>
                  <c:pt idx="90">
                    <c:v>11.24.4.4</c:v>
                  </c:pt>
                  <c:pt idx="91">
                    <c:v>11.24.4.8</c:v>
                  </c:pt>
                  <c:pt idx="92">
                    <c:v>11.11</c:v>
                  </c:pt>
                  <c:pt idx="93">
                    <c:v>11.11.1</c:v>
                  </c:pt>
                  <c:pt idx="94">
                    <c:v>11.11.2</c:v>
                  </c:pt>
                  <c:pt idx="95">
                    <c:v>11.12</c:v>
                  </c:pt>
                  <c:pt idx="96">
                    <c:v>11.12.1</c:v>
                  </c:pt>
                  <c:pt idx="97">
                    <c:v>11.12.2</c:v>
                  </c:pt>
                  <c:pt idx="98">
                    <c:v>11.12.3</c:v>
                  </c:pt>
                  <c:pt idx="99">
                    <c:v>11.13</c:v>
                  </c:pt>
                  <c:pt idx="100">
                    <c:v>11.13.1</c:v>
                  </c:pt>
                  <c:pt idx="101">
                    <c:v>11.13.2</c:v>
                  </c:pt>
                </c:lvl>
              </c:multiLvlStrCache>
            </c:multiLvlStrRef>
          </c:cat>
          <c:val>
            <c:numRef>
              <c:f>'11-A. IEC Sub-Annex'!$J$5:$J$106</c:f>
            </c:numRef>
          </c:val>
          <c:extLst xmlns:c16r2="http://schemas.microsoft.com/office/drawing/2015/06/chart">
            <c:ext xmlns:c16="http://schemas.microsoft.com/office/drawing/2014/chart" uri="{C3380CC4-5D6E-409C-BE32-E72D297353CC}">
              <c16:uniqueId val="{00000004-5F31-4E66-B011-A29233064213}"/>
            </c:ext>
          </c:extLst>
        </c:ser>
        <c:ser>
          <c:idx val="5"/>
          <c:order val="5"/>
          <c:tx>
            <c:strRef>
              <c:f>'11-A. IEC Sub-Annex'!$K$1:$K$4</c:f>
              <c:strCache>
                <c:ptCount val="1"/>
                <c:pt idx="0">
                  <c:v>Summary of Abst. Proposal for 2021-22 Unit of Measure</c:v>
                </c:pt>
              </c:strCache>
            </c:strRef>
          </c:tx>
          <c:cat>
            <c:multiLvlStrRef>
              <c:f>'11-A. IEC Sub-Annex'!$A$5:$E$106</c:f>
              <c:multiLvlStrCache>
                <c:ptCount val="102"/>
                <c:lvl>
                  <c:pt idx="2">
                    <c:v>RCH</c:v>
                  </c:pt>
                  <c:pt idx="3">
                    <c:v>RCH</c:v>
                  </c:pt>
                  <c:pt idx="4">
                    <c:v>RCH</c:v>
                  </c:pt>
                  <c:pt idx="6">
                    <c:v>RCH</c:v>
                  </c:pt>
                  <c:pt idx="7">
                    <c:v>RCH</c:v>
                  </c:pt>
                  <c:pt idx="8">
                    <c:v>RCH</c:v>
                  </c:pt>
                  <c:pt idx="9">
                    <c:v>RCH</c:v>
                  </c:pt>
                  <c:pt idx="11">
                    <c:v>RCH</c:v>
                  </c:pt>
                  <c:pt idx="12">
                    <c:v>RCH</c:v>
                  </c:pt>
                  <c:pt idx="13">
                    <c:v>RCH</c:v>
                  </c:pt>
                  <c:pt idx="14">
                    <c:v>RCH</c:v>
                  </c:pt>
                  <c:pt idx="15">
                    <c:v>RCH</c:v>
                  </c:pt>
                  <c:pt idx="16">
                    <c:v>RCH</c:v>
                  </c:pt>
                  <c:pt idx="18">
                    <c:v>RCH</c:v>
                  </c:pt>
                  <c:pt idx="19">
                    <c:v>RCH</c:v>
                  </c:pt>
                  <c:pt idx="20">
                    <c:v>RCH</c:v>
                  </c:pt>
                  <c:pt idx="22">
                    <c:v>RCH</c:v>
                  </c:pt>
                  <c:pt idx="23">
                    <c:v>RCH</c:v>
                  </c:pt>
                  <c:pt idx="25">
                    <c:v>RCH</c:v>
                  </c:pt>
                  <c:pt idx="26">
                    <c:v>RCH</c:v>
                  </c:pt>
                  <c:pt idx="28">
                    <c:v>RCH</c:v>
                  </c:pt>
                  <c:pt idx="29">
                    <c:v>RCH</c:v>
                  </c:pt>
                  <c:pt idx="31">
                    <c:v>HSS</c:v>
                  </c:pt>
                  <c:pt idx="33">
                    <c:v>HSS</c:v>
                  </c:pt>
                  <c:pt idx="34">
                    <c:v>HSS</c:v>
                  </c:pt>
                  <c:pt idx="36">
                    <c:v>HSS</c:v>
                  </c:pt>
                  <c:pt idx="37">
                    <c:v>HSS</c:v>
                  </c:pt>
                  <c:pt idx="38">
                    <c:v>HSS</c:v>
                  </c:pt>
                  <c:pt idx="39">
                    <c:v>HSS</c:v>
                  </c:pt>
                  <c:pt idx="40">
                    <c:v>HSS</c:v>
                  </c:pt>
                  <c:pt idx="42">
                    <c:v>HSS</c:v>
                  </c:pt>
                  <c:pt idx="43">
                    <c:v>HSS</c:v>
                  </c:pt>
                  <c:pt idx="44">
                    <c:v>HSS</c:v>
                  </c:pt>
                  <c:pt idx="46">
                    <c:v>HSS</c:v>
                  </c:pt>
                  <c:pt idx="47">
                    <c:v>HSS</c:v>
                  </c:pt>
                  <c:pt idx="48">
                    <c:v>HSS</c:v>
                  </c:pt>
                  <c:pt idx="49">
                    <c:v>HSS</c:v>
                  </c:pt>
                  <c:pt idx="50">
                    <c:v>HSS</c:v>
                  </c:pt>
                  <c:pt idx="53">
                    <c:v>NDCP</c:v>
                  </c:pt>
                  <c:pt idx="54">
                    <c:v>NDCP</c:v>
                  </c:pt>
                  <c:pt idx="55">
                    <c:v>NDCP</c:v>
                  </c:pt>
                  <c:pt idx="56">
                    <c:v>NDCP</c:v>
                  </c:pt>
                  <c:pt idx="57">
                    <c:v>NDCP</c:v>
                  </c:pt>
                  <c:pt idx="58">
                    <c:v>NDCP</c:v>
                  </c:pt>
                  <c:pt idx="59">
                    <c:v>NDCP</c:v>
                  </c:pt>
                  <c:pt idx="60">
                    <c:v>NDCP</c:v>
                  </c:pt>
                  <c:pt idx="62">
                    <c:v>NDCP</c:v>
                  </c:pt>
                  <c:pt idx="63">
                    <c:v>NDCP</c:v>
                  </c:pt>
                  <c:pt idx="65">
                    <c:v>NDCP</c:v>
                  </c:pt>
                  <c:pt idx="66">
                    <c:v>NDCP</c:v>
                  </c:pt>
                  <c:pt idx="67">
                    <c:v>NDCP</c:v>
                  </c:pt>
                  <c:pt idx="68">
                    <c:v>NDCP</c:v>
                  </c:pt>
                  <c:pt idx="69">
                    <c:v>NDCP</c:v>
                  </c:pt>
                  <c:pt idx="70">
                    <c:v>NDCP</c:v>
                  </c:pt>
                  <c:pt idx="73">
                    <c:v>NCD</c:v>
                  </c:pt>
                  <c:pt idx="74">
                    <c:v>NCD</c:v>
                  </c:pt>
                  <c:pt idx="76">
                    <c:v>NCD</c:v>
                  </c:pt>
                  <c:pt idx="77">
                    <c:v>NCD</c:v>
                  </c:pt>
                  <c:pt idx="78">
                    <c:v>NCD</c:v>
                  </c:pt>
                  <c:pt idx="80">
                    <c:v>NCD</c:v>
                  </c:pt>
                  <c:pt idx="81">
                    <c:v>NCD</c:v>
                  </c:pt>
                  <c:pt idx="83">
                    <c:v>NCD</c:v>
                  </c:pt>
                  <c:pt idx="85">
                    <c:v>NCD</c:v>
                  </c:pt>
                  <c:pt idx="86">
                    <c:v>NCD</c:v>
                  </c:pt>
                  <c:pt idx="87">
                    <c:v>NCD</c:v>
                  </c:pt>
                  <c:pt idx="88">
                    <c:v>NCD</c:v>
                  </c:pt>
                  <c:pt idx="89">
                    <c:v>NCD</c:v>
                  </c:pt>
                  <c:pt idx="90">
                    <c:v>NCD</c:v>
                  </c:pt>
                  <c:pt idx="91">
                    <c:v>NCD</c:v>
                  </c:pt>
                  <c:pt idx="93">
                    <c:v>NCD</c:v>
                  </c:pt>
                  <c:pt idx="94">
                    <c:v>NCD</c:v>
                  </c:pt>
                  <c:pt idx="96">
                    <c:v>NCD</c:v>
                  </c:pt>
                  <c:pt idx="97">
                    <c:v>NCD</c:v>
                  </c:pt>
                  <c:pt idx="98">
                    <c:v>NCD</c:v>
                  </c:pt>
                  <c:pt idx="100">
                    <c:v>NCD</c:v>
                  </c:pt>
                  <c:pt idx="101">
                    <c:v>NCD</c:v>
                  </c:pt>
                </c:lvl>
                <c:lvl>
                  <c:pt idx="1">
                    <c:v>IEC/BCC activities under MH</c:v>
                  </c:pt>
                  <c:pt idx="2">
                    <c:v>Media Mix of Mid Media/ Mass Media</c:v>
                  </c:pt>
                  <c:pt idx="3">
                    <c:v>Inter Personal Communication</c:v>
                  </c:pt>
                  <c:pt idx="4">
                    <c:v>Any other IEC/BCC activities (please specify)</c:v>
                  </c:pt>
                  <c:pt idx="5">
                    <c:v>IEC/BCC activities under CH</c:v>
                  </c:pt>
                  <c:pt idx="6">
                    <c:v>Media Mix of Mid Media/ Mass Media</c:v>
                  </c:pt>
                  <c:pt idx="7">
                    <c:v>Inter Personal Communication</c:v>
                  </c:pt>
                  <c:pt idx="8">
                    <c:v>IEC for family participatory care</c:v>
                  </c:pt>
                  <c:pt idx="9">
                    <c:v>Any other IEC/BCC activities (please specify) including SAANS campaign IEC at state/district level</c:v>
                  </c:pt>
                  <c:pt idx="10">
                    <c:v>IEC/BCC activities under FP</c:v>
                  </c:pt>
                  <c:pt idx="11">
                    <c:v>Media Mix of Mid Media/ Mass Media</c:v>
                  </c:pt>
                  <c:pt idx="12">
                    <c:v>Inter Personal Communication</c:v>
                  </c:pt>
                  <c:pt idx="13">
                    <c:v>IEC &amp; promotional activities for World Population Day celebration</c:v>
                  </c:pt>
                  <c:pt idx="14">
                    <c:v>IEC &amp; promotional activities for Vasectomy Fortnight celebration </c:v>
                  </c:pt>
                  <c:pt idx="15">
                    <c:v>IEC activities for Mission Parivar Vikas Campaign (Frequency-at least 4/year)</c:v>
                  </c:pt>
                  <c:pt idx="16">
                    <c:v>Any other IEC/BCC activities (please specify)</c:v>
                  </c:pt>
                  <c:pt idx="17">
                    <c:v>IEC/BCC activities under AH</c:v>
                  </c:pt>
                  <c:pt idx="18">
                    <c:v>Media Mix of Mass Media/ Mid Media including promotion of menstrual hygiene scheme</c:v>
                  </c:pt>
                  <c:pt idx="19">
                    <c:v>Inter Personal Communication</c:v>
                  </c:pt>
                  <c:pt idx="20">
                    <c:v>Any other IEC/BCC activities (please specify)</c:v>
                  </c:pt>
                  <c:pt idx="21">
                    <c:v>IEC/BCC activities under Immunization</c:v>
                  </c:pt>
                  <c:pt idx="22">
                    <c:v>IEC activities for Immunization</c:v>
                  </c:pt>
                  <c:pt idx="23">
                    <c:v>Any other IEC/BCC activities (please specify)</c:v>
                  </c:pt>
                  <c:pt idx="24">
                    <c:v>IEC/BCC activities under PNDT</c:v>
                  </c:pt>
                  <c:pt idx="25">
                    <c:v>Creating awareness on declining sex ratio issue (PNDT)</c:v>
                  </c:pt>
                  <c:pt idx="26">
                    <c:v>Any other IEC/BCC activities (please specify)</c:v>
                  </c:pt>
                  <c:pt idx="27">
                    <c:v>IEC/BCC activities under NIDDCP</c:v>
                  </c:pt>
                  <c:pt idx="28">
                    <c:v>Health Education &amp; Publicity for NIDDCP</c:v>
                  </c:pt>
                  <c:pt idx="29">
                    <c:v>Any other IEC/BCC activities (please specify)</c:v>
                  </c:pt>
                  <c:pt idx="31">
                    <c:v>Development of State Communication strategy (comprising of district plans)</c:v>
                  </c:pt>
                  <c:pt idx="32">
                    <c:v>IEC/BCC activities under Blood services &amp; disorders</c:v>
                  </c:pt>
                  <c:pt idx="33">
                    <c:v>IEC/BCC activities under Blood Services</c:v>
                  </c:pt>
                  <c:pt idx="34">
                    <c:v>IEC/BCC activities under Blood Disorders</c:v>
                  </c:pt>
                  <c:pt idx="35">
                    <c:v>IEC/BCC activities under ASHA</c:v>
                  </c:pt>
                  <c:pt idx="38">
                    <c:v>IEC activities for Ayushman Bharat Health &amp; Wellness centre (H&amp;WC)</c:v>
                  </c:pt>
                  <c:pt idx="39">
                    <c:v>IEC Activity under NQAP, LaQshya, Kayakalp &amp; Mera-Aspataal (Signages- Approach road, Departmental, Directional and other facility level signage's)</c:v>
                  </c:pt>
                  <c:pt idx="40">
                    <c:v>IEC/BCC- Free Diagnostic Service Initiative (Pathology &amp; Radiology)</c:v>
                  </c:pt>
                  <c:pt idx="41">
                    <c:v>Other IEC/BCC activities</c:v>
                  </c:pt>
                  <c:pt idx="42">
                    <c:v>Interpersonal Communication Tools for the frontline health workers</c:v>
                  </c:pt>
                  <c:pt idx="43">
                    <c:v>Targeting Naturally Occurring Gathering of People/ Health Mela</c:v>
                  </c:pt>
                  <c:pt idx="44">
                    <c:v>Innovative IEC/ BCC Strategies including mobile based solutions, social media and engagement of youth</c:v>
                  </c:pt>
                  <c:pt idx="45">
                    <c:v>SBCC/IEC/Advocacy campaigns </c:v>
                  </c:pt>
                  <c:pt idx="46">
                    <c:v>Places covered with hoardings/ bill boards/ signage etc.</c:v>
                  </c:pt>
                  <c:pt idx="47">
                    <c:v>Usage of Folk media such as Nukkad Natak/ mobile audio visual services/ local radio etc.</c:v>
                  </c:pt>
                  <c:pt idx="48">
                    <c:v>Development of IEC Material</c:v>
                  </c:pt>
                  <c:pt idx="49">
                    <c:v>State-level IEC Campaigns/Other IEC Campaigns</c:v>
                  </c:pt>
                  <c:pt idx="50">
                    <c:v>Any other (please specify)</c:v>
                  </c:pt>
                  <c:pt idx="52">
                    <c:v>IEC/BCC activities under NVBDCP</c:v>
                  </c:pt>
                  <c:pt idx="53">
                    <c:v>IEC/BCC for Malaria</c:v>
                  </c:pt>
                  <c:pt idx="54">
                    <c:v>IEC/BCC for Social mobilization (Dengue and Chikungunya)</c:v>
                  </c:pt>
                  <c:pt idx="55">
                    <c:v>IEC/BCC specific to J.E. in endemic areas</c:v>
                  </c:pt>
                  <c:pt idx="56">
                    <c:v>Specific IEC/BCC for Lymphatic Filariasis at State, District, PHC, Sub-centre and village level including VHSC/GKs for community mobilization efforts to realize the desired drug compliance of 85% during MDA</c:v>
                  </c:pt>
                  <c:pt idx="57">
                    <c:v>IEC/BCC/Advocacy for Kala-azar</c:v>
                  </c:pt>
                  <c:pt idx="58">
                    <c:v>IEC/BCC activities as per the GFATM project</c:v>
                  </c:pt>
                  <c:pt idx="59">
                    <c:v>IEC/ BCC activities under MVCR</c:v>
                  </c:pt>
                  <c:pt idx="60">
                    <c:v>Any other IEC/BCC activities (please specify)</c:v>
                  </c:pt>
                  <c:pt idx="61">
                    <c:v>IEC/BCC activities under NLEP</c:v>
                  </c:pt>
                  <c:pt idx="62">
                    <c:v>IEC/BCC: Mass media, Outdoor media, Rural media, Advocacy media for NLEP including Sparsh Leprosy Awareness Campaign</c:v>
                  </c:pt>
                  <c:pt idx="63">
                    <c:v>Any other IEC/BCC activities (please specify)</c:v>
                  </c:pt>
                  <c:pt idx="64">
                    <c:v>IEC/BCC activities under NTEP</c:v>
                  </c:pt>
                  <c:pt idx="65">
                    <c:v>ACSM (State &amp; district)</c:v>
                  </c:pt>
                  <c:pt idx="66">
                    <c:v>TB Harega Desh Jeetega' Campaign</c:v>
                  </c:pt>
                  <c:pt idx="67">
                    <c:v>Any other IEC/BCC activities (please specify)</c:v>
                  </c:pt>
                  <c:pt idx="68">
                    <c:v>IEC/BCC under NRCP: Rabies Awareness and Do's and Don'ts in the event of Animal Bites</c:v>
                  </c:pt>
                  <c:pt idx="69">
                    <c:v>IEC under Programme for Prevention and Control of Leptospirosis</c:v>
                  </c:pt>
                  <c:pt idx="70">
                    <c:v>IEC under NVHCP</c:v>
                  </c:pt>
                  <c:pt idx="72">
                    <c:v>IEC/BCC activities under NPCB</c:v>
                  </c:pt>
                  <c:pt idx="73">
                    <c:v>State level IEC for Minor State @ Rs. 10 lakh and for Major States @ Rs. 20 lakh under NPCB&amp;VI</c:v>
                  </c:pt>
                  <c:pt idx="74">
                    <c:v>Any other IEC/BCC activities (please specify)</c:v>
                  </c:pt>
                  <c:pt idx="75">
                    <c:v>IEC/BCC activities under NMHP</c:v>
                  </c:pt>
                  <c:pt idx="76">
                    <c:v>Translation of IEC material and distribution</c:v>
                  </c:pt>
                  <c:pt idx="77">
                    <c:v>Awareness generation activities in the community, schools, workplaces with community involvement</c:v>
                  </c:pt>
                  <c:pt idx="78">
                    <c:v>Any other IEC/BCC activities (please specify)</c:v>
                  </c:pt>
                  <c:pt idx="79">
                    <c:v>IEC/BCC activities under NPHCE</c:v>
                  </c:pt>
                  <c:pt idx="80">
                    <c:v>IPC,Group activities and mass media for NPHCE</c:v>
                  </c:pt>
                  <c:pt idx="81">
                    <c:v>Celebration of days-ie International Day for older persons</c:v>
                  </c:pt>
                  <c:pt idx="82">
                    <c:v>IEC/BCC activities under NTCP</c:v>
                  </c:pt>
                  <c:pt idx="83">
                    <c:v>IEC/BCC for NTCP</c:v>
                  </c:pt>
                  <c:pt idx="84">
                    <c:v>IEC/BCC activities under NPCDCS</c:v>
                  </c:pt>
                  <c:pt idx="85">
                    <c:v>IEC/BCC for State NCD  Cell</c:v>
                  </c:pt>
                  <c:pt idx="86">
                    <c:v>IEC/BCC for District  NCD Cell</c:v>
                  </c:pt>
                  <c:pt idx="87">
                    <c:v>IEC/BCC activities for Universal Screening of NCDs</c:v>
                  </c:pt>
                  <c:pt idx="88">
                    <c:v>Any other IEC/BCC activities (please specify)</c:v>
                  </c:pt>
                  <c:pt idx="89">
                    <c:v>IEC/BCC under NOHP</c:v>
                  </c:pt>
                  <c:pt idx="90">
                    <c:v>IEC on Climate Sensitive Diseases at Block , District and State level  – Air pollution, Heat and other relevant Climate Sensitive diseases</c:v>
                  </c:pt>
                  <c:pt idx="91">
                    <c:v>IEC/BCC - National Dialysis Programme (Haemodialysis and Peritoneal Dialysis)</c:v>
                  </c:pt>
                  <c:pt idx="92">
                    <c:v>IEC/BCC activities under NPPCD</c:v>
                  </c:pt>
                  <c:pt idx="93">
                    <c:v>IEC activities</c:v>
                  </c:pt>
                  <c:pt idx="94">
                    <c:v>Any Other</c:v>
                  </c:pt>
                  <c:pt idx="95">
                    <c:v>IEC/BCC activities under NPPC</c:v>
                  </c:pt>
                  <c:pt idx="96">
                    <c:v>IEC for DH</c:v>
                  </c:pt>
                  <c:pt idx="97">
                    <c:v>IEC for State Palliative care cell</c:v>
                  </c:pt>
                  <c:pt idx="98">
                    <c:v>Any other IEC/BCC activities (please specify)</c:v>
                  </c:pt>
                  <c:pt idx="99">
                    <c:v>IEC/BCC activities under NPPCF</c:v>
                  </c:pt>
                  <c:pt idx="100">
                    <c:v>Health Education &amp; Publicity for National Programme for Fluorosis (State and District Level)</c:v>
                  </c:pt>
                  <c:pt idx="101">
                    <c:v>Any other IEC/BCC activities (please specify)</c:v>
                  </c:pt>
                </c:lvl>
                <c:lvl>
                  <c:pt idx="1">
                    <c:v>B.10.3.1</c:v>
                  </c:pt>
                  <c:pt idx="2">
                    <c:v>B.10.3.1.1</c:v>
                  </c:pt>
                  <c:pt idx="3">
                    <c:v>B.10.3.1.2</c:v>
                  </c:pt>
                  <c:pt idx="5">
                    <c:v>B.10.3.2</c:v>
                  </c:pt>
                  <c:pt idx="6">
                    <c:v>B.10.3.2.1</c:v>
                  </c:pt>
                  <c:pt idx="7">
                    <c:v>B.10.3.2.2</c:v>
                  </c:pt>
                  <c:pt idx="10">
                    <c:v>B.10.3.3</c:v>
                  </c:pt>
                  <c:pt idx="11">
                    <c:v>B.10.3.3.1</c:v>
                  </c:pt>
                  <c:pt idx="12">
                    <c:v>B.10.3.3.2</c:v>
                  </c:pt>
                  <c:pt idx="13">
                    <c:v>A.3.5.4</c:v>
                  </c:pt>
                  <c:pt idx="14">
                    <c:v>A.3.5.5</c:v>
                  </c:pt>
                  <c:pt idx="15">
                    <c:v>A.3.7.4</c:v>
                  </c:pt>
                  <c:pt idx="17">
                    <c:v>B.10.3.4</c:v>
                  </c:pt>
                  <c:pt idx="18">
                    <c:v>B.10.3.4.1</c:v>
                  </c:pt>
                  <c:pt idx="19">
                    <c:v>B.10.3.4.2</c:v>
                  </c:pt>
                  <c:pt idx="25">
                    <c:v>B.10.3.5</c:v>
                  </c:pt>
                  <c:pt idx="28">
                    <c:v>B.10.6.7</c:v>
                  </c:pt>
                  <c:pt idx="31">
                    <c:v>B.10.2</c:v>
                  </c:pt>
                  <c:pt idx="32">
                    <c:v>B.10.7.4.5</c:v>
                  </c:pt>
                  <c:pt idx="38">
                    <c:v>B18.3</c:v>
                  </c:pt>
                  <c:pt idx="42">
                    <c:v>B.10.4</c:v>
                  </c:pt>
                  <c:pt idx="43">
                    <c:v>B.10.5</c:v>
                  </c:pt>
                  <c:pt idx="44">
                    <c:v>B.10.6.1</c:v>
                  </c:pt>
                  <c:pt idx="45">
                    <c:v>B.10.6.14.1</c:v>
                  </c:pt>
                  <c:pt idx="46">
                    <c:v>B.10.6.14.1.b</c:v>
                  </c:pt>
                  <c:pt idx="47">
                    <c:v>B.10.6.14.1.c</c:v>
                  </c:pt>
                  <c:pt idx="48">
                    <c:v>B.10.6.14.3.a</c:v>
                  </c:pt>
                  <c:pt idx="49">
                    <c:v>B.10.6.14.3.b</c:v>
                  </c:pt>
                  <c:pt idx="53">
                    <c:v>B.10.6.9.a</c:v>
                  </c:pt>
                  <c:pt idx="54">
                    <c:v>B.10.6.9.b</c:v>
                  </c:pt>
                  <c:pt idx="55">
                    <c:v>B.10.6.9.c</c:v>
                  </c:pt>
                  <c:pt idx="56">
                    <c:v>B.10.6.9.d</c:v>
                  </c:pt>
                  <c:pt idx="57">
                    <c:v>B.10.6.9.e</c:v>
                  </c:pt>
                  <c:pt idx="58">
                    <c:v>B.10.6.9.f</c:v>
                  </c:pt>
                  <c:pt idx="62">
                    <c:v>B.10.6.10</c:v>
                  </c:pt>
                  <c:pt idx="65">
                    <c:v>H.4</c:v>
                  </c:pt>
                  <c:pt idx="73">
                    <c:v>B.10.6.11</c:v>
                  </c:pt>
                  <c:pt idx="75">
                    <c:v>B.10.6.12</c:v>
                  </c:pt>
                  <c:pt idx="76">
                    <c:v>B.10.6.12.a</c:v>
                  </c:pt>
                  <c:pt idx="77">
                    <c:v>B.10.6.12.b</c:v>
                  </c:pt>
                  <c:pt idx="80">
                    <c:v>B.10.6.13</c:v>
                  </c:pt>
                  <c:pt idx="83">
                    <c:v>B.10.6.14</c:v>
                  </c:pt>
                  <c:pt idx="84">
                    <c:v>O.2.3</c:v>
                  </c:pt>
                  <c:pt idx="85">
                    <c:v>O.2.3.1</c:v>
                  </c:pt>
                  <c:pt idx="86">
                    <c:v>O.2.3.2</c:v>
                  </c:pt>
                  <c:pt idx="92">
                    <c:v>B.10.6.5</c:v>
                  </c:pt>
                  <c:pt idx="96">
                    <c:v>B.27.1.3</c:v>
                  </c:pt>
                  <c:pt idx="97">
                    <c:v>B.27.2.2</c:v>
                  </c:pt>
                  <c:pt idx="100">
                    <c:v>B.10.6.6</c:v>
                  </c:pt>
                </c:lvl>
                <c:lvl>
                  <c:pt idx="1">
                    <c:v>11.4</c:v>
                  </c:pt>
                  <c:pt idx="2">
                    <c:v>11.4.1</c:v>
                  </c:pt>
                  <c:pt idx="3">
                    <c:v>11.4.2</c:v>
                  </c:pt>
                  <c:pt idx="4">
                    <c:v>11.4.3</c:v>
                  </c:pt>
                  <c:pt idx="5">
                    <c:v>11.5</c:v>
                  </c:pt>
                  <c:pt idx="6">
                    <c:v>11.5.1</c:v>
                  </c:pt>
                  <c:pt idx="7">
                    <c:v>11.5.2</c:v>
                  </c:pt>
                  <c:pt idx="8">
                    <c:v>11.5.3</c:v>
                  </c:pt>
                  <c:pt idx="9">
                    <c:v>11.5.4</c:v>
                  </c:pt>
                  <c:pt idx="10">
                    <c:v>11.6</c:v>
                  </c:pt>
                  <c:pt idx="11">
                    <c:v>11.6.1</c:v>
                  </c:pt>
                  <c:pt idx="12">
                    <c:v>11.6.2</c:v>
                  </c:pt>
                  <c:pt idx="13">
                    <c:v>11.6.3</c:v>
                  </c:pt>
                  <c:pt idx="14">
                    <c:v>11.6.4</c:v>
                  </c:pt>
                  <c:pt idx="15">
                    <c:v>11.6.5</c:v>
                  </c:pt>
                  <c:pt idx="16">
                    <c:v>11.6.6</c:v>
                  </c:pt>
                  <c:pt idx="17">
                    <c:v>11.7</c:v>
                  </c:pt>
                  <c:pt idx="18">
                    <c:v>11.7.1</c:v>
                  </c:pt>
                  <c:pt idx="19">
                    <c:v>11.7.2</c:v>
                  </c:pt>
                  <c:pt idx="20">
                    <c:v>11.7.3</c:v>
                  </c:pt>
                  <c:pt idx="21">
                    <c:v>11.8</c:v>
                  </c:pt>
                  <c:pt idx="22">
                    <c:v>11.8.1</c:v>
                  </c:pt>
                  <c:pt idx="23">
                    <c:v>11.8.2</c:v>
                  </c:pt>
                  <c:pt idx="24">
                    <c:v>11.9</c:v>
                  </c:pt>
                  <c:pt idx="25">
                    <c:v>11.9.1</c:v>
                  </c:pt>
                  <c:pt idx="26">
                    <c:v>11.9.2</c:v>
                  </c:pt>
                  <c:pt idx="27">
                    <c:v>11.14</c:v>
                  </c:pt>
                  <c:pt idx="28">
                    <c:v>11.14.1</c:v>
                  </c:pt>
                  <c:pt idx="29">
                    <c:v>11.14.2</c:v>
                  </c:pt>
                  <c:pt idx="31">
                    <c:v>11.1</c:v>
                  </c:pt>
                  <c:pt idx="32">
                    <c:v>11.10</c:v>
                  </c:pt>
                  <c:pt idx="33">
                    <c:v>11.10.1</c:v>
                  </c:pt>
                  <c:pt idx="34">
                    <c:v>11.10.2</c:v>
                  </c:pt>
                  <c:pt idx="35">
                    <c:v>11.23</c:v>
                  </c:pt>
                  <c:pt idx="36">
                    <c:v>11.23.1</c:v>
                  </c:pt>
                  <c:pt idx="37">
                    <c:v>11.23.2</c:v>
                  </c:pt>
                  <c:pt idx="38">
                    <c:v>11.24.1</c:v>
                  </c:pt>
                  <c:pt idx="39">
                    <c:v>11.24.4.5</c:v>
                  </c:pt>
                  <c:pt idx="40">
                    <c:v>11.24.4.7</c:v>
                  </c:pt>
                  <c:pt idx="41">
                    <c:v>11.24</c:v>
                  </c:pt>
                  <c:pt idx="42">
                    <c:v>11.2</c:v>
                  </c:pt>
                  <c:pt idx="43">
                    <c:v>11.3</c:v>
                  </c:pt>
                  <c:pt idx="44">
                    <c:v>11.24.2</c:v>
                  </c:pt>
                  <c:pt idx="45">
                    <c:v>11.24.3</c:v>
                  </c:pt>
                  <c:pt idx="46">
                    <c:v>11.24.3.1</c:v>
                  </c:pt>
                  <c:pt idx="47">
                    <c:v>11.24.3.2</c:v>
                  </c:pt>
                  <c:pt idx="48">
                    <c:v>11.24.3.3</c:v>
                  </c:pt>
                  <c:pt idx="49">
                    <c:v>11.24.3.4</c:v>
                  </c:pt>
                  <c:pt idx="50">
                    <c:v>11.24.4.9</c:v>
                  </c:pt>
                  <c:pt idx="52">
                    <c:v>11.15</c:v>
                  </c:pt>
                  <c:pt idx="53">
                    <c:v>11.15.1</c:v>
                  </c:pt>
                  <c:pt idx="54">
                    <c:v>11.15.2</c:v>
                  </c:pt>
                  <c:pt idx="55">
                    <c:v>11.15.3</c:v>
                  </c:pt>
                  <c:pt idx="56">
                    <c:v>11.15.4</c:v>
                  </c:pt>
                  <c:pt idx="57">
                    <c:v>11.15.5</c:v>
                  </c:pt>
                  <c:pt idx="58">
                    <c:v>11.15.6</c:v>
                  </c:pt>
                  <c:pt idx="59">
                    <c:v>11.15.7</c:v>
                  </c:pt>
                  <c:pt idx="60">
                    <c:v>11.15.8</c:v>
                  </c:pt>
                  <c:pt idx="61">
                    <c:v>11.16</c:v>
                  </c:pt>
                  <c:pt idx="62">
                    <c:v>11.16.1</c:v>
                  </c:pt>
                  <c:pt idx="63">
                    <c:v>11.16.2</c:v>
                  </c:pt>
                  <c:pt idx="64">
                    <c:v>11.17</c:v>
                  </c:pt>
                  <c:pt idx="65">
                    <c:v>11.17.1</c:v>
                  </c:pt>
                  <c:pt idx="66">
                    <c:v>11.17.2</c:v>
                  </c:pt>
                  <c:pt idx="67">
                    <c:v>11.17.3</c:v>
                  </c:pt>
                  <c:pt idx="68">
                    <c:v>11.24.4.1</c:v>
                  </c:pt>
                  <c:pt idx="69">
                    <c:v>11.24.4.6</c:v>
                  </c:pt>
                  <c:pt idx="72">
                    <c:v>11.18</c:v>
                  </c:pt>
                  <c:pt idx="73">
                    <c:v>11.18.1</c:v>
                  </c:pt>
                  <c:pt idx="74">
                    <c:v>11.18.2</c:v>
                  </c:pt>
                  <c:pt idx="75">
                    <c:v>11.19</c:v>
                  </c:pt>
                  <c:pt idx="76">
                    <c:v>11.19.1</c:v>
                  </c:pt>
                  <c:pt idx="77">
                    <c:v>11.19.2</c:v>
                  </c:pt>
                  <c:pt idx="78">
                    <c:v>11.19.3</c:v>
                  </c:pt>
                  <c:pt idx="79">
                    <c:v>11.20</c:v>
                  </c:pt>
                  <c:pt idx="80">
                    <c:v>11.20.1</c:v>
                  </c:pt>
                  <c:pt idx="81">
                    <c:v>11.20.2</c:v>
                  </c:pt>
                  <c:pt idx="82">
                    <c:v>11.21</c:v>
                  </c:pt>
                  <c:pt idx="83">
                    <c:v>11.21.1</c:v>
                  </c:pt>
                  <c:pt idx="84">
                    <c:v>11.22</c:v>
                  </c:pt>
                  <c:pt idx="85">
                    <c:v>11.22.1</c:v>
                  </c:pt>
                  <c:pt idx="86">
                    <c:v>11.22.2</c:v>
                  </c:pt>
                  <c:pt idx="87">
                    <c:v>11.22.3</c:v>
                  </c:pt>
                  <c:pt idx="88">
                    <c:v>11.22.4</c:v>
                  </c:pt>
                  <c:pt idx="89">
                    <c:v>11.24.4.2</c:v>
                  </c:pt>
                  <c:pt idx="90">
                    <c:v>11.24.4.4</c:v>
                  </c:pt>
                  <c:pt idx="91">
                    <c:v>11.24.4.8</c:v>
                  </c:pt>
                  <c:pt idx="92">
                    <c:v>11.11</c:v>
                  </c:pt>
                  <c:pt idx="93">
                    <c:v>11.11.1</c:v>
                  </c:pt>
                  <c:pt idx="94">
                    <c:v>11.11.2</c:v>
                  </c:pt>
                  <c:pt idx="95">
                    <c:v>11.12</c:v>
                  </c:pt>
                  <c:pt idx="96">
                    <c:v>11.12.1</c:v>
                  </c:pt>
                  <c:pt idx="97">
                    <c:v>11.12.2</c:v>
                  </c:pt>
                  <c:pt idx="98">
                    <c:v>11.12.3</c:v>
                  </c:pt>
                  <c:pt idx="99">
                    <c:v>11.13</c:v>
                  </c:pt>
                  <c:pt idx="100">
                    <c:v>11.13.1</c:v>
                  </c:pt>
                  <c:pt idx="101">
                    <c:v>11.13.2</c:v>
                  </c:pt>
                </c:lvl>
              </c:multiLvlStrCache>
            </c:multiLvlStrRef>
          </c:cat>
          <c:val>
            <c:numRef>
              <c:f>'11-A. IEC Sub-Annex'!$K$5:$K$106</c:f>
            </c:numRef>
          </c:val>
          <c:extLst xmlns:c16r2="http://schemas.microsoft.com/office/drawing/2015/06/chart">
            <c:ext xmlns:c16="http://schemas.microsoft.com/office/drawing/2014/chart" uri="{C3380CC4-5D6E-409C-BE32-E72D297353CC}">
              <c16:uniqueId val="{00000005-5F31-4E66-B011-A29233064213}"/>
            </c:ext>
          </c:extLst>
        </c:ser>
        <c:ser>
          <c:idx val="6"/>
          <c:order val="6"/>
          <c:tx>
            <c:strRef>
              <c:f>'11-A. IEC Sub-Annex'!$L$1:$L$4</c:f>
              <c:strCache>
                <c:ptCount val="1"/>
                <c:pt idx="0">
                  <c:v>Summary of Abst. Proposal for 2021-22 Unit Cost 
(Rs)  </c:v>
                </c:pt>
              </c:strCache>
            </c:strRef>
          </c:tx>
          <c:cat>
            <c:multiLvlStrRef>
              <c:f>'11-A. IEC Sub-Annex'!$A$5:$E$106</c:f>
              <c:multiLvlStrCache>
                <c:ptCount val="102"/>
                <c:lvl>
                  <c:pt idx="2">
                    <c:v>RCH</c:v>
                  </c:pt>
                  <c:pt idx="3">
                    <c:v>RCH</c:v>
                  </c:pt>
                  <c:pt idx="4">
                    <c:v>RCH</c:v>
                  </c:pt>
                  <c:pt idx="6">
                    <c:v>RCH</c:v>
                  </c:pt>
                  <c:pt idx="7">
                    <c:v>RCH</c:v>
                  </c:pt>
                  <c:pt idx="8">
                    <c:v>RCH</c:v>
                  </c:pt>
                  <c:pt idx="9">
                    <c:v>RCH</c:v>
                  </c:pt>
                  <c:pt idx="11">
                    <c:v>RCH</c:v>
                  </c:pt>
                  <c:pt idx="12">
                    <c:v>RCH</c:v>
                  </c:pt>
                  <c:pt idx="13">
                    <c:v>RCH</c:v>
                  </c:pt>
                  <c:pt idx="14">
                    <c:v>RCH</c:v>
                  </c:pt>
                  <c:pt idx="15">
                    <c:v>RCH</c:v>
                  </c:pt>
                  <c:pt idx="16">
                    <c:v>RCH</c:v>
                  </c:pt>
                  <c:pt idx="18">
                    <c:v>RCH</c:v>
                  </c:pt>
                  <c:pt idx="19">
                    <c:v>RCH</c:v>
                  </c:pt>
                  <c:pt idx="20">
                    <c:v>RCH</c:v>
                  </c:pt>
                  <c:pt idx="22">
                    <c:v>RCH</c:v>
                  </c:pt>
                  <c:pt idx="23">
                    <c:v>RCH</c:v>
                  </c:pt>
                  <c:pt idx="25">
                    <c:v>RCH</c:v>
                  </c:pt>
                  <c:pt idx="26">
                    <c:v>RCH</c:v>
                  </c:pt>
                  <c:pt idx="28">
                    <c:v>RCH</c:v>
                  </c:pt>
                  <c:pt idx="29">
                    <c:v>RCH</c:v>
                  </c:pt>
                  <c:pt idx="31">
                    <c:v>HSS</c:v>
                  </c:pt>
                  <c:pt idx="33">
                    <c:v>HSS</c:v>
                  </c:pt>
                  <c:pt idx="34">
                    <c:v>HSS</c:v>
                  </c:pt>
                  <c:pt idx="36">
                    <c:v>HSS</c:v>
                  </c:pt>
                  <c:pt idx="37">
                    <c:v>HSS</c:v>
                  </c:pt>
                  <c:pt idx="38">
                    <c:v>HSS</c:v>
                  </c:pt>
                  <c:pt idx="39">
                    <c:v>HSS</c:v>
                  </c:pt>
                  <c:pt idx="40">
                    <c:v>HSS</c:v>
                  </c:pt>
                  <c:pt idx="42">
                    <c:v>HSS</c:v>
                  </c:pt>
                  <c:pt idx="43">
                    <c:v>HSS</c:v>
                  </c:pt>
                  <c:pt idx="44">
                    <c:v>HSS</c:v>
                  </c:pt>
                  <c:pt idx="46">
                    <c:v>HSS</c:v>
                  </c:pt>
                  <c:pt idx="47">
                    <c:v>HSS</c:v>
                  </c:pt>
                  <c:pt idx="48">
                    <c:v>HSS</c:v>
                  </c:pt>
                  <c:pt idx="49">
                    <c:v>HSS</c:v>
                  </c:pt>
                  <c:pt idx="50">
                    <c:v>HSS</c:v>
                  </c:pt>
                  <c:pt idx="53">
                    <c:v>NDCP</c:v>
                  </c:pt>
                  <c:pt idx="54">
                    <c:v>NDCP</c:v>
                  </c:pt>
                  <c:pt idx="55">
                    <c:v>NDCP</c:v>
                  </c:pt>
                  <c:pt idx="56">
                    <c:v>NDCP</c:v>
                  </c:pt>
                  <c:pt idx="57">
                    <c:v>NDCP</c:v>
                  </c:pt>
                  <c:pt idx="58">
                    <c:v>NDCP</c:v>
                  </c:pt>
                  <c:pt idx="59">
                    <c:v>NDCP</c:v>
                  </c:pt>
                  <c:pt idx="60">
                    <c:v>NDCP</c:v>
                  </c:pt>
                  <c:pt idx="62">
                    <c:v>NDCP</c:v>
                  </c:pt>
                  <c:pt idx="63">
                    <c:v>NDCP</c:v>
                  </c:pt>
                  <c:pt idx="65">
                    <c:v>NDCP</c:v>
                  </c:pt>
                  <c:pt idx="66">
                    <c:v>NDCP</c:v>
                  </c:pt>
                  <c:pt idx="67">
                    <c:v>NDCP</c:v>
                  </c:pt>
                  <c:pt idx="68">
                    <c:v>NDCP</c:v>
                  </c:pt>
                  <c:pt idx="69">
                    <c:v>NDCP</c:v>
                  </c:pt>
                  <c:pt idx="70">
                    <c:v>NDCP</c:v>
                  </c:pt>
                  <c:pt idx="73">
                    <c:v>NCD</c:v>
                  </c:pt>
                  <c:pt idx="74">
                    <c:v>NCD</c:v>
                  </c:pt>
                  <c:pt idx="76">
                    <c:v>NCD</c:v>
                  </c:pt>
                  <c:pt idx="77">
                    <c:v>NCD</c:v>
                  </c:pt>
                  <c:pt idx="78">
                    <c:v>NCD</c:v>
                  </c:pt>
                  <c:pt idx="80">
                    <c:v>NCD</c:v>
                  </c:pt>
                  <c:pt idx="81">
                    <c:v>NCD</c:v>
                  </c:pt>
                  <c:pt idx="83">
                    <c:v>NCD</c:v>
                  </c:pt>
                  <c:pt idx="85">
                    <c:v>NCD</c:v>
                  </c:pt>
                  <c:pt idx="86">
                    <c:v>NCD</c:v>
                  </c:pt>
                  <c:pt idx="87">
                    <c:v>NCD</c:v>
                  </c:pt>
                  <c:pt idx="88">
                    <c:v>NCD</c:v>
                  </c:pt>
                  <c:pt idx="89">
                    <c:v>NCD</c:v>
                  </c:pt>
                  <c:pt idx="90">
                    <c:v>NCD</c:v>
                  </c:pt>
                  <c:pt idx="91">
                    <c:v>NCD</c:v>
                  </c:pt>
                  <c:pt idx="93">
                    <c:v>NCD</c:v>
                  </c:pt>
                  <c:pt idx="94">
                    <c:v>NCD</c:v>
                  </c:pt>
                  <c:pt idx="96">
                    <c:v>NCD</c:v>
                  </c:pt>
                  <c:pt idx="97">
                    <c:v>NCD</c:v>
                  </c:pt>
                  <c:pt idx="98">
                    <c:v>NCD</c:v>
                  </c:pt>
                  <c:pt idx="100">
                    <c:v>NCD</c:v>
                  </c:pt>
                  <c:pt idx="101">
                    <c:v>NCD</c:v>
                  </c:pt>
                </c:lvl>
                <c:lvl>
                  <c:pt idx="1">
                    <c:v>IEC/BCC activities under MH</c:v>
                  </c:pt>
                  <c:pt idx="2">
                    <c:v>Media Mix of Mid Media/ Mass Media</c:v>
                  </c:pt>
                  <c:pt idx="3">
                    <c:v>Inter Personal Communication</c:v>
                  </c:pt>
                  <c:pt idx="4">
                    <c:v>Any other IEC/BCC activities (please specify)</c:v>
                  </c:pt>
                  <c:pt idx="5">
                    <c:v>IEC/BCC activities under CH</c:v>
                  </c:pt>
                  <c:pt idx="6">
                    <c:v>Media Mix of Mid Media/ Mass Media</c:v>
                  </c:pt>
                  <c:pt idx="7">
                    <c:v>Inter Personal Communication</c:v>
                  </c:pt>
                  <c:pt idx="8">
                    <c:v>IEC for family participatory care</c:v>
                  </c:pt>
                  <c:pt idx="9">
                    <c:v>Any other IEC/BCC activities (please specify) including SAANS campaign IEC at state/district level</c:v>
                  </c:pt>
                  <c:pt idx="10">
                    <c:v>IEC/BCC activities under FP</c:v>
                  </c:pt>
                  <c:pt idx="11">
                    <c:v>Media Mix of Mid Media/ Mass Media</c:v>
                  </c:pt>
                  <c:pt idx="12">
                    <c:v>Inter Personal Communication</c:v>
                  </c:pt>
                  <c:pt idx="13">
                    <c:v>IEC &amp; promotional activities for World Population Day celebration</c:v>
                  </c:pt>
                  <c:pt idx="14">
                    <c:v>IEC &amp; promotional activities for Vasectomy Fortnight celebration </c:v>
                  </c:pt>
                  <c:pt idx="15">
                    <c:v>IEC activities for Mission Parivar Vikas Campaign (Frequency-at least 4/year)</c:v>
                  </c:pt>
                  <c:pt idx="16">
                    <c:v>Any other IEC/BCC activities (please specify)</c:v>
                  </c:pt>
                  <c:pt idx="17">
                    <c:v>IEC/BCC activities under AH</c:v>
                  </c:pt>
                  <c:pt idx="18">
                    <c:v>Media Mix of Mass Media/ Mid Media including promotion of menstrual hygiene scheme</c:v>
                  </c:pt>
                  <c:pt idx="19">
                    <c:v>Inter Personal Communication</c:v>
                  </c:pt>
                  <c:pt idx="20">
                    <c:v>Any other IEC/BCC activities (please specify)</c:v>
                  </c:pt>
                  <c:pt idx="21">
                    <c:v>IEC/BCC activities under Immunization</c:v>
                  </c:pt>
                  <c:pt idx="22">
                    <c:v>IEC activities for Immunization</c:v>
                  </c:pt>
                  <c:pt idx="23">
                    <c:v>Any other IEC/BCC activities (please specify)</c:v>
                  </c:pt>
                  <c:pt idx="24">
                    <c:v>IEC/BCC activities under PNDT</c:v>
                  </c:pt>
                  <c:pt idx="25">
                    <c:v>Creating awareness on declining sex ratio issue (PNDT)</c:v>
                  </c:pt>
                  <c:pt idx="26">
                    <c:v>Any other IEC/BCC activities (please specify)</c:v>
                  </c:pt>
                  <c:pt idx="27">
                    <c:v>IEC/BCC activities under NIDDCP</c:v>
                  </c:pt>
                  <c:pt idx="28">
                    <c:v>Health Education &amp; Publicity for NIDDCP</c:v>
                  </c:pt>
                  <c:pt idx="29">
                    <c:v>Any other IEC/BCC activities (please specify)</c:v>
                  </c:pt>
                  <c:pt idx="31">
                    <c:v>Development of State Communication strategy (comprising of district plans)</c:v>
                  </c:pt>
                  <c:pt idx="32">
                    <c:v>IEC/BCC activities under Blood services &amp; disorders</c:v>
                  </c:pt>
                  <c:pt idx="33">
                    <c:v>IEC/BCC activities under Blood Services</c:v>
                  </c:pt>
                  <c:pt idx="34">
                    <c:v>IEC/BCC activities under Blood Disorders</c:v>
                  </c:pt>
                  <c:pt idx="35">
                    <c:v>IEC/BCC activities under ASHA</c:v>
                  </c:pt>
                  <c:pt idx="38">
                    <c:v>IEC activities for Ayushman Bharat Health &amp; Wellness centre (H&amp;WC)</c:v>
                  </c:pt>
                  <c:pt idx="39">
                    <c:v>IEC Activity under NQAP, LaQshya, Kayakalp &amp; Mera-Aspataal (Signages- Approach road, Departmental, Directional and other facility level signage's)</c:v>
                  </c:pt>
                  <c:pt idx="40">
                    <c:v>IEC/BCC- Free Diagnostic Service Initiative (Pathology &amp; Radiology)</c:v>
                  </c:pt>
                  <c:pt idx="41">
                    <c:v>Other IEC/BCC activities</c:v>
                  </c:pt>
                  <c:pt idx="42">
                    <c:v>Interpersonal Communication Tools for the frontline health workers</c:v>
                  </c:pt>
                  <c:pt idx="43">
                    <c:v>Targeting Naturally Occurring Gathering of People/ Health Mela</c:v>
                  </c:pt>
                  <c:pt idx="44">
                    <c:v>Innovative IEC/ BCC Strategies including mobile based solutions, social media and engagement of youth</c:v>
                  </c:pt>
                  <c:pt idx="45">
                    <c:v>SBCC/IEC/Advocacy campaigns </c:v>
                  </c:pt>
                  <c:pt idx="46">
                    <c:v>Places covered with hoardings/ bill boards/ signage etc.</c:v>
                  </c:pt>
                  <c:pt idx="47">
                    <c:v>Usage of Folk media such as Nukkad Natak/ mobile audio visual services/ local radio etc.</c:v>
                  </c:pt>
                  <c:pt idx="48">
                    <c:v>Development of IEC Material</c:v>
                  </c:pt>
                  <c:pt idx="49">
                    <c:v>State-level IEC Campaigns/Other IEC Campaigns</c:v>
                  </c:pt>
                  <c:pt idx="50">
                    <c:v>Any other (please specify)</c:v>
                  </c:pt>
                  <c:pt idx="52">
                    <c:v>IEC/BCC activities under NVBDCP</c:v>
                  </c:pt>
                  <c:pt idx="53">
                    <c:v>IEC/BCC for Malaria</c:v>
                  </c:pt>
                  <c:pt idx="54">
                    <c:v>IEC/BCC for Social mobilization (Dengue and Chikungunya)</c:v>
                  </c:pt>
                  <c:pt idx="55">
                    <c:v>IEC/BCC specific to J.E. in endemic areas</c:v>
                  </c:pt>
                  <c:pt idx="56">
                    <c:v>Specific IEC/BCC for Lymphatic Filariasis at State, District, PHC, Sub-centre and village level including VHSC/GKs for community mobilization efforts to realize the desired drug compliance of 85% during MDA</c:v>
                  </c:pt>
                  <c:pt idx="57">
                    <c:v>IEC/BCC/Advocacy for Kala-azar</c:v>
                  </c:pt>
                  <c:pt idx="58">
                    <c:v>IEC/BCC activities as per the GFATM project</c:v>
                  </c:pt>
                  <c:pt idx="59">
                    <c:v>IEC/ BCC activities under MVCR</c:v>
                  </c:pt>
                  <c:pt idx="60">
                    <c:v>Any other IEC/BCC activities (please specify)</c:v>
                  </c:pt>
                  <c:pt idx="61">
                    <c:v>IEC/BCC activities under NLEP</c:v>
                  </c:pt>
                  <c:pt idx="62">
                    <c:v>IEC/BCC: Mass media, Outdoor media, Rural media, Advocacy media for NLEP including Sparsh Leprosy Awareness Campaign</c:v>
                  </c:pt>
                  <c:pt idx="63">
                    <c:v>Any other IEC/BCC activities (please specify)</c:v>
                  </c:pt>
                  <c:pt idx="64">
                    <c:v>IEC/BCC activities under NTEP</c:v>
                  </c:pt>
                  <c:pt idx="65">
                    <c:v>ACSM (State &amp; district)</c:v>
                  </c:pt>
                  <c:pt idx="66">
                    <c:v>TB Harega Desh Jeetega' Campaign</c:v>
                  </c:pt>
                  <c:pt idx="67">
                    <c:v>Any other IEC/BCC activities (please specify)</c:v>
                  </c:pt>
                  <c:pt idx="68">
                    <c:v>IEC/BCC under NRCP: Rabies Awareness and Do's and Don'ts in the event of Animal Bites</c:v>
                  </c:pt>
                  <c:pt idx="69">
                    <c:v>IEC under Programme for Prevention and Control of Leptospirosis</c:v>
                  </c:pt>
                  <c:pt idx="70">
                    <c:v>IEC under NVHCP</c:v>
                  </c:pt>
                  <c:pt idx="72">
                    <c:v>IEC/BCC activities under NPCB</c:v>
                  </c:pt>
                  <c:pt idx="73">
                    <c:v>State level IEC for Minor State @ Rs. 10 lakh and for Major States @ Rs. 20 lakh under NPCB&amp;VI</c:v>
                  </c:pt>
                  <c:pt idx="74">
                    <c:v>Any other IEC/BCC activities (please specify)</c:v>
                  </c:pt>
                  <c:pt idx="75">
                    <c:v>IEC/BCC activities under NMHP</c:v>
                  </c:pt>
                  <c:pt idx="76">
                    <c:v>Translation of IEC material and distribution</c:v>
                  </c:pt>
                  <c:pt idx="77">
                    <c:v>Awareness generation activities in the community, schools, workplaces with community involvement</c:v>
                  </c:pt>
                  <c:pt idx="78">
                    <c:v>Any other IEC/BCC activities (please specify)</c:v>
                  </c:pt>
                  <c:pt idx="79">
                    <c:v>IEC/BCC activities under NPHCE</c:v>
                  </c:pt>
                  <c:pt idx="80">
                    <c:v>IPC,Group activities and mass media for NPHCE</c:v>
                  </c:pt>
                  <c:pt idx="81">
                    <c:v>Celebration of days-ie International Day for older persons</c:v>
                  </c:pt>
                  <c:pt idx="82">
                    <c:v>IEC/BCC activities under NTCP</c:v>
                  </c:pt>
                  <c:pt idx="83">
                    <c:v>IEC/BCC for NTCP</c:v>
                  </c:pt>
                  <c:pt idx="84">
                    <c:v>IEC/BCC activities under NPCDCS</c:v>
                  </c:pt>
                  <c:pt idx="85">
                    <c:v>IEC/BCC for State NCD  Cell</c:v>
                  </c:pt>
                  <c:pt idx="86">
                    <c:v>IEC/BCC for District  NCD Cell</c:v>
                  </c:pt>
                  <c:pt idx="87">
                    <c:v>IEC/BCC activities for Universal Screening of NCDs</c:v>
                  </c:pt>
                  <c:pt idx="88">
                    <c:v>Any other IEC/BCC activities (please specify)</c:v>
                  </c:pt>
                  <c:pt idx="89">
                    <c:v>IEC/BCC under NOHP</c:v>
                  </c:pt>
                  <c:pt idx="90">
                    <c:v>IEC on Climate Sensitive Diseases at Block , District and State level  – Air pollution, Heat and other relevant Climate Sensitive diseases</c:v>
                  </c:pt>
                  <c:pt idx="91">
                    <c:v>IEC/BCC - National Dialysis Programme (Haemodialysis and Peritoneal Dialysis)</c:v>
                  </c:pt>
                  <c:pt idx="92">
                    <c:v>IEC/BCC activities under NPPCD</c:v>
                  </c:pt>
                  <c:pt idx="93">
                    <c:v>IEC activities</c:v>
                  </c:pt>
                  <c:pt idx="94">
                    <c:v>Any Other</c:v>
                  </c:pt>
                  <c:pt idx="95">
                    <c:v>IEC/BCC activities under NPPC</c:v>
                  </c:pt>
                  <c:pt idx="96">
                    <c:v>IEC for DH</c:v>
                  </c:pt>
                  <c:pt idx="97">
                    <c:v>IEC for State Palliative care cell</c:v>
                  </c:pt>
                  <c:pt idx="98">
                    <c:v>Any other IEC/BCC activities (please specify)</c:v>
                  </c:pt>
                  <c:pt idx="99">
                    <c:v>IEC/BCC activities under NPPCF</c:v>
                  </c:pt>
                  <c:pt idx="100">
                    <c:v>Health Education &amp; Publicity for National Programme for Fluorosis (State and District Level)</c:v>
                  </c:pt>
                  <c:pt idx="101">
                    <c:v>Any other IEC/BCC activities (please specify)</c:v>
                  </c:pt>
                </c:lvl>
                <c:lvl>
                  <c:pt idx="1">
                    <c:v>B.10.3.1</c:v>
                  </c:pt>
                  <c:pt idx="2">
                    <c:v>B.10.3.1.1</c:v>
                  </c:pt>
                  <c:pt idx="3">
                    <c:v>B.10.3.1.2</c:v>
                  </c:pt>
                  <c:pt idx="5">
                    <c:v>B.10.3.2</c:v>
                  </c:pt>
                  <c:pt idx="6">
                    <c:v>B.10.3.2.1</c:v>
                  </c:pt>
                  <c:pt idx="7">
                    <c:v>B.10.3.2.2</c:v>
                  </c:pt>
                  <c:pt idx="10">
                    <c:v>B.10.3.3</c:v>
                  </c:pt>
                  <c:pt idx="11">
                    <c:v>B.10.3.3.1</c:v>
                  </c:pt>
                  <c:pt idx="12">
                    <c:v>B.10.3.3.2</c:v>
                  </c:pt>
                  <c:pt idx="13">
                    <c:v>A.3.5.4</c:v>
                  </c:pt>
                  <c:pt idx="14">
                    <c:v>A.3.5.5</c:v>
                  </c:pt>
                  <c:pt idx="15">
                    <c:v>A.3.7.4</c:v>
                  </c:pt>
                  <c:pt idx="17">
                    <c:v>B.10.3.4</c:v>
                  </c:pt>
                  <c:pt idx="18">
                    <c:v>B.10.3.4.1</c:v>
                  </c:pt>
                  <c:pt idx="19">
                    <c:v>B.10.3.4.2</c:v>
                  </c:pt>
                  <c:pt idx="25">
                    <c:v>B.10.3.5</c:v>
                  </c:pt>
                  <c:pt idx="28">
                    <c:v>B.10.6.7</c:v>
                  </c:pt>
                  <c:pt idx="31">
                    <c:v>B.10.2</c:v>
                  </c:pt>
                  <c:pt idx="32">
                    <c:v>B.10.7.4.5</c:v>
                  </c:pt>
                  <c:pt idx="38">
                    <c:v>B18.3</c:v>
                  </c:pt>
                  <c:pt idx="42">
                    <c:v>B.10.4</c:v>
                  </c:pt>
                  <c:pt idx="43">
                    <c:v>B.10.5</c:v>
                  </c:pt>
                  <c:pt idx="44">
                    <c:v>B.10.6.1</c:v>
                  </c:pt>
                  <c:pt idx="45">
                    <c:v>B.10.6.14.1</c:v>
                  </c:pt>
                  <c:pt idx="46">
                    <c:v>B.10.6.14.1.b</c:v>
                  </c:pt>
                  <c:pt idx="47">
                    <c:v>B.10.6.14.1.c</c:v>
                  </c:pt>
                  <c:pt idx="48">
                    <c:v>B.10.6.14.3.a</c:v>
                  </c:pt>
                  <c:pt idx="49">
                    <c:v>B.10.6.14.3.b</c:v>
                  </c:pt>
                  <c:pt idx="53">
                    <c:v>B.10.6.9.a</c:v>
                  </c:pt>
                  <c:pt idx="54">
                    <c:v>B.10.6.9.b</c:v>
                  </c:pt>
                  <c:pt idx="55">
                    <c:v>B.10.6.9.c</c:v>
                  </c:pt>
                  <c:pt idx="56">
                    <c:v>B.10.6.9.d</c:v>
                  </c:pt>
                  <c:pt idx="57">
                    <c:v>B.10.6.9.e</c:v>
                  </c:pt>
                  <c:pt idx="58">
                    <c:v>B.10.6.9.f</c:v>
                  </c:pt>
                  <c:pt idx="62">
                    <c:v>B.10.6.10</c:v>
                  </c:pt>
                  <c:pt idx="65">
                    <c:v>H.4</c:v>
                  </c:pt>
                  <c:pt idx="73">
                    <c:v>B.10.6.11</c:v>
                  </c:pt>
                  <c:pt idx="75">
                    <c:v>B.10.6.12</c:v>
                  </c:pt>
                  <c:pt idx="76">
                    <c:v>B.10.6.12.a</c:v>
                  </c:pt>
                  <c:pt idx="77">
                    <c:v>B.10.6.12.b</c:v>
                  </c:pt>
                  <c:pt idx="80">
                    <c:v>B.10.6.13</c:v>
                  </c:pt>
                  <c:pt idx="83">
                    <c:v>B.10.6.14</c:v>
                  </c:pt>
                  <c:pt idx="84">
                    <c:v>O.2.3</c:v>
                  </c:pt>
                  <c:pt idx="85">
                    <c:v>O.2.3.1</c:v>
                  </c:pt>
                  <c:pt idx="86">
                    <c:v>O.2.3.2</c:v>
                  </c:pt>
                  <c:pt idx="92">
                    <c:v>B.10.6.5</c:v>
                  </c:pt>
                  <c:pt idx="96">
                    <c:v>B.27.1.3</c:v>
                  </c:pt>
                  <c:pt idx="97">
                    <c:v>B.27.2.2</c:v>
                  </c:pt>
                  <c:pt idx="100">
                    <c:v>B.10.6.6</c:v>
                  </c:pt>
                </c:lvl>
                <c:lvl>
                  <c:pt idx="1">
                    <c:v>11.4</c:v>
                  </c:pt>
                  <c:pt idx="2">
                    <c:v>11.4.1</c:v>
                  </c:pt>
                  <c:pt idx="3">
                    <c:v>11.4.2</c:v>
                  </c:pt>
                  <c:pt idx="4">
                    <c:v>11.4.3</c:v>
                  </c:pt>
                  <c:pt idx="5">
                    <c:v>11.5</c:v>
                  </c:pt>
                  <c:pt idx="6">
                    <c:v>11.5.1</c:v>
                  </c:pt>
                  <c:pt idx="7">
                    <c:v>11.5.2</c:v>
                  </c:pt>
                  <c:pt idx="8">
                    <c:v>11.5.3</c:v>
                  </c:pt>
                  <c:pt idx="9">
                    <c:v>11.5.4</c:v>
                  </c:pt>
                  <c:pt idx="10">
                    <c:v>11.6</c:v>
                  </c:pt>
                  <c:pt idx="11">
                    <c:v>11.6.1</c:v>
                  </c:pt>
                  <c:pt idx="12">
                    <c:v>11.6.2</c:v>
                  </c:pt>
                  <c:pt idx="13">
                    <c:v>11.6.3</c:v>
                  </c:pt>
                  <c:pt idx="14">
                    <c:v>11.6.4</c:v>
                  </c:pt>
                  <c:pt idx="15">
                    <c:v>11.6.5</c:v>
                  </c:pt>
                  <c:pt idx="16">
                    <c:v>11.6.6</c:v>
                  </c:pt>
                  <c:pt idx="17">
                    <c:v>11.7</c:v>
                  </c:pt>
                  <c:pt idx="18">
                    <c:v>11.7.1</c:v>
                  </c:pt>
                  <c:pt idx="19">
                    <c:v>11.7.2</c:v>
                  </c:pt>
                  <c:pt idx="20">
                    <c:v>11.7.3</c:v>
                  </c:pt>
                  <c:pt idx="21">
                    <c:v>11.8</c:v>
                  </c:pt>
                  <c:pt idx="22">
                    <c:v>11.8.1</c:v>
                  </c:pt>
                  <c:pt idx="23">
                    <c:v>11.8.2</c:v>
                  </c:pt>
                  <c:pt idx="24">
                    <c:v>11.9</c:v>
                  </c:pt>
                  <c:pt idx="25">
                    <c:v>11.9.1</c:v>
                  </c:pt>
                  <c:pt idx="26">
                    <c:v>11.9.2</c:v>
                  </c:pt>
                  <c:pt idx="27">
                    <c:v>11.14</c:v>
                  </c:pt>
                  <c:pt idx="28">
                    <c:v>11.14.1</c:v>
                  </c:pt>
                  <c:pt idx="29">
                    <c:v>11.14.2</c:v>
                  </c:pt>
                  <c:pt idx="31">
                    <c:v>11.1</c:v>
                  </c:pt>
                  <c:pt idx="32">
                    <c:v>11.10</c:v>
                  </c:pt>
                  <c:pt idx="33">
                    <c:v>11.10.1</c:v>
                  </c:pt>
                  <c:pt idx="34">
                    <c:v>11.10.2</c:v>
                  </c:pt>
                  <c:pt idx="35">
                    <c:v>11.23</c:v>
                  </c:pt>
                  <c:pt idx="36">
                    <c:v>11.23.1</c:v>
                  </c:pt>
                  <c:pt idx="37">
                    <c:v>11.23.2</c:v>
                  </c:pt>
                  <c:pt idx="38">
                    <c:v>11.24.1</c:v>
                  </c:pt>
                  <c:pt idx="39">
                    <c:v>11.24.4.5</c:v>
                  </c:pt>
                  <c:pt idx="40">
                    <c:v>11.24.4.7</c:v>
                  </c:pt>
                  <c:pt idx="41">
                    <c:v>11.24</c:v>
                  </c:pt>
                  <c:pt idx="42">
                    <c:v>11.2</c:v>
                  </c:pt>
                  <c:pt idx="43">
                    <c:v>11.3</c:v>
                  </c:pt>
                  <c:pt idx="44">
                    <c:v>11.24.2</c:v>
                  </c:pt>
                  <c:pt idx="45">
                    <c:v>11.24.3</c:v>
                  </c:pt>
                  <c:pt idx="46">
                    <c:v>11.24.3.1</c:v>
                  </c:pt>
                  <c:pt idx="47">
                    <c:v>11.24.3.2</c:v>
                  </c:pt>
                  <c:pt idx="48">
                    <c:v>11.24.3.3</c:v>
                  </c:pt>
                  <c:pt idx="49">
                    <c:v>11.24.3.4</c:v>
                  </c:pt>
                  <c:pt idx="50">
                    <c:v>11.24.4.9</c:v>
                  </c:pt>
                  <c:pt idx="52">
                    <c:v>11.15</c:v>
                  </c:pt>
                  <c:pt idx="53">
                    <c:v>11.15.1</c:v>
                  </c:pt>
                  <c:pt idx="54">
                    <c:v>11.15.2</c:v>
                  </c:pt>
                  <c:pt idx="55">
                    <c:v>11.15.3</c:v>
                  </c:pt>
                  <c:pt idx="56">
                    <c:v>11.15.4</c:v>
                  </c:pt>
                  <c:pt idx="57">
                    <c:v>11.15.5</c:v>
                  </c:pt>
                  <c:pt idx="58">
                    <c:v>11.15.6</c:v>
                  </c:pt>
                  <c:pt idx="59">
                    <c:v>11.15.7</c:v>
                  </c:pt>
                  <c:pt idx="60">
                    <c:v>11.15.8</c:v>
                  </c:pt>
                  <c:pt idx="61">
                    <c:v>11.16</c:v>
                  </c:pt>
                  <c:pt idx="62">
                    <c:v>11.16.1</c:v>
                  </c:pt>
                  <c:pt idx="63">
                    <c:v>11.16.2</c:v>
                  </c:pt>
                  <c:pt idx="64">
                    <c:v>11.17</c:v>
                  </c:pt>
                  <c:pt idx="65">
                    <c:v>11.17.1</c:v>
                  </c:pt>
                  <c:pt idx="66">
                    <c:v>11.17.2</c:v>
                  </c:pt>
                  <c:pt idx="67">
                    <c:v>11.17.3</c:v>
                  </c:pt>
                  <c:pt idx="68">
                    <c:v>11.24.4.1</c:v>
                  </c:pt>
                  <c:pt idx="69">
                    <c:v>11.24.4.6</c:v>
                  </c:pt>
                  <c:pt idx="72">
                    <c:v>11.18</c:v>
                  </c:pt>
                  <c:pt idx="73">
                    <c:v>11.18.1</c:v>
                  </c:pt>
                  <c:pt idx="74">
                    <c:v>11.18.2</c:v>
                  </c:pt>
                  <c:pt idx="75">
                    <c:v>11.19</c:v>
                  </c:pt>
                  <c:pt idx="76">
                    <c:v>11.19.1</c:v>
                  </c:pt>
                  <c:pt idx="77">
                    <c:v>11.19.2</c:v>
                  </c:pt>
                  <c:pt idx="78">
                    <c:v>11.19.3</c:v>
                  </c:pt>
                  <c:pt idx="79">
                    <c:v>11.20</c:v>
                  </c:pt>
                  <c:pt idx="80">
                    <c:v>11.20.1</c:v>
                  </c:pt>
                  <c:pt idx="81">
                    <c:v>11.20.2</c:v>
                  </c:pt>
                  <c:pt idx="82">
                    <c:v>11.21</c:v>
                  </c:pt>
                  <c:pt idx="83">
                    <c:v>11.21.1</c:v>
                  </c:pt>
                  <c:pt idx="84">
                    <c:v>11.22</c:v>
                  </c:pt>
                  <c:pt idx="85">
                    <c:v>11.22.1</c:v>
                  </c:pt>
                  <c:pt idx="86">
                    <c:v>11.22.2</c:v>
                  </c:pt>
                  <c:pt idx="87">
                    <c:v>11.22.3</c:v>
                  </c:pt>
                  <c:pt idx="88">
                    <c:v>11.22.4</c:v>
                  </c:pt>
                  <c:pt idx="89">
                    <c:v>11.24.4.2</c:v>
                  </c:pt>
                  <c:pt idx="90">
                    <c:v>11.24.4.4</c:v>
                  </c:pt>
                  <c:pt idx="91">
                    <c:v>11.24.4.8</c:v>
                  </c:pt>
                  <c:pt idx="92">
                    <c:v>11.11</c:v>
                  </c:pt>
                  <c:pt idx="93">
                    <c:v>11.11.1</c:v>
                  </c:pt>
                  <c:pt idx="94">
                    <c:v>11.11.2</c:v>
                  </c:pt>
                  <c:pt idx="95">
                    <c:v>11.12</c:v>
                  </c:pt>
                  <c:pt idx="96">
                    <c:v>11.12.1</c:v>
                  </c:pt>
                  <c:pt idx="97">
                    <c:v>11.12.2</c:v>
                  </c:pt>
                  <c:pt idx="98">
                    <c:v>11.12.3</c:v>
                  </c:pt>
                  <c:pt idx="99">
                    <c:v>11.13</c:v>
                  </c:pt>
                  <c:pt idx="100">
                    <c:v>11.13.1</c:v>
                  </c:pt>
                  <c:pt idx="101">
                    <c:v>11.13.2</c:v>
                  </c:pt>
                </c:lvl>
              </c:multiLvlStrCache>
            </c:multiLvlStrRef>
          </c:cat>
          <c:val>
            <c:numRef>
              <c:f>'11-A. IEC Sub-Annex'!$L$5:$L$106</c:f>
            </c:numRef>
          </c:val>
          <c:extLst xmlns:c16r2="http://schemas.microsoft.com/office/drawing/2015/06/chart">
            <c:ext xmlns:c16="http://schemas.microsoft.com/office/drawing/2014/chart" uri="{C3380CC4-5D6E-409C-BE32-E72D297353CC}">
              <c16:uniqueId val="{00000006-5F31-4E66-B011-A29233064213}"/>
            </c:ext>
          </c:extLst>
        </c:ser>
        <c:ser>
          <c:idx val="7"/>
          <c:order val="7"/>
          <c:tx>
            <c:strRef>
              <c:f>'11-A. IEC Sub-Annex'!$M$1:$M$4</c:f>
              <c:strCache>
                <c:ptCount val="1"/>
                <c:pt idx="0">
                  <c:v>Summary of Abst. Proposal for 2021-22 Unit Cost
(Rs. Lakhs) </c:v>
                </c:pt>
              </c:strCache>
            </c:strRef>
          </c:tx>
          <c:cat>
            <c:multiLvlStrRef>
              <c:f>'11-A. IEC Sub-Annex'!$A$5:$E$106</c:f>
              <c:multiLvlStrCache>
                <c:ptCount val="102"/>
                <c:lvl>
                  <c:pt idx="2">
                    <c:v>RCH</c:v>
                  </c:pt>
                  <c:pt idx="3">
                    <c:v>RCH</c:v>
                  </c:pt>
                  <c:pt idx="4">
                    <c:v>RCH</c:v>
                  </c:pt>
                  <c:pt idx="6">
                    <c:v>RCH</c:v>
                  </c:pt>
                  <c:pt idx="7">
                    <c:v>RCH</c:v>
                  </c:pt>
                  <c:pt idx="8">
                    <c:v>RCH</c:v>
                  </c:pt>
                  <c:pt idx="9">
                    <c:v>RCH</c:v>
                  </c:pt>
                  <c:pt idx="11">
                    <c:v>RCH</c:v>
                  </c:pt>
                  <c:pt idx="12">
                    <c:v>RCH</c:v>
                  </c:pt>
                  <c:pt idx="13">
                    <c:v>RCH</c:v>
                  </c:pt>
                  <c:pt idx="14">
                    <c:v>RCH</c:v>
                  </c:pt>
                  <c:pt idx="15">
                    <c:v>RCH</c:v>
                  </c:pt>
                  <c:pt idx="16">
                    <c:v>RCH</c:v>
                  </c:pt>
                  <c:pt idx="18">
                    <c:v>RCH</c:v>
                  </c:pt>
                  <c:pt idx="19">
                    <c:v>RCH</c:v>
                  </c:pt>
                  <c:pt idx="20">
                    <c:v>RCH</c:v>
                  </c:pt>
                  <c:pt idx="22">
                    <c:v>RCH</c:v>
                  </c:pt>
                  <c:pt idx="23">
                    <c:v>RCH</c:v>
                  </c:pt>
                  <c:pt idx="25">
                    <c:v>RCH</c:v>
                  </c:pt>
                  <c:pt idx="26">
                    <c:v>RCH</c:v>
                  </c:pt>
                  <c:pt idx="28">
                    <c:v>RCH</c:v>
                  </c:pt>
                  <c:pt idx="29">
                    <c:v>RCH</c:v>
                  </c:pt>
                  <c:pt idx="31">
                    <c:v>HSS</c:v>
                  </c:pt>
                  <c:pt idx="33">
                    <c:v>HSS</c:v>
                  </c:pt>
                  <c:pt idx="34">
                    <c:v>HSS</c:v>
                  </c:pt>
                  <c:pt idx="36">
                    <c:v>HSS</c:v>
                  </c:pt>
                  <c:pt idx="37">
                    <c:v>HSS</c:v>
                  </c:pt>
                  <c:pt idx="38">
                    <c:v>HSS</c:v>
                  </c:pt>
                  <c:pt idx="39">
                    <c:v>HSS</c:v>
                  </c:pt>
                  <c:pt idx="40">
                    <c:v>HSS</c:v>
                  </c:pt>
                  <c:pt idx="42">
                    <c:v>HSS</c:v>
                  </c:pt>
                  <c:pt idx="43">
                    <c:v>HSS</c:v>
                  </c:pt>
                  <c:pt idx="44">
                    <c:v>HSS</c:v>
                  </c:pt>
                  <c:pt idx="46">
                    <c:v>HSS</c:v>
                  </c:pt>
                  <c:pt idx="47">
                    <c:v>HSS</c:v>
                  </c:pt>
                  <c:pt idx="48">
                    <c:v>HSS</c:v>
                  </c:pt>
                  <c:pt idx="49">
                    <c:v>HSS</c:v>
                  </c:pt>
                  <c:pt idx="50">
                    <c:v>HSS</c:v>
                  </c:pt>
                  <c:pt idx="53">
                    <c:v>NDCP</c:v>
                  </c:pt>
                  <c:pt idx="54">
                    <c:v>NDCP</c:v>
                  </c:pt>
                  <c:pt idx="55">
                    <c:v>NDCP</c:v>
                  </c:pt>
                  <c:pt idx="56">
                    <c:v>NDCP</c:v>
                  </c:pt>
                  <c:pt idx="57">
                    <c:v>NDCP</c:v>
                  </c:pt>
                  <c:pt idx="58">
                    <c:v>NDCP</c:v>
                  </c:pt>
                  <c:pt idx="59">
                    <c:v>NDCP</c:v>
                  </c:pt>
                  <c:pt idx="60">
                    <c:v>NDCP</c:v>
                  </c:pt>
                  <c:pt idx="62">
                    <c:v>NDCP</c:v>
                  </c:pt>
                  <c:pt idx="63">
                    <c:v>NDCP</c:v>
                  </c:pt>
                  <c:pt idx="65">
                    <c:v>NDCP</c:v>
                  </c:pt>
                  <c:pt idx="66">
                    <c:v>NDCP</c:v>
                  </c:pt>
                  <c:pt idx="67">
                    <c:v>NDCP</c:v>
                  </c:pt>
                  <c:pt idx="68">
                    <c:v>NDCP</c:v>
                  </c:pt>
                  <c:pt idx="69">
                    <c:v>NDCP</c:v>
                  </c:pt>
                  <c:pt idx="70">
                    <c:v>NDCP</c:v>
                  </c:pt>
                  <c:pt idx="73">
                    <c:v>NCD</c:v>
                  </c:pt>
                  <c:pt idx="74">
                    <c:v>NCD</c:v>
                  </c:pt>
                  <c:pt idx="76">
                    <c:v>NCD</c:v>
                  </c:pt>
                  <c:pt idx="77">
                    <c:v>NCD</c:v>
                  </c:pt>
                  <c:pt idx="78">
                    <c:v>NCD</c:v>
                  </c:pt>
                  <c:pt idx="80">
                    <c:v>NCD</c:v>
                  </c:pt>
                  <c:pt idx="81">
                    <c:v>NCD</c:v>
                  </c:pt>
                  <c:pt idx="83">
                    <c:v>NCD</c:v>
                  </c:pt>
                  <c:pt idx="85">
                    <c:v>NCD</c:v>
                  </c:pt>
                  <c:pt idx="86">
                    <c:v>NCD</c:v>
                  </c:pt>
                  <c:pt idx="87">
                    <c:v>NCD</c:v>
                  </c:pt>
                  <c:pt idx="88">
                    <c:v>NCD</c:v>
                  </c:pt>
                  <c:pt idx="89">
                    <c:v>NCD</c:v>
                  </c:pt>
                  <c:pt idx="90">
                    <c:v>NCD</c:v>
                  </c:pt>
                  <c:pt idx="91">
                    <c:v>NCD</c:v>
                  </c:pt>
                  <c:pt idx="93">
                    <c:v>NCD</c:v>
                  </c:pt>
                  <c:pt idx="94">
                    <c:v>NCD</c:v>
                  </c:pt>
                  <c:pt idx="96">
                    <c:v>NCD</c:v>
                  </c:pt>
                  <c:pt idx="97">
                    <c:v>NCD</c:v>
                  </c:pt>
                  <c:pt idx="98">
                    <c:v>NCD</c:v>
                  </c:pt>
                  <c:pt idx="100">
                    <c:v>NCD</c:v>
                  </c:pt>
                  <c:pt idx="101">
                    <c:v>NCD</c:v>
                  </c:pt>
                </c:lvl>
                <c:lvl>
                  <c:pt idx="1">
                    <c:v>IEC/BCC activities under MH</c:v>
                  </c:pt>
                  <c:pt idx="2">
                    <c:v>Media Mix of Mid Media/ Mass Media</c:v>
                  </c:pt>
                  <c:pt idx="3">
                    <c:v>Inter Personal Communication</c:v>
                  </c:pt>
                  <c:pt idx="4">
                    <c:v>Any other IEC/BCC activities (please specify)</c:v>
                  </c:pt>
                  <c:pt idx="5">
                    <c:v>IEC/BCC activities under CH</c:v>
                  </c:pt>
                  <c:pt idx="6">
                    <c:v>Media Mix of Mid Media/ Mass Media</c:v>
                  </c:pt>
                  <c:pt idx="7">
                    <c:v>Inter Personal Communication</c:v>
                  </c:pt>
                  <c:pt idx="8">
                    <c:v>IEC for family participatory care</c:v>
                  </c:pt>
                  <c:pt idx="9">
                    <c:v>Any other IEC/BCC activities (please specify) including SAANS campaign IEC at state/district level</c:v>
                  </c:pt>
                  <c:pt idx="10">
                    <c:v>IEC/BCC activities under FP</c:v>
                  </c:pt>
                  <c:pt idx="11">
                    <c:v>Media Mix of Mid Media/ Mass Media</c:v>
                  </c:pt>
                  <c:pt idx="12">
                    <c:v>Inter Personal Communication</c:v>
                  </c:pt>
                  <c:pt idx="13">
                    <c:v>IEC &amp; promotional activities for World Population Day celebration</c:v>
                  </c:pt>
                  <c:pt idx="14">
                    <c:v>IEC &amp; promotional activities for Vasectomy Fortnight celebration </c:v>
                  </c:pt>
                  <c:pt idx="15">
                    <c:v>IEC activities for Mission Parivar Vikas Campaign (Frequency-at least 4/year)</c:v>
                  </c:pt>
                  <c:pt idx="16">
                    <c:v>Any other IEC/BCC activities (please specify)</c:v>
                  </c:pt>
                  <c:pt idx="17">
                    <c:v>IEC/BCC activities under AH</c:v>
                  </c:pt>
                  <c:pt idx="18">
                    <c:v>Media Mix of Mass Media/ Mid Media including promotion of menstrual hygiene scheme</c:v>
                  </c:pt>
                  <c:pt idx="19">
                    <c:v>Inter Personal Communication</c:v>
                  </c:pt>
                  <c:pt idx="20">
                    <c:v>Any other IEC/BCC activities (please specify)</c:v>
                  </c:pt>
                  <c:pt idx="21">
                    <c:v>IEC/BCC activities under Immunization</c:v>
                  </c:pt>
                  <c:pt idx="22">
                    <c:v>IEC activities for Immunization</c:v>
                  </c:pt>
                  <c:pt idx="23">
                    <c:v>Any other IEC/BCC activities (please specify)</c:v>
                  </c:pt>
                  <c:pt idx="24">
                    <c:v>IEC/BCC activities under PNDT</c:v>
                  </c:pt>
                  <c:pt idx="25">
                    <c:v>Creating awareness on declining sex ratio issue (PNDT)</c:v>
                  </c:pt>
                  <c:pt idx="26">
                    <c:v>Any other IEC/BCC activities (please specify)</c:v>
                  </c:pt>
                  <c:pt idx="27">
                    <c:v>IEC/BCC activities under NIDDCP</c:v>
                  </c:pt>
                  <c:pt idx="28">
                    <c:v>Health Education &amp; Publicity for NIDDCP</c:v>
                  </c:pt>
                  <c:pt idx="29">
                    <c:v>Any other IEC/BCC activities (please specify)</c:v>
                  </c:pt>
                  <c:pt idx="31">
                    <c:v>Development of State Communication strategy (comprising of district plans)</c:v>
                  </c:pt>
                  <c:pt idx="32">
                    <c:v>IEC/BCC activities under Blood services &amp; disorders</c:v>
                  </c:pt>
                  <c:pt idx="33">
                    <c:v>IEC/BCC activities under Blood Services</c:v>
                  </c:pt>
                  <c:pt idx="34">
                    <c:v>IEC/BCC activities under Blood Disorders</c:v>
                  </c:pt>
                  <c:pt idx="35">
                    <c:v>IEC/BCC activities under ASHA</c:v>
                  </c:pt>
                  <c:pt idx="38">
                    <c:v>IEC activities for Ayushman Bharat Health &amp; Wellness centre (H&amp;WC)</c:v>
                  </c:pt>
                  <c:pt idx="39">
                    <c:v>IEC Activity under NQAP, LaQshya, Kayakalp &amp; Mera-Aspataal (Signages- Approach road, Departmental, Directional and other facility level signage's)</c:v>
                  </c:pt>
                  <c:pt idx="40">
                    <c:v>IEC/BCC- Free Diagnostic Service Initiative (Pathology &amp; Radiology)</c:v>
                  </c:pt>
                  <c:pt idx="41">
                    <c:v>Other IEC/BCC activities</c:v>
                  </c:pt>
                  <c:pt idx="42">
                    <c:v>Interpersonal Communication Tools for the frontline health workers</c:v>
                  </c:pt>
                  <c:pt idx="43">
                    <c:v>Targeting Naturally Occurring Gathering of People/ Health Mela</c:v>
                  </c:pt>
                  <c:pt idx="44">
                    <c:v>Innovative IEC/ BCC Strategies including mobile based solutions, social media and engagement of youth</c:v>
                  </c:pt>
                  <c:pt idx="45">
                    <c:v>SBCC/IEC/Advocacy campaigns </c:v>
                  </c:pt>
                  <c:pt idx="46">
                    <c:v>Places covered with hoardings/ bill boards/ signage etc.</c:v>
                  </c:pt>
                  <c:pt idx="47">
                    <c:v>Usage of Folk media such as Nukkad Natak/ mobile audio visual services/ local radio etc.</c:v>
                  </c:pt>
                  <c:pt idx="48">
                    <c:v>Development of IEC Material</c:v>
                  </c:pt>
                  <c:pt idx="49">
                    <c:v>State-level IEC Campaigns/Other IEC Campaigns</c:v>
                  </c:pt>
                  <c:pt idx="50">
                    <c:v>Any other (please specify)</c:v>
                  </c:pt>
                  <c:pt idx="52">
                    <c:v>IEC/BCC activities under NVBDCP</c:v>
                  </c:pt>
                  <c:pt idx="53">
                    <c:v>IEC/BCC for Malaria</c:v>
                  </c:pt>
                  <c:pt idx="54">
                    <c:v>IEC/BCC for Social mobilization (Dengue and Chikungunya)</c:v>
                  </c:pt>
                  <c:pt idx="55">
                    <c:v>IEC/BCC specific to J.E. in endemic areas</c:v>
                  </c:pt>
                  <c:pt idx="56">
                    <c:v>Specific IEC/BCC for Lymphatic Filariasis at State, District, PHC, Sub-centre and village level including VHSC/GKs for community mobilization efforts to realize the desired drug compliance of 85% during MDA</c:v>
                  </c:pt>
                  <c:pt idx="57">
                    <c:v>IEC/BCC/Advocacy for Kala-azar</c:v>
                  </c:pt>
                  <c:pt idx="58">
                    <c:v>IEC/BCC activities as per the GFATM project</c:v>
                  </c:pt>
                  <c:pt idx="59">
                    <c:v>IEC/ BCC activities under MVCR</c:v>
                  </c:pt>
                  <c:pt idx="60">
                    <c:v>Any other IEC/BCC activities (please specify)</c:v>
                  </c:pt>
                  <c:pt idx="61">
                    <c:v>IEC/BCC activities under NLEP</c:v>
                  </c:pt>
                  <c:pt idx="62">
                    <c:v>IEC/BCC: Mass media, Outdoor media, Rural media, Advocacy media for NLEP including Sparsh Leprosy Awareness Campaign</c:v>
                  </c:pt>
                  <c:pt idx="63">
                    <c:v>Any other IEC/BCC activities (please specify)</c:v>
                  </c:pt>
                  <c:pt idx="64">
                    <c:v>IEC/BCC activities under NTEP</c:v>
                  </c:pt>
                  <c:pt idx="65">
                    <c:v>ACSM (State &amp; district)</c:v>
                  </c:pt>
                  <c:pt idx="66">
                    <c:v>TB Harega Desh Jeetega' Campaign</c:v>
                  </c:pt>
                  <c:pt idx="67">
                    <c:v>Any other IEC/BCC activities (please specify)</c:v>
                  </c:pt>
                  <c:pt idx="68">
                    <c:v>IEC/BCC under NRCP: Rabies Awareness and Do's and Don'ts in the event of Animal Bites</c:v>
                  </c:pt>
                  <c:pt idx="69">
                    <c:v>IEC under Programme for Prevention and Control of Leptospirosis</c:v>
                  </c:pt>
                  <c:pt idx="70">
                    <c:v>IEC under NVHCP</c:v>
                  </c:pt>
                  <c:pt idx="72">
                    <c:v>IEC/BCC activities under NPCB</c:v>
                  </c:pt>
                  <c:pt idx="73">
                    <c:v>State level IEC for Minor State @ Rs. 10 lakh and for Major States @ Rs. 20 lakh under NPCB&amp;VI</c:v>
                  </c:pt>
                  <c:pt idx="74">
                    <c:v>Any other IEC/BCC activities (please specify)</c:v>
                  </c:pt>
                  <c:pt idx="75">
                    <c:v>IEC/BCC activities under NMHP</c:v>
                  </c:pt>
                  <c:pt idx="76">
                    <c:v>Translation of IEC material and distribution</c:v>
                  </c:pt>
                  <c:pt idx="77">
                    <c:v>Awareness generation activities in the community, schools, workplaces with community involvement</c:v>
                  </c:pt>
                  <c:pt idx="78">
                    <c:v>Any other IEC/BCC activities (please specify)</c:v>
                  </c:pt>
                  <c:pt idx="79">
                    <c:v>IEC/BCC activities under NPHCE</c:v>
                  </c:pt>
                  <c:pt idx="80">
                    <c:v>IPC,Group activities and mass media for NPHCE</c:v>
                  </c:pt>
                  <c:pt idx="81">
                    <c:v>Celebration of days-ie International Day for older persons</c:v>
                  </c:pt>
                  <c:pt idx="82">
                    <c:v>IEC/BCC activities under NTCP</c:v>
                  </c:pt>
                  <c:pt idx="83">
                    <c:v>IEC/BCC for NTCP</c:v>
                  </c:pt>
                  <c:pt idx="84">
                    <c:v>IEC/BCC activities under NPCDCS</c:v>
                  </c:pt>
                  <c:pt idx="85">
                    <c:v>IEC/BCC for State NCD  Cell</c:v>
                  </c:pt>
                  <c:pt idx="86">
                    <c:v>IEC/BCC for District  NCD Cell</c:v>
                  </c:pt>
                  <c:pt idx="87">
                    <c:v>IEC/BCC activities for Universal Screening of NCDs</c:v>
                  </c:pt>
                  <c:pt idx="88">
                    <c:v>Any other IEC/BCC activities (please specify)</c:v>
                  </c:pt>
                  <c:pt idx="89">
                    <c:v>IEC/BCC under NOHP</c:v>
                  </c:pt>
                  <c:pt idx="90">
                    <c:v>IEC on Climate Sensitive Diseases at Block , District and State level  – Air pollution, Heat and other relevant Climate Sensitive diseases</c:v>
                  </c:pt>
                  <c:pt idx="91">
                    <c:v>IEC/BCC - National Dialysis Programme (Haemodialysis and Peritoneal Dialysis)</c:v>
                  </c:pt>
                  <c:pt idx="92">
                    <c:v>IEC/BCC activities under NPPCD</c:v>
                  </c:pt>
                  <c:pt idx="93">
                    <c:v>IEC activities</c:v>
                  </c:pt>
                  <c:pt idx="94">
                    <c:v>Any Other</c:v>
                  </c:pt>
                  <c:pt idx="95">
                    <c:v>IEC/BCC activities under NPPC</c:v>
                  </c:pt>
                  <c:pt idx="96">
                    <c:v>IEC for DH</c:v>
                  </c:pt>
                  <c:pt idx="97">
                    <c:v>IEC for State Palliative care cell</c:v>
                  </c:pt>
                  <c:pt idx="98">
                    <c:v>Any other IEC/BCC activities (please specify)</c:v>
                  </c:pt>
                  <c:pt idx="99">
                    <c:v>IEC/BCC activities under NPPCF</c:v>
                  </c:pt>
                  <c:pt idx="100">
                    <c:v>Health Education &amp; Publicity for National Programme for Fluorosis (State and District Level)</c:v>
                  </c:pt>
                  <c:pt idx="101">
                    <c:v>Any other IEC/BCC activities (please specify)</c:v>
                  </c:pt>
                </c:lvl>
                <c:lvl>
                  <c:pt idx="1">
                    <c:v>B.10.3.1</c:v>
                  </c:pt>
                  <c:pt idx="2">
                    <c:v>B.10.3.1.1</c:v>
                  </c:pt>
                  <c:pt idx="3">
                    <c:v>B.10.3.1.2</c:v>
                  </c:pt>
                  <c:pt idx="5">
                    <c:v>B.10.3.2</c:v>
                  </c:pt>
                  <c:pt idx="6">
                    <c:v>B.10.3.2.1</c:v>
                  </c:pt>
                  <c:pt idx="7">
                    <c:v>B.10.3.2.2</c:v>
                  </c:pt>
                  <c:pt idx="10">
                    <c:v>B.10.3.3</c:v>
                  </c:pt>
                  <c:pt idx="11">
                    <c:v>B.10.3.3.1</c:v>
                  </c:pt>
                  <c:pt idx="12">
                    <c:v>B.10.3.3.2</c:v>
                  </c:pt>
                  <c:pt idx="13">
                    <c:v>A.3.5.4</c:v>
                  </c:pt>
                  <c:pt idx="14">
                    <c:v>A.3.5.5</c:v>
                  </c:pt>
                  <c:pt idx="15">
                    <c:v>A.3.7.4</c:v>
                  </c:pt>
                  <c:pt idx="17">
                    <c:v>B.10.3.4</c:v>
                  </c:pt>
                  <c:pt idx="18">
                    <c:v>B.10.3.4.1</c:v>
                  </c:pt>
                  <c:pt idx="19">
                    <c:v>B.10.3.4.2</c:v>
                  </c:pt>
                  <c:pt idx="25">
                    <c:v>B.10.3.5</c:v>
                  </c:pt>
                  <c:pt idx="28">
                    <c:v>B.10.6.7</c:v>
                  </c:pt>
                  <c:pt idx="31">
                    <c:v>B.10.2</c:v>
                  </c:pt>
                  <c:pt idx="32">
                    <c:v>B.10.7.4.5</c:v>
                  </c:pt>
                  <c:pt idx="38">
                    <c:v>B18.3</c:v>
                  </c:pt>
                  <c:pt idx="42">
                    <c:v>B.10.4</c:v>
                  </c:pt>
                  <c:pt idx="43">
                    <c:v>B.10.5</c:v>
                  </c:pt>
                  <c:pt idx="44">
                    <c:v>B.10.6.1</c:v>
                  </c:pt>
                  <c:pt idx="45">
                    <c:v>B.10.6.14.1</c:v>
                  </c:pt>
                  <c:pt idx="46">
                    <c:v>B.10.6.14.1.b</c:v>
                  </c:pt>
                  <c:pt idx="47">
                    <c:v>B.10.6.14.1.c</c:v>
                  </c:pt>
                  <c:pt idx="48">
                    <c:v>B.10.6.14.3.a</c:v>
                  </c:pt>
                  <c:pt idx="49">
                    <c:v>B.10.6.14.3.b</c:v>
                  </c:pt>
                  <c:pt idx="53">
                    <c:v>B.10.6.9.a</c:v>
                  </c:pt>
                  <c:pt idx="54">
                    <c:v>B.10.6.9.b</c:v>
                  </c:pt>
                  <c:pt idx="55">
                    <c:v>B.10.6.9.c</c:v>
                  </c:pt>
                  <c:pt idx="56">
                    <c:v>B.10.6.9.d</c:v>
                  </c:pt>
                  <c:pt idx="57">
                    <c:v>B.10.6.9.e</c:v>
                  </c:pt>
                  <c:pt idx="58">
                    <c:v>B.10.6.9.f</c:v>
                  </c:pt>
                  <c:pt idx="62">
                    <c:v>B.10.6.10</c:v>
                  </c:pt>
                  <c:pt idx="65">
                    <c:v>H.4</c:v>
                  </c:pt>
                  <c:pt idx="73">
                    <c:v>B.10.6.11</c:v>
                  </c:pt>
                  <c:pt idx="75">
                    <c:v>B.10.6.12</c:v>
                  </c:pt>
                  <c:pt idx="76">
                    <c:v>B.10.6.12.a</c:v>
                  </c:pt>
                  <c:pt idx="77">
                    <c:v>B.10.6.12.b</c:v>
                  </c:pt>
                  <c:pt idx="80">
                    <c:v>B.10.6.13</c:v>
                  </c:pt>
                  <c:pt idx="83">
                    <c:v>B.10.6.14</c:v>
                  </c:pt>
                  <c:pt idx="84">
                    <c:v>O.2.3</c:v>
                  </c:pt>
                  <c:pt idx="85">
                    <c:v>O.2.3.1</c:v>
                  </c:pt>
                  <c:pt idx="86">
                    <c:v>O.2.3.2</c:v>
                  </c:pt>
                  <c:pt idx="92">
                    <c:v>B.10.6.5</c:v>
                  </c:pt>
                  <c:pt idx="96">
                    <c:v>B.27.1.3</c:v>
                  </c:pt>
                  <c:pt idx="97">
                    <c:v>B.27.2.2</c:v>
                  </c:pt>
                  <c:pt idx="100">
                    <c:v>B.10.6.6</c:v>
                  </c:pt>
                </c:lvl>
                <c:lvl>
                  <c:pt idx="1">
                    <c:v>11.4</c:v>
                  </c:pt>
                  <c:pt idx="2">
                    <c:v>11.4.1</c:v>
                  </c:pt>
                  <c:pt idx="3">
                    <c:v>11.4.2</c:v>
                  </c:pt>
                  <c:pt idx="4">
                    <c:v>11.4.3</c:v>
                  </c:pt>
                  <c:pt idx="5">
                    <c:v>11.5</c:v>
                  </c:pt>
                  <c:pt idx="6">
                    <c:v>11.5.1</c:v>
                  </c:pt>
                  <c:pt idx="7">
                    <c:v>11.5.2</c:v>
                  </c:pt>
                  <c:pt idx="8">
                    <c:v>11.5.3</c:v>
                  </c:pt>
                  <c:pt idx="9">
                    <c:v>11.5.4</c:v>
                  </c:pt>
                  <c:pt idx="10">
                    <c:v>11.6</c:v>
                  </c:pt>
                  <c:pt idx="11">
                    <c:v>11.6.1</c:v>
                  </c:pt>
                  <c:pt idx="12">
                    <c:v>11.6.2</c:v>
                  </c:pt>
                  <c:pt idx="13">
                    <c:v>11.6.3</c:v>
                  </c:pt>
                  <c:pt idx="14">
                    <c:v>11.6.4</c:v>
                  </c:pt>
                  <c:pt idx="15">
                    <c:v>11.6.5</c:v>
                  </c:pt>
                  <c:pt idx="16">
                    <c:v>11.6.6</c:v>
                  </c:pt>
                  <c:pt idx="17">
                    <c:v>11.7</c:v>
                  </c:pt>
                  <c:pt idx="18">
                    <c:v>11.7.1</c:v>
                  </c:pt>
                  <c:pt idx="19">
                    <c:v>11.7.2</c:v>
                  </c:pt>
                  <c:pt idx="20">
                    <c:v>11.7.3</c:v>
                  </c:pt>
                  <c:pt idx="21">
                    <c:v>11.8</c:v>
                  </c:pt>
                  <c:pt idx="22">
                    <c:v>11.8.1</c:v>
                  </c:pt>
                  <c:pt idx="23">
                    <c:v>11.8.2</c:v>
                  </c:pt>
                  <c:pt idx="24">
                    <c:v>11.9</c:v>
                  </c:pt>
                  <c:pt idx="25">
                    <c:v>11.9.1</c:v>
                  </c:pt>
                  <c:pt idx="26">
                    <c:v>11.9.2</c:v>
                  </c:pt>
                  <c:pt idx="27">
                    <c:v>11.14</c:v>
                  </c:pt>
                  <c:pt idx="28">
                    <c:v>11.14.1</c:v>
                  </c:pt>
                  <c:pt idx="29">
                    <c:v>11.14.2</c:v>
                  </c:pt>
                  <c:pt idx="31">
                    <c:v>11.1</c:v>
                  </c:pt>
                  <c:pt idx="32">
                    <c:v>11.10</c:v>
                  </c:pt>
                  <c:pt idx="33">
                    <c:v>11.10.1</c:v>
                  </c:pt>
                  <c:pt idx="34">
                    <c:v>11.10.2</c:v>
                  </c:pt>
                  <c:pt idx="35">
                    <c:v>11.23</c:v>
                  </c:pt>
                  <c:pt idx="36">
                    <c:v>11.23.1</c:v>
                  </c:pt>
                  <c:pt idx="37">
                    <c:v>11.23.2</c:v>
                  </c:pt>
                  <c:pt idx="38">
                    <c:v>11.24.1</c:v>
                  </c:pt>
                  <c:pt idx="39">
                    <c:v>11.24.4.5</c:v>
                  </c:pt>
                  <c:pt idx="40">
                    <c:v>11.24.4.7</c:v>
                  </c:pt>
                  <c:pt idx="41">
                    <c:v>11.24</c:v>
                  </c:pt>
                  <c:pt idx="42">
                    <c:v>11.2</c:v>
                  </c:pt>
                  <c:pt idx="43">
                    <c:v>11.3</c:v>
                  </c:pt>
                  <c:pt idx="44">
                    <c:v>11.24.2</c:v>
                  </c:pt>
                  <c:pt idx="45">
                    <c:v>11.24.3</c:v>
                  </c:pt>
                  <c:pt idx="46">
                    <c:v>11.24.3.1</c:v>
                  </c:pt>
                  <c:pt idx="47">
                    <c:v>11.24.3.2</c:v>
                  </c:pt>
                  <c:pt idx="48">
                    <c:v>11.24.3.3</c:v>
                  </c:pt>
                  <c:pt idx="49">
                    <c:v>11.24.3.4</c:v>
                  </c:pt>
                  <c:pt idx="50">
                    <c:v>11.24.4.9</c:v>
                  </c:pt>
                  <c:pt idx="52">
                    <c:v>11.15</c:v>
                  </c:pt>
                  <c:pt idx="53">
                    <c:v>11.15.1</c:v>
                  </c:pt>
                  <c:pt idx="54">
                    <c:v>11.15.2</c:v>
                  </c:pt>
                  <c:pt idx="55">
                    <c:v>11.15.3</c:v>
                  </c:pt>
                  <c:pt idx="56">
                    <c:v>11.15.4</c:v>
                  </c:pt>
                  <c:pt idx="57">
                    <c:v>11.15.5</c:v>
                  </c:pt>
                  <c:pt idx="58">
                    <c:v>11.15.6</c:v>
                  </c:pt>
                  <c:pt idx="59">
                    <c:v>11.15.7</c:v>
                  </c:pt>
                  <c:pt idx="60">
                    <c:v>11.15.8</c:v>
                  </c:pt>
                  <c:pt idx="61">
                    <c:v>11.16</c:v>
                  </c:pt>
                  <c:pt idx="62">
                    <c:v>11.16.1</c:v>
                  </c:pt>
                  <c:pt idx="63">
                    <c:v>11.16.2</c:v>
                  </c:pt>
                  <c:pt idx="64">
                    <c:v>11.17</c:v>
                  </c:pt>
                  <c:pt idx="65">
                    <c:v>11.17.1</c:v>
                  </c:pt>
                  <c:pt idx="66">
                    <c:v>11.17.2</c:v>
                  </c:pt>
                  <c:pt idx="67">
                    <c:v>11.17.3</c:v>
                  </c:pt>
                  <c:pt idx="68">
                    <c:v>11.24.4.1</c:v>
                  </c:pt>
                  <c:pt idx="69">
                    <c:v>11.24.4.6</c:v>
                  </c:pt>
                  <c:pt idx="72">
                    <c:v>11.18</c:v>
                  </c:pt>
                  <c:pt idx="73">
                    <c:v>11.18.1</c:v>
                  </c:pt>
                  <c:pt idx="74">
                    <c:v>11.18.2</c:v>
                  </c:pt>
                  <c:pt idx="75">
                    <c:v>11.19</c:v>
                  </c:pt>
                  <c:pt idx="76">
                    <c:v>11.19.1</c:v>
                  </c:pt>
                  <c:pt idx="77">
                    <c:v>11.19.2</c:v>
                  </c:pt>
                  <c:pt idx="78">
                    <c:v>11.19.3</c:v>
                  </c:pt>
                  <c:pt idx="79">
                    <c:v>11.20</c:v>
                  </c:pt>
                  <c:pt idx="80">
                    <c:v>11.20.1</c:v>
                  </c:pt>
                  <c:pt idx="81">
                    <c:v>11.20.2</c:v>
                  </c:pt>
                  <c:pt idx="82">
                    <c:v>11.21</c:v>
                  </c:pt>
                  <c:pt idx="83">
                    <c:v>11.21.1</c:v>
                  </c:pt>
                  <c:pt idx="84">
                    <c:v>11.22</c:v>
                  </c:pt>
                  <c:pt idx="85">
                    <c:v>11.22.1</c:v>
                  </c:pt>
                  <c:pt idx="86">
                    <c:v>11.22.2</c:v>
                  </c:pt>
                  <c:pt idx="87">
                    <c:v>11.22.3</c:v>
                  </c:pt>
                  <c:pt idx="88">
                    <c:v>11.22.4</c:v>
                  </c:pt>
                  <c:pt idx="89">
                    <c:v>11.24.4.2</c:v>
                  </c:pt>
                  <c:pt idx="90">
                    <c:v>11.24.4.4</c:v>
                  </c:pt>
                  <c:pt idx="91">
                    <c:v>11.24.4.8</c:v>
                  </c:pt>
                  <c:pt idx="92">
                    <c:v>11.11</c:v>
                  </c:pt>
                  <c:pt idx="93">
                    <c:v>11.11.1</c:v>
                  </c:pt>
                  <c:pt idx="94">
                    <c:v>11.11.2</c:v>
                  </c:pt>
                  <c:pt idx="95">
                    <c:v>11.12</c:v>
                  </c:pt>
                  <c:pt idx="96">
                    <c:v>11.12.1</c:v>
                  </c:pt>
                  <c:pt idx="97">
                    <c:v>11.12.2</c:v>
                  </c:pt>
                  <c:pt idx="98">
                    <c:v>11.12.3</c:v>
                  </c:pt>
                  <c:pt idx="99">
                    <c:v>11.13</c:v>
                  </c:pt>
                  <c:pt idx="100">
                    <c:v>11.13.1</c:v>
                  </c:pt>
                  <c:pt idx="101">
                    <c:v>11.13.2</c:v>
                  </c:pt>
                </c:lvl>
              </c:multiLvlStrCache>
            </c:multiLvlStrRef>
          </c:cat>
          <c:val>
            <c:numRef>
              <c:f>'11-A. IEC Sub-Annex'!$M$5:$M$106</c:f>
            </c:numRef>
          </c:val>
          <c:extLst xmlns:c16r2="http://schemas.microsoft.com/office/drawing/2015/06/chart">
            <c:ext xmlns:c16="http://schemas.microsoft.com/office/drawing/2014/chart" uri="{C3380CC4-5D6E-409C-BE32-E72D297353CC}">
              <c16:uniqueId val="{00000007-5F31-4E66-B011-A29233064213}"/>
            </c:ext>
          </c:extLst>
        </c:ser>
        <c:ser>
          <c:idx val="8"/>
          <c:order val="8"/>
          <c:tx>
            <c:strRef>
              <c:f>'11-A. IEC Sub-Annex'!$N$1:$N$4</c:f>
              <c:strCache>
                <c:ptCount val="1"/>
                <c:pt idx="0">
                  <c:v>Summary of Abst. Proposal for 2021-22 Quantity/ Target</c:v>
                </c:pt>
              </c:strCache>
            </c:strRef>
          </c:tx>
          <c:cat>
            <c:multiLvlStrRef>
              <c:f>'11-A. IEC Sub-Annex'!$A$5:$E$106</c:f>
              <c:multiLvlStrCache>
                <c:ptCount val="102"/>
                <c:lvl>
                  <c:pt idx="2">
                    <c:v>RCH</c:v>
                  </c:pt>
                  <c:pt idx="3">
                    <c:v>RCH</c:v>
                  </c:pt>
                  <c:pt idx="4">
                    <c:v>RCH</c:v>
                  </c:pt>
                  <c:pt idx="6">
                    <c:v>RCH</c:v>
                  </c:pt>
                  <c:pt idx="7">
                    <c:v>RCH</c:v>
                  </c:pt>
                  <c:pt idx="8">
                    <c:v>RCH</c:v>
                  </c:pt>
                  <c:pt idx="9">
                    <c:v>RCH</c:v>
                  </c:pt>
                  <c:pt idx="11">
                    <c:v>RCH</c:v>
                  </c:pt>
                  <c:pt idx="12">
                    <c:v>RCH</c:v>
                  </c:pt>
                  <c:pt idx="13">
                    <c:v>RCH</c:v>
                  </c:pt>
                  <c:pt idx="14">
                    <c:v>RCH</c:v>
                  </c:pt>
                  <c:pt idx="15">
                    <c:v>RCH</c:v>
                  </c:pt>
                  <c:pt idx="16">
                    <c:v>RCH</c:v>
                  </c:pt>
                  <c:pt idx="18">
                    <c:v>RCH</c:v>
                  </c:pt>
                  <c:pt idx="19">
                    <c:v>RCH</c:v>
                  </c:pt>
                  <c:pt idx="20">
                    <c:v>RCH</c:v>
                  </c:pt>
                  <c:pt idx="22">
                    <c:v>RCH</c:v>
                  </c:pt>
                  <c:pt idx="23">
                    <c:v>RCH</c:v>
                  </c:pt>
                  <c:pt idx="25">
                    <c:v>RCH</c:v>
                  </c:pt>
                  <c:pt idx="26">
                    <c:v>RCH</c:v>
                  </c:pt>
                  <c:pt idx="28">
                    <c:v>RCH</c:v>
                  </c:pt>
                  <c:pt idx="29">
                    <c:v>RCH</c:v>
                  </c:pt>
                  <c:pt idx="31">
                    <c:v>HSS</c:v>
                  </c:pt>
                  <c:pt idx="33">
                    <c:v>HSS</c:v>
                  </c:pt>
                  <c:pt idx="34">
                    <c:v>HSS</c:v>
                  </c:pt>
                  <c:pt idx="36">
                    <c:v>HSS</c:v>
                  </c:pt>
                  <c:pt idx="37">
                    <c:v>HSS</c:v>
                  </c:pt>
                  <c:pt idx="38">
                    <c:v>HSS</c:v>
                  </c:pt>
                  <c:pt idx="39">
                    <c:v>HSS</c:v>
                  </c:pt>
                  <c:pt idx="40">
                    <c:v>HSS</c:v>
                  </c:pt>
                  <c:pt idx="42">
                    <c:v>HSS</c:v>
                  </c:pt>
                  <c:pt idx="43">
                    <c:v>HSS</c:v>
                  </c:pt>
                  <c:pt idx="44">
                    <c:v>HSS</c:v>
                  </c:pt>
                  <c:pt idx="46">
                    <c:v>HSS</c:v>
                  </c:pt>
                  <c:pt idx="47">
                    <c:v>HSS</c:v>
                  </c:pt>
                  <c:pt idx="48">
                    <c:v>HSS</c:v>
                  </c:pt>
                  <c:pt idx="49">
                    <c:v>HSS</c:v>
                  </c:pt>
                  <c:pt idx="50">
                    <c:v>HSS</c:v>
                  </c:pt>
                  <c:pt idx="53">
                    <c:v>NDCP</c:v>
                  </c:pt>
                  <c:pt idx="54">
                    <c:v>NDCP</c:v>
                  </c:pt>
                  <c:pt idx="55">
                    <c:v>NDCP</c:v>
                  </c:pt>
                  <c:pt idx="56">
                    <c:v>NDCP</c:v>
                  </c:pt>
                  <c:pt idx="57">
                    <c:v>NDCP</c:v>
                  </c:pt>
                  <c:pt idx="58">
                    <c:v>NDCP</c:v>
                  </c:pt>
                  <c:pt idx="59">
                    <c:v>NDCP</c:v>
                  </c:pt>
                  <c:pt idx="60">
                    <c:v>NDCP</c:v>
                  </c:pt>
                  <c:pt idx="62">
                    <c:v>NDCP</c:v>
                  </c:pt>
                  <c:pt idx="63">
                    <c:v>NDCP</c:v>
                  </c:pt>
                  <c:pt idx="65">
                    <c:v>NDCP</c:v>
                  </c:pt>
                  <c:pt idx="66">
                    <c:v>NDCP</c:v>
                  </c:pt>
                  <c:pt idx="67">
                    <c:v>NDCP</c:v>
                  </c:pt>
                  <c:pt idx="68">
                    <c:v>NDCP</c:v>
                  </c:pt>
                  <c:pt idx="69">
                    <c:v>NDCP</c:v>
                  </c:pt>
                  <c:pt idx="70">
                    <c:v>NDCP</c:v>
                  </c:pt>
                  <c:pt idx="73">
                    <c:v>NCD</c:v>
                  </c:pt>
                  <c:pt idx="74">
                    <c:v>NCD</c:v>
                  </c:pt>
                  <c:pt idx="76">
                    <c:v>NCD</c:v>
                  </c:pt>
                  <c:pt idx="77">
                    <c:v>NCD</c:v>
                  </c:pt>
                  <c:pt idx="78">
                    <c:v>NCD</c:v>
                  </c:pt>
                  <c:pt idx="80">
                    <c:v>NCD</c:v>
                  </c:pt>
                  <c:pt idx="81">
                    <c:v>NCD</c:v>
                  </c:pt>
                  <c:pt idx="83">
                    <c:v>NCD</c:v>
                  </c:pt>
                  <c:pt idx="85">
                    <c:v>NCD</c:v>
                  </c:pt>
                  <c:pt idx="86">
                    <c:v>NCD</c:v>
                  </c:pt>
                  <c:pt idx="87">
                    <c:v>NCD</c:v>
                  </c:pt>
                  <c:pt idx="88">
                    <c:v>NCD</c:v>
                  </c:pt>
                  <c:pt idx="89">
                    <c:v>NCD</c:v>
                  </c:pt>
                  <c:pt idx="90">
                    <c:v>NCD</c:v>
                  </c:pt>
                  <c:pt idx="91">
                    <c:v>NCD</c:v>
                  </c:pt>
                  <c:pt idx="93">
                    <c:v>NCD</c:v>
                  </c:pt>
                  <c:pt idx="94">
                    <c:v>NCD</c:v>
                  </c:pt>
                  <c:pt idx="96">
                    <c:v>NCD</c:v>
                  </c:pt>
                  <c:pt idx="97">
                    <c:v>NCD</c:v>
                  </c:pt>
                  <c:pt idx="98">
                    <c:v>NCD</c:v>
                  </c:pt>
                  <c:pt idx="100">
                    <c:v>NCD</c:v>
                  </c:pt>
                  <c:pt idx="101">
                    <c:v>NCD</c:v>
                  </c:pt>
                </c:lvl>
                <c:lvl>
                  <c:pt idx="1">
                    <c:v>IEC/BCC activities under MH</c:v>
                  </c:pt>
                  <c:pt idx="2">
                    <c:v>Media Mix of Mid Media/ Mass Media</c:v>
                  </c:pt>
                  <c:pt idx="3">
                    <c:v>Inter Personal Communication</c:v>
                  </c:pt>
                  <c:pt idx="4">
                    <c:v>Any other IEC/BCC activities (please specify)</c:v>
                  </c:pt>
                  <c:pt idx="5">
                    <c:v>IEC/BCC activities under CH</c:v>
                  </c:pt>
                  <c:pt idx="6">
                    <c:v>Media Mix of Mid Media/ Mass Media</c:v>
                  </c:pt>
                  <c:pt idx="7">
                    <c:v>Inter Personal Communication</c:v>
                  </c:pt>
                  <c:pt idx="8">
                    <c:v>IEC for family participatory care</c:v>
                  </c:pt>
                  <c:pt idx="9">
                    <c:v>Any other IEC/BCC activities (please specify) including SAANS campaign IEC at state/district level</c:v>
                  </c:pt>
                  <c:pt idx="10">
                    <c:v>IEC/BCC activities under FP</c:v>
                  </c:pt>
                  <c:pt idx="11">
                    <c:v>Media Mix of Mid Media/ Mass Media</c:v>
                  </c:pt>
                  <c:pt idx="12">
                    <c:v>Inter Personal Communication</c:v>
                  </c:pt>
                  <c:pt idx="13">
                    <c:v>IEC &amp; promotional activities for World Population Day celebration</c:v>
                  </c:pt>
                  <c:pt idx="14">
                    <c:v>IEC &amp; promotional activities for Vasectomy Fortnight celebration </c:v>
                  </c:pt>
                  <c:pt idx="15">
                    <c:v>IEC activities for Mission Parivar Vikas Campaign (Frequency-at least 4/year)</c:v>
                  </c:pt>
                  <c:pt idx="16">
                    <c:v>Any other IEC/BCC activities (please specify)</c:v>
                  </c:pt>
                  <c:pt idx="17">
                    <c:v>IEC/BCC activities under AH</c:v>
                  </c:pt>
                  <c:pt idx="18">
                    <c:v>Media Mix of Mass Media/ Mid Media including promotion of menstrual hygiene scheme</c:v>
                  </c:pt>
                  <c:pt idx="19">
                    <c:v>Inter Personal Communication</c:v>
                  </c:pt>
                  <c:pt idx="20">
                    <c:v>Any other IEC/BCC activities (please specify)</c:v>
                  </c:pt>
                  <c:pt idx="21">
                    <c:v>IEC/BCC activities under Immunization</c:v>
                  </c:pt>
                  <c:pt idx="22">
                    <c:v>IEC activities for Immunization</c:v>
                  </c:pt>
                  <c:pt idx="23">
                    <c:v>Any other IEC/BCC activities (please specify)</c:v>
                  </c:pt>
                  <c:pt idx="24">
                    <c:v>IEC/BCC activities under PNDT</c:v>
                  </c:pt>
                  <c:pt idx="25">
                    <c:v>Creating awareness on declining sex ratio issue (PNDT)</c:v>
                  </c:pt>
                  <c:pt idx="26">
                    <c:v>Any other IEC/BCC activities (please specify)</c:v>
                  </c:pt>
                  <c:pt idx="27">
                    <c:v>IEC/BCC activities under NIDDCP</c:v>
                  </c:pt>
                  <c:pt idx="28">
                    <c:v>Health Education &amp; Publicity for NIDDCP</c:v>
                  </c:pt>
                  <c:pt idx="29">
                    <c:v>Any other IEC/BCC activities (please specify)</c:v>
                  </c:pt>
                  <c:pt idx="31">
                    <c:v>Development of State Communication strategy (comprising of district plans)</c:v>
                  </c:pt>
                  <c:pt idx="32">
                    <c:v>IEC/BCC activities under Blood services &amp; disorders</c:v>
                  </c:pt>
                  <c:pt idx="33">
                    <c:v>IEC/BCC activities under Blood Services</c:v>
                  </c:pt>
                  <c:pt idx="34">
                    <c:v>IEC/BCC activities under Blood Disorders</c:v>
                  </c:pt>
                  <c:pt idx="35">
                    <c:v>IEC/BCC activities under ASHA</c:v>
                  </c:pt>
                  <c:pt idx="38">
                    <c:v>IEC activities for Ayushman Bharat Health &amp; Wellness centre (H&amp;WC)</c:v>
                  </c:pt>
                  <c:pt idx="39">
                    <c:v>IEC Activity under NQAP, LaQshya, Kayakalp &amp; Mera-Aspataal (Signages- Approach road, Departmental, Directional and other facility level signage's)</c:v>
                  </c:pt>
                  <c:pt idx="40">
                    <c:v>IEC/BCC- Free Diagnostic Service Initiative (Pathology &amp; Radiology)</c:v>
                  </c:pt>
                  <c:pt idx="41">
                    <c:v>Other IEC/BCC activities</c:v>
                  </c:pt>
                  <c:pt idx="42">
                    <c:v>Interpersonal Communication Tools for the frontline health workers</c:v>
                  </c:pt>
                  <c:pt idx="43">
                    <c:v>Targeting Naturally Occurring Gathering of People/ Health Mela</c:v>
                  </c:pt>
                  <c:pt idx="44">
                    <c:v>Innovative IEC/ BCC Strategies including mobile based solutions, social media and engagement of youth</c:v>
                  </c:pt>
                  <c:pt idx="45">
                    <c:v>SBCC/IEC/Advocacy campaigns </c:v>
                  </c:pt>
                  <c:pt idx="46">
                    <c:v>Places covered with hoardings/ bill boards/ signage etc.</c:v>
                  </c:pt>
                  <c:pt idx="47">
                    <c:v>Usage of Folk media such as Nukkad Natak/ mobile audio visual services/ local radio etc.</c:v>
                  </c:pt>
                  <c:pt idx="48">
                    <c:v>Development of IEC Material</c:v>
                  </c:pt>
                  <c:pt idx="49">
                    <c:v>State-level IEC Campaigns/Other IEC Campaigns</c:v>
                  </c:pt>
                  <c:pt idx="50">
                    <c:v>Any other (please specify)</c:v>
                  </c:pt>
                  <c:pt idx="52">
                    <c:v>IEC/BCC activities under NVBDCP</c:v>
                  </c:pt>
                  <c:pt idx="53">
                    <c:v>IEC/BCC for Malaria</c:v>
                  </c:pt>
                  <c:pt idx="54">
                    <c:v>IEC/BCC for Social mobilization (Dengue and Chikungunya)</c:v>
                  </c:pt>
                  <c:pt idx="55">
                    <c:v>IEC/BCC specific to J.E. in endemic areas</c:v>
                  </c:pt>
                  <c:pt idx="56">
                    <c:v>Specific IEC/BCC for Lymphatic Filariasis at State, District, PHC, Sub-centre and village level including VHSC/GKs for community mobilization efforts to realize the desired drug compliance of 85% during MDA</c:v>
                  </c:pt>
                  <c:pt idx="57">
                    <c:v>IEC/BCC/Advocacy for Kala-azar</c:v>
                  </c:pt>
                  <c:pt idx="58">
                    <c:v>IEC/BCC activities as per the GFATM project</c:v>
                  </c:pt>
                  <c:pt idx="59">
                    <c:v>IEC/ BCC activities under MVCR</c:v>
                  </c:pt>
                  <c:pt idx="60">
                    <c:v>Any other IEC/BCC activities (please specify)</c:v>
                  </c:pt>
                  <c:pt idx="61">
                    <c:v>IEC/BCC activities under NLEP</c:v>
                  </c:pt>
                  <c:pt idx="62">
                    <c:v>IEC/BCC: Mass media, Outdoor media, Rural media, Advocacy media for NLEP including Sparsh Leprosy Awareness Campaign</c:v>
                  </c:pt>
                  <c:pt idx="63">
                    <c:v>Any other IEC/BCC activities (please specify)</c:v>
                  </c:pt>
                  <c:pt idx="64">
                    <c:v>IEC/BCC activities under NTEP</c:v>
                  </c:pt>
                  <c:pt idx="65">
                    <c:v>ACSM (State &amp; district)</c:v>
                  </c:pt>
                  <c:pt idx="66">
                    <c:v>TB Harega Desh Jeetega' Campaign</c:v>
                  </c:pt>
                  <c:pt idx="67">
                    <c:v>Any other IEC/BCC activities (please specify)</c:v>
                  </c:pt>
                  <c:pt idx="68">
                    <c:v>IEC/BCC under NRCP: Rabies Awareness and Do's and Don'ts in the event of Animal Bites</c:v>
                  </c:pt>
                  <c:pt idx="69">
                    <c:v>IEC under Programme for Prevention and Control of Leptospirosis</c:v>
                  </c:pt>
                  <c:pt idx="70">
                    <c:v>IEC under NVHCP</c:v>
                  </c:pt>
                  <c:pt idx="72">
                    <c:v>IEC/BCC activities under NPCB</c:v>
                  </c:pt>
                  <c:pt idx="73">
                    <c:v>State level IEC for Minor State @ Rs. 10 lakh and for Major States @ Rs. 20 lakh under NPCB&amp;VI</c:v>
                  </c:pt>
                  <c:pt idx="74">
                    <c:v>Any other IEC/BCC activities (please specify)</c:v>
                  </c:pt>
                  <c:pt idx="75">
                    <c:v>IEC/BCC activities under NMHP</c:v>
                  </c:pt>
                  <c:pt idx="76">
                    <c:v>Translation of IEC material and distribution</c:v>
                  </c:pt>
                  <c:pt idx="77">
                    <c:v>Awareness generation activities in the community, schools, workplaces with community involvement</c:v>
                  </c:pt>
                  <c:pt idx="78">
                    <c:v>Any other IEC/BCC activities (please specify)</c:v>
                  </c:pt>
                  <c:pt idx="79">
                    <c:v>IEC/BCC activities under NPHCE</c:v>
                  </c:pt>
                  <c:pt idx="80">
                    <c:v>IPC,Group activities and mass media for NPHCE</c:v>
                  </c:pt>
                  <c:pt idx="81">
                    <c:v>Celebration of days-ie International Day for older persons</c:v>
                  </c:pt>
                  <c:pt idx="82">
                    <c:v>IEC/BCC activities under NTCP</c:v>
                  </c:pt>
                  <c:pt idx="83">
                    <c:v>IEC/BCC for NTCP</c:v>
                  </c:pt>
                  <c:pt idx="84">
                    <c:v>IEC/BCC activities under NPCDCS</c:v>
                  </c:pt>
                  <c:pt idx="85">
                    <c:v>IEC/BCC for State NCD  Cell</c:v>
                  </c:pt>
                  <c:pt idx="86">
                    <c:v>IEC/BCC for District  NCD Cell</c:v>
                  </c:pt>
                  <c:pt idx="87">
                    <c:v>IEC/BCC activities for Universal Screening of NCDs</c:v>
                  </c:pt>
                  <c:pt idx="88">
                    <c:v>Any other IEC/BCC activities (please specify)</c:v>
                  </c:pt>
                  <c:pt idx="89">
                    <c:v>IEC/BCC under NOHP</c:v>
                  </c:pt>
                  <c:pt idx="90">
                    <c:v>IEC on Climate Sensitive Diseases at Block , District and State level  – Air pollution, Heat and other relevant Climate Sensitive diseases</c:v>
                  </c:pt>
                  <c:pt idx="91">
                    <c:v>IEC/BCC - National Dialysis Programme (Haemodialysis and Peritoneal Dialysis)</c:v>
                  </c:pt>
                  <c:pt idx="92">
                    <c:v>IEC/BCC activities under NPPCD</c:v>
                  </c:pt>
                  <c:pt idx="93">
                    <c:v>IEC activities</c:v>
                  </c:pt>
                  <c:pt idx="94">
                    <c:v>Any Other</c:v>
                  </c:pt>
                  <c:pt idx="95">
                    <c:v>IEC/BCC activities under NPPC</c:v>
                  </c:pt>
                  <c:pt idx="96">
                    <c:v>IEC for DH</c:v>
                  </c:pt>
                  <c:pt idx="97">
                    <c:v>IEC for State Palliative care cell</c:v>
                  </c:pt>
                  <c:pt idx="98">
                    <c:v>Any other IEC/BCC activities (please specify)</c:v>
                  </c:pt>
                  <c:pt idx="99">
                    <c:v>IEC/BCC activities under NPPCF</c:v>
                  </c:pt>
                  <c:pt idx="100">
                    <c:v>Health Education &amp; Publicity for National Programme for Fluorosis (State and District Level)</c:v>
                  </c:pt>
                  <c:pt idx="101">
                    <c:v>Any other IEC/BCC activities (please specify)</c:v>
                  </c:pt>
                </c:lvl>
                <c:lvl>
                  <c:pt idx="1">
                    <c:v>B.10.3.1</c:v>
                  </c:pt>
                  <c:pt idx="2">
                    <c:v>B.10.3.1.1</c:v>
                  </c:pt>
                  <c:pt idx="3">
                    <c:v>B.10.3.1.2</c:v>
                  </c:pt>
                  <c:pt idx="5">
                    <c:v>B.10.3.2</c:v>
                  </c:pt>
                  <c:pt idx="6">
                    <c:v>B.10.3.2.1</c:v>
                  </c:pt>
                  <c:pt idx="7">
                    <c:v>B.10.3.2.2</c:v>
                  </c:pt>
                  <c:pt idx="10">
                    <c:v>B.10.3.3</c:v>
                  </c:pt>
                  <c:pt idx="11">
                    <c:v>B.10.3.3.1</c:v>
                  </c:pt>
                  <c:pt idx="12">
                    <c:v>B.10.3.3.2</c:v>
                  </c:pt>
                  <c:pt idx="13">
                    <c:v>A.3.5.4</c:v>
                  </c:pt>
                  <c:pt idx="14">
                    <c:v>A.3.5.5</c:v>
                  </c:pt>
                  <c:pt idx="15">
                    <c:v>A.3.7.4</c:v>
                  </c:pt>
                  <c:pt idx="17">
                    <c:v>B.10.3.4</c:v>
                  </c:pt>
                  <c:pt idx="18">
                    <c:v>B.10.3.4.1</c:v>
                  </c:pt>
                  <c:pt idx="19">
                    <c:v>B.10.3.4.2</c:v>
                  </c:pt>
                  <c:pt idx="25">
                    <c:v>B.10.3.5</c:v>
                  </c:pt>
                  <c:pt idx="28">
                    <c:v>B.10.6.7</c:v>
                  </c:pt>
                  <c:pt idx="31">
                    <c:v>B.10.2</c:v>
                  </c:pt>
                  <c:pt idx="32">
                    <c:v>B.10.7.4.5</c:v>
                  </c:pt>
                  <c:pt idx="38">
                    <c:v>B18.3</c:v>
                  </c:pt>
                  <c:pt idx="42">
                    <c:v>B.10.4</c:v>
                  </c:pt>
                  <c:pt idx="43">
                    <c:v>B.10.5</c:v>
                  </c:pt>
                  <c:pt idx="44">
                    <c:v>B.10.6.1</c:v>
                  </c:pt>
                  <c:pt idx="45">
                    <c:v>B.10.6.14.1</c:v>
                  </c:pt>
                  <c:pt idx="46">
                    <c:v>B.10.6.14.1.b</c:v>
                  </c:pt>
                  <c:pt idx="47">
                    <c:v>B.10.6.14.1.c</c:v>
                  </c:pt>
                  <c:pt idx="48">
                    <c:v>B.10.6.14.3.a</c:v>
                  </c:pt>
                  <c:pt idx="49">
                    <c:v>B.10.6.14.3.b</c:v>
                  </c:pt>
                  <c:pt idx="53">
                    <c:v>B.10.6.9.a</c:v>
                  </c:pt>
                  <c:pt idx="54">
                    <c:v>B.10.6.9.b</c:v>
                  </c:pt>
                  <c:pt idx="55">
                    <c:v>B.10.6.9.c</c:v>
                  </c:pt>
                  <c:pt idx="56">
                    <c:v>B.10.6.9.d</c:v>
                  </c:pt>
                  <c:pt idx="57">
                    <c:v>B.10.6.9.e</c:v>
                  </c:pt>
                  <c:pt idx="58">
                    <c:v>B.10.6.9.f</c:v>
                  </c:pt>
                  <c:pt idx="62">
                    <c:v>B.10.6.10</c:v>
                  </c:pt>
                  <c:pt idx="65">
                    <c:v>H.4</c:v>
                  </c:pt>
                  <c:pt idx="73">
                    <c:v>B.10.6.11</c:v>
                  </c:pt>
                  <c:pt idx="75">
                    <c:v>B.10.6.12</c:v>
                  </c:pt>
                  <c:pt idx="76">
                    <c:v>B.10.6.12.a</c:v>
                  </c:pt>
                  <c:pt idx="77">
                    <c:v>B.10.6.12.b</c:v>
                  </c:pt>
                  <c:pt idx="80">
                    <c:v>B.10.6.13</c:v>
                  </c:pt>
                  <c:pt idx="83">
                    <c:v>B.10.6.14</c:v>
                  </c:pt>
                  <c:pt idx="84">
                    <c:v>O.2.3</c:v>
                  </c:pt>
                  <c:pt idx="85">
                    <c:v>O.2.3.1</c:v>
                  </c:pt>
                  <c:pt idx="86">
                    <c:v>O.2.3.2</c:v>
                  </c:pt>
                  <c:pt idx="92">
                    <c:v>B.10.6.5</c:v>
                  </c:pt>
                  <c:pt idx="96">
                    <c:v>B.27.1.3</c:v>
                  </c:pt>
                  <c:pt idx="97">
                    <c:v>B.27.2.2</c:v>
                  </c:pt>
                  <c:pt idx="100">
                    <c:v>B.10.6.6</c:v>
                  </c:pt>
                </c:lvl>
                <c:lvl>
                  <c:pt idx="1">
                    <c:v>11.4</c:v>
                  </c:pt>
                  <c:pt idx="2">
                    <c:v>11.4.1</c:v>
                  </c:pt>
                  <c:pt idx="3">
                    <c:v>11.4.2</c:v>
                  </c:pt>
                  <c:pt idx="4">
                    <c:v>11.4.3</c:v>
                  </c:pt>
                  <c:pt idx="5">
                    <c:v>11.5</c:v>
                  </c:pt>
                  <c:pt idx="6">
                    <c:v>11.5.1</c:v>
                  </c:pt>
                  <c:pt idx="7">
                    <c:v>11.5.2</c:v>
                  </c:pt>
                  <c:pt idx="8">
                    <c:v>11.5.3</c:v>
                  </c:pt>
                  <c:pt idx="9">
                    <c:v>11.5.4</c:v>
                  </c:pt>
                  <c:pt idx="10">
                    <c:v>11.6</c:v>
                  </c:pt>
                  <c:pt idx="11">
                    <c:v>11.6.1</c:v>
                  </c:pt>
                  <c:pt idx="12">
                    <c:v>11.6.2</c:v>
                  </c:pt>
                  <c:pt idx="13">
                    <c:v>11.6.3</c:v>
                  </c:pt>
                  <c:pt idx="14">
                    <c:v>11.6.4</c:v>
                  </c:pt>
                  <c:pt idx="15">
                    <c:v>11.6.5</c:v>
                  </c:pt>
                  <c:pt idx="16">
                    <c:v>11.6.6</c:v>
                  </c:pt>
                  <c:pt idx="17">
                    <c:v>11.7</c:v>
                  </c:pt>
                  <c:pt idx="18">
                    <c:v>11.7.1</c:v>
                  </c:pt>
                  <c:pt idx="19">
                    <c:v>11.7.2</c:v>
                  </c:pt>
                  <c:pt idx="20">
                    <c:v>11.7.3</c:v>
                  </c:pt>
                  <c:pt idx="21">
                    <c:v>11.8</c:v>
                  </c:pt>
                  <c:pt idx="22">
                    <c:v>11.8.1</c:v>
                  </c:pt>
                  <c:pt idx="23">
                    <c:v>11.8.2</c:v>
                  </c:pt>
                  <c:pt idx="24">
                    <c:v>11.9</c:v>
                  </c:pt>
                  <c:pt idx="25">
                    <c:v>11.9.1</c:v>
                  </c:pt>
                  <c:pt idx="26">
                    <c:v>11.9.2</c:v>
                  </c:pt>
                  <c:pt idx="27">
                    <c:v>11.14</c:v>
                  </c:pt>
                  <c:pt idx="28">
                    <c:v>11.14.1</c:v>
                  </c:pt>
                  <c:pt idx="29">
                    <c:v>11.14.2</c:v>
                  </c:pt>
                  <c:pt idx="31">
                    <c:v>11.1</c:v>
                  </c:pt>
                  <c:pt idx="32">
                    <c:v>11.10</c:v>
                  </c:pt>
                  <c:pt idx="33">
                    <c:v>11.10.1</c:v>
                  </c:pt>
                  <c:pt idx="34">
                    <c:v>11.10.2</c:v>
                  </c:pt>
                  <c:pt idx="35">
                    <c:v>11.23</c:v>
                  </c:pt>
                  <c:pt idx="36">
                    <c:v>11.23.1</c:v>
                  </c:pt>
                  <c:pt idx="37">
                    <c:v>11.23.2</c:v>
                  </c:pt>
                  <c:pt idx="38">
                    <c:v>11.24.1</c:v>
                  </c:pt>
                  <c:pt idx="39">
                    <c:v>11.24.4.5</c:v>
                  </c:pt>
                  <c:pt idx="40">
                    <c:v>11.24.4.7</c:v>
                  </c:pt>
                  <c:pt idx="41">
                    <c:v>11.24</c:v>
                  </c:pt>
                  <c:pt idx="42">
                    <c:v>11.2</c:v>
                  </c:pt>
                  <c:pt idx="43">
                    <c:v>11.3</c:v>
                  </c:pt>
                  <c:pt idx="44">
                    <c:v>11.24.2</c:v>
                  </c:pt>
                  <c:pt idx="45">
                    <c:v>11.24.3</c:v>
                  </c:pt>
                  <c:pt idx="46">
                    <c:v>11.24.3.1</c:v>
                  </c:pt>
                  <c:pt idx="47">
                    <c:v>11.24.3.2</c:v>
                  </c:pt>
                  <c:pt idx="48">
                    <c:v>11.24.3.3</c:v>
                  </c:pt>
                  <c:pt idx="49">
                    <c:v>11.24.3.4</c:v>
                  </c:pt>
                  <c:pt idx="50">
                    <c:v>11.24.4.9</c:v>
                  </c:pt>
                  <c:pt idx="52">
                    <c:v>11.15</c:v>
                  </c:pt>
                  <c:pt idx="53">
                    <c:v>11.15.1</c:v>
                  </c:pt>
                  <c:pt idx="54">
                    <c:v>11.15.2</c:v>
                  </c:pt>
                  <c:pt idx="55">
                    <c:v>11.15.3</c:v>
                  </c:pt>
                  <c:pt idx="56">
                    <c:v>11.15.4</c:v>
                  </c:pt>
                  <c:pt idx="57">
                    <c:v>11.15.5</c:v>
                  </c:pt>
                  <c:pt idx="58">
                    <c:v>11.15.6</c:v>
                  </c:pt>
                  <c:pt idx="59">
                    <c:v>11.15.7</c:v>
                  </c:pt>
                  <c:pt idx="60">
                    <c:v>11.15.8</c:v>
                  </c:pt>
                  <c:pt idx="61">
                    <c:v>11.16</c:v>
                  </c:pt>
                  <c:pt idx="62">
                    <c:v>11.16.1</c:v>
                  </c:pt>
                  <c:pt idx="63">
                    <c:v>11.16.2</c:v>
                  </c:pt>
                  <c:pt idx="64">
                    <c:v>11.17</c:v>
                  </c:pt>
                  <c:pt idx="65">
                    <c:v>11.17.1</c:v>
                  </c:pt>
                  <c:pt idx="66">
                    <c:v>11.17.2</c:v>
                  </c:pt>
                  <c:pt idx="67">
                    <c:v>11.17.3</c:v>
                  </c:pt>
                  <c:pt idx="68">
                    <c:v>11.24.4.1</c:v>
                  </c:pt>
                  <c:pt idx="69">
                    <c:v>11.24.4.6</c:v>
                  </c:pt>
                  <c:pt idx="72">
                    <c:v>11.18</c:v>
                  </c:pt>
                  <c:pt idx="73">
                    <c:v>11.18.1</c:v>
                  </c:pt>
                  <c:pt idx="74">
                    <c:v>11.18.2</c:v>
                  </c:pt>
                  <c:pt idx="75">
                    <c:v>11.19</c:v>
                  </c:pt>
                  <c:pt idx="76">
                    <c:v>11.19.1</c:v>
                  </c:pt>
                  <c:pt idx="77">
                    <c:v>11.19.2</c:v>
                  </c:pt>
                  <c:pt idx="78">
                    <c:v>11.19.3</c:v>
                  </c:pt>
                  <c:pt idx="79">
                    <c:v>11.20</c:v>
                  </c:pt>
                  <c:pt idx="80">
                    <c:v>11.20.1</c:v>
                  </c:pt>
                  <c:pt idx="81">
                    <c:v>11.20.2</c:v>
                  </c:pt>
                  <c:pt idx="82">
                    <c:v>11.21</c:v>
                  </c:pt>
                  <c:pt idx="83">
                    <c:v>11.21.1</c:v>
                  </c:pt>
                  <c:pt idx="84">
                    <c:v>11.22</c:v>
                  </c:pt>
                  <c:pt idx="85">
                    <c:v>11.22.1</c:v>
                  </c:pt>
                  <c:pt idx="86">
                    <c:v>11.22.2</c:v>
                  </c:pt>
                  <c:pt idx="87">
                    <c:v>11.22.3</c:v>
                  </c:pt>
                  <c:pt idx="88">
                    <c:v>11.22.4</c:v>
                  </c:pt>
                  <c:pt idx="89">
                    <c:v>11.24.4.2</c:v>
                  </c:pt>
                  <c:pt idx="90">
                    <c:v>11.24.4.4</c:v>
                  </c:pt>
                  <c:pt idx="91">
                    <c:v>11.24.4.8</c:v>
                  </c:pt>
                  <c:pt idx="92">
                    <c:v>11.11</c:v>
                  </c:pt>
                  <c:pt idx="93">
                    <c:v>11.11.1</c:v>
                  </c:pt>
                  <c:pt idx="94">
                    <c:v>11.11.2</c:v>
                  </c:pt>
                  <c:pt idx="95">
                    <c:v>11.12</c:v>
                  </c:pt>
                  <c:pt idx="96">
                    <c:v>11.12.1</c:v>
                  </c:pt>
                  <c:pt idx="97">
                    <c:v>11.12.2</c:v>
                  </c:pt>
                  <c:pt idx="98">
                    <c:v>11.12.3</c:v>
                  </c:pt>
                  <c:pt idx="99">
                    <c:v>11.13</c:v>
                  </c:pt>
                  <c:pt idx="100">
                    <c:v>11.13.1</c:v>
                  </c:pt>
                  <c:pt idx="101">
                    <c:v>11.13.2</c:v>
                  </c:pt>
                </c:lvl>
              </c:multiLvlStrCache>
            </c:multiLvlStrRef>
          </c:cat>
          <c:val>
            <c:numRef>
              <c:f>'11-A. IEC Sub-Annex'!$N$5:$N$106</c:f>
            </c:numRef>
          </c:val>
          <c:extLst xmlns:c16r2="http://schemas.microsoft.com/office/drawing/2015/06/chart">
            <c:ext xmlns:c16="http://schemas.microsoft.com/office/drawing/2014/chart" uri="{C3380CC4-5D6E-409C-BE32-E72D297353CC}">
              <c16:uniqueId val="{00000008-5F31-4E66-B011-A29233064213}"/>
            </c:ext>
          </c:extLst>
        </c:ser>
        <c:ser>
          <c:idx val="9"/>
          <c:order val="9"/>
          <c:tx>
            <c:strRef>
              <c:f>'11-A. IEC Sub-Annex'!$O$1:$O$4</c:f>
              <c:strCache>
                <c:ptCount val="1"/>
                <c:pt idx="0">
                  <c:v>Summary of Abst. Proposal for 2021-22 Budget 
(Rs. Lakhs)</c:v>
                </c:pt>
              </c:strCache>
            </c:strRef>
          </c:tx>
          <c:cat>
            <c:multiLvlStrRef>
              <c:f>'11-A. IEC Sub-Annex'!$A$5:$E$106</c:f>
              <c:multiLvlStrCache>
                <c:ptCount val="102"/>
                <c:lvl>
                  <c:pt idx="2">
                    <c:v>RCH</c:v>
                  </c:pt>
                  <c:pt idx="3">
                    <c:v>RCH</c:v>
                  </c:pt>
                  <c:pt idx="4">
                    <c:v>RCH</c:v>
                  </c:pt>
                  <c:pt idx="6">
                    <c:v>RCH</c:v>
                  </c:pt>
                  <c:pt idx="7">
                    <c:v>RCH</c:v>
                  </c:pt>
                  <c:pt idx="8">
                    <c:v>RCH</c:v>
                  </c:pt>
                  <c:pt idx="9">
                    <c:v>RCH</c:v>
                  </c:pt>
                  <c:pt idx="11">
                    <c:v>RCH</c:v>
                  </c:pt>
                  <c:pt idx="12">
                    <c:v>RCH</c:v>
                  </c:pt>
                  <c:pt idx="13">
                    <c:v>RCH</c:v>
                  </c:pt>
                  <c:pt idx="14">
                    <c:v>RCH</c:v>
                  </c:pt>
                  <c:pt idx="15">
                    <c:v>RCH</c:v>
                  </c:pt>
                  <c:pt idx="16">
                    <c:v>RCH</c:v>
                  </c:pt>
                  <c:pt idx="18">
                    <c:v>RCH</c:v>
                  </c:pt>
                  <c:pt idx="19">
                    <c:v>RCH</c:v>
                  </c:pt>
                  <c:pt idx="20">
                    <c:v>RCH</c:v>
                  </c:pt>
                  <c:pt idx="22">
                    <c:v>RCH</c:v>
                  </c:pt>
                  <c:pt idx="23">
                    <c:v>RCH</c:v>
                  </c:pt>
                  <c:pt idx="25">
                    <c:v>RCH</c:v>
                  </c:pt>
                  <c:pt idx="26">
                    <c:v>RCH</c:v>
                  </c:pt>
                  <c:pt idx="28">
                    <c:v>RCH</c:v>
                  </c:pt>
                  <c:pt idx="29">
                    <c:v>RCH</c:v>
                  </c:pt>
                  <c:pt idx="31">
                    <c:v>HSS</c:v>
                  </c:pt>
                  <c:pt idx="33">
                    <c:v>HSS</c:v>
                  </c:pt>
                  <c:pt idx="34">
                    <c:v>HSS</c:v>
                  </c:pt>
                  <c:pt idx="36">
                    <c:v>HSS</c:v>
                  </c:pt>
                  <c:pt idx="37">
                    <c:v>HSS</c:v>
                  </c:pt>
                  <c:pt idx="38">
                    <c:v>HSS</c:v>
                  </c:pt>
                  <c:pt idx="39">
                    <c:v>HSS</c:v>
                  </c:pt>
                  <c:pt idx="40">
                    <c:v>HSS</c:v>
                  </c:pt>
                  <c:pt idx="42">
                    <c:v>HSS</c:v>
                  </c:pt>
                  <c:pt idx="43">
                    <c:v>HSS</c:v>
                  </c:pt>
                  <c:pt idx="44">
                    <c:v>HSS</c:v>
                  </c:pt>
                  <c:pt idx="46">
                    <c:v>HSS</c:v>
                  </c:pt>
                  <c:pt idx="47">
                    <c:v>HSS</c:v>
                  </c:pt>
                  <c:pt idx="48">
                    <c:v>HSS</c:v>
                  </c:pt>
                  <c:pt idx="49">
                    <c:v>HSS</c:v>
                  </c:pt>
                  <c:pt idx="50">
                    <c:v>HSS</c:v>
                  </c:pt>
                  <c:pt idx="53">
                    <c:v>NDCP</c:v>
                  </c:pt>
                  <c:pt idx="54">
                    <c:v>NDCP</c:v>
                  </c:pt>
                  <c:pt idx="55">
                    <c:v>NDCP</c:v>
                  </c:pt>
                  <c:pt idx="56">
                    <c:v>NDCP</c:v>
                  </c:pt>
                  <c:pt idx="57">
                    <c:v>NDCP</c:v>
                  </c:pt>
                  <c:pt idx="58">
                    <c:v>NDCP</c:v>
                  </c:pt>
                  <c:pt idx="59">
                    <c:v>NDCP</c:v>
                  </c:pt>
                  <c:pt idx="60">
                    <c:v>NDCP</c:v>
                  </c:pt>
                  <c:pt idx="62">
                    <c:v>NDCP</c:v>
                  </c:pt>
                  <c:pt idx="63">
                    <c:v>NDCP</c:v>
                  </c:pt>
                  <c:pt idx="65">
                    <c:v>NDCP</c:v>
                  </c:pt>
                  <c:pt idx="66">
                    <c:v>NDCP</c:v>
                  </c:pt>
                  <c:pt idx="67">
                    <c:v>NDCP</c:v>
                  </c:pt>
                  <c:pt idx="68">
                    <c:v>NDCP</c:v>
                  </c:pt>
                  <c:pt idx="69">
                    <c:v>NDCP</c:v>
                  </c:pt>
                  <c:pt idx="70">
                    <c:v>NDCP</c:v>
                  </c:pt>
                  <c:pt idx="73">
                    <c:v>NCD</c:v>
                  </c:pt>
                  <c:pt idx="74">
                    <c:v>NCD</c:v>
                  </c:pt>
                  <c:pt idx="76">
                    <c:v>NCD</c:v>
                  </c:pt>
                  <c:pt idx="77">
                    <c:v>NCD</c:v>
                  </c:pt>
                  <c:pt idx="78">
                    <c:v>NCD</c:v>
                  </c:pt>
                  <c:pt idx="80">
                    <c:v>NCD</c:v>
                  </c:pt>
                  <c:pt idx="81">
                    <c:v>NCD</c:v>
                  </c:pt>
                  <c:pt idx="83">
                    <c:v>NCD</c:v>
                  </c:pt>
                  <c:pt idx="85">
                    <c:v>NCD</c:v>
                  </c:pt>
                  <c:pt idx="86">
                    <c:v>NCD</c:v>
                  </c:pt>
                  <c:pt idx="87">
                    <c:v>NCD</c:v>
                  </c:pt>
                  <c:pt idx="88">
                    <c:v>NCD</c:v>
                  </c:pt>
                  <c:pt idx="89">
                    <c:v>NCD</c:v>
                  </c:pt>
                  <c:pt idx="90">
                    <c:v>NCD</c:v>
                  </c:pt>
                  <c:pt idx="91">
                    <c:v>NCD</c:v>
                  </c:pt>
                  <c:pt idx="93">
                    <c:v>NCD</c:v>
                  </c:pt>
                  <c:pt idx="94">
                    <c:v>NCD</c:v>
                  </c:pt>
                  <c:pt idx="96">
                    <c:v>NCD</c:v>
                  </c:pt>
                  <c:pt idx="97">
                    <c:v>NCD</c:v>
                  </c:pt>
                  <c:pt idx="98">
                    <c:v>NCD</c:v>
                  </c:pt>
                  <c:pt idx="100">
                    <c:v>NCD</c:v>
                  </c:pt>
                  <c:pt idx="101">
                    <c:v>NCD</c:v>
                  </c:pt>
                </c:lvl>
                <c:lvl>
                  <c:pt idx="1">
                    <c:v>IEC/BCC activities under MH</c:v>
                  </c:pt>
                  <c:pt idx="2">
                    <c:v>Media Mix of Mid Media/ Mass Media</c:v>
                  </c:pt>
                  <c:pt idx="3">
                    <c:v>Inter Personal Communication</c:v>
                  </c:pt>
                  <c:pt idx="4">
                    <c:v>Any other IEC/BCC activities (please specify)</c:v>
                  </c:pt>
                  <c:pt idx="5">
                    <c:v>IEC/BCC activities under CH</c:v>
                  </c:pt>
                  <c:pt idx="6">
                    <c:v>Media Mix of Mid Media/ Mass Media</c:v>
                  </c:pt>
                  <c:pt idx="7">
                    <c:v>Inter Personal Communication</c:v>
                  </c:pt>
                  <c:pt idx="8">
                    <c:v>IEC for family participatory care</c:v>
                  </c:pt>
                  <c:pt idx="9">
                    <c:v>Any other IEC/BCC activities (please specify) including SAANS campaign IEC at state/district level</c:v>
                  </c:pt>
                  <c:pt idx="10">
                    <c:v>IEC/BCC activities under FP</c:v>
                  </c:pt>
                  <c:pt idx="11">
                    <c:v>Media Mix of Mid Media/ Mass Media</c:v>
                  </c:pt>
                  <c:pt idx="12">
                    <c:v>Inter Personal Communication</c:v>
                  </c:pt>
                  <c:pt idx="13">
                    <c:v>IEC &amp; promotional activities for World Population Day celebration</c:v>
                  </c:pt>
                  <c:pt idx="14">
                    <c:v>IEC &amp; promotional activities for Vasectomy Fortnight celebration </c:v>
                  </c:pt>
                  <c:pt idx="15">
                    <c:v>IEC activities for Mission Parivar Vikas Campaign (Frequency-at least 4/year)</c:v>
                  </c:pt>
                  <c:pt idx="16">
                    <c:v>Any other IEC/BCC activities (please specify)</c:v>
                  </c:pt>
                  <c:pt idx="17">
                    <c:v>IEC/BCC activities under AH</c:v>
                  </c:pt>
                  <c:pt idx="18">
                    <c:v>Media Mix of Mass Media/ Mid Media including promotion of menstrual hygiene scheme</c:v>
                  </c:pt>
                  <c:pt idx="19">
                    <c:v>Inter Personal Communication</c:v>
                  </c:pt>
                  <c:pt idx="20">
                    <c:v>Any other IEC/BCC activities (please specify)</c:v>
                  </c:pt>
                  <c:pt idx="21">
                    <c:v>IEC/BCC activities under Immunization</c:v>
                  </c:pt>
                  <c:pt idx="22">
                    <c:v>IEC activities for Immunization</c:v>
                  </c:pt>
                  <c:pt idx="23">
                    <c:v>Any other IEC/BCC activities (please specify)</c:v>
                  </c:pt>
                  <c:pt idx="24">
                    <c:v>IEC/BCC activities under PNDT</c:v>
                  </c:pt>
                  <c:pt idx="25">
                    <c:v>Creating awareness on declining sex ratio issue (PNDT)</c:v>
                  </c:pt>
                  <c:pt idx="26">
                    <c:v>Any other IEC/BCC activities (please specify)</c:v>
                  </c:pt>
                  <c:pt idx="27">
                    <c:v>IEC/BCC activities under NIDDCP</c:v>
                  </c:pt>
                  <c:pt idx="28">
                    <c:v>Health Education &amp; Publicity for NIDDCP</c:v>
                  </c:pt>
                  <c:pt idx="29">
                    <c:v>Any other IEC/BCC activities (please specify)</c:v>
                  </c:pt>
                  <c:pt idx="31">
                    <c:v>Development of State Communication strategy (comprising of district plans)</c:v>
                  </c:pt>
                  <c:pt idx="32">
                    <c:v>IEC/BCC activities under Blood services &amp; disorders</c:v>
                  </c:pt>
                  <c:pt idx="33">
                    <c:v>IEC/BCC activities under Blood Services</c:v>
                  </c:pt>
                  <c:pt idx="34">
                    <c:v>IEC/BCC activities under Blood Disorders</c:v>
                  </c:pt>
                  <c:pt idx="35">
                    <c:v>IEC/BCC activities under ASHA</c:v>
                  </c:pt>
                  <c:pt idx="38">
                    <c:v>IEC activities for Ayushman Bharat Health &amp; Wellness centre (H&amp;WC)</c:v>
                  </c:pt>
                  <c:pt idx="39">
                    <c:v>IEC Activity under NQAP, LaQshya, Kayakalp &amp; Mera-Aspataal (Signages- Approach road, Departmental, Directional and other facility level signage's)</c:v>
                  </c:pt>
                  <c:pt idx="40">
                    <c:v>IEC/BCC- Free Diagnostic Service Initiative (Pathology &amp; Radiology)</c:v>
                  </c:pt>
                  <c:pt idx="41">
                    <c:v>Other IEC/BCC activities</c:v>
                  </c:pt>
                  <c:pt idx="42">
                    <c:v>Interpersonal Communication Tools for the frontline health workers</c:v>
                  </c:pt>
                  <c:pt idx="43">
                    <c:v>Targeting Naturally Occurring Gathering of People/ Health Mela</c:v>
                  </c:pt>
                  <c:pt idx="44">
                    <c:v>Innovative IEC/ BCC Strategies including mobile based solutions, social media and engagement of youth</c:v>
                  </c:pt>
                  <c:pt idx="45">
                    <c:v>SBCC/IEC/Advocacy campaigns </c:v>
                  </c:pt>
                  <c:pt idx="46">
                    <c:v>Places covered with hoardings/ bill boards/ signage etc.</c:v>
                  </c:pt>
                  <c:pt idx="47">
                    <c:v>Usage of Folk media such as Nukkad Natak/ mobile audio visual services/ local radio etc.</c:v>
                  </c:pt>
                  <c:pt idx="48">
                    <c:v>Development of IEC Material</c:v>
                  </c:pt>
                  <c:pt idx="49">
                    <c:v>State-level IEC Campaigns/Other IEC Campaigns</c:v>
                  </c:pt>
                  <c:pt idx="50">
                    <c:v>Any other (please specify)</c:v>
                  </c:pt>
                  <c:pt idx="52">
                    <c:v>IEC/BCC activities under NVBDCP</c:v>
                  </c:pt>
                  <c:pt idx="53">
                    <c:v>IEC/BCC for Malaria</c:v>
                  </c:pt>
                  <c:pt idx="54">
                    <c:v>IEC/BCC for Social mobilization (Dengue and Chikungunya)</c:v>
                  </c:pt>
                  <c:pt idx="55">
                    <c:v>IEC/BCC specific to J.E. in endemic areas</c:v>
                  </c:pt>
                  <c:pt idx="56">
                    <c:v>Specific IEC/BCC for Lymphatic Filariasis at State, District, PHC, Sub-centre and village level including VHSC/GKs for community mobilization efforts to realize the desired drug compliance of 85% during MDA</c:v>
                  </c:pt>
                  <c:pt idx="57">
                    <c:v>IEC/BCC/Advocacy for Kala-azar</c:v>
                  </c:pt>
                  <c:pt idx="58">
                    <c:v>IEC/BCC activities as per the GFATM project</c:v>
                  </c:pt>
                  <c:pt idx="59">
                    <c:v>IEC/ BCC activities under MVCR</c:v>
                  </c:pt>
                  <c:pt idx="60">
                    <c:v>Any other IEC/BCC activities (please specify)</c:v>
                  </c:pt>
                  <c:pt idx="61">
                    <c:v>IEC/BCC activities under NLEP</c:v>
                  </c:pt>
                  <c:pt idx="62">
                    <c:v>IEC/BCC: Mass media, Outdoor media, Rural media, Advocacy media for NLEP including Sparsh Leprosy Awareness Campaign</c:v>
                  </c:pt>
                  <c:pt idx="63">
                    <c:v>Any other IEC/BCC activities (please specify)</c:v>
                  </c:pt>
                  <c:pt idx="64">
                    <c:v>IEC/BCC activities under NTEP</c:v>
                  </c:pt>
                  <c:pt idx="65">
                    <c:v>ACSM (State &amp; district)</c:v>
                  </c:pt>
                  <c:pt idx="66">
                    <c:v>TB Harega Desh Jeetega' Campaign</c:v>
                  </c:pt>
                  <c:pt idx="67">
                    <c:v>Any other IEC/BCC activities (please specify)</c:v>
                  </c:pt>
                  <c:pt idx="68">
                    <c:v>IEC/BCC under NRCP: Rabies Awareness and Do's and Don'ts in the event of Animal Bites</c:v>
                  </c:pt>
                  <c:pt idx="69">
                    <c:v>IEC under Programme for Prevention and Control of Leptospirosis</c:v>
                  </c:pt>
                  <c:pt idx="70">
                    <c:v>IEC under NVHCP</c:v>
                  </c:pt>
                  <c:pt idx="72">
                    <c:v>IEC/BCC activities under NPCB</c:v>
                  </c:pt>
                  <c:pt idx="73">
                    <c:v>State level IEC for Minor State @ Rs. 10 lakh and for Major States @ Rs. 20 lakh under NPCB&amp;VI</c:v>
                  </c:pt>
                  <c:pt idx="74">
                    <c:v>Any other IEC/BCC activities (please specify)</c:v>
                  </c:pt>
                  <c:pt idx="75">
                    <c:v>IEC/BCC activities under NMHP</c:v>
                  </c:pt>
                  <c:pt idx="76">
                    <c:v>Translation of IEC material and distribution</c:v>
                  </c:pt>
                  <c:pt idx="77">
                    <c:v>Awareness generation activities in the community, schools, workplaces with community involvement</c:v>
                  </c:pt>
                  <c:pt idx="78">
                    <c:v>Any other IEC/BCC activities (please specify)</c:v>
                  </c:pt>
                  <c:pt idx="79">
                    <c:v>IEC/BCC activities under NPHCE</c:v>
                  </c:pt>
                  <c:pt idx="80">
                    <c:v>IPC,Group activities and mass media for NPHCE</c:v>
                  </c:pt>
                  <c:pt idx="81">
                    <c:v>Celebration of days-ie International Day for older persons</c:v>
                  </c:pt>
                  <c:pt idx="82">
                    <c:v>IEC/BCC activities under NTCP</c:v>
                  </c:pt>
                  <c:pt idx="83">
                    <c:v>IEC/BCC for NTCP</c:v>
                  </c:pt>
                  <c:pt idx="84">
                    <c:v>IEC/BCC activities under NPCDCS</c:v>
                  </c:pt>
                  <c:pt idx="85">
                    <c:v>IEC/BCC for State NCD  Cell</c:v>
                  </c:pt>
                  <c:pt idx="86">
                    <c:v>IEC/BCC for District  NCD Cell</c:v>
                  </c:pt>
                  <c:pt idx="87">
                    <c:v>IEC/BCC activities for Universal Screening of NCDs</c:v>
                  </c:pt>
                  <c:pt idx="88">
                    <c:v>Any other IEC/BCC activities (please specify)</c:v>
                  </c:pt>
                  <c:pt idx="89">
                    <c:v>IEC/BCC under NOHP</c:v>
                  </c:pt>
                  <c:pt idx="90">
                    <c:v>IEC on Climate Sensitive Diseases at Block , District and State level  – Air pollution, Heat and other relevant Climate Sensitive diseases</c:v>
                  </c:pt>
                  <c:pt idx="91">
                    <c:v>IEC/BCC - National Dialysis Programme (Haemodialysis and Peritoneal Dialysis)</c:v>
                  </c:pt>
                  <c:pt idx="92">
                    <c:v>IEC/BCC activities under NPPCD</c:v>
                  </c:pt>
                  <c:pt idx="93">
                    <c:v>IEC activities</c:v>
                  </c:pt>
                  <c:pt idx="94">
                    <c:v>Any Other</c:v>
                  </c:pt>
                  <c:pt idx="95">
                    <c:v>IEC/BCC activities under NPPC</c:v>
                  </c:pt>
                  <c:pt idx="96">
                    <c:v>IEC for DH</c:v>
                  </c:pt>
                  <c:pt idx="97">
                    <c:v>IEC for State Palliative care cell</c:v>
                  </c:pt>
                  <c:pt idx="98">
                    <c:v>Any other IEC/BCC activities (please specify)</c:v>
                  </c:pt>
                  <c:pt idx="99">
                    <c:v>IEC/BCC activities under NPPCF</c:v>
                  </c:pt>
                  <c:pt idx="100">
                    <c:v>Health Education &amp; Publicity for National Programme for Fluorosis (State and District Level)</c:v>
                  </c:pt>
                  <c:pt idx="101">
                    <c:v>Any other IEC/BCC activities (please specify)</c:v>
                  </c:pt>
                </c:lvl>
                <c:lvl>
                  <c:pt idx="1">
                    <c:v>B.10.3.1</c:v>
                  </c:pt>
                  <c:pt idx="2">
                    <c:v>B.10.3.1.1</c:v>
                  </c:pt>
                  <c:pt idx="3">
                    <c:v>B.10.3.1.2</c:v>
                  </c:pt>
                  <c:pt idx="5">
                    <c:v>B.10.3.2</c:v>
                  </c:pt>
                  <c:pt idx="6">
                    <c:v>B.10.3.2.1</c:v>
                  </c:pt>
                  <c:pt idx="7">
                    <c:v>B.10.3.2.2</c:v>
                  </c:pt>
                  <c:pt idx="10">
                    <c:v>B.10.3.3</c:v>
                  </c:pt>
                  <c:pt idx="11">
                    <c:v>B.10.3.3.1</c:v>
                  </c:pt>
                  <c:pt idx="12">
                    <c:v>B.10.3.3.2</c:v>
                  </c:pt>
                  <c:pt idx="13">
                    <c:v>A.3.5.4</c:v>
                  </c:pt>
                  <c:pt idx="14">
                    <c:v>A.3.5.5</c:v>
                  </c:pt>
                  <c:pt idx="15">
                    <c:v>A.3.7.4</c:v>
                  </c:pt>
                  <c:pt idx="17">
                    <c:v>B.10.3.4</c:v>
                  </c:pt>
                  <c:pt idx="18">
                    <c:v>B.10.3.4.1</c:v>
                  </c:pt>
                  <c:pt idx="19">
                    <c:v>B.10.3.4.2</c:v>
                  </c:pt>
                  <c:pt idx="25">
                    <c:v>B.10.3.5</c:v>
                  </c:pt>
                  <c:pt idx="28">
                    <c:v>B.10.6.7</c:v>
                  </c:pt>
                  <c:pt idx="31">
                    <c:v>B.10.2</c:v>
                  </c:pt>
                  <c:pt idx="32">
                    <c:v>B.10.7.4.5</c:v>
                  </c:pt>
                  <c:pt idx="38">
                    <c:v>B18.3</c:v>
                  </c:pt>
                  <c:pt idx="42">
                    <c:v>B.10.4</c:v>
                  </c:pt>
                  <c:pt idx="43">
                    <c:v>B.10.5</c:v>
                  </c:pt>
                  <c:pt idx="44">
                    <c:v>B.10.6.1</c:v>
                  </c:pt>
                  <c:pt idx="45">
                    <c:v>B.10.6.14.1</c:v>
                  </c:pt>
                  <c:pt idx="46">
                    <c:v>B.10.6.14.1.b</c:v>
                  </c:pt>
                  <c:pt idx="47">
                    <c:v>B.10.6.14.1.c</c:v>
                  </c:pt>
                  <c:pt idx="48">
                    <c:v>B.10.6.14.3.a</c:v>
                  </c:pt>
                  <c:pt idx="49">
                    <c:v>B.10.6.14.3.b</c:v>
                  </c:pt>
                  <c:pt idx="53">
                    <c:v>B.10.6.9.a</c:v>
                  </c:pt>
                  <c:pt idx="54">
                    <c:v>B.10.6.9.b</c:v>
                  </c:pt>
                  <c:pt idx="55">
                    <c:v>B.10.6.9.c</c:v>
                  </c:pt>
                  <c:pt idx="56">
                    <c:v>B.10.6.9.d</c:v>
                  </c:pt>
                  <c:pt idx="57">
                    <c:v>B.10.6.9.e</c:v>
                  </c:pt>
                  <c:pt idx="58">
                    <c:v>B.10.6.9.f</c:v>
                  </c:pt>
                  <c:pt idx="62">
                    <c:v>B.10.6.10</c:v>
                  </c:pt>
                  <c:pt idx="65">
                    <c:v>H.4</c:v>
                  </c:pt>
                  <c:pt idx="73">
                    <c:v>B.10.6.11</c:v>
                  </c:pt>
                  <c:pt idx="75">
                    <c:v>B.10.6.12</c:v>
                  </c:pt>
                  <c:pt idx="76">
                    <c:v>B.10.6.12.a</c:v>
                  </c:pt>
                  <c:pt idx="77">
                    <c:v>B.10.6.12.b</c:v>
                  </c:pt>
                  <c:pt idx="80">
                    <c:v>B.10.6.13</c:v>
                  </c:pt>
                  <c:pt idx="83">
                    <c:v>B.10.6.14</c:v>
                  </c:pt>
                  <c:pt idx="84">
                    <c:v>O.2.3</c:v>
                  </c:pt>
                  <c:pt idx="85">
                    <c:v>O.2.3.1</c:v>
                  </c:pt>
                  <c:pt idx="86">
                    <c:v>O.2.3.2</c:v>
                  </c:pt>
                  <c:pt idx="92">
                    <c:v>B.10.6.5</c:v>
                  </c:pt>
                  <c:pt idx="96">
                    <c:v>B.27.1.3</c:v>
                  </c:pt>
                  <c:pt idx="97">
                    <c:v>B.27.2.2</c:v>
                  </c:pt>
                  <c:pt idx="100">
                    <c:v>B.10.6.6</c:v>
                  </c:pt>
                </c:lvl>
                <c:lvl>
                  <c:pt idx="1">
                    <c:v>11.4</c:v>
                  </c:pt>
                  <c:pt idx="2">
                    <c:v>11.4.1</c:v>
                  </c:pt>
                  <c:pt idx="3">
                    <c:v>11.4.2</c:v>
                  </c:pt>
                  <c:pt idx="4">
                    <c:v>11.4.3</c:v>
                  </c:pt>
                  <c:pt idx="5">
                    <c:v>11.5</c:v>
                  </c:pt>
                  <c:pt idx="6">
                    <c:v>11.5.1</c:v>
                  </c:pt>
                  <c:pt idx="7">
                    <c:v>11.5.2</c:v>
                  </c:pt>
                  <c:pt idx="8">
                    <c:v>11.5.3</c:v>
                  </c:pt>
                  <c:pt idx="9">
                    <c:v>11.5.4</c:v>
                  </c:pt>
                  <c:pt idx="10">
                    <c:v>11.6</c:v>
                  </c:pt>
                  <c:pt idx="11">
                    <c:v>11.6.1</c:v>
                  </c:pt>
                  <c:pt idx="12">
                    <c:v>11.6.2</c:v>
                  </c:pt>
                  <c:pt idx="13">
                    <c:v>11.6.3</c:v>
                  </c:pt>
                  <c:pt idx="14">
                    <c:v>11.6.4</c:v>
                  </c:pt>
                  <c:pt idx="15">
                    <c:v>11.6.5</c:v>
                  </c:pt>
                  <c:pt idx="16">
                    <c:v>11.6.6</c:v>
                  </c:pt>
                  <c:pt idx="17">
                    <c:v>11.7</c:v>
                  </c:pt>
                  <c:pt idx="18">
                    <c:v>11.7.1</c:v>
                  </c:pt>
                  <c:pt idx="19">
                    <c:v>11.7.2</c:v>
                  </c:pt>
                  <c:pt idx="20">
                    <c:v>11.7.3</c:v>
                  </c:pt>
                  <c:pt idx="21">
                    <c:v>11.8</c:v>
                  </c:pt>
                  <c:pt idx="22">
                    <c:v>11.8.1</c:v>
                  </c:pt>
                  <c:pt idx="23">
                    <c:v>11.8.2</c:v>
                  </c:pt>
                  <c:pt idx="24">
                    <c:v>11.9</c:v>
                  </c:pt>
                  <c:pt idx="25">
                    <c:v>11.9.1</c:v>
                  </c:pt>
                  <c:pt idx="26">
                    <c:v>11.9.2</c:v>
                  </c:pt>
                  <c:pt idx="27">
                    <c:v>11.14</c:v>
                  </c:pt>
                  <c:pt idx="28">
                    <c:v>11.14.1</c:v>
                  </c:pt>
                  <c:pt idx="29">
                    <c:v>11.14.2</c:v>
                  </c:pt>
                  <c:pt idx="31">
                    <c:v>11.1</c:v>
                  </c:pt>
                  <c:pt idx="32">
                    <c:v>11.10</c:v>
                  </c:pt>
                  <c:pt idx="33">
                    <c:v>11.10.1</c:v>
                  </c:pt>
                  <c:pt idx="34">
                    <c:v>11.10.2</c:v>
                  </c:pt>
                  <c:pt idx="35">
                    <c:v>11.23</c:v>
                  </c:pt>
                  <c:pt idx="36">
                    <c:v>11.23.1</c:v>
                  </c:pt>
                  <c:pt idx="37">
                    <c:v>11.23.2</c:v>
                  </c:pt>
                  <c:pt idx="38">
                    <c:v>11.24.1</c:v>
                  </c:pt>
                  <c:pt idx="39">
                    <c:v>11.24.4.5</c:v>
                  </c:pt>
                  <c:pt idx="40">
                    <c:v>11.24.4.7</c:v>
                  </c:pt>
                  <c:pt idx="41">
                    <c:v>11.24</c:v>
                  </c:pt>
                  <c:pt idx="42">
                    <c:v>11.2</c:v>
                  </c:pt>
                  <c:pt idx="43">
                    <c:v>11.3</c:v>
                  </c:pt>
                  <c:pt idx="44">
                    <c:v>11.24.2</c:v>
                  </c:pt>
                  <c:pt idx="45">
                    <c:v>11.24.3</c:v>
                  </c:pt>
                  <c:pt idx="46">
                    <c:v>11.24.3.1</c:v>
                  </c:pt>
                  <c:pt idx="47">
                    <c:v>11.24.3.2</c:v>
                  </c:pt>
                  <c:pt idx="48">
                    <c:v>11.24.3.3</c:v>
                  </c:pt>
                  <c:pt idx="49">
                    <c:v>11.24.3.4</c:v>
                  </c:pt>
                  <c:pt idx="50">
                    <c:v>11.24.4.9</c:v>
                  </c:pt>
                  <c:pt idx="52">
                    <c:v>11.15</c:v>
                  </c:pt>
                  <c:pt idx="53">
                    <c:v>11.15.1</c:v>
                  </c:pt>
                  <c:pt idx="54">
                    <c:v>11.15.2</c:v>
                  </c:pt>
                  <c:pt idx="55">
                    <c:v>11.15.3</c:v>
                  </c:pt>
                  <c:pt idx="56">
                    <c:v>11.15.4</c:v>
                  </c:pt>
                  <c:pt idx="57">
                    <c:v>11.15.5</c:v>
                  </c:pt>
                  <c:pt idx="58">
                    <c:v>11.15.6</c:v>
                  </c:pt>
                  <c:pt idx="59">
                    <c:v>11.15.7</c:v>
                  </c:pt>
                  <c:pt idx="60">
                    <c:v>11.15.8</c:v>
                  </c:pt>
                  <c:pt idx="61">
                    <c:v>11.16</c:v>
                  </c:pt>
                  <c:pt idx="62">
                    <c:v>11.16.1</c:v>
                  </c:pt>
                  <c:pt idx="63">
                    <c:v>11.16.2</c:v>
                  </c:pt>
                  <c:pt idx="64">
                    <c:v>11.17</c:v>
                  </c:pt>
                  <c:pt idx="65">
                    <c:v>11.17.1</c:v>
                  </c:pt>
                  <c:pt idx="66">
                    <c:v>11.17.2</c:v>
                  </c:pt>
                  <c:pt idx="67">
                    <c:v>11.17.3</c:v>
                  </c:pt>
                  <c:pt idx="68">
                    <c:v>11.24.4.1</c:v>
                  </c:pt>
                  <c:pt idx="69">
                    <c:v>11.24.4.6</c:v>
                  </c:pt>
                  <c:pt idx="72">
                    <c:v>11.18</c:v>
                  </c:pt>
                  <c:pt idx="73">
                    <c:v>11.18.1</c:v>
                  </c:pt>
                  <c:pt idx="74">
                    <c:v>11.18.2</c:v>
                  </c:pt>
                  <c:pt idx="75">
                    <c:v>11.19</c:v>
                  </c:pt>
                  <c:pt idx="76">
                    <c:v>11.19.1</c:v>
                  </c:pt>
                  <c:pt idx="77">
                    <c:v>11.19.2</c:v>
                  </c:pt>
                  <c:pt idx="78">
                    <c:v>11.19.3</c:v>
                  </c:pt>
                  <c:pt idx="79">
                    <c:v>11.20</c:v>
                  </c:pt>
                  <c:pt idx="80">
                    <c:v>11.20.1</c:v>
                  </c:pt>
                  <c:pt idx="81">
                    <c:v>11.20.2</c:v>
                  </c:pt>
                  <c:pt idx="82">
                    <c:v>11.21</c:v>
                  </c:pt>
                  <c:pt idx="83">
                    <c:v>11.21.1</c:v>
                  </c:pt>
                  <c:pt idx="84">
                    <c:v>11.22</c:v>
                  </c:pt>
                  <c:pt idx="85">
                    <c:v>11.22.1</c:v>
                  </c:pt>
                  <c:pt idx="86">
                    <c:v>11.22.2</c:v>
                  </c:pt>
                  <c:pt idx="87">
                    <c:v>11.22.3</c:v>
                  </c:pt>
                  <c:pt idx="88">
                    <c:v>11.22.4</c:v>
                  </c:pt>
                  <c:pt idx="89">
                    <c:v>11.24.4.2</c:v>
                  </c:pt>
                  <c:pt idx="90">
                    <c:v>11.24.4.4</c:v>
                  </c:pt>
                  <c:pt idx="91">
                    <c:v>11.24.4.8</c:v>
                  </c:pt>
                  <c:pt idx="92">
                    <c:v>11.11</c:v>
                  </c:pt>
                  <c:pt idx="93">
                    <c:v>11.11.1</c:v>
                  </c:pt>
                  <c:pt idx="94">
                    <c:v>11.11.2</c:v>
                  </c:pt>
                  <c:pt idx="95">
                    <c:v>11.12</c:v>
                  </c:pt>
                  <c:pt idx="96">
                    <c:v>11.12.1</c:v>
                  </c:pt>
                  <c:pt idx="97">
                    <c:v>11.12.2</c:v>
                  </c:pt>
                  <c:pt idx="98">
                    <c:v>11.12.3</c:v>
                  </c:pt>
                  <c:pt idx="99">
                    <c:v>11.13</c:v>
                  </c:pt>
                  <c:pt idx="100">
                    <c:v>11.13.1</c:v>
                  </c:pt>
                  <c:pt idx="101">
                    <c:v>11.13.2</c:v>
                  </c:pt>
                </c:lvl>
              </c:multiLvlStrCache>
            </c:multiLvlStrRef>
          </c:cat>
          <c:val>
            <c:numRef>
              <c:f>'11-A. IEC Sub-Annex'!$O$5:$O$106</c:f>
              <c:numCache>
                <c:formatCode>0.00</c:formatCode>
                <c:ptCount val="102"/>
                <c:pt idx="1">
                  <c:v>52.7</c:v>
                </c:pt>
                <c:pt idx="2">
                  <c:v>52.7</c:v>
                </c:pt>
                <c:pt idx="3">
                  <c:v>0</c:v>
                </c:pt>
                <c:pt idx="4">
                  <c:v>0</c:v>
                </c:pt>
                <c:pt idx="5">
                  <c:v>52.7</c:v>
                </c:pt>
                <c:pt idx="6">
                  <c:v>52.7</c:v>
                </c:pt>
                <c:pt idx="7">
                  <c:v>0</c:v>
                </c:pt>
                <c:pt idx="8">
                  <c:v>0</c:v>
                </c:pt>
                <c:pt idx="9">
                  <c:v>0</c:v>
                </c:pt>
                <c:pt idx="10">
                  <c:v>58.460480000000004</c:v>
                </c:pt>
                <c:pt idx="11">
                  <c:v>52.7</c:v>
                </c:pt>
                <c:pt idx="12">
                  <c:v>0</c:v>
                </c:pt>
                <c:pt idx="13">
                  <c:v>2.8802400000000001</c:v>
                </c:pt>
                <c:pt idx="14">
                  <c:v>2.8802400000000001</c:v>
                </c:pt>
                <c:pt idx="15">
                  <c:v>0</c:v>
                </c:pt>
                <c:pt idx="16">
                  <c:v>0</c:v>
                </c:pt>
                <c:pt idx="17">
                  <c:v>52.7</c:v>
                </c:pt>
                <c:pt idx="18">
                  <c:v>52.7</c:v>
                </c:pt>
                <c:pt idx="19">
                  <c:v>0</c:v>
                </c:pt>
                <c:pt idx="20">
                  <c:v>0</c:v>
                </c:pt>
                <c:pt idx="21">
                  <c:v>27</c:v>
                </c:pt>
                <c:pt idx="22">
                  <c:v>27</c:v>
                </c:pt>
                <c:pt idx="23">
                  <c:v>0</c:v>
                </c:pt>
                <c:pt idx="24">
                  <c:v>2</c:v>
                </c:pt>
                <c:pt idx="25">
                  <c:v>2</c:v>
                </c:pt>
                <c:pt idx="26">
                  <c:v>0</c:v>
                </c:pt>
                <c:pt idx="27">
                  <c:v>5.0000400000000003</c:v>
                </c:pt>
                <c:pt idx="28">
                  <c:v>5.0000400000000003</c:v>
                </c:pt>
                <c:pt idx="29">
                  <c:v>0</c:v>
                </c:pt>
                <c:pt idx="31">
                  <c:v>0</c:v>
                </c:pt>
                <c:pt idx="32">
                  <c:v>0</c:v>
                </c:pt>
                <c:pt idx="33">
                  <c:v>0</c:v>
                </c:pt>
                <c:pt idx="34">
                  <c:v>0</c:v>
                </c:pt>
                <c:pt idx="35">
                  <c:v>0</c:v>
                </c:pt>
                <c:pt idx="36">
                  <c:v>0</c:v>
                </c:pt>
                <c:pt idx="37">
                  <c:v>0</c:v>
                </c:pt>
                <c:pt idx="38">
                  <c:v>73.64</c:v>
                </c:pt>
                <c:pt idx="39">
                  <c:v>0</c:v>
                </c:pt>
                <c:pt idx="40">
                  <c:v>0</c:v>
                </c:pt>
                <c:pt idx="41">
                  <c:v>130.64004</c:v>
                </c:pt>
                <c:pt idx="42">
                  <c:v>0</c:v>
                </c:pt>
                <c:pt idx="43">
                  <c:v>55.64</c:v>
                </c:pt>
                <c:pt idx="44">
                  <c:v>0</c:v>
                </c:pt>
                <c:pt idx="45">
                  <c:v>75.000039999999998</c:v>
                </c:pt>
                <c:pt idx="46">
                  <c:v>75</c:v>
                </c:pt>
                <c:pt idx="47">
                  <c:v>0</c:v>
                </c:pt>
                <c:pt idx="48">
                  <c:v>0</c:v>
                </c:pt>
                <c:pt idx="49">
                  <c:v>0</c:v>
                </c:pt>
                <c:pt idx="50">
                  <c:v>4.0000000000000003E-5</c:v>
                </c:pt>
                <c:pt idx="52">
                  <c:v>12</c:v>
                </c:pt>
                <c:pt idx="53">
                  <c:v>3</c:v>
                </c:pt>
                <c:pt idx="54">
                  <c:v>3</c:v>
                </c:pt>
                <c:pt idx="55">
                  <c:v>0</c:v>
                </c:pt>
                <c:pt idx="56">
                  <c:v>0</c:v>
                </c:pt>
                <c:pt idx="57">
                  <c:v>0</c:v>
                </c:pt>
                <c:pt idx="58">
                  <c:v>0</c:v>
                </c:pt>
                <c:pt idx="59">
                  <c:v>6</c:v>
                </c:pt>
                <c:pt idx="60">
                  <c:v>0</c:v>
                </c:pt>
                <c:pt idx="61">
                  <c:v>8</c:v>
                </c:pt>
                <c:pt idx="62">
                  <c:v>8</c:v>
                </c:pt>
                <c:pt idx="63">
                  <c:v>0</c:v>
                </c:pt>
                <c:pt idx="64">
                  <c:v>75.527799999999999</c:v>
                </c:pt>
                <c:pt idx="65">
                  <c:v>57.527799999999999</c:v>
                </c:pt>
                <c:pt idx="66">
                  <c:v>18</c:v>
                </c:pt>
                <c:pt idx="67">
                  <c:v>0</c:v>
                </c:pt>
                <c:pt idx="68">
                  <c:v>5.0000600000000004</c:v>
                </c:pt>
                <c:pt idx="69">
                  <c:v>0</c:v>
                </c:pt>
                <c:pt idx="70">
                  <c:v>6</c:v>
                </c:pt>
                <c:pt idx="72">
                  <c:v>10</c:v>
                </c:pt>
                <c:pt idx="73">
                  <c:v>10</c:v>
                </c:pt>
                <c:pt idx="74">
                  <c:v>0</c:v>
                </c:pt>
                <c:pt idx="75">
                  <c:v>5</c:v>
                </c:pt>
                <c:pt idx="76">
                  <c:v>0</c:v>
                </c:pt>
                <c:pt idx="77">
                  <c:v>5</c:v>
                </c:pt>
                <c:pt idx="78">
                  <c:v>0</c:v>
                </c:pt>
                <c:pt idx="79">
                  <c:v>2.4000000000000004</c:v>
                </c:pt>
                <c:pt idx="80">
                  <c:v>1.2000000000000002</c:v>
                </c:pt>
                <c:pt idx="81">
                  <c:v>1.2000000000000002</c:v>
                </c:pt>
                <c:pt idx="82">
                  <c:v>10.01</c:v>
                </c:pt>
                <c:pt idx="83">
                  <c:v>10.01</c:v>
                </c:pt>
                <c:pt idx="84">
                  <c:v>20</c:v>
                </c:pt>
                <c:pt idx="85">
                  <c:v>20</c:v>
                </c:pt>
                <c:pt idx="86">
                  <c:v>0</c:v>
                </c:pt>
                <c:pt idx="87">
                  <c:v>0</c:v>
                </c:pt>
                <c:pt idx="88">
                  <c:v>0</c:v>
                </c:pt>
                <c:pt idx="89">
                  <c:v>5.0000400000000003</c:v>
                </c:pt>
                <c:pt idx="90">
                  <c:v>8.1499600000000001</c:v>
                </c:pt>
                <c:pt idx="91">
                  <c:v>0</c:v>
                </c:pt>
                <c:pt idx="92">
                  <c:v>1.3</c:v>
                </c:pt>
                <c:pt idx="93">
                  <c:v>1.3</c:v>
                </c:pt>
                <c:pt idx="94">
                  <c:v>0</c:v>
                </c:pt>
                <c:pt idx="95">
                  <c:v>0</c:v>
                </c:pt>
                <c:pt idx="96">
                  <c:v>0</c:v>
                </c:pt>
                <c:pt idx="97">
                  <c:v>0</c:v>
                </c:pt>
                <c:pt idx="98">
                  <c:v>0</c:v>
                </c:pt>
                <c:pt idx="99">
                  <c:v>0</c:v>
                </c:pt>
                <c:pt idx="100">
                  <c:v>0</c:v>
                </c:pt>
                <c:pt idx="101">
                  <c:v>0</c:v>
                </c:pt>
              </c:numCache>
            </c:numRef>
          </c:val>
          <c:extLst xmlns:c16r2="http://schemas.microsoft.com/office/drawing/2015/06/chart">
            <c:ext xmlns:c16="http://schemas.microsoft.com/office/drawing/2014/chart" uri="{C3380CC4-5D6E-409C-BE32-E72D297353CC}">
              <c16:uniqueId val="{00000009-5F31-4E66-B011-A29233064213}"/>
            </c:ext>
          </c:extLst>
        </c:ser>
        <c:ser>
          <c:idx val="10"/>
          <c:order val="10"/>
          <c:tx>
            <c:strRef>
              <c:f>'11-A. IEC Sub-Annex'!$P$1:$P$4</c:f>
              <c:strCache>
                <c:ptCount val="1"/>
                <c:pt idx="0">
                  <c:v>Summary of Abst. Proposal for 2021-22 State Remarks (including key deliverable to be met)</c:v>
                </c:pt>
              </c:strCache>
            </c:strRef>
          </c:tx>
          <c:cat>
            <c:multiLvlStrRef>
              <c:f>'11-A. IEC Sub-Annex'!$A$5:$E$106</c:f>
              <c:multiLvlStrCache>
                <c:ptCount val="102"/>
                <c:lvl>
                  <c:pt idx="2">
                    <c:v>RCH</c:v>
                  </c:pt>
                  <c:pt idx="3">
                    <c:v>RCH</c:v>
                  </c:pt>
                  <c:pt idx="4">
                    <c:v>RCH</c:v>
                  </c:pt>
                  <c:pt idx="6">
                    <c:v>RCH</c:v>
                  </c:pt>
                  <c:pt idx="7">
                    <c:v>RCH</c:v>
                  </c:pt>
                  <c:pt idx="8">
                    <c:v>RCH</c:v>
                  </c:pt>
                  <c:pt idx="9">
                    <c:v>RCH</c:v>
                  </c:pt>
                  <c:pt idx="11">
                    <c:v>RCH</c:v>
                  </c:pt>
                  <c:pt idx="12">
                    <c:v>RCH</c:v>
                  </c:pt>
                  <c:pt idx="13">
                    <c:v>RCH</c:v>
                  </c:pt>
                  <c:pt idx="14">
                    <c:v>RCH</c:v>
                  </c:pt>
                  <c:pt idx="15">
                    <c:v>RCH</c:v>
                  </c:pt>
                  <c:pt idx="16">
                    <c:v>RCH</c:v>
                  </c:pt>
                  <c:pt idx="18">
                    <c:v>RCH</c:v>
                  </c:pt>
                  <c:pt idx="19">
                    <c:v>RCH</c:v>
                  </c:pt>
                  <c:pt idx="20">
                    <c:v>RCH</c:v>
                  </c:pt>
                  <c:pt idx="22">
                    <c:v>RCH</c:v>
                  </c:pt>
                  <c:pt idx="23">
                    <c:v>RCH</c:v>
                  </c:pt>
                  <c:pt idx="25">
                    <c:v>RCH</c:v>
                  </c:pt>
                  <c:pt idx="26">
                    <c:v>RCH</c:v>
                  </c:pt>
                  <c:pt idx="28">
                    <c:v>RCH</c:v>
                  </c:pt>
                  <c:pt idx="29">
                    <c:v>RCH</c:v>
                  </c:pt>
                  <c:pt idx="31">
                    <c:v>HSS</c:v>
                  </c:pt>
                  <c:pt idx="33">
                    <c:v>HSS</c:v>
                  </c:pt>
                  <c:pt idx="34">
                    <c:v>HSS</c:v>
                  </c:pt>
                  <c:pt idx="36">
                    <c:v>HSS</c:v>
                  </c:pt>
                  <c:pt idx="37">
                    <c:v>HSS</c:v>
                  </c:pt>
                  <c:pt idx="38">
                    <c:v>HSS</c:v>
                  </c:pt>
                  <c:pt idx="39">
                    <c:v>HSS</c:v>
                  </c:pt>
                  <c:pt idx="40">
                    <c:v>HSS</c:v>
                  </c:pt>
                  <c:pt idx="42">
                    <c:v>HSS</c:v>
                  </c:pt>
                  <c:pt idx="43">
                    <c:v>HSS</c:v>
                  </c:pt>
                  <c:pt idx="44">
                    <c:v>HSS</c:v>
                  </c:pt>
                  <c:pt idx="46">
                    <c:v>HSS</c:v>
                  </c:pt>
                  <c:pt idx="47">
                    <c:v>HSS</c:v>
                  </c:pt>
                  <c:pt idx="48">
                    <c:v>HSS</c:v>
                  </c:pt>
                  <c:pt idx="49">
                    <c:v>HSS</c:v>
                  </c:pt>
                  <c:pt idx="50">
                    <c:v>HSS</c:v>
                  </c:pt>
                  <c:pt idx="53">
                    <c:v>NDCP</c:v>
                  </c:pt>
                  <c:pt idx="54">
                    <c:v>NDCP</c:v>
                  </c:pt>
                  <c:pt idx="55">
                    <c:v>NDCP</c:v>
                  </c:pt>
                  <c:pt idx="56">
                    <c:v>NDCP</c:v>
                  </c:pt>
                  <c:pt idx="57">
                    <c:v>NDCP</c:v>
                  </c:pt>
                  <c:pt idx="58">
                    <c:v>NDCP</c:v>
                  </c:pt>
                  <c:pt idx="59">
                    <c:v>NDCP</c:v>
                  </c:pt>
                  <c:pt idx="60">
                    <c:v>NDCP</c:v>
                  </c:pt>
                  <c:pt idx="62">
                    <c:v>NDCP</c:v>
                  </c:pt>
                  <c:pt idx="63">
                    <c:v>NDCP</c:v>
                  </c:pt>
                  <c:pt idx="65">
                    <c:v>NDCP</c:v>
                  </c:pt>
                  <c:pt idx="66">
                    <c:v>NDCP</c:v>
                  </c:pt>
                  <c:pt idx="67">
                    <c:v>NDCP</c:v>
                  </c:pt>
                  <c:pt idx="68">
                    <c:v>NDCP</c:v>
                  </c:pt>
                  <c:pt idx="69">
                    <c:v>NDCP</c:v>
                  </c:pt>
                  <c:pt idx="70">
                    <c:v>NDCP</c:v>
                  </c:pt>
                  <c:pt idx="73">
                    <c:v>NCD</c:v>
                  </c:pt>
                  <c:pt idx="74">
                    <c:v>NCD</c:v>
                  </c:pt>
                  <c:pt idx="76">
                    <c:v>NCD</c:v>
                  </c:pt>
                  <c:pt idx="77">
                    <c:v>NCD</c:v>
                  </c:pt>
                  <c:pt idx="78">
                    <c:v>NCD</c:v>
                  </c:pt>
                  <c:pt idx="80">
                    <c:v>NCD</c:v>
                  </c:pt>
                  <c:pt idx="81">
                    <c:v>NCD</c:v>
                  </c:pt>
                  <c:pt idx="83">
                    <c:v>NCD</c:v>
                  </c:pt>
                  <c:pt idx="85">
                    <c:v>NCD</c:v>
                  </c:pt>
                  <c:pt idx="86">
                    <c:v>NCD</c:v>
                  </c:pt>
                  <c:pt idx="87">
                    <c:v>NCD</c:v>
                  </c:pt>
                  <c:pt idx="88">
                    <c:v>NCD</c:v>
                  </c:pt>
                  <c:pt idx="89">
                    <c:v>NCD</c:v>
                  </c:pt>
                  <c:pt idx="90">
                    <c:v>NCD</c:v>
                  </c:pt>
                  <c:pt idx="91">
                    <c:v>NCD</c:v>
                  </c:pt>
                  <c:pt idx="93">
                    <c:v>NCD</c:v>
                  </c:pt>
                  <c:pt idx="94">
                    <c:v>NCD</c:v>
                  </c:pt>
                  <c:pt idx="96">
                    <c:v>NCD</c:v>
                  </c:pt>
                  <c:pt idx="97">
                    <c:v>NCD</c:v>
                  </c:pt>
                  <c:pt idx="98">
                    <c:v>NCD</c:v>
                  </c:pt>
                  <c:pt idx="100">
                    <c:v>NCD</c:v>
                  </c:pt>
                  <c:pt idx="101">
                    <c:v>NCD</c:v>
                  </c:pt>
                </c:lvl>
                <c:lvl>
                  <c:pt idx="1">
                    <c:v>IEC/BCC activities under MH</c:v>
                  </c:pt>
                  <c:pt idx="2">
                    <c:v>Media Mix of Mid Media/ Mass Media</c:v>
                  </c:pt>
                  <c:pt idx="3">
                    <c:v>Inter Personal Communication</c:v>
                  </c:pt>
                  <c:pt idx="4">
                    <c:v>Any other IEC/BCC activities (please specify)</c:v>
                  </c:pt>
                  <c:pt idx="5">
                    <c:v>IEC/BCC activities under CH</c:v>
                  </c:pt>
                  <c:pt idx="6">
                    <c:v>Media Mix of Mid Media/ Mass Media</c:v>
                  </c:pt>
                  <c:pt idx="7">
                    <c:v>Inter Personal Communication</c:v>
                  </c:pt>
                  <c:pt idx="8">
                    <c:v>IEC for family participatory care</c:v>
                  </c:pt>
                  <c:pt idx="9">
                    <c:v>Any other IEC/BCC activities (please specify) including SAANS campaign IEC at state/district level</c:v>
                  </c:pt>
                  <c:pt idx="10">
                    <c:v>IEC/BCC activities under FP</c:v>
                  </c:pt>
                  <c:pt idx="11">
                    <c:v>Media Mix of Mid Media/ Mass Media</c:v>
                  </c:pt>
                  <c:pt idx="12">
                    <c:v>Inter Personal Communication</c:v>
                  </c:pt>
                  <c:pt idx="13">
                    <c:v>IEC &amp; promotional activities for World Population Day celebration</c:v>
                  </c:pt>
                  <c:pt idx="14">
                    <c:v>IEC &amp; promotional activities for Vasectomy Fortnight celebration </c:v>
                  </c:pt>
                  <c:pt idx="15">
                    <c:v>IEC activities for Mission Parivar Vikas Campaign (Frequency-at least 4/year)</c:v>
                  </c:pt>
                  <c:pt idx="16">
                    <c:v>Any other IEC/BCC activities (please specify)</c:v>
                  </c:pt>
                  <c:pt idx="17">
                    <c:v>IEC/BCC activities under AH</c:v>
                  </c:pt>
                  <c:pt idx="18">
                    <c:v>Media Mix of Mass Media/ Mid Media including promotion of menstrual hygiene scheme</c:v>
                  </c:pt>
                  <c:pt idx="19">
                    <c:v>Inter Personal Communication</c:v>
                  </c:pt>
                  <c:pt idx="20">
                    <c:v>Any other IEC/BCC activities (please specify)</c:v>
                  </c:pt>
                  <c:pt idx="21">
                    <c:v>IEC/BCC activities under Immunization</c:v>
                  </c:pt>
                  <c:pt idx="22">
                    <c:v>IEC activities for Immunization</c:v>
                  </c:pt>
                  <c:pt idx="23">
                    <c:v>Any other IEC/BCC activities (please specify)</c:v>
                  </c:pt>
                  <c:pt idx="24">
                    <c:v>IEC/BCC activities under PNDT</c:v>
                  </c:pt>
                  <c:pt idx="25">
                    <c:v>Creating awareness on declining sex ratio issue (PNDT)</c:v>
                  </c:pt>
                  <c:pt idx="26">
                    <c:v>Any other IEC/BCC activities (please specify)</c:v>
                  </c:pt>
                  <c:pt idx="27">
                    <c:v>IEC/BCC activities under NIDDCP</c:v>
                  </c:pt>
                  <c:pt idx="28">
                    <c:v>Health Education &amp; Publicity for NIDDCP</c:v>
                  </c:pt>
                  <c:pt idx="29">
                    <c:v>Any other IEC/BCC activities (please specify)</c:v>
                  </c:pt>
                  <c:pt idx="31">
                    <c:v>Development of State Communication strategy (comprising of district plans)</c:v>
                  </c:pt>
                  <c:pt idx="32">
                    <c:v>IEC/BCC activities under Blood services &amp; disorders</c:v>
                  </c:pt>
                  <c:pt idx="33">
                    <c:v>IEC/BCC activities under Blood Services</c:v>
                  </c:pt>
                  <c:pt idx="34">
                    <c:v>IEC/BCC activities under Blood Disorders</c:v>
                  </c:pt>
                  <c:pt idx="35">
                    <c:v>IEC/BCC activities under ASHA</c:v>
                  </c:pt>
                  <c:pt idx="38">
                    <c:v>IEC activities for Ayushman Bharat Health &amp; Wellness centre (H&amp;WC)</c:v>
                  </c:pt>
                  <c:pt idx="39">
                    <c:v>IEC Activity under NQAP, LaQshya, Kayakalp &amp; Mera-Aspataal (Signages- Approach road, Departmental, Directional and other facility level signage's)</c:v>
                  </c:pt>
                  <c:pt idx="40">
                    <c:v>IEC/BCC- Free Diagnostic Service Initiative (Pathology &amp; Radiology)</c:v>
                  </c:pt>
                  <c:pt idx="41">
                    <c:v>Other IEC/BCC activities</c:v>
                  </c:pt>
                  <c:pt idx="42">
                    <c:v>Interpersonal Communication Tools for the frontline health workers</c:v>
                  </c:pt>
                  <c:pt idx="43">
                    <c:v>Targeting Naturally Occurring Gathering of People/ Health Mela</c:v>
                  </c:pt>
                  <c:pt idx="44">
                    <c:v>Innovative IEC/ BCC Strategies including mobile based solutions, social media and engagement of youth</c:v>
                  </c:pt>
                  <c:pt idx="45">
                    <c:v>SBCC/IEC/Advocacy campaigns </c:v>
                  </c:pt>
                  <c:pt idx="46">
                    <c:v>Places covered with hoardings/ bill boards/ signage etc.</c:v>
                  </c:pt>
                  <c:pt idx="47">
                    <c:v>Usage of Folk media such as Nukkad Natak/ mobile audio visual services/ local radio etc.</c:v>
                  </c:pt>
                  <c:pt idx="48">
                    <c:v>Development of IEC Material</c:v>
                  </c:pt>
                  <c:pt idx="49">
                    <c:v>State-level IEC Campaigns/Other IEC Campaigns</c:v>
                  </c:pt>
                  <c:pt idx="50">
                    <c:v>Any other (please specify)</c:v>
                  </c:pt>
                  <c:pt idx="52">
                    <c:v>IEC/BCC activities under NVBDCP</c:v>
                  </c:pt>
                  <c:pt idx="53">
                    <c:v>IEC/BCC for Malaria</c:v>
                  </c:pt>
                  <c:pt idx="54">
                    <c:v>IEC/BCC for Social mobilization (Dengue and Chikungunya)</c:v>
                  </c:pt>
                  <c:pt idx="55">
                    <c:v>IEC/BCC specific to J.E. in endemic areas</c:v>
                  </c:pt>
                  <c:pt idx="56">
                    <c:v>Specific IEC/BCC for Lymphatic Filariasis at State, District, PHC, Sub-centre and village level including VHSC/GKs for community mobilization efforts to realize the desired drug compliance of 85% during MDA</c:v>
                  </c:pt>
                  <c:pt idx="57">
                    <c:v>IEC/BCC/Advocacy for Kala-azar</c:v>
                  </c:pt>
                  <c:pt idx="58">
                    <c:v>IEC/BCC activities as per the GFATM project</c:v>
                  </c:pt>
                  <c:pt idx="59">
                    <c:v>IEC/ BCC activities under MVCR</c:v>
                  </c:pt>
                  <c:pt idx="60">
                    <c:v>Any other IEC/BCC activities (please specify)</c:v>
                  </c:pt>
                  <c:pt idx="61">
                    <c:v>IEC/BCC activities under NLEP</c:v>
                  </c:pt>
                  <c:pt idx="62">
                    <c:v>IEC/BCC: Mass media, Outdoor media, Rural media, Advocacy media for NLEP including Sparsh Leprosy Awareness Campaign</c:v>
                  </c:pt>
                  <c:pt idx="63">
                    <c:v>Any other IEC/BCC activities (please specify)</c:v>
                  </c:pt>
                  <c:pt idx="64">
                    <c:v>IEC/BCC activities under NTEP</c:v>
                  </c:pt>
                  <c:pt idx="65">
                    <c:v>ACSM (State &amp; district)</c:v>
                  </c:pt>
                  <c:pt idx="66">
                    <c:v>TB Harega Desh Jeetega' Campaign</c:v>
                  </c:pt>
                  <c:pt idx="67">
                    <c:v>Any other IEC/BCC activities (please specify)</c:v>
                  </c:pt>
                  <c:pt idx="68">
                    <c:v>IEC/BCC under NRCP: Rabies Awareness and Do's and Don'ts in the event of Animal Bites</c:v>
                  </c:pt>
                  <c:pt idx="69">
                    <c:v>IEC under Programme for Prevention and Control of Leptospirosis</c:v>
                  </c:pt>
                  <c:pt idx="70">
                    <c:v>IEC under NVHCP</c:v>
                  </c:pt>
                  <c:pt idx="72">
                    <c:v>IEC/BCC activities under NPCB</c:v>
                  </c:pt>
                  <c:pt idx="73">
                    <c:v>State level IEC for Minor State @ Rs. 10 lakh and for Major States @ Rs. 20 lakh under NPCB&amp;VI</c:v>
                  </c:pt>
                  <c:pt idx="74">
                    <c:v>Any other IEC/BCC activities (please specify)</c:v>
                  </c:pt>
                  <c:pt idx="75">
                    <c:v>IEC/BCC activities under NMHP</c:v>
                  </c:pt>
                  <c:pt idx="76">
                    <c:v>Translation of IEC material and distribution</c:v>
                  </c:pt>
                  <c:pt idx="77">
                    <c:v>Awareness generation activities in the community, schools, workplaces with community involvement</c:v>
                  </c:pt>
                  <c:pt idx="78">
                    <c:v>Any other IEC/BCC activities (please specify)</c:v>
                  </c:pt>
                  <c:pt idx="79">
                    <c:v>IEC/BCC activities under NPHCE</c:v>
                  </c:pt>
                  <c:pt idx="80">
                    <c:v>IPC,Group activities and mass media for NPHCE</c:v>
                  </c:pt>
                  <c:pt idx="81">
                    <c:v>Celebration of days-ie International Day for older persons</c:v>
                  </c:pt>
                  <c:pt idx="82">
                    <c:v>IEC/BCC activities under NTCP</c:v>
                  </c:pt>
                  <c:pt idx="83">
                    <c:v>IEC/BCC for NTCP</c:v>
                  </c:pt>
                  <c:pt idx="84">
                    <c:v>IEC/BCC activities under NPCDCS</c:v>
                  </c:pt>
                  <c:pt idx="85">
                    <c:v>IEC/BCC for State NCD  Cell</c:v>
                  </c:pt>
                  <c:pt idx="86">
                    <c:v>IEC/BCC for District  NCD Cell</c:v>
                  </c:pt>
                  <c:pt idx="87">
                    <c:v>IEC/BCC activities for Universal Screening of NCDs</c:v>
                  </c:pt>
                  <c:pt idx="88">
                    <c:v>Any other IEC/BCC activities (please specify)</c:v>
                  </c:pt>
                  <c:pt idx="89">
                    <c:v>IEC/BCC under NOHP</c:v>
                  </c:pt>
                  <c:pt idx="90">
                    <c:v>IEC on Climate Sensitive Diseases at Block , District and State level  – Air pollution, Heat and other relevant Climate Sensitive diseases</c:v>
                  </c:pt>
                  <c:pt idx="91">
                    <c:v>IEC/BCC - National Dialysis Programme (Haemodialysis and Peritoneal Dialysis)</c:v>
                  </c:pt>
                  <c:pt idx="92">
                    <c:v>IEC/BCC activities under NPPCD</c:v>
                  </c:pt>
                  <c:pt idx="93">
                    <c:v>IEC activities</c:v>
                  </c:pt>
                  <c:pt idx="94">
                    <c:v>Any Other</c:v>
                  </c:pt>
                  <c:pt idx="95">
                    <c:v>IEC/BCC activities under NPPC</c:v>
                  </c:pt>
                  <c:pt idx="96">
                    <c:v>IEC for DH</c:v>
                  </c:pt>
                  <c:pt idx="97">
                    <c:v>IEC for State Palliative care cell</c:v>
                  </c:pt>
                  <c:pt idx="98">
                    <c:v>Any other IEC/BCC activities (please specify)</c:v>
                  </c:pt>
                  <c:pt idx="99">
                    <c:v>IEC/BCC activities under NPPCF</c:v>
                  </c:pt>
                  <c:pt idx="100">
                    <c:v>Health Education &amp; Publicity for National Programme for Fluorosis (State and District Level)</c:v>
                  </c:pt>
                  <c:pt idx="101">
                    <c:v>Any other IEC/BCC activities (please specify)</c:v>
                  </c:pt>
                </c:lvl>
                <c:lvl>
                  <c:pt idx="1">
                    <c:v>B.10.3.1</c:v>
                  </c:pt>
                  <c:pt idx="2">
                    <c:v>B.10.3.1.1</c:v>
                  </c:pt>
                  <c:pt idx="3">
                    <c:v>B.10.3.1.2</c:v>
                  </c:pt>
                  <c:pt idx="5">
                    <c:v>B.10.3.2</c:v>
                  </c:pt>
                  <c:pt idx="6">
                    <c:v>B.10.3.2.1</c:v>
                  </c:pt>
                  <c:pt idx="7">
                    <c:v>B.10.3.2.2</c:v>
                  </c:pt>
                  <c:pt idx="10">
                    <c:v>B.10.3.3</c:v>
                  </c:pt>
                  <c:pt idx="11">
                    <c:v>B.10.3.3.1</c:v>
                  </c:pt>
                  <c:pt idx="12">
                    <c:v>B.10.3.3.2</c:v>
                  </c:pt>
                  <c:pt idx="13">
                    <c:v>A.3.5.4</c:v>
                  </c:pt>
                  <c:pt idx="14">
                    <c:v>A.3.5.5</c:v>
                  </c:pt>
                  <c:pt idx="15">
                    <c:v>A.3.7.4</c:v>
                  </c:pt>
                  <c:pt idx="17">
                    <c:v>B.10.3.4</c:v>
                  </c:pt>
                  <c:pt idx="18">
                    <c:v>B.10.3.4.1</c:v>
                  </c:pt>
                  <c:pt idx="19">
                    <c:v>B.10.3.4.2</c:v>
                  </c:pt>
                  <c:pt idx="25">
                    <c:v>B.10.3.5</c:v>
                  </c:pt>
                  <c:pt idx="28">
                    <c:v>B.10.6.7</c:v>
                  </c:pt>
                  <c:pt idx="31">
                    <c:v>B.10.2</c:v>
                  </c:pt>
                  <c:pt idx="32">
                    <c:v>B.10.7.4.5</c:v>
                  </c:pt>
                  <c:pt idx="38">
                    <c:v>B18.3</c:v>
                  </c:pt>
                  <c:pt idx="42">
                    <c:v>B.10.4</c:v>
                  </c:pt>
                  <c:pt idx="43">
                    <c:v>B.10.5</c:v>
                  </c:pt>
                  <c:pt idx="44">
                    <c:v>B.10.6.1</c:v>
                  </c:pt>
                  <c:pt idx="45">
                    <c:v>B.10.6.14.1</c:v>
                  </c:pt>
                  <c:pt idx="46">
                    <c:v>B.10.6.14.1.b</c:v>
                  </c:pt>
                  <c:pt idx="47">
                    <c:v>B.10.6.14.1.c</c:v>
                  </c:pt>
                  <c:pt idx="48">
                    <c:v>B.10.6.14.3.a</c:v>
                  </c:pt>
                  <c:pt idx="49">
                    <c:v>B.10.6.14.3.b</c:v>
                  </c:pt>
                  <c:pt idx="53">
                    <c:v>B.10.6.9.a</c:v>
                  </c:pt>
                  <c:pt idx="54">
                    <c:v>B.10.6.9.b</c:v>
                  </c:pt>
                  <c:pt idx="55">
                    <c:v>B.10.6.9.c</c:v>
                  </c:pt>
                  <c:pt idx="56">
                    <c:v>B.10.6.9.d</c:v>
                  </c:pt>
                  <c:pt idx="57">
                    <c:v>B.10.6.9.e</c:v>
                  </c:pt>
                  <c:pt idx="58">
                    <c:v>B.10.6.9.f</c:v>
                  </c:pt>
                  <c:pt idx="62">
                    <c:v>B.10.6.10</c:v>
                  </c:pt>
                  <c:pt idx="65">
                    <c:v>H.4</c:v>
                  </c:pt>
                  <c:pt idx="73">
                    <c:v>B.10.6.11</c:v>
                  </c:pt>
                  <c:pt idx="75">
                    <c:v>B.10.6.12</c:v>
                  </c:pt>
                  <c:pt idx="76">
                    <c:v>B.10.6.12.a</c:v>
                  </c:pt>
                  <c:pt idx="77">
                    <c:v>B.10.6.12.b</c:v>
                  </c:pt>
                  <c:pt idx="80">
                    <c:v>B.10.6.13</c:v>
                  </c:pt>
                  <c:pt idx="83">
                    <c:v>B.10.6.14</c:v>
                  </c:pt>
                  <c:pt idx="84">
                    <c:v>O.2.3</c:v>
                  </c:pt>
                  <c:pt idx="85">
                    <c:v>O.2.3.1</c:v>
                  </c:pt>
                  <c:pt idx="86">
                    <c:v>O.2.3.2</c:v>
                  </c:pt>
                  <c:pt idx="92">
                    <c:v>B.10.6.5</c:v>
                  </c:pt>
                  <c:pt idx="96">
                    <c:v>B.27.1.3</c:v>
                  </c:pt>
                  <c:pt idx="97">
                    <c:v>B.27.2.2</c:v>
                  </c:pt>
                  <c:pt idx="100">
                    <c:v>B.10.6.6</c:v>
                  </c:pt>
                </c:lvl>
                <c:lvl>
                  <c:pt idx="1">
                    <c:v>11.4</c:v>
                  </c:pt>
                  <c:pt idx="2">
                    <c:v>11.4.1</c:v>
                  </c:pt>
                  <c:pt idx="3">
                    <c:v>11.4.2</c:v>
                  </c:pt>
                  <c:pt idx="4">
                    <c:v>11.4.3</c:v>
                  </c:pt>
                  <c:pt idx="5">
                    <c:v>11.5</c:v>
                  </c:pt>
                  <c:pt idx="6">
                    <c:v>11.5.1</c:v>
                  </c:pt>
                  <c:pt idx="7">
                    <c:v>11.5.2</c:v>
                  </c:pt>
                  <c:pt idx="8">
                    <c:v>11.5.3</c:v>
                  </c:pt>
                  <c:pt idx="9">
                    <c:v>11.5.4</c:v>
                  </c:pt>
                  <c:pt idx="10">
                    <c:v>11.6</c:v>
                  </c:pt>
                  <c:pt idx="11">
                    <c:v>11.6.1</c:v>
                  </c:pt>
                  <c:pt idx="12">
                    <c:v>11.6.2</c:v>
                  </c:pt>
                  <c:pt idx="13">
                    <c:v>11.6.3</c:v>
                  </c:pt>
                  <c:pt idx="14">
                    <c:v>11.6.4</c:v>
                  </c:pt>
                  <c:pt idx="15">
                    <c:v>11.6.5</c:v>
                  </c:pt>
                  <c:pt idx="16">
                    <c:v>11.6.6</c:v>
                  </c:pt>
                  <c:pt idx="17">
                    <c:v>11.7</c:v>
                  </c:pt>
                  <c:pt idx="18">
                    <c:v>11.7.1</c:v>
                  </c:pt>
                  <c:pt idx="19">
                    <c:v>11.7.2</c:v>
                  </c:pt>
                  <c:pt idx="20">
                    <c:v>11.7.3</c:v>
                  </c:pt>
                  <c:pt idx="21">
                    <c:v>11.8</c:v>
                  </c:pt>
                  <c:pt idx="22">
                    <c:v>11.8.1</c:v>
                  </c:pt>
                  <c:pt idx="23">
                    <c:v>11.8.2</c:v>
                  </c:pt>
                  <c:pt idx="24">
                    <c:v>11.9</c:v>
                  </c:pt>
                  <c:pt idx="25">
                    <c:v>11.9.1</c:v>
                  </c:pt>
                  <c:pt idx="26">
                    <c:v>11.9.2</c:v>
                  </c:pt>
                  <c:pt idx="27">
                    <c:v>11.14</c:v>
                  </c:pt>
                  <c:pt idx="28">
                    <c:v>11.14.1</c:v>
                  </c:pt>
                  <c:pt idx="29">
                    <c:v>11.14.2</c:v>
                  </c:pt>
                  <c:pt idx="31">
                    <c:v>11.1</c:v>
                  </c:pt>
                  <c:pt idx="32">
                    <c:v>11.10</c:v>
                  </c:pt>
                  <c:pt idx="33">
                    <c:v>11.10.1</c:v>
                  </c:pt>
                  <c:pt idx="34">
                    <c:v>11.10.2</c:v>
                  </c:pt>
                  <c:pt idx="35">
                    <c:v>11.23</c:v>
                  </c:pt>
                  <c:pt idx="36">
                    <c:v>11.23.1</c:v>
                  </c:pt>
                  <c:pt idx="37">
                    <c:v>11.23.2</c:v>
                  </c:pt>
                  <c:pt idx="38">
                    <c:v>11.24.1</c:v>
                  </c:pt>
                  <c:pt idx="39">
                    <c:v>11.24.4.5</c:v>
                  </c:pt>
                  <c:pt idx="40">
                    <c:v>11.24.4.7</c:v>
                  </c:pt>
                  <c:pt idx="41">
                    <c:v>11.24</c:v>
                  </c:pt>
                  <c:pt idx="42">
                    <c:v>11.2</c:v>
                  </c:pt>
                  <c:pt idx="43">
                    <c:v>11.3</c:v>
                  </c:pt>
                  <c:pt idx="44">
                    <c:v>11.24.2</c:v>
                  </c:pt>
                  <c:pt idx="45">
                    <c:v>11.24.3</c:v>
                  </c:pt>
                  <c:pt idx="46">
                    <c:v>11.24.3.1</c:v>
                  </c:pt>
                  <c:pt idx="47">
                    <c:v>11.24.3.2</c:v>
                  </c:pt>
                  <c:pt idx="48">
                    <c:v>11.24.3.3</c:v>
                  </c:pt>
                  <c:pt idx="49">
                    <c:v>11.24.3.4</c:v>
                  </c:pt>
                  <c:pt idx="50">
                    <c:v>11.24.4.9</c:v>
                  </c:pt>
                  <c:pt idx="52">
                    <c:v>11.15</c:v>
                  </c:pt>
                  <c:pt idx="53">
                    <c:v>11.15.1</c:v>
                  </c:pt>
                  <c:pt idx="54">
                    <c:v>11.15.2</c:v>
                  </c:pt>
                  <c:pt idx="55">
                    <c:v>11.15.3</c:v>
                  </c:pt>
                  <c:pt idx="56">
                    <c:v>11.15.4</c:v>
                  </c:pt>
                  <c:pt idx="57">
                    <c:v>11.15.5</c:v>
                  </c:pt>
                  <c:pt idx="58">
                    <c:v>11.15.6</c:v>
                  </c:pt>
                  <c:pt idx="59">
                    <c:v>11.15.7</c:v>
                  </c:pt>
                  <c:pt idx="60">
                    <c:v>11.15.8</c:v>
                  </c:pt>
                  <c:pt idx="61">
                    <c:v>11.16</c:v>
                  </c:pt>
                  <c:pt idx="62">
                    <c:v>11.16.1</c:v>
                  </c:pt>
                  <c:pt idx="63">
                    <c:v>11.16.2</c:v>
                  </c:pt>
                  <c:pt idx="64">
                    <c:v>11.17</c:v>
                  </c:pt>
                  <c:pt idx="65">
                    <c:v>11.17.1</c:v>
                  </c:pt>
                  <c:pt idx="66">
                    <c:v>11.17.2</c:v>
                  </c:pt>
                  <c:pt idx="67">
                    <c:v>11.17.3</c:v>
                  </c:pt>
                  <c:pt idx="68">
                    <c:v>11.24.4.1</c:v>
                  </c:pt>
                  <c:pt idx="69">
                    <c:v>11.24.4.6</c:v>
                  </c:pt>
                  <c:pt idx="72">
                    <c:v>11.18</c:v>
                  </c:pt>
                  <c:pt idx="73">
                    <c:v>11.18.1</c:v>
                  </c:pt>
                  <c:pt idx="74">
                    <c:v>11.18.2</c:v>
                  </c:pt>
                  <c:pt idx="75">
                    <c:v>11.19</c:v>
                  </c:pt>
                  <c:pt idx="76">
                    <c:v>11.19.1</c:v>
                  </c:pt>
                  <c:pt idx="77">
                    <c:v>11.19.2</c:v>
                  </c:pt>
                  <c:pt idx="78">
                    <c:v>11.19.3</c:v>
                  </c:pt>
                  <c:pt idx="79">
                    <c:v>11.20</c:v>
                  </c:pt>
                  <c:pt idx="80">
                    <c:v>11.20.1</c:v>
                  </c:pt>
                  <c:pt idx="81">
                    <c:v>11.20.2</c:v>
                  </c:pt>
                  <c:pt idx="82">
                    <c:v>11.21</c:v>
                  </c:pt>
                  <c:pt idx="83">
                    <c:v>11.21.1</c:v>
                  </c:pt>
                  <c:pt idx="84">
                    <c:v>11.22</c:v>
                  </c:pt>
                  <c:pt idx="85">
                    <c:v>11.22.1</c:v>
                  </c:pt>
                  <c:pt idx="86">
                    <c:v>11.22.2</c:v>
                  </c:pt>
                  <c:pt idx="87">
                    <c:v>11.22.3</c:v>
                  </c:pt>
                  <c:pt idx="88">
                    <c:v>11.22.4</c:v>
                  </c:pt>
                  <c:pt idx="89">
                    <c:v>11.24.4.2</c:v>
                  </c:pt>
                  <c:pt idx="90">
                    <c:v>11.24.4.4</c:v>
                  </c:pt>
                  <c:pt idx="91">
                    <c:v>11.24.4.8</c:v>
                  </c:pt>
                  <c:pt idx="92">
                    <c:v>11.11</c:v>
                  </c:pt>
                  <c:pt idx="93">
                    <c:v>11.11.1</c:v>
                  </c:pt>
                  <c:pt idx="94">
                    <c:v>11.11.2</c:v>
                  </c:pt>
                  <c:pt idx="95">
                    <c:v>11.12</c:v>
                  </c:pt>
                  <c:pt idx="96">
                    <c:v>11.12.1</c:v>
                  </c:pt>
                  <c:pt idx="97">
                    <c:v>11.12.2</c:v>
                  </c:pt>
                  <c:pt idx="98">
                    <c:v>11.12.3</c:v>
                  </c:pt>
                  <c:pt idx="99">
                    <c:v>11.13</c:v>
                  </c:pt>
                  <c:pt idx="100">
                    <c:v>11.13.1</c:v>
                  </c:pt>
                  <c:pt idx="101">
                    <c:v>11.13.2</c:v>
                  </c:pt>
                </c:lvl>
              </c:multiLvlStrCache>
            </c:multiLvlStrRef>
          </c:cat>
          <c:val>
            <c:numRef>
              <c:f>'11-A. IEC Sub-Annex'!$P$5:$P$106</c:f>
              <c:numCache>
                <c:formatCode>General</c:formatCode>
                <c:ptCount val="102"/>
                <c:pt idx="2">
                  <c:v>0</c:v>
                </c:pt>
                <c:pt idx="6">
                  <c:v>0</c:v>
                </c:pt>
                <c:pt idx="11">
                  <c:v>0</c:v>
                </c:pt>
                <c:pt idx="13">
                  <c:v>0</c:v>
                </c:pt>
                <c:pt idx="14">
                  <c:v>0</c:v>
                </c:pt>
                <c:pt idx="18">
                  <c:v>0</c:v>
                </c:pt>
                <c:pt idx="22">
                  <c:v>0</c:v>
                </c:pt>
                <c:pt idx="28">
                  <c:v>0</c:v>
                </c:pt>
                <c:pt idx="38">
                  <c:v>0</c:v>
                </c:pt>
                <c:pt idx="43">
                  <c:v>0</c:v>
                </c:pt>
                <c:pt idx="46">
                  <c:v>0</c:v>
                </c:pt>
                <c:pt idx="47">
                  <c:v>0</c:v>
                </c:pt>
                <c:pt idx="49">
                  <c:v>0</c:v>
                </c:pt>
                <c:pt idx="50">
                  <c:v>0</c:v>
                </c:pt>
                <c:pt idx="53" formatCode="0.00">
                  <c:v>0</c:v>
                </c:pt>
                <c:pt idx="54" formatCode="0.00">
                  <c:v>0</c:v>
                </c:pt>
                <c:pt idx="59">
                  <c:v>0</c:v>
                </c:pt>
                <c:pt idx="62">
                  <c:v>0</c:v>
                </c:pt>
                <c:pt idx="65">
                  <c:v>0</c:v>
                </c:pt>
                <c:pt idx="66">
                  <c:v>0</c:v>
                </c:pt>
                <c:pt idx="68">
                  <c:v>0</c:v>
                </c:pt>
                <c:pt idx="70">
                  <c:v>0</c:v>
                </c:pt>
                <c:pt idx="77">
                  <c:v>0</c:v>
                </c:pt>
                <c:pt idx="80">
                  <c:v>0</c:v>
                </c:pt>
                <c:pt idx="81">
                  <c:v>0</c:v>
                </c:pt>
                <c:pt idx="83">
                  <c:v>0</c:v>
                </c:pt>
                <c:pt idx="85">
                  <c:v>0</c:v>
                </c:pt>
                <c:pt idx="89">
                  <c:v>0</c:v>
                </c:pt>
                <c:pt idx="93">
                  <c:v>0</c:v>
                </c:pt>
              </c:numCache>
            </c:numRef>
          </c:val>
          <c:extLst xmlns:c16r2="http://schemas.microsoft.com/office/drawing/2015/06/chart">
            <c:ext xmlns:c16="http://schemas.microsoft.com/office/drawing/2014/chart" uri="{C3380CC4-5D6E-409C-BE32-E72D297353CC}">
              <c16:uniqueId val="{0000000A-5F31-4E66-B011-A29233064213}"/>
            </c:ext>
          </c:extLst>
        </c:ser>
        <c:ser>
          <c:idx val="11"/>
          <c:order val="11"/>
          <c:tx>
            <c:strRef>
              <c:f>'11-A. IEC Sub-Annex'!$Q$1:$Q$4</c:f>
              <c:strCache>
                <c:ptCount val="1"/>
                <c:pt idx="0">
                  <c:v>Summary of Abst. Approval for 2021-22 GoI Remarks</c:v>
                </c:pt>
              </c:strCache>
            </c:strRef>
          </c:tx>
          <c:cat>
            <c:multiLvlStrRef>
              <c:f>'11-A. IEC Sub-Annex'!$A$5:$E$106</c:f>
              <c:multiLvlStrCache>
                <c:ptCount val="102"/>
                <c:lvl>
                  <c:pt idx="2">
                    <c:v>RCH</c:v>
                  </c:pt>
                  <c:pt idx="3">
                    <c:v>RCH</c:v>
                  </c:pt>
                  <c:pt idx="4">
                    <c:v>RCH</c:v>
                  </c:pt>
                  <c:pt idx="6">
                    <c:v>RCH</c:v>
                  </c:pt>
                  <c:pt idx="7">
                    <c:v>RCH</c:v>
                  </c:pt>
                  <c:pt idx="8">
                    <c:v>RCH</c:v>
                  </c:pt>
                  <c:pt idx="9">
                    <c:v>RCH</c:v>
                  </c:pt>
                  <c:pt idx="11">
                    <c:v>RCH</c:v>
                  </c:pt>
                  <c:pt idx="12">
                    <c:v>RCH</c:v>
                  </c:pt>
                  <c:pt idx="13">
                    <c:v>RCH</c:v>
                  </c:pt>
                  <c:pt idx="14">
                    <c:v>RCH</c:v>
                  </c:pt>
                  <c:pt idx="15">
                    <c:v>RCH</c:v>
                  </c:pt>
                  <c:pt idx="16">
                    <c:v>RCH</c:v>
                  </c:pt>
                  <c:pt idx="18">
                    <c:v>RCH</c:v>
                  </c:pt>
                  <c:pt idx="19">
                    <c:v>RCH</c:v>
                  </c:pt>
                  <c:pt idx="20">
                    <c:v>RCH</c:v>
                  </c:pt>
                  <c:pt idx="22">
                    <c:v>RCH</c:v>
                  </c:pt>
                  <c:pt idx="23">
                    <c:v>RCH</c:v>
                  </c:pt>
                  <c:pt idx="25">
                    <c:v>RCH</c:v>
                  </c:pt>
                  <c:pt idx="26">
                    <c:v>RCH</c:v>
                  </c:pt>
                  <c:pt idx="28">
                    <c:v>RCH</c:v>
                  </c:pt>
                  <c:pt idx="29">
                    <c:v>RCH</c:v>
                  </c:pt>
                  <c:pt idx="31">
                    <c:v>HSS</c:v>
                  </c:pt>
                  <c:pt idx="33">
                    <c:v>HSS</c:v>
                  </c:pt>
                  <c:pt idx="34">
                    <c:v>HSS</c:v>
                  </c:pt>
                  <c:pt idx="36">
                    <c:v>HSS</c:v>
                  </c:pt>
                  <c:pt idx="37">
                    <c:v>HSS</c:v>
                  </c:pt>
                  <c:pt idx="38">
                    <c:v>HSS</c:v>
                  </c:pt>
                  <c:pt idx="39">
                    <c:v>HSS</c:v>
                  </c:pt>
                  <c:pt idx="40">
                    <c:v>HSS</c:v>
                  </c:pt>
                  <c:pt idx="42">
                    <c:v>HSS</c:v>
                  </c:pt>
                  <c:pt idx="43">
                    <c:v>HSS</c:v>
                  </c:pt>
                  <c:pt idx="44">
                    <c:v>HSS</c:v>
                  </c:pt>
                  <c:pt idx="46">
                    <c:v>HSS</c:v>
                  </c:pt>
                  <c:pt idx="47">
                    <c:v>HSS</c:v>
                  </c:pt>
                  <c:pt idx="48">
                    <c:v>HSS</c:v>
                  </c:pt>
                  <c:pt idx="49">
                    <c:v>HSS</c:v>
                  </c:pt>
                  <c:pt idx="50">
                    <c:v>HSS</c:v>
                  </c:pt>
                  <c:pt idx="53">
                    <c:v>NDCP</c:v>
                  </c:pt>
                  <c:pt idx="54">
                    <c:v>NDCP</c:v>
                  </c:pt>
                  <c:pt idx="55">
                    <c:v>NDCP</c:v>
                  </c:pt>
                  <c:pt idx="56">
                    <c:v>NDCP</c:v>
                  </c:pt>
                  <c:pt idx="57">
                    <c:v>NDCP</c:v>
                  </c:pt>
                  <c:pt idx="58">
                    <c:v>NDCP</c:v>
                  </c:pt>
                  <c:pt idx="59">
                    <c:v>NDCP</c:v>
                  </c:pt>
                  <c:pt idx="60">
                    <c:v>NDCP</c:v>
                  </c:pt>
                  <c:pt idx="62">
                    <c:v>NDCP</c:v>
                  </c:pt>
                  <c:pt idx="63">
                    <c:v>NDCP</c:v>
                  </c:pt>
                  <c:pt idx="65">
                    <c:v>NDCP</c:v>
                  </c:pt>
                  <c:pt idx="66">
                    <c:v>NDCP</c:v>
                  </c:pt>
                  <c:pt idx="67">
                    <c:v>NDCP</c:v>
                  </c:pt>
                  <c:pt idx="68">
                    <c:v>NDCP</c:v>
                  </c:pt>
                  <c:pt idx="69">
                    <c:v>NDCP</c:v>
                  </c:pt>
                  <c:pt idx="70">
                    <c:v>NDCP</c:v>
                  </c:pt>
                  <c:pt idx="73">
                    <c:v>NCD</c:v>
                  </c:pt>
                  <c:pt idx="74">
                    <c:v>NCD</c:v>
                  </c:pt>
                  <c:pt idx="76">
                    <c:v>NCD</c:v>
                  </c:pt>
                  <c:pt idx="77">
                    <c:v>NCD</c:v>
                  </c:pt>
                  <c:pt idx="78">
                    <c:v>NCD</c:v>
                  </c:pt>
                  <c:pt idx="80">
                    <c:v>NCD</c:v>
                  </c:pt>
                  <c:pt idx="81">
                    <c:v>NCD</c:v>
                  </c:pt>
                  <c:pt idx="83">
                    <c:v>NCD</c:v>
                  </c:pt>
                  <c:pt idx="85">
                    <c:v>NCD</c:v>
                  </c:pt>
                  <c:pt idx="86">
                    <c:v>NCD</c:v>
                  </c:pt>
                  <c:pt idx="87">
                    <c:v>NCD</c:v>
                  </c:pt>
                  <c:pt idx="88">
                    <c:v>NCD</c:v>
                  </c:pt>
                  <c:pt idx="89">
                    <c:v>NCD</c:v>
                  </c:pt>
                  <c:pt idx="90">
                    <c:v>NCD</c:v>
                  </c:pt>
                  <c:pt idx="91">
                    <c:v>NCD</c:v>
                  </c:pt>
                  <c:pt idx="93">
                    <c:v>NCD</c:v>
                  </c:pt>
                  <c:pt idx="94">
                    <c:v>NCD</c:v>
                  </c:pt>
                  <c:pt idx="96">
                    <c:v>NCD</c:v>
                  </c:pt>
                  <c:pt idx="97">
                    <c:v>NCD</c:v>
                  </c:pt>
                  <c:pt idx="98">
                    <c:v>NCD</c:v>
                  </c:pt>
                  <c:pt idx="100">
                    <c:v>NCD</c:v>
                  </c:pt>
                  <c:pt idx="101">
                    <c:v>NCD</c:v>
                  </c:pt>
                </c:lvl>
                <c:lvl>
                  <c:pt idx="1">
                    <c:v>IEC/BCC activities under MH</c:v>
                  </c:pt>
                  <c:pt idx="2">
                    <c:v>Media Mix of Mid Media/ Mass Media</c:v>
                  </c:pt>
                  <c:pt idx="3">
                    <c:v>Inter Personal Communication</c:v>
                  </c:pt>
                  <c:pt idx="4">
                    <c:v>Any other IEC/BCC activities (please specify)</c:v>
                  </c:pt>
                  <c:pt idx="5">
                    <c:v>IEC/BCC activities under CH</c:v>
                  </c:pt>
                  <c:pt idx="6">
                    <c:v>Media Mix of Mid Media/ Mass Media</c:v>
                  </c:pt>
                  <c:pt idx="7">
                    <c:v>Inter Personal Communication</c:v>
                  </c:pt>
                  <c:pt idx="8">
                    <c:v>IEC for family participatory care</c:v>
                  </c:pt>
                  <c:pt idx="9">
                    <c:v>Any other IEC/BCC activities (please specify) including SAANS campaign IEC at state/district level</c:v>
                  </c:pt>
                  <c:pt idx="10">
                    <c:v>IEC/BCC activities under FP</c:v>
                  </c:pt>
                  <c:pt idx="11">
                    <c:v>Media Mix of Mid Media/ Mass Media</c:v>
                  </c:pt>
                  <c:pt idx="12">
                    <c:v>Inter Personal Communication</c:v>
                  </c:pt>
                  <c:pt idx="13">
                    <c:v>IEC &amp; promotional activities for World Population Day celebration</c:v>
                  </c:pt>
                  <c:pt idx="14">
                    <c:v>IEC &amp; promotional activities for Vasectomy Fortnight celebration </c:v>
                  </c:pt>
                  <c:pt idx="15">
                    <c:v>IEC activities for Mission Parivar Vikas Campaign (Frequency-at least 4/year)</c:v>
                  </c:pt>
                  <c:pt idx="16">
                    <c:v>Any other IEC/BCC activities (please specify)</c:v>
                  </c:pt>
                  <c:pt idx="17">
                    <c:v>IEC/BCC activities under AH</c:v>
                  </c:pt>
                  <c:pt idx="18">
                    <c:v>Media Mix of Mass Media/ Mid Media including promotion of menstrual hygiene scheme</c:v>
                  </c:pt>
                  <c:pt idx="19">
                    <c:v>Inter Personal Communication</c:v>
                  </c:pt>
                  <c:pt idx="20">
                    <c:v>Any other IEC/BCC activities (please specify)</c:v>
                  </c:pt>
                  <c:pt idx="21">
                    <c:v>IEC/BCC activities under Immunization</c:v>
                  </c:pt>
                  <c:pt idx="22">
                    <c:v>IEC activities for Immunization</c:v>
                  </c:pt>
                  <c:pt idx="23">
                    <c:v>Any other IEC/BCC activities (please specify)</c:v>
                  </c:pt>
                  <c:pt idx="24">
                    <c:v>IEC/BCC activities under PNDT</c:v>
                  </c:pt>
                  <c:pt idx="25">
                    <c:v>Creating awareness on declining sex ratio issue (PNDT)</c:v>
                  </c:pt>
                  <c:pt idx="26">
                    <c:v>Any other IEC/BCC activities (please specify)</c:v>
                  </c:pt>
                  <c:pt idx="27">
                    <c:v>IEC/BCC activities under NIDDCP</c:v>
                  </c:pt>
                  <c:pt idx="28">
                    <c:v>Health Education &amp; Publicity for NIDDCP</c:v>
                  </c:pt>
                  <c:pt idx="29">
                    <c:v>Any other IEC/BCC activities (please specify)</c:v>
                  </c:pt>
                  <c:pt idx="31">
                    <c:v>Development of State Communication strategy (comprising of district plans)</c:v>
                  </c:pt>
                  <c:pt idx="32">
                    <c:v>IEC/BCC activities under Blood services &amp; disorders</c:v>
                  </c:pt>
                  <c:pt idx="33">
                    <c:v>IEC/BCC activities under Blood Services</c:v>
                  </c:pt>
                  <c:pt idx="34">
                    <c:v>IEC/BCC activities under Blood Disorders</c:v>
                  </c:pt>
                  <c:pt idx="35">
                    <c:v>IEC/BCC activities under ASHA</c:v>
                  </c:pt>
                  <c:pt idx="38">
                    <c:v>IEC activities for Ayushman Bharat Health &amp; Wellness centre (H&amp;WC)</c:v>
                  </c:pt>
                  <c:pt idx="39">
                    <c:v>IEC Activity under NQAP, LaQshya, Kayakalp &amp; Mera-Aspataal (Signages- Approach road, Departmental, Directional and other facility level signage's)</c:v>
                  </c:pt>
                  <c:pt idx="40">
                    <c:v>IEC/BCC- Free Diagnostic Service Initiative (Pathology &amp; Radiology)</c:v>
                  </c:pt>
                  <c:pt idx="41">
                    <c:v>Other IEC/BCC activities</c:v>
                  </c:pt>
                  <c:pt idx="42">
                    <c:v>Interpersonal Communication Tools for the frontline health workers</c:v>
                  </c:pt>
                  <c:pt idx="43">
                    <c:v>Targeting Naturally Occurring Gathering of People/ Health Mela</c:v>
                  </c:pt>
                  <c:pt idx="44">
                    <c:v>Innovative IEC/ BCC Strategies including mobile based solutions, social media and engagement of youth</c:v>
                  </c:pt>
                  <c:pt idx="45">
                    <c:v>SBCC/IEC/Advocacy campaigns </c:v>
                  </c:pt>
                  <c:pt idx="46">
                    <c:v>Places covered with hoardings/ bill boards/ signage etc.</c:v>
                  </c:pt>
                  <c:pt idx="47">
                    <c:v>Usage of Folk media such as Nukkad Natak/ mobile audio visual services/ local radio etc.</c:v>
                  </c:pt>
                  <c:pt idx="48">
                    <c:v>Development of IEC Material</c:v>
                  </c:pt>
                  <c:pt idx="49">
                    <c:v>State-level IEC Campaigns/Other IEC Campaigns</c:v>
                  </c:pt>
                  <c:pt idx="50">
                    <c:v>Any other (please specify)</c:v>
                  </c:pt>
                  <c:pt idx="52">
                    <c:v>IEC/BCC activities under NVBDCP</c:v>
                  </c:pt>
                  <c:pt idx="53">
                    <c:v>IEC/BCC for Malaria</c:v>
                  </c:pt>
                  <c:pt idx="54">
                    <c:v>IEC/BCC for Social mobilization (Dengue and Chikungunya)</c:v>
                  </c:pt>
                  <c:pt idx="55">
                    <c:v>IEC/BCC specific to J.E. in endemic areas</c:v>
                  </c:pt>
                  <c:pt idx="56">
                    <c:v>Specific IEC/BCC for Lymphatic Filariasis at State, District, PHC, Sub-centre and village level including VHSC/GKs for community mobilization efforts to realize the desired drug compliance of 85% during MDA</c:v>
                  </c:pt>
                  <c:pt idx="57">
                    <c:v>IEC/BCC/Advocacy for Kala-azar</c:v>
                  </c:pt>
                  <c:pt idx="58">
                    <c:v>IEC/BCC activities as per the GFATM project</c:v>
                  </c:pt>
                  <c:pt idx="59">
                    <c:v>IEC/ BCC activities under MVCR</c:v>
                  </c:pt>
                  <c:pt idx="60">
                    <c:v>Any other IEC/BCC activities (please specify)</c:v>
                  </c:pt>
                  <c:pt idx="61">
                    <c:v>IEC/BCC activities under NLEP</c:v>
                  </c:pt>
                  <c:pt idx="62">
                    <c:v>IEC/BCC: Mass media, Outdoor media, Rural media, Advocacy media for NLEP including Sparsh Leprosy Awareness Campaign</c:v>
                  </c:pt>
                  <c:pt idx="63">
                    <c:v>Any other IEC/BCC activities (please specify)</c:v>
                  </c:pt>
                  <c:pt idx="64">
                    <c:v>IEC/BCC activities under NTEP</c:v>
                  </c:pt>
                  <c:pt idx="65">
                    <c:v>ACSM (State &amp; district)</c:v>
                  </c:pt>
                  <c:pt idx="66">
                    <c:v>TB Harega Desh Jeetega' Campaign</c:v>
                  </c:pt>
                  <c:pt idx="67">
                    <c:v>Any other IEC/BCC activities (please specify)</c:v>
                  </c:pt>
                  <c:pt idx="68">
                    <c:v>IEC/BCC under NRCP: Rabies Awareness and Do's and Don'ts in the event of Animal Bites</c:v>
                  </c:pt>
                  <c:pt idx="69">
                    <c:v>IEC under Programme for Prevention and Control of Leptospirosis</c:v>
                  </c:pt>
                  <c:pt idx="70">
                    <c:v>IEC under NVHCP</c:v>
                  </c:pt>
                  <c:pt idx="72">
                    <c:v>IEC/BCC activities under NPCB</c:v>
                  </c:pt>
                  <c:pt idx="73">
                    <c:v>State level IEC for Minor State @ Rs. 10 lakh and for Major States @ Rs. 20 lakh under NPCB&amp;VI</c:v>
                  </c:pt>
                  <c:pt idx="74">
                    <c:v>Any other IEC/BCC activities (please specify)</c:v>
                  </c:pt>
                  <c:pt idx="75">
                    <c:v>IEC/BCC activities under NMHP</c:v>
                  </c:pt>
                  <c:pt idx="76">
                    <c:v>Translation of IEC material and distribution</c:v>
                  </c:pt>
                  <c:pt idx="77">
                    <c:v>Awareness generation activities in the community, schools, workplaces with community involvement</c:v>
                  </c:pt>
                  <c:pt idx="78">
                    <c:v>Any other IEC/BCC activities (please specify)</c:v>
                  </c:pt>
                  <c:pt idx="79">
                    <c:v>IEC/BCC activities under NPHCE</c:v>
                  </c:pt>
                  <c:pt idx="80">
                    <c:v>IPC,Group activities and mass media for NPHCE</c:v>
                  </c:pt>
                  <c:pt idx="81">
                    <c:v>Celebration of days-ie International Day for older persons</c:v>
                  </c:pt>
                  <c:pt idx="82">
                    <c:v>IEC/BCC activities under NTCP</c:v>
                  </c:pt>
                  <c:pt idx="83">
                    <c:v>IEC/BCC for NTCP</c:v>
                  </c:pt>
                  <c:pt idx="84">
                    <c:v>IEC/BCC activities under NPCDCS</c:v>
                  </c:pt>
                  <c:pt idx="85">
                    <c:v>IEC/BCC for State NCD  Cell</c:v>
                  </c:pt>
                  <c:pt idx="86">
                    <c:v>IEC/BCC for District  NCD Cell</c:v>
                  </c:pt>
                  <c:pt idx="87">
                    <c:v>IEC/BCC activities for Universal Screening of NCDs</c:v>
                  </c:pt>
                  <c:pt idx="88">
                    <c:v>Any other IEC/BCC activities (please specify)</c:v>
                  </c:pt>
                  <c:pt idx="89">
                    <c:v>IEC/BCC under NOHP</c:v>
                  </c:pt>
                  <c:pt idx="90">
                    <c:v>IEC on Climate Sensitive Diseases at Block , District and State level  – Air pollution, Heat and other relevant Climate Sensitive diseases</c:v>
                  </c:pt>
                  <c:pt idx="91">
                    <c:v>IEC/BCC - National Dialysis Programme (Haemodialysis and Peritoneal Dialysis)</c:v>
                  </c:pt>
                  <c:pt idx="92">
                    <c:v>IEC/BCC activities under NPPCD</c:v>
                  </c:pt>
                  <c:pt idx="93">
                    <c:v>IEC activities</c:v>
                  </c:pt>
                  <c:pt idx="94">
                    <c:v>Any Other</c:v>
                  </c:pt>
                  <c:pt idx="95">
                    <c:v>IEC/BCC activities under NPPC</c:v>
                  </c:pt>
                  <c:pt idx="96">
                    <c:v>IEC for DH</c:v>
                  </c:pt>
                  <c:pt idx="97">
                    <c:v>IEC for State Palliative care cell</c:v>
                  </c:pt>
                  <c:pt idx="98">
                    <c:v>Any other IEC/BCC activities (please specify)</c:v>
                  </c:pt>
                  <c:pt idx="99">
                    <c:v>IEC/BCC activities under NPPCF</c:v>
                  </c:pt>
                  <c:pt idx="100">
                    <c:v>Health Education &amp; Publicity for National Programme for Fluorosis (State and District Level)</c:v>
                  </c:pt>
                  <c:pt idx="101">
                    <c:v>Any other IEC/BCC activities (please specify)</c:v>
                  </c:pt>
                </c:lvl>
                <c:lvl>
                  <c:pt idx="1">
                    <c:v>B.10.3.1</c:v>
                  </c:pt>
                  <c:pt idx="2">
                    <c:v>B.10.3.1.1</c:v>
                  </c:pt>
                  <c:pt idx="3">
                    <c:v>B.10.3.1.2</c:v>
                  </c:pt>
                  <c:pt idx="5">
                    <c:v>B.10.3.2</c:v>
                  </c:pt>
                  <c:pt idx="6">
                    <c:v>B.10.3.2.1</c:v>
                  </c:pt>
                  <c:pt idx="7">
                    <c:v>B.10.3.2.2</c:v>
                  </c:pt>
                  <c:pt idx="10">
                    <c:v>B.10.3.3</c:v>
                  </c:pt>
                  <c:pt idx="11">
                    <c:v>B.10.3.3.1</c:v>
                  </c:pt>
                  <c:pt idx="12">
                    <c:v>B.10.3.3.2</c:v>
                  </c:pt>
                  <c:pt idx="13">
                    <c:v>A.3.5.4</c:v>
                  </c:pt>
                  <c:pt idx="14">
                    <c:v>A.3.5.5</c:v>
                  </c:pt>
                  <c:pt idx="15">
                    <c:v>A.3.7.4</c:v>
                  </c:pt>
                  <c:pt idx="17">
                    <c:v>B.10.3.4</c:v>
                  </c:pt>
                  <c:pt idx="18">
                    <c:v>B.10.3.4.1</c:v>
                  </c:pt>
                  <c:pt idx="19">
                    <c:v>B.10.3.4.2</c:v>
                  </c:pt>
                  <c:pt idx="25">
                    <c:v>B.10.3.5</c:v>
                  </c:pt>
                  <c:pt idx="28">
                    <c:v>B.10.6.7</c:v>
                  </c:pt>
                  <c:pt idx="31">
                    <c:v>B.10.2</c:v>
                  </c:pt>
                  <c:pt idx="32">
                    <c:v>B.10.7.4.5</c:v>
                  </c:pt>
                  <c:pt idx="38">
                    <c:v>B18.3</c:v>
                  </c:pt>
                  <c:pt idx="42">
                    <c:v>B.10.4</c:v>
                  </c:pt>
                  <c:pt idx="43">
                    <c:v>B.10.5</c:v>
                  </c:pt>
                  <c:pt idx="44">
                    <c:v>B.10.6.1</c:v>
                  </c:pt>
                  <c:pt idx="45">
                    <c:v>B.10.6.14.1</c:v>
                  </c:pt>
                  <c:pt idx="46">
                    <c:v>B.10.6.14.1.b</c:v>
                  </c:pt>
                  <c:pt idx="47">
                    <c:v>B.10.6.14.1.c</c:v>
                  </c:pt>
                  <c:pt idx="48">
                    <c:v>B.10.6.14.3.a</c:v>
                  </c:pt>
                  <c:pt idx="49">
                    <c:v>B.10.6.14.3.b</c:v>
                  </c:pt>
                  <c:pt idx="53">
                    <c:v>B.10.6.9.a</c:v>
                  </c:pt>
                  <c:pt idx="54">
                    <c:v>B.10.6.9.b</c:v>
                  </c:pt>
                  <c:pt idx="55">
                    <c:v>B.10.6.9.c</c:v>
                  </c:pt>
                  <c:pt idx="56">
                    <c:v>B.10.6.9.d</c:v>
                  </c:pt>
                  <c:pt idx="57">
                    <c:v>B.10.6.9.e</c:v>
                  </c:pt>
                  <c:pt idx="58">
                    <c:v>B.10.6.9.f</c:v>
                  </c:pt>
                  <c:pt idx="62">
                    <c:v>B.10.6.10</c:v>
                  </c:pt>
                  <c:pt idx="65">
                    <c:v>H.4</c:v>
                  </c:pt>
                  <c:pt idx="73">
                    <c:v>B.10.6.11</c:v>
                  </c:pt>
                  <c:pt idx="75">
                    <c:v>B.10.6.12</c:v>
                  </c:pt>
                  <c:pt idx="76">
                    <c:v>B.10.6.12.a</c:v>
                  </c:pt>
                  <c:pt idx="77">
                    <c:v>B.10.6.12.b</c:v>
                  </c:pt>
                  <c:pt idx="80">
                    <c:v>B.10.6.13</c:v>
                  </c:pt>
                  <c:pt idx="83">
                    <c:v>B.10.6.14</c:v>
                  </c:pt>
                  <c:pt idx="84">
                    <c:v>O.2.3</c:v>
                  </c:pt>
                  <c:pt idx="85">
                    <c:v>O.2.3.1</c:v>
                  </c:pt>
                  <c:pt idx="86">
                    <c:v>O.2.3.2</c:v>
                  </c:pt>
                  <c:pt idx="92">
                    <c:v>B.10.6.5</c:v>
                  </c:pt>
                  <c:pt idx="96">
                    <c:v>B.27.1.3</c:v>
                  </c:pt>
                  <c:pt idx="97">
                    <c:v>B.27.2.2</c:v>
                  </c:pt>
                  <c:pt idx="100">
                    <c:v>B.10.6.6</c:v>
                  </c:pt>
                </c:lvl>
                <c:lvl>
                  <c:pt idx="1">
                    <c:v>11.4</c:v>
                  </c:pt>
                  <c:pt idx="2">
                    <c:v>11.4.1</c:v>
                  </c:pt>
                  <c:pt idx="3">
                    <c:v>11.4.2</c:v>
                  </c:pt>
                  <c:pt idx="4">
                    <c:v>11.4.3</c:v>
                  </c:pt>
                  <c:pt idx="5">
                    <c:v>11.5</c:v>
                  </c:pt>
                  <c:pt idx="6">
                    <c:v>11.5.1</c:v>
                  </c:pt>
                  <c:pt idx="7">
                    <c:v>11.5.2</c:v>
                  </c:pt>
                  <c:pt idx="8">
                    <c:v>11.5.3</c:v>
                  </c:pt>
                  <c:pt idx="9">
                    <c:v>11.5.4</c:v>
                  </c:pt>
                  <c:pt idx="10">
                    <c:v>11.6</c:v>
                  </c:pt>
                  <c:pt idx="11">
                    <c:v>11.6.1</c:v>
                  </c:pt>
                  <c:pt idx="12">
                    <c:v>11.6.2</c:v>
                  </c:pt>
                  <c:pt idx="13">
                    <c:v>11.6.3</c:v>
                  </c:pt>
                  <c:pt idx="14">
                    <c:v>11.6.4</c:v>
                  </c:pt>
                  <c:pt idx="15">
                    <c:v>11.6.5</c:v>
                  </c:pt>
                  <c:pt idx="16">
                    <c:v>11.6.6</c:v>
                  </c:pt>
                  <c:pt idx="17">
                    <c:v>11.7</c:v>
                  </c:pt>
                  <c:pt idx="18">
                    <c:v>11.7.1</c:v>
                  </c:pt>
                  <c:pt idx="19">
                    <c:v>11.7.2</c:v>
                  </c:pt>
                  <c:pt idx="20">
                    <c:v>11.7.3</c:v>
                  </c:pt>
                  <c:pt idx="21">
                    <c:v>11.8</c:v>
                  </c:pt>
                  <c:pt idx="22">
                    <c:v>11.8.1</c:v>
                  </c:pt>
                  <c:pt idx="23">
                    <c:v>11.8.2</c:v>
                  </c:pt>
                  <c:pt idx="24">
                    <c:v>11.9</c:v>
                  </c:pt>
                  <c:pt idx="25">
                    <c:v>11.9.1</c:v>
                  </c:pt>
                  <c:pt idx="26">
                    <c:v>11.9.2</c:v>
                  </c:pt>
                  <c:pt idx="27">
                    <c:v>11.14</c:v>
                  </c:pt>
                  <c:pt idx="28">
                    <c:v>11.14.1</c:v>
                  </c:pt>
                  <c:pt idx="29">
                    <c:v>11.14.2</c:v>
                  </c:pt>
                  <c:pt idx="31">
                    <c:v>11.1</c:v>
                  </c:pt>
                  <c:pt idx="32">
                    <c:v>11.10</c:v>
                  </c:pt>
                  <c:pt idx="33">
                    <c:v>11.10.1</c:v>
                  </c:pt>
                  <c:pt idx="34">
                    <c:v>11.10.2</c:v>
                  </c:pt>
                  <c:pt idx="35">
                    <c:v>11.23</c:v>
                  </c:pt>
                  <c:pt idx="36">
                    <c:v>11.23.1</c:v>
                  </c:pt>
                  <c:pt idx="37">
                    <c:v>11.23.2</c:v>
                  </c:pt>
                  <c:pt idx="38">
                    <c:v>11.24.1</c:v>
                  </c:pt>
                  <c:pt idx="39">
                    <c:v>11.24.4.5</c:v>
                  </c:pt>
                  <c:pt idx="40">
                    <c:v>11.24.4.7</c:v>
                  </c:pt>
                  <c:pt idx="41">
                    <c:v>11.24</c:v>
                  </c:pt>
                  <c:pt idx="42">
                    <c:v>11.2</c:v>
                  </c:pt>
                  <c:pt idx="43">
                    <c:v>11.3</c:v>
                  </c:pt>
                  <c:pt idx="44">
                    <c:v>11.24.2</c:v>
                  </c:pt>
                  <c:pt idx="45">
                    <c:v>11.24.3</c:v>
                  </c:pt>
                  <c:pt idx="46">
                    <c:v>11.24.3.1</c:v>
                  </c:pt>
                  <c:pt idx="47">
                    <c:v>11.24.3.2</c:v>
                  </c:pt>
                  <c:pt idx="48">
                    <c:v>11.24.3.3</c:v>
                  </c:pt>
                  <c:pt idx="49">
                    <c:v>11.24.3.4</c:v>
                  </c:pt>
                  <c:pt idx="50">
                    <c:v>11.24.4.9</c:v>
                  </c:pt>
                  <c:pt idx="52">
                    <c:v>11.15</c:v>
                  </c:pt>
                  <c:pt idx="53">
                    <c:v>11.15.1</c:v>
                  </c:pt>
                  <c:pt idx="54">
                    <c:v>11.15.2</c:v>
                  </c:pt>
                  <c:pt idx="55">
                    <c:v>11.15.3</c:v>
                  </c:pt>
                  <c:pt idx="56">
                    <c:v>11.15.4</c:v>
                  </c:pt>
                  <c:pt idx="57">
                    <c:v>11.15.5</c:v>
                  </c:pt>
                  <c:pt idx="58">
                    <c:v>11.15.6</c:v>
                  </c:pt>
                  <c:pt idx="59">
                    <c:v>11.15.7</c:v>
                  </c:pt>
                  <c:pt idx="60">
                    <c:v>11.15.8</c:v>
                  </c:pt>
                  <c:pt idx="61">
                    <c:v>11.16</c:v>
                  </c:pt>
                  <c:pt idx="62">
                    <c:v>11.16.1</c:v>
                  </c:pt>
                  <c:pt idx="63">
                    <c:v>11.16.2</c:v>
                  </c:pt>
                  <c:pt idx="64">
                    <c:v>11.17</c:v>
                  </c:pt>
                  <c:pt idx="65">
                    <c:v>11.17.1</c:v>
                  </c:pt>
                  <c:pt idx="66">
                    <c:v>11.17.2</c:v>
                  </c:pt>
                  <c:pt idx="67">
                    <c:v>11.17.3</c:v>
                  </c:pt>
                  <c:pt idx="68">
                    <c:v>11.24.4.1</c:v>
                  </c:pt>
                  <c:pt idx="69">
                    <c:v>11.24.4.6</c:v>
                  </c:pt>
                  <c:pt idx="72">
                    <c:v>11.18</c:v>
                  </c:pt>
                  <c:pt idx="73">
                    <c:v>11.18.1</c:v>
                  </c:pt>
                  <c:pt idx="74">
                    <c:v>11.18.2</c:v>
                  </c:pt>
                  <c:pt idx="75">
                    <c:v>11.19</c:v>
                  </c:pt>
                  <c:pt idx="76">
                    <c:v>11.19.1</c:v>
                  </c:pt>
                  <c:pt idx="77">
                    <c:v>11.19.2</c:v>
                  </c:pt>
                  <c:pt idx="78">
                    <c:v>11.19.3</c:v>
                  </c:pt>
                  <c:pt idx="79">
                    <c:v>11.20</c:v>
                  </c:pt>
                  <c:pt idx="80">
                    <c:v>11.20.1</c:v>
                  </c:pt>
                  <c:pt idx="81">
                    <c:v>11.20.2</c:v>
                  </c:pt>
                  <c:pt idx="82">
                    <c:v>11.21</c:v>
                  </c:pt>
                  <c:pt idx="83">
                    <c:v>11.21.1</c:v>
                  </c:pt>
                  <c:pt idx="84">
                    <c:v>11.22</c:v>
                  </c:pt>
                  <c:pt idx="85">
                    <c:v>11.22.1</c:v>
                  </c:pt>
                  <c:pt idx="86">
                    <c:v>11.22.2</c:v>
                  </c:pt>
                  <c:pt idx="87">
                    <c:v>11.22.3</c:v>
                  </c:pt>
                  <c:pt idx="88">
                    <c:v>11.22.4</c:v>
                  </c:pt>
                  <c:pt idx="89">
                    <c:v>11.24.4.2</c:v>
                  </c:pt>
                  <c:pt idx="90">
                    <c:v>11.24.4.4</c:v>
                  </c:pt>
                  <c:pt idx="91">
                    <c:v>11.24.4.8</c:v>
                  </c:pt>
                  <c:pt idx="92">
                    <c:v>11.11</c:v>
                  </c:pt>
                  <c:pt idx="93">
                    <c:v>11.11.1</c:v>
                  </c:pt>
                  <c:pt idx="94">
                    <c:v>11.11.2</c:v>
                  </c:pt>
                  <c:pt idx="95">
                    <c:v>11.12</c:v>
                  </c:pt>
                  <c:pt idx="96">
                    <c:v>11.12.1</c:v>
                  </c:pt>
                  <c:pt idx="97">
                    <c:v>11.12.2</c:v>
                  </c:pt>
                  <c:pt idx="98">
                    <c:v>11.12.3</c:v>
                  </c:pt>
                  <c:pt idx="99">
                    <c:v>11.13</c:v>
                  </c:pt>
                  <c:pt idx="100">
                    <c:v>11.13.1</c:v>
                  </c:pt>
                  <c:pt idx="101">
                    <c:v>11.13.2</c:v>
                  </c:pt>
                </c:lvl>
              </c:multiLvlStrCache>
            </c:multiLvlStrRef>
          </c:cat>
          <c:val>
            <c:numRef>
              <c:f>'11-A. IEC Sub-Annex'!$Q$5:$Q$106</c:f>
              <c:numCache>
                <c:formatCode>General</c:formatCode>
                <c:ptCount val="102"/>
                <c:pt idx="2">
                  <c:v>0</c:v>
                </c:pt>
                <c:pt idx="3">
                  <c:v>0</c:v>
                </c:pt>
                <c:pt idx="4">
                  <c:v>0</c:v>
                </c:pt>
                <c:pt idx="6">
                  <c:v>0</c:v>
                </c:pt>
                <c:pt idx="7">
                  <c:v>0</c:v>
                </c:pt>
                <c:pt idx="8">
                  <c:v>0</c:v>
                </c:pt>
                <c:pt idx="9">
                  <c:v>0</c:v>
                </c:pt>
                <c:pt idx="11">
                  <c:v>0</c:v>
                </c:pt>
                <c:pt idx="12">
                  <c:v>0</c:v>
                </c:pt>
                <c:pt idx="13">
                  <c:v>0</c:v>
                </c:pt>
                <c:pt idx="14">
                  <c:v>0</c:v>
                </c:pt>
                <c:pt idx="15">
                  <c:v>0</c:v>
                </c:pt>
                <c:pt idx="16">
                  <c:v>0</c:v>
                </c:pt>
                <c:pt idx="18">
                  <c:v>0</c:v>
                </c:pt>
                <c:pt idx="19">
                  <c:v>0</c:v>
                </c:pt>
                <c:pt idx="20">
                  <c:v>0</c:v>
                </c:pt>
                <c:pt idx="22">
                  <c:v>0</c:v>
                </c:pt>
                <c:pt idx="23">
                  <c:v>0</c:v>
                </c:pt>
                <c:pt idx="25">
                  <c:v>0</c:v>
                </c:pt>
                <c:pt idx="26">
                  <c:v>0</c:v>
                </c:pt>
                <c:pt idx="28">
                  <c:v>0</c:v>
                </c:pt>
                <c:pt idx="29">
                  <c:v>0</c:v>
                </c:pt>
                <c:pt idx="33">
                  <c:v>0</c:v>
                </c:pt>
                <c:pt idx="34">
                  <c:v>0</c:v>
                </c:pt>
                <c:pt idx="36">
                  <c:v>0</c:v>
                </c:pt>
                <c:pt idx="37">
                  <c:v>0</c:v>
                </c:pt>
                <c:pt idx="38">
                  <c:v>0</c:v>
                </c:pt>
                <c:pt idx="43">
                  <c:v>0</c:v>
                </c:pt>
                <c:pt idx="46">
                  <c:v>0</c:v>
                </c:pt>
                <c:pt idx="49">
                  <c:v>0</c:v>
                </c:pt>
                <c:pt idx="50">
                  <c:v>0</c:v>
                </c:pt>
                <c:pt idx="53">
                  <c:v>0</c:v>
                </c:pt>
                <c:pt idx="54">
                  <c:v>0</c:v>
                </c:pt>
                <c:pt idx="55">
                  <c:v>0</c:v>
                </c:pt>
                <c:pt idx="56">
                  <c:v>0</c:v>
                </c:pt>
                <c:pt idx="57">
                  <c:v>0</c:v>
                </c:pt>
                <c:pt idx="58">
                  <c:v>0</c:v>
                </c:pt>
                <c:pt idx="59">
                  <c:v>0</c:v>
                </c:pt>
                <c:pt idx="60">
                  <c:v>0</c:v>
                </c:pt>
                <c:pt idx="62">
                  <c:v>0</c:v>
                </c:pt>
                <c:pt idx="63">
                  <c:v>0</c:v>
                </c:pt>
                <c:pt idx="65">
                  <c:v>0</c:v>
                </c:pt>
                <c:pt idx="66">
                  <c:v>0</c:v>
                </c:pt>
                <c:pt idx="67">
                  <c:v>0</c:v>
                </c:pt>
                <c:pt idx="68">
                  <c:v>0</c:v>
                </c:pt>
                <c:pt idx="69">
                  <c:v>0</c:v>
                </c:pt>
                <c:pt idx="70">
                  <c:v>0</c:v>
                </c:pt>
                <c:pt idx="73">
                  <c:v>0</c:v>
                </c:pt>
                <c:pt idx="74">
                  <c:v>0</c:v>
                </c:pt>
                <c:pt idx="76">
                  <c:v>0</c:v>
                </c:pt>
                <c:pt idx="77">
                  <c:v>0</c:v>
                </c:pt>
                <c:pt idx="78">
                  <c:v>0</c:v>
                </c:pt>
                <c:pt idx="80">
                  <c:v>0</c:v>
                </c:pt>
                <c:pt idx="81">
                  <c:v>0</c:v>
                </c:pt>
                <c:pt idx="83">
                  <c:v>0</c:v>
                </c:pt>
                <c:pt idx="85">
                  <c:v>0</c:v>
                </c:pt>
                <c:pt idx="86">
                  <c:v>0</c:v>
                </c:pt>
                <c:pt idx="87">
                  <c:v>0</c:v>
                </c:pt>
                <c:pt idx="88">
                  <c:v>0</c:v>
                </c:pt>
                <c:pt idx="89">
                  <c:v>0</c:v>
                </c:pt>
                <c:pt idx="90">
                  <c:v>0</c:v>
                </c:pt>
                <c:pt idx="91">
                  <c:v>0</c:v>
                </c:pt>
                <c:pt idx="93">
                  <c:v>0</c:v>
                </c:pt>
                <c:pt idx="94">
                  <c:v>0</c:v>
                </c:pt>
                <c:pt idx="96">
                  <c:v>0</c:v>
                </c:pt>
                <c:pt idx="97">
                  <c:v>0</c:v>
                </c:pt>
                <c:pt idx="98">
                  <c:v>0</c:v>
                </c:pt>
                <c:pt idx="100">
                  <c:v>0</c:v>
                </c:pt>
                <c:pt idx="101">
                  <c:v>0</c:v>
                </c:pt>
              </c:numCache>
            </c:numRef>
          </c:val>
          <c:extLst xmlns:c16r2="http://schemas.microsoft.com/office/drawing/2015/06/chart">
            <c:ext xmlns:c16="http://schemas.microsoft.com/office/drawing/2014/chart" uri="{C3380CC4-5D6E-409C-BE32-E72D297353CC}">
              <c16:uniqueId val="{0000000B-5F31-4E66-B011-A29233064213}"/>
            </c:ext>
          </c:extLst>
        </c:ser>
        <c:ser>
          <c:idx val="12"/>
          <c:order val="12"/>
          <c:tx>
            <c:strRef>
              <c:f>'11-A. IEC Sub-Annex'!$R$1:$R$4</c:f>
              <c:strCache>
                <c:ptCount val="1"/>
                <c:pt idx="0">
                  <c:v>Summary of Abst. Approval for 2021-22 Budget (Rs. In lakhs)</c:v>
                </c:pt>
              </c:strCache>
            </c:strRef>
          </c:tx>
          <c:cat>
            <c:multiLvlStrRef>
              <c:f>'11-A. IEC Sub-Annex'!$A$5:$E$106</c:f>
              <c:multiLvlStrCache>
                <c:ptCount val="102"/>
                <c:lvl>
                  <c:pt idx="2">
                    <c:v>RCH</c:v>
                  </c:pt>
                  <c:pt idx="3">
                    <c:v>RCH</c:v>
                  </c:pt>
                  <c:pt idx="4">
                    <c:v>RCH</c:v>
                  </c:pt>
                  <c:pt idx="6">
                    <c:v>RCH</c:v>
                  </c:pt>
                  <c:pt idx="7">
                    <c:v>RCH</c:v>
                  </c:pt>
                  <c:pt idx="8">
                    <c:v>RCH</c:v>
                  </c:pt>
                  <c:pt idx="9">
                    <c:v>RCH</c:v>
                  </c:pt>
                  <c:pt idx="11">
                    <c:v>RCH</c:v>
                  </c:pt>
                  <c:pt idx="12">
                    <c:v>RCH</c:v>
                  </c:pt>
                  <c:pt idx="13">
                    <c:v>RCH</c:v>
                  </c:pt>
                  <c:pt idx="14">
                    <c:v>RCH</c:v>
                  </c:pt>
                  <c:pt idx="15">
                    <c:v>RCH</c:v>
                  </c:pt>
                  <c:pt idx="16">
                    <c:v>RCH</c:v>
                  </c:pt>
                  <c:pt idx="18">
                    <c:v>RCH</c:v>
                  </c:pt>
                  <c:pt idx="19">
                    <c:v>RCH</c:v>
                  </c:pt>
                  <c:pt idx="20">
                    <c:v>RCH</c:v>
                  </c:pt>
                  <c:pt idx="22">
                    <c:v>RCH</c:v>
                  </c:pt>
                  <c:pt idx="23">
                    <c:v>RCH</c:v>
                  </c:pt>
                  <c:pt idx="25">
                    <c:v>RCH</c:v>
                  </c:pt>
                  <c:pt idx="26">
                    <c:v>RCH</c:v>
                  </c:pt>
                  <c:pt idx="28">
                    <c:v>RCH</c:v>
                  </c:pt>
                  <c:pt idx="29">
                    <c:v>RCH</c:v>
                  </c:pt>
                  <c:pt idx="31">
                    <c:v>HSS</c:v>
                  </c:pt>
                  <c:pt idx="33">
                    <c:v>HSS</c:v>
                  </c:pt>
                  <c:pt idx="34">
                    <c:v>HSS</c:v>
                  </c:pt>
                  <c:pt idx="36">
                    <c:v>HSS</c:v>
                  </c:pt>
                  <c:pt idx="37">
                    <c:v>HSS</c:v>
                  </c:pt>
                  <c:pt idx="38">
                    <c:v>HSS</c:v>
                  </c:pt>
                  <c:pt idx="39">
                    <c:v>HSS</c:v>
                  </c:pt>
                  <c:pt idx="40">
                    <c:v>HSS</c:v>
                  </c:pt>
                  <c:pt idx="42">
                    <c:v>HSS</c:v>
                  </c:pt>
                  <c:pt idx="43">
                    <c:v>HSS</c:v>
                  </c:pt>
                  <c:pt idx="44">
                    <c:v>HSS</c:v>
                  </c:pt>
                  <c:pt idx="46">
                    <c:v>HSS</c:v>
                  </c:pt>
                  <c:pt idx="47">
                    <c:v>HSS</c:v>
                  </c:pt>
                  <c:pt idx="48">
                    <c:v>HSS</c:v>
                  </c:pt>
                  <c:pt idx="49">
                    <c:v>HSS</c:v>
                  </c:pt>
                  <c:pt idx="50">
                    <c:v>HSS</c:v>
                  </c:pt>
                  <c:pt idx="53">
                    <c:v>NDCP</c:v>
                  </c:pt>
                  <c:pt idx="54">
                    <c:v>NDCP</c:v>
                  </c:pt>
                  <c:pt idx="55">
                    <c:v>NDCP</c:v>
                  </c:pt>
                  <c:pt idx="56">
                    <c:v>NDCP</c:v>
                  </c:pt>
                  <c:pt idx="57">
                    <c:v>NDCP</c:v>
                  </c:pt>
                  <c:pt idx="58">
                    <c:v>NDCP</c:v>
                  </c:pt>
                  <c:pt idx="59">
                    <c:v>NDCP</c:v>
                  </c:pt>
                  <c:pt idx="60">
                    <c:v>NDCP</c:v>
                  </c:pt>
                  <c:pt idx="62">
                    <c:v>NDCP</c:v>
                  </c:pt>
                  <c:pt idx="63">
                    <c:v>NDCP</c:v>
                  </c:pt>
                  <c:pt idx="65">
                    <c:v>NDCP</c:v>
                  </c:pt>
                  <c:pt idx="66">
                    <c:v>NDCP</c:v>
                  </c:pt>
                  <c:pt idx="67">
                    <c:v>NDCP</c:v>
                  </c:pt>
                  <c:pt idx="68">
                    <c:v>NDCP</c:v>
                  </c:pt>
                  <c:pt idx="69">
                    <c:v>NDCP</c:v>
                  </c:pt>
                  <c:pt idx="70">
                    <c:v>NDCP</c:v>
                  </c:pt>
                  <c:pt idx="73">
                    <c:v>NCD</c:v>
                  </c:pt>
                  <c:pt idx="74">
                    <c:v>NCD</c:v>
                  </c:pt>
                  <c:pt idx="76">
                    <c:v>NCD</c:v>
                  </c:pt>
                  <c:pt idx="77">
                    <c:v>NCD</c:v>
                  </c:pt>
                  <c:pt idx="78">
                    <c:v>NCD</c:v>
                  </c:pt>
                  <c:pt idx="80">
                    <c:v>NCD</c:v>
                  </c:pt>
                  <c:pt idx="81">
                    <c:v>NCD</c:v>
                  </c:pt>
                  <c:pt idx="83">
                    <c:v>NCD</c:v>
                  </c:pt>
                  <c:pt idx="85">
                    <c:v>NCD</c:v>
                  </c:pt>
                  <c:pt idx="86">
                    <c:v>NCD</c:v>
                  </c:pt>
                  <c:pt idx="87">
                    <c:v>NCD</c:v>
                  </c:pt>
                  <c:pt idx="88">
                    <c:v>NCD</c:v>
                  </c:pt>
                  <c:pt idx="89">
                    <c:v>NCD</c:v>
                  </c:pt>
                  <c:pt idx="90">
                    <c:v>NCD</c:v>
                  </c:pt>
                  <c:pt idx="91">
                    <c:v>NCD</c:v>
                  </c:pt>
                  <c:pt idx="93">
                    <c:v>NCD</c:v>
                  </c:pt>
                  <c:pt idx="94">
                    <c:v>NCD</c:v>
                  </c:pt>
                  <c:pt idx="96">
                    <c:v>NCD</c:v>
                  </c:pt>
                  <c:pt idx="97">
                    <c:v>NCD</c:v>
                  </c:pt>
                  <c:pt idx="98">
                    <c:v>NCD</c:v>
                  </c:pt>
                  <c:pt idx="100">
                    <c:v>NCD</c:v>
                  </c:pt>
                  <c:pt idx="101">
                    <c:v>NCD</c:v>
                  </c:pt>
                </c:lvl>
                <c:lvl>
                  <c:pt idx="1">
                    <c:v>IEC/BCC activities under MH</c:v>
                  </c:pt>
                  <c:pt idx="2">
                    <c:v>Media Mix of Mid Media/ Mass Media</c:v>
                  </c:pt>
                  <c:pt idx="3">
                    <c:v>Inter Personal Communication</c:v>
                  </c:pt>
                  <c:pt idx="4">
                    <c:v>Any other IEC/BCC activities (please specify)</c:v>
                  </c:pt>
                  <c:pt idx="5">
                    <c:v>IEC/BCC activities under CH</c:v>
                  </c:pt>
                  <c:pt idx="6">
                    <c:v>Media Mix of Mid Media/ Mass Media</c:v>
                  </c:pt>
                  <c:pt idx="7">
                    <c:v>Inter Personal Communication</c:v>
                  </c:pt>
                  <c:pt idx="8">
                    <c:v>IEC for family participatory care</c:v>
                  </c:pt>
                  <c:pt idx="9">
                    <c:v>Any other IEC/BCC activities (please specify) including SAANS campaign IEC at state/district level</c:v>
                  </c:pt>
                  <c:pt idx="10">
                    <c:v>IEC/BCC activities under FP</c:v>
                  </c:pt>
                  <c:pt idx="11">
                    <c:v>Media Mix of Mid Media/ Mass Media</c:v>
                  </c:pt>
                  <c:pt idx="12">
                    <c:v>Inter Personal Communication</c:v>
                  </c:pt>
                  <c:pt idx="13">
                    <c:v>IEC &amp; promotional activities for World Population Day celebration</c:v>
                  </c:pt>
                  <c:pt idx="14">
                    <c:v>IEC &amp; promotional activities for Vasectomy Fortnight celebration </c:v>
                  </c:pt>
                  <c:pt idx="15">
                    <c:v>IEC activities for Mission Parivar Vikas Campaign (Frequency-at least 4/year)</c:v>
                  </c:pt>
                  <c:pt idx="16">
                    <c:v>Any other IEC/BCC activities (please specify)</c:v>
                  </c:pt>
                  <c:pt idx="17">
                    <c:v>IEC/BCC activities under AH</c:v>
                  </c:pt>
                  <c:pt idx="18">
                    <c:v>Media Mix of Mass Media/ Mid Media including promotion of menstrual hygiene scheme</c:v>
                  </c:pt>
                  <c:pt idx="19">
                    <c:v>Inter Personal Communication</c:v>
                  </c:pt>
                  <c:pt idx="20">
                    <c:v>Any other IEC/BCC activities (please specify)</c:v>
                  </c:pt>
                  <c:pt idx="21">
                    <c:v>IEC/BCC activities under Immunization</c:v>
                  </c:pt>
                  <c:pt idx="22">
                    <c:v>IEC activities for Immunization</c:v>
                  </c:pt>
                  <c:pt idx="23">
                    <c:v>Any other IEC/BCC activities (please specify)</c:v>
                  </c:pt>
                  <c:pt idx="24">
                    <c:v>IEC/BCC activities under PNDT</c:v>
                  </c:pt>
                  <c:pt idx="25">
                    <c:v>Creating awareness on declining sex ratio issue (PNDT)</c:v>
                  </c:pt>
                  <c:pt idx="26">
                    <c:v>Any other IEC/BCC activities (please specify)</c:v>
                  </c:pt>
                  <c:pt idx="27">
                    <c:v>IEC/BCC activities under NIDDCP</c:v>
                  </c:pt>
                  <c:pt idx="28">
                    <c:v>Health Education &amp; Publicity for NIDDCP</c:v>
                  </c:pt>
                  <c:pt idx="29">
                    <c:v>Any other IEC/BCC activities (please specify)</c:v>
                  </c:pt>
                  <c:pt idx="31">
                    <c:v>Development of State Communication strategy (comprising of district plans)</c:v>
                  </c:pt>
                  <c:pt idx="32">
                    <c:v>IEC/BCC activities under Blood services &amp; disorders</c:v>
                  </c:pt>
                  <c:pt idx="33">
                    <c:v>IEC/BCC activities under Blood Services</c:v>
                  </c:pt>
                  <c:pt idx="34">
                    <c:v>IEC/BCC activities under Blood Disorders</c:v>
                  </c:pt>
                  <c:pt idx="35">
                    <c:v>IEC/BCC activities under ASHA</c:v>
                  </c:pt>
                  <c:pt idx="38">
                    <c:v>IEC activities for Ayushman Bharat Health &amp; Wellness centre (H&amp;WC)</c:v>
                  </c:pt>
                  <c:pt idx="39">
                    <c:v>IEC Activity under NQAP, LaQshya, Kayakalp &amp; Mera-Aspataal (Signages- Approach road, Departmental, Directional and other facility level signage's)</c:v>
                  </c:pt>
                  <c:pt idx="40">
                    <c:v>IEC/BCC- Free Diagnostic Service Initiative (Pathology &amp; Radiology)</c:v>
                  </c:pt>
                  <c:pt idx="41">
                    <c:v>Other IEC/BCC activities</c:v>
                  </c:pt>
                  <c:pt idx="42">
                    <c:v>Interpersonal Communication Tools for the frontline health workers</c:v>
                  </c:pt>
                  <c:pt idx="43">
                    <c:v>Targeting Naturally Occurring Gathering of People/ Health Mela</c:v>
                  </c:pt>
                  <c:pt idx="44">
                    <c:v>Innovative IEC/ BCC Strategies including mobile based solutions, social media and engagement of youth</c:v>
                  </c:pt>
                  <c:pt idx="45">
                    <c:v>SBCC/IEC/Advocacy campaigns </c:v>
                  </c:pt>
                  <c:pt idx="46">
                    <c:v>Places covered with hoardings/ bill boards/ signage etc.</c:v>
                  </c:pt>
                  <c:pt idx="47">
                    <c:v>Usage of Folk media such as Nukkad Natak/ mobile audio visual services/ local radio etc.</c:v>
                  </c:pt>
                  <c:pt idx="48">
                    <c:v>Development of IEC Material</c:v>
                  </c:pt>
                  <c:pt idx="49">
                    <c:v>State-level IEC Campaigns/Other IEC Campaigns</c:v>
                  </c:pt>
                  <c:pt idx="50">
                    <c:v>Any other (please specify)</c:v>
                  </c:pt>
                  <c:pt idx="52">
                    <c:v>IEC/BCC activities under NVBDCP</c:v>
                  </c:pt>
                  <c:pt idx="53">
                    <c:v>IEC/BCC for Malaria</c:v>
                  </c:pt>
                  <c:pt idx="54">
                    <c:v>IEC/BCC for Social mobilization (Dengue and Chikungunya)</c:v>
                  </c:pt>
                  <c:pt idx="55">
                    <c:v>IEC/BCC specific to J.E. in endemic areas</c:v>
                  </c:pt>
                  <c:pt idx="56">
                    <c:v>Specific IEC/BCC for Lymphatic Filariasis at State, District, PHC, Sub-centre and village level including VHSC/GKs for community mobilization efforts to realize the desired drug compliance of 85% during MDA</c:v>
                  </c:pt>
                  <c:pt idx="57">
                    <c:v>IEC/BCC/Advocacy for Kala-azar</c:v>
                  </c:pt>
                  <c:pt idx="58">
                    <c:v>IEC/BCC activities as per the GFATM project</c:v>
                  </c:pt>
                  <c:pt idx="59">
                    <c:v>IEC/ BCC activities under MVCR</c:v>
                  </c:pt>
                  <c:pt idx="60">
                    <c:v>Any other IEC/BCC activities (please specify)</c:v>
                  </c:pt>
                  <c:pt idx="61">
                    <c:v>IEC/BCC activities under NLEP</c:v>
                  </c:pt>
                  <c:pt idx="62">
                    <c:v>IEC/BCC: Mass media, Outdoor media, Rural media, Advocacy media for NLEP including Sparsh Leprosy Awareness Campaign</c:v>
                  </c:pt>
                  <c:pt idx="63">
                    <c:v>Any other IEC/BCC activities (please specify)</c:v>
                  </c:pt>
                  <c:pt idx="64">
                    <c:v>IEC/BCC activities under NTEP</c:v>
                  </c:pt>
                  <c:pt idx="65">
                    <c:v>ACSM (State &amp; district)</c:v>
                  </c:pt>
                  <c:pt idx="66">
                    <c:v>TB Harega Desh Jeetega' Campaign</c:v>
                  </c:pt>
                  <c:pt idx="67">
                    <c:v>Any other IEC/BCC activities (please specify)</c:v>
                  </c:pt>
                  <c:pt idx="68">
                    <c:v>IEC/BCC under NRCP: Rabies Awareness and Do's and Don'ts in the event of Animal Bites</c:v>
                  </c:pt>
                  <c:pt idx="69">
                    <c:v>IEC under Programme for Prevention and Control of Leptospirosis</c:v>
                  </c:pt>
                  <c:pt idx="70">
                    <c:v>IEC under NVHCP</c:v>
                  </c:pt>
                  <c:pt idx="72">
                    <c:v>IEC/BCC activities under NPCB</c:v>
                  </c:pt>
                  <c:pt idx="73">
                    <c:v>State level IEC for Minor State @ Rs. 10 lakh and for Major States @ Rs. 20 lakh under NPCB&amp;VI</c:v>
                  </c:pt>
                  <c:pt idx="74">
                    <c:v>Any other IEC/BCC activities (please specify)</c:v>
                  </c:pt>
                  <c:pt idx="75">
                    <c:v>IEC/BCC activities under NMHP</c:v>
                  </c:pt>
                  <c:pt idx="76">
                    <c:v>Translation of IEC material and distribution</c:v>
                  </c:pt>
                  <c:pt idx="77">
                    <c:v>Awareness generation activities in the community, schools, workplaces with community involvement</c:v>
                  </c:pt>
                  <c:pt idx="78">
                    <c:v>Any other IEC/BCC activities (please specify)</c:v>
                  </c:pt>
                  <c:pt idx="79">
                    <c:v>IEC/BCC activities under NPHCE</c:v>
                  </c:pt>
                  <c:pt idx="80">
                    <c:v>IPC,Group activities and mass media for NPHCE</c:v>
                  </c:pt>
                  <c:pt idx="81">
                    <c:v>Celebration of days-ie International Day for older persons</c:v>
                  </c:pt>
                  <c:pt idx="82">
                    <c:v>IEC/BCC activities under NTCP</c:v>
                  </c:pt>
                  <c:pt idx="83">
                    <c:v>IEC/BCC for NTCP</c:v>
                  </c:pt>
                  <c:pt idx="84">
                    <c:v>IEC/BCC activities under NPCDCS</c:v>
                  </c:pt>
                  <c:pt idx="85">
                    <c:v>IEC/BCC for State NCD  Cell</c:v>
                  </c:pt>
                  <c:pt idx="86">
                    <c:v>IEC/BCC for District  NCD Cell</c:v>
                  </c:pt>
                  <c:pt idx="87">
                    <c:v>IEC/BCC activities for Universal Screening of NCDs</c:v>
                  </c:pt>
                  <c:pt idx="88">
                    <c:v>Any other IEC/BCC activities (please specify)</c:v>
                  </c:pt>
                  <c:pt idx="89">
                    <c:v>IEC/BCC under NOHP</c:v>
                  </c:pt>
                  <c:pt idx="90">
                    <c:v>IEC on Climate Sensitive Diseases at Block , District and State level  – Air pollution, Heat and other relevant Climate Sensitive diseases</c:v>
                  </c:pt>
                  <c:pt idx="91">
                    <c:v>IEC/BCC - National Dialysis Programme (Haemodialysis and Peritoneal Dialysis)</c:v>
                  </c:pt>
                  <c:pt idx="92">
                    <c:v>IEC/BCC activities under NPPCD</c:v>
                  </c:pt>
                  <c:pt idx="93">
                    <c:v>IEC activities</c:v>
                  </c:pt>
                  <c:pt idx="94">
                    <c:v>Any Other</c:v>
                  </c:pt>
                  <c:pt idx="95">
                    <c:v>IEC/BCC activities under NPPC</c:v>
                  </c:pt>
                  <c:pt idx="96">
                    <c:v>IEC for DH</c:v>
                  </c:pt>
                  <c:pt idx="97">
                    <c:v>IEC for State Palliative care cell</c:v>
                  </c:pt>
                  <c:pt idx="98">
                    <c:v>Any other IEC/BCC activities (please specify)</c:v>
                  </c:pt>
                  <c:pt idx="99">
                    <c:v>IEC/BCC activities under NPPCF</c:v>
                  </c:pt>
                  <c:pt idx="100">
                    <c:v>Health Education &amp; Publicity for National Programme for Fluorosis (State and District Level)</c:v>
                  </c:pt>
                  <c:pt idx="101">
                    <c:v>Any other IEC/BCC activities (please specify)</c:v>
                  </c:pt>
                </c:lvl>
                <c:lvl>
                  <c:pt idx="1">
                    <c:v>B.10.3.1</c:v>
                  </c:pt>
                  <c:pt idx="2">
                    <c:v>B.10.3.1.1</c:v>
                  </c:pt>
                  <c:pt idx="3">
                    <c:v>B.10.3.1.2</c:v>
                  </c:pt>
                  <c:pt idx="5">
                    <c:v>B.10.3.2</c:v>
                  </c:pt>
                  <c:pt idx="6">
                    <c:v>B.10.3.2.1</c:v>
                  </c:pt>
                  <c:pt idx="7">
                    <c:v>B.10.3.2.2</c:v>
                  </c:pt>
                  <c:pt idx="10">
                    <c:v>B.10.3.3</c:v>
                  </c:pt>
                  <c:pt idx="11">
                    <c:v>B.10.3.3.1</c:v>
                  </c:pt>
                  <c:pt idx="12">
                    <c:v>B.10.3.3.2</c:v>
                  </c:pt>
                  <c:pt idx="13">
                    <c:v>A.3.5.4</c:v>
                  </c:pt>
                  <c:pt idx="14">
                    <c:v>A.3.5.5</c:v>
                  </c:pt>
                  <c:pt idx="15">
                    <c:v>A.3.7.4</c:v>
                  </c:pt>
                  <c:pt idx="17">
                    <c:v>B.10.3.4</c:v>
                  </c:pt>
                  <c:pt idx="18">
                    <c:v>B.10.3.4.1</c:v>
                  </c:pt>
                  <c:pt idx="19">
                    <c:v>B.10.3.4.2</c:v>
                  </c:pt>
                  <c:pt idx="25">
                    <c:v>B.10.3.5</c:v>
                  </c:pt>
                  <c:pt idx="28">
                    <c:v>B.10.6.7</c:v>
                  </c:pt>
                  <c:pt idx="31">
                    <c:v>B.10.2</c:v>
                  </c:pt>
                  <c:pt idx="32">
                    <c:v>B.10.7.4.5</c:v>
                  </c:pt>
                  <c:pt idx="38">
                    <c:v>B18.3</c:v>
                  </c:pt>
                  <c:pt idx="42">
                    <c:v>B.10.4</c:v>
                  </c:pt>
                  <c:pt idx="43">
                    <c:v>B.10.5</c:v>
                  </c:pt>
                  <c:pt idx="44">
                    <c:v>B.10.6.1</c:v>
                  </c:pt>
                  <c:pt idx="45">
                    <c:v>B.10.6.14.1</c:v>
                  </c:pt>
                  <c:pt idx="46">
                    <c:v>B.10.6.14.1.b</c:v>
                  </c:pt>
                  <c:pt idx="47">
                    <c:v>B.10.6.14.1.c</c:v>
                  </c:pt>
                  <c:pt idx="48">
                    <c:v>B.10.6.14.3.a</c:v>
                  </c:pt>
                  <c:pt idx="49">
                    <c:v>B.10.6.14.3.b</c:v>
                  </c:pt>
                  <c:pt idx="53">
                    <c:v>B.10.6.9.a</c:v>
                  </c:pt>
                  <c:pt idx="54">
                    <c:v>B.10.6.9.b</c:v>
                  </c:pt>
                  <c:pt idx="55">
                    <c:v>B.10.6.9.c</c:v>
                  </c:pt>
                  <c:pt idx="56">
                    <c:v>B.10.6.9.d</c:v>
                  </c:pt>
                  <c:pt idx="57">
                    <c:v>B.10.6.9.e</c:v>
                  </c:pt>
                  <c:pt idx="58">
                    <c:v>B.10.6.9.f</c:v>
                  </c:pt>
                  <c:pt idx="62">
                    <c:v>B.10.6.10</c:v>
                  </c:pt>
                  <c:pt idx="65">
                    <c:v>H.4</c:v>
                  </c:pt>
                  <c:pt idx="73">
                    <c:v>B.10.6.11</c:v>
                  </c:pt>
                  <c:pt idx="75">
                    <c:v>B.10.6.12</c:v>
                  </c:pt>
                  <c:pt idx="76">
                    <c:v>B.10.6.12.a</c:v>
                  </c:pt>
                  <c:pt idx="77">
                    <c:v>B.10.6.12.b</c:v>
                  </c:pt>
                  <c:pt idx="80">
                    <c:v>B.10.6.13</c:v>
                  </c:pt>
                  <c:pt idx="83">
                    <c:v>B.10.6.14</c:v>
                  </c:pt>
                  <c:pt idx="84">
                    <c:v>O.2.3</c:v>
                  </c:pt>
                  <c:pt idx="85">
                    <c:v>O.2.3.1</c:v>
                  </c:pt>
                  <c:pt idx="86">
                    <c:v>O.2.3.2</c:v>
                  </c:pt>
                  <c:pt idx="92">
                    <c:v>B.10.6.5</c:v>
                  </c:pt>
                  <c:pt idx="96">
                    <c:v>B.27.1.3</c:v>
                  </c:pt>
                  <c:pt idx="97">
                    <c:v>B.27.2.2</c:v>
                  </c:pt>
                  <c:pt idx="100">
                    <c:v>B.10.6.6</c:v>
                  </c:pt>
                </c:lvl>
                <c:lvl>
                  <c:pt idx="1">
                    <c:v>11.4</c:v>
                  </c:pt>
                  <c:pt idx="2">
                    <c:v>11.4.1</c:v>
                  </c:pt>
                  <c:pt idx="3">
                    <c:v>11.4.2</c:v>
                  </c:pt>
                  <c:pt idx="4">
                    <c:v>11.4.3</c:v>
                  </c:pt>
                  <c:pt idx="5">
                    <c:v>11.5</c:v>
                  </c:pt>
                  <c:pt idx="6">
                    <c:v>11.5.1</c:v>
                  </c:pt>
                  <c:pt idx="7">
                    <c:v>11.5.2</c:v>
                  </c:pt>
                  <c:pt idx="8">
                    <c:v>11.5.3</c:v>
                  </c:pt>
                  <c:pt idx="9">
                    <c:v>11.5.4</c:v>
                  </c:pt>
                  <c:pt idx="10">
                    <c:v>11.6</c:v>
                  </c:pt>
                  <c:pt idx="11">
                    <c:v>11.6.1</c:v>
                  </c:pt>
                  <c:pt idx="12">
                    <c:v>11.6.2</c:v>
                  </c:pt>
                  <c:pt idx="13">
                    <c:v>11.6.3</c:v>
                  </c:pt>
                  <c:pt idx="14">
                    <c:v>11.6.4</c:v>
                  </c:pt>
                  <c:pt idx="15">
                    <c:v>11.6.5</c:v>
                  </c:pt>
                  <c:pt idx="16">
                    <c:v>11.6.6</c:v>
                  </c:pt>
                  <c:pt idx="17">
                    <c:v>11.7</c:v>
                  </c:pt>
                  <c:pt idx="18">
                    <c:v>11.7.1</c:v>
                  </c:pt>
                  <c:pt idx="19">
                    <c:v>11.7.2</c:v>
                  </c:pt>
                  <c:pt idx="20">
                    <c:v>11.7.3</c:v>
                  </c:pt>
                  <c:pt idx="21">
                    <c:v>11.8</c:v>
                  </c:pt>
                  <c:pt idx="22">
                    <c:v>11.8.1</c:v>
                  </c:pt>
                  <c:pt idx="23">
                    <c:v>11.8.2</c:v>
                  </c:pt>
                  <c:pt idx="24">
                    <c:v>11.9</c:v>
                  </c:pt>
                  <c:pt idx="25">
                    <c:v>11.9.1</c:v>
                  </c:pt>
                  <c:pt idx="26">
                    <c:v>11.9.2</c:v>
                  </c:pt>
                  <c:pt idx="27">
                    <c:v>11.14</c:v>
                  </c:pt>
                  <c:pt idx="28">
                    <c:v>11.14.1</c:v>
                  </c:pt>
                  <c:pt idx="29">
                    <c:v>11.14.2</c:v>
                  </c:pt>
                  <c:pt idx="31">
                    <c:v>11.1</c:v>
                  </c:pt>
                  <c:pt idx="32">
                    <c:v>11.10</c:v>
                  </c:pt>
                  <c:pt idx="33">
                    <c:v>11.10.1</c:v>
                  </c:pt>
                  <c:pt idx="34">
                    <c:v>11.10.2</c:v>
                  </c:pt>
                  <c:pt idx="35">
                    <c:v>11.23</c:v>
                  </c:pt>
                  <c:pt idx="36">
                    <c:v>11.23.1</c:v>
                  </c:pt>
                  <c:pt idx="37">
                    <c:v>11.23.2</c:v>
                  </c:pt>
                  <c:pt idx="38">
                    <c:v>11.24.1</c:v>
                  </c:pt>
                  <c:pt idx="39">
                    <c:v>11.24.4.5</c:v>
                  </c:pt>
                  <c:pt idx="40">
                    <c:v>11.24.4.7</c:v>
                  </c:pt>
                  <c:pt idx="41">
                    <c:v>11.24</c:v>
                  </c:pt>
                  <c:pt idx="42">
                    <c:v>11.2</c:v>
                  </c:pt>
                  <c:pt idx="43">
                    <c:v>11.3</c:v>
                  </c:pt>
                  <c:pt idx="44">
                    <c:v>11.24.2</c:v>
                  </c:pt>
                  <c:pt idx="45">
                    <c:v>11.24.3</c:v>
                  </c:pt>
                  <c:pt idx="46">
                    <c:v>11.24.3.1</c:v>
                  </c:pt>
                  <c:pt idx="47">
                    <c:v>11.24.3.2</c:v>
                  </c:pt>
                  <c:pt idx="48">
                    <c:v>11.24.3.3</c:v>
                  </c:pt>
                  <c:pt idx="49">
                    <c:v>11.24.3.4</c:v>
                  </c:pt>
                  <c:pt idx="50">
                    <c:v>11.24.4.9</c:v>
                  </c:pt>
                  <c:pt idx="52">
                    <c:v>11.15</c:v>
                  </c:pt>
                  <c:pt idx="53">
                    <c:v>11.15.1</c:v>
                  </c:pt>
                  <c:pt idx="54">
                    <c:v>11.15.2</c:v>
                  </c:pt>
                  <c:pt idx="55">
                    <c:v>11.15.3</c:v>
                  </c:pt>
                  <c:pt idx="56">
                    <c:v>11.15.4</c:v>
                  </c:pt>
                  <c:pt idx="57">
                    <c:v>11.15.5</c:v>
                  </c:pt>
                  <c:pt idx="58">
                    <c:v>11.15.6</c:v>
                  </c:pt>
                  <c:pt idx="59">
                    <c:v>11.15.7</c:v>
                  </c:pt>
                  <c:pt idx="60">
                    <c:v>11.15.8</c:v>
                  </c:pt>
                  <c:pt idx="61">
                    <c:v>11.16</c:v>
                  </c:pt>
                  <c:pt idx="62">
                    <c:v>11.16.1</c:v>
                  </c:pt>
                  <c:pt idx="63">
                    <c:v>11.16.2</c:v>
                  </c:pt>
                  <c:pt idx="64">
                    <c:v>11.17</c:v>
                  </c:pt>
                  <c:pt idx="65">
                    <c:v>11.17.1</c:v>
                  </c:pt>
                  <c:pt idx="66">
                    <c:v>11.17.2</c:v>
                  </c:pt>
                  <c:pt idx="67">
                    <c:v>11.17.3</c:v>
                  </c:pt>
                  <c:pt idx="68">
                    <c:v>11.24.4.1</c:v>
                  </c:pt>
                  <c:pt idx="69">
                    <c:v>11.24.4.6</c:v>
                  </c:pt>
                  <c:pt idx="72">
                    <c:v>11.18</c:v>
                  </c:pt>
                  <c:pt idx="73">
                    <c:v>11.18.1</c:v>
                  </c:pt>
                  <c:pt idx="74">
                    <c:v>11.18.2</c:v>
                  </c:pt>
                  <c:pt idx="75">
                    <c:v>11.19</c:v>
                  </c:pt>
                  <c:pt idx="76">
                    <c:v>11.19.1</c:v>
                  </c:pt>
                  <c:pt idx="77">
                    <c:v>11.19.2</c:v>
                  </c:pt>
                  <c:pt idx="78">
                    <c:v>11.19.3</c:v>
                  </c:pt>
                  <c:pt idx="79">
                    <c:v>11.20</c:v>
                  </c:pt>
                  <c:pt idx="80">
                    <c:v>11.20.1</c:v>
                  </c:pt>
                  <c:pt idx="81">
                    <c:v>11.20.2</c:v>
                  </c:pt>
                  <c:pt idx="82">
                    <c:v>11.21</c:v>
                  </c:pt>
                  <c:pt idx="83">
                    <c:v>11.21.1</c:v>
                  </c:pt>
                  <c:pt idx="84">
                    <c:v>11.22</c:v>
                  </c:pt>
                  <c:pt idx="85">
                    <c:v>11.22.1</c:v>
                  </c:pt>
                  <c:pt idx="86">
                    <c:v>11.22.2</c:v>
                  </c:pt>
                  <c:pt idx="87">
                    <c:v>11.22.3</c:v>
                  </c:pt>
                  <c:pt idx="88">
                    <c:v>11.22.4</c:v>
                  </c:pt>
                  <c:pt idx="89">
                    <c:v>11.24.4.2</c:v>
                  </c:pt>
                  <c:pt idx="90">
                    <c:v>11.24.4.4</c:v>
                  </c:pt>
                  <c:pt idx="91">
                    <c:v>11.24.4.8</c:v>
                  </c:pt>
                  <c:pt idx="92">
                    <c:v>11.11</c:v>
                  </c:pt>
                  <c:pt idx="93">
                    <c:v>11.11.1</c:v>
                  </c:pt>
                  <c:pt idx="94">
                    <c:v>11.11.2</c:v>
                  </c:pt>
                  <c:pt idx="95">
                    <c:v>11.12</c:v>
                  </c:pt>
                  <c:pt idx="96">
                    <c:v>11.12.1</c:v>
                  </c:pt>
                  <c:pt idx="97">
                    <c:v>11.12.2</c:v>
                  </c:pt>
                  <c:pt idx="98">
                    <c:v>11.12.3</c:v>
                  </c:pt>
                  <c:pt idx="99">
                    <c:v>11.13</c:v>
                  </c:pt>
                  <c:pt idx="100">
                    <c:v>11.13.1</c:v>
                  </c:pt>
                  <c:pt idx="101">
                    <c:v>11.13.2</c:v>
                  </c:pt>
                </c:lvl>
              </c:multiLvlStrCache>
            </c:multiLvlStrRef>
          </c:cat>
          <c:val>
            <c:numRef>
              <c:f>'11-A. IEC Sub-Annex'!$R$5:$R$106</c:f>
              <c:numCache>
                <c:formatCode>0.00</c:formatCode>
                <c:ptCount val="102"/>
                <c:pt idx="1">
                  <c:v>52.7</c:v>
                </c:pt>
                <c:pt idx="2">
                  <c:v>52.7</c:v>
                </c:pt>
                <c:pt idx="3">
                  <c:v>0</c:v>
                </c:pt>
                <c:pt idx="4">
                  <c:v>0</c:v>
                </c:pt>
                <c:pt idx="5">
                  <c:v>52.7</c:v>
                </c:pt>
                <c:pt idx="6">
                  <c:v>52.7</c:v>
                </c:pt>
                <c:pt idx="7">
                  <c:v>0</c:v>
                </c:pt>
                <c:pt idx="8">
                  <c:v>0</c:v>
                </c:pt>
                <c:pt idx="9">
                  <c:v>0</c:v>
                </c:pt>
                <c:pt idx="10">
                  <c:v>58.460000000000008</c:v>
                </c:pt>
                <c:pt idx="11">
                  <c:v>52.7</c:v>
                </c:pt>
                <c:pt idx="12">
                  <c:v>0</c:v>
                </c:pt>
                <c:pt idx="13">
                  <c:v>2.88</c:v>
                </c:pt>
                <c:pt idx="14">
                  <c:v>2.88</c:v>
                </c:pt>
                <c:pt idx="15">
                  <c:v>0</c:v>
                </c:pt>
                <c:pt idx="16">
                  <c:v>0</c:v>
                </c:pt>
                <c:pt idx="17">
                  <c:v>52.7</c:v>
                </c:pt>
                <c:pt idx="18">
                  <c:v>52.7</c:v>
                </c:pt>
                <c:pt idx="19">
                  <c:v>0</c:v>
                </c:pt>
                <c:pt idx="20">
                  <c:v>0</c:v>
                </c:pt>
                <c:pt idx="21">
                  <c:v>27</c:v>
                </c:pt>
                <c:pt idx="22">
                  <c:v>27</c:v>
                </c:pt>
                <c:pt idx="23">
                  <c:v>0</c:v>
                </c:pt>
                <c:pt idx="24">
                  <c:v>2</c:v>
                </c:pt>
                <c:pt idx="25">
                  <c:v>2</c:v>
                </c:pt>
                <c:pt idx="26">
                  <c:v>0</c:v>
                </c:pt>
                <c:pt idx="27">
                  <c:v>5</c:v>
                </c:pt>
                <c:pt idx="28">
                  <c:v>5</c:v>
                </c:pt>
                <c:pt idx="29">
                  <c:v>0</c:v>
                </c:pt>
                <c:pt idx="32">
                  <c:v>0</c:v>
                </c:pt>
                <c:pt idx="33">
                  <c:v>0</c:v>
                </c:pt>
                <c:pt idx="34">
                  <c:v>0</c:v>
                </c:pt>
                <c:pt idx="35">
                  <c:v>0</c:v>
                </c:pt>
                <c:pt idx="36">
                  <c:v>0</c:v>
                </c:pt>
                <c:pt idx="37">
                  <c:v>0</c:v>
                </c:pt>
                <c:pt idx="38">
                  <c:v>73.64</c:v>
                </c:pt>
                <c:pt idx="41">
                  <c:v>120.64</c:v>
                </c:pt>
                <c:pt idx="43">
                  <c:v>45.64</c:v>
                </c:pt>
                <c:pt idx="45">
                  <c:v>75</c:v>
                </c:pt>
                <c:pt idx="46">
                  <c:v>75</c:v>
                </c:pt>
                <c:pt idx="49">
                  <c:v>0</c:v>
                </c:pt>
                <c:pt idx="50">
                  <c:v>0</c:v>
                </c:pt>
                <c:pt idx="52">
                  <c:v>10.8</c:v>
                </c:pt>
                <c:pt idx="53">
                  <c:v>3</c:v>
                </c:pt>
                <c:pt idx="54">
                  <c:v>3</c:v>
                </c:pt>
                <c:pt idx="55">
                  <c:v>0</c:v>
                </c:pt>
                <c:pt idx="56">
                  <c:v>0</c:v>
                </c:pt>
                <c:pt idx="57">
                  <c:v>0</c:v>
                </c:pt>
                <c:pt idx="58">
                  <c:v>0</c:v>
                </c:pt>
                <c:pt idx="59">
                  <c:v>4.8</c:v>
                </c:pt>
                <c:pt idx="60">
                  <c:v>0</c:v>
                </c:pt>
                <c:pt idx="61">
                  <c:v>8</c:v>
                </c:pt>
                <c:pt idx="62">
                  <c:v>8</c:v>
                </c:pt>
                <c:pt idx="63">
                  <c:v>0</c:v>
                </c:pt>
                <c:pt idx="64">
                  <c:v>75.53</c:v>
                </c:pt>
                <c:pt idx="65">
                  <c:v>57.53</c:v>
                </c:pt>
                <c:pt idx="66">
                  <c:v>18</c:v>
                </c:pt>
                <c:pt idx="67">
                  <c:v>0</c:v>
                </c:pt>
                <c:pt idx="68">
                  <c:v>5</c:v>
                </c:pt>
                <c:pt idx="69">
                  <c:v>0</c:v>
                </c:pt>
                <c:pt idx="70">
                  <c:v>6</c:v>
                </c:pt>
                <c:pt idx="72">
                  <c:v>10</c:v>
                </c:pt>
                <c:pt idx="73">
                  <c:v>10</c:v>
                </c:pt>
                <c:pt idx="74">
                  <c:v>0</c:v>
                </c:pt>
                <c:pt idx="75">
                  <c:v>5</c:v>
                </c:pt>
                <c:pt idx="76">
                  <c:v>0</c:v>
                </c:pt>
                <c:pt idx="77">
                  <c:v>5</c:v>
                </c:pt>
                <c:pt idx="78">
                  <c:v>0</c:v>
                </c:pt>
                <c:pt idx="79">
                  <c:v>2.4</c:v>
                </c:pt>
                <c:pt idx="80">
                  <c:v>1.2</c:v>
                </c:pt>
                <c:pt idx="81">
                  <c:v>1.2</c:v>
                </c:pt>
                <c:pt idx="82">
                  <c:v>10.01</c:v>
                </c:pt>
                <c:pt idx="83">
                  <c:v>10.01</c:v>
                </c:pt>
                <c:pt idx="84">
                  <c:v>20</c:v>
                </c:pt>
                <c:pt idx="85">
                  <c:v>20</c:v>
                </c:pt>
                <c:pt idx="86">
                  <c:v>0</c:v>
                </c:pt>
                <c:pt idx="87">
                  <c:v>0</c:v>
                </c:pt>
                <c:pt idx="88">
                  <c:v>0</c:v>
                </c:pt>
                <c:pt idx="89">
                  <c:v>5</c:v>
                </c:pt>
                <c:pt idx="90">
                  <c:v>8.15</c:v>
                </c:pt>
                <c:pt idx="91">
                  <c:v>0</c:v>
                </c:pt>
                <c:pt idx="92">
                  <c:v>1.3</c:v>
                </c:pt>
                <c:pt idx="93">
                  <c:v>1.3</c:v>
                </c:pt>
                <c:pt idx="94">
                  <c:v>0</c:v>
                </c:pt>
                <c:pt idx="95">
                  <c:v>0</c:v>
                </c:pt>
                <c:pt idx="96">
                  <c:v>0</c:v>
                </c:pt>
                <c:pt idx="97">
                  <c:v>0</c:v>
                </c:pt>
                <c:pt idx="98">
                  <c:v>0</c:v>
                </c:pt>
                <c:pt idx="99">
                  <c:v>0</c:v>
                </c:pt>
                <c:pt idx="100">
                  <c:v>0</c:v>
                </c:pt>
                <c:pt idx="101">
                  <c:v>0</c:v>
                </c:pt>
              </c:numCache>
            </c:numRef>
          </c:val>
          <c:extLst xmlns:c16r2="http://schemas.microsoft.com/office/drawing/2015/06/chart">
            <c:ext xmlns:c16="http://schemas.microsoft.com/office/drawing/2014/chart" uri="{C3380CC4-5D6E-409C-BE32-E72D297353CC}">
              <c16:uniqueId val="{0000000C-5F31-4E66-B011-A29233064213}"/>
            </c:ext>
          </c:extLst>
        </c:ser>
        <c:ser>
          <c:idx val="13"/>
          <c:order val="13"/>
          <c:tx>
            <c:strRef>
              <c:f>'11-A. IEC Sub-Annex'!$S$1:$S$4</c:f>
              <c:strCache>
                <c:ptCount val="1"/>
                <c:pt idx="0">
                  <c:v>Summary of Abst. Approval for 2021-22 PM</c:v>
                </c:pt>
              </c:strCache>
            </c:strRef>
          </c:tx>
          <c:cat>
            <c:multiLvlStrRef>
              <c:f>'11-A. IEC Sub-Annex'!$A$5:$E$106</c:f>
              <c:multiLvlStrCache>
                <c:ptCount val="102"/>
                <c:lvl>
                  <c:pt idx="2">
                    <c:v>RCH</c:v>
                  </c:pt>
                  <c:pt idx="3">
                    <c:v>RCH</c:v>
                  </c:pt>
                  <c:pt idx="4">
                    <c:v>RCH</c:v>
                  </c:pt>
                  <c:pt idx="6">
                    <c:v>RCH</c:v>
                  </c:pt>
                  <c:pt idx="7">
                    <c:v>RCH</c:v>
                  </c:pt>
                  <c:pt idx="8">
                    <c:v>RCH</c:v>
                  </c:pt>
                  <c:pt idx="9">
                    <c:v>RCH</c:v>
                  </c:pt>
                  <c:pt idx="11">
                    <c:v>RCH</c:v>
                  </c:pt>
                  <c:pt idx="12">
                    <c:v>RCH</c:v>
                  </c:pt>
                  <c:pt idx="13">
                    <c:v>RCH</c:v>
                  </c:pt>
                  <c:pt idx="14">
                    <c:v>RCH</c:v>
                  </c:pt>
                  <c:pt idx="15">
                    <c:v>RCH</c:v>
                  </c:pt>
                  <c:pt idx="16">
                    <c:v>RCH</c:v>
                  </c:pt>
                  <c:pt idx="18">
                    <c:v>RCH</c:v>
                  </c:pt>
                  <c:pt idx="19">
                    <c:v>RCH</c:v>
                  </c:pt>
                  <c:pt idx="20">
                    <c:v>RCH</c:v>
                  </c:pt>
                  <c:pt idx="22">
                    <c:v>RCH</c:v>
                  </c:pt>
                  <c:pt idx="23">
                    <c:v>RCH</c:v>
                  </c:pt>
                  <c:pt idx="25">
                    <c:v>RCH</c:v>
                  </c:pt>
                  <c:pt idx="26">
                    <c:v>RCH</c:v>
                  </c:pt>
                  <c:pt idx="28">
                    <c:v>RCH</c:v>
                  </c:pt>
                  <c:pt idx="29">
                    <c:v>RCH</c:v>
                  </c:pt>
                  <c:pt idx="31">
                    <c:v>HSS</c:v>
                  </c:pt>
                  <c:pt idx="33">
                    <c:v>HSS</c:v>
                  </c:pt>
                  <c:pt idx="34">
                    <c:v>HSS</c:v>
                  </c:pt>
                  <c:pt idx="36">
                    <c:v>HSS</c:v>
                  </c:pt>
                  <c:pt idx="37">
                    <c:v>HSS</c:v>
                  </c:pt>
                  <c:pt idx="38">
                    <c:v>HSS</c:v>
                  </c:pt>
                  <c:pt idx="39">
                    <c:v>HSS</c:v>
                  </c:pt>
                  <c:pt idx="40">
                    <c:v>HSS</c:v>
                  </c:pt>
                  <c:pt idx="42">
                    <c:v>HSS</c:v>
                  </c:pt>
                  <c:pt idx="43">
                    <c:v>HSS</c:v>
                  </c:pt>
                  <c:pt idx="44">
                    <c:v>HSS</c:v>
                  </c:pt>
                  <c:pt idx="46">
                    <c:v>HSS</c:v>
                  </c:pt>
                  <c:pt idx="47">
                    <c:v>HSS</c:v>
                  </c:pt>
                  <c:pt idx="48">
                    <c:v>HSS</c:v>
                  </c:pt>
                  <c:pt idx="49">
                    <c:v>HSS</c:v>
                  </c:pt>
                  <c:pt idx="50">
                    <c:v>HSS</c:v>
                  </c:pt>
                  <c:pt idx="53">
                    <c:v>NDCP</c:v>
                  </c:pt>
                  <c:pt idx="54">
                    <c:v>NDCP</c:v>
                  </c:pt>
                  <c:pt idx="55">
                    <c:v>NDCP</c:v>
                  </c:pt>
                  <c:pt idx="56">
                    <c:v>NDCP</c:v>
                  </c:pt>
                  <c:pt idx="57">
                    <c:v>NDCP</c:v>
                  </c:pt>
                  <c:pt idx="58">
                    <c:v>NDCP</c:v>
                  </c:pt>
                  <c:pt idx="59">
                    <c:v>NDCP</c:v>
                  </c:pt>
                  <c:pt idx="60">
                    <c:v>NDCP</c:v>
                  </c:pt>
                  <c:pt idx="62">
                    <c:v>NDCP</c:v>
                  </c:pt>
                  <c:pt idx="63">
                    <c:v>NDCP</c:v>
                  </c:pt>
                  <c:pt idx="65">
                    <c:v>NDCP</c:v>
                  </c:pt>
                  <c:pt idx="66">
                    <c:v>NDCP</c:v>
                  </c:pt>
                  <c:pt idx="67">
                    <c:v>NDCP</c:v>
                  </c:pt>
                  <c:pt idx="68">
                    <c:v>NDCP</c:v>
                  </c:pt>
                  <c:pt idx="69">
                    <c:v>NDCP</c:v>
                  </c:pt>
                  <c:pt idx="70">
                    <c:v>NDCP</c:v>
                  </c:pt>
                  <c:pt idx="73">
                    <c:v>NCD</c:v>
                  </c:pt>
                  <c:pt idx="74">
                    <c:v>NCD</c:v>
                  </c:pt>
                  <c:pt idx="76">
                    <c:v>NCD</c:v>
                  </c:pt>
                  <c:pt idx="77">
                    <c:v>NCD</c:v>
                  </c:pt>
                  <c:pt idx="78">
                    <c:v>NCD</c:v>
                  </c:pt>
                  <c:pt idx="80">
                    <c:v>NCD</c:v>
                  </c:pt>
                  <c:pt idx="81">
                    <c:v>NCD</c:v>
                  </c:pt>
                  <c:pt idx="83">
                    <c:v>NCD</c:v>
                  </c:pt>
                  <c:pt idx="85">
                    <c:v>NCD</c:v>
                  </c:pt>
                  <c:pt idx="86">
                    <c:v>NCD</c:v>
                  </c:pt>
                  <c:pt idx="87">
                    <c:v>NCD</c:v>
                  </c:pt>
                  <c:pt idx="88">
                    <c:v>NCD</c:v>
                  </c:pt>
                  <c:pt idx="89">
                    <c:v>NCD</c:v>
                  </c:pt>
                  <c:pt idx="90">
                    <c:v>NCD</c:v>
                  </c:pt>
                  <c:pt idx="91">
                    <c:v>NCD</c:v>
                  </c:pt>
                  <c:pt idx="93">
                    <c:v>NCD</c:v>
                  </c:pt>
                  <c:pt idx="94">
                    <c:v>NCD</c:v>
                  </c:pt>
                  <c:pt idx="96">
                    <c:v>NCD</c:v>
                  </c:pt>
                  <c:pt idx="97">
                    <c:v>NCD</c:v>
                  </c:pt>
                  <c:pt idx="98">
                    <c:v>NCD</c:v>
                  </c:pt>
                  <c:pt idx="100">
                    <c:v>NCD</c:v>
                  </c:pt>
                  <c:pt idx="101">
                    <c:v>NCD</c:v>
                  </c:pt>
                </c:lvl>
                <c:lvl>
                  <c:pt idx="1">
                    <c:v>IEC/BCC activities under MH</c:v>
                  </c:pt>
                  <c:pt idx="2">
                    <c:v>Media Mix of Mid Media/ Mass Media</c:v>
                  </c:pt>
                  <c:pt idx="3">
                    <c:v>Inter Personal Communication</c:v>
                  </c:pt>
                  <c:pt idx="4">
                    <c:v>Any other IEC/BCC activities (please specify)</c:v>
                  </c:pt>
                  <c:pt idx="5">
                    <c:v>IEC/BCC activities under CH</c:v>
                  </c:pt>
                  <c:pt idx="6">
                    <c:v>Media Mix of Mid Media/ Mass Media</c:v>
                  </c:pt>
                  <c:pt idx="7">
                    <c:v>Inter Personal Communication</c:v>
                  </c:pt>
                  <c:pt idx="8">
                    <c:v>IEC for family participatory care</c:v>
                  </c:pt>
                  <c:pt idx="9">
                    <c:v>Any other IEC/BCC activities (please specify) including SAANS campaign IEC at state/district level</c:v>
                  </c:pt>
                  <c:pt idx="10">
                    <c:v>IEC/BCC activities under FP</c:v>
                  </c:pt>
                  <c:pt idx="11">
                    <c:v>Media Mix of Mid Media/ Mass Media</c:v>
                  </c:pt>
                  <c:pt idx="12">
                    <c:v>Inter Personal Communication</c:v>
                  </c:pt>
                  <c:pt idx="13">
                    <c:v>IEC &amp; promotional activities for World Population Day celebration</c:v>
                  </c:pt>
                  <c:pt idx="14">
                    <c:v>IEC &amp; promotional activities for Vasectomy Fortnight celebration </c:v>
                  </c:pt>
                  <c:pt idx="15">
                    <c:v>IEC activities for Mission Parivar Vikas Campaign (Frequency-at least 4/year)</c:v>
                  </c:pt>
                  <c:pt idx="16">
                    <c:v>Any other IEC/BCC activities (please specify)</c:v>
                  </c:pt>
                  <c:pt idx="17">
                    <c:v>IEC/BCC activities under AH</c:v>
                  </c:pt>
                  <c:pt idx="18">
                    <c:v>Media Mix of Mass Media/ Mid Media including promotion of menstrual hygiene scheme</c:v>
                  </c:pt>
                  <c:pt idx="19">
                    <c:v>Inter Personal Communication</c:v>
                  </c:pt>
                  <c:pt idx="20">
                    <c:v>Any other IEC/BCC activities (please specify)</c:v>
                  </c:pt>
                  <c:pt idx="21">
                    <c:v>IEC/BCC activities under Immunization</c:v>
                  </c:pt>
                  <c:pt idx="22">
                    <c:v>IEC activities for Immunization</c:v>
                  </c:pt>
                  <c:pt idx="23">
                    <c:v>Any other IEC/BCC activities (please specify)</c:v>
                  </c:pt>
                  <c:pt idx="24">
                    <c:v>IEC/BCC activities under PNDT</c:v>
                  </c:pt>
                  <c:pt idx="25">
                    <c:v>Creating awareness on declining sex ratio issue (PNDT)</c:v>
                  </c:pt>
                  <c:pt idx="26">
                    <c:v>Any other IEC/BCC activities (please specify)</c:v>
                  </c:pt>
                  <c:pt idx="27">
                    <c:v>IEC/BCC activities under NIDDCP</c:v>
                  </c:pt>
                  <c:pt idx="28">
                    <c:v>Health Education &amp; Publicity for NIDDCP</c:v>
                  </c:pt>
                  <c:pt idx="29">
                    <c:v>Any other IEC/BCC activities (please specify)</c:v>
                  </c:pt>
                  <c:pt idx="31">
                    <c:v>Development of State Communication strategy (comprising of district plans)</c:v>
                  </c:pt>
                  <c:pt idx="32">
                    <c:v>IEC/BCC activities under Blood services &amp; disorders</c:v>
                  </c:pt>
                  <c:pt idx="33">
                    <c:v>IEC/BCC activities under Blood Services</c:v>
                  </c:pt>
                  <c:pt idx="34">
                    <c:v>IEC/BCC activities under Blood Disorders</c:v>
                  </c:pt>
                  <c:pt idx="35">
                    <c:v>IEC/BCC activities under ASHA</c:v>
                  </c:pt>
                  <c:pt idx="38">
                    <c:v>IEC activities for Ayushman Bharat Health &amp; Wellness centre (H&amp;WC)</c:v>
                  </c:pt>
                  <c:pt idx="39">
                    <c:v>IEC Activity under NQAP, LaQshya, Kayakalp &amp; Mera-Aspataal (Signages- Approach road, Departmental, Directional and other facility level signage's)</c:v>
                  </c:pt>
                  <c:pt idx="40">
                    <c:v>IEC/BCC- Free Diagnostic Service Initiative (Pathology &amp; Radiology)</c:v>
                  </c:pt>
                  <c:pt idx="41">
                    <c:v>Other IEC/BCC activities</c:v>
                  </c:pt>
                  <c:pt idx="42">
                    <c:v>Interpersonal Communication Tools for the frontline health workers</c:v>
                  </c:pt>
                  <c:pt idx="43">
                    <c:v>Targeting Naturally Occurring Gathering of People/ Health Mela</c:v>
                  </c:pt>
                  <c:pt idx="44">
                    <c:v>Innovative IEC/ BCC Strategies including mobile based solutions, social media and engagement of youth</c:v>
                  </c:pt>
                  <c:pt idx="45">
                    <c:v>SBCC/IEC/Advocacy campaigns </c:v>
                  </c:pt>
                  <c:pt idx="46">
                    <c:v>Places covered with hoardings/ bill boards/ signage etc.</c:v>
                  </c:pt>
                  <c:pt idx="47">
                    <c:v>Usage of Folk media such as Nukkad Natak/ mobile audio visual services/ local radio etc.</c:v>
                  </c:pt>
                  <c:pt idx="48">
                    <c:v>Development of IEC Material</c:v>
                  </c:pt>
                  <c:pt idx="49">
                    <c:v>State-level IEC Campaigns/Other IEC Campaigns</c:v>
                  </c:pt>
                  <c:pt idx="50">
                    <c:v>Any other (please specify)</c:v>
                  </c:pt>
                  <c:pt idx="52">
                    <c:v>IEC/BCC activities under NVBDCP</c:v>
                  </c:pt>
                  <c:pt idx="53">
                    <c:v>IEC/BCC for Malaria</c:v>
                  </c:pt>
                  <c:pt idx="54">
                    <c:v>IEC/BCC for Social mobilization (Dengue and Chikungunya)</c:v>
                  </c:pt>
                  <c:pt idx="55">
                    <c:v>IEC/BCC specific to J.E. in endemic areas</c:v>
                  </c:pt>
                  <c:pt idx="56">
                    <c:v>Specific IEC/BCC for Lymphatic Filariasis at State, District, PHC, Sub-centre and village level including VHSC/GKs for community mobilization efforts to realize the desired drug compliance of 85% during MDA</c:v>
                  </c:pt>
                  <c:pt idx="57">
                    <c:v>IEC/BCC/Advocacy for Kala-azar</c:v>
                  </c:pt>
                  <c:pt idx="58">
                    <c:v>IEC/BCC activities as per the GFATM project</c:v>
                  </c:pt>
                  <c:pt idx="59">
                    <c:v>IEC/ BCC activities under MVCR</c:v>
                  </c:pt>
                  <c:pt idx="60">
                    <c:v>Any other IEC/BCC activities (please specify)</c:v>
                  </c:pt>
                  <c:pt idx="61">
                    <c:v>IEC/BCC activities under NLEP</c:v>
                  </c:pt>
                  <c:pt idx="62">
                    <c:v>IEC/BCC: Mass media, Outdoor media, Rural media, Advocacy media for NLEP including Sparsh Leprosy Awareness Campaign</c:v>
                  </c:pt>
                  <c:pt idx="63">
                    <c:v>Any other IEC/BCC activities (please specify)</c:v>
                  </c:pt>
                  <c:pt idx="64">
                    <c:v>IEC/BCC activities under NTEP</c:v>
                  </c:pt>
                  <c:pt idx="65">
                    <c:v>ACSM (State &amp; district)</c:v>
                  </c:pt>
                  <c:pt idx="66">
                    <c:v>TB Harega Desh Jeetega' Campaign</c:v>
                  </c:pt>
                  <c:pt idx="67">
                    <c:v>Any other IEC/BCC activities (please specify)</c:v>
                  </c:pt>
                  <c:pt idx="68">
                    <c:v>IEC/BCC under NRCP: Rabies Awareness and Do's and Don'ts in the event of Animal Bites</c:v>
                  </c:pt>
                  <c:pt idx="69">
                    <c:v>IEC under Programme for Prevention and Control of Leptospirosis</c:v>
                  </c:pt>
                  <c:pt idx="70">
                    <c:v>IEC under NVHCP</c:v>
                  </c:pt>
                  <c:pt idx="72">
                    <c:v>IEC/BCC activities under NPCB</c:v>
                  </c:pt>
                  <c:pt idx="73">
                    <c:v>State level IEC for Minor State @ Rs. 10 lakh and for Major States @ Rs. 20 lakh under NPCB&amp;VI</c:v>
                  </c:pt>
                  <c:pt idx="74">
                    <c:v>Any other IEC/BCC activities (please specify)</c:v>
                  </c:pt>
                  <c:pt idx="75">
                    <c:v>IEC/BCC activities under NMHP</c:v>
                  </c:pt>
                  <c:pt idx="76">
                    <c:v>Translation of IEC material and distribution</c:v>
                  </c:pt>
                  <c:pt idx="77">
                    <c:v>Awareness generation activities in the community, schools, workplaces with community involvement</c:v>
                  </c:pt>
                  <c:pt idx="78">
                    <c:v>Any other IEC/BCC activities (please specify)</c:v>
                  </c:pt>
                  <c:pt idx="79">
                    <c:v>IEC/BCC activities under NPHCE</c:v>
                  </c:pt>
                  <c:pt idx="80">
                    <c:v>IPC,Group activities and mass media for NPHCE</c:v>
                  </c:pt>
                  <c:pt idx="81">
                    <c:v>Celebration of days-ie International Day for older persons</c:v>
                  </c:pt>
                  <c:pt idx="82">
                    <c:v>IEC/BCC activities under NTCP</c:v>
                  </c:pt>
                  <c:pt idx="83">
                    <c:v>IEC/BCC for NTCP</c:v>
                  </c:pt>
                  <c:pt idx="84">
                    <c:v>IEC/BCC activities under NPCDCS</c:v>
                  </c:pt>
                  <c:pt idx="85">
                    <c:v>IEC/BCC for State NCD  Cell</c:v>
                  </c:pt>
                  <c:pt idx="86">
                    <c:v>IEC/BCC for District  NCD Cell</c:v>
                  </c:pt>
                  <c:pt idx="87">
                    <c:v>IEC/BCC activities for Universal Screening of NCDs</c:v>
                  </c:pt>
                  <c:pt idx="88">
                    <c:v>Any other IEC/BCC activities (please specify)</c:v>
                  </c:pt>
                  <c:pt idx="89">
                    <c:v>IEC/BCC under NOHP</c:v>
                  </c:pt>
                  <c:pt idx="90">
                    <c:v>IEC on Climate Sensitive Diseases at Block , District and State level  – Air pollution, Heat and other relevant Climate Sensitive diseases</c:v>
                  </c:pt>
                  <c:pt idx="91">
                    <c:v>IEC/BCC - National Dialysis Programme (Haemodialysis and Peritoneal Dialysis)</c:v>
                  </c:pt>
                  <c:pt idx="92">
                    <c:v>IEC/BCC activities under NPPCD</c:v>
                  </c:pt>
                  <c:pt idx="93">
                    <c:v>IEC activities</c:v>
                  </c:pt>
                  <c:pt idx="94">
                    <c:v>Any Other</c:v>
                  </c:pt>
                  <c:pt idx="95">
                    <c:v>IEC/BCC activities under NPPC</c:v>
                  </c:pt>
                  <c:pt idx="96">
                    <c:v>IEC for DH</c:v>
                  </c:pt>
                  <c:pt idx="97">
                    <c:v>IEC for State Palliative care cell</c:v>
                  </c:pt>
                  <c:pt idx="98">
                    <c:v>Any other IEC/BCC activities (please specify)</c:v>
                  </c:pt>
                  <c:pt idx="99">
                    <c:v>IEC/BCC activities under NPPCF</c:v>
                  </c:pt>
                  <c:pt idx="100">
                    <c:v>Health Education &amp; Publicity for National Programme for Fluorosis (State and District Level)</c:v>
                  </c:pt>
                  <c:pt idx="101">
                    <c:v>Any other IEC/BCC activities (please specify)</c:v>
                  </c:pt>
                </c:lvl>
                <c:lvl>
                  <c:pt idx="1">
                    <c:v>B.10.3.1</c:v>
                  </c:pt>
                  <c:pt idx="2">
                    <c:v>B.10.3.1.1</c:v>
                  </c:pt>
                  <c:pt idx="3">
                    <c:v>B.10.3.1.2</c:v>
                  </c:pt>
                  <c:pt idx="5">
                    <c:v>B.10.3.2</c:v>
                  </c:pt>
                  <c:pt idx="6">
                    <c:v>B.10.3.2.1</c:v>
                  </c:pt>
                  <c:pt idx="7">
                    <c:v>B.10.3.2.2</c:v>
                  </c:pt>
                  <c:pt idx="10">
                    <c:v>B.10.3.3</c:v>
                  </c:pt>
                  <c:pt idx="11">
                    <c:v>B.10.3.3.1</c:v>
                  </c:pt>
                  <c:pt idx="12">
                    <c:v>B.10.3.3.2</c:v>
                  </c:pt>
                  <c:pt idx="13">
                    <c:v>A.3.5.4</c:v>
                  </c:pt>
                  <c:pt idx="14">
                    <c:v>A.3.5.5</c:v>
                  </c:pt>
                  <c:pt idx="15">
                    <c:v>A.3.7.4</c:v>
                  </c:pt>
                  <c:pt idx="17">
                    <c:v>B.10.3.4</c:v>
                  </c:pt>
                  <c:pt idx="18">
                    <c:v>B.10.3.4.1</c:v>
                  </c:pt>
                  <c:pt idx="19">
                    <c:v>B.10.3.4.2</c:v>
                  </c:pt>
                  <c:pt idx="25">
                    <c:v>B.10.3.5</c:v>
                  </c:pt>
                  <c:pt idx="28">
                    <c:v>B.10.6.7</c:v>
                  </c:pt>
                  <c:pt idx="31">
                    <c:v>B.10.2</c:v>
                  </c:pt>
                  <c:pt idx="32">
                    <c:v>B.10.7.4.5</c:v>
                  </c:pt>
                  <c:pt idx="38">
                    <c:v>B18.3</c:v>
                  </c:pt>
                  <c:pt idx="42">
                    <c:v>B.10.4</c:v>
                  </c:pt>
                  <c:pt idx="43">
                    <c:v>B.10.5</c:v>
                  </c:pt>
                  <c:pt idx="44">
                    <c:v>B.10.6.1</c:v>
                  </c:pt>
                  <c:pt idx="45">
                    <c:v>B.10.6.14.1</c:v>
                  </c:pt>
                  <c:pt idx="46">
                    <c:v>B.10.6.14.1.b</c:v>
                  </c:pt>
                  <c:pt idx="47">
                    <c:v>B.10.6.14.1.c</c:v>
                  </c:pt>
                  <c:pt idx="48">
                    <c:v>B.10.6.14.3.a</c:v>
                  </c:pt>
                  <c:pt idx="49">
                    <c:v>B.10.6.14.3.b</c:v>
                  </c:pt>
                  <c:pt idx="53">
                    <c:v>B.10.6.9.a</c:v>
                  </c:pt>
                  <c:pt idx="54">
                    <c:v>B.10.6.9.b</c:v>
                  </c:pt>
                  <c:pt idx="55">
                    <c:v>B.10.6.9.c</c:v>
                  </c:pt>
                  <c:pt idx="56">
                    <c:v>B.10.6.9.d</c:v>
                  </c:pt>
                  <c:pt idx="57">
                    <c:v>B.10.6.9.e</c:v>
                  </c:pt>
                  <c:pt idx="58">
                    <c:v>B.10.6.9.f</c:v>
                  </c:pt>
                  <c:pt idx="62">
                    <c:v>B.10.6.10</c:v>
                  </c:pt>
                  <c:pt idx="65">
                    <c:v>H.4</c:v>
                  </c:pt>
                  <c:pt idx="73">
                    <c:v>B.10.6.11</c:v>
                  </c:pt>
                  <c:pt idx="75">
                    <c:v>B.10.6.12</c:v>
                  </c:pt>
                  <c:pt idx="76">
                    <c:v>B.10.6.12.a</c:v>
                  </c:pt>
                  <c:pt idx="77">
                    <c:v>B.10.6.12.b</c:v>
                  </c:pt>
                  <c:pt idx="80">
                    <c:v>B.10.6.13</c:v>
                  </c:pt>
                  <c:pt idx="83">
                    <c:v>B.10.6.14</c:v>
                  </c:pt>
                  <c:pt idx="84">
                    <c:v>O.2.3</c:v>
                  </c:pt>
                  <c:pt idx="85">
                    <c:v>O.2.3.1</c:v>
                  </c:pt>
                  <c:pt idx="86">
                    <c:v>O.2.3.2</c:v>
                  </c:pt>
                  <c:pt idx="92">
                    <c:v>B.10.6.5</c:v>
                  </c:pt>
                  <c:pt idx="96">
                    <c:v>B.27.1.3</c:v>
                  </c:pt>
                  <c:pt idx="97">
                    <c:v>B.27.2.2</c:v>
                  </c:pt>
                  <c:pt idx="100">
                    <c:v>B.10.6.6</c:v>
                  </c:pt>
                </c:lvl>
                <c:lvl>
                  <c:pt idx="1">
                    <c:v>11.4</c:v>
                  </c:pt>
                  <c:pt idx="2">
                    <c:v>11.4.1</c:v>
                  </c:pt>
                  <c:pt idx="3">
                    <c:v>11.4.2</c:v>
                  </c:pt>
                  <c:pt idx="4">
                    <c:v>11.4.3</c:v>
                  </c:pt>
                  <c:pt idx="5">
                    <c:v>11.5</c:v>
                  </c:pt>
                  <c:pt idx="6">
                    <c:v>11.5.1</c:v>
                  </c:pt>
                  <c:pt idx="7">
                    <c:v>11.5.2</c:v>
                  </c:pt>
                  <c:pt idx="8">
                    <c:v>11.5.3</c:v>
                  </c:pt>
                  <c:pt idx="9">
                    <c:v>11.5.4</c:v>
                  </c:pt>
                  <c:pt idx="10">
                    <c:v>11.6</c:v>
                  </c:pt>
                  <c:pt idx="11">
                    <c:v>11.6.1</c:v>
                  </c:pt>
                  <c:pt idx="12">
                    <c:v>11.6.2</c:v>
                  </c:pt>
                  <c:pt idx="13">
                    <c:v>11.6.3</c:v>
                  </c:pt>
                  <c:pt idx="14">
                    <c:v>11.6.4</c:v>
                  </c:pt>
                  <c:pt idx="15">
                    <c:v>11.6.5</c:v>
                  </c:pt>
                  <c:pt idx="16">
                    <c:v>11.6.6</c:v>
                  </c:pt>
                  <c:pt idx="17">
                    <c:v>11.7</c:v>
                  </c:pt>
                  <c:pt idx="18">
                    <c:v>11.7.1</c:v>
                  </c:pt>
                  <c:pt idx="19">
                    <c:v>11.7.2</c:v>
                  </c:pt>
                  <c:pt idx="20">
                    <c:v>11.7.3</c:v>
                  </c:pt>
                  <c:pt idx="21">
                    <c:v>11.8</c:v>
                  </c:pt>
                  <c:pt idx="22">
                    <c:v>11.8.1</c:v>
                  </c:pt>
                  <c:pt idx="23">
                    <c:v>11.8.2</c:v>
                  </c:pt>
                  <c:pt idx="24">
                    <c:v>11.9</c:v>
                  </c:pt>
                  <c:pt idx="25">
                    <c:v>11.9.1</c:v>
                  </c:pt>
                  <c:pt idx="26">
                    <c:v>11.9.2</c:v>
                  </c:pt>
                  <c:pt idx="27">
                    <c:v>11.14</c:v>
                  </c:pt>
                  <c:pt idx="28">
                    <c:v>11.14.1</c:v>
                  </c:pt>
                  <c:pt idx="29">
                    <c:v>11.14.2</c:v>
                  </c:pt>
                  <c:pt idx="31">
                    <c:v>11.1</c:v>
                  </c:pt>
                  <c:pt idx="32">
                    <c:v>11.10</c:v>
                  </c:pt>
                  <c:pt idx="33">
                    <c:v>11.10.1</c:v>
                  </c:pt>
                  <c:pt idx="34">
                    <c:v>11.10.2</c:v>
                  </c:pt>
                  <c:pt idx="35">
                    <c:v>11.23</c:v>
                  </c:pt>
                  <c:pt idx="36">
                    <c:v>11.23.1</c:v>
                  </c:pt>
                  <c:pt idx="37">
                    <c:v>11.23.2</c:v>
                  </c:pt>
                  <c:pt idx="38">
                    <c:v>11.24.1</c:v>
                  </c:pt>
                  <c:pt idx="39">
                    <c:v>11.24.4.5</c:v>
                  </c:pt>
                  <c:pt idx="40">
                    <c:v>11.24.4.7</c:v>
                  </c:pt>
                  <c:pt idx="41">
                    <c:v>11.24</c:v>
                  </c:pt>
                  <c:pt idx="42">
                    <c:v>11.2</c:v>
                  </c:pt>
                  <c:pt idx="43">
                    <c:v>11.3</c:v>
                  </c:pt>
                  <c:pt idx="44">
                    <c:v>11.24.2</c:v>
                  </c:pt>
                  <c:pt idx="45">
                    <c:v>11.24.3</c:v>
                  </c:pt>
                  <c:pt idx="46">
                    <c:v>11.24.3.1</c:v>
                  </c:pt>
                  <c:pt idx="47">
                    <c:v>11.24.3.2</c:v>
                  </c:pt>
                  <c:pt idx="48">
                    <c:v>11.24.3.3</c:v>
                  </c:pt>
                  <c:pt idx="49">
                    <c:v>11.24.3.4</c:v>
                  </c:pt>
                  <c:pt idx="50">
                    <c:v>11.24.4.9</c:v>
                  </c:pt>
                  <c:pt idx="52">
                    <c:v>11.15</c:v>
                  </c:pt>
                  <c:pt idx="53">
                    <c:v>11.15.1</c:v>
                  </c:pt>
                  <c:pt idx="54">
                    <c:v>11.15.2</c:v>
                  </c:pt>
                  <c:pt idx="55">
                    <c:v>11.15.3</c:v>
                  </c:pt>
                  <c:pt idx="56">
                    <c:v>11.15.4</c:v>
                  </c:pt>
                  <c:pt idx="57">
                    <c:v>11.15.5</c:v>
                  </c:pt>
                  <c:pt idx="58">
                    <c:v>11.15.6</c:v>
                  </c:pt>
                  <c:pt idx="59">
                    <c:v>11.15.7</c:v>
                  </c:pt>
                  <c:pt idx="60">
                    <c:v>11.15.8</c:v>
                  </c:pt>
                  <c:pt idx="61">
                    <c:v>11.16</c:v>
                  </c:pt>
                  <c:pt idx="62">
                    <c:v>11.16.1</c:v>
                  </c:pt>
                  <c:pt idx="63">
                    <c:v>11.16.2</c:v>
                  </c:pt>
                  <c:pt idx="64">
                    <c:v>11.17</c:v>
                  </c:pt>
                  <c:pt idx="65">
                    <c:v>11.17.1</c:v>
                  </c:pt>
                  <c:pt idx="66">
                    <c:v>11.17.2</c:v>
                  </c:pt>
                  <c:pt idx="67">
                    <c:v>11.17.3</c:v>
                  </c:pt>
                  <c:pt idx="68">
                    <c:v>11.24.4.1</c:v>
                  </c:pt>
                  <c:pt idx="69">
                    <c:v>11.24.4.6</c:v>
                  </c:pt>
                  <c:pt idx="72">
                    <c:v>11.18</c:v>
                  </c:pt>
                  <c:pt idx="73">
                    <c:v>11.18.1</c:v>
                  </c:pt>
                  <c:pt idx="74">
                    <c:v>11.18.2</c:v>
                  </c:pt>
                  <c:pt idx="75">
                    <c:v>11.19</c:v>
                  </c:pt>
                  <c:pt idx="76">
                    <c:v>11.19.1</c:v>
                  </c:pt>
                  <c:pt idx="77">
                    <c:v>11.19.2</c:v>
                  </c:pt>
                  <c:pt idx="78">
                    <c:v>11.19.3</c:v>
                  </c:pt>
                  <c:pt idx="79">
                    <c:v>11.20</c:v>
                  </c:pt>
                  <c:pt idx="80">
                    <c:v>11.20.1</c:v>
                  </c:pt>
                  <c:pt idx="81">
                    <c:v>11.20.2</c:v>
                  </c:pt>
                  <c:pt idx="82">
                    <c:v>11.21</c:v>
                  </c:pt>
                  <c:pt idx="83">
                    <c:v>11.21.1</c:v>
                  </c:pt>
                  <c:pt idx="84">
                    <c:v>11.22</c:v>
                  </c:pt>
                  <c:pt idx="85">
                    <c:v>11.22.1</c:v>
                  </c:pt>
                  <c:pt idx="86">
                    <c:v>11.22.2</c:v>
                  </c:pt>
                  <c:pt idx="87">
                    <c:v>11.22.3</c:v>
                  </c:pt>
                  <c:pt idx="88">
                    <c:v>11.22.4</c:v>
                  </c:pt>
                  <c:pt idx="89">
                    <c:v>11.24.4.2</c:v>
                  </c:pt>
                  <c:pt idx="90">
                    <c:v>11.24.4.4</c:v>
                  </c:pt>
                  <c:pt idx="91">
                    <c:v>11.24.4.8</c:v>
                  </c:pt>
                  <c:pt idx="92">
                    <c:v>11.11</c:v>
                  </c:pt>
                  <c:pt idx="93">
                    <c:v>11.11.1</c:v>
                  </c:pt>
                  <c:pt idx="94">
                    <c:v>11.11.2</c:v>
                  </c:pt>
                  <c:pt idx="95">
                    <c:v>11.12</c:v>
                  </c:pt>
                  <c:pt idx="96">
                    <c:v>11.12.1</c:v>
                  </c:pt>
                  <c:pt idx="97">
                    <c:v>11.12.2</c:v>
                  </c:pt>
                  <c:pt idx="98">
                    <c:v>11.12.3</c:v>
                  </c:pt>
                  <c:pt idx="99">
                    <c:v>11.13</c:v>
                  </c:pt>
                  <c:pt idx="100">
                    <c:v>11.13.1</c:v>
                  </c:pt>
                  <c:pt idx="101">
                    <c:v>11.13.2</c:v>
                  </c:pt>
                </c:lvl>
              </c:multiLvlStrCache>
            </c:multiLvlStrRef>
          </c:cat>
          <c:val>
            <c:numRef>
              <c:f>'11-A. IEC Sub-Annex'!$S$5:$S$106</c:f>
            </c:numRef>
          </c:val>
          <c:extLst xmlns:c16r2="http://schemas.microsoft.com/office/drawing/2015/06/chart">
            <c:ext xmlns:c16="http://schemas.microsoft.com/office/drawing/2014/chart" uri="{C3380CC4-5D6E-409C-BE32-E72D297353CC}">
              <c16:uniqueId val="{0000000D-5F31-4E66-B011-A29233064213}"/>
            </c:ext>
          </c:extLst>
        </c:ser>
        <c:axId val="88316544"/>
        <c:axId val="108032384"/>
      </c:barChart>
      <c:catAx>
        <c:axId val="88316544"/>
        <c:scaling>
          <c:orientation val="minMax"/>
        </c:scaling>
        <c:axPos val="b"/>
        <c:numFmt formatCode="General" sourceLinked="0"/>
        <c:tickLblPos val="nextTo"/>
        <c:txPr>
          <a:bodyPr/>
          <a:lstStyle/>
          <a:p>
            <a:pPr>
              <a:defRPr lang="en-IN"/>
            </a:pPr>
            <a:endParaRPr lang="en-US"/>
          </a:p>
        </c:txPr>
        <c:crossAx val="108032384"/>
        <c:crosses val="autoZero"/>
        <c:auto val="1"/>
        <c:lblAlgn val="ctr"/>
        <c:lblOffset val="100"/>
      </c:catAx>
      <c:valAx>
        <c:axId val="108032384"/>
        <c:scaling>
          <c:orientation val="minMax"/>
        </c:scaling>
        <c:axPos val="l"/>
        <c:majorGridlines/>
        <c:numFmt formatCode="0.00" sourceLinked="1"/>
        <c:tickLblPos val="nextTo"/>
        <c:txPr>
          <a:bodyPr/>
          <a:lstStyle/>
          <a:p>
            <a:pPr>
              <a:defRPr lang="en-IN"/>
            </a:pPr>
            <a:endParaRPr lang="en-US"/>
          </a:p>
        </c:txPr>
        <c:crossAx val="88316544"/>
        <c:crosses val="autoZero"/>
        <c:crossBetween val="between"/>
      </c:valAx>
    </c:plotArea>
    <c:legend>
      <c:legendPos val="r"/>
      <c:txPr>
        <a:bodyPr/>
        <a:lstStyle/>
        <a:p>
          <a:pPr>
            <a:defRPr lang="en-IN"/>
          </a:pPr>
          <a:endParaRPr lang="en-US"/>
        </a:p>
      </c:txPr>
    </c:legend>
    <c:plotVisOnly val="1"/>
    <c:dispBlanksAs val="gap"/>
  </c:chart>
</c:chartSpace>
</file>

<file path=xl/chart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chartsheets/sheet1.xml><?xml version="1.0" encoding="utf-8"?>
<chartsheet xmlns="http://schemas.openxmlformats.org/spreadsheetml/2006/main" xmlns:r="http://schemas.openxmlformats.org/officeDocument/2006/relationships">
  <sheetPr/>
  <sheetViews>
    <sheetView zoomScale="72" workbookViewId="0" zoomToFit="1"/>
  </sheetViews>
  <pageMargins left="0.7" right="0.7" top="0.75" bottom="0.75" header="0.3" footer="0.3"/>
  <drawing r:id="rId1"/>
</chartsheet>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absoluteAnchor>
    <xdr:pos x="0" y="0"/>
    <xdr:ext cx="8651875" cy="6283854"/>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IP/2021-22/NHM%20PIP%20budget%20sheet%202021-22_21%20Nov%202020.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Index"/>
      <sheetName val="Sources of Funding"/>
      <sheetName val="Dist Allocation and Sub Plan"/>
      <sheetName val="Summary Table"/>
      <sheetName val="Budget Summary I"/>
      <sheetName val="Budget Summary II"/>
      <sheetName val="Summary of Abstracts"/>
      <sheetName val="NUHM Summary"/>
      <sheetName val="1.SD Facility Based Annex"/>
      <sheetName val="2.SD Community Based Annex"/>
      <sheetName val="3.Community Intervention Annex"/>
      <sheetName val="4.Untied grants Annex"/>
      <sheetName val="5.Infrastructure Annex"/>
      <sheetName val="6.Procurement Annex"/>
      <sheetName val="7.Referral Transport Annex"/>
      <sheetName val="8.Human Resources (SD) Annex"/>
      <sheetName val="9.Training Annex"/>
      <sheetName val="10.Review Research &amp; Surveillen"/>
      <sheetName val="11.IEC-BCC Annex"/>
      <sheetName val="12.Printing Annex"/>
      <sheetName val="13.Quality Assurance Annex"/>
      <sheetName val="14.Drug warehouse &amp;Logistic Anx"/>
      <sheetName val="15.PPP Annex"/>
      <sheetName val="16.PM Annex"/>
      <sheetName val="16.1.PM sub Annex - activities "/>
      <sheetName val="17.IT Initiatives_SD"/>
      <sheetName val="18.Innovation"/>
      <sheetName val="NUHM-Non Metro Abst"/>
      <sheetName val="NUHM Metro Abst"/>
      <sheetName val="Ab1. RMNCH+A"/>
      <sheetName val="Ab2. NIDDCP"/>
      <sheetName val="Ab3. ASHA"/>
      <sheetName val="Ab4. HMIS-MCTS"/>
      <sheetName val="Abs5. Blood services &amp; Disorder"/>
      <sheetName val="Abs6. H&amp;WC"/>
      <sheetName val="Abs7. AYUSH"/>
      <sheetName val="Abs8. NPPCD"/>
      <sheetName val="Abs9. NPPCF"/>
      <sheetName val="Abs10. NOHP"/>
      <sheetName val="Abs11. NPPC"/>
      <sheetName val="Abs12. Burns &amp; Injury"/>
      <sheetName val="Abs13. IDSP"/>
      <sheetName val="Abs14. NVBDCP"/>
      <sheetName val="Abs15. NLEP"/>
      <sheetName val="Abs16. NTEP"/>
      <sheetName val="Abs17. NVHCP"/>
      <sheetName val="Abs18. NRCP"/>
      <sheetName val="Abs19. PPCL"/>
      <sheetName val="Abs20. NPCB"/>
      <sheetName val="Abs21. NMHP"/>
      <sheetName val="Abs22. NPHCE"/>
      <sheetName val="Abs23. NTCP"/>
      <sheetName val="Abs24. NPCDCS"/>
      <sheetName val="Abs25. PMNDP"/>
      <sheetName val="Abs26. NPCCHH"/>
      <sheetName val="Capex Expenditure"/>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92">
          <cell r="P92">
            <v>0</v>
          </cell>
        </row>
      </sheetData>
      <sheetData sheetId="13">
        <row r="35">
          <cell r="A35" t="str">
            <v>6.1.1.6.1</v>
          </cell>
        </row>
      </sheetData>
      <sheetData sheetId="14"/>
      <sheetData sheetId="15"/>
      <sheetData sheetId="16"/>
      <sheetData sheetId="17">
        <row r="14">
          <cell r="A14" t="str">
            <v>10.2.2</v>
          </cell>
        </row>
      </sheetData>
      <sheetData sheetId="18">
        <row r="51">
          <cell r="A51" t="str">
            <v>11.14.1</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sheetPr>
    <tabColor rgb="FF00B0F0"/>
  </sheetPr>
  <dimension ref="A1:CG424"/>
  <sheetViews>
    <sheetView tabSelected="1" workbookViewId="0">
      <pane ySplit="3" topLeftCell="A43" activePane="bottomLeft" state="frozen"/>
      <selection pane="bottomLeft" activeCell="BC48" sqref="BC48"/>
    </sheetView>
  </sheetViews>
  <sheetFormatPr defaultColWidth="9.140625" defaultRowHeight="37.5" customHeight="1"/>
  <cols>
    <col min="1" max="1" width="11.5703125" style="904" customWidth="1"/>
    <col min="2" max="2" width="12.85546875" style="904" customWidth="1"/>
    <col min="3" max="3" width="39.28515625" style="904" customWidth="1"/>
    <col min="4" max="4" width="9.140625" style="868" customWidth="1"/>
    <col min="5" max="5" width="10.140625" style="868" customWidth="1"/>
    <col min="6" max="6" width="17.7109375" style="868" hidden="1" customWidth="1"/>
    <col min="7" max="7" width="23.28515625" style="868" hidden="1" customWidth="1"/>
    <col min="8" max="8" width="18.5703125" style="868" hidden="1" customWidth="1"/>
    <col min="9" max="9" width="26.42578125" style="978" hidden="1" customWidth="1"/>
    <col min="10" max="10" width="12.85546875" style="868" hidden="1" customWidth="1"/>
    <col min="11" max="11" width="17.140625" style="2823" hidden="1" customWidth="1"/>
    <col min="12" max="12" width="1.28515625" style="904" hidden="1" customWidth="1"/>
    <col min="13" max="13" width="1" style="904" hidden="1" customWidth="1"/>
    <col min="14" max="14" width="12.85546875" style="3695" customWidth="1"/>
    <col min="15" max="15" width="11" style="3637" hidden="1" customWidth="1"/>
    <col min="16" max="16" width="12.140625" style="3637" hidden="1" customWidth="1"/>
    <col min="17" max="17" width="7.85546875" style="3637" hidden="1" customWidth="1"/>
    <col min="18" max="18" width="12.5703125" style="3637" hidden="1" customWidth="1"/>
    <col min="19" max="19" width="8.5703125" style="3637" hidden="1" customWidth="1"/>
    <col min="20" max="20" width="8.7109375" style="3637" hidden="1" customWidth="1"/>
    <col min="21" max="21" width="10.85546875" style="3637" hidden="1" customWidth="1"/>
    <col min="22" max="22" width="11" style="3637" hidden="1" customWidth="1"/>
    <col min="23" max="23" width="11.42578125" style="3637" hidden="1" customWidth="1"/>
    <col min="24" max="25" width="11.85546875" style="3637" hidden="1" customWidth="1"/>
    <col min="26" max="26" width="12.5703125" style="3637" hidden="1" customWidth="1"/>
    <col min="27" max="27" width="18.140625" style="3637" hidden="1" customWidth="1"/>
    <col min="28" max="28" width="18.42578125" style="3637" hidden="1" customWidth="1"/>
    <col min="29" max="29" width="9.140625" style="3637" hidden="1" customWidth="1"/>
    <col min="30" max="31" width="10.42578125" style="3637" hidden="1" customWidth="1"/>
    <col min="32" max="33" width="9.140625" style="3637" hidden="1" customWidth="1"/>
    <col min="34" max="34" width="13.85546875" style="3637" hidden="1" customWidth="1"/>
    <col min="35" max="35" width="9.140625" style="3637" hidden="1" customWidth="1"/>
    <col min="36" max="36" width="7.85546875" style="3637" hidden="1" customWidth="1"/>
    <col min="37" max="37" width="12.5703125" style="3637" hidden="1" customWidth="1"/>
    <col min="38" max="38" width="8.5703125" style="3637" hidden="1" customWidth="1"/>
    <col min="39" max="39" width="8.7109375" style="3637" hidden="1" customWidth="1"/>
    <col min="40" max="40" width="10.85546875" style="3637" hidden="1" customWidth="1"/>
    <col min="41" max="41" width="9.140625" style="3637" hidden="1" customWidth="1"/>
    <col min="42" max="42" width="8.7109375" style="3637" hidden="1" customWidth="1"/>
    <col min="43" max="43" width="9.140625" style="3637" hidden="1" customWidth="1"/>
    <col min="44" max="44" width="9.5703125" style="3637" hidden="1" customWidth="1"/>
    <col min="45" max="45" width="10.85546875" style="3637" hidden="1" customWidth="1"/>
    <col min="46" max="46" width="9.140625" style="3637" hidden="1" customWidth="1"/>
    <col min="47" max="47" width="12.5703125" style="3637" hidden="1" customWidth="1"/>
    <col min="48" max="48" width="11.42578125" style="3637" hidden="1" customWidth="1"/>
    <col min="49" max="49" width="12.85546875" style="3637" hidden="1" customWidth="1"/>
    <col min="50" max="50" width="9.85546875" style="3637" customWidth="1"/>
    <col min="51" max="52" width="10.5703125" style="3637" customWidth="1"/>
    <col min="53" max="53" width="11.140625" style="3637" customWidth="1"/>
    <col min="54" max="54" width="8.7109375" style="3637" customWidth="1"/>
    <col min="55" max="55" width="9.42578125" style="3637" customWidth="1"/>
    <col min="56" max="56" width="8.5703125" style="3637" customWidth="1"/>
    <col min="57" max="57" width="8.140625" style="3637" customWidth="1"/>
    <col min="58" max="60" width="9.5703125" style="3637" customWidth="1"/>
    <col min="61" max="61" width="9.42578125" style="3637" customWidth="1"/>
    <col min="62" max="62" width="7.7109375" style="3637" customWidth="1"/>
    <col min="63" max="63" width="9.28515625" style="3637" customWidth="1"/>
    <col min="64" max="64" width="11" style="3637" customWidth="1"/>
    <col min="65" max="65" width="12.85546875" style="3637" customWidth="1"/>
    <col min="66" max="66" width="14.140625" style="3637" customWidth="1"/>
    <col min="67" max="67" width="13.42578125" style="3637" customWidth="1"/>
    <col min="68" max="68" width="12" style="3637" customWidth="1"/>
    <col min="69" max="69" width="8.140625" style="3637" customWidth="1"/>
    <col min="70" max="70" width="11.7109375" style="3637" customWidth="1"/>
    <col min="71" max="71" width="8.7109375" style="3637" customWidth="1"/>
    <col min="72" max="72" width="14.5703125" style="3637" customWidth="1"/>
    <col min="73" max="73" width="10" style="3637" customWidth="1"/>
    <col min="74" max="74" width="7.42578125" style="3637" customWidth="1"/>
    <col min="75" max="75" width="12.28515625" style="3637" customWidth="1"/>
    <col min="76" max="76" width="12.140625" style="3637" customWidth="1"/>
    <col min="77" max="77" width="10.7109375" style="3637" customWidth="1"/>
    <col min="78" max="78" width="10.28515625" style="3637" customWidth="1"/>
    <col min="79" max="79" width="12.85546875" style="3637" customWidth="1"/>
    <col min="80" max="80" width="8.42578125" style="3637" customWidth="1"/>
    <col min="81" max="81" width="16.5703125" style="3637" customWidth="1"/>
    <col min="82" max="83" width="13.7109375" style="3637" customWidth="1"/>
    <col min="84" max="84" width="8.5703125" style="3711" bestFit="1" customWidth="1"/>
    <col min="85" max="16384" width="9.140625" style="941"/>
  </cols>
  <sheetData>
    <row r="1" spans="1:84" s="860" customFormat="1" ht="38.25" customHeight="1">
      <c r="A1" s="3791" t="s">
        <v>1944</v>
      </c>
      <c r="B1" s="3791"/>
      <c r="C1" s="3791"/>
      <c r="D1" s="905"/>
      <c r="E1" s="905"/>
      <c r="F1" s="3573" t="s">
        <v>4534</v>
      </c>
      <c r="G1" s="3792"/>
      <c r="H1" s="3792"/>
      <c r="I1" s="3792"/>
      <c r="J1" s="3792"/>
      <c r="K1" s="3793" t="s">
        <v>65</v>
      </c>
      <c r="L1" s="3794"/>
      <c r="M1" s="3794"/>
      <c r="N1" s="3794"/>
      <c r="O1" s="3794"/>
      <c r="P1" s="3794"/>
      <c r="Q1" s="3794"/>
      <c r="R1" s="3794"/>
      <c r="S1" s="3794"/>
      <c r="T1" s="3794"/>
      <c r="U1" s="3794"/>
      <c r="V1" s="3794"/>
      <c r="W1" s="3794"/>
      <c r="X1" s="3794"/>
      <c r="Y1" s="3794"/>
      <c r="Z1" s="3794"/>
      <c r="AA1" s="3794"/>
      <c r="AB1" s="3794"/>
      <c r="AC1" s="3794"/>
      <c r="AD1" s="3795"/>
      <c r="AE1" s="3796" t="s">
        <v>4219</v>
      </c>
      <c r="AF1" s="3797"/>
      <c r="AG1" s="3797"/>
      <c r="AH1" s="3797"/>
      <c r="AI1" s="3797"/>
      <c r="AJ1" s="3797"/>
      <c r="AK1" s="3798"/>
      <c r="AL1" s="3809" t="s">
        <v>80</v>
      </c>
      <c r="AM1" s="3809"/>
      <c r="AN1" s="3809"/>
      <c r="AO1" s="3809"/>
      <c r="AP1" s="3809"/>
      <c r="AQ1" s="3809"/>
      <c r="AR1" s="3809"/>
      <c r="AS1" s="3809"/>
      <c r="AT1" s="3809"/>
      <c r="AU1" s="3809"/>
      <c r="AV1" s="3809"/>
      <c r="AW1" s="3809"/>
      <c r="AX1" s="3585"/>
      <c r="AY1" s="3586"/>
      <c r="AZ1" s="3586"/>
      <c r="BA1" s="3586"/>
      <c r="BB1" s="3586"/>
      <c r="BC1" s="3586"/>
      <c r="BD1" s="3586"/>
      <c r="BE1" s="3586"/>
      <c r="BF1" s="3586"/>
      <c r="BG1" s="3586"/>
      <c r="BH1" s="3586"/>
      <c r="BI1" s="3586"/>
      <c r="BJ1" s="3586"/>
      <c r="BK1" s="3586"/>
      <c r="BL1" s="3586"/>
      <c r="BM1" s="3586"/>
      <c r="BN1" s="3586"/>
      <c r="BO1" s="3586"/>
      <c r="BP1" s="3586"/>
      <c r="BQ1" s="3586"/>
      <c r="BR1" s="3586"/>
      <c r="BS1" s="3586"/>
      <c r="BT1" s="3586"/>
      <c r="BU1" s="3586"/>
      <c r="BV1" s="3586"/>
      <c r="BW1" s="3586"/>
      <c r="BX1" s="3586"/>
      <c r="BY1" s="3586"/>
      <c r="BZ1" s="3586"/>
      <c r="CA1" s="3586"/>
      <c r="CB1" s="3586"/>
      <c r="CC1" s="3586"/>
      <c r="CD1" s="3586"/>
      <c r="CE1" s="3586"/>
      <c r="CF1" s="3710"/>
    </row>
    <row r="2" spans="1:84" s="868" customFormat="1" ht="37.5" customHeight="1">
      <c r="A2" s="3801" t="s">
        <v>48</v>
      </c>
      <c r="B2" s="3801" t="s">
        <v>49</v>
      </c>
      <c r="C2" s="3801" t="s">
        <v>50</v>
      </c>
      <c r="D2" s="3801" t="s">
        <v>51</v>
      </c>
      <c r="E2" s="3577"/>
      <c r="F2" s="3801" t="s">
        <v>52</v>
      </c>
      <c r="G2" s="3799" t="s">
        <v>4484</v>
      </c>
      <c r="H2" s="3799"/>
      <c r="I2" s="3799"/>
      <c r="J2" s="3799"/>
      <c r="K2" s="3799"/>
      <c r="L2" s="3799"/>
      <c r="M2" s="3800" t="s">
        <v>4514</v>
      </c>
      <c r="N2" s="3800"/>
      <c r="O2" s="3643"/>
      <c r="P2" s="3643"/>
      <c r="Q2" s="3643"/>
      <c r="R2" s="3643"/>
      <c r="S2" s="3643"/>
      <c r="T2" s="3643"/>
      <c r="U2" s="3643"/>
      <c r="V2" s="3643"/>
      <c r="W2" s="3643"/>
      <c r="X2" s="3643"/>
      <c r="Y2" s="3643"/>
      <c r="Z2" s="3643"/>
      <c r="AA2" s="3643"/>
      <c r="AB2" s="3643"/>
      <c r="AC2" s="3643"/>
      <c r="AD2" s="3643"/>
      <c r="AE2" s="3643"/>
      <c r="AF2" s="3643"/>
      <c r="AG2" s="3643"/>
      <c r="AH2" s="3643"/>
      <c r="AI2" s="3643"/>
      <c r="AJ2" s="3643"/>
      <c r="AK2" s="3643"/>
      <c r="AL2" s="3643"/>
      <c r="AM2" s="3643"/>
      <c r="AN2" s="3643"/>
      <c r="AO2" s="3643"/>
      <c r="AP2" s="3643"/>
      <c r="AQ2" s="3643"/>
      <c r="AR2" s="3643"/>
      <c r="AS2" s="3643"/>
      <c r="AT2" s="3643"/>
      <c r="AU2" s="3643"/>
      <c r="AV2" s="3643"/>
      <c r="AW2" s="3643"/>
      <c r="AX2" s="3153" t="s">
        <v>5973</v>
      </c>
      <c r="AY2" s="3153" t="s">
        <v>5432</v>
      </c>
      <c r="AZ2" s="3153" t="s">
        <v>5433</v>
      </c>
      <c r="BA2" s="3153" t="s">
        <v>5434</v>
      </c>
      <c r="BB2" s="3153" t="s">
        <v>5435</v>
      </c>
      <c r="BC2" s="3153" t="s">
        <v>5436</v>
      </c>
      <c r="BD2" s="3153" t="s">
        <v>5437</v>
      </c>
      <c r="BE2" s="3153" t="s">
        <v>5959</v>
      </c>
      <c r="BF2" s="3153" t="s">
        <v>5438</v>
      </c>
      <c r="BG2" s="3153" t="s">
        <v>5439</v>
      </c>
      <c r="BH2" s="3153" t="s">
        <v>5960</v>
      </c>
      <c r="BI2" s="3153" t="s">
        <v>5440</v>
      </c>
      <c r="BJ2" s="3153" t="s">
        <v>5441</v>
      </c>
      <c r="BK2" s="3153" t="s">
        <v>5961</v>
      </c>
      <c r="BL2" s="3153" t="s">
        <v>5974</v>
      </c>
      <c r="BM2" s="3153" t="s">
        <v>5975</v>
      </c>
      <c r="BN2" s="3153" t="s">
        <v>5976</v>
      </c>
      <c r="BO2" s="3153" t="s">
        <v>5993</v>
      </c>
      <c r="BP2" s="3153" t="s">
        <v>5978</v>
      </c>
      <c r="BQ2" s="3153" t="s">
        <v>5979</v>
      </c>
      <c r="BR2" s="3153" t="s">
        <v>5962</v>
      </c>
      <c r="BS2" s="3153" t="s">
        <v>5963</v>
      </c>
      <c r="BT2" s="3153" t="s">
        <v>5964</v>
      </c>
      <c r="BU2" s="3153" t="s">
        <v>5965</v>
      </c>
      <c r="BV2" s="3153" t="s">
        <v>5966</v>
      </c>
      <c r="BW2" s="3153" t="s">
        <v>5967</v>
      </c>
      <c r="BX2" s="3153" t="s">
        <v>5968</v>
      </c>
      <c r="BY2" s="3153" t="s">
        <v>5969</v>
      </c>
      <c r="BZ2" s="3153" t="s">
        <v>5970</v>
      </c>
      <c r="CA2" s="3153" t="s">
        <v>5980</v>
      </c>
      <c r="CB2" s="3153" t="s">
        <v>5971</v>
      </c>
      <c r="CC2" s="3153" t="s">
        <v>5981</v>
      </c>
      <c r="CD2" s="3153" t="s">
        <v>5982</v>
      </c>
      <c r="CE2" s="3153"/>
      <c r="CF2" s="3713" t="s">
        <v>5972</v>
      </c>
    </row>
    <row r="3" spans="1:84" s="923" customFormat="1" ht="23.25" customHeight="1">
      <c r="A3" s="3801"/>
      <c r="B3" s="3801"/>
      <c r="C3" s="3801"/>
      <c r="D3" s="3801"/>
      <c r="E3" s="3577"/>
      <c r="F3" s="3801"/>
      <c r="G3" s="919" t="s">
        <v>53</v>
      </c>
      <c r="H3" s="919" t="s">
        <v>54</v>
      </c>
      <c r="I3" s="920" t="s">
        <v>55</v>
      </c>
      <c r="J3" s="919" t="s">
        <v>56</v>
      </c>
      <c r="K3" s="2821" t="s">
        <v>57</v>
      </c>
      <c r="L3" s="919" t="s">
        <v>5069</v>
      </c>
      <c r="M3" s="921" t="s">
        <v>2450</v>
      </c>
      <c r="N3" s="3644" t="s">
        <v>4515</v>
      </c>
      <c r="O3" s="3645" t="s">
        <v>4538</v>
      </c>
      <c r="P3" s="3646"/>
      <c r="Q3" s="3646"/>
      <c r="R3" s="3646"/>
      <c r="S3" s="3646"/>
      <c r="T3" s="3646"/>
      <c r="U3" s="3646"/>
      <c r="V3" s="3646"/>
      <c r="W3" s="3646"/>
      <c r="X3" s="3646"/>
      <c r="Y3" s="3646"/>
      <c r="Z3" s="3646"/>
      <c r="AA3" s="3646"/>
      <c r="AB3" s="3646"/>
      <c r="AC3" s="3646"/>
      <c r="AD3" s="3646"/>
      <c r="AE3" s="3646"/>
      <c r="AF3" s="3646"/>
      <c r="AG3" s="3646"/>
      <c r="AH3" s="3646"/>
      <c r="AI3" s="3646"/>
      <c r="AJ3" s="3646"/>
      <c r="AK3" s="3646"/>
      <c r="AL3" s="3646"/>
      <c r="AM3" s="3646"/>
      <c r="AN3" s="3646"/>
      <c r="AO3" s="3646"/>
      <c r="AP3" s="3646"/>
      <c r="AQ3" s="3646"/>
      <c r="AR3" s="3646"/>
      <c r="AS3" s="3646"/>
      <c r="AT3" s="3646"/>
      <c r="AU3" s="3646"/>
      <c r="AV3" s="3646"/>
      <c r="AW3" s="3646"/>
      <c r="AX3" s="3587"/>
      <c r="AY3" s="3587"/>
      <c r="AZ3" s="3587"/>
      <c r="BA3" s="3587"/>
      <c r="BB3" s="3587"/>
      <c r="BC3" s="3587"/>
      <c r="BD3" s="3587"/>
      <c r="BE3" s="3587"/>
      <c r="BF3" s="3587"/>
      <c r="BG3" s="3587"/>
      <c r="BH3" s="3587"/>
      <c r="BI3" s="3587"/>
      <c r="BJ3" s="3587"/>
      <c r="BK3" s="3587"/>
      <c r="BL3" s="3587"/>
      <c r="BM3" s="3587"/>
      <c r="BN3" s="3587"/>
      <c r="BO3" s="3587"/>
      <c r="BP3" s="3587"/>
      <c r="BQ3" s="3587"/>
      <c r="BR3" s="3587"/>
      <c r="BS3" s="3587"/>
      <c r="BT3" s="3587"/>
      <c r="BU3" s="3587"/>
      <c r="BV3" s="3587"/>
      <c r="BW3" s="3587"/>
      <c r="BX3" s="3587"/>
      <c r="BY3" s="3587"/>
      <c r="BZ3" s="3587"/>
      <c r="CA3" s="3587"/>
      <c r="CB3" s="3587"/>
      <c r="CC3" s="3587"/>
      <c r="CD3" s="3587"/>
      <c r="CE3" s="3587"/>
      <c r="CF3" s="3714"/>
    </row>
    <row r="4" spans="1:84" ht="37.5" customHeight="1">
      <c r="A4" s="107" t="s">
        <v>1946</v>
      </c>
      <c r="B4" s="948" t="s">
        <v>1947</v>
      </c>
      <c r="C4" s="3734" t="s">
        <v>1948</v>
      </c>
      <c r="D4" s="982" t="s">
        <v>85</v>
      </c>
      <c r="E4" s="982" t="s">
        <v>85</v>
      </c>
      <c r="F4" s="956" t="s">
        <v>113</v>
      </c>
      <c r="G4" s="178"/>
      <c r="H4" s="2313"/>
      <c r="I4" s="957">
        <f t="shared" ref="I4:I6" si="0">H4/100000</f>
        <v>0</v>
      </c>
      <c r="J4" s="2313"/>
      <c r="K4" s="2978">
        <f>I4*J4</f>
        <v>0</v>
      </c>
      <c r="L4" s="2256"/>
      <c r="M4" s="107" t="str">
        <f>'Ab1. RMNCH+A'!Q8</f>
        <v xml:space="preserve">Activity shifted from FMR 3.1.1.1.1  Recommended for approval of Rs. 48 lakhs for 4000 ASHAs for PMSMA activity @ Rs. 100/- per month for 12 months </v>
      </c>
      <c r="N4" s="3639">
        <f>'Ab1. RMNCH+A'!R8</f>
        <v>48</v>
      </c>
      <c r="O4" s="3331"/>
      <c r="P4" s="3331"/>
      <c r="Q4" s="3331"/>
      <c r="R4" s="3331"/>
      <c r="S4" s="3331"/>
      <c r="T4" s="3331"/>
      <c r="U4" s="3331"/>
      <c r="V4" s="3331"/>
      <c r="W4" s="3331"/>
      <c r="X4" s="3331"/>
      <c r="Y4" s="3331"/>
      <c r="Z4" s="3331"/>
      <c r="AA4" s="3331"/>
      <c r="AB4" s="3331"/>
      <c r="AC4" s="3331"/>
      <c r="AD4" s="3331"/>
      <c r="AE4" s="3331"/>
      <c r="AF4" s="3331"/>
      <c r="AG4" s="3331"/>
      <c r="AH4" s="3331"/>
      <c r="AI4" s="3331"/>
      <c r="AJ4" s="3331"/>
      <c r="AK4" s="3331"/>
      <c r="AL4" s="3331"/>
      <c r="AM4" s="3331"/>
      <c r="AN4" s="3331"/>
      <c r="AO4" s="3331"/>
      <c r="AP4" s="3331"/>
      <c r="AQ4" s="3331"/>
      <c r="AR4" s="3331"/>
      <c r="AS4" s="3331"/>
      <c r="AT4" s="3331"/>
      <c r="AU4" s="3331"/>
      <c r="AV4" s="3331"/>
      <c r="AW4" s="3331"/>
      <c r="AX4" s="3332"/>
      <c r="AY4" s="3332">
        <v>2.78</v>
      </c>
      <c r="AZ4" s="3332">
        <v>4.4000000000000004</v>
      </c>
      <c r="BA4" s="3332">
        <v>2.99</v>
      </c>
      <c r="BB4" s="3332">
        <v>9.64</v>
      </c>
      <c r="BC4" s="3332">
        <v>0.46</v>
      </c>
      <c r="BD4" s="3332">
        <v>2.69</v>
      </c>
      <c r="BE4" s="3332">
        <v>0.09</v>
      </c>
      <c r="BF4" s="3332">
        <v>6.65</v>
      </c>
      <c r="BG4" s="3332">
        <v>5</v>
      </c>
      <c r="BH4" s="3332">
        <v>4.29</v>
      </c>
      <c r="BI4" s="3332">
        <v>5.42</v>
      </c>
      <c r="BJ4" s="3332">
        <v>3.59</v>
      </c>
      <c r="BK4" s="3332"/>
      <c r="BL4" s="3332"/>
      <c r="BM4" s="3332"/>
      <c r="BN4" s="3332"/>
      <c r="BO4" s="3588"/>
      <c r="BP4" s="3588"/>
      <c r="BQ4" s="3588"/>
      <c r="BR4" s="3588"/>
      <c r="BS4" s="3588"/>
      <c r="BT4" s="3588"/>
      <c r="BU4" s="3588"/>
      <c r="BV4" s="3588"/>
      <c r="BW4" s="3588"/>
      <c r="BX4" s="3588"/>
      <c r="BY4" s="3588"/>
      <c r="BZ4" s="3588"/>
      <c r="CA4" s="3588"/>
      <c r="CB4" s="3588"/>
      <c r="CC4" s="3588"/>
      <c r="CD4" s="3588"/>
      <c r="CE4" s="3588"/>
      <c r="CF4" s="3332">
        <f t="shared" ref="CF4:CF46" si="1">SUM(AX4:CD4)</f>
        <v>48</v>
      </c>
    </row>
    <row r="5" spans="1:84" s="963" customFormat="1" ht="37.5" customHeight="1">
      <c r="A5" s="107" t="s">
        <v>1949</v>
      </c>
      <c r="B5" s="948" t="s">
        <v>1950</v>
      </c>
      <c r="C5" s="948" t="s">
        <v>3939</v>
      </c>
      <c r="D5" s="982" t="s">
        <v>85</v>
      </c>
      <c r="E5" s="982" t="s">
        <v>85</v>
      </c>
      <c r="F5" s="956" t="s">
        <v>113</v>
      </c>
      <c r="G5" s="178"/>
      <c r="H5" s="2442">
        <v>102</v>
      </c>
      <c r="I5" s="957">
        <f t="shared" si="0"/>
        <v>1.0200000000000001E-3</v>
      </c>
      <c r="J5" s="2442">
        <v>50000</v>
      </c>
      <c r="K5" s="2978">
        <f>J5*I5</f>
        <v>51.000000000000007</v>
      </c>
      <c r="L5" s="2444" t="s">
        <v>5257</v>
      </c>
      <c r="M5" s="107" t="str">
        <f>'Ab1. RMNCH+A'!Q9</f>
        <v>Recommended for approval of Rs. 51 lakhs for diet services for JSSK benificiaries for 45000 Normal deliveries and 5000 C-sectionsNormal Delivery = 45000 x Rs.90 (Rs. 30 for 3 days) = Rs.40.50 lakhs; C-Section = 5000 x Rs.210 (Rs.30 x 7 days) = Rs.10.50 lakhs.                                                                                                   Therefore total is Rs. 51.00 lakhs.</v>
      </c>
      <c r="N5" s="3639">
        <f>'Ab1. RMNCH+A'!R9</f>
        <v>51</v>
      </c>
      <c r="O5" s="3331"/>
      <c r="P5" s="3331"/>
      <c r="Q5" s="3331"/>
      <c r="R5" s="3331"/>
      <c r="S5" s="3331"/>
      <c r="T5" s="3331"/>
      <c r="U5" s="3331"/>
      <c r="V5" s="3331"/>
      <c r="W5" s="3331"/>
      <c r="X5" s="3331"/>
      <c r="Y5" s="3331"/>
      <c r="Z5" s="3331"/>
      <c r="AA5" s="3331"/>
      <c r="AB5" s="3331"/>
      <c r="AC5" s="3331"/>
      <c r="AD5" s="3331"/>
      <c r="AE5" s="3331"/>
      <c r="AF5" s="3331"/>
      <c r="AG5" s="3331"/>
      <c r="AH5" s="3331"/>
      <c r="AI5" s="3331"/>
      <c r="AJ5" s="3331"/>
      <c r="AK5" s="3331"/>
      <c r="AL5" s="3331"/>
      <c r="AM5" s="3331"/>
      <c r="AN5" s="3331"/>
      <c r="AO5" s="3331"/>
      <c r="AP5" s="3331"/>
      <c r="AQ5" s="3331"/>
      <c r="AR5" s="3331"/>
      <c r="AS5" s="3331"/>
      <c r="AT5" s="3331"/>
      <c r="AU5" s="3331"/>
      <c r="AV5" s="3331"/>
      <c r="AW5" s="3331"/>
      <c r="AX5" s="3332"/>
      <c r="AY5" s="3332">
        <v>0.44</v>
      </c>
      <c r="AZ5" s="3332">
        <v>1</v>
      </c>
      <c r="BA5" s="3332">
        <v>0.6</v>
      </c>
      <c r="BB5" s="3332">
        <v>1.95</v>
      </c>
      <c r="BC5" s="3332">
        <v>0.13</v>
      </c>
      <c r="BD5" s="3332">
        <v>0.33</v>
      </c>
      <c r="BE5" s="3332">
        <v>7.0000000000000007E-2</v>
      </c>
      <c r="BF5" s="3332">
        <v>2.85</v>
      </c>
      <c r="BG5" s="3332">
        <v>0.71</v>
      </c>
      <c r="BH5" s="3332">
        <v>2.86</v>
      </c>
      <c r="BI5" s="3332">
        <v>3.2</v>
      </c>
      <c r="BJ5" s="3332">
        <v>0.2</v>
      </c>
      <c r="BK5" s="3332"/>
      <c r="BL5" s="3332">
        <v>6.5</v>
      </c>
      <c r="BM5" s="3332">
        <v>2.31</v>
      </c>
      <c r="BN5" s="3332">
        <v>3.09</v>
      </c>
      <c r="BO5" s="3332">
        <v>0.34</v>
      </c>
      <c r="BP5" s="3332">
        <v>1.75</v>
      </c>
      <c r="BQ5" s="3332">
        <v>5.62</v>
      </c>
      <c r="BR5" s="3332">
        <v>1.58</v>
      </c>
      <c r="BS5" s="3332">
        <v>0.11</v>
      </c>
      <c r="BT5" s="3332">
        <v>1.46</v>
      </c>
      <c r="BU5" s="3332">
        <v>2.56</v>
      </c>
      <c r="BV5" s="3332">
        <v>4.04</v>
      </c>
      <c r="BW5" s="3332">
        <v>0.03</v>
      </c>
      <c r="BX5" s="3332">
        <v>2.35</v>
      </c>
      <c r="BY5" s="3332">
        <v>0.62</v>
      </c>
      <c r="BZ5" s="3332">
        <v>1.66</v>
      </c>
      <c r="CA5" s="3332"/>
      <c r="CB5" s="3332">
        <v>2.64</v>
      </c>
      <c r="CC5" s="3332"/>
      <c r="CD5" s="3332"/>
      <c r="CE5" s="3332"/>
      <c r="CF5" s="3332">
        <f t="shared" si="1"/>
        <v>50.999999999999993</v>
      </c>
    </row>
    <row r="6" spans="1:84" s="963" customFormat="1" ht="37.5" customHeight="1">
      <c r="A6" s="107" t="s">
        <v>1956</v>
      </c>
      <c r="B6" s="948"/>
      <c r="C6" s="948" t="s">
        <v>2366</v>
      </c>
      <c r="D6" s="982" t="s">
        <v>85</v>
      </c>
      <c r="E6" s="982" t="s">
        <v>85</v>
      </c>
      <c r="F6" s="956" t="s">
        <v>113</v>
      </c>
      <c r="G6" s="2442">
        <v>1</v>
      </c>
      <c r="H6" s="2442">
        <v>247600</v>
      </c>
      <c r="I6" s="957">
        <f t="shared" si="0"/>
        <v>2.476</v>
      </c>
      <c r="J6" s="2442">
        <v>22</v>
      </c>
      <c r="K6" s="2978">
        <f>J6*I6</f>
        <v>54.472000000000001</v>
      </c>
      <c r="L6" s="2444" t="s">
        <v>5260</v>
      </c>
      <c r="M6" s="107" t="str">
        <f>'Ab1. RMNCH+A'!Q12</f>
        <v xml:space="preserve">Recommended for approval of Rs. 54,47,200/- as under:                                                                                                                      Activity 1: Rs. 39,16,800/- for State mentoring visit @ Rs. 6,800/- for 4 visits per month for 12 months in 12 Districts by State mentors (Rs.6800*4*12*12 = Rs.3916800)                   Activity 2: Rs. 1,77,600/- for quarterly National Mentoring visit @ Rs. 44,400 (Rs.44400*4 = Rs.177600)                                                Activity 3: Rs. 6,88,800 for DCT visits @ Rs. 4100 for 2 visits per month in 7 facilities for 12 months (Rs.4100*2*7*12 = Rs.688800)                                         Activity 4: Rs. 4,32,000 for quarterly District level review meeting in 12 Districts @ Rs. 9000 (Rs.9000*4*12 = Rs.432000) Activity 5: Approved for quarterly State level review meeting @ Rs-58000/- Total=58000*4=Rs.232000/- </v>
      </c>
      <c r="N6" s="3639">
        <f>'Ab1. RMNCH+A'!R12</f>
        <v>54.472000000000001</v>
      </c>
      <c r="O6" s="3331">
        <f>(432000+232000)/100000</f>
        <v>6.64</v>
      </c>
      <c r="P6" s="3331"/>
      <c r="Q6" s="3331"/>
      <c r="R6" s="3331"/>
      <c r="S6" s="3331"/>
      <c r="T6" s="3331"/>
      <c r="U6" s="3331"/>
      <c r="V6" s="3331"/>
      <c r="W6" s="3331"/>
      <c r="X6" s="3331"/>
      <c r="Y6" s="3331"/>
      <c r="Z6" s="3331"/>
      <c r="AA6" s="3331"/>
      <c r="AB6" s="3331"/>
      <c r="AC6" s="3331"/>
      <c r="AD6" s="3331"/>
      <c r="AE6" s="3331"/>
      <c r="AF6" s="3331"/>
      <c r="AG6" s="3331"/>
      <c r="AH6" s="3331"/>
      <c r="AI6" s="3331"/>
      <c r="AJ6" s="3331"/>
      <c r="AK6" s="3331"/>
      <c r="AL6" s="3331"/>
      <c r="AM6" s="3331"/>
      <c r="AN6" s="3331"/>
      <c r="AO6" s="3331"/>
      <c r="AP6" s="3331"/>
      <c r="AQ6" s="3331"/>
      <c r="AR6" s="3331"/>
      <c r="AS6" s="3331"/>
      <c r="AT6" s="3331"/>
      <c r="AU6" s="3331"/>
      <c r="AV6" s="3331"/>
      <c r="AW6" s="3331"/>
      <c r="AX6" s="3332">
        <v>50.15</v>
      </c>
      <c r="AY6" s="3332">
        <v>0.36</v>
      </c>
      <c r="AZ6" s="3332">
        <v>0.36</v>
      </c>
      <c r="BA6" s="3332">
        <v>0.36</v>
      </c>
      <c r="BB6" s="3332">
        <v>0.36</v>
      </c>
      <c r="BC6" s="3332">
        <v>0.36</v>
      </c>
      <c r="BD6" s="3332">
        <v>0.36</v>
      </c>
      <c r="BE6" s="3332">
        <v>0.36</v>
      </c>
      <c r="BF6" s="3332">
        <v>0.36</v>
      </c>
      <c r="BG6" s="3332">
        <v>0.36</v>
      </c>
      <c r="BH6" s="3332">
        <v>0.36</v>
      </c>
      <c r="BI6" s="3332">
        <v>0.36</v>
      </c>
      <c r="BJ6" s="3332">
        <v>0.36</v>
      </c>
      <c r="BK6" s="3332"/>
      <c r="BL6" s="3332"/>
      <c r="BM6" s="3332"/>
      <c r="BN6" s="3332"/>
      <c r="BO6" s="3332"/>
      <c r="BP6" s="3332"/>
      <c r="BQ6" s="3332"/>
      <c r="BR6" s="3332"/>
      <c r="BS6" s="3332"/>
      <c r="BT6" s="3332"/>
      <c r="BU6" s="3332"/>
      <c r="BV6" s="3332"/>
      <c r="BW6" s="3332"/>
      <c r="BX6" s="3332"/>
      <c r="BY6" s="3332"/>
      <c r="BZ6" s="3332"/>
      <c r="CA6" s="3332"/>
      <c r="CB6" s="3332"/>
      <c r="CC6" s="3332"/>
      <c r="CD6" s="3332"/>
      <c r="CE6" s="3332"/>
      <c r="CF6" s="3332">
        <f t="shared" si="1"/>
        <v>54.469999999999992</v>
      </c>
    </row>
    <row r="7" spans="1:84" s="963" customFormat="1" ht="37.5" customHeight="1">
      <c r="A7" s="107" t="s">
        <v>1960</v>
      </c>
      <c r="B7" s="948" t="s">
        <v>133</v>
      </c>
      <c r="C7" s="948" t="s">
        <v>3941</v>
      </c>
      <c r="D7" s="982" t="s">
        <v>85</v>
      </c>
      <c r="E7" s="982" t="s">
        <v>85</v>
      </c>
      <c r="F7" s="956" t="s">
        <v>91</v>
      </c>
      <c r="G7" s="178"/>
      <c r="H7" s="2313">
        <v>70</v>
      </c>
      <c r="I7" s="957">
        <f t="shared" ref="I7:I12" si="2">H7/100000</f>
        <v>6.9999999999999999E-4</v>
      </c>
      <c r="J7" s="2313">
        <v>1000</v>
      </c>
      <c r="K7" s="2978">
        <f>J7*I7</f>
        <v>0.7</v>
      </c>
      <c r="L7" s="2256" t="s">
        <v>5469</v>
      </c>
      <c r="M7" s="107" t="str">
        <f>'Ab1. RMNCH+A'!Q344</f>
        <v xml:space="preserve">New activityRecommended for approval of Rs.0.70 lakh for printing of printing of comprehensive new born screening guidelines. The State to ensure that screening and referral formats are available in adequate number in each delivery points and visible birth defect poster as per guidelines are displayed in the record room of LR.  </v>
      </c>
      <c r="N7" s="3639">
        <f>'Ab1. RMNCH+A'!R344</f>
        <v>0.7</v>
      </c>
      <c r="O7" s="3331"/>
      <c r="P7" s="3331"/>
      <c r="Q7" s="3331"/>
      <c r="R7" s="3331"/>
      <c r="S7" s="3331"/>
      <c r="T7" s="3331"/>
      <c r="U7" s="3331"/>
      <c r="V7" s="3331"/>
      <c r="W7" s="3331"/>
      <c r="X7" s="3331"/>
      <c r="Y7" s="3331"/>
      <c r="Z7" s="3331"/>
      <c r="AA7" s="3331"/>
      <c r="AB7" s="3331"/>
      <c r="AC7" s="3331"/>
      <c r="AD7" s="3331"/>
      <c r="AE7" s="3331"/>
      <c r="AF7" s="3331"/>
      <c r="AG7" s="3331"/>
      <c r="AH7" s="3331"/>
      <c r="AI7" s="3331"/>
      <c r="AJ7" s="3331"/>
      <c r="AK7" s="3331"/>
      <c r="AL7" s="3331"/>
      <c r="AM7" s="3331"/>
      <c r="AN7" s="3331"/>
      <c r="AO7" s="3331"/>
      <c r="AP7" s="3331"/>
      <c r="AQ7" s="3331"/>
      <c r="AR7" s="3331"/>
      <c r="AS7" s="3331"/>
      <c r="AT7" s="3331"/>
      <c r="AU7" s="3331"/>
      <c r="AV7" s="3331"/>
      <c r="AW7" s="3331"/>
      <c r="AX7" s="3332">
        <v>0.7</v>
      </c>
      <c r="AY7" s="3332"/>
      <c r="AZ7" s="3332"/>
      <c r="BA7" s="3332"/>
      <c r="BB7" s="3332"/>
      <c r="BC7" s="3332"/>
      <c r="BD7" s="3332"/>
      <c r="BE7" s="3332"/>
      <c r="BF7" s="3332"/>
      <c r="BG7" s="3332"/>
      <c r="BH7" s="3332"/>
      <c r="BI7" s="3332"/>
      <c r="BJ7" s="3332"/>
      <c r="BK7" s="3332"/>
      <c r="BL7" s="3332"/>
      <c r="BM7" s="3332"/>
      <c r="BN7" s="3332"/>
      <c r="BO7" s="3332"/>
      <c r="BP7" s="3332"/>
      <c r="BQ7" s="3332"/>
      <c r="BR7" s="3332"/>
      <c r="BS7" s="3332"/>
      <c r="BT7" s="3332"/>
      <c r="BU7" s="3332"/>
      <c r="BV7" s="3332"/>
      <c r="BW7" s="3332"/>
      <c r="BX7" s="3332"/>
      <c r="BY7" s="3332"/>
      <c r="BZ7" s="3332"/>
      <c r="CA7" s="3332"/>
      <c r="CB7" s="3332"/>
      <c r="CC7" s="3332"/>
      <c r="CD7" s="3332"/>
      <c r="CE7" s="3332"/>
      <c r="CF7" s="3332">
        <f t="shared" si="1"/>
        <v>0.7</v>
      </c>
    </row>
    <row r="8" spans="1:84" s="963" customFormat="1" ht="37.5" customHeight="1">
      <c r="A8" s="107" t="s">
        <v>1961</v>
      </c>
      <c r="B8" s="107" t="s">
        <v>400</v>
      </c>
      <c r="C8" s="107" t="s">
        <v>401</v>
      </c>
      <c r="D8" s="2095" t="s">
        <v>85</v>
      </c>
      <c r="E8" s="2095" t="s">
        <v>85</v>
      </c>
      <c r="F8" s="900" t="s">
        <v>91</v>
      </c>
      <c r="G8" s="178">
        <v>1</v>
      </c>
      <c r="H8" s="2504">
        <v>15000000</v>
      </c>
      <c r="I8" s="957">
        <f t="shared" si="2"/>
        <v>150</v>
      </c>
      <c r="J8" s="2504">
        <v>1</v>
      </c>
      <c r="K8" s="2978">
        <f>I8*J8</f>
        <v>150</v>
      </c>
      <c r="L8" s="2256" t="s">
        <v>5338</v>
      </c>
      <c r="M8" s="107" t="str">
        <f>'Ab1. RMNCH+A'!Q345</f>
        <v xml:space="preserve">Continued activityRs 150 lakhs as proposed by the State is recommended for approval for 1145 children for health conditions as per RBSK procedures and model costing for surgeries guidelines.The State also has proposed to use Rs.277.1 lakhs kept as committed unspent of approved Rs.285.6 lakhs in FY 2021-22.Illustrative details is in Annexure. Expenditure will be as per actuals. The State to follow RBSK procedures and model costing for surgeries guidelines.  Details of children supported to be included in monthly reports of RBSK. </v>
      </c>
      <c r="N8" s="3639">
        <f>'Ab1. RMNCH+A'!R345</f>
        <v>150</v>
      </c>
      <c r="O8" s="3331"/>
      <c r="P8" s="3331"/>
      <c r="Q8" s="3331"/>
      <c r="R8" s="3331"/>
      <c r="S8" s="3331"/>
      <c r="T8" s="3331"/>
      <c r="U8" s="3331"/>
      <c r="V8" s="3331"/>
      <c r="W8" s="3331"/>
      <c r="X8" s="3331"/>
      <c r="Y8" s="3331"/>
      <c r="Z8" s="3331"/>
      <c r="AA8" s="3331"/>
      <c r="AB8" s="3331"/>
      <c r="AC8" s="3331"/>
      <c r="AD8" s="3331"/>
      <c r="AE8" s="3331"/>
      <c r="AF8" s="3331"/>
      <c r="AG8" s="3331"/>
      <c r="AH8" s="3331"/>
      <c r="AI8" s="3331"/>
      <c r="AJ8" s="3331"/>
      <c r="AK8" s="3331"/>
      <c r="AL8" s="3331"/>
      <c r="AM8" s="3331"/>
      <c r="AN8" s="3331"/>
      <c r="AO8" s="3331"/>
      <c r="AP8" s="3331"/>
      <c r="AQ8" s="3331"/>
      <c r="AR8" s="3331"/>
      <c r="AS8" s="3331"/>
      <c r="AT8" s="3331"/>
      <c r="AU8" s="3331"/>
      <c r="AV8" s="3331"/>
      <c r="AW8" s="3331"/>
      <c r="AX8" s="3332">
        <v>150</v>
      </c>
      <c r="AY8" s="3332"/>
      <c r="AZ8" s="3332"/>
      <c r="BA8" s="3332"/>
      <c r="BB8" s="3332"/>
      <c r="BC8" s="3332"/>
      <c r="BD8" s="3332"/>
      <c r="BE8" s="3332"/>
      <c r="BF8" s="3332"/>
      <c r="BG8" s="3332"/>
      <c r="BH8" s="3332"/>
      <c r="BI8" s="3332"/>
      <c r="BJ8" s="3332"/>
      <c r="BK8" s="3332"/>
      <c r="BL8" s="3332"/>
      <c r="BM8" s="3332"/>
      <c r="BN8" s="3332"/>
      <c r="BO8" s="3332"/>
      <c r="BP8" s="3332"/>
      <c r="BQ8" s="3332"/>
      <c r="BR8" s="3332"/>
      <c r="BS8" s="3332"/>
      <c r="BT8" s="3332"/>
      <c r="BU8" s="3332"/>
      <c r="BV8" s="3332"/>
      <c r="BW8" s="3332"/>
      <c r="BX8" s="3332"/>
      <c r="BY8" s="3332"/>
      <c r="BZ8" s="3332"/>
      <c r="CA8" s="3332"/>
      <c r="CB8" s="3332"/>
      <c r="CC8" s="3332"/>
      <c r="CD8" s="3332"/>
      <c r="CE8" s="3332"/>
      <c r="CF8" s="3332">
        <f t="shared" si="1"/>
        <v>150</v>
      </c>
    </row>
    <row r="9" spans="1:84" s="963" customFormat="1" ht="37.5" customHeight="1">
      <c r="A9" s="107" t="s">
        <v>2587</v>
      </c>
      <c r="B9" s="948" t="s">
        <v>1967</v>
      </c>
      <c r="C9" s="948" t="s">
        <v>1968</v>
      </c>
      <c r="D9" s="982" t="s">
        <v>85</v>
      </c>
      <c r="E9" s="982" t="s">
        <v>85</v>
      </c>
      <c r="F9" s="956" t="s">
        <v>86</v>
      </c>
      <c r="G9" s="178">
        <v>1</v>
      </c>
      <c r="H9" s="2504">
        <v>10000</v>
      </c>
      <c r="I9" s="957">
        <f t="shared" si="2"/>
        <v>0.1</v>
      </c>
      <c r="J9" s="2504">
        <v>32</v>
      </c>
      <c r="K9" s="2978">
        <f>J9*I9</f>
        <v>3.2</v>
      </c>
      <c r="L9" s="2256" t="s">
        <v>5312</v>
      </c>
      <c r="M9" s="107" t="str">
        <f>'Ab1. RMNCH+A'!Q198</f>
        <v xml:space="preserve">Ongoing activity :Rs 3.20 lakhs is recommended for approval for  32 Female sterlization  FDS @ Rs.10,000/FDS (2 FDS per District in 11 Districts   and  2 FDS per Medical colleges in 5 Medical Colleges. </v>
      </c>
      <c r="N9" s="3639">
        <f>'Ab1. RMNCH+A'!R198</f>
        <v>3.2</v>
      </c>
      <c r="O9" s="3331"/>
      <c r="P9" s="3331"/>
      <c r="Q9" s="3331"/>
      <c r="R9" s="3331"/>
      <c r="S9" s="3331"/>
      <c r="T9" s="3331"/>
      <c r="U9" s="3331"/>
      <c r="V9" s="3331"/>
      <c r="W9" s="3331"/>
      <c r="X9" s="3331"/>
      <c r="Y9" s="3331"/>
      <c r="Z9" s="3331"/>
      <c r="AA9" s="3331"/>
      <c r="AB9" s="3331"/>
      <c r="AC9" s="3331"/>
      <c r="AD9" s="3331"/>
      <c r="AE9" s="3331"/>
      <c r="AF9" s="3331"/>
      <c r="AG9" s="3331"/>
      <c r="AH9" s="3331"/>
      <c r="AI9" s="3331"/>
      <c r="AJ9" s="3331"/>
      <c r="AK9" s="3331"/>
      <c r="AL9" s="3331"/>
      <c r="AM9" s="3331"/>
      <c r="AN9" s="3331"/>
      <c r="AO9" s="3331"/>
      <c r="AP9" s="3331"/>
      <c r="AQ9" s="3331"/>
      <c r="AR9" s="3331"/>
      <c r="AS9" s="3331"/>
      <c r="AT9" s="3331"/>
      <c r="AU9" s="3331"/>
      <c r="AV9" s="3331"/>
      <c r="AW9" s="3331"/>
      <c r="AX9" s="3332"/>
      <c r="AY9" s="3332">
        <v>0.15</v>
      </c>
      <c r="AZ9" s="3332">
        <v>0.05</v>
      </c>
      <c r="BA9" s="3332">
        <v>0.2</v>
      </c>
      <c r="BB9" s="3332">
        <v>0.25</v>
      </c>
      <c r="BC9" s="3332">
        <v>0.05</v>
      </c>
      <c r="BD9" s="3332">
        <v>0.05</v>
      </c>
      <c r="BE9" s="3332">
        <v>0.05</v>
      </c>
      <c r="BF9" s="3332">
        <v>0.2</v>
      </c>
      <c r="BG9" s="3332">
        <v>0.05</v>
      </c>
      <c r="BH9" s="3332">
        <v>0.1</v>
      </c>
      <c r="BI9" s="3332">
        <v>0.15</v>
      </c>
      <c r="BJ9" s="3332">
        <v>0.15</v>
      </c>
      <c r="BK9" s="3332"/>
      <c r="BL9" s="3332">
        <v>0.2</v>
      </c>
      <c r="BM9" s="3332">
        <v>0.05</v>
      </c>
      <c r="BN9" s="3332">
        <v>0.1</v>
      </c>
      <c r="BO9" s="3332"/>
      <c r="BP9" s="3332">
        <v>0.2</v>
      </c>
      <c r="BQ9" s="3332">
        <v>0.2</v>
      </c>
      <c r="BR9" s="3332">
        <v>0.15</v>
      </c>
      <c r="BS9" s="3332">
        <v>0.1</v>
      </c>
      <c r="BT9" s="3332">
        <v>0.05</v>
      </c>
      <c r="BU9" s="3332">
        <v>0.05</v>
      </c>
      <c r="BV9" s="3332">
        <v>0.2</v>
      </c>
      <c r="BW9" s="3332">
        <v>0.05</v>
      </c>
      <c r="BX9" s="3332">
        <v>0.05</v>
      </c>
      <c r="BY9" s="3332">
        <v>0.05</v>
      </c>
      <c r="BZ9" s="3332">
        <v>0.15</v>
      </c>
      <c r="CA9" s="3332"/>
      <c r="CB9" s="3332">
        <v>0.15</v>
      </c>
      <c r="CC9" s="3332"/>
      <c r="CD9" s="3332"/>
      <c r="CE9" s="3332"/>
      <c r="CF9" s="3332">
        <f t="shared" si="1"/>
        <v>3.1999999999999997</v>
      </c>
    </row>
    <row r="10" spans="1:84" s="963" customFormat="1" ht="37.5" customHeight="1">
      <c r="A10" s="107" t="s">
        <v>2588</v>
      </c>
      <c r="B10" s="948" t="s">
        <v>1969</v>
      </c>
      <c r="C10" s="948" t="s">
        <v>1970</v>
      </c>
      <c r="D10" s="982" t="s">
        <v>85</v>
      </c>
      <c r="E10" s="982" t="s">
        <v>85</v>
      </c>
      <c r="F10" s="956" t="s">
        <v>86</v>
      </c>
      <c r="G10" s="178"/>
      <c r="H10" s="2504">
        <v>20000</v>
      </c>
      <c r="I10" s="957">
        <f t="shared" si="2"/>
        <v>0.2</v>
      </c>
      <c r="J10" s="2504">
        <v>10</v>
      </c>
      <c r="K10" s="2978">
        <f>J10*I10</f>
        <v>2</v>
      </c>
      <c r="L10" s="2256" t="s">
        <v>5313</v>
      </c>
      <c r="M10" s="107" t="str">
        <f>'Ab1. RMNCH+A'!Q199</f>
        <v xml:space="preserve">Ongoing activity :Rs 2.00 lakhs is recommended for approval for 10 Male  sterlization  FDS @ Rs.20,000/FDS.One FDS /District  in 10 Districts </v>
      </c>
      <c r="N10" s="3639">
        <f>'Ab1. RMNCH+A'!R199</f>
        <v>2</v>
      </c>
      <c r="O10" s="3331"/>
      <c r="P10" s="3331"/>
      <c r="Q10" s="3331"/>
      <c r="R10" s="3331"/>
      <c r="S10" s="3331"/>
      <c r="T10" s="3331"/>
      <c r="U10" s="3331"/>
      <c r="V10" s="3331"/>
      <c r="W10" s="3331"/>
      <c r="X10" s="3331"/>
      <c r="Y10" s="3331"/>
      <c r="Z10" s="3331"/>
      <c r="AA10" s="3331"/>
      <c r="AB10" s="3331"/>
      <c r="AC10" s="3331"/>
      <c r="AD10" s="3331"/>
      <c r="AE10" s="3331"/>
      <c r="AF10" s="3331"/>
      <c r="AG10" s="3331"/>
      <c r="AH10" s="3331"/>
      <c r="AI10" s="3331"/>
      <c r="AJ10" s="3331"/>
      <c r="AK10" s="3331"/>
      <c r="AL10" s="3331"/>
      <c r="AM10" s="3331"/>
      <c r="AN10" s="3331"/>
      <c r="AO10" s="3331"/>
      <c r="AP10" s="3331"/>
      <c r="AQ10" s="3331"/>
      <c r="AR10" s="3331"/>
      <c r="AS10" s="3331"/>
      <c r="AT10" s="3331"/>
      <c r="AU10" s="3331"/>
      <c r="AV10" s="3331"/>
      <c r="AW10" s="3331"/>
      <c r="AX10" s="3332"/>
      <c r="AY10" s="3332">
        <v>0.05</v>
      </c>
      <c r="AZ10" s="3332">
        <v>0.3</v>
      </c>
      <c r="BA10" s="3332">
        <v>0.03</v>
      </c>
      <c r="BB10" s="3332">
        <v>0.05</v>
      </c>
      <c r="BC10" s="3332">
        <v>0.03</v>
      </c>
      <c r="BD10" s="3332">
        <v>0.15</v>
      </c>
      <c r="BE10" s="3332">
        <v>0.03</v>
      </c>
      <c r="BF10" s="3332">
        <v>0.02</v>
      </c>
      <c r="BG10" s="3332">
        <v>0.08</v>
      </c>
      <c r="BH10" s="3332">
        <v>0.08</v>
      </c>
      <c r="BI10" s="3332">
        <v>0.1</v>
      </c>
      <c r="BJ10" s="3332">
        <v>0.05</v>
      </c>
      <c r="BK10" s="3332">
        <v>0</v>
      </c>
      <c r="BL10" s="3332">
        <v>0.05</v>
      </c>
      <c r="BM10" s="3332">
        <v>0.3</v>
      </c>
      <c r="BN10" s="3332">
        <v>0.03</v>
      </c>
      <c r="BO10" s="3332"/>
      <c r="BP10" s="3332">
        <v>0.08</v>
      </c>
      <c r="BQ10" s="3332"/>
      <c r="BR10" s="3332">
        <v>0.05</v>
      </c>
      <c r="BS10" s="3332">
        <v>0.02</v>
      </c>
      <c r="BT10" s="3332">
        <v>0.02</v>
      </c>
      <c r="BU10" s="3332">
        <v>0.15</v>
      </c>
      <c r="BV10" s="3332">
        <v>0.02</v>
      </c>
      <c r="BW10" s="3332">
        <v>0.06</v>
      </c>
      <c r="BX10" s="3332">
        <v>0.05</v>
      </c>
      <c r="BY10" s="3332">
        <v>0.05</v>
      </c>
      <c r="BZ10" s="3332">
        <v>0.1</v>
      </c>
      <c r="CA10" s="3332"/>
      <c r="CB10" s="3332">
        <v>0.05</v>
      </c>
      <c r="CC10" s="3332"/>
      <c r="CD10" s="3332"/>
      <c r="CE10" s="3332"/>
      <c r="CF10" s="3332">
        <f t="shared" si="1"/>
        <v>2.0000000000000004</v>
      </c>
    </row>
    <row r="11" spans="1:84" s="963" customFormat="1" ht="37.5" customHeight="1">
      <c r="A11" s="107" t="s">
        <v>1979</v>
      </c>
      <c r="B11" s="948"/>
      <c r="C11" s="1004" t="s">
        <v>4004</v>
      </c>
      <c r="D11" s="982" t="s">
        <v>85</v>
      </c>
      <c r="E11" s="982" t="s">
        <v>85</v>
      </c>
      <c r="F11" s="956" t="s">
        <v>188</v>
      </c>
      <c r="G11" s="178"/>
      <c r="H11" s="2448">
        <v>15000</v>
      </c>
      <c r="I11" s="957">
        <f t="shared" si="2"/>
        <v>0.15</v>
      </c>
      <c r="J11" s="2313">
        <v>6</v>
      </c>
      <c r="K11" s="2978">
        <f>J11*I11</f>
        <v>0.89999999999999991</v>
      </c>
      <c r="L11" s="2256" t="s">
        <v>5224</v>
      </c>
      <c r="M11" s="655" t="str">
        <f>'Ab1. RMNCH+A'!Q290</f>
        <v>Continued activityRecommended for approval of Rs 0.9 lakh for bi-annual District level coordination meeting between Health and Education @ Rs.7500 per meeting under SHP for 6 School Health Program - Ayushman Bharat implementing Districts</v>
      </c>
      <c r="N11" s="3639">
        <f>'Ab1. RMNCH+A'!R290</f>
        <v>0.9</v>
      </c>
      <c r="O11" s="3331"/>
      <c r="P11" s="3331"/>
      <c r="Q11" s="3331"/>
      <c r="R11" s="3331"/>
      <c r="S11" s="3331"/>
      <c r="T11" s="3331"/>
      <c r="U11" s="3331"/>
      <c r="V11" s="3331"/>
      <c r="W11" s="3331"/>
      <c r="X11" s="3331"/>
      <c r="Y11" s="3331"/>
      <c r="Z11" s="3331"/>
      <c r="AA11" s="3331"/>
      <c r="AB11" s="3331"/>
      <c r="AC11" s="3331"/>
      <c r="AD11" s="3331"/>
      <c r="AE11" s="3331"/>
      <c r="AF11" s="3331"/>
      <c r="AG11" s="3331"/>
      <c r="AH11" s="3331"/>
      <c r="AI11" s="3331"/>
      <c r="AJ11" s="3331"/>
      <c r="AK11" s="3331"/>
      <c r="AL11" s="3331"/>
      <c r="AM11" s="3331"/>
      <c r="AN11" s="3331"/>
      <c r="AO11" s="3331"/>
      <c r="AP11" s="3331"/>
      <c r="AQ11" s="3331"/>
      <c r="AR11" s="3331"/>
      <c r="AS11" s="3331"/>
      <c r="AT11" s="3331"/>
      <c r="AU11" s="3331"/>
      <c r="AV11" s="3331"/>
      <c r="AW11" s="3331"/>
      <c r="AX11" s="3332"/>
      <c r="AY11" s="3332">
        <v>0.15</v>
      </c>
      <c r="AZ11" s="3332">
        <v>0.15</v>
      </c>
      <c r="BA11" s="3332"/>
      <c r="BB11" s="3332">
        <v>0.15</v>
      </c>
      <c r="BC11" s="3332"/>
      <c r="BD11" s="3332"/>
      <c r="BE11" s="3332"/>
      <c r="BF11" s="3332">
        <v>0.15</v>
      </c>
      <c r="BG11" s="3332"/>
      <c r="BH11" s="3332">
        <v>0.15</v>
      </c>
      <c r="BI11" s="3332"/>
      <c r="BJ11" s="3332">
        <v>0.15</v>
      </c>
      <c r="BK11" s="3332"/>
      <c r="BL11" s="3332"/>
      <c r="BM11" s="3332"/>
      <c r="BN11" s="3332"/>
      <c r="BO11" s="3332"/>
      <c r="BP11" s="3332"/>
      <c r="BQ11" s="3332"/>
      <c r="BR11" s="3332"/>
      <c r="BS11" s="3332"/>
      <c r="BT11" s="3332"/>
      <c r="BU11" s="3332"/>
      <c r="BV11" s="3332"/>
      <c r="BW11" s="3332"/>
      <c r="BX11" s="3332"/>
      <c r="BY11" s="3332"/>
      <c r="BZ11" s="3332"/>
      <c r="CA11" s="3332"/>
      <c r="CB11" s="3332"/>
      <c r="CC11" s="3332"/>
      <c r="CD11" s="3332"/>
      <c r="CE11" s="3332"/>
      <c r="CF11" s="3332">
        <f t="shared" si="1"/>
        <v>0.9</v>
      </c>
    </row>
    <row r="12" spans="1:84" s="963" customFormat="1" ht="37.5" customHeight="1">
      <c r="A12" s="107" t="s">
        <v>1982</v>
      </c>
      <c r="B12" s="107"/>
      <c r="C12" s="107" t="s">
        <v>1304</v>
      </c>
      <c r="D12" s="2095" t="s">
        <v>85</v>
      </c>
      <c r="E12" s="2095" t="s">
        <v>85</v>
      </c>
      <c r="F12" s="900" t="s">
        <v>188</v>
      </c>
      <c r="G12" s="178"/>
      <c r="H12" s="2448">
        <v>35000</v>
      </c>
      <c r="I12" s="957">
        <f t="shared" si="2"/>
        <v>0.35</v>
      </c>
      <c r="J12" s="2313">
        <v>1</v>
      </c>
      <c r="K12" s="2978">
        <f>J12*I12</f>
        <v>0.35</v>
      </c>
      <c r="L12" s="2256" t="s">
        <v>5225</v>
      </c>
      <c r="M12" s="655" t="str">
        <f>'Ab1. RMNCH+A'!Q291</f>
        <v>Continued activityRecommended for approval of Rs 0.35 lakhs for one State level convergence meeting  @ Rs.35,000/-</v>
      </c>
      <c r="N12" s="3639">
        <f>'Ab1. RMNCH+A'!R291</f>
        <v>0.35</v>
      </c>
      <c r="O12" s="3648">
        <f>N12</f>
        <v>0.35</v>
      </c>
      <c r="P12" s="3331"/>
      <c r="Q12" s="3331"/>
      <c r="R12" s="3331"/>
      <c r="S12" s="3331"/>
      <c r="T12" s="3331"/>
      <c r="U12" s="3331"/>
      <c r="V12" s="3331"/>
      <c r="W12" s="3331"/>
      <c r="X12" s="3331"/>
      <c r="Y12" s="3331"/>
      <c r="Z12" s="3331"/>
      <c r="AA12" s="3331"/>
      <c r="AB12" s="3331"/>
      <c r="AC12" s="3331"/>
      <c r="AD12" s="3331"/>
      <c r="AE12" s="3331"/>
      <c r="AF12" s="3331"/>
      <c r="AG12" s="3331"/>
      <c r="AH12" s="3331"/>
      <c r="AI12" s="3331"/>
      <c r="AJ12" s="3331"/>
      <c r="AK12" s="3331"/>
      <c r="AL12" s="3331"/>
      <c r="AM12" s="3331"/>
      <c r="AN12" s="3331"/>
      <c r="AO12" s="3331"/>
      <c r="AP12" s="3331"/>
      <c r="AQ12" s="3331"/>
      <c r="AR12" s="3331"/>
      <c r="AS12" s="3331"/>
      <c r="AT12" s="3331"/>
      <c r="AU12" s="3331"/>
      <c r="AV12" s="3331"/>
      <c r="AW12" s="3331"/>
      <c r="AX12" s="3332">
        <v>0.35</v>
      </c>
      <c r="AY12" s="3332"/>
      <c r="AZ12" s="3332"/>
      <c r="BA12" s="3332"/>
      <c r="BB12" s="3332"/>
      <c r="BC12" s="3332"/>
      <c r="BD12" s="3332"/>
      <c r="BE12" s="3332"/>
      <c r="BF12" s="3332"/>
      <c r="BG12" s="3332"/>
      <c r="BH12" s="3332"/>
      <c r="BI12" s="3332"/>
      <c r="BJ12" s="3332"/>
      <c r="BK12" s="3332"/>
      <c r="BL12" s="3332"/>
      <c r="BM12" s="3332"/>
      <c r="BN12" s="3332"/>
      <c r="BO12" s="3332"/>
      <c r="BP12" s="3332"/>
      <c r="BQ12" s="3332"/>
      <c r="BR12" s="3332"/>
      <c r="BS12" s="3332"/>
      <c r="BT12" s="3332"/>
      <c r="BU12" s="3332"/>
      <c r="BV12" s="3332"/>
      <c r="BW12" s="3332"/>
      <c r="BX12" s="3332"/>
      <c r="BY12" s="3332"/>
      <c r="BZ12" s="3332"/>
      <c r="CA12" s="3332"/>
      <c r="CB12" s="3332"/>
      <c r="CC12" s="3332"/>
      <c r="CD12" s="3332"/>
      <c r="CE12" s="3332"/>
      <c r="CF12" s="3332">
        <f t="shared" si="1"/>
        <v>0.35</v>
      </c>
    </row>
    <row r="13" spans="1:84" s="963" customFormat="1" ht="37.5" customHeight="1">
      <c r="A13" s="107" t="s">
        <v>1993</v>
      </c>
      <c r="B13" s="2342" t="s">
        <v>5132</v>
      </c>
      <c r="C13" s="2342" t="s">
        <v>5133</v>
      </c>
      <c r="D13" s="982" t="s">
        <v>4219</v>
      </c>
      <c r="E13" s="982" t="s">
        <v>141</v>
      </c>
      <c r="F13" s="956" t="s">
        <v>141</v>
      </c>
      <c r="G13" s="178">
        <v>0</v>
      </c>
      <c r="H13" s="2344">
        <v>500000</v>
      </c>
      <c r="I13" s="957">
        <f t="shared" ref="I13:I14" si="3">H13/100000</f>
        <v>5</v>
      </c>
      <c r="J13" s="2313">
        <v>1</v>
      </c>
      <c r="K13" s="2978">
        <f t="shared" ref="K13:K14" si="4">J13*I13</f>
        <v>5</v>
      </c>
      <c r="L13" s="2256" t="s">
        <v>5197</v>
      </c>
      <c r="M13" s="107" t="str">
        <f>'Abs10. NLEP'!Q7</f>
        <v>Recommended, Active case detection has to be done throughout the state round the year on regular basis as per new ACD&amp;RS guidelines.State must estimate the eligible population for leprosy screening and propose the additional budget if required as per new ACD &amp; RS guidelines in SPIP.</v>
      </c>
      <c r="N13" s="3639">
        <f>'Abs10. NLEP'!R7</f>
        <v>5</v>
      </c>
      <c r="O13" s="3331"/>
      <c r="P13" s="3331"/>
      <c r="Q13" s="3331"/>
      <c r="R13" s="3331"/>
      <c r="S13" s="3331"/>
      <c r="T13" s="3331"/>
      <c r="U13" s="3331"/>
      <c r="V13" s="3331"/>
      <c r="W13" s="3331"/>
      <c r="X13" s="3331"/>
      <c r="Y13" s="3331"/>
      <c r="Z13" s="3331"/>
      <c r="AA13" s="3331"/>
      <c r="AB13" s="3331"/>
      <c r="AC13" s="3331"/>
      <c r="AD13" s="3331"/>
      <c r="AE13" s="3331"/>
      <c r="AF13" s="3331"/>
      <c r="AG13" s="3331"/>
      <c r="AH13" s="3331"/>
      <c r="AI13" s="3331"/>
      <c r="AJ13" s="3331"/>
      <c r="AK13" s="3331"/>
      <c r="AL13" s="3331"/>
      <c r="AM13" s="3331"/>
      <c r="AN13" s="3331"/>
      <c r="AO13" s="3331"/>
      <c r="AP13" s="3331"/>
      <c r="AQ13" s="3331"/>
      <c r="AR13" s="3331"/>
      <c r="AS13" s="3331"/>
      <c r="AT13" s="3331"/>
      <c r="AU13" s="3331"/>
      <c r="AV13" s="3331"/>
      <c r="AW13" s="3331"/>
      <c r="AX13" s="3332"/>
      <c r="AY13" s="3332">
        <v>0.2</v>
      </c>
      <c r="AZ13" s="3332">
        <v>0.75</v>
      </c>
      <c r="BA13" s="3332">
        <v>0.25</v>
      </c>
      <c r="BB13" s="3332">
        <v>0.9</v>
      </c>
      <c r="BC13" s="3332">
        <v>0.15</v>
      </c>
      <c r="BD13" s="3332">
        <v>0.25</v>
      </c>
      <c r="BE13" s="3332">
        <v>0.15</v>
      </c>
      <c r="BF13" s="3332">
        <v>0.5</v>
      </c>
      <c r="BG13" s="3332">
        <v>0.5</v>
      </c>
      <c r="BH13" s="3332">
        <v>0.6</v>
      </c>
      <c r="BI13" s="3332">
        <v>0.5</v>
      </c>
      <c r="BJ13" s="3332">
        <v>0.25</v>
      </c>
      <c r="BK13" s="3332"/>
      <c r="BL13" s="3332"/>
      <c r="BM13" s="3332"/>
      <c r="BN13" s="3332"/>
      <c r="BO13" s="3332"/>
      <c r="BP13" s="3332"/>
      <c r="BQ13" s="3332"/>
      <c r="BR13" s="3332"/>
      <c r="BS13" s="3332"/>
      <c r="BT13" s="3332"/>
      <c r="BU13" s="3332"/>
      <c r="BV13" s="3332"/>
      <c r="BW13" s="3332"/>
      <c r="BX13" s="3332"/>
      <c r="BY13" s="3332"/>
      <c r="BZ13" s="3332"/>
      <c r="CA13" s="3332"/>
      <c r="CB13" s="3332"/>
      <c r="CC13" s="3332"/>
      <c r="CD13" s="3332"/>
      <c r="CE13" s="3332"/>
      <c r="CF13" s="3332">
        <f t="shared" si="1"/>
        <v>5</v>
      </c>
    </row>
    <row r="14" spans="1:84" s="3331" customFormat="1" ht="37.5" customHeight="1">
      <c r="A14" s="3323" t="s">
        <v>4220</v>
      </c>
      <c r="B14" s="3322"/>
      <c r="C14" s="3322" t="s">
        <v>4372</v>
      </c>
      <c r="D14" s="3226" t="s">
        <v>4219</v>
      </c>
      <c r="E14" s="3226" t="s">
        <v>4525</v>
      </c>
      <c r="F14" s="3324" t="s">
        <v>4525</v>
      </c>
      <c r="G14" s="3325"/>
      <c r="H14" s="3326">
        <v>1078</v>
      </c>
      <c r="I14" s="3327">
        <f t="shared" si="3"/>
        <v>1.078E-2</v>
      </c>
      <c r="J14" s="3326">
        <v>5260</v>
      </c>
      <c r="K14" s="3328">
        <f t="shared" si="4"/>
        <v>56.702799999999996</v>
      </c>
      <c r="L14" s="3329" t="s">
        <v>5488</v>
      </c>
      <c r="M14" s="3329" t="str">
        <f>'Abs11. NTEP'!Q7</f>
        <v>Recommended Rs 56.70 lakhs towards implementation of LTBI diagnosis and management in 4 districts (Bilaspur, Una, Kinnaur and Lahul &amp; Spiti). Funds recommended for IGRA testing of eligible contacts of pulmonary TB patients and other eligible patients such as those undergoing dialysis @ rs 1300/- as proposed by the State. Actual expenditure shall be based on due procedures. Drugs for LTBI treatment shall be taken from central supply</v>
      </c>
      <c r="N14" s="3639">
        <f>'Abs11. NTEP'!R7</f>
        <v>56.7</v>
      </c>
      <c r="AX14" s="3332"/>
      <c r="AY14" s="3332">
        <v>5</v>
      </c>
      <c r="AZ14" s="3332"/>
      <c r="BA14" s="3332"/>
      <c r="BB14" s="3332"/>
      <c r="BC14" s="3332">
        <v>2</v>
      </c>
      <c r="BD14" s="3332"/>
      <c r="BE14" s="3332">
        <v>1</v>
      </c>
      <c r="BF14" s="3332"/>
      <c r="BG14" s="3332"/>
      <c r="BH14" s="3332"/>
      <c r="BI14" s="3332"/>
      <c r="BJ14" s="3332">
        <v>5</v>
      </c>
      <c r="BK14" s="3332"/>
      <c r="BL14" s="3332"/>
      <c r="BM14" s="3332"/>
      <c r="BN14" s="3332"/>
      <c r="BO14" s="3332"/>
      <c r="BP14" s="3332"/>
      <c r="BQ14" s="3332"/>
      <c r="BR14" s="3332"/>
      <c r="BS14" s="3332"/>
      <c r="BT14" s="3332"/>
      <c r="BU14" s="3332"/>
      <c r="BV14" s="3332"/>
      <c r="BW14" s="3332"/>
      <c r="BX14" s="3332"/>
      <c r="BY14" s="3332"/>
      <c r="BZ14" s="3332"/>
      <c r="CA14" s="3332">
        <v>43.7</v>
      </c>
      <c r="CB14" s="3332"/>
      <c r="CC14" s="3332"/>
      <c r="CD14" s="3332"/>
      <c r="CE14" s="3332"/>
      <c r="CF14" s="3332">
        <f t="shared" si="1"/>
        <v>56.7</v>
      </c>
    </row>
    <row r="15" spans="1:84" s="963" customFormat="1" ht="37.5" customHeight="1">
      <c r="A15" s="107" t="s">
        <v>3735</v>
      </c>
      <c r="B15" s="961"/>
      <c r="C15" s="961" t="s">
        <v>3733</v>
      </c>
      <c r="D15" s="1699" t="s">
        <v>80</v>
      </c>
      <c r="E15" s="1699" t="s">
        <v>65</v>
      </c>
      <c r="F15" s="964" t="s">
        <v>4668</v>
      </c>
      <c r="G15" s="178"/>
      <c r="H15" s="2519">
        <v>200000</v>
      </c>
      <c r="I15" s="957">
        <f t="shared" ref="I15:I22" si="5">H15/100000</f>
        <v>2</v>
      </c>
      <c r="J15" s="2313">
        <v>25</v>
      </c>
      <c r="K15" s="2978">
        <f t="shared" ref="K15:K22" si="6">J15*I15</f>
        <v>50</v>
      </c>
      <c r="L15" s="2256" t="s">
        <v>5294</v>
      </c>
      <c r="M15" s="107" t="str">
        <f>'Abs20. PMNDP'!Q8</f>
        <v>1. Recommended Rs 50 lakh for providing free Peritoneal Dialysis to additional 25 patients (BPL) @ Rs 16,666 per month per patient.                                                            2. State is suggested to utilise Medical colleges for monitoring and supportive supervision purposes only.</v>
      </c>
      <c r="N15" s="3639">
        <f>'Abs20. PMNDP'!R8</f>
        <v>50</v>
      </c>
      <c r="O15" s="3331"/>
      <c r="P15" s="3331"/>
      <c r="Q15" s="3331"/>
      <c r="R15" s="3331"/>
      <c r="S15" s="3331"/>
      <c r="T15" s="3331"/>
      <c r="U15" s="3331"/>
      <c r="V15" s="3331"/>
      <c r="W15" s="3331"/>
      <c r="X15" s="3331"/>
      <c r="Y15" s="3331"/>
      <c r="Z15" s="3331"/>
      <c r="AA15" s="3331"/>
      <c r="AB15" s="3331"/>
      <c r="AC15" s="3331"/>
      <c r="AD15" s="3331"/>
      <c r="AE15" s="3331"/>
      <c r="AF15" s="3331"/>
      <c r="AG15" s="3331"/>
      <c r="AH15" s="3331"/>
      <c r="AI15" s="3331"/>
      <c r="AJ15" s="3331"/>
      <c r="AK15" s="3331"/>
      <c r="AL15" s="3331"/>
      <c r="AM15" s="3331"/>
      <c r="AN15" s="3331"/>
      <c r="AO15" s="3331"/>
      <c r="AP15" s="3331"/>
      <c r="AQ15" s="3331"/>
      <c r="AR15" s="3331"/>
      <c r="AS15" s="3331"/>
      <c r="AT15" s="3331"/>
      <c r="AU15" s="3331"/>
      <c r="AV15" s="3331"/>
      <c r="AW15" s="3331"/>
      <c r="AX15" s="3332">
        <v>50</v>
      </c>
      <c r="AY15" s="3332"/>
      <c r="AZ15" s="3332"/>
      <c r="BA15" s="3332"/>
      <c r="BB15" s="3332"/>
      <c r="BC15" s="3332"/>
      <c r="BD15" s="3332"/>
      <c r="BE15" s="3332"/>
      <c r="BF15" s="3332"/>
      <c r="BG15" s="3332"/>
      <c r="BH15" s="3332"/>
      <c r="BI15" s="3332"/>
      <c r="BJ15" s="3332"/>
      <c r="BK15" s="3332"/>
      <c r="BL15" s="3332"/>
      <c r="BM15" s="3332"/>
      <c r="BN15" s="3332"/>
      <c r="BO15" s="3332"/>
      <c r="BP15" s="3332"/>
      <c r="BQ15" s="3332"/>
      <c r="BR15" s="3332"/>
      <c r="BS15" s="3332"/>
      <c r="BT15" s="3332"/>
      <c r="BU15" s="3332"/>
      <c r="BV15" s="3332"/>
      <c r="BW15" s="3332"/>
      <c r="BX15" s="3332"/>
      <c r="BY15" s="3332"/>
      <c r="BZ15" s="3332"/>
      <c r="CA15" s="3332"/>
      <c r="CB15" s="3332"/>
      <c r="CC15" s="3332"/>
      <c r="CD15" s="3332"/>
      <c r="CE15" s="3332"/>
      <c r="CF15" s="3332">
        <f t="shared" si="1"/>
        <v>50</v>
      </c>
    </row>
    <row r="16" spans="1:84" s="3449" customFormat="1" ht="37.5" customHeight="1">
      <c r="A16" s="961" t="s">
        <v>2324</v>
      </c>
      <c r="B16" s="948"/>
      <c r="C16" s="948" t="s">
        <v>3729</v>
      </c>
      <c r="D16" s="982" t="s">
        <v>65</v>
      </c>
      <c r="E16" s="982" t="s">
        <v>65</v>
      </c>
      <c r="F16" s="956" t="s">
        <v>4536</v>
      </c>
      <c r="G16" s="2524">
        <v>1</v>
      </c>
      <c r="H16" s="2366">
        <v>200</v>
      </c>
      <c r="I16" s="957">
        <f t="shared" si="5"/>
        <v>2E-3</v>
      </c>
      <c r="J16" s="2366">
        <v>40000</v>
      </c>
      <c r="K16" s="2978">
        <f t="shared" si="6"/>
        <v>80</v>
      </c>
      <c r="L16" s="2525" t="s">
        <v>5314</v>
      </c>
      <c r="M16" s="107" t="str">
        <f>'Abs5. Blood services &amp; Disorder'!Q8</f>
        <v>Recommended @ Rs 200 per unit for 40,000 beneficiaries for providing blood &amp; its components free of cost.</v>
      </c>
      <c r="N16" s="3639">
        <f>'Abs5. Blood services &amp; Disorder'!R8</f>
        <v>80</v>
      </c>
      <c r="O16" s="3331"/>
      <c r="P16" s="3331"/>
      <c r="Q16" s="3331"/>
      <c r="R16" s="3331"/>
      <c r="S16" s="3331"/>
      <c r="T16" s="3331"/>
      <c r="U16" s="3331"/>
      <c r="V16" s="3331"/>
      <c r="W16" s="3331"/>
      <c r="X16" s="3331"/>
      <c r="Y16" s="3331"/>
      <c r="Z16" s="3331"/>
      <c r="AA16" s="3331"/>
      <c r="AB16" s="3331"/>
      <c r="AC16" s="3331"/>
      <c r="AD16" s="3331"/>
      <c r="AE16" s="3331"/>
      <c r="AF16" s="3331"/>
      <c r="AG16" s="3331"/>
      <c r="AH16" s="3331"/>
      <c r="AI16" s="3331"/>
      <c r="AJ16" s="3331"/>
      <c r="AK16" s="3331"/>
      <c r="AL16" s="3331"/>
      <c r="AM16" s="3331"/>
      <c r="AN16" s="3331"/>
      <c r="AO16" s="3331"/>
      <c r="AP16" s="3331"/>
      <c r="AQ16" s="3331"/>
      <c r="AR16" s="3331"/>
      <c r="AS16" s="3331"/>
      <c r="AT16" s="3331"/>
      <c r="AU16" s="3331"/>
      <c r="AV16" s="3331"/>
      <c r="AW16" s="3331"/>
      <c r="AX16" s="3332">
        <v>4</v>
      </c>
      <c r="AY16" s="3332"/>
      <c r="AZ16" s="3332"/>
      <c r="BA16" s="3332"/>
      <c r="BB16" s="3332">
        <v>1</v>
      </c>
      <c r="BC16" s="3332">
        <v>0.3</v>
      </c>
      <c r="BD16" s="3332">
        <v>1.5</v>
      </c>
      <c r="BE16" s="3332">
        <v>0.3</v>
      </c>
      <c r="BF16" s="3332">
        <v>1.5</v>
      </c>
      <c r="BG16" s="3332">
        <v>1.5</v>
      </c>
      <c r="BH16" s="3332">
        <v>2</v>
      </c>
      <c r="BI16" s="3332">
        <v>3</v>
      </c>
      <c r="BJ16" s="3332">
        <v>2</v>
      </c>
      <c r="BK16" s="3332">
        <v>16</v>
      </c>
      <c r="BL16" s="3332">
        <v>16</v>
      </c>
      <c r="BM16" s="3332">
        <v>2.5</v>
      </c>
      <c r="BN16" s="3332">
        <v>5</v>
      </c>
      <c r="BO16" s="3589">
        <v>0</v>
      </c>
      <c r="BP16" s="3589">
        <v>1.7</v>
      </c>
      <c r="BQ16" s="3589">
        <v>2.5</v>
      </c>
      <c r="BR16" s="3589">
        <v>3.7</v>
      </c>
      <c r="BS16" s="3589">
        <v>2</v>
      </c>
      <c r="BT16" s="3589">
        <v>2</v>
      </c>
      <c r="BU16" s="3589">
        <v>1.5</v>
      </c>
      <c r="BV16" s="3589">
        <v>1.5</v>
      </c>
      <c r="BW16" s="3589">
        <v>1.5</v>
      </c>
      <c r="BX16" s="3589">
        <v>1.5</v>
      </c>
      <c r="BY16" s="3589">
        <v>0.5</v>
      </c>
      <c r="BZ16" s="3589">
        <v>3</v>
      </c>
      <c r="CA16" s="3589"/>
      <c r="CB16" s="3589">
        <v>2</v>
      </c>
      <c r="CC16" s="3589"/>
      <c r="CD16" s="3589"/>
      <c r="CE16" s="3589"/>
      <c r="CF16" s="3589">
        <f t="shared" si="1"/>
        <v>80</v>
      </c>
    </row>
    <row r="17" spans="1:84" s="963" customFormat="1" ht="37.5" customHeight="1">
      <c r="A17" s="107" t="s">
        <v>2033</v>
      </c>
      <c r="B17" s="948" t="s">
        <v>2034</v>
      </c>
      <c r="C17" s="948" t="s">
        <v>2035</v>
      </c>
      <c r="D17" s="982" t="s">
        <v>85</v>
      </c>
      <c r="E17" s="982" t="s">
        <v>85</v>
      </c>
      <c r="F17" s="956" t="s">
        <v>113</v>
      </c>
      <c r="G17" s="2442"/>
      <c r="H17" s="2442">
        <v>500</v>
      </c>
      <c r="I17" s="957">
        <f t="shared" si="5"/>
        <v>5.0000000000000001E-3</v>
      </c>
      <c r="J17" s="2442">
        <v>300</v>
      </c>
      <c r="K17" s="2978">
        <f t="shared" si="6"/>
        <v>1.5</v>
      </c>
      <c r="L17" s="2444" t="s">
        <v>5261</v>
      </c>
      <c r="M17" s="107" t="str">
        <f>'Ab1. RMNCH+A'!Q15</f>
        <v>Rs.1.50 lakh is recommended for approval for 300 home deliveries of BPL women @ Rs.500/- per case.</v>
      </c>
      <c r="N17" s="3639">
        <f>'Ab1. RMNCH+A'!R15</f>
        <v>1.5</v>
      </c>
      <c r="O17" s="3648"/>
      <c r="P17" s="3331"/>
      <c r="Q17" s="3331"/>
      <c r="R17" s="3331"/>
      <c r="S17" s="3331"/>
      <c r="T17" s="3331"/>
      <c r="U17" s="3331"/>
      <c r="V17" s="3331"/>
      <c r="W17" s="3331"/>
      <c r="X17" s="3331"/>
      <c r="Y17" s="3331"/>
      <c r="Z17" s="3331"/>
      <c r="AA17" s="3331"/>
      <c r="AB17" s="3331"/>
      <c r="AC17" s="3331"/>
      <c r="AD17" s="3331"/>
      <c r="AE17" s="3331"/>
      <c r="AF17" s="3331"/>
      <c r="AG17" s="3331"/>
      <c r="AH17" s="3331"/>
      <c r="AI17" s="3331"/>
      <c r="AJ17" s="3331"/>
      <c r="AK17" s="3331"/>
      <c r="AL17" s="3331"/>
      <c r="AM17" s="3331"/>
      <c r="AN17" s="3331"/>
      <c r="AO17" s="3331"/>
      <c r="AP17" s="3331"/>
      <c r="AQ17" s="3331"/>
      <c r="AR17" s="3331"/>
      <c r="AS17" s="3331"/>
      <c r="AT17" s="3331"/>
      <c r="AU17" s="3331"/>
      <c r="AV17" s="3331"/>
      <c r="AW17" s="3331"/>
      <c r="AX17" s="3332"/>
      <c r="AY17" s="3332">
        <v>0.04</v>
      </c>
      <c r="AZ17" s="3332">
        <v>0.31</v>
      </c>
      <c r="BA17" s="3332">
        <v>0.09</v>
      </c>
      <c r="BB17" s="3332">
        <v>0.25</v>
      </c>
      <c r="BC17" s="3332">
        <v>0.01</v>
      </c>
      <c r="BD17" s="3332">
        <v>0.19</v>
      </c>
      <c r="BE17" s="3332">
        <v>0</v>
      </c>
      <c r="BF17" s="3332">
        <v>0.19</v>
      </c>
      <c r="BG17" s="3332">
        <v>0.16</v>
      </c>
      <c r="BH17" s="3332">
        <v>0.09</v>
      </c>
      <c r="BI17" s="3332">
        <v>0.1</v>
      </c>
      <c r="BJ17" s="3332">
        <v>7.0000000000000007E-2</v>
      </c>
      <c r="BK17" s="3332"/>
      <c r="BL17" s="3332"/>
      <c r="BM17" s="3332"/>
      <c r="BN17" s="3332"/>
      <c r="BO17" s="3332"/>
      <c r="BP17" s="3332"/>
      <c r="BQ17" s="3332"/>
      <c r="BR17" s="3332"/>
      <c r="BS17" s="3332"/>
      <c r="BT17" s="3332"/>
      <c r="BU17" s="3332"/>
      <c r="BV17" s="3332"/>
      <c r="BW17" s="3332"/>
      <c r="BX17" s="3332"/>
      <c r="BY17" s="3332"/>
      <c r="BZ17" s="3332"/>
      <c r="CA17" s="3332"/>
      <c r="CB17" s="3332"/>
      <c r="CC17" s="3332"/>
      <c r="CD17" s="3332"/>
      <c r="CE17" s="3332"/>
      <c r="CF17" s="3332">
        <f t="shared" si="1"/>
        <v>1.5</v>
      </c>
    </row>
    <row r="18" spans="1:84" s="963" customFormat="1" ht="37.5" customHeight="1">
      <c r="A18" s="107" t="s">
        <v>4014</v>
      </c>
      <c r="B18" s="948" t="s">
        <v>2039</v>
      </c>
      <c r="C18" s="948" t="s">
        <v>2040</v>
      </c>
      <c r="D18" s="982" t="s">
        <v>85</v>
      </c>
      <c r="E18" s="982" t="s">
        <v>85</v>
      </c>
      <c r="F18" s="956" t="s">
        <v>113</v>
      </c>
      <c r="G18" s="178"/>
      <c r="H18" s="2442">
        <v>700</v>
      </c>
      <c r="I18" s="957">
        <f t="shared" si="5"/>
        <v>7.0000000000000001E-3</v>
      </c>
      <c r="J18" s="2442">
        <v>14000</v>
      </c>
      <c r="K18" s="2978">
        <f t="shared" si="6"/>
        <v>98</v>
      </c>
      <c r="L18" s="3810" t="s">
        <v>5262</v>
      </c>
      <c r="M18" s="107" t="str">
        <f>'Ab1. RMNCH+A'!Q17</f>
        <v>Rs.98.00 Lakh is recommended for approval for 14000 rural institutional deliveries @ Rs.700/- per case.</v>
      </c>
      <c r="N18" s="3639">
        <f>'Ab1. RMNCH+A'!R17</f>
        <v>98</v>
      </c>
      <c r="O18" s="3331"/>
      <c r="P18" s="3331"/>
      <c r="Q18" s="3331"/>
      <c r="R18" s="3331"/>
      <c r="S18" s="3331"/>
      <c r="T18" s="3331"/>
      <c r="U18" s="3331"/>
      <c r="V18" s="3331"/>
      <c r="W18" s="3331"/>
      <c r="X18" s="3331"/>
      <c r="Y18" s="3331"/>
      <c r="Z18" s="3331"/>
      <c r="AA18" s="3331"/>
      <c r="AB18" s="3331"/>
      <c r="AC18" s="3331"/>
      <c r="AD18" s="3331"/>
      <c r="AE18" s="3331"/>
      <c r="AF18" s="3331"/>
      <c r="AG18" s="3331"/>
      <c r="AH18" s="3331"/>
      <c r="AI18" s="3331"/>
      <c r="AJ18" s="3331"/>
      <c r="AK18" s="3331"/>
      <c r="AL18" s="3331"/>
      <c r="AM18" s="3331"/>
      <c r="AN18" s="3331"/>
      <c r="AO18" s="3331"/>
      <c r="AP18" s="3331"/>
      <c r="AQ18" s="3331"/>
      <c r="AR18" s="3331"/>
      <c r="AS18" s="3331"/>
      <c r="AT18" s="3331"/>
      <c r="AU18" s="3331"/>
      <c r="AV18" s="3331"/>
      <c r="AW18" s="3331"/>
      <c r="AX18" s="3332"/>
      <c r="AY18" s="3332">
        <v>4.21</v>
      </c>
      <c r="AZ18" s="3332">
        <v>4.8899999999999997</v>
      </c>
      <c r="BA18" s="3332">
        <v>4.21</v>
      </c>
      <c r="BB18" s="3332">
        <v>21.71</v>
      </c>
      <c r="BC18" s="3332">
        <v>1.99</v>
      </c>
      <c r="BD18" s="3332">
        <v>5.91</v>
      </c>
      <c r="BE18" s="3332">
        <v>0.47</v>
      </c>
      <c r="BF18" s="3332">
        <v>22.64</v>
      </c>
      <c r="BG18" s="3332">
        <v>4.93</v>
      </c>
      <c r="BH18" s="3332">
        <v>8.59</v>
      </c>
      <c r="BI18" s="3332">
        <v>11.5</v>
      </c>
      <c r="BJ18" s="3332">
        <v>6.95</v>
      </c>
      <c r="BK18" s="3332"/>
      <c r="BL18" s="3332"/>
      <c r="BM18" s="3332"/>
      <c r="BN18" s="3332"/>
      <c r="BO18" s="3332"/>
      <c r="BP18" s="3332"/>
      <c r="BQ18" s="3332"/>
      <c r="BR18" s="3332"/>
      <c r="BS18" s="3332"/>
      <c r="BT18" s="3332"/>
      <c r="BU18" s="3332"/>
      <c r="BV18" s="3332"/>
      <c r="BW18" s="3332"/>
      <c r="BX18" s="3332"/>
      <c r="BY18" s="3332"/>
      <c r="BZ18" s="3332"/>
      <c r="CA18" s="3332"/>
      <c r="CB18" s="3332"/>
      <c r="CC18" s="3332"/>
      <c r="CD18" s="3332"/>
      <c r="CE18" s="3332"/>
      <c r="CF18" s="3332">
        <f t="shared" si="1"/>
        <v>98.000000000000014</v>
      </c>
    </row>
    <row r="19" spans="1:84" s="963" customFormat="1" ht="37.5" customHeight="1">
      <c r="A19" s="107" t="s">
        <v>4015</v>
      </c>
      <c r="B19" s="948" t="s">
        <v>2041</v>
      </c>
      <c r="C19" s="948" t="s">
        <v>2042</v>
      </c>
      <c r="D19" s="982" t="s">
        <v>85</v>
      </c>
      <c r="E19" s="982" t="s">
        <v>85</v>
      </c>
      <c r="F19" s="956" t="s">
        <v>113</v>
      </c>
      <c r="G19" s="178"/>
      <c r="H19" s="2442">
        <v>600</v>
      </c>
      <c r="I19" s="957">
        <f t="shared" si="5"/>
        <v>6.0000000000000001E-3</v>
      </c>
      <c r="J19" s="2442">
        <v>1000</v>
      </c>
      <c r="K19" s="2978">
        <f t="shared" si="6"/>
        <v>6</v>
      </c>
      <c r="L19" s="3811"/>
      <c r="M19" s="107" t="str">
        <f>'Ab1. RMNCH+A'!Q18</f>
        <v xml:space="preserve">Rs.6.00 Lakh is recommended for approval  for 1000 urban institutional deliveries @ Rs.600/- per case. </v>
      </c>
      <c r="N19" s="3639">
        <f>'Ab1. RMNCH+A'!R18</f>
        <v>6</v>
      </c>
      <c r="O19" s="3331"/>
      <c r="P19" s="3331"/>
      <c r="Q19" s="3331"/>
      <c r="R19" s="3331"/>
      <c r="S19" s="3331"/>
      <c r="T19" s="3331"/>
      <c r="U19" s="3331"/>
      <c r="V19" s="3331"/>
      <c r="W19" s="3331"/>
      <c r="X19" s="3331"/>
      <c r="Y19" s="3331"/>
      <c r="Z19" s="3331"/>
      <c r="AA19" s="3331"/>
      <c r="AB19" s="3331"/>
      <c r="AC19" s="3331"/>
      <c r="AD19" s="3331"/>
      <c r="AE19" s="3331"/>
      <c r="AF19" s="3331"/>
      <c r="AG19" s="3331"/>
      <c r="AH19" s="3331"/>
      <c r="AI19" s="3331"/>
      <c r="AJ19" s="3331"/>
      <c r="AK19" s="3331"/>
      <c r="AL19" s="3331"/>
      <c r="AM19" s="3331"/>
      <c r="AN19" s="3331"/>
      <c r="AO19" s="3331"/>
      <c r="AP19" s="3331"/>
      <c r="AQ19" s="3331"/>
      <c r="AR19" s="3331"/>
      <c r="AS19" s="3331"/>
      <c r="AT19" s="3331"/>
      <c r="AU19" s="3331"/>
      <c r="AV19" s="3331"/>
      <c r="AW19" s="3331"/>
      <c r="AX19" s="3332"/>
      <c r="AY19" s="3332">
        <v>0.06</v>
      </c>
      <c r="AZ19" s="3332">
        <v>0.08</v>
      </c>
      <c r="BA19" s="3332">
        <v>0.1</v>
      </c>
      <c r="BB19" s="3332">
        <v>2.39</v>
      </c>
      <c r="BC19" s="3332">
        <v>0.04</v>
      </c>
      <c r="BD19" s="3332">
        <v>0.04</v>
      </c>
      <c r="BE19" s="3332">
        <v>0</v>
      </c>
      <c r="BF19" s="3332">
        <v>0.96</v>
      </c>
      <c r="BG19" s="3332">
        <v>0.23</v>
      </c>
      <c r="BH19" s="3332">
        <v>0.2</v>
      </c>
      <c r="BI19" s="3332">
        <v>1.1499999999999999</v>
      </c>
      <c r="BJ19" s="3332">
        <v>0.75</v>
      </c>
      <c r="BK19" s="3332"/>
      <c r="BL19" s="3332"/>
      <c r="BM19" s="3332"/>
      <c r="BN19" s="3332"/>
      <c r="BO19" s="3332"/>
      <c r="BP19" s="3332"/>
      <c r="BQ19" s="3332"/>
      <c r="BR19" s="3332"/>
      <c r="BS19" s="3332"/>
      <c r="BT19" s="3332"/>
      <c r="BU19" s="3332"/>
      <c r="BV19" s="3332"/>
      <c r="BW19" s="3332"/>
      <c r="BX19" s="3332"/>
      <c r="BY19" s="3332"/>
      <c r="BZ19" s="3332"/>
      <c r="CA19" s="3332"/>
      <c r="CB19" s="3332"/>
      <c r="CC19" s="3332"/>
      <c r="CD19" s="3332"/>
      <c r="CE19" s="3332"/>
      <c r="CF19" s="3332">
        <f t="shared" si="1"/>
        <v>6</v>
      </c>
    </row>
    <row r="20" spans="1:84" s="963" customFormat="1" ht="37.5" customHeight="1">
      <c r="A20" s="107" t="s">
        <v>4016</v>
      </c>
      <c r="B20" s="948" t="s">
        <v>2043</v>
      </c>
      <c r="C20" s="948" t="s">
        <v>2044</v>
      </c>
      <c r="D20" s="982" t="s">
        <v>85</v>
      </c>
      <c r="E20" s="982" t="s">
        <v>85</v>
      </c>
      <c r="F20" s="956" t="s">
        <v>113</v>
      </c>
      <c r="G20" s="178"/>
      <c r="H20" s="2442">
        <v>3000</v>
      </c>
      <c r="I20" s="957">
        <f t="shared" si="5"/>
        <v>0.03</v>
      </c>
      <c r="J20" s="2442">
        <v>100</v>
      </c>
      <c r="K20" s="2978">
        <f t="shared" si="6"/>
        <v>3</v>
      </c>
      <c r="L20" s="3812"/>
      <c r="M20" s="107" t="str">
        <f>'Ab1. RMNCH+A'!Q19</f>
        <v>Rs.3.00 Lakh is recommended for approval for 100 C-Section cases as proposed by the State (@ Rs.3000 per Case as proposed by state). It may be ensured that the expenditure may be incurred limiting to the prevaling market situation to hire the services of private Specialists to conduct C-Sections under JSY.</v>
      </c>
      <c r="N20" s="3639">
        <f>'Ab1. RMNCH+A'!R19</f>
        <v>3</v>
      </c>
      <c r="O20" s="3331"/>
      <c r="P20" s="3331"/>
      <c r="Q20" s="3331"/>
      <c r="R20" s="3331"/>
      <c r="S20" s="3331"/>
      <c r="T20" s="3331"/>
      <c r="U20" s="3331"/>
      <c r="V20" s="3331"/>
      <c r="W20" s="3331"/>
      <c r="X20" s="3331"/>
      <c r="Y20" s="3331"/>
      <c r="Z20" s="3331"/>
      <c r="AA20" s="3331"/>
      <c r="AB20" s="3331"/>
      <c r="AC20" s="3331"/>
      <c r="AD20" s="3331"/>
      <c r="AE20" s="3331"/>
      <c r="AF20" s="3331"/>
      <c r="AG20" s="3331"/>
      <c r="AH20" s="3331"/>
      <c r="AI20" s="3331"/>
      <c r="AJ20" s="3331"/>
      <c r="AK20" s="3331"/>
      <c r="AL20" s="3331"/>
      <c r="AM20" s="3331"/>
      <c r="AN20" s="3331"/>
      <c r="AO20" s="3331"/>
      <c r="AP20" s="3331"/>
      <c r="AQ20" s="3331"/>
      <c r="AR20" s="3331"/>
      <c r="AS20" s="3331"/>
      <c r="AT20" s="3331"/>
      <c r="AU20" s="3331"/>
      <c r="AV20" s="3331"/>
      <c r="AW20" s="3331"/>
      <c r="AX20" s="3332">
        <v>3</v>
      </c>
      <c r="AY20" s="3332"/>
      <c r="AZ20" s="3332"/>
      <c r="BA20" s="3332"/>
      <c r="BB20" s="3332"/>
      <c r="BC20" s="3332"/>
      <c r="BD20" s="3332"/>
      <c r="BE20" s="3332"/>
      <c r="BF20" s="3332"/>
      <c r="BG20" s="3332"/>
      <c r="BH20" s="3332"/>
      <c r="BI20" s="3332">
        <v>0</v>
      </c>
      <c r="BJ20" s="3332"/>
      <c r="BK20" s="3332"/>
      <c r="BL20" s="3332"/>
      <c r="BM20" s="3332"/>
      <c r="BN20" s="3332"/>
      <c r="BO20" s="3332"/>
      <c r="BP20" s="3332"/>
      <c r="BQ20" s="3332"/>
      <c r="BR20" s="3332"/>
      <c r="BS20" s="3332"/>
      <c r="BT20" s="3332"/>
      <c r="BU20" s="3332"/>
      <c r="BV20" s="3332"/>
      <c r="BW20" s="3332"/>
      <c r="BX20" s="3332"/>
      <c r="BY20" s="3332"/>
      <c r="BZ20" s="3332"/>
      <c r="CA20" s="3332"/>
      <c r="CB20" s="3332"/>
      <c r="CC20" s="3332"/>
      <c r="CD20" s="3332"/>
      <c r="CE20" s="3332"/>
      <c r="CF20" s="3332">
        <f t="shared" si="1"/>
        <v>3</v>
      </c>
    </row>
    <row r="21" spans="1:84" s="963" customFormat="1" ht="37.5" customHeight="1">
      <c r="A21" s="107" t="s">
        <v>4017</v>
      </c>
      <c r="B21" s="948" t="s">
        <v>2047</v>
      </c>
      <c r="C21" s="948" t="s">
        <v>2048</v>
      </c>
      <c r="D21" s="982" t="s">
        <v>85</v>
      </c>
      <c r="E21" s="982" t="s">
        <v>85</v>
      </c>
      <c r="F21" s="956" t="s">
        <v>86</v>
      </c>
      <c r="G21" s="2524">
        <v>1</v>
      </c>
      <c r="H21" s="2366">
        <v>1000</v>
      </c>
      <c r="I21" s="957">
        <f t="shared" si="5"/>
        <v>0.01</v>
      </c>
      <c r="J21" s="2366">
        <v>5000</v>
      </c>
      <c r="K21" s="2978">
        <f t="shared" si="6"/>
        <v>50</v>
      </c>
      <c r="L21" s="2525" t="s">
        <v>5315</v>
      </c>
      <c r="M21" s="107" t="str">
        <f>'Ab1. RMNCH+A'!Q203</f>
        <v>Ongoing activity : Rs 50.0 lakhs is recommended for approval  for compensation amount of female sterlization to the 5,000 beneficiaries @ Rs.1000/case</v>
      </c>
      <c r="N21" s="3639">
        <f>'Ab1. RMNCH+A'!R203</f>
        <v>50</v>
      </c>
      <c r="O21" s="3331"/>
      <c r="P21" s="3331"/>
      <c r="Q21" s="3331"/>
      <c r="R21" s="3331"/>
      <c r="S21" s="3331"/>
      <c r="T21" s="3331"/>
      <c r="U21" s="3331"/>
      <c r="V21" s="3331"/>
      <c r="W21" s="3331"/>
      <c r="X21" s="3331"/>
      <c r="Y21" s="3331"/>
      <c r="Z21" s="3331"/>
      <c r="AA21" s="3331"/>
      <c r="AB21" s="3331"/>
      <c r="AC21" s="3331"/>
      <c r="AD21" s="3331"/>
      <c r="AE21" s="3331"/>
      <c r="AF21" s="3331"/>
      <c r="AG21" s="3331"/>
      <c r="AH21" s="3331"/>
      <c r="AI21" s="3331"/>
      <c r="AJ21" s="3331"/>
      <c r="AK21" s="3331"/>
      <c r="AL21" s="3331"/>
      <c r="AM21" s="3331"/>
      <c r="AN21" s="3331"/>
      <c r="AO21" s="3331"/>
      <c r="AP21" s="3331"/>
      <c r="AQ21" s="3331"/>
      <c r="AR21" s="3331"/>
      <c r="AS21" s="3331"/>
      <c r="AT21" s="3331"/>
      <c r="AU21" s="3331"/>
      <c r="AV21" s="3331"/>
      <c r="AW21" s="3331"/>
      <c r="AX21" s="3332"/>
      <c r="AY21" s="3332">
        <v>2</v>
      </c>
      <c r="AZ21" s="3332">
        <v>0.5</v>
      </c>
      <c r="BA21" s="3332">
        <v>3</v>
      </c>
      <c r="BB21" s="3332">
        <v>4</v>
      </c>
      <c r="BC21" s="3332">
        <v>0.2</v>
      </c>
      <c r="BD21" s="3332">
        <v>1.5</v>
      </c>
      <c r="BE21" s="3332">
        <v>0.3</v>
      </c>
      <c r="BF21" s="3332">
        <v>4.25</v>
      </c>
      <c r="BG21" s="3332">
        <v>2</v>
      </c>
      <c r="BH21" s="3332">
        <v>3</v>
      </c>
      <c r="BI21" s="3332">
        <v>0.5</v>
      </c>
      <c r="BJ21" s="3332">
        <v>1</v>
      </c>
      <c r="BK21" s="3332"/>
      <c r="BL21" s="3332">
        <v>1</v>
      </c>
      <c r="BM21" s="3332">
        <v>0.5</v>
      </c>
      <c r="BN21" s="3332">
        <v>2</v>
      </c>
      <c r="BO21" s="3332"/>
      <c r="BP21" s="3332">
        <v>3</v>
      </c>
      <c r="BQ21" s="3332">
        <v>2</v>
      </c>
      <c r="BR21" s="3332">
        <v>2</v>
      </c>
      <c r="BS21" s="3332">
        <v>3</v>
      </c>
      <c r="BT21" s="3332">
        <v>2</v>
      </c>
      <c r="BU21" s="3332">
        <v>1.5</v>
      </c>
      <c r="BV21" s="3332">
        <v>4.25</v>
      </c>
      <c r="BW21" s="3332">
        <v>2</v>
      </c>
      <c r="BX21" s="3332">
        <v>1.5</v>
      </c>
      <c r="BY21" s="3332">
        <v>1.5</v>
      </c>
      <c r="BZ21" s="3332">
        <v>0.5</v>
      </c>
      <c r="CA21" s="3332"/>
      <c r="CB21" s="3332">
        <v>1</v>
      </c>
      <c r="CC21" s="3332"/>
      <c r="CD21" s="3332"/>
      <c r="CE21" s="3332"/>
      <c r="CF21" s="3332">
        <f t="shared" si="1"/>
        <v>50</v>
      </c>
    </row>
    <row r="22" spans="1:84" s="963" customFormat="1" ht="37.5" customHeight="1">
      <c r="A22" s="107" t="s">
        <v>4018</v>
      </c>
      <c r="B22" s="948" t="s">
        <v>2049</v>
      </c>
      <c r="C22" s="948" t="s">
        <v>2050</v>
      </c>
      <c r="D22" s="982" t="s">
        <v>85</v>
      </c>
      <c r="E22" s="982" t="s">
        <v>85</v>
      </c>
      <c r="F22" s="956" t="s">
        <v>86</v>
      </c>
      <c r="G22" s="2524">
        <v>1</v>
      </c>
      <c r="H22" s="2366">
        <v>1500</v>
      </c>
      <c r="I22" s="957">
        <f t="shared" si="5"/>
        <v>1.4999999999999999E-2</v>
      </c>
      <c r="J22" s="2366">
        <v>1250</v>
      </c>
      <c r="K22" s="2978">
        <f t="shared" si="6"/>
        <v>18.75</v>
      </c>
      <c r="L22" s="2530" t="s">
        <v>5318</v>
      </c>
      <c r="M22" s="107" t="str">
        <f>'Ab1. RMNCH+A'!Q204</f>
        <v>Ongoing activity :Rs 18.75 lakhs is recommended for approval for compensation amount of male sterlization to the 1250 beneficiaries @ Rs.1500/case</v>
      </c>
      <c r="N22" s="3639">
        <f>'Ab1. RMNCH+A'!R204</f>
        <v>18.75</v>
      </c>
      <c r="O22" s="3331"/>
      <c r="P22" s="3331"/>
      <c r="Q22" s="3331"/>
      <c r="R22" s="3331"/>
      <c r="S22" s="3331"/>
      <c r="T22" s="3331"/>
      <c r="U22" s="3331"/>
      <c r="V22" s="3331"/>
      <c r="W22" s="3331"/>
      <c r="X22" s="3331"/>
      <c r="Y22" s="3331"/>
      <c r="Z22" s="3331"/>
      <c r="AA22" s="3331"/>
      <c r="AB22" s="3331"/>
      <c r="AC22" s="3331"/>
      <c r="AD22" s="3331"/>
      <c r="AE22" s="3331"/>
      <c r="AF22" s="3331"/>
      <c r="AG22" s="3331"/>
      <c r="AH22" s="3331"/>
      <c r="AI22" s="3331"/>
      <c r="AJ22" s="3331"/>
      <c r="AK22" s="3331"/>
      <c r="AL22" s="3331"/>
      <c r="AM22" s="3331"/>
      <c r="AN22" s="3331"/>
      <c r="AO22" s="3331"/>
      <c r="AP22" s="3331"/>
      <c r="AQ22" s="3331"/>
      <c r="AR22" s="3331"/>
      <c r="AS22" s="3331"/>
      <c r="AT22" s="3331"/>
      <c r="AU22" s="3331"/>
      <c r="AV22" s="3331"/>
      <c r="AW22" s="3331"/>
      <c r="AX22" s="3332"/>
      <c r="AY22" s="3332">
        <v>0.2</v>
      </c>
      <c r="AZ22" s="3332">
        <v>4</v>
      </c>
      <c r="BA22" s="3332">
        <v>0.19</v>
      </c>
      <c r="BB22" s="3332">
        <v>0.2</v>
      </c>
      <c r="BC22" s="3332">
        <v>0.3</v>
      </c>
      <c r="BD22" s="3332">
        <v>3</v>
      </c>
      <c r="BE22" s="3332">
        <v>0.15</v>
      </c>
      <c r="BF22" s="3332">
        <v>0.35</v>
      </c>
      <c r="BG22" s="3332">
        <v>0.4</v>
      </c>
      <c r="BH22" s="3332">
        <v>0.15</v>
      </c>
      <c r="BI22" s="3332">
        <v>0.25</v>
      </c>
      <c r="BJ22" s="3332">
        <v>0.1</v>
      </c>
      <c r="BK22" s="3332"/>
      <c r="BL22" s="3332">
        <v>0.1</v>
      </c>
      <c r="BM22" s="3332">
        <v>3.5</v>
      </c>
      <c r="BN22" s="3332">
        <v>0.19</v>
      </c>
      <c r="BO22" s="3332"/>
      <c r="BP22" s="3332">
        <v>0.15</v>
      </c>
      <c r="BQ22" s="3332">
        <v>0.5</v>
      </c>
      <c r="BR22" s="3332">
        <v>0.22</v>
      </c>
      <c r="BS22" s="3332">
        <v>0.15</v>
      </c>
      <c r="BT22" s="3332">
        <v>0.1</v>
      </c>
      <c r="BU22" s="3332">
        <v>3</v>
      </c>
      <c r="BV22" s="3332">
        <v>0.35</v>
      </c>
      <c r="BW22" s="3332">
        <v>0.4</v>
      </c>
      <c r="BX22" s="3332">
        <v>0.25</v>
      </c>
      <c r="BY22" s="3332">
        <v>0.2</v>
      </c>
      <c r="BZ22" s="3332">
        <v>0.25</v>
      </c>
      <c r="CA22" s="3332"/>
      <c r="CB22" s="3332">
        <v>0.1</v>
      </c>
      <c r="CC22" s="3332"/>
      <c r="CD22" s="3332"/>
      <c r="CE22" s="3332"/>
      <c r="CF22" s="3332">
        <f t="shared" si="1"/>
        <v>18.750000000000004</v>
      </c>
    </row>
    <row r="23" spans="1:84" s="963" customFormat="1" ht="37.5" customHeight="1">
      <c r="A23" s="107" t="s">
        <v>4019</v>
      </c>
      <c r="B23" s="948" t="s">
        <v>730</v>
      </c>
      <c r="C23" s="948" t="s">
        <v>3836</v>
      </c>
      <c r="D23" s="982" t="s">
        <v>85</v>
      </c>
      <c r="E23" s="982" t="s">
        <v>85</v>
      </c>
      <c r="F23" s="956" t="s">
        <v>86</v>
      </c>
      <c r="G23" s="2524">
        <v>1</v>
      </c>
      <c r="H23" s="2366">
        <v>20</v>
      </c>
      <c r="I23" s="957">
        <f t="shared" ref="I23:I26" si="7">H23/100000</f>
        <v>2.0000000000000001E-4</v>
      </c>
      <c r="J23" s="2366">
        <v>10000</v>
      </c>
      <c r="K23" s="2978">
        <f t="shared" ref="K23:K26" si="8">J23*I23</f>
        <v>2</v>
      </c>
      <c r="L23" s="2525" t="s">
        <v>5319</v>
      </c>
      <c r="M23" s="107" t="str">
        <f>'Ab1. RMNCH+A'!Q205</f>
        <v xml:space="preserve">Ongoing activity :Rs 2.00 lakhs is recommended for approval  for compensation amount of IUCD insertions at health facilities to 10,000 beneficiaries @ Rs 20/insertion </v>
      </c>
      <c r="N23" s="3639">
        <f>'Ab1. RMNCH+A'!R205</f>
        <v>2</v>
      </c>
      <c r="O23" s="3331"/>
      <c r="P23" s="3331"/>
      <c r="Q23" s="3331"/>
      <c r="R23" s="3331"/>
      <c r="S23" s="3331"/>
      <c r="T23" s="3331"/>
      <c r="U23" s="3331"/>
      <c r="V23" s="3331"/>
      <c r="W23" s="3331"/>
      <c r="X23" s="3331"/>
      <c r="Y23" s="3331"/>
      <c r="Z23" s="3331"/>
      <c r="AA23" s="3331"/>
      <c r="AB23" s="3331"/>
      <c r="AC23" s="3331"/>
      <c r="AD23" s="3331"/>
      <c r="AE23" s="3331"/>
      <c r="AF23" s="3331"/>
      <c r="AG23" s="3331"/>
      <c r="AH23" s="3331"/>
      <c r="AI23" s="3331"/>
      <c r="AJ23" s="3331"/>
      <c r="AK23" s="3331"/>
      <c r="AL23" s="3331"/>
      <c r="AM23" s="3331"/>
      <c r="AN23" s="3331"/>
      <c r="AO23" s="3331"/>
      <c r="AP23" s="3331"/>
      <c r="AQ23" s="3331"/>
      <c r="AR23" s="3331"/>
      <c r="AS23" s="3331"/>
      <c r="AT23" s="3331"/>
      <c r="AU23" s="3331"/>
      <c r="AV23" s="3331"/>
      <c r="AW23" s="3331"/>
      <c r="AX23" s="3332"/>
      <c r="AY23" s="3332">
        <v>0.22</v>
      </c>
      <c r="AZ23" s="3332">
        <v>0.05</v>
      </c>
      <c r="BA23" s="3332">
        <v>0.21</v>
      </c>
      <c r="BB23" s="3332">
        <v>0.12</v>
      </c>
      <c r="BC23" s="3332">
        <v>0.02</v>
      </c>
      <c r="BD23" s="3332">
        <v>0.05</v>
      </c>
      <c r="BE23" s="3332">
        <v>0</v>
      </c>
      <c r="BF23" s="3332">
        <v>0.08</v>
      </c>
      <c r="BG23" s="3332">
        <v>0.02</v>
      </c>
      <c r="BH23" s="3332">
        <v>0.04</v>
      </c>
      <c r="BI23" s="3332">
        <v>0.12</v>
      </c>
      <c r="BJ23" s="3332">
        <v>0.04</v>
      </c>
      <c r="BK23" s="3332"/>
      <c r="BL23" s="3332">
        <v>0.06</v>
      </c>
      <c r="BM23" s="3332">
        <v>0.03</v>
      </c>
      <c r="BN23" s="3332">
        <v>0.21</v>
      </c>
      <c r="BO23" s="3332"/>
      <c r="BP23" s="3332">
        <v>0.04</v>
      </c>
      <c r="BQ23" s="3332">
        <v>0.02</v>
      </c>
      <c r="BR23" s="3332">
        <v>0.2</v>
      </c>
      <c r="BS23" s="3332">
        <v>0.06</v>
      </c>
      <c r="BT23" s="3332">
        <v>0.06</v>
      </c>
      <c r="BU23" s="3332">
        <v>0.05</v>
      </c>
      <c r="BV23" s="3332">
        <v>0.08</v>
      </c>
      <c r="BW23" s="3332">
        <v>0.02</v>
      </c>
      <c r="BX23" s="3332">
        <v>0.02</v>
      </c>
      <c r="BY23" s="3332">
        <v>0.02</v>
      </c>
      <c r="BZ23" s="3332">
        <v>0.12</v>
      </c>
      <c r="CA23" s="3332"/>
      <c r="CB23" s="3332">
        <v>0.04</v>
      </c>
      <c r="CC23" s="3332"/>
      <c r="CD23" s="3332"/>
      <c r="CE23" s="3332"/>
      <c r="CF23" s="3332">
        <f t="shared" si="1"/>
        <v>2.0000000000000004</v>
      </c>
    </row>
    <row r="24" spans="1:84" s="963" customFormat="1" ht="37.5" customHeight="1">
      <c r="A24" s="107" t="s">
        <v>4020</v>
      </c>
      <c r="B24" s="948" t="s">
        <v>732</v>
      </c>
      <c r="C24" s="948" t="s">
        <v>3837</v>
      </c>
      <c r="D24" s="982" t="s">
        <v>85</v>
      </c>
      <c r="E24" s="982" t="s">
        <v>85</v>
      </c>
      <c r="F24" s="956" t="s">
        <v>86</v>
      </c>
      <c r="G24" s="2524">
        <v>1</v>
      </c>
      <c r="H24" s="2366">
        <v>300</v>
      </c>
      <c r="I24" s="957">
        <f t="shared" si="7"/>
        <v>3.0000000000000001E-3</v>
      </c>
      <c r="J24" s="2366">
        <v>5000</v>
      </c>
      <c r="K24" s="2978">
        <f t="shared" si="8"/>
        <v>15</v>
      </c>
      <c r="L24" s="2525" t="s">
        <v>5320</v>
      </c>
      <c r="M24" s="107" t="str">
        <f>'Ab1. RMNCH+A'!Q206</f>
        <v>Ongoing activity :Rs 15.00 lakhs is recommended for approval  for compensation to 5,000 beneficiaries for PPIUCD   insertions at  @ Rs.300/beneficiary</v>
      </c>
      <c r="N24" s="3639">
        <f>'Ab1. RMNCH+A'!R206</f>
        <v>15</v>
      </c>
      <c r="O24" s="3331"/>
      <c r="P24" s="3331"/>
      <c r="Q24" s="3331"/>
      <c r="R24" s="3331"/>
      <c r="S24" s="3331"/>
      <c r="T24" s="3331"/>
      <c r="U24" s="3331"/>
      <c r="V24" s="3331"/>
      <c r="W24" s="3331"/>
      <c r="X24" s="3331"/>
      <c r="Y24" s="3331"/>
      <c r="Z24" s="3331"/>
      <c r="AA24" s="3331"/>
      <c r="AB24" s="3331"/>
      <c r="AC24" s="3331"/>
      <c r="AD24" s="3331"/>
      <c r="AE24" s="3331"/>
      <c r="AF24" s="3331"/>
      <c r="AG24" s="3331"/>
      <c r="AH24" s="3331"/>
      <c r="AI24" s="3331"/>
      <c r="AJ24" s="3331"/>
      <c r="AK24" s="3331"/>
      <c r="AL24" s="3331"/>
      <c r="AM24" s="3331"/>
      <c r="AN24" s="3331"/>
      <c r="AO24" s="3331"/>
      <c r="AP24" s="3331"/>
      <c r="AQ24" s="3331"/>
      <c r="AR24" s="3331"/>
      <c r="AS24" s="3331"/>
      <c r="AT24" s="3331"/>
      <c r="AU24" s="3331"/>
      <c r="AV24" s="3331"/>
      <c r="AW24" s="3331"/>
      <c r="AX24" s="3332">
        <v>0.21</v>
      </c>
      <c r="AY24" s="3332">
        <v>1.05</v>
      </c>
      <c r="AZ24" s="3332">
        <v>0.3</v>
      </c>
      <c r="BA24" s="3332">
        <v>0.15</v>
      </c>
      <c r="BB24" s="3332">
        <v>0.85</v>
      </c>
      <c r="BC24" s="3332">
        <v>0.36</v>
      </c>
      <c r="BD24" s="3332">
        <v>0.45</v>
      </c>
      <c r="BE24" s="3332">
        <v>0</v>
      </c>
      <c r="BF24" s="3332">
        <v>0.9</v>
      </c>
      <c r="BG24" s="3332">
        <v>0.3</v>
      </c>
      <c r="BH24" s="3332">
        <v>0.9</v>
      </c>
      <c r="BI24" s="3332">
        <v>0.75</v>
      </c>
      <c r="BJ24" s="3332">
        <v>1.7</v>
      </c>
      <c r="BK24" s="3332"/>
      <c r="BL24" s="3332">
        <v>0.3</v>
      </c>
      <c r="BM24" s="3332">
        <v>0.18</v>
      </c>
      <c r="BN24" s="3332">
        <v>0.15</v>
      </c>
      <c r="BO24" s="3332"/>
      <c r="BP24" s="3332">
        <v>0.15</v>
      </c>
      <c r="BQ24" s="3332">
        <v>0.25</v>
      </c>
      <c r="BR24" s="3332">
        <v>1.05</v>
      </c>
      <c r="BS24" s="3332">
        <v>0.5</v>
      </c>
      <c r="BT24" s="3332">
        <v>0.35</v>
      </c>
      <c r="BU24" s="3332">
        <v>0.45</v>
      </c>
      <c r="BV24" s="3332">
        <v>0.6</v>
      </c>
      <c r="BW24" s="3332">
        <v>0.25</v>
      </c>
      <c r="BX24" s="3332">
        <v>0.15</v>
      </c>
      <c r="BY24" s="3332">
        <v>0.25</v>
      </c>
      <c r="BZ24" s="3332">
        <v>0.75</v>
      </c>
      <c r="CA24" s="3332"/>
      <c r="CB24" s="3332">
        <v>1.7</v>
      </c>
      <c r="CC24" s="3332"/>
      <c r="CD24" s="3332"/>
      <c r="CE24" s="3332"/>
      <c r="CF24" s="3332">
        <f t="shared" si="1"/>
        <v>15</v>
      </c>
    </row>
    <row r="25" spans="1:84" s="963" customFormat="1" ht="37.5" customHeight="1">
      <c r="A25" s="107" t="s">
        <v>4021</v>
      </c>
      <c r="B25" s="948" t="s">
        <v>734</v>
      </c>
      <c r="C25" s="948" t="s">
        <v>3838</v>
      </c>
      <c r="D25" s="982" t="s">
        <v>85</v>
      </c>
      <c r="E25" s="982" t="s">
        <v>85</v>
      </c>
      <c r="F25" s="956" t="s">
        <v>86</v>
      </c>
      <c r="G25" s="2524">
        <v>1</v>
      </c>
      <c r="H25" s="2366">
        <v>300</v>
      </c>
      <c r="I25" s="957">
        <f t="shared" si="7"/>
        <v>3.0000000000000001E-3</v>
      </c>
      <c r="J25" s="2366">
        <v>500</v>
      </c>
      <c r="K25" s="2978">
        <f t="shared" si="8"/>
        <v>1.5</v>
      </c>
      <c r="L25" s="2525" t="s">
        <v>5321</v>
      </c>
      <c r="M25" s="107" t="str">
        <f>'Ab1. RMNCH+A'!Q207</f>
        <v>Ongoing activity :Rs 1.50 lakhs is recommended for approval  for compensation to 500 beneficiaries for PAIUCD   insertions at  @ Rs.300/beneficiary</v>
      </c>
      <c r="N25" s="3639">
        <f>'Ab1. RMNCH+A'!R207</f>
        <v>1.5</v>
      </c>
      <c r="O25" s="3331"/>
      <c r="P25" s="3331"/>
      <c r="Q25" s="3331"/>
      <c r="R25" s="3331"/>
      <c r="S25" s="3331"/>
      <c r="T25" s="3331"/>
      <c r="U25" s="3331"/>
      <c r="V25" s="3331"/>
      <c r="W25" s="3331"/>
      <c r="X25" s="3331"/>
      <c r="Y25" s="3331"/>
      <c r="Z25" s="3331"/>
      <c r="AA25" s="3331"/>
      <c r="AB25" s="3331"/>
      <c r="AC25" s="3331"/>
      <c r="AD25" s="3331"/>
      <c r="AE25" s="3331"/>
      <c r="AF25" s="3331"/>
      <c r="AG25" s="3331"/>
      <c r="AH25" s="3331"/>
      <c r="AI25" s="3331"/>
      <c r="AJ25" s="3331"/>
      <c r="AK25" s="3331"/>
      <c r="AL25" s="3331"/>
      <c r="AM25" s="3331"/>
      <c r="AN25" s="3331"/>
      <c r="AO25" s="3331"/>
      <c r="AP25" s="3331"/>
      <c r="AQ25" s="3331"/>
      <c r="AR25" s="3331"/>
      <c r="AS25" s="3331"/>
      <c r="AT25" s="3331"/>
      <c r="AU25" s="3331"/>
      <c r="AV25" s="3331"/>
      <c r="AW25" s="3331"/>
      <c r="AX25" s="3332"/>
      <c r="AY25" s="3332">
        <v>0.02</v>
      </c>
      <c r="AZ25" s="3332">
        <v>0.03</v>
      </c>
      <c r="BA25" s="3332">
        <v>0.02</v>
      </c>
      <c r="BB25" s="3332">
        <v>0.02</v>
      </c>
      <c r="BC25" s="3332">
        <v>0.1</v>
      </c>
      <c r="BD25" s="3332">
        <v>0.02</v>
      </c>
      <c r="BE25" s="3332">
        <v>0.02</v>
      </c>
      <c r="BF25" s="3332">
        <v>0.03</v>
      </c>
      <c r="BG25" s="3332">
        <v>0.05</v>
      </c>
      <c r="BH25" s="3332">
        <v>0.06</v>
      </c>
      <c r="BI25" s="3332">
        <v>0.12</v>
      </c>
      <c r="BJ25" s="3332">
        <v>0.02</v>
      </c>
      <c r="BK25" s="3332"/>
      <c r="BL25" s="3332">
        <v>0.21</v>
      </c>
      <c r="BM25" s="3332">
        <v>0.05</v>
      </c>
      <c r="BN25" s="3332">
        <v>0.02</v>
      </c>
      <c r="BO25" s="3332"/>
      <c r="BP25" s="3332">
        <v>0.06</v>
      </c>
      <c r="BQ25" s="3332">
        <v>0.1</v>
      </c>
      <c r="BR25" s="3332">
        <v>0.01</v>
      </c>
      <c r="BS25" s="3332">
        <v>0.01</v>
      </c>
      <c r="BT25" s="3332">
        <v>0.01</v>
      </c>
      <c r="BU25" s="3332">
        <v>0.01</v>
      </c>
      <c r="BV25" s="3332">
        <v>0.24</v>
      </c>
      <c r="BW25" s="3332">
        <v>0.05</v>
      </c>
      <c r="BX25" s="3332">
        <v>0.05</v>
      </c>
      <c r="BY25" s="3332">
        <v>0.04</v>
      </c>
      <c r="BZ25" s="3332">
        <v>0.12</v>
      </c>
      <c r="CA25" s="3332"/>
      <c r="CB25" s="3332">
        <v>0.01</v>
      </c>
      <c r="CC25" s="3332"/>
      <c r="CD25" s="3332"/>
      <c r="CE25" s="3332"/>
      <c r="CF25" s="3332">
        <f t="shared" si="1"/>
        <v>1.5000000000000002</v>
      </c>
    </row>
    <row r="26" spans="1:84" s="1137" customFormat="1" ht="30" customHeight="1">
      <c r="A26" s="107" t="s">
        <v>2054</v>
      </c>
      <c r="B26" s="958" t="s">
        <v>2055</v>
      </c>
      <c r="C26" s="958" t="s">
        <v>2056</v>
      </c>
      <c r="D26" s="982" t="s">
        <v>85</v>
      </c>
      <c r="E26" s="982" t="s">
        <v>85</v>
      </c>
      <c r="F26" s="956" t="s">
        <v>86</v>
      </c>
      <c r="G26" s="2524">
        <v>1</v>
      </c>
      <c r="H26" s="2366">
        <v>30000</v>
      </c>
      <c r="I26" s="957">
        <f t="shared" si="7"/>
        <v>0.3</v>
      </c>
      <c r="J26" s="2366">
        <v>40</v>
      </c>
      <c r="K26" s="2978">
        <f t="shared" si="8"/>
        <v>12</v>
      </c>
      <c r="L26" s="2525" t="s">
        <v>5322</v>
      </c>
      <c r="M26" s="107" t="str">
        <f>'Ab1. RMNCH+A'!Q209</f>
        <v>Ongoing activity :Rs 6 lakhs is recommended for approval for FPIS based on the average number of cases in last 3 years and as per GoI norms (average number of cases is approx 12,000 @ Rs.50 per case.</v>
      </c>
      <c r="N26" s="3639">
        <f>'Ab1. RMNCH+A'!R209</f>
        <v>6</v>
      </c>
      <c r="O26" s="3331"/>
      <c r="P26" s="3649"/>
      <c r="Q26" s="3649"/>
      <c r="R26" s="3649"/>
      <c r="S26" s="3649"/>
      <c r="T26" s="3649"/>
      <c r="U26" s="3649"/>
      <c r="V26" s="3649"/>
      <c r="W26" s="3649"/>
      <c r="X26" s="3649"/>
      <c r="Y26" s="3649"/>
      <c r="Z26" s="3649"/>
      <c r="AA26" s="3649"/>
      <c r="AB26" s="3649"/>
      <c r="AC26" s="3649"/>
      <c r="AD26" s="3649"/>
      <c r="AE26" s="3649"/>
      <c r="AF26" s="3649"/>
      <c r="AG26" s="3649"/>
      <c r="AH26" s="3649"/>
      <c r="AI26" s="3649"/>
      <c r="AJ26" s="3649"/>
      <c r="AK26" s="3649"/>
      <c r="AL26" s="3649"/>
      <c r="AM26" s="3649"/>
      <c r="AN26" s="3649"/>
      <c r="AO26" s="3649"/>
      <c r="AP26" s="3649"/>
      <c r="AQ26" s="3649"/>
      <c r="AR26" s="3649"/>
      <c r="AS26" s="3649"/>
      <c r="AT26" s="3649"/>
      <c r="AU26" s="3649"/>
      <c r="AV26" s="3649"/>
      <c r="AW26" s="3649"/>
      <c r="AX26" s="3332">
        <v>6</v>
      </c>
      <c r="AY26" s="3590"/>
      <c r="AZ26" s="3590"/>
      <c r="BA26" s="3590"/>
      <c r="BB26" s="3590"/>
      <c r="BC26" s="3590"/>
      <c r="BD26" s="3590"/>
      <c r="BE26" s="3590"/>
      <c r="BF26" s="3590"/>
      <c r="BG26" s="3590"/>
      <c r="BH26" s="3590"/>
      <c r="BI26" s="3590"/>
      <c r="BJ26" s="3590"/>
      <c r="BK26" s="3590"/>
      <c r="BL26" s="3590"/>
      <c r="BM26" s="3590"/>
      <c r="BN26" s="3590"/>
      <c r="BO26" s="3590"/>
      <c r="BP26" s="3590"/>
      <c r="BQ26" s="3590"/>
      <c r="BR26" s="3590"/>
      <c r="BS26" s="3590"/>
      <c r="BT26" s="3590"/>
      <c r="BU26" s="3590"/>
      <c r="BV26" s="3590"/>
      <c r="BW26" s="3590"/>
      <c r="BX26" s="3590"/>
      <c r="BY26" s="3590"/>
      <c r="BZ26" s="3590"/>
      <c r="CA26" s="3590"/>
      <c r="CB26" s="3590"/>
      <c r="CC26" s="3590"/>
      <c r="CD26" s="3590"/>
      <c r="CE26" s="3590"/>
      <c r="CF26" s="3332">
        <f t="shared" si="1"/>
        <v>6</v>
      </c>
    </row>
    <row r="27" spans="1:84" s="963" customFormat="1" ht="37.5" customHeight="1">
      <c r="A27" s="107" t="s">
        <v>2058</v>
      </c>
      <c r="B27" s="961" t="s">
        <v>3936</v>
      </c>
      <c r="C27" s="961" t="s">
        <v>4442</v>
      </c>
      <c r="D27" s="982" t="s">
        <v>4219</v>
      </c>
      <c r="E27" s="982" t="s">
        <v>4525</v>
      </c>
      <c r="F27" s="956" t="s">
        <v>4525</v>
      </c>
      <c r="G27" s="178">
        <v>15000</v>
      </c>
      <c r="H27" s="2345">
        <v>3100</v>
      </c>
      <c r="I27" s="2346">
        <f t="shared" ref="I27" si="9">H27/100000</f>
        <v>3.1E-2</v>
      </c>
      <c r="J27" s="2345">
        <v>15000</v>
      </c>
      <c r="K27" s="2978">
        <f>J27*I27</f>
        <v>465</v>
      </c>
      <c r="L27" s="2256" t="s">
        <v>5162</v>
      </c>
      <c r="M27" s="107" t="str">
        <f>'Abs11. NTEP'!Q8</f>
        <v>Recommended Rs 465 lakhs towards NPY benefits  for an estimated number of 14500 DSTB patients (@ Rs 500/month for 6 months) and 500 DRTB patients ((@Rs 500/month for 12 months)</v>
      </c>
      <c r="N27" s="3639">
        <f>'Abs11. NTEP'!R8</f>
        <v>465</v>
      </c>
      <c r="O27" s="3331"/>
      <c r="P27" s="3331"/>
      <c r="Q27" s="3331"/>
      <c r="R27" s="3331"/>
      <c r="S27" s="3331"/>
      <c r="T27" s="3331"/>
      <c r="U27" s="3331"/>
      <c r="V27" s="3331"/>
      <c r="W27" s="3331"/>
      <c r="X27" s="3331"/>
      <c r="Y27" s="3331"/>
      <c r="Z27" s="3331"/>
      <c r="AA27" s="3331"/>
      <c r="AB27" s="3331"/>
      <c r="AC27" s="3331"/>
      <c r="AD27" s="3331"/>
      <c r="AE27" s="3331"/>
      <c r="AF27" s="3331"/>
      <c r="AG27" s="3331"/>
      <c r="AH27" s="3331"/>
      <c r="AI27" s="3331"/>
      <c r="AJ27" s="3331"/>
      <c r="AK27" s="3331"/>
      <c r="AL27" s="3331"/>
      <c r="AM27" s="3331"/>
      <c r="AN27" s="3331"/>
      <c r="AO27" s="3331"/>
      <c r="AP27" s="3331"/>
      <c r="AQ27" s="3331"/>
      <c r="AR27" s="3331"/>
      <c r="AS27" s="3331"/>
      <c r="AT27" s="3331"/>
      <c r="AU27" s="3331"/>
      <c r="AV27" s="3331"/>
      <c r="AW27" s="3331"/>
      <c r="AX27" s="3332"/>
      <c r="AY27" s="3332">
        <v>16.3</v>
      </c>
      <c r="AZ27" s="3332">
        <v>30.9</v>
      </c>
      <c r="BA27" s="3332">
        <v>21.88</v>
      </c>
      <c r="BB27" s="3332">
        <v>95.72</v>
      </c>
      <c r="BC27" s="3332">
        <v>2.99</v>
      </c>
      <c r="BD27" s="3332">
        <v>37.17</v>
      </c>
      <c r="BE27" s="3332">
        <v>1.19</v>
      </c>
      <c r="BF27" s="3332">
        <v>61.49</v>
      </c>
      <c r="BG27" s="3332">
        <v>85.58</v>
      </c>
      <c r="BH27" s="3332">
        <v>33.46</v>
      </c>
      <c r="BI27" s="3332">
        <v>55.72</v>
      </c>
      <c r="BJ27" s="3332">
        <v>22.6</v>
      </c>
      <c r="BK27" s="3332"/>
      <c r="BL27" s="3332"/>
      <c r="BM27" s="3332"/>
      <c r="BN27" s="3332"/>
      <c r="BO27" s="3332"/>
      <c r="BP27" s="3332"/>
      <c r="BQ27" s="3332"/>
      <c r="BR27" s="3332"/>
      <c r="BS27" s="3332"/>
      <c r="BT27" s="3332"/>
      <c r="BU27" s="3332"/>
      <c r="BV27" s="3332"/>
      <c r="BW27" s="3332"/>
      <c r="BX27" s="3332"/>
      <c r="BY27" s="3332"/>
      <c r="BZ27" s="3332"/>
      <c r="CA27" s="3332"/>
      <c r="CB27" s="3332"/>
      <c r="CC27" s="3332"/>
      <c r="CD27" s="3332"/>
      <c r="CE27" s="3332"/>
      <c r="CF27" s="3332">
        <f t="shared" si="1"/>
        <v>465</v>
      </c>
    </row>
    <row r="28" spans="1:84" s="3449" customFormat="1" ht="37.5" customHeight="1">
      <c r="A28" s="107" t="s">
        <v>4023</v>
      </c>
      <c r="B28" s="948" t="s">
        <v>2060</v>
      </c>
      <c r="C28" s="2533" t="s">
        <v>5055</v>
      </c>
      <c r="D28" s="982" t="s">
        <v>85</v>
      </c>
      <c r="E28" s="982" t="s">
        <v>85</v>
      </c>
      <c r="F28" s="956" t="s">
        <v>126</v>
      </c>
      <c r="G28" s="178">
        <v>1</v>
      </c>
      <c r="H28" s="2504">
        <v>1000000</v>
      </c>
      <c r="I28" s="957">
        <f t="shared" ref="I28:I34" si="10">H28/100000</f>
        <v>10</v>
      </c>
      <c r="J28" s="2504">
        <v>13</v>
      </c>
      <c r="K28" s="2978">
        <f t="shared" ref="K28:K34" si="11">J28*I28</f>
        <v>130</v>
      </c>
      <c r="L28" s="2256" t="s">
        <v>5339</v>
      </c>
      <c r="M28" s="107" t="str">
        <f>'Ab1. RMNCH+A'!Q103</f>
        <v>Ongoing Activity:Rs. 130 lakh is recommended for approval for operational cost for 13 SNCUs @ Rs. 10 lakh INR for each SNCU.The State to ensure not to book any HR related expenses under this budget head and book the expenditure as per actual.</v>
      </c>
      <c r="N28" s="3639">
        <f>'Ab1. RMNCH+A'!R103</f>
        <v>130</v>
      </c>
      <c r="O28" s="3331"/>
      <c r="P28" s="3331"/>
      <c r="Q28" s="3331"/>
      <c r="R28" s="3331"/>
      <c r="S28" s="3331"/>
      <c r="T28" s="3331"/>
      <c r="U28" s="3331"/>
      <c r="V28" s="3331"/>
      <c r="W28" s="3331"/>
      <c r="X28" s="3331"/>
      <c r="Y28" s="3331"/>
      <c r="Z28" s="3331"/>
      <c r="AA28" s="3331"/>
      <c r="AB28" s="3331"/>
      <c r="AC28" s="3331"/>
      <c r="AD28" s="3331"/>
      <c r="AE28" s="3331"/>
      <c r="AF28" s="3331"/>
      <c r="AG28" s="3331"/>
      <c r="AH28" s="3331"/>
      <c r="AI28" s="3331"/>
      <c r="AJ28" s="3331"/>
      <c r="AK28" s="3331"/>
      <c r="AL28" s="3331"/>
      <c r="AM28" s="3331"/>
      <c r="AN28" s="3331"/>
      <c r="AO28" s="3331"/>
      <c r="AP28" s="3331"/>
      <c r="AQ28" s="3331"/>
      <c r="AR28" s="3331"/>
      <c r="AS28" s="3331"/>
      <c r="AT28" s="3331"/>
      <c r="AU28" s="3331"/>
      <c r="AV28" s="3331"/>
      <c r="AW28" s="3331"/>
      <c r="AX28" s="3332">
        <v>112</v>
      </c>
      <c r="AY28" s="3332"/>
      <c r="AZ28" s="3332"/>
      <c r="BA28" s="3332"/>
      <c r="BB28" s="3332"/>
      <c r="BC28" s="3332"/>
      <c r="BD28" s="3332"/>
      <c r="BE28" s="3332"/>
      <c r="BF28" s="3332">
        <v>1</v>
      </c>
      <c r="BG28" s="3332"/>
      <c r="BH28" s="3332">
        <v>1</v>
      </c>
      <c r="BI28" s="3332"/>
      <c r="BJ28" s="3332"/>
      <c r="BK28" s="3332">
        <v>2</v>
      </c>
      <c r="BL28" s="3332">
        <v>1</v>
      </c>
      <c r="BM28" s="3332">
        <v>1</v>
      </c>
      <c r="BN28" s="3332">
        <v>1</v>
      </c>
      <c r="BO28" s="3589">
        <v>1</v>
      </c>
      <c r="BP28" s="3589">
        <v>1</v>
      </c>
      <c r="BQ28" s="3589">
        <v>2</v>
      </c>
      <c r="BR28" s="3589">
        <v>1</v>
      </c>
      <c r="BS28" s="3589"/>
      <c r="BT28" s="3589">
        <v>1</v>
      </c>
      <c r="BU28" s="3589">
        <v>1.5</v>
      </c>
      <c r="BV28" s="3589">
        <v>0.5</v>
      </c>
      <c r="BW28" s="3589"/>
      <c r="BX28" s="3589">
        <v>1</v>
      </c>
      <c r="BY28" s="3589"/>
      <c r="BZ28" s="3589">
        <v>1</v>
      </c>
      <c r="CA28" s="3589"/>
      <c r="CB28" s="3589">
        <v>1</v>
      </c>
      <c r="CC28" s="3589"/>
      <c r="CD28" s="3589"/>
      <c r="CE28" s="3589"/>
      <c r="CF28" s="3589">
        <f t="shared" si="1"/>
        <v>130</v>
      </c>
    </row>
    <row r="29" spans="1:84" s="963" customFormat="1" ht="37.5" customHeight="1">
      <c r="A29" s="107" t="s">
        <v>2082</v>
      </c>
      <c r="B29" s="1004" t="s">
        <v>2061</v>
      </c>
      <c r="C29" s="1004" t="s">
        <v>5056</v>
      </c>
      <c r="D29" s="2095" t="s">
        <v>85</v>
      </c>
      <c r="E29" s="2095" t="s">
        <v>85</v>
      </c>
      <c r="F29" s="900" t="s">
        <v>126</v>
      </c>
      <c r="G29" s="178">
        <v>1</v>
      </c>
      <c r="H29" s="243">
        <v>29000</v>
      </c>
      <c r="I29" s="962">
        <f t="shared" si="10"/>
        <v>0.28999999999999998</v>
      </c>
      <c r="J29" s="243">
        <v>18</v>
      </c>
      <c r="K29" s="3505">
        <f t="shared" si="11"/>
        <v>5.22</v>
      </c>
      <c r="L29" s="108" t="s">
        <v>5340</v>
      </c>
      <c r="M29" s="107" t="str">
        <f>'Ab1. RMNCH+A'!Q104</f>
        <v>Ongoing Activity:Rs. 5.22 Lakhs is recommended for approval as Operational Cost @ Rs. 29000 per NBSU for 18 NBSUs. This budget may be used for strengthening of NBSU services and clinical practices.</v>
      </c>
      <c r="N29" s="3639">
        <f>'Ab1. RMNCH+A'!R104</f>
        <v>5.22</v>
      </c>
      <c r="O29" s="3331"/>
      <c r="P29" s="3331"/>
      <c r="Q29" s="3331"/>
      <c r="R29" s="3331"/>
      <c r="S29" s="3331"/>
      <c r="T29" s="3331"/>
      <c r="U29" s="3331"/>
      <c r="V29" s="3331"/>
      <c r="W29" s="3331"/>
      <c r="X29" s="3331"/>
      <c r="Y29" s="3331"/>
      <c r="Z29" s="3331"/>
      <c r="AA29" s="3331"/>
      <c r="AB29" s="3331"/>
      <c r="AC29" s="3331"/>
      <c r="AD29" s="3331"/>
      <c r="AE29" s="3331"/>
      <c r="AF29" s="3331"/>
      <c r="AG29" s="3331"/>
      <c r="AH29" s="3331"/>
      <c r="AI29" s="3331"/>
      <c r="AJ29" s="3331"/>
      <c r="AK29" s="3331"/>
      <c r="AL29" s="3331"/>
      <c r="AM29" s="3331"/>
      <c r="AN29" s="3331"/>
      <c r="AO29" s="3331"/>
      <c r="AP29" s="3331"/>
      <c r="AQ29" s="3331"/>
      <c r="AR29" s="3331"/>
      <c r="AS29" s="3331"/>
      <c r="AT29" s="3331"/>
      <c r="AU29" s="3331"/>
      <c r="AV29" s="3331"/>
      <c r="AW29" s="3331"/>
      <c r="AX29" s="3332">
        <v>2.9</v>
      </c>
      <c r="AY29" s="3332"/>
      <c r="AZ29" s="3332">
        <v>0.57999999999999996</v>
      </c>
      <c r="BA29" s="3332"/>
      <c r="BB29" s="3332">
        <v>0.57999999999999996</v>
      </c>
      <c r="BC29" s="3332"/>
      <c r="BD29" s="3332"/>
      <c r="BE29" s="3332"/>
      <c r="BF29" s="3332">
        <v>0.28999999999999998</v>
      </c>
      <c r="BG29" s="3332"/>
      <c r="BH29" s="3332"/>
      <c r="BI29" s="3332">
        <v>0.28999999999999998</v>
      </c>
      <c r="BJ29" s="3332"/>
      <c r="BK29" s="3332"/>
      <c r="BL29" s="3332"/>
      <c r="BM29" s="3332"/>
      <c r="BN29" s="3332"/>
      <c r="BO29" s="3332"/>
      <c r="BP29" s="3332">
        <v>0.28999999999999998</v>
      </c>
      <c r="BQ29" s="3332"/>
      <c r="BR29" s="3332"/>
      <c r="BS29" s="3332">
        <v>0.28999999999999998</v>
      </c>
      <c r="BT29" s="3332"/>
      <c r="BU29" s="3332"/>
      <c r="BV29" s="3332"/>
      <c r="BW29" s="3332"/>
      <c r="BX29" s="3332"/>
      <c r="BY29" s="3332"/>
      <c r="BZ29" s="3332"/>
      <c r="CA29" s="3332"/>
      <c r="CB29" s="3332"/>
      <c r="CC29" s="3332"/>
      <c r="CD29" s="3332"/>
      <c r="CE29" s="3332"/>
      <c r="CF29" s="3332">
        <f t="shared" si="1"/>
        <v>5.22</v>
      </c>
    </row>
    <row r="30" spans="1:84" s="963" customFormat="1" ht="37.5" customHeight="1">
      <c r="A30" s="107" t="s">
        <v>2083</v>
      </c>
      <c r="B30" s="948" t="s">
        <v>2062</v>
      </c>
      <c r="C30" s="2533" t="s">
        <v>5057</v>
      </c>
      <c r="D30" s="982" t="s">
        <v>85</v>
      </c>
      <c r="E30" s="982" t="s">
        <v>85</v>
      </c>
      <c r="F30" s="956" t="s">
        <v>126</v>
      </c>
      <c r="G30" s="178">
        <v>1</v>
      </c>
      <c r="H30" s="2504">
        <v>2000</v>
      </c>
      <c r="I30" s="957">
        <f t="shared" si="10"/>
        <v>0.02</v>
      </c>
      <c r="J30" s="2504">
        <v>124</v>
      </c>
      <c r="K30" s="2978">
        <f t="shared" si="11"/>
        <v>2.48</v>
      </c>
      <c r="L30" s="2256" t="s">
        <v>5341</v>
      </c>
      <c r="M30" s="107" t="str">
        <f>'Ab1. RMNCH+A'!Q105</f>
        <v>Ongoing Activity:Rs. 2.48 lakh is recommended for approval as operational cost for 124 NBCC @ Rs. 2000 INR for each NBCC.The State to ensure not to book any HR related expenses under this budget head and book the expenditure as per actual.</v>
      </c>
      <c r="N30" s="3639">
        <f>'Ab1. RMNCH+A'!R105</f>
        <v>2.48</v>
      </c>
      <c r="O30" s="3331"/>
      <c r="P30" s="3331"/>
      <c r="Q30" s="3331"/>
      <c r="R30" s="3331"/>
      <c r="S30" s="3331"/>
      <c r="T30" s="3331"/>
      <c r="U30" s="3331"/>
      <c r="V30" s="3331"/>
      <c r="W30" s="3331"/>
      <c r="X30" s="3331"/>
      <c r="Y30" s="3331"/>
      <c r="Z30" s="3331"/>
      <c r="AA30" s="3331"/>
      <c r="AB30" s="3331"/>
      <c r="AC30" s="3331"/>
      <c r="AD30" s="3331"/>
      <c r="AE30" s="3331"/>
      <c r="AF30" s="3331"/>
      <c r="AG30" s="3331"/>
      <c r="AH30" s="3331"/>
      <c r="AI30" s="3331"/>
      <c r="AJ30" s="3331"/>
      <c r="AK30" s="3331"/>
      <c r="AL30" s="3331"/>
      <c r="AM30" s="3331"/>
      <c r="AN30" s="3331"/>
      <c r="AO30" s="3331"/>
      <c r="AP30" s="3331"/>
      <c r="AQ30" s="3331"/>
      <c r="AR30" s="3331"/>
      <c r="AS30" s="3331"/>
      <c r="AT30" s="3331"/>
      <c r="AU30" s="3331"/>
      <c r="AV30" s="3331"/>
      <c r="AW30" s="3331"/>
      <c r="AX30" s="3332">
        <v>0.48</v>
      </c>
      <c r="AY30" s="3332">
        <v>0.1</v>
      </c>
      <c r="AZ30" s="3332">
        <v>0.19</v>
      </c>
      <c r="BA30" s="3332">
        <v>0.13</v>
      </c>
      <c r="BB30" s="3332">
        <v>0.34</v>
      </c>
      <c r="BC30" s="3332">
        <v>0.09</v>
      </c>
      <c r="BD30" s="3332">
        <v>0.11</v>
      </c>
      <c r="BE30" s="3332">
        <v>0.05</v>
      </c>
      <c r="BF30" s="3332">
        <v>0.32</v>
      </c>
      <c r="BG30" s="3332">
        <v>0.24</v>
      </c>
      <c r="BH30" s="3332">
        <v>0.13</v>
      </c>
      <c r="BI30" s="3332">
        <v>0.19</v>
      </c>
      <c r="BJ30" s="3332">
        <v>0.11</v>
      </c>
      <c r="BK30" s="3332"/>
      <c r="BL30" s="3332"/>
      <c r="BM30" s="3332"/>
      <c r="BN30" s="3332"/>
      <c r="BO30" s="3332"/>
      <c r="BP30" s="3332"/>
      <c r="BQ30" s="3332"/>
      <c r="BR30" s="3332"/>
      <c r="BS30" s="3332"/>
      <c r="BT30" s="3332"/>
      <c r="BU30" s="3332"/>
      <c r="BV30" s="3332"/>
      <c r="BW30" s="3332"/>
      <c r="BX30" s="3332"/>
      <c r="BY30" s="3332"/>
      <c r="BZ30" s="3332"/>
      <c r="CA30" s="3332"/>
      <c r="CB30" s="3332"/>
      <c r="CC30" s="3332"/>
      <c r="CD30" s="3332"/>
      <c r="CE30" s="3332"/>
      <c r="CF30" s="3332">
        <f t="shared" si="1"/>
        <v>2.48</v>
      </c>
    </row>
    <row r="31" spans="1:84" s="963" customFormat="1" ht="37.5" customHeight="1">
      <c r="A31" s="107" t="s">
        <v>2084</v>
      </c>
      <c r="B31" s="948" t="s">
        <v>344</v>
      </c>
      <c r="C31" s="2533" t="s">
        <v>5058</v>
      </c>
      <c r="D31" s="982" t="s">
        <v>85</v>
      </c>
      <c r="E31" s="982" t="s">
        <v>85</v>
      </c>
      <c r="F31" s="956" t="s">
        <v>126</v>
      </c>
      <c r="G31" s="178">
        <v>1</v>
      </c>
      <c r="H31" s="2504">
        <v>200000</v>
      </c>
      <c r="I31" s="957">
        <f t="shared" si="10"/>
        <v>2</v>
      </c>
      <c r="J31" s="2504">
        <v>3</v>
      </c>
      <c r="K31" s="2978">
        <f t="shared" si="11"/>
        <v>6</v>
      </c>
      <c r="L31" s="2256" t="s">
        <v>5342</v>
      </c>
      <c r="M31" s="107" t="str">
        <f>'Ab1. RMNCH+A'!Q106</f>
        <v>Ongoing activity: Rs. 6 lakh is recommended for approval for opex of three functional NRCs (Shimla, Kangra &amp; Una) @ Rs. 2 lakh per NRC for 12 months, as per State's proposal.The State to ensure the optimum utilization of resources as bed occupancy rate was only 51% in FY 2019-20 and 29% in FY 2002-21, upto Q-3 reported data.</v>
      </c>
      <c r="N31" s="3639">
        <f>'Ab1. RMNCH+A'!R106</f>
        <v>6</v>
      </c>
      <c r="O31" s="3331"/>
      <c r="P31" s="3331"/>
      <c r="Q31" s="3331"/>
      <c r="R31" s="3331"/>
      <c r="S31" s="3331"/>
      <c r="T31" s="3331"/>
      <c r="U31" s="3331"/>
      <c r="V31" s="3331"/>
      <c r="W31" s="3331"/>
      <c r="X31" s="3331"/>
      <c r="Y31" s="3331"/>
      <c r="Z31" s="3331"/>
      <c r="AA31" s="3331"/>
      <c r="AB31" s="3331"/>
      <c r="AC31" s="3331"/>
      <c r="AD31" s="3331"/>
      <c r="AE31" s="3331"/>
      <c r="AF31" s="3331"/>
      <c r="AG31" s="3331"/>
      <c r="AH31" s="3331"/>
      <c r="AI31" s="3331"/>
      <c r="AJ31" s="3331"/>
      <c r="AK31" s="3331"/>
      <c r="AL31" s="3331"/>
      <c r="AM31" s="3331"/>
      <c r="AN31" s="3331"/>
      <c r="AO31" s="3331"/>
      <c r="AP31" s="3331"/>
      <c r="AQ31" s="3331"/>
      <c r="AR31" s="3331"/>
      <c r="AS31" s="3331"/>
      <c r="AT31" s="3331"/>
      <c r="AU31" s="3331"/>
      <c r="AV31" s="3331"/>
      <c r="AW31" s="3331"/>
      <c r="AX31" s="3332">
        <v>3</v>
      </c>
      <c r="AY31" s="3332"/>
      <c r="AZ31" s="3332"/>
      <c r="BA31" s="3332"/>
      <c r="BB31" s="3332"/>
      <c r="BC31" s="3332"/>
      <c r="BD31" s="3332"/>
      <c r="BE31" s="3332"/>
      <c r="BF31" s="3332"/>
      <c r="BG31" s="3332"/>
      <c r="BH31" s="3332"/>
      <c r="BI31" s="3332"/>
      <c r="BJ31" s="3332"/>
      <c r="BK31" s="3332">
        <v>1</v>
      </c>
      <c r="BL31" s="3332">
        <v>1</v>
      </c>
      <c r="BM31" s="3332"/>
      <c r="BN31" s="3332"/>
      <c r="BO31" s="3332"/>
      <c r="BP31" s="3332"/>
      <c r="BQ31" s="3332"/>
      <c r="BR31" s="3332"/>
      <c r="BS31" s="3332"/>
      <c r="BT31" s="3332"/>
      <c r="BU31" s="3332"/>
      <c r="BV31" s="3332"/>
      <c r="BW31" s="3332"/>
      <c r="BX31" s="3332"/>
      <c r="BY31" s="3332"/>
      <c r="BZ31" s="3332"/>
      <c r="CA31" s="3332"/>
      <c r="CB31" s="3332">
        <v>1</v>
      </c>
      <c r="CC31" s="3332"/>
      <c r="CD31" s="3332"/>
      <c r="CE31" s="3332"/>
      <c r="CF31" s="3332">
        <f t="shared" si="1"/>
        <v>6</v>
      </c>
    </row>
    <row r="32" spans="1:84" s="963" customFormat="1" ht="37.5" customHeight="1">
      <c r="A32" s="107" t="s">
        <v>2085</v>
      </c>
      <c r="B32" s="948"/>
      <c r="C32" s="2533" t="s">
        <v>5059</v>
      </c>
      <c r="D32" s="982" t="s">
        <v>85</v>
      </c>
      <c r="E32" s="982" t="s">
        <v>85</v>
      </c>
      <c r="F32" s="956" t="s">
        <v>126</v>
      </c>
      <c r="G32" s="178">
        <v>1</v>
      </c>
      <c r="H32" s="2504">
        <v>200</v>
      </c>
      <c r="I32" s="957">
        <f t="shared" si="10"/>
        <v>2E-3</v>
      </c>
      <c r="J32" s="2504">
        <v>5000</v>
      </c>
      <c r="K32" s="2978">
        <f t="shared" si="11"/>
        <v>10</v>
      </c>
      <c r="L32" s="2256" t="s">
        <v>5343</v>
      </c>
      <c r="M32" s="107" t="str">
        <f>'Ab1. RMNCH+A'!Q107</f>
        <v>Ongoing Activity:Rs. 10 lakhs is recommended for approval for family participatory care operational cost and KMC binders as proposed by the State @ Rs. 200 unit cost for 5000 quantity. The State to follow procurement norms and book the expenditure as per actuals.</v>
      </c>
      <c r="N32" s="3639">
        <f>'Ab1. RMNCH+A'!R107</f>
        <v>10</v>
      </c>
      <c r="O32" s="3331"/>
      <c r="P32" s="3331"/>
      <c r="Q32" s="3331"/>
      <c r="R32" s="3331"/>
      <c r="S32" s="3331"/>
      <c r="T32" s="3331"/>
      <c r="U32" s="3331"/>
      <c r="V32" s="3331"/>
      <c r="W32" s="3331"/>
      <c r="X32" s="3331"/>
      <c r="Y32" s="3331"/>
      <c r="Z32" s="3331"/>
      <c r="AA32" s="3331"/>
      <c r="AB32" s="3331"/>
      <c r="AC32" s="3331"/>
      <c r="AD32" s="3331"/>
      <c r="AE32" s="3331"/>
      <c r="AF32" s="3331"/>
      <c r="AG32" s="3331"/>
      <c r="AH32" s="3331"/>
      <c r="AI32" s="3331"/>
      <c r="AJ32" s="3331"/>
      <c r="AK32" s="3331"/>
      <c r="AL32" s="3331"/>
      <c r="AM32" s="3331"/>
      <c r="AN32" s="3331"/>
      <c r="AO32" s="3331"/>
      <c r="AP32" s="3331"/>
      <c r="AQ32" s="3331"/>
      <c r="AR32" s="3331"/>
      <c r="AS32" s="3331"/>
      <c r="AT32" s="3331"/>
      <c r="AU32" s="3331"/>
      <c r="AV32" s="3331"/>
      <c r="AW32" s="3331"/>
      <c r="AX32" s="3332">
        <v>10</v>
      </c>
      <c r="AY32" s="3332"/>
      <c r="AZ32" s="3332"/>
      <c r="BA32" s="3332"/>
      <c r="BB32" s="3332"/>
      <c r="BC32" s="3332"/>
      <c r="BD32" s="3332"/>
      <c r="BE32" s="3332"/>
      <c r="BF32" s="3332"/>
      <c r="BG32" s="3332"/>
      <c r="BH32" s="3332"/>
      <c r="BI32" s="3332"/>
      <c r="BJ32" s="3332"/>
      <c r="BK32" s="3332"/>
      <c r="BL32" s="3332"/>
      <c r="BM32" s="3332"/>
      <c r="BN32" s="3332"/>
      <c r="BO32" s="3332"/>
      <c r="BP32" s="3332"/>
      <c r="BQ32" s="3332"/>
      <c r="BR32" s="3332"/>
      <c r="BS32" s="3332"/>
      <c r="BT32" s="3332"/>
      <c r="BU32" s="3332"/>
      <c r="BV32" s="3332"/>
      <c r="BW32" s="3332"/>
      <c r="BX32" s="3332"/>
      <c r="BY32" s="3332"/>
      <c r="BZ32" s="3332"/>
      <c r="CA32" s="3332"/>
      <c r="CB32" s="3332"/>
      <c r="CC32" s="3332"/>
      <c r="CD32" s="3332"/>
      <c r="CE32" s="3332"/>
      <c r="CF32" s="3332">
        <f t="shared" si="1"/>
        <v>10</v>
      </c>
    </row>
    <row r="33" spans="1:84" s="963" customFormat="1" ht="37.5" customHeight="1">
      <c r="A33" s="107" t="s">
        <v>3216</v>
      </c>
      <c r="B33" s="948" t="s">
        <v>2394</v>
      </c>
      <c r="C33" s="948" t="s">
        <v>2395</v>
      </c>
      <c r="D33" s="982" t="s">
        <v>85</v>
      </c>
      <c r="E33" s="982" t="s">
        <v>85</v>
      </c>
      <c r="F33" s="956" t="s">
        <v>91</v>
      </c>
      <c r="G33" s="178">
        <v>1</v>
      </c>
      <c r="H33" s="2504">
        <v>9600</v>
      </c>
      <c r="I33" s="957">
        <f t="shared" si="10"/>
        <v>9.6000000000000002E-2</v>
      </c>
      <c r="J33" s="2313">
        <v>10</v>
      </c>
      <c r="K33" s="2978">
        <f t="shared" si="11"/>
        <v>0.96</v>
      </c>
      <c r="L33" s="2256" t="s">
        <v>5344</v>
      </c>
      <c r="M33" s="107" t="str">
        <f>'Ab1. RMNCH+A'!Q347</f>
        <v xml:space="preserve">As per DEIC checklist shared by the State, it is found that none of the DEICs are functional as per RBSK DEIC guidelines as Equipment, HR and infrastructure is deficient. As proposed by State, Rs 0.96 lakhs is recommendded. Expenditure is as per actual and for functional DEIC only. The State has proposed HR 30 (212 and 5 positions each in 5 DEICs) which is partial as the Medical professionals only proposed 2 MBBS and 1 DEntal )In position) State to inform programme division the details of  these 5 DEICs where these HR would be positioned in the first quarter of FY 2021-22.  </v>
      </c>
      <c r="N33" s="3650">
        <f>'Ab1. RMNCH+A'!R347</f>
        <v>0.96</v>
      </c>
      <c r="O33" s="3331"/>
      <c r="P33" s="3331"/>
      <c r="Q33" s="3331"/>
      <c r="R33" s="3331"/>
      <c r="S33" s="3331"/>
      <c r="T33" s="3331"/>
      <c r="U33" s="3331"/>
      <c r="V33" s="3331"/>
      <c r="W33" s="3331"/>
      <c r="X33" s="3331"/>
      <c r="Y33" s="3331"/>
      <c r="Z33" s="3331"/>
      <c r="AA33" s="3331"/>
      <c r="AB33" s="3331"/>
      <c r="AC33" s="3331"/>
      <c r="AD33" s="3331"/>
      <c r="AE33" s="3331"/>
      <c r="AF33" s="3331"/>
      <c r="AG33" s="3331"/>
      <c r="AH33" s="3331"/>
      <c r="AI33" s="3331"/>
      <c r="AJ33" s="3331"/>
      <c r="AK33" s="3331"/>
      <c r="AL33" s="3331"/>
      <c r="AM33" s="3331"/>
      <c r="AN33" s="3331"/>
      <c r="AO33" s="3331"/>
      <c r="AP33" s="3331"/>
      <c r="AQ33" s="3331"/>
      <c r="AR33" s="3331"/>
      <c r="AS33" s="3331"/>
      <c r="AT33" s="3331"/>
      <c r="AU33" s="3331"/>
      <c r="AV33" s="3331"/>
      <c r="AW33" s="3331"/>
      <c r="AX33" s="3332">
        <v>0.26</v>
      </c>
      <c r="AY33" s="3332"/>
      <c r="AZ33" s="3332"/>
      <c r="BA33" s="3332"/>
      <c r="BB33" s="3332"/>
      <c r="BC33" s="3332"/>
      <c r="BD33" s="3332"/>
      <c r="BE33" s="3332"/>
      <c r="BF33" s="3332"/>
      <c r="BG33" s="3332"/>
      <c r="BH33" s="3332"/>
      <c r="BI33" s="3332"/>
      <c r="BJ33" s="3332"/>
      <c r="BK33" s="3332">
        <v>0.1</v>
      </c>
      <c r="BL33" s="3332">
        <v>0.1</v>
      </c>
      <c r="BM33" s="3332">
        <v>0.1</v>
      </c>
      <c r="BN33" s="3332">
        <v>0.1</v>
      </c>
      <c r="BO33" s="3332">
        <v>0.1</v>
      </c>
      <c r="BP33" s="3332"/>
      <c r="BQ33" s="3332"/>
      <c r="BR33" s="3332">
        <v>0.1</v>
      </c>
      <c r="BS33" s="3332"/>
      <c r="BT33" s="3332"/>
      <c r="BU33" s="3332"/>
      <c r="BV33" s="3332"/>
      <c r="BW33" s="3332"/>
      <c r="BX33" s="3332"/>
      <c r="BY33" s="3332"/>
      <c r="BZ33" s="3332"/>
      <c r="CA33" s="3332"/>
      <c r="CB33" s="3332">
        <v>0.1</v>
      </c>
      <c r="CC33" s="3332"/>
      <c r="CD33" s="3332"/>
      <c r="CE33" s="3332"/>
      <c r="CF33" s="3332">
        <f t="shared" si="1"/>
        <v>0.95999999999999985</v>
      </c>
    </row>
    <row r="34" spans="1:84" s="963" customFormat="1" ht="37.5" customHeight="1">
      <c r="A34" s="107" t="s">
        <v>2087</v>
      </c>
      <c r="B34" s="107" t="s">
        <v>2064</v>
      </c>
      <c r="C34" s="107" t="s">
        <v>4009</v>
      </c>
      <c r="D34" s="1077" t="s">
        <v>80</v>
      </c>
      <c r="E34" s="1077" t="s">
        <v>410</v>
      </c>
      <c r="F34" s="900" t="s">
        <v>410</v>
      </c>
      <c r="G34" s="178">
        <v>1</v>
      </c>
      <c r="H34" s="243">
        <v>50000</v>
      </c>
      <c r="I34" s="962">
        <f t="shared" si="10"/>
        <v>0.5</v>
      </c>
      <c r="J34" s="243">
        <v>12</v>
      </c>
      <c r="K34" s="3505">
        <f t="shared" si="11"/>
        <v>6</v>
      </c>
      <c r="L34" s="108" t="s">
        <v>5295</v>
      </c>
      <c r="M34" s="107" t="str">
        <f>'Abs19. NPCDCS'!Q9</f>
        <v>Recommended for approval for strengthening labs, mobility, contingency in all 12 DH (including 10 integrated Nirog clinics).</v>
      </c>
      <c r="N34" s="3639">
        <f>'Abs19. NPCDCS'!R9</f>
        <v>6</v>
      </c>
      <c r="O34" s="3331"/>
      <c r="P34" s="3331"/>
      <c r="Q34" s="3331"/>
      <c r="R34" s="3331"/>
      <c r="S34" s="3331"/>
      <c r="T34" s="3331"/>
      <c r="U34" s="3331"/>
      <c r="V34" s="3331"/>
      <c r="W34" s="3331"/>
      <c r="X34" s="3331"/>
      <c r="Y34" s="3331"/>
      <c r="Z34" s="3331"/>
      <c r="AA34" s="3331"/>
      <c r="AB34" s="3331"/>
      <c r="AC34" s="3331"/>
      <c r="AD34" s="3331"/>
      <c r="AE34" s="3331"/>
      <c r="AF34" s="3331"/>
      <c r="AG34" s="3331"/>
      <c r="AH34" s="3331"/>
      <c r="AI34" s="3331"/>
      <c r="AJ34" s="3331"/>
      <c r="AK34" s="3331"/>
      <c r="AL34" s="3331"/>
      <c r="AM34" s="3331"/>
      <c r="AN34" s="3331"/>
      <c r="AO34" s="3331"/>
      <c r="AP34" s="3331"/>
      <c r="AQ34" s="3331"/>
      <c r="AR34" s="3331"/>
      <c r="AS34" s="3331"/>
      <c r="AT34" s="3331"/>
      <c r="AU34" s="3331"/>
      <c r="AV34" s="3331"/>
      <c r="AW34" s="3331"/>
      <c r="AX34" s="3332">
        <v>0</v>
      </c>
      <c r="AY34" s="3332">
        <v>0</v>
      </c>
      <c r="AZ34" s="3332">
        <v>0</v>
      </c>
      <c r="BA34" s="3332">
        <v>0</v>
      </c>
      <c r="BB34" s="3332">
        <v>0</v>
      </c>
      <c r="BC34" s="3332">
        <v>0.5</v>
      </c>
      <c r="BD34" s="3332">
        <v>0</v>
      </c>
      <c r="BE34" s="3332">
        <v>0.5</v>
      </c>
      <c r="BF34" s="3332">
        <v>0</v>
      </c>
      <c r="BG34" s="3332">
        <v>0</v>
      </c>
      <c r="BH34" s="3332">
        <v>0.5</v>
      </c>
      <c r="BI34" s="3332">
        <v>0</v>
      </c>
      <c r="BJ34" s="3332">
        <v>0</v>
      </c>
      <c r="BK34" s="3332"/>
      <c r="BL34" s="3332"/>
      <c r="BM34" s="3332"/>
      <c r="BN34" s="3332"/>
      <c r="BO34" s="3332"/>
      <c r="BP34" s="3332">
        <v>0</v>
      </c>
      <c r="BQ34" s="3332"/>
      <c r="BR34" s="3332">
        <v>0.5</v>
      </c>
      <c r="BS34" s="3332">
        <v>0.5</v>
      </c>
      <c r="BT34" s="3332">
        <v>0.5</v>
      </c>
      <c r="BU34" s="3332">
        <v>0.5</v>
      </c>
      <c r="BV34" s="3332">
        <v>0.5</v>
      </c>
      <c r="BW34" s="3332">
        <v>0.5</v>
      </c>
      <c r="BX34" s="3332">
        <v>0.5</v>
      </c>
      <c r="BY34" s="3332"/>
      <c r="BZ34" s="3332">
        <v>0.5</v>
      </c>
      <c r="CA34" s="3332"/>
      <c r="CB34" s="3332">
        <v>0.5</v>
      </c>
      <c r="CC34" s="3332"/>
      <c r="CD34" s="3332"/>
      <c r="CE34" s="3332"/>
      <c r="CF34" s="3332">
        <f t="shared" si="1"/>
        <v>6</v>
      </c>
    </row>
    <row r="35" spans="1:84" s="963" customFormat="1" ht="37.5" customHeight="1">
      <c r="A35" s="107" t="s">
        <v>2377</v>
      </c>
      <c r="B35" s="961" t="s">
        <v>1696</v>
      </c>
      <c r="C35" s="961" t="s">
        <v>4635</v>
      </c>
      <c r="D35" s="982" t="s">
        <v>4219</v>
      </c>
      <c r="E35" s="982" t="s">
        <v>4525</v>
      </c>
      <c r="F35" s="956" t="s">
        <v>4525</v>
      </c>
      <c r="G35" s="178">
        <v>329</v>
      </c>
      <c r="H35" s="2345">
        <v>6481</v>
      </c>
      <c r="I35" s="957">
        <f>H35/100000</f>
        <v>6.4810000000000006E-2</v>
      </c>
      <c r="J35" s="2345">
        <v>79</v>
      </c>
      <c r="K35" s="2978">
        <f>J35*I35</f>
        <v>5.1199900000000005</v>
      </c>
      <c r="L35" s="2256" t="s">
        <v>5163</v>
      </c>
      <c r="M35" s="107" t="str">
        <f>'Abs11. NTEP'!Q9</f>
        <v>Recommended Rs 5.12 lakhs towards maintenace of office equipments at DTCs, DRTB centre and Labs</v>
      </c>
      <c r="N35" s="3639">
        <f>'Abs11. NTEP'!R9</f>
        <v>5.12</v>
      </c>
      <c r="O35" s="3648">
        <v>2.5275949367088608</v>
      </c>
      <c r="P35" s="3648"/>
      <c r="Q35" s="3331"/>
      <c r="R35" s="3331"/>
      <c r="S35" s="3331"/>
      <c r="T35" s="3331"/>
      <c r="U35" s="3331"/>
      <c r="V35" s="3331"/>
      <c r="W35" s="3331"/>
      <c r="X35" s="3331"/>
      <c r="Y35" s="3331"/>
      <c r="Z35" s="3331"/>
      <c r="AA35" s="3331"/>
      <c r="AB35" s="3331"/>
      <c r="AC35" s="3331"/>
      <c r="AD35" s="3331"/>
      <c r="AE35" s="3331"/>
      <c r="AF35" s="3331"/>
      <c r="AG35" s="3331"/>
      <c r="AH35" s="3331"/>
      <c r="AI35" s="3331"/>
      <c r="AJ35" s="3331"/>
      <c r="AK35" s="3331"/>
      <c r="AL35" s="3331"/>
      <c r="AM35" s="3331"/>
      <c r="AN35" s="3331"/>
      <c r="AO35" s="3331"/>
      <c r="AP35" s="3331"/>
      <c r="AQ35" s="3331"/>
      <c r="AR35" s="3331"/>
      <c r="AS35" s="3331"/>
      <c r="AT35" s="3331"/>
      <c r="AU35" s="3331"/>
      <c r="AV35" s="3331"/>
      <c r="AW35" s="3331"/>
      <c r="AX35" s="3332">
        <v>0.1</v>
      </c>
      <c r="AY35" s="3332">
        <v>0.18</v>
      </c>
      <c r="AZ35" s="3332">
        <v>0.27</v>
      </c>
      <c r="BA35" s="3332">
        <v>0.21</v>
      </c>
      <c r="BB35" s="3332">
        <v>0.71</v>
      </c>
      <c r="BC35" s="3332">
        <v>0.1</v>
      </c>
      <c r="BD35" s="3332">
        <v>0.32</v>
      </c>
      <c r="BE35" s="3332">
        <v>0.09</v>
      </c>
      <c r="BF35" s="3332">
        <v>0.49</v>
      </c>
      <c r="BG35" s="3332">
        <v>0.56000000000000005</v>
      </c>
      <c r="BH35" s="3332">
        <v>0.24</v>
      </c>
      <c r="BI35" s="3332">
        <v>0.25</v>
      </c>
      <c r="BJ35" s="3332">
        <v>0.25</v>
      </c>
      <c r="BK35" s="3332"/>
      <c r="BL35" s="3332">
        <v>0.1</v>
      </c>
      <c r="BM35" s="3332"/>
      <c r="BN35" s="3332"/>
      <c r="BO35" s="3332"/>
      <c r="BP35" s="3332"/>
      <c r="BQ35" s="3332"/>
      <c r="BR35" s="3332"/>
      <c r="BS35" s="3332"/>
      <c r="BT35" s="3332"/>
      <c r="BU35" s="3332"/>
      <c r="BV35" s="3332"/>
      <c r="BW35" s="3332"/>
      <c r="BX35" s="3332"/>
      <c r="BY35" s="3332"/>
      <c r="BZ35" s="3332"/>
      <c r="CA35" s="3332">
        <v>1.25</v>
      </c>
      <c r="CB35" s="3332"/>
      <c r="CC35" s="3332"/>
      <c r="CD35" s="3332"/>
      <c r="CE35" s="3332"/>
      <c r="CF35" s="3332">
        <f t="shared" si="1"/>
        <v>5.120000000000001</v>
      </c>
    </row>
    <row r="36" spans="1:84" s="963" customFormat="1" ht="37.5" customHeight="1">
      <c r="A36" s="107" t="s">
        <v>3697</v>
      </c>
      <c r="B36" s="961"/>
      <c r="C36" s="107" t="s">
        <v>5061</v>
      </c>
      <c r="D36" s="982" t="s">
        <v>85</v>
      </c>
      <c r="E36" s="982" t="s">
        <v>85</v>
      </c>
      <c r="F36" s="956" t="s">
        <v>126</v>
      </c>
      <c r="G36" s="178">
        <v>1</v>
      </c>
      <c r="H36" s="2504">
        <v>100000</v>
      </c>
      <c r="I36" s="957">
        <f t="shared" ref="I36:I41" si="12">H36/100000</f>
        <v>1</v>
      </c>
      <c r="J36" s="2313">
        <v>1</v>
      </c>
      <c r="K36" s="2978">
        <f t="shared" ref="K36:K41" si="13">J36*I36</f>
        <v>1</v>
      </c>
      <c r="L36" s="2256" t="s">
        <v>5345</v>
      </c>
      <c r="M36" s="107" t="str">
        <f>'Ab1. RMNCH+A'!Q109</f>
        <v>Ongoing Activity:Rs. 1 lakh is recommended for approval for operational cost for State Newborn Resource Center at IGMC KNH Shimla.The State to ensure not to book any expenditure related to HR under this budget head and book expenditure as per actual.</v>
      </c>
      <c r="N36" s="3639">
        <f>'Ab1. RMNCH+A'!R109</f>
        <v>1</v>
      </c>
      <c r="O36" s="3331"/>
      <c r="P36" s="3331"/>
      <c r="Q36" s="3331"/>
      <c r="R36" s="3331"/>
      <c r="S36" s="3331"/>
      <c r="T36" s="3331"/>
      <c r="U36" s="3331"/>
      <c r="V36" s="3331"/>
      <c r="W36" s="3331"/>
      <c r="X36" s="3331"/>
      <c r="Y36" s="3331"/>
      <c r="Z36" s="3331"/>
      <c r="AA36" s="3331"/>
      <c r="AB36" s="3331"/>
      <c r="AC36" s="3331"/>
      <c r="AD36" s="3331"/>
      <c r="AE36" s="3331"/>
      <c r="AF36" s="3331"/>
      <c r="AG36" s="3331"/>
      <c r="AH36" s="3331"/>
      <c r="AI36" s="3331"/>
      <c r="AJ36" s="3331"/>
      <c r="AK36" s="3331"/>
      <c r="AL36" s="3331"/>
      <c r="AM36" s="3331"/>
      <c r="AN36" s="3331"/>
      <c r="AO36" s="3331"/>
      <c r="AP36" s="3331"/>
      <c r="AQ36" s="3331"/>
      <c r="AR36" s="3331"/>
      <c r="AS36" s="3331"/>
      <c r="AT36" s="3331"/>
      <c r="AU36" s="3331"/>
      <c r="AV36" s="3331"/>
      <c r="AW36" s="3331"/>
      <c r="AX36" s="3332"/>
      <c r="AY36" s="3332"/>
      <c r="AZ36" s="3332"/>
      <c r="BA36" s="3332"/>
      <c r="BB36" s="3332"/>
      <c r="BC36" s="3332"/>
      <c r="BD36" s="3332"/>
      <c r="BE36" s="3332"/>
      <c r="BF36" s="3332"/>
      <c r="BG36" s="3332"/>
      <c r="BH36" s="3332"/>
      <c r="BI36" s="3332"/>
      <c r="BJ36" s="3332"/>
      <c r="BK36" s="3332"/>
      <c r="BL36" s="3332"/>
      <c r="BM36" s="3332"/>
      <c r="BN36" s="3332"/>
      <c r="BO36" s="3332"/>
      <c r="BP36" s="3332"/>
      <c r="BQ36" s="3332">
        <v>1</v>
      </c>
      <c r="BR36" s="3332"/>
      <c r="BS36" s="3332"/>
      <c r="BT36" s="3332"/>
      <c r="BU36" s="3332"/>
      <c r="BV36" s="3332"/>
      <c r="BW36" s="3332"/>
      <c r="BX36" s="3332"/>
      <c r="BY36" s="3332"/>
      <c r="BZ36" s="3332"/>
      <c r="CA36" s="3332"/>
      <c r="CB36" s="3332"/>
      <c r="CC36" s="3332"/>
      <c r="CD36" s="3332"/>
      <c r="CE36" s="3332"/>
      <c r="CF36" s="3332">
        <f t="shared" si="1"/>
        <v>1</v>
      </c>
    </row>
    <row r="37" spans="1:84" s="963" customFormat="1" ht="37.5" customHeight="1">
      <c r="A37" s="107" t="s">
        <v>3698</v>
      </c>
      <c r="B37" s="961"/>
      <c r="C37" s="107" t="s">
        <v>4552</v>
      </c>
      <c r="D37" s="982" t="s">
        <v>85</v>
      </c>
      <c r="E37" s="982" t="s">
        <v>85</v>
      </c>
      <c r="F37" s="956" t="s">
        <v>126</v>
      </c>
      <c r="G37" s="178">
        <v>1</v>
      </c>
      <c r="H37" s="2504">
        <v>100000</v>
      </c>
      <c r="I37" s="957">
        <f t="shared" si="12"/>
        <v>1</v>
      </c>
      <c r="J37" s="2313">
        <v>7</v>
      </c>
      <c r="K37" s="2978">
        <f t="shared" si="13"/>
        <v>7</v>
      </c>
      <c r="L37" s="2256" t="s">
        <v>5346</v>
      </c>
      <c r="M37" s="107" t="str">
        <f>'Ab1. RMNCH+A'!Q110</f>
        <v>Ongoing Activity:Rs. 7 lakh is approved for operational cost for 7 Paediatric HDUs @ Rs. 1 lakh for each unit for RH Bilaspur, RH Hamirpur, ZH Dharamshala, RH Reckong peo, RH Kullu, RH Solan and RH Una.The State to ensure all the financial expenditure as per GoI strengthening Paediatric services guideline and book expenditure as per actual.</v>
      </c>
      <c r="N37" s="3639">
        <f>'Ab1. RMNCH+A'!R110</f>
        <v>7</v>
      </c>
      <c r="O37" s="3331"/>
      <c r="P37" s="3331"/>
      <c r="Q37" s="3331"/>
      <c r="R37" s="3331"/>
      <c r="S37" s="3331"/>
      <c r="T37" s="3331"/>
      <c r="U37" s="3331"/>
      <c r="V37" s="3331"/>
      <c r="W37" s="3331"/>
      <c r="X37" s="3331"/>
      <c r="Y37" s="3331"/>
      <c r="Z37" s="3331"/>
      <c r="AA37" s="3331"/>
      <c r="AB37" s="3331"/>
      <c r="AC37" s="3331"/>
      <c r="AD37" s="3331"/>
      <c r="AE37" s="3331"/>
      <c r="AF37" s="3331"/>
      <c r="AG37" s="3331"/>
      <c r="AH37" s="3331"/>
      <c r="AI37" s="3331"/>
      <c r="AJ37" s="3331"/>
      <c r="AK37" s="3331"/>
      <c r="AL37" s="3331"/>
      <c r="AM37" s="3331"/>
      <c r="AN37" s="3331"/>
      <c r="AO37" s="3331"/>
      <c r="AP37" s="3331"/>
      <c r="AQ37" s="3331"/>
      <c r="AR37" s="3331"/>
      <c r="AS37" s="3331"/>
      <c r="AT37" s="3331"/>
      <c r="AU37" s="3331"/>
      <c r="AV37" s="3331"/>
      <c r="AW37" s="3331"/>
      <c r="AX37" s="3332"/>
      <c r="AY37" s="3332"/>
      <c r="AZ37" s="3332"/>
      <c r="BA37" s="3332"/>
      <c r="BB37" s="3332"/>
      <c r="BC37" s="3591">
        <v>1</v>
      </c>
      <c r="BD37" s="3332"/>
      <c r="BE37" s="3332"/>
      <c r="BF37" s="3332"/>
      <c r="BG37" s="3332"/>
      <c r="BH37" s="3332"/>
      <c r="BI37" s="3332"/>
      <c r="BJ37" s="3332"/>
      <c r="BK37" s="3332"/>
      <c r="BL37" s="3332"/>
      <c r="BM37" s="3332"/>
      <c r="BN37" s="3591">
        <v>1</v>
      </c>
      <c r="BO37" s="3332"/>
      <c r="BP37" s="3332"/>
      <c r="BQ37" s="3332"/>
      <c r="BR37" s="3591">
        <v>1</v>
      </c>
      <c r="BS37" s="3591">
        <v>1</v>
      </c>
      <c r="BT37" s="3332"/>
      <c r="BU37" s="3591">
        <v>1</v>
      </c>
      <c r="BV37" s="3332"/>
      <c r="BW37" s="3332"/>
      <c r="BX37" s="3332"/>
      <c r="BY37" s="3332"/>
      <c r="BZ37" s="3591">
        <v>1</v>
      </c>
      <c r="CA37" s="3332"/>
      <c r="CB37" s="3591">
        <v>1</v>
      </c>
      <c r="CC37" s="3332"/>
      <c r="CD37" s="3332"/>
      <c r="CE37" s="3332"/>
      <c r="CF37" s="3332">
        <f t="shared" si="1"/>
        <v>7</v>
      </c>
    </row>
    <row r="38" spans="1:84" s="963" customFormat="1" ht="37.5" customHeight="1">
      <c r="A38" s="107" t="s">
        <v>3701</v>
      </c>
      <c r="B38" s="961"/>
      <c r="C38" s="107" t="s">
        <v>5064</v>
      </c>
      <c r="D38" s="982" t="s">
        <v>4219</v>
      </c>
      <c r="E38" s="982" t="s">
        <v>3223</v>
      </c>
      <c r="F38" s="956" t="s">
        <v>3223</v>
      </c>
      <c r="G38" s="2446">
        <v>2</v>
      </c>
      <c r="H38" s="279">
        <v>50000</v>
      </c>
      <c r="I38" s="957">
        <f t="shared" si="12"/>
        <v>0.5</v>
      </c>
      <c r="J38" s="279">
        <v>2</v>
      </c>
      <c r="K38" s="2978">
        <f t="shared" si="13"/>
        <v>1</v>
      </c>
      <c r="L38" s="2523" t="s">
        <v>5283</v>
      </c>
      <c r="M38" s="107" t="str">
        <f>'Abs12. NVHCP'!Q8</f>
        <v>Recommended for Approval Rs 1 lakh for 02 MTC as per norms under NVHCP</v>
      </c>
      <c r="N38" s="3639">
        <f>'Abs12. NVHCP'!R8</f>
        <v>1</v>
      </c>
      <c r="O38" s="3331"/>
      <c r="P38" s="3331"/>
      <c r="Q38" s="3331"/>
      <c r="R38" s="3331"/>
      <c r="S38" s="3331"/>
      <c r="T38" s="3331"/>
      <c r="U38" s="3331"/>
      <c r="V38" s="3331"/>
      <c r="W38" s="3331"/>
      <c r="X38" s="3331"/>
      <c r="Y38" s="3331"/>
      <c r="Z38" s="3331"/>
      <c r="AA38" s="3331"/>
      <c r="AB38" s="3331"/>
      <c r="AC38" s="3331"/>
      <c r="AD38" s="3331"/>
      <c r="AE38" s="3331"/>
      <c r="AF38" s="3331"/>
      <c r="AG38" s="3331"/>
      <c r="AH38" s="3331"/>
      <c r="AI38" s="3331"/>
      <c r="AJ38" s="3331"/>
      <c r="AK38" s="3331"/>
      <c r="AL38" s="3331"/>
      <c r="AM38" s="3331"/>
      <c r="AN38" s="3331"/>
      <c r="AO38" s="3331"/>
      <c r="AP38" s="3331"/>
      <c r="AQ38" s="3331"/>
      <c r="AR38" s="3331"/>
      <c r="AS38" s="3331"/>
      <c r="AT38" s="3331"/>
      <c r="AU38" s="3331"/>
      <c r="AV38" s="3331"/>
      <c r="AW38" s="3331"/>
      <c r="AX38" s="3332"/>
      <c r="AY38" s="3332"/>
      <c r="AZ38" s="3332"/>
      <c r="BA38" s="3332"/>
      <c r="BB38" s="3332"/>
      <c r="BC38" s="3332"/>
      <c r="BD38" s="3332"/>
      <c r="BE38" s="3332"/>
      <c r="BF38" s="3332"/>
      <c r="BG38" s="3332"/>
      <c r="BH38" s="3332"/>
      <c r="BI38" s="3332"/>
      <c r="BJ38" s="3332"/>
      <c r="BK38" s="3332">
        <v>0.5</v>
      </c>
      <c r="BL38" s="3332">
        <v>0.5</v>
      </c>
      <c r="BM38" s="3332"/>
      <c r="BN38" s="3332"/>
      <c r="BO38" s="3332"/>
      <c r="BP38" s="3332"/>
      <c r="BQ38" s="3332"/>
      <c r="BR38" s="3332"/>
      <c r="BS38" s="3332"/>
      <c r="BT38" s="3332"/>
      <c r="BU38" s="3332"/>
      <c r="BV38" s="3332"/>
      <c r="BW38" s="3332"/>
      <c r="BX38" s="3332"/>
      <c r="BY38" s="3332"/>
      <c r="BZ38" s="3332"/>
      <c r="CA38" s="3332"/>
      <c r="CB38" s="3332"/>
      <c r="CC38" s="3332"/>
      <c r="CD38" s="3332"/>
      <c r="CE38" s="3332"/>
      <c r="CF38" s="3332">
        <f t="shared" si="1"/>
        <v>1</v>
      </c>
    </row>
    <row r="39" spans="1:84" s="963" customFormat="1" ht="37.5" customHeight="1">
      <c r="A39" s="107" t="s">
        <v>3702</v>
      </c>
      <c r="B39" s="961"/>
      <c r="C39" s="107" t="s">
        <v>5065</v>
      </c>
      <c r="D39" s="982" t="s">
        <v>4219</v>
      </c>
      <c r="E39" s="982" t="s">
        <v>3223</v>
      </c>
      <c r="F39" s="956" t="s">
        <v>3223</v>
      </c>
      <c r="G39" s="2446">
        <v>2</v>
      </c>
      <c r="H39" s="245">
        <v>50000</v>
      </c>
      <c r="I39" s="957">
        <f t="shared" si="12"/>
        <v>0.5</v>
      </c>
      <c r="J39" s="245">
        <v>2</v>
      </c>
      <c r="K39" s="2978">
        <f t="shared" si="13"/>
        <v>1</v>
      </c>
      <c r="L39" s="81" t="s">
        <v>5284</v>
      </c>
      <c r="M39" s="107" t="str">
        <f>'Abs12. NVHCP'!Q9</f>
        <v>Recommended for approval of Rs 1 lakh  for 02 MTC for management of Hepatitis A &amp; E as per norms under NVHCP</v>
      </c>
      <c r="N39" s="3639">
        <f>'Abs12. NVHCP'!R9</f>
        <v>1</v>
      </c>
      <c r="O39" s="3331"/>
      <c r="P39" s="3331"/>
      <c r="Q39" s="3331"/>
      <c r="R39" s="3331"/>
      <c r="S39" s="3331"/>
      <c r="T39" s="3331"/>
      <c r="U39" s="3331"/>
      <c r="V39" s="3331"/>
      <c r="W39" s="3331"/>
      <c r="X39" s="3331"/>
      <c r="Y39" s="3331"/>
      <c r="Z39" s="3331"/>
      <c r="AA39" s="3331"/>
      <c r="AB39" s="3331"/>
      <c r="AC39" s="3331"/>
      <c r="AD39" s="3331"/>
      <c r="AE39" s="3331"/>
      <c r="AF39" s="3331"/>
      <c r="AG39" s="3331"/>
      <c r="AH39" s="3331"/>
      <c r="AI39" s="3331"/>
      <c r="AJ39" s="3331"/>
      <c r="AK39" s="3331"/>
      <c r="AL39" s="3331"/>
      <c r="AM39" s="3331"/>
      <c r="AN39" s="3331"/>
      <c r="AO39" s="3331"/>
      <c r="AP39" s="3331"/>
      <c r="AQ39" s="3331"/>
      <c r="AR39" s="3331"/>
      <c r="AS39" s="3331"/>
      <c r="AT39" s="3331"/>
      <c r="AU39" s="3331"/>
      <c r="AV39" s="3331"/>
      <c r="AW39" s="3331"/>
      <c r="AX39" s="3332"/>
      <c r="AY39" s="3332"/>
      <c r="AZ39" s="3332"/>
      <c r="BA39" s="3332"/>
      <c r="BB39" s="3332"/>
      <c r="BC39" s="3332"/>
      <c r="BD39" s="3332"/>
      <c r="BE39" s="3332"/>
      <c r="BF39" s="3332"/>
      <c r="BG39" s="3332"/>
      <c r="BH39" s="3332"/>
      <c r="BI39" s="3332"/>
      <c r="BJ39" s="3332"/>
      <c r="BK39" s="3332">
        <v>0.5</v>
      </c>
      <c r="BL39" s="3332">
        <v>0.5</v>
      </c>
      <c r="BM39" s="3332"/>
      <c r="BN39" s="3332"/>
      <c r="BO39" s="3332"/>
      <c r="BP39" s="3332"/>
      <c r="BQ39" s="3332"/>
      <c r="BR39" s="3332"/>
      <c r="BS39" s="3332"/>
      <c r="BT39" s="3332"/>
      <c r="BU39" s="3332"/>
      <c r="BV39" s="3332"/>
      <c r="BW39" s="3332"/>
      <c r="BX39" s="3332"/>
      <c r="BY39" s="3332"/>
      <c r="BZ39" s="3332"/>
      <c r="CA39" s="3332"/>
      <c r="CB39" s="3332"/>
      <c r="CC39" s="3332"/>
      <c r="CD39" s="3332"/>
      <c r="CE39" s="3332"/>
      <c r="CF39" s="3332">
        <f t="shared" si="1"/>
        <v>1</v>
      </c>
    </row>
    <row r="40" spans="1:84" s="963" customFormat="1" ht="37.5" customHeight="1">
      <c r="A40" s="107" t="s">
        <v>3747</v>
      </c>
      <c r="B40" s="961"/>
      <c r="C40" s="107" t="s">
        <v>5066</v>
      </c>
      <c r="D40" s="982" t="s">
        <v>4219</v>
      </c>
      <c r="E40" s="982" t="s">
        <v>3223</v>
      </c>
      <c r="F40" s="956" t="s">
        <v>3223</v>
      </c>
      <c r="G40" s="2446">
        <v>12</v>
      </c>
      <c r="H40" s="279">
        <v>20000</v>
      </c>
      <c r="I40" s="957">
        <f t="shared" si="12"/>
        <v>0.2</v>
      </c>
      <c r="J40" s="279">
        <v>12</v>
      </c>
      <c r="K40" s="2978">
        <f t="shared" si="13"/>
        <v>2.4000000000000004</v>
      </c>
      <c r="L40" s="2523" t="s">
        <v>5285</v>
      </c>
      <c r="M40" s="107" t="str">
        <f>'Abs12. NVHCP'!Q10</f>
        <v>Recommended  for approval of Rs 2.4 lakhs for meeting costs /office expenses /Contigency at TC as per norms under NVHCP</v>
      </c>
      <c r="N40" s="3639">
        <f>'Abs12. NVHCP'!R10</f>
        <v>2.4</v>
      </c>
      <c r="O40" s="3331"/>
      <c r="P40" s="3331"/>
      <c r="Q40" s="3331"/>
      <c r="R40" s="3331"/>
      <c r="S40" s="3331"/>
      <c r="T40" s="3331"/>
      <c r="U40" s="3331"/>
      <c r="V40" s="3331"/>
      <c r="W40" s="3331"/>
      <c r="X40" s="3331"/>
      <c r="Y40" s="3331"/>
      <c r="Z40" s="3331"/>
      <c r="AA40" s="3331"/>
      <c r="AB40" s="3331"/>
      <c r="AC40" s="3331"/>
      <c r="AD40" s="3331"/>
      <c r="AE40" s="3331"/>
      <c r="AF40" s="3331"/>
      <c r="AG40" s="3331"/>
      <c r="AH40" s="3331"/>
      <c r="AI40" s="3331"/>
      <c r="AJ40" s="3331"/>
      <c r="AK40" s="3331"/>
      <c r="AL40" s="3331"/>
      <c r="AM40" s="3331"/>
      <c r="AN40" s="3331"/>
      <c r="AO40" s="3331"/>
      <c r="AP40" s="3331"/>
      <c r="AQ40" s="3331"/>
      <c r="AR40" s="3331"/>
      <c r="AS40" s="3331"/>
      <c r="AT40" s="3331"/>
      <c r="AU40" s="3331"/>
      <c r="AV40" s="3331"/>
      <c r="AW40" s="3331"/>
      <c r="AX40" s="3332"/>
      <c r="AY40" s="3332"/>
      <c r="AZ40" s="3332"/>
      <c r="BA40" s="3332"/>
      <c r="BB40" s="3332"/>
      <c r="BC40" s="3332">
        <v>0.2</v>
      </c>
      <c r="BD40" s="3332"/>
      <c r="BE40" s="3332">
        <v>0.2</v>
      </c>
      <c r="BF40" s="3332"/>
      <c r="BG40" s="3332"/>
      <c r="BH40" s="3332"/>
      <c r="BI40" s="3332"/>
      <c r="BJ40" s="3332"/>
      <c r="BK40" s="3332"/>
      <c r="BL40" s="3332"/>
      <c r="BM40" s="3332">
        <v>0.2</v>
      </c>
      <c r="BN40" s="3332">
        <v>0.2</v>
      </c>
      <c r="BO40" s="3332"/>
      <c r="BP40" s="3332">
        <v>0.2</v>
      </c>
      <c r="BQ40" s="3332"/>
      <c r="BR40" s="3332">
        <v>0.2</v>
      </c>
      <c r="BS40" s="3332">
        <v>0.2</v>
      </c>
      <c r="BT40" s="3332"/>
      <c r="BU40" s="3332">
        <v>0.2</v>
      </c>
      <c r="BV40" s="3332">
        <v>0.2</v>
      </c>
      <c r="BW40" s="3332">
        <v>0.2</v>
      </c>
      <c r="BX40" s="3332"/>
      <c r="BY40" s="3332"/>
      <c r="BZ40" s="3332">
        <v>0.2</v>
      </c>
      <c r="CA40" s="3332"/>
      <c r="CB40" s="3332">
        <v>0.2</v>
      </c>
      <c r="CC40" s="3332"/>
      <c r="CD40" s="3332"/>
      <c r="CE40" s="3332"/>
      <c r="CF40" s="3332">
        <f t="shared" si="1"/>
        <v>2.4</v>
      </c>
    </row>
    <row r="41" spans="1:84" s="963" customFormat="1" ht="37.5" customHeight="1">
      <c r="A41" s="107" t="s">
        <v>3748</v>
      </c>
      <c r="B41" s="961"/>
      <c r="C41" s="107" t="s">
        <v>5067</v>
      </c>
      <c r="D41" s="982" t="s">
        <v>4219</v>
      </c>
      <c r="E41" s="982" t="s">
        <v>3223</v>
      </c>
      <c r="F41" s="956" t="s">
        <v>3223</v>
      </c>
      <c r="G41" s="2446">
        <v>12</v>
      </c>
      <c r="H41" s="279">
        <v>30000</v>
      </c>
      <c r="I41" s="957">
        <f t="shared" si="12"/>
        <v>0.3</v>
      </c>
      <c r="J41" s="279">
        <v>12</v>
      </c>
      <c r="K41" s="2978">
        <f t="shared" si="13"/>
        <v>3.5999999999999996</v>
      </c>
      <c r="L41" s="2523" t="s">
        <v>5286</v>
      </c>
      <c r="M41" s="107" t="str">
        <f>'Abs12. NVHCP'!Q11</f>
        <v>Recommended for approval for Rs 3.6 lakhs for management of Hep A &amp;E at TC as per norms under NVHCP</v>
      </c>
      <c r="N41" s="3639">
        <f>'Abs12. NVHCP'!R11</f>
        <v>3.6</v>
      </c>
      <c r="O41" s="3331"/>
      <c r="P41" s="3331"/>
      <c r="Q41" s="3331"/>
      <c r="R41" s="3331"/>
      <c r="S41" s="3331"/>
      <c r="T41" s="3331"/>
      <c r="U41" s="3331"/>
      <c r="V41" s="3331"/>
      <c r="W41" s="3331"/>
      <c r="X41" s="3331"/>
      <c r="Y41" s="3331"/>
      <c r="Z41" s="3331"/>
      <c r="AA41" s="3331"/>
      <c r="AB41" s="3331"/>
      <c r="AC41" s="3331"/>
      <c r="AD41" s="3331"/>
      <c r="AE41" s="3331"/>
      <c r="AF41" s="3331"/>
      <c r="AG41" s="3331"/>
      <c r="AH41" s="3331"/>
      <c r="AI41" s="3331"/>
      <c r="AJ41" s="3331"/>
      <c r="AK41" s="3331"/>
      <c r="AL41" s="3331"/>
      <c r="AM41" s="3331"/>
      <c r="AN41" s="3331"/>
      <c r="AO41" s="3331"/>
      <c r="AP41" s="3331"/>
      <c r="AQ41" s="3331"/>
      <c r="AR41" s="3331"/>
      <c r="AS41" s="3331"/>
      <c r="AT41" s="3331"/>
      <c r="AU41" s="3331"/>
      <c r="AV41" s="3331"/>
      <c r="AW41" s="3331"/>
      <c r="AX41" s="3332">
        <v>3.6</v>
      </c>
      <c r="AY41" s="3332"/>
      <c r="AZ41" s="3332"/>
      <c r="BA41" s="3332"/>
      <c r="BB41" s="3332"/>
      <c r="BC41" s="3332"/>
      <c r="BD41" s="3332"/>
      <c r="BE41" s="3332"/>
      <c r="BF41" s="3332"/>
      <c r="BG41" s="3332"/>
      <c r="BH41" s="3332"/>
      <c r="BI41" s="3332"/>
      <c r="BJ41" s="3332"/>
      <c r="BK41" s="3332"/>
      <c r="BL41" s="3332"/>
      <c r="BM41" s="3332"/>
      <c r="BN41" s="3332"/>
      <c r="BO41" s="3332"/>
      <c r="BP41" s="3332"/>
      <c r="BQ41" s="3332"/>
      <c r="BR41" s="3332"/>
      <c r="BS41" s="3332"/>
      <c r="BT41" s="3332"/>
      <c r="BU41" s="3332"/>
      <c r="BV41" s="3332"/>
      <c r="BW41" s="3332"/>
      <c r="BX41" s="3332"/>
      <c r="BY41" s="3332"/>
      <c r="BZ41" s="3332"/>
      <c r="CA41" s="3332"/>
      <c r="CB41" s="3332"/>
      <c r="CC41" s="3332"/>
      <c r="CD41" s="3332"/>
      <c r="CE41" s="3332"/>
      <c r="CF41" s="3332">
        <f t="shared" si="1"/>
        <v>3.6</v>
      </c>
    </row>
    <row r="42" spans="1:84" s="963" customFormat="1" ht="37.5" customHeight="1">
      <c r="A42" s="107" t="s">
        <v>3704</v>
      </c>
      <c r="B42" s="961"/>
      <c r="C42" s="3438" t="s">
        <v>4462</v>
      </c>
      <c r="D42" s="982" t="s">
        <v>85</v>
      </c>
      <c r="E42" s="982" t="s">
        <v>85</v>
      </c>
      <c r="F42" s="956" t="s">
        <v>188</v>
      </c>
      <c r="G42" s="178"/>
      <c r="H42" s="2448">
        <v>110000</v>
      </c>
      <c r="I42" s="957">
        <f>H42/100000</f>
        <v>1.1000000000000001</v>
      </c>
      <c r="J42" s="2313">
        <v>3</v>
      </c>
      <c r="K42" s="2978">
        <f>J42*I42</f>
        <v>3.3000000000000003</v>
      </c>
      <c r="L42" s="2256" t="s">
        <v>5226</v>
      </c>
      <c r="M42" s="107" t="str">
        <f>'Ab1. RMNCH+A'!Q293</f>
        <v>New activityRecommended for approval of Rs 3.3 lakhs for establishment of 3 District level Adolescent Friendly Health Resource Centres at ZH Shimla, RH Chamba and ZH Mandi.</v>
      </c>
      <c r="N42" s="3639">
        <f>'Ab1. RMNCH+A'!R293</f>
        <v>3.3</v>
      </c>
      <c r="O42" s="3331"/>
      <c r="P42" s="3331"/>
      <c r="Q42" s="3331"/>
      <c r="R42" s="3331"/>
      <c r="S42" s="3331"/>
      <c r="T42" s="3331"/>
      <c r="U42" s="3331"/>
      <c r="V42" s="3331"/>
      <c r="W42" s="3331"/>
      <c r="X42" s="3331"/>
      <c r="Y42" s="3331"/>
      <c r="Z42" s="3331"/>
      <c r="AA42" s="3331"/>
      <c r="AB42" s="3331"/>
      <c r="AC42" s="3331"/>
      <c r="AD42" s="3331"/>
      <c r="AE42" s="3331"/>
      <c r="AF42" s="3331"/>
      <c r="AG42" s="3331"/>
      <c r="AH42" s="3331"/>
      <c r="AI42" s="3331"/>
      <c r="AJ42" s="3331"/>
      <c r="AK42" s="3331"/>
      <c r="AL42" s="3331"/>
      <c r="AM42" s="3331"/>
      <c r="AN42" s="3331"/>
      <c r="AO42" s="3331"/>
      <c r="AP42" s="3331"/>
      <c r="AQ42" s="3331"/>
      <c r="AR42" s="3331"/>
      <c r="AS42" s="3331"/>
      <c r="AT42" s="3331"/>
      <c r="AU42" s="3331"/>
      <c r="AV42" s="3331"/>
      <c r="AW42" s="3331"/>
      <c r="AX42" s="3332">
        <v>3.3</v>
      </c>
      <c r="AY42" s="3332"/>
      <c r="AZ42" s="3332"/>
      <c r="BA42" s="3332"/>
      <c r="BB42" s="3332"/>
      <c r="BC42" s="3332"/>
      <c r="BD42" s="3332"/>
      <c r="BE42" s="3332"/>
      <c r="BF42" s="3332"/>
      <c r="BG42" s="3332"/>
      <c r="BH42" s="3332"/>
      <c r="BI42" s="3332"/>
      <c r="BJ42" s="3332"/>
      <c r="BK42" s="3332"/>
      <c r="BL42" s="3332"/>
      <c r="BM42" s="3332"/>
      <c r="BN42" s="3332"/>
      <c r="BO42" s="3332"/>
      <c r="BP42" s="3332"/>
      <c r="BQ42" s="3332"/>
      <c r="BR42" s="3332"/>
      <c r="BS42" s="3332"/>
      <c r="BT42" s="3332"/>
      <c r="BU42" s="3332"/>
      <c r="BV42" s="3332"/>
      <c r="BW42" s="3332"/>
      <c r="BX42" s="3332"/>
      <c r="BY42" s="3332"/>
      <c r="BZ42" s="3332"/>
      <c r="CA42" s="3332"/>
      <c r="CB42" s="3332"/>
      <c r="CC42" s="3332"/>
      <c r="CD42" s="3332"/>
      <c r="CE42" s="3332"/>
      <c r="CF42" s="3332">
        <f t="shared" si="1"/>
        <v>3.3</v>
      </c>
    </row>
    <row r="43" spans="1:84" s="963" customFormat="1" ht="37.5" customHeight="1">
      <c r="A43" s="107" t="s">
        <v>2077</v>
      </c>
      <c r="B43" s="948" t="s">
        <v>2078</v>
      </c>
      <c r="C43" s="948" t="s">
        <v>2079</v>
      </c>
      <c r="D43" s="982" t="s">
        <v>85</v>
      </c>
      <c r="E43" s="982" t="s">
        <v>200</v>
      </c>
      <c r="F43" s="956" t="s">
        <v>200</v>
      </c>
      <c r="G43" s="178">
        <v>1</v>
      </c>
      <c r="H43" s="2520">
        <v>12000</v>
      </c>
      <c r="I43" s="957">
        <f t="shared" ref="I43" si="14">H43/100000</f>
        <v>0.12</v>
      </c>
      <c r="J43" s="2313">
        <v>12</v>
      </c>
      <c r="K43" s="2978">
        <f t="shared" ref="K43" si="15">J43*I43</f>
        <v>1.44</v>
      </c>
      <c r="L43" s="2256" t="s">
        <v>5399</v>
      </c>
      <c r="M43" s="107" t="str">
        <f>'Ab1. RMNCH+A'!Q396</f>
        <v>Recommended for approval of Rs.1.44 lakhs as per norms @ Rs.1000/month/District for 12 Districts</v>
      </c>
      <c r="N43" s="3639">
        <f>'Ab1. RMNCH+A'!R396</f>
        <v>1.44</v>
      </c>
      <c r="O43" s="3648">
        <f>N43</f>
        <v>1.44</v>
      </c>
      <c r="P43" s="3331"/>
      <c r="Q43" s="3331"/>
      <c r="R43" s="3331"/>
      <c r="S43" s="3331"/>
      <c r="T43" s="3331"/>
      <c r="U43" s="3331"/>
      <c r="V43" s="3331"/>
      <c r="W43" s="3331"/>
      <c r="X43" s="3331"/>
      <c r="Y43" s="3331"/>
      <c r="Z43" s="3331"/>
      <c r="AA43" s="3331"/>
      <c r="AB43" s="3331"/>
      <c r="AC43" s="3331"/>
      <c r="AD43" s="3331"/>
      <c r="AE43" s="3331"/>
      <c r="AF43" s="3331"/>
      <c r="AG43" s="3331"/>
      <c r="AH43" s="3331"/>
      <c r="AI43" s="3331"/>
      <c r="AJ43" s="3331"/>
      <c r="AK43" s="3331"/>
      <c r="AL43" s="3331"/>
      <c r="AM43" s="3331"/>
      <c r="AN43" s="3331"/>
      <c r="AO43" s="3331"/>
      <c r="AP43" s="3331"/>
      <c r="AQ43" s="3331"/>
      <c r="AR43" s="3331"/>
      <c r="AS43" s="3331"/>
      <c r="AT43" s="3331"/>
      <c r="AU43" s="3331"/>
      <c r="AV43" s="3331"/>
      <c r="AW43" s="3331"/>
      <c r="AX43" s="3332"/>
      <c r="AY43" s="3332">
        <v>0.12</v>
      </c>
      <c r="AZ43" s="3332">
        <v>0.12</v>
      </c>
      <c r="BA43" s="3332">
        <v>0.12</v>
      </c>
      <c r="BB43" s="3332">
        <v>0.12</v>
      </c>
      <c r="BC43" s="3332">
        <v>0.12</v>
      </c>
      <c r="BD43" s="3332">
        <v>0.12</v>
      </c>
      <c r="BE43" s="3332">
        <v>0.12</v>
      </c>
      <c r="BF43" s="3332">
        <v>0.12</v>
      </c>
      <c r="BG43" s="3332">
        <v>0.12</v>
      </c>
      <c r="BH43" s="3332">
        <v>0.12</v>
      </c>
      <c r="BI43" s="3332">
        <v>0.12</v>
      </c>
      <c r="BJ43" s="3332">
        <v>0.12</v>
      </c>
      <c r="BK43" s="3332"/>
      <c r="BL43" s="3332"/>
      <c r="BM43" s="3332"/>
      <c r="BN43" s="3332"/>
      <c r="BO43" s="3332"/>
      <c r="BP43" s="3332"/>
      <c r="BQ43" s="3332"/>
      <c r="BR43" s="3332"/>
      <c r="BS43" s="3332"/>
      <c r="BT43" s="3332"/>
      <c r="BU43" s="3332"/>
      <c r="BV43" s="3332"/>
      <c r="BW43" s="3332"/>
      <c r="BX43" s="3332"/>
      <c r="BY43" s="3332"/>
      <c r="BZ43" s="3332"/>
      <c r="CA43" s="3332"/>
      <c r="CB43" s="3332"/>
      <c r="CC43" s="3332"/>
      <c r="CD43" s="3332"/>
      <c r="CE43" s="3332"/>
      <c r="CF43" s="3332">
        <f t="shared" si="1"/>
        <v>1.4400000000000004</v>
      </c>
    </row>
    <row r="44" spans="1:84" ht="37.5" customHeight="1">
      <c r="A44" s="1001" t="s">
        <v>66</v>
      </c>
      <c r="B44" s="1004" t="s">
        <v>67</v>
      </c>
      <c r="C44" s="1004" t="s">
        <v>68</v>
      </c>
      <c r="D44" s="982" t="s">
        <v>65</v>
      </c>
      <c r="E44" s="982" t="s">
        <v>65</v>
      </c>
      <c r="F44" s="2309" t="s">
        <v>4541</v>
      </c>
      <c r="G44" s="2656">
        <v>1</v>
      </c>
      <c r="H44" s="2312">
        <v>1580833.33</v>
      </c>
      <c r="I44" s="957">
        <f>H44/100000</f>
        <v>15.808333300000001</v>
      </c>
      <c r="J44" s="2313">
        <v>12</v>
      </c>
      <c r="K44" s="2978">
        <f>I44*J44</f>
        <v>189.69999960000001</v>
      </c>
      <c r="L44" s="2835" t="s">
        <v>5161</v>
      </c>
      <c r="M44" s="2315" t="s">
        <v>5770</v>
      </c>
      <c r="N44" s="3669">
        <v>189.7</v>
      </c>
      <c r="O44" s="3594"/>
      <c r="P44" s="3594"/>
      <c r="Q44" s="3594"/>
      <c r="R44" s="3594"/>
      <c r="S44" s="3594"/>
      <c r="T44" s="3594"/>
      <c r="U44" s="3594"/>
      <c r="V44" s="3594"/>
      <c r="W44" s="3594"/>
      <c r="X44" s="3594"/>
      <c r="Y44" s="3594"/>
      <c r="Z44" s="3594"/>
      <c r="AA44" s="3594"/>
      <c r="AB44" s="3594"/>
      <c r="AC44" s="3594"/>
      <c r="AD44" s="3594"/>
      <c r="AE44" s="3594"/>
      <c r="AF44" s="3594"/>
      <c r="AG44" s="3594"/>
      <c r="AH44" s="3594"/>
      <c r="AI44" s="3594"/>
      <c r="AJ44" s="3594"/>
      <c r="AK44" s="3594"/>
      <c r="AL44" s="3594"/>
      <c r="AM44" s="3594"/>
      <c r="AN44" s="3594"/>
      <c r="AO44" s="3594"/>
      <c r="AP44" s="3594"/>
      <c r="AQ44" s="3594"/>
      <c r="AR44" s="3594"/>
      <c r="AS44" s="3594"/>
      <c r="AT44" s="3594"/>
      <c r="AU44" s="3594"/>
      <c r="AV44" s="3594"/>
      <c r="AW44" s="3594"/>
      <c r="AX44" s="3593">
        <v>189.7</v>
      </c>
      <c r="AY44" s="3593"/>
      <c r="AZ44" s="3593"/>
      <c r="BA44" s="3593">
        <v>0</v>
      </c>
      <c r="BB44" s="3593"/>
      <c r="BC44" s="3593"/>
      <c r="BD44" s="3593"/>
      <c r="BE44" s="3593"/>
      <c r="BF44" s="3593"/>
      <c r="BG44" s="3593"/>
      <c r="BH44" s="3593"/>
      <c r="BI44" s="3593"/>
      <c r="BJ44" s="3593">
        <v>0</v>
      </c>
      <c r="BK44" s="3593"/>
      <c r="BL44" s="3593"/>
      <c r="BM44" s="3593"/>
      <c r="BN44" s="3593"/>
      <c r="BO44" s="3592"/>
      <c r="BP44" s="3592"/>
      <c r="BQ44" s="3592"/>
      <c r="BR44" s="3592"/>
      <c r="BS44" s="3592"/>
      <c r="BT44" s="3592"/>
      <c r="BU44" s="3592"/>
      <c r="BV44" s="3592"/>
      <c r="BW44" s="3592"/>
      <c r="BX44" s="3592"/>
      <c r="BY44" s="3592"/>
      <c r="BZ44" s="3592"/>
      <c r="CA44" s="3592"/>
      <c r="CB44" s="3592"/>
      <c r="CC44" s="3592"/>
      <c r="CD44" s="3592"/>
      <c r="CE44" s="3592"/>
      <c r="CF44" s="3592">
        <f t="shared" si="1"/>
        <v>189.7</v>
      </c>
    </row>
    <row r="45" spans="1:84" ht="37.5" customHeight="1">
      <c r="A45" s="1001" t="s">
        <v>82</v>
      </c>
      <c r="B45" s="233" t="s">
        <v>83</v>
      </c>
      <c r="C45" s="233" t="s">
        <v>84</v>
      </c>
      <c r="D45" s="2254" t="s">
        <v>85</v>
      </c>
      <c r="E45" s="2254" t="s">
        <v>85</v>
      </c>
      <c r="F45" s="3730" t="s">
        <v>86</v>
      </c>
      <c r="G45" s="2535">
        <v>1</v>
      </c>
      <c r="H45" s="2536">
        <v>150000</v>
      </c>
      <c r="I45" s="957">
        <f t="shared" ref="I45:I49" si="16">H45/100000</f>
        <v>1.5</v>
      </c>
      <c r="J45" s="2536">
        <v>10</v>
      </c>
      <c r="K45" s="2978">
        <f t="shared" ref="K45:K49" si="17">I45*J45</f>
        <v>15</v>
      </c>
      <c r="L45" s="2537" t="s">
        <v>5323</v>
      </c>
      <c r="M45" s="2257" t="str">
        <f>'Ab1. RMNCH+A'!Q327</f>
        <v>Continued activityRecommended for approval of Rs 198.53 lakhs for trainings of 111 batches of 30 each for HWAs across 6 Districts implementing School Health Program-Ayushman Bharat @ Rs.178860/batch</v>
      </c>
      <c r="N45" s="3642">
        <v>15</v>
      </c>
      <c r="O45" s="3594"/>
      <c r="P45" s="3594"/>
      <c r="Q45" s="3594"/>
      <c r="R45" s="3594"/>
      <c r="S45" s="3594"/>
      <c r="T45" s="3594"/>
      <c r="U45" s="3594"/>
      <c r="V45" s="3594"/>
      <c r="W45" s="3594"/>
      <c r="X45" s="3594"/>
      <c r="Y45" s="3594"/>
      <c r="Z45" s="3594"/>
      <c r="AA45" s="3594"/>
      <c r="AB45" s="3594"/>
      <c r="AC45" s="3594"/>
      <c r="AD45" s="3594"/>
      <c r="AE45" s="3594"/>
      <c r="AF45" s="3594"/>
      <c r="AG45" s="3594"/>
      <c r="AH45" s="3594"/>
      <c r="AI45" s="3594"/>
      <c r="AJ45" s="3594"/>
      <c r="AK45" s="3594"/>
      <c r="AL45" s="3594"/>
      <c r="AM45" s="3594"/>
      <c r="AN45" s="3594"/>
      <c r="AO45" s="3594"/>
      <c r="AP45" s="3594"/>
      <c r="AQ45" s="3594"/>
      <c r="AR45" s="3594"/>
      <c r="AS45" s="3594"/>
      <c r="AT45" s="3594"/>
      <c r="AU45" s="3594"/>
      <c r="AV45" s="3594"/>
      <c r="AW45" s="3594"/>
      <c r="AX45" s="3593"/>
      <c r="AY45" s="3593">
        <v>1.5</v>
      </c>
      <c r="AZ45" s="3593">
        <v>1.5</v>
      </c>
      <c r="BA45" s="3593">
        <v>1.5</v>
      </c>
      <c r="BB45" s="3593">
        <v>2</v>
      </c>
      <c r="BC45" s="3593">
        <v>0.5</v>
      </c>
      <c r="BD45" s="3593">
        <v>1</v>
      </c>
      <c r="BE45" s="3593">
        <v>0.5</v>
      </c>
      <c r="BF45" s="3593">
        <v>1.5</v>
      </c>
      <c r="BG45" s="3593">
        <v>1.5</v>
      </c>
      <c r="BH45" s="3593">
        <v>1</v>
      </c>
      <c r="BI45" s="3593">
        <v>1</v>
      </c>
      <c r="BJ45" s="3593">
        <v>1.5</v>
      </c>
      <c r="BK45" s="3593"/>
      <c r="BL45" s="3593"/>
      <c r="BM45" s="3593"/>
      <c r="BN45" s="3593"/>
      <c r="BO45" s="3593"/>
      <c r="BP45" s="3593"/>
      <c r="BQ45" s="3593"/>
      <c r="BR45" s="3593"/>
      <c r="BS45" s="3593"/>
      <c r="BT45" s="3593"/>
      <c r="BU45" s="3593"/>
      <c r="BV45" s="3593"/>
      <c r="BW45" s="3593"/>
      <c r="BX45" s="3593"/>
      <c r="BY45" s="3593"/>
      <c r="BZ45" s="3593"/>
      <c r="CA45" s="3593"/>
      <c r="CB45" s="3593"/>
      <c r="CC45" s="3593"/>
      <c r="CD45" s="3593"/>
      <c r="CE45" s="3593"/>
      <c r="CF45" s="3592">
        <f t="shared" si="1"/>
        <v>15</v>
      </c>
    </row>
    <row r="46" spans="1:84" ht="37.5" customHeight="1">
      <c r="A46" s="1001" t="s">
        <v>87</v>
      </c>
      <c r="B46" s="233" t="s">
        <v>88</v>
      </c>
      <c r="C46" s="233" t="s">
        <v>3031</v>
      </c>
      <c r="D46" s="2254" t="s">
        <v>85</v>
      </c>
      <c r="E46" s="2254" t="s">
        <v>85</v>
      </c>
      <c r="F46" s="3730" t="s">
        <v>188</v>
      </c>
      <c r="G46" s="231"/>
      <c r="H46" s="2448">
        <f>(900*12*21)+(900*20*6)</f>
        <v>334800</v>
      </c>
      <c r="I46" s="957">
        <f t="shared" si="16"/>
        <v>3.3479999999999999</v>
      </c>
      <c r="J46" s="2313">
        <v>1</v>
      </c>
      <c r="K46" s="2978">
        <f t="shared" si="17"/>
        <v>3.3479999999999999</v>
      </c>
      <c r="L46" s="2256" t="s">
        <v>5227</v>
      </c>
      <c r="M46" s="2257" t="str">
        <f>'Ab1. RMNCH+A'!Q410</f>
        <v>--</v>
      </c>
      <c r="N46" s="3642">
        <v>3.35</v>
      </c>
      <c r="O46" s="3594"/>
      <c r="P46" s="3594"/>
      <c r="Q46" s="3594"/>
      <c r="R46" s="3594"/>
      <c r="S46" s="3594"/>
      <c r="T46" s="3594"/>
      <c r="U46" s="3594"/>
      <c r="V46" s="3594"/>
      <c r="W46" s="3594"/>
      <c r="X46" s="3594"/>
      <c r="Y46" s="3594"/>
      <c r="Z46" s="3594"/>
      <c r="AA46" s="3594"/>
      <c r="AB46" s="3594"/>
      <c r="AC46" s="3594"/>
      <c r="AD46" s="3594"/>
      <c r="AE46" s="3594"/>
      <c r="AF46" s="3594"/>
      <c r="AG46" s="3594"/>
      <c r="AH46" s="3594"/>
      <c r="AI46" s="3594"/>
      <c r="AJ46" s="3594"/>
      <c r="AK46" s="3594"/>
      <c r="AL46" s="3594"/>
      <c r="AM46" s="3594"/>
      <c r="AN46" s="3594"/>
      <c r="AO46" s="3594"/>
      <c r="AP46" s="3594"/>
      <c r="AQ46" s="3594"/>
      <c r="AR46" s="3594"/>
      <c r="AS46" s="3594"/>
      <c r="AT46" s="3594"/>
      <c r="AU46" s="3594"/>
      <c r="AV46" s="3594"/>
      <c r="AW46" s="3594"/>
      <c r="AX46" s="3593">
        <v>1.1499999999999999</v>
      </c>
      <c r="AY46" s="3593">
        <v>0.22</v>
      </c>
      <c r="AZ46" s="3593">
        <v>0.11</v>
      </c>
      <c r="BA46" s="3593">
        <v>0.22</v>
      </c>
      <c r="BB46" s="3593">
        <v>0.22</v>
      </c>
      <c r="BC46" s="3593">
        <v>0.11</v>
      </c>
      <c r="BD46" s="3593">
        <v>0.22</v>
      </c>
      <c r="BE46" s="3593">
        <v>0.11</v>
      </c>
      <c r="BF46" s="3593">
        <v>0.11</v>
      </c>
      <c r="BG46" s="3593">
        <v>0.22</v>
      </c>
      <c r="BH46" s="3593">
        <v>0.22</v>
      </c>
      <c r="BI46" s="3593">
        <v>0.22</v>
      </c>
      <c r="BJ46" s="3593">
        <v>0.22</v>
      </c>
      <c r="BK46" s="3593"/>
      <c r="BL46" s="3593"/>
      <c r="BM46" s="3593"/>
      <c r="BN46" s="3593"/>
      <c r="BO46" s="3593"/>
      <c r="BP46" s="3593"/>
      <c r="BQ46" s="3593"/>
      <c r="BR46" s="3593"/>
      <c r="BS46" s="3593"/>
      <c r="BT46" s="3593"/>
      <c r="BU46" s="3593"/>
      <c r="BV46" s="3593"/>
      <c r="BW46" s="3593"/>
      <c r="BX46" s="3593"/>
      <c r="BY46" s="3593"/>
      <c r="BZ46" s="3593"/>
      <c r="CA46" s="3593"/>
      <c r="CB46" s="3593"/>
      <c r="CC46" s="3593"/>
      <c r="CD46" s="3593"/>
      <c r="CE46" s="3593"/>
      <c r="CF46" s="3592">
        <f t="shared" si="1"/>
        <v>3.3500000000000005</v>
      </c>
    </row>
    <row r="47" spans="1:84" ht="37.5" customHeight="1">
      <c r="A47" s="1001" t="s">
        <v>89</v>
      </c>
      <c r="B47" s="1004" t="s">
        <v>90</v>
      </c>
      <c r="C47" s="1004" t="s">
        <v>2602</v>
      </c>
      <c r="D47" s="2254" t="s">
        <v>85</v>
      </c>
      <c r="E47" s="2254" t="s">
        <v>85</v>
      </c>
      <c r="F47" s="3730" t="s">
        <v>91</v>
      </c>
      <c r="G47" s="243">
        <v>1</v>
      </c>
      <c r="H47" s="2504">
        <v>400000</v>
      </c>
      <c r="I47" s="957">
        <f t="shared" si="16"/>
        <v>4</v>
      </c>
      <c r="J47" s="2504">
        <v>150</v>
      </c>
      <c r="K47" s="2978">
        <f t="shared" si="17"/>
        <v>600</v>
      </c>
      <c r="L47" s="2256" t="s">
        <v>5347</v>
      </c>
      <c r="M47" s="2257" t="str">
        <f>'Ab1. RMNCH+A'!Q464</f>
        <v>--</v>
      </c>
      <c r="N47" s="3642">
        <v>600</v>
      </c>
      <c r="O47" s="3594"/>
      <c r="P47" s="3594"/>
      <c r="Q47" s="3594"/>
      <c r="R47" s="3594"/>
      <c r="S47" s="3594"/>
      <c r="T47" s="3594"/>
      <c r="U47" s="3594"/>
      <c r="V47" s="3594"/>
      <c r="W47" s="3594"/>
      <c r="X47" s="3594"/>
      <c r="Y47" s="3594"/>
      <c r="Z47" s="3594"/>
      <c r="AA47" s="3594"/>
      <c r="AB47" s="3594"/>
      <c r="AC47" s="3594"/>
      <c r="AD47" s="3594"/>
      <c r="AE47" s="3594"/>
      <c r="AF47" s="3594"/>
      <c r="AG47" s="3594"/>
      <c r="AH47" s="3594"/>
      <c r="AI47" s="3594"/>
      <c r="AJ47" s="3594"/>
      <c r="AK47" s="3594"/>
      <c r="AL47" s="3594"/>
      <c r="AM47" s="3594"/>
      <c r="AN47" s="3594"/>
      <c r="AO47" s="3594"/>
      <c r="AP47" s="3594"/>
      <c r="AQ47" s="3594"/>
      <c r="AR47" s="3594"/>
      <c r="AS47" s="3594"/>
      <c r="AT47" s="3594"/>
      <c r="AU47" s="3594"/>
      <c r="AV47" s="3594"/>
      <c r="AW47" s="3594"/>
      <c r="AX47" s="3594"/>
      <c r="AY47" s="3593">
        <v>29.17</v>
      </c>
      <c r="AZ47" s="3593">
        <v>54.17</v>
      </c>
      <c r="BA47" s="3593">
        <v>45.83</v>
      </c>
      <c r="BB47" s="3593">
        <v>133.33000000000001</v>
      </c>
      <c r="BC47" s="3593">
        <v>12.5</v>
      </c>
      <c r="BD47" s="3593">
        <v>37.5</v>
      </c>
      <c r="BE47" s="3593">
        <v>8.33</v>
      </c>
      <c r="BF47" s="3593">
        <v>91.67</v>
      </c>
      <c r="BG47" s="3593">
        <v>58.33</v>
      </c>
      <c r="BH47" s="3593">
        <v>50</v>
      </c>
      <c r="BI47" s="3593">
        <v>37.5</v>
      </c>
      <c r="BJ47" s="3593">
        <v>41.67</v>
      </c>
      <c r="BK47" s="3593"/>
      <c r="BL47" s="3593"/>
      <c r="BM47" s="3593"/>
      <c r="BN47" s="3593"/>
      <c r="BO47" s="3593"/>
      <c r="BP47" s="3593"/>
      <c r="BQ47" s="3593"/>
      <c r="BR47" s="3593"/>
      <c r="BS47" s="3593"/>
      <c r="BT47" s="3593"/>
      <c r="BU47" s="3593"/>
      <c r="BV47" s="3593"/>
      <c r="BW47" s="3593"/>
      <c r="BX47" s="3593"/>
      <c r="BY47" s="3593"/>
      <c r="BZ47" s="3593"/>
      <c r="CA47" s="3593"/>
      <c r="CB47" s="3593"/>
      <c r="CC47" s="3593"/>
      <c r="CD47" s="3593"/>
      <c r="CE47" s="3593"/>
      <c r="CF47" s="3592">
        <f>SUM(AY47:CD47)</f>
        <v>599.99999999999989</v>
      </c>
    </row>
    <row r="48" spans="1:84" ht="37.5" customHeight="1">
      <c r="A48" s="1001" t="s">
        <v>92</v>
      </c>
      <c r="B48" s="1004" t="s">
        <v>2393</v>
      </c>
      <c r="C48" s="1004" t="s">
        <v>2603</v>
      </c>
      <c r="D48" s="2254" t="s">
        <v>85</v>
      </c>
      <c r="E48" s="2254" t="s">
        <v>65</v>
      </c>
      <c r="F48" s="3730" t="s">
        <v>91</v>
      </c>
      <c r="G48" s="243">
        <v>1</v>
      </c>
      <c r="H48" s="2504">
        <v>6000</v>
      </c>
      <c r="I48" s="957">
        <f t="shared" si="16"/>
        <v>0.06</v>
      </c>
      <c r="J48" s="2504">
        <v>150</v>
      </c>
      <c r="K48" s="2978">
        <f t="shared" si="17"/>
        <v>9</v>
      </c>
      <c r="L48" s="2256" t="s">
        <v>5348</v>
      </c>
      <c r="M48" s="2257" t="str">
        <f>'Ab1. RMNCH+A'!Q465</f>
        <v>--</v>
      </c>
      <c r="N48" s="3642">
        <v>9</v>
      </c>
      <c r="O48" s="3594"/>
      <c r="P48" s="3594"/>
      <c r="Q48" s="3594"/>
      <c r="R48" s="3594"/>
      <c r="S48" s="3594"/>
      <c r="T48" s="3594"/>
      <c r="U48" s="3594"/>
      <c r="V48" s="3594"/>
      <c r="W48" s="3594"/>
      <c r="X48" s="3594"/>
      <c r="Y48" s="3594"/>
      <c r="Z48" s="3594"/>
      <c r="AA48" s="3594"/>
      <c r="AB48" s="3594"/>
      <c r="AC48" s="3594"/>
      <c r="AD48" s="3594"/>
      <c r="AE48" s="3594"/>
      <c r="AF48" s="3594"/>
      <c r="AG48" s="3594"/>
      <c r="AH48" s="3594"/>
      <c r="AI48" s="3594"/>
      <c r="AJ48" s="3594"/>
      <c r="AK48" s="3594"/>
      <c r="AL48" s="3594"/>
      <c r="AM48" s="3594"/>
      <c r="AN48" s="3594"/>
      <c r="AO48" s="3594"/>
      <c r="AP48" s="3594"/>
      <c r="AQ48" s="3594"/>
      <c r="AR48" s="3594"/>
      <c r="AS48" s="3594"/>
      <c r="AT48" s="3594"/>
      <c r="AU48" s="3594"/>
      <c r="AV48" s="3594"/>
      <c r="AW48" s="3594"/>
      <c r="AX48" s="3593">
        <v>0.36</v>
      </c>
      <c r="AY48" s="3593">
        <v>0.42</v>
      </c>
      <c r="AZ48" s="3593">
        <v>0.78</v>
      </c>
      <c r="BA48" s="3593">
        <v>0.66</v>
      </c>
      <c r="BB48" s="3593">
        <v>1.92</v>
      </c>
      <c r="BC48" s="3593">
        <v>0.18</v>
      </c>
      <c r="BD48" s="3593">
        <v>0.54</v>
      </c>
      <c r="BE48" s="3593">
        <v>0.12</v>
      </c>
      <c r="BF48" s="3593">
        <v>1.32</v>
      </c>
      <c r="BG48" s="3593">
        <v>0.84</v>
      </c>
      <c r="BH48" s="3593">
        <v>0.72</v>
      </c>
      <c r="BI48" s="3593">
        <v>0.54</v>
      </c>
      <c r="BJ48" s="3593">
        <v>0.6</v>
      </c>
      <c r="BK48" s="3593"/>
      <c r="BL48" s="3593"/>
      <c r="BM48" s="3593"/>
      <c r="BN48" s="3593"/>
      <c r="BO48" s="3593"/>
      <c r="BP48" s="3593"/>
      <c r="BQ48" s="3593"/>
      <c r="BR48" s="3593"/>
      <c r="BS48" s="3593"/>
      <c r="BT48" s="3593"/>
      <c r="BU48" s="3593"/>
      <c r="BV48" s="3593"/>
      <c r="BW48" s="3593"/>
      <c r="BX48" s="3593"/>
      <c r="BY48" s="3593"/>
      <c r="BZ48" s="3593"/>
      <c r="CA48" s="3593"/>
      <c r="CB48" s="3593"/>
      <c r="CC48" s="3593"/>
      <c r="CD48" s="3593"/>
      <c r="CE48" s="3593"/>
      <c r="CF48" s="3592">
        <f t="shared" ref="CF48:CF111" si="18">SUM(AX48:CD48)</f>
        <v>9</v>
      </c>
    </row>
    <row r="49" spans="1:84" ht="37.5" customHeight="1">
      <c r="A49" s="1001" t="s">
        <v>103</v>
      </c>
      <c r="B49" s="1004" t="s">
        <v>101</v>
      </c>
      <c r="C49" s="1004" t="s">
        <v>102</v>
      </c>
      <c r="D49" s="2254" t="s">
        <v>85</v>
      </c>
      <c r="E49" s="2254" t="s">
        <v>6000</v>
      </c>
      <c r="F49" s="1015" t="s">
        <v>200</v>
      </c>
      <c r="G49" s="243">
        <v>1</v>
      </c>
      <c r="H49" s="2520">
        <v>1838</v>
      </c>
      <c r="I49" s="957">
        <f t="shared" si="16"/>
        <v>1.8380000000000001E-2</v>
      </c>
      <c r="J49" s="2313">
        <v>5895</v>
      </c>
      <c r="K49" s="2978">
        <f t="shared" si="17"/>
        <v>108.3501</v>
      </c>
      <c r="L49" s="2256" t="s">
        <v>5400</v>
      </c>
      <c r="M49" s="2257">
        <f>'Ab1. RMNCH+A'!Q515</f>
        <v>0</v>
      </c>
      <c r="N49" s="3642">
        <v>108.35</v>
      </c>
      <c r="O49" s="3594"/>
      <c r="P49" s="3594"/>
      <c r="Q49" s="3594"/>
      <c r="R49" s="3594"/>
      <c r="S49" s="3594"/>
      <c r="T49" s="3594"/>
      <c r="U49" s="3594"/>
      <c r="V49" s="3594"/>
      <c r="W49" s="3594"/>
      <c r="X49" s="3594"/>
      <c r="Y49" s="3594"/>
      <c r="Z49" s="3594"/>
      <c r="AA49" s="3594"/>
      <c r="AB49" s="3594"/>
      <c r="AC49" s="3594"/>
      <c r="AD49" s="3594"/>
      <c r="AE49" s="3594"/>
      <c r="AF49" s="3594"/>
      <c r="AG49" s="3594"/>
      <c r="AH49" s="3594"/>
      <c r="AI49" s="3594"/>
      <c r="AJ49" s="3594"/>
      <c r="AK49" s="3594"/>
      <c r="AL49" s="3594"/>
      <c r="AM49" s="3594"/>
      <c r="AN49" s="3594"/>
      <c r="AO49" s="3594"/>
      <c r="AP49" s="3594"/>
      <c r="AQ49" s="3594"/>
      <c r="AR49" s="3594"/>
      <c r="AS49" s="3594"/>
      <c r="AT49" s="3594"/>
      <c r="AU49" s="3594"/>
      <c r="AV49" s="3594"/>
      <c r="AW49" s="3594"/>
      <c r="AX49" s="3593">
        <v>108.35</v>
      </c>
      <c r="AY49" s="3593"/>
      <c r="AZ49" s="3593"/>
      <c r="BA49" s="3593"/>
      <c r="BB49" s="3593"/>
      <c r="BC49" s="3593"/>
      <c r="BD49" s="3593"/>
      <c r="BE49" s="3593"/>
      <c r="BF49" s="3593"/>
      <c r="BG49" s="3593"/>
      <c r="BH49" s="3593"/>
      <c r="BI49" s="3593"/>
      <c r="BJ49" s="3593"/>
      <c r="BK49" s="3593"/>
      <c r="BL49" s="3593"/>
      <c r="BM49" s="3593"/>
      <c r="BN49" s="3593"/>
      <c r="BO49" s="3593"/>
      <c r="BP49" s="3593"/>
      <c r="BQ49" s="3593"/>
      <c r="BR49" s="3593"/>
      <c r="BS49" s="3593"/>
      <c r="BT49" s="3593"/>
      <c r="BU49" s="3593"/>
      <c r="BV49" s="3593"/>
      <c r="BW49" s="3593"/>
      <c r="BX49" s="3593"/>
      <c r="BY49" s="3593"/>
      <c r="BZ49" s="3593"/>
      <c r="CA49" s="3593"/>
      <c r="CB49" s="3593"/>
      <c r="CC49" s="3593"/>
      <c r="CD49" s="3593"/>
      <c r="CE49" s="3593"/>
      <c r="CF49" s="3592">
        <f t="shared" si="18"/>
        <v>108.35</v>
      </c>
    </row>
    <row r="50" spans="1:84" ht="37.5" customHeight="1">
      <c r="A50" s="1001" t="s">
        <v>4025</v>
      </c>
      <c r="B50" s="1004" t="s">
        <v>118</v>
      </c>
      <c r="C50" s="1004" t="s">
        <v>119</v>
      </c>
      <c r="D50" s="2254" t="s">
        <v>85</v>
      </c>
      <c r="E50" s="2254" t="s">
        <v>85</v>
      </c>
      <c r="F50" s="3730" t="s">
        <v>113</v>
      </c>
      <c r="G50" s="243">
        <v>1</v>
      </c>
      <c r="H50" s="2318">
        <v>1200</v>
      </c>
      <c r="I50" s="957">
        <f t="shared" ref="I50:I54" si="19">H50/100000</f>
        <v>1.2E-2</v>
      </c>
      <c r="J50" s="2318">
        <v>8000</v>
      </c>
      <c r="K50" s="2978">
        <f t="shared" ref="K50:K54" si="20">I50*J50</f>
        <v>96</v>
      </c>
      <c r="L50" s="2256"/>
      <c r="M50" s="2257" t="str">
        <f>'Ab1. RMNCH+A'!Q137</f>
        <v>The State will be provided IFA supplements thorugh central procurement under AMB</v>
      </c>
      <c r="N50" s="3642">
        <v>96</v>
      </c>
      <c r="O50" s="3594"/>
      <c r="P50" s="3594"/>
      <c r="Q50" s="3594"/>
      <c r="R50" s="3594"/>
      <c r="S50" s="3594"/>
      <c r="T50" s="3594"/>
      <c r="U50" s="3594"/>
      <c r="V50" s="3594"/>
      <c r="W50" s="3594"/>
      <c r="X50" s="3594"/>
      <c r="Y50" s="3594"/>
      <c r="Z50" s="3594"/>
      <c r="AA50" s="3594"/>
      <c r="AB50" s="3594"/>
      <c r="AC50" s="3594"/>
      <c r="AD50" s="3594"/>
      <c r="AE50" s="3594"/>
      <c r="AF50" s="3594"/>
      <c r="AG50" s="3594"/>
      <c r="AH50" s="3594"/>
      <c r="AI50" s="3594"/>
      <c r="AJ50" s="3594"/>
      <c r="AK50" s="3594"/>
      <c r="AL50" s="3594"/>
      <c r="AM50" s="3594"/>
      <c r="AN50" s="3594"/>
      <c r="AO50" s="3594"/>
      <c r="AP50" s="3594"/>
      <c r="AQ50" s="3594"/>
      <c r="AR50" s="3594"/>
      <c r="AS50" s="3594"/>
      <c r="AT50" s="3594"/>
      <c r="AU50" s="3594"/>
      <c r="AV50" s="3594"/>
      <c r="AW50" s="3594"/>
      <c r="AX50" s="3593">
        <v>0.42</v>
      </c>
      <c r="AY50" s="3593">
        <v>5.99</v>
      </c>
      <c r="AZ50" s="3593">
        <v>7.21</v>
      </c>
      <c r="BA50" s="3593">
        <v>6.41</v>
      </c>
      <c r="BB50" s="3593">
        <v>21.84</v>
      </c>
      <c r="BC50" s="3593">
        <v>1.28</v>
      </c>
      <c r="BD50" s="3593">
        <v>5.94</v>
      </c>
      <c r="BE50" s="3593">
        <v>0.57999999999999996</v>
      </c>
      <c r="BF50" s="3593">
        <v>15</v>
      </c>
      <c r="BG50" s="3593">
        <v>9.34</v>
      </c>
      <c r="BH50" s="3593">
        <v>7.36</v>
      </c>
      <c r="BI50" s="3593">
        <v>7.36</v>
      </c>
      <c r="BJ50" s="3593">
        <v>7.27</v>
      </c>
      <c r="BK50" s="3593"/>
      <c r="BL50" s="3593"/>
      <c r="BM50" s="3593"/>
      <c r="BN50" s="3593"/>
      <c r="BO50" s="3593"/>
      <c r="BP50" s="3593"/>
      <c r="BQ50" s="3593"/>
      <c r="BR50" s="3593"/>
      <c r="BS50" s="3593"/>
      <c r="BT50" s="3593"/>
      <c r="BU50" s="3593"/>
      <c r="BV50" s="3593"/>
      <c r="BW50" s="3593"/>
      <c r="BX50" s="3593"/>
      <c r="BY50" s="3593"/>
      <c r="BZ50" s="3593"/>
      <c r="CA50" s="3593"/>
      <c r="CB50" s="3593"/>
      <c r="CC50" s="3593"/>
      <c r="CD50" s="3593"/>
      <c r="CE50" s="3593"/>
      <c r="CF50" s="3593">
        <f t="shared" si="18"/>
        <v>96</v>
      </c>
    </row>
    <row r="51" spans="1:84" ht="37.5" customHeight="1">
      <c r="A51" s="1001" t="s">
        <v>2610</v>
      </c>
      <c r="B51" s="233" t="s">
        <v>129</v>
      </c>
      <c r="C51" s="233" t="s">
        <v>130</v>
      </c>
      <c r="D51" s="2254" t="s">
        <v>85</v>
      </c>
      <c r="E51" s="2254" t="s">
        <v>85</v>
      </c>
      <c r="F51" s="3730" t="s">
        <v>188</v>
      </c>
      <c r="G51" s="231"/>
      <c r="H51" s="2448">
        <v>2500</v>
      </c>
      <c r="I51" s="957">
        <f t="shared" si="19"/>
        <v>2.5000000000000001E-2</v>
      </c>
      <c r="J51" s="2313">
        <v>900</v>
      </c>
      <c r="K51" s="2978">
        <f t="shared" si="20"/>
        <v>22.5</v>
      </c>
      <c r="L51" s="2256" t="s">
        <v>5228</v>
      </c>
      <c r="M51" s="2257" t="str">
        <f>'Ab1. RMNCH+A'!Q411</f>
        <v>--</v>
      </c>
      <c r="N51" s="3642">
        <v>22.5</v>
      </c>
      <c r="O51" s="3594"/>
      <c r="P51" s="3594"/>
      <c r="Q51" s="3594"/>
      <c r="R51" s="3594"/>
      <c r="S51" s="3594"/>
      <c r="T51" s="3594"/>
      <c r="U51" s="3594"/>
      <c r="V51" s="3594"/>
      <c r="W51" s="3594"/>
      <c r="X51" s="3594"/>
      <c r="Y51" s="3594"/>
      <c r="Z51" s="3594"/>
      <c r="AA51" s="3594"/>
      <c r="AB51" s="3594"/>
      <c r="AC51" s="3594"/>
      <c r="AD51" s="3594"/>
      <c r="AE51" s="3594"/>
      <c r="AF51" s="3594"/>
      <c r="AG51" s="3594"/>
      <c r="AH51" s="3594"/>
      <c r="AI51" s="3594"/>
      <c r="AJ51" s="3594"/>
      <c r="AK51" s="3594"/>
      <c r="AL51" s="3594"/>
      <c r="AM51" s="3594"/>
      <c r="AN51" s="3594"/>
      <c r="AO51" s="3594"/>
      <c r="AP51" s="3594"/>
      <c r="AQ51" s="3594"/>
      <c r="AR51" s="3594"/>
      <c r="AS51" s="3594"/>
      <c r="AT51" s="3594"/>
      <c r="AU51" s="3594"/>
      <c r="AV51" s="3594"/>
      <c r="AW51" s="3594"/>
      <c r="AX51" s="3593"/>
      <c r="AY51" s="3593">
        <v>0.9</v>
      </c>
      <c r="AZ51" s="3593">
        <v>2.1</v>
      </c>
      <c r="BA51" s="3593">
        <v>1.8</v>
      </c>
      <c r="BB51" s="3593">
        <v>3.9</v>
      </c>
      <c r="BC51" s="3593">
        <v>0.9</v>
      </c>
      <c r="BD51" s="3593">
        <v>1.5</v>
      </c>
      <c r="BE51" s="3593">
        <v>0.6</v>
      </c>
      <c r="BF51" s="3593">
        <v>3.3</v>
      </c>
      <c r="BG51" s="3593">
        <v>3</v>
      </c>
      <c r="BH51" s="3593">
        <v>1.5</v>
      </c>
      <c r="BI51" s="3593">
        <v>1.5</v>
      </c>
      <c r="BJ51" s="3593">
        <v>1.5</v>
      </c>
      <c r="BK51" s="3593"/>
      <c r="BL51" s="3593"/>
      <c r="BM51" s="3593"/>
      <c r="BN51" s="3593"/>
      <c r="BO51" s="3593"/>
      <c r="BP51" s="3593"/>
      <c r="BQ51" s="3593"/>
      <c r="BR51" s="3593"/>
      <c r="BS51" s="3593"/>
      <c r="BT51" s="3593"/>
      <c r="BU51" s="3593"/>
      <c r="BV51" s="3593"/>
      <c r="BW51" s="3593"/>
      <c r="BX51" s="3593"/>
      <c r="BY51" s="3593"/>
      <c r="BZ51" s="3593"/>
      <c r="CA51" s="3593"/>
      <c r="CB51" s="3593"/>
      <c r="CC51" s="3593"/>
      <c r="CD51" s="3593"/>
      <c r="CE51" s="3593"/>
      <c r="CF51" s="3592">
        <f t="shared" si="18"/>
        <v>22.5</v>
      </c>
    </row>
    <row r="52" spans="1:84" ht="37.5" customHeight="1">
      <c r="A52" s="1001" t="s">
        <v>2611</v>
      </c>
      <c r="B52" s="948" t="s">
        <v>1980</v>
      </c>
      <c r="C52" s="948" t="s">
        <v>1981</v>
      </c>
      <c r="D52" s="2254" t="s">
        <v>85</v>
      </c>
      <c r="E52" s="2254" t="s">
        <v>85</v>
      </c>
      <c r="F52" s="3730" t="s">
        <v>188</v>
      </c>
      <c r="G52" s="243"/>
      <c r="H52" s="2448">
        <v>1500</v>
      </c>
      <c r="I52" s="957">
        <f t="shared" si="19"/>
        <v>1.4999999999999999E-2</v>
      </c>
      <c r="J52" s="2313">
        <v>477</v>
      </c>
      <c r="K52" s="2978">
        <f t="shared" si="20"/>
        <v>7.1549999999999994</v>
      </c>
      <c r="L52" s="2256" t="s">
        <v>5366</v>
      </c>
      <c r="M52" s="2257" t="str">
        <f>'Ab1. RMNCH+A'!Q412</f>
        <v>Fund will be utilized from sanctioned BMWM.</v>
      </c>
      <c r="N52" s="3642">
        <v>7.16</v>
      </c>
      <c r="O52" s="3594"/>
      <c r="P52" s="3594"/>
      <c r="Q52" s="3594"/>
      <c r="R52" s="3594"/>
      <c r="S52" s="3594"/>
      <c r="T52" s="3594"/>
      <c r="U52" s="3594"/>
      <c r="V52" s="3594"/>
      <c r="W52" s="3594"/>
      <c r="X52" s="3594"/>
      <c r="Y52" s="3594"/>
      <c r="Z52" s="3594"/>
      <c r="AA52" s="3594"/>
      <c r="AB52" s="3594"/>
      <c r="AC52" s="3594"/>
      <c r="AD52" s="3594"/>
      <c r="AE52" s="3594"/>
      <c r="AF52" s="3594"/>
      <c r="AG52" s="3594"/>
      <c r="AH52" s="3594"/>
      <c r="AI52" s="3594"/>
      <c r="AJ52" s="3594"/>
      <c r="AK52" s="3594"/>
      <c r="AL52" s="3594"/>
      <c r="AM52" s="3594"/>
      <c r="AN52" s="3594"/>
      <c r="AO52" s="3594"/>
      <c r="AP52" s="3594"/>
      <c r="AQ52" s="3594"/>
      <c r="AR52" s="3594"/>
      <c r="AS52" s="3594"/>
      <c r="AT52" s="3594"/>
      <c r="AU52" s="3594"/>
      <c r="AV52" s="3594"/>
      <c r="AW52" s="3594"/>
      <c r="AX52" s="3593">
        <v>7.16</v>
      </c>
      <c r="AY52" s="3593"/>
      <c r="AZ52" s="3593"/>
      <c r="BA52" s="3593"/>
      <c r="BB52" s="3593"/>
      <c r="BC52" s="3593"/>
      <c r="BD52" s="3593"/>
      <c r="BE52" s="3593"/>
      <c r="BF52" s="3593"/>
      <c r="BG52" s="3593"/>
      <c r="BH52" s="3593"/>
      <c r="BI52" s="3593"/>
      <c r="BJ52" s="3593"/>
      <c r="BK52" s="3593"/>
      <c r="BL52" s="3593"/>
      <c r="BM52" s="3593"/>
      <c r="BN52" s="3593"/>
      <c r="BO52" s="3593"/>
      <c r="BP52" s="3593"/>
      <c r="BQ52" s="3593"/>
      <c r="BR52" s="3593"/>
      <c r="BS52" s="3593"/>
      <c r="BT52" s="3593"/>
      <c r="BU52" s="3593"/>
      <c r="BV52" s="3593"/>
      <c r="BW52" s="3593"/>
      <c r="BX52" s="3593"/>
      <c r="BY52" s="3593"/>
      <c r="BZ52" s="3593"/>
      <c r="CA52" s="3593"/>
      <c r="CB52" s="3593"/>
      <c r="CC52" s="3593"/>
      <c r="CD52" s="3593"/>
      <c r="CE52" s="3593"/>
      <c r="CF52" s="3592">
        <f t="shared" si="18"/>
        <v>7.16</v>
      </c>
    </row>
    <row r="53" spans="1:84" ht="37.5" customHeight="1">
      <c r="A53" s="1001" t="s">
        <v>2614</v>
      </c>
      <c r="B53" s="1004" t="s">
        <v>138</v>
      </c>
      <c r="C53" s="1004" t="s">
        <v>139</v>
      </c>
      <c r="D53" s="2254" t="s">
        <v>85</v>
      </c>
      <c r="E53" s="2254" t="s">
        <v>200</v>
      </c>
      <c r="F53" s="1015" t="s">
        <v>200</v>
      </c>
      <c r="G53" s="2656">
        <v>1</v>
      </c>
      <c r="H53" s="2520">
        <v>525</v>
      </c>
      <c r="I53" s="957">
        <f t="shared" si="19"/>
        <v>5.2500000000000003E-3</v>
      </c>
      <c r="J53" s="2520">
        <v>480</v>
      </c>
      <c r="K53" s="2978">
        <f t="shared" si="20"/>
        <v>2.52</v>
      </c>
      <c r="L53" s="2256" t="s">
        <v>5401</v>
      </c>
      <c r="M53" s="2257">
        <f>'Ab1. RMNCH+A'!Q517</f>
        <v>0</v>
      </c>
      <c r="N53" s="3642">
        <v>2.52</v>
      </c>
      <c r="O53" s="3594"/>
      <c r="P53" s="3594"/>
      <c r="Q53" s="3594"/>
      <c r="R53" s="3594"/>
      <c r="S53" s="3594"/>
      <c r="T53" s="3594"/>
      <c r="U53" s="3594"/>
      <c r="V53" s="3594"/>
      <c r="W53" s="3594"/>
      <c r="X53" s="3594"/>
      <c r="Y53" s="3594"/>
      <c r="Z53" s="3594"/>
      <c r="AA53" s="3594"/>
      <c r="AB53" s="3594"/>
      <c r="AC53" s="3594"/>
      <c r="AD53" s="3594"/>
      <c r="AE53" s="3594"/>
      <c r="AF53" s="3594"/>
      <c r="AG53" s="3594"/>
      <c r="AH53" s="3594"/>
      <c r="AI53" s="3594"/>
      <c r="AJ53" s="3594"/>
      <c r="AK53" s="3594"/>
      <c r="AL53" s="3594"/>
      <c r="AM53" s="3594"/>
      <c r="AN53" s="3594"/>
      <c r="AO53" s="3594"/>
      <c r="AP53" s="3594"/>
      <c r="AQ53" s="3594"/>
      <c r="AR53" s="3594"/>
      <c r="AS53" s="3594"/>
      <c r="AT53" s="3594"/>
      <c r="AU53" s="3594"/>
      <c r="AV53" s="3594"/>
      <c r="AW53" s="3594"/>
      <c r="AX53" s="3593"/>
      <c r="AY53" s="3593"/>
      <c r="AZ53" s="3593"/>
      <c r="BA53" s="3593"/>
      <c r="BB53" s="3593">
        <v>0.42</v>
      </c>
      <c r="BC53" s="3593"/>
      <c r="BD53" s="3593"/>
      <c r="BE53" s="3593"/>
      <c r="BF53" s="3593"/>
      <c r="BG53" s="3593">
        <v>1</v>
      </c>
      <c r="BH53" s="3593"/>
      <c r="BI53" s="3593">
        <v>1.1000000000000001</v>
      </c>
      <c r="BJ53" s="3593"/>
      <c r="BK53" s="3593"/>
      <c r="BL53" s="3593"/>
      <c r="BM53" s="3593"/>
      <c r="BN53" s="3593"/>
      <c r="BO53" s="3593"/>
      <c r="BP53" s="3593"/>
      <c r="BQ53" s="3593"/>
      <c r="BR53" s="3593"/>
      <c r="BS53" s="3593"/>
      <c r="BT53" s="3593"/>
      <c r="BU53" s="3593"/>
      <c r="BV53" s="3593"/>
      <c r="BW53" s="3593"/>
      <c r="BX53" s="3593"/>
      <c r="BY53" s="3593"/>
      <c r="BZ53" s="3593"/>
      <c r="CA53" s="3593"/>
      <c r="CB53" s="3593"/>
      <c r="CC53" s="3593"/>
      <c r="CD53" s="3593"/>
      <c r="CE53" s="3593"/>
      <c r="CF53" s="3592">
        <f t="shared" si="18"/>
        <v>2.52</v>
      </c>
    </row>
    <row r="54" spans="1:84" ht="37.5" customHeight="1">
      <c r="A54" s="1001" t="s">
        <v>2615</v>
      </c>
      <c r="B54" s="1004"/>
      <c r="C54" s="1004" t="s">
        <v>3944</v>
      </c>
      <c r="D54" s="2254" t="s">
        <v>85</v>
      </c>
      <c r="E54" s="2254" t="s">
        <v>200</v>
      </c>
      <c r="F54" s="1015" t="s">
        <v>200</v>
      </c>
      <c r="G54" s="2656">
        <v>1</v>
      </c>
      <c r="H54" s="2520">
        <v>525</v>
      </c>
      <c r="I54" s="957">
        <f t="shared" si="19"/>
        <v>5.2500000000000003E-3</v>
      </c>
      <c r="J54" s="2520">
        <v>175</v>
      </c>
      <c r="K54" s="2978">
        <f t="shared" si="20"/>
        <v>0.91875000000000007</v>
      </c>
      <c r="L54" s="2256" t="s">
        <v>5402</v>
      </c>
      <c r="M54" s="2257">
        <f>'Ab1. RMNCH+A'!Q518</f>
        <v>0</v>
      </c>
      <c r="N54" s="3642">
        <v>0.92</v>
      </c>
      <c r="O54" s="3594"/>
      <c r="P54" s="3594"/>
      <c r="Q54" s="3594"/>
      <c r="R54" s="3594"/>
      <c r="S54" s="3594"/>
      <c r="T54" s="3594"/>
      <c r="U54" s="3594"/>
      <c r="V54" s="3594"/>
      <c r="W54" s="3594"/>
      <c r="X54" s="3594"/>
      <c r="Y54" s="3594"/>
      <c r="Z54" s="3594"/>
      <c r="AA54" s="3594"/>
      <c r="AB54" s="3594"/>
      <c r="AC54" s="3594"/>
      <c r="AD54" s="3594"/>
      <c r="AE54" s="3594"/>
      <c r="AF54" s="3594"/>
      <c r="AG54" s="3594"/>
      <c r="AH54" s="3594"/>
      <c r="AI54" s="3594"/>
      <c r="AJ54" s="3594"/>
      <c r="AK54" s="3594"/>
      <c r="AL54" s="3594"/>
      <c r="AM54" s="3594"/>
      <c r="AN54" s="3594"/>
      <c r="AO54" s="3594"/>
      <c r="AP54" s="3594"/>
      <c r="AQ54" s="3594"/>
      <c r="AR54" s="3594"/>
      <c r="AS54" s="3594"/>
      <c r="AT54" s="3594"/>
      <c r="AU54" s="3594"/>
      <c r="AV54" s="3594"/>
      <c r="AW54" s="3594"/>
      <c r="AX54" s="3593"/>
      <c r="AY54" s="3593">
        <v>7.0000000000000007E-2</v>
      </c>
      <c r="AZ54" s="3593">
        <v>0.12</v>
      </c>
      <c r="BA54" s="3593">
        <v>7.0000000000000007E-2</v>
      </c>
      <c r="BB54" s="3593">
        <v>0.09</v>
      </c>
      <c r="BC54" s="3593">
        <v>0</v>
      </c>
      <c r="BD54" s="3593">
        <v>0.09</v>
      </c>
      <c r="BE54" s="3593">
        <v>0</v>
      </c>
      <c r="BF54" s="3593">
        <v>0.11</v>
      </c>
      <c r="BG54" s="3593">
        <v>0.11</v>
      </c>
      <c r="BH54" s="3593">
        <v>0.1</v>
      </c>
      <c r="BI54" s="3593">
        <v>0.08</v>
      </c>
      <c r="BJ54" s="3593">
        <v>0.08</v>
      </c>
      <c r="BK54" s="3593"/>
      <c r="BL54" s="3593"/>
      <c r="BM54" s="3593"/>
      <c r="BN54" s="3593"/>
      <c r="BO54" s="3593"/>
      <c r="BP54" s="3593"/>
      <c r="BQ54" s="3593"/>
      <c r="BR54" s="3593"/>
      <c r="BS54" s="3593"/>
      <c r="BT54" s="3593"/>
      <c r="BU54" s="3593"/>
      <c r="BV54" s="3593"/>
      <c r="BW54" s="3593"/>
      <c r="BX54" s="3593"/>
      <c r="BY54" s="3593"/>
      <c r="BZ54" s="3593"/>
      <c r="CA54" s="3593"/>
      <c r="CB54" s="3593"/>
      <c r="CC54" s="3593"/>
      <c r="CD54" s="3593"/>
      <c r="CE54" s="3593"/>
      <c r="CF54" s="3592">
        <f t="shared" si="18"/>
        <v>0.91999999999999982</v>
      </c>
    </row>
    <row r="55" spans="1:84" ht="37.5" customHeight="1">
      <c r="A55" s="1001" t="s">
        <v>2618</v>
      </c>
      <c r="B55" s="233" t="s">
        <v>144</v>
      </c>
      <c r="C55" s="233" t="s">
        <v>2624</v>
      </c>
      <c r="D55" s="1699" t="s">
        <v>80</v>
      </c>
      <c r="E55" s="1699" t="s">
        <v>145</v>
      </c>
      <c r="F55" s="3730" t="s">
        <v>145</v>
      </c>
      <c r="G55" s="231"/>
      <c r="H55" s="2448">
        <v>20000</v>
      </c>
      <c r="I55" s="957">
        <f t="shared" ref="I55:I56" si="21">H55/100000</f>
        <v>0.2</v>
      </c>
      <c r="J55" s="2313">
        <v>12</v>
      </c>
      <c r="K55" s="2978">
        <f t="shared" ref="K55:K56" si="22">I55*J55</f>
        <v>2.4000000000000004</v>
      </c>
      <c r="L55" s="2256"/>
      <c r="M55" s="2257">
        <f>'Abs16. NMHP'!Q122</f>
        <v>0</v>
      </c>
      <c r="N55" s="3651">
        <v>2.4</v>
      </c>
      <c r="O55" s="3594"/>
      <c r="P55" s="3594"/>
      <c r="Q55" s="3594"/>
      <c r="R55" s="3594"/>
      <c r="S55" s="3594"/>
      <c r="T55" s="3594"/>
      <c r="U55" s="3594"/>
      <c r="V55" s="3594"/>
      <c r="W55" s="3594"/>
      <c r="X55" s="3594"/>
      <c r="Y55" s="3594"/>
      <c r="Z55" s="3594"/>
      <c r="AA55" s="3594"/>
      <c r="AB55" s="3594"/>
      <c r="AC55" s="3594"/>
      <c r="AD55" s="3594"/>
      <c r="AE55" s="3594"/>
      <c r="AF55" s="3594"/>
      <c r="AG55" s="3594"/>
      <c r="AH55" s="3594"/>
      <c r="AI55" s="3594"/>
      <c r="AJ55" s="3594"/>
      <c r="AK55" s="3594"/>
      <c r="AL55" s="3594"/>
      <c r="AM55" s="3594"/>
      <c r="AN55" s="3594"/>
      <c r="AO55" s="3594"/>
      <c r="AP55" s="3594"/>
      <c r="AQ55" s="3594"/>
      <c r="AR55" s="3594"/>
      <c r="AS55" s="3594"/>
      <c r="AT55" s="3594"/>
      <c r="AU55" s="3594"/>
      <c r="AV55" s="3594"/>
      <c r="AW55" s="3594"/>
      <c r="AX55" s="3593"/>
      <c r="AY55" s="3593">
        <v>0.15</v>
      </c>
      <c r="AZ55" s="3593">
        <v>0.2</v>
      </c>
      <c r="BA55" s="3593">
        <v>0.2</v>
      </c>
      <c r="BB55" s="3593">
        <v>0.3</v>
      </c>
      <c r="BC55" s="3593">
        <v>0.1</v>
      </c>
      <c r="BD55" s="3593">
        <v>0.2</v>
      </c>
      <c r="BE55" s="3593">
        <v>0.1</v>
      </c>
      <c r="BF55" s="3593">
        <v>0.3</v>
      </c>
      <c r="BG55" s="3593">
        <v>0.3</v>
      </c>
      <c r="BH55" s="3593">
        <v>0.2</v>
      </c>
      <c r="BI55" s="3593">
        <v>0.2</v>
      </c>
      <c r="BJ55" s="3593">
        <v>0.15</v>
      </c>
      <c r="BK55" s="3593"/>
      <c r="BL55" s="3593"/>
      <c r="BM55" s="3593"/>
      <c r="BN55" s="3593"/>
      <c r="BO55" s="3593"/>
      <c r="BP55" s="3593"/>
      <c r="BQ55" s="3593"/>
      <c r="BR55" s="3593"/>
      <c r="BS55" s="3593"/>
      <c r="BT55" s="3593"/>
      <c r="BU55" s="3593"/>
      <c r="BV55" s="3593"/>
      <c r="BW55" s="3593"/>
      <c r="BX55" s="3593"/>
      <c r="BY55" s="3593"/>
      <c r="BZ55" s="3593"/>
      <c r="CA55" s="3593"/>
      <c r="CB55" s="3593"/>
      <c r="CC55" s="3593"/>
      <c r="CD55" s="3593"/>
      <c r="CE55" s="3593"/>
      <c r="CF55" s="3592">
        <f t="shared" si="18"/>
        <v>2.4000000000000004</v>
      </c>
    </row>
    <row r="56" spans="1:84" ht="37.5" customHeight="1">
      <c r="A56" s="1001" t="s">
        <v>2619</v>
      </c>
      <c r="B56" s="233" t="s">
        <v>2749</v>
      </c>
      <c r="C56" s="233" t="s">
        <v>2748</v>
      </c>
      <c r="D56" s="1699" t="s">
        <v>80</v>
      </c>
      <c r="E56" s="3730" t="s">
        <v>81</v>
      </c>
      <c r="F56" s="3730" t="s">
        <v>81</v>
      </c>
      <c r="G56" s="243"/>
      <c r="H56" s="2448">
        <v>133000</v>
      </c>
      <c r="I56" s="957">
        <f t="shared" si="21"/>
        <v>1.33</v>
      </c>
      <c r="J56" s="2313">
        <v>3</v>
      </c>
      <c r="K56" s="2978">
        <f t="shared" si="22"/>
        <v>3.99</v>
      </c>
      <c r="L56" s="2256" t="s">
        <v>5229</v>
      </c>
      <c r="M56" s="2257">
        <f>'Abs15. NPCB'!Q123</f>
        <v>0</v>
      </c>
      <c r="N56" s="3642">
        <v>3.99</v>
      </c>
      <c r="O56" s="3594"/>
      <c r="P56" s="3594"/>
      <c r="Q56" s="3594"/>
      <c r="R56" s="3594"/>
      <c r="S56" s="3594"/>
      <c r="T56" s="3594"/>
      <c r="U56" s="3594"/>
      <c r="V56" s="3594"/>
      <c r="W56" s="3594"/>
      <c r="X56" s="3594"/>
      <c r="Y56" s="3594"/>
      <c r="Z56" s="3594"/>
      <c r="AA56" s="3594"/>
      <c r="AB56" s="3594"/>
      <c r="AC56" s="3594"/>
      <c r="AD56" s="3594"/>
      <c r="AE56" s="3594"/>
      <c r="AF56" s="3594"/>
      <c r="AG56" s="3594"/>
      <c r="AH56" s="3594"/>
      <c r="AI56" s="3594"/>
      <c r="AJ56" s="3594"/>
      <c r="AK56" s="3594"/>
      <c r="AL56" s="3594"/>
      <c r="AM56" s="3594"/>
      <c r="AN56" s="3594"/>
      <c r="AO56" s="3594"/>
      <c r="AP56" s="3594"/>
      <c r="AQ56" s="3594"/>
      <c r="AR56" s="3594"/>
      <c r="AS56" s="3594"/>
      <c r="AT56" s="3594"/>
      <c r="AU56" s="3594"/>
      <c r="AV56" s="3594"/>
      <c r="AW56" s="3594"/>
      <c r="AX56" s="3593">
        <v>1</v>
      </c>
      <c r="AY56" s="3593"/>
      <c r="AZ56" s="3593"/>
      <c r="BA56" s="3593"/>
      <c r="BB56" s="3593"/>
      <c r="BC56" s="3593"/>
      <c r="BD56" s="3593"/>
      <c r="BE56" s="3593"/>
      <c r="BF56" s="3593"/>
      <c r="BG56" s="3593"/>
      <c r="BH56" s="3593"/>
      <c r="BI56" s="3593"/>
      <c r="BJ56" s="3593"/>
      <c r="BK56" s="3593">
        <v>2</v>
      </c>
      <c r="BL56" s="3593">
        <v>0.99</v>
      </c>
      <c r="BM56" s="3593"/>
      <c r="BN56" s="3593"/>
      <c r="BO56" s="3593"/>
      <c r="BP56" s="3593"/>
      <c r="BQ56" s="3593"/>
      <c r="BR56" s="3593"/>
      <c r="BS56" s="3593"/>
      <c r="BT56" s="3593"/>
      <c r="BU56" s="3593"/>
      <c r="BV56" s="3593"/>
      <c r="BW56" s="3593"/>
      <c r="BX56" s="3593"/>
      <c r="BY56" s="3593"/>
      <c r="BZ56" s="3593"/>
      <c r="CA56" s="3593"/>
      <c r="CB56" s="3593"/>
      <c r="CC56" s="3593"/>
      <c r="CD56" s="3593"/>
      <c r="CE56" s="3593"/>
      <c r="CF56" s="3592">
        <f t="shared" si="18"/>
        <v>3.99</v>
      </c>
    </row>
    <row r="57" spans="1:84" ht="37.5" customHeight="1">
      <c r="A57" s="1001" t="s">
        <v>2627</v>
      </c>
      <c r="B57" s="233" t="s">
        <v>142</v>
      </c>
      <c r="C57" s="233" t="s">
        <v>3839</v>
      </c>
      <c r="D57" s="1699" t="s">
        <v>80</v>
      </c>
      <c r="E57" s="3730" t="s">
        <v>81</v>
      </c>
      <c r="F57" s="3730" t="s">
        <v>81</v>
      </c>
      <c r="G57" s="243"/>
      <c r="H57" s="2448">
        <v>350</v>
      </c>
      <c r="I57" s="957">
        <f>H57/100000</f>
        <v>3.5000000000000001E-3</v>
      </c>
      <c r="J57" s="2448">
        <v>10000</v>
      </c>
      <c r="K57" s="2978">
        <f>I57*J57</f>
        <v>35</v>
      </c>
      <c r="L57" s="2256" t="s">
        <v>5443</v>
      </c>
      <c r="M57" s="2257">
        <f>'Abs15. NPCB'!Q124</f>
        <v>0</v>
      </c>
      <c r="N57" s="3642">
        <v>35</v>
      </c>
      <c r="O57" s="3594"/>
      <c r="P57" s="3594"/>
      <c r="Q57" s="3594"/>
      <c r="R57" s="3594"/>
      <c r="S57" s="3594"/>
      <c r="T57" s="3594"/>
      <c r="U57" s="3594"/>
      <c r="V57" s="3594"/>
      <c r="W57" s="3594"/>
      <c r="X57" s="3594"/>
      <c r="Y57" s="3594"/>
      <c r="Z57" s="3594"/>
      <c r="AA57" s="3594"/>
      <c r="AB57" s="3594"/>
      <c r="AC57" s="3594"/>
      <c r="AD57" s="3594"/>
      <c r="AE57" s="3594"/>
      <c r="AF57" s="3594"/>
      <c r="AG57" s="3594"/>
      <c r="AH57" s="3594"/>
      <c r="AI57" s="3594"/>
      <c r="AJ57" s="3594"/>
      <c r="AK57" s="3594"/>
      <c r="AL57" s="3594"/>
      <c r="AM57" s="3594"/>
      <c r="AN57" s="3594"/>
      <c r="AO57" s="3594"/>
      <c r="AP57" s="3594"/>
      <c r="AQ57" s="3594"/>
      <c r="AR57" s="3594"/>
      <c r="AS57" s="3594"/>
      <c r="AT57" s="3594"/>
      <c r="AU57" s="3594"/>
      <c r="AV57" s="3594"/>
      <c r="AW57" s="3594"/>
      <c r="AX57" s="3593">
        <v>35</v>
      </c>
      <c r="AY57" s="3593"/>
      <c r="AZ57" s="3593"/>
      <c r="BA57" s="3593"/>
      <c r="BB57" s="3593"/>
      <c r="BC57" s="3593"/>
      <c r="BD57" s="3593"/>
      <c r="BE57" s="3593"/>
      <c r="BF57" s="3593"/>
      <c r="BG57" s="3593"/>
      <c r="BH57" s="3593"/>
      <c r="BI57" s="3593"/>
      <c r="BJ57" s="3593"/>
      <c r="BK57" s="3593"/>
      <c r="BL57" s="3593"/>
      <c r="BM57" s="3593"/>
      <c r="BN57" s="3593"/>
      <c r="BO57" s="3593"/>
      <c r="BP57" s="3593"/>
      <c r="BQ57" s="3593"/>
      <c r="BR57" s="3593"/>
      <c r="BS57" s="3593"/>
      <c r="BT57" s="3593"/>
      <c r="BU57" s="3593"/>
      <c r="BV57" s="3593"/>
      <c r="BW57" s="3593"/>
      <c r="BX57" s="3593"/>
      <c r="BY57" s="3593"/>
      <c r="BZ57" s="3593"/>
      <c r="CA57" s="3593"/>
      <c r="CB57" s="3593"/>
      <c r="CC57" s="3593"/>
      <c r="CD57" s="3593"/>
      <c r="CE57" s="3593"/>
      <c r="CF57" s="3592">
        <f t="shared" si="18"/>
        <v>35</v>
      </c>
    </row>
    <row r="58" spans="1:84" ht="37.5" customHeight="1">
      <c r="A58" s="1001" t="s">
        <v>2628</v>
      </c>
      <c r="B58" s="233" t="s">
        <v>143</v>
      </c>
      <c r="C58" s="233" t="s">
        <v>3840</v>
      </c>
      <c r="D58" s="1699" t="s">
        <v>80</v>
      </c>
      <c r="E58" s="3730" t="s">
        <v>81</v>
      </c>
      <c r="F58" s="3730" t="s">
        <v>81</v>
      </c>
      <c r="G58" s="243"/>
      <c r="H58" s="2448">
        <v>350</v>
      </c>
      <c r="I58" s="957">
        <f>H58/100000</f>
        <v>3.5000000000000001E-3</v>
      </c>
      <c r="J58" s="2448">
        <v>2000</v>
      </c>
      <c r="K58" s="2978">
        <f>I58*J58</f>
        <v>7</v>
      </c>
      <c r="L58" s="2256"/>
      <c r="M58" s="2257">
        <f>'Abs15. NPCB'!Q125</f>
        <v>0</v>
      </c>
      <c r="N58" s="3642">
        <v>7</v>
      </c>
      <c r="O58" s="3594"/>
      <c r="P58" s="3594"/>
      <c r="Q58" s="3594"/>
      <c r="R58" s="3594"/>
      <c r="S58" s="3594"/>
      <c r="T58" s="3594"/>
      <c r="U58" s="3594"/>
      <c r="V58" s="3594"/>
      <c r="W58" s="3594"/>
      <c r="X58" s="3594"/>
      <c r="Y58" s="3594"/>
      <c r="Z58" s="3594"/>
      <c r="AA58" s="3594"/>
      <c r="AB58" s="3594"/>
      <c r="AC58" s="3594"/>
      <c r="AD58" s="3594"/>
      <c r="AE58" s="3594"/>
      <c r="AF58" s="3594"/>
      <c r="AG58" s="3594"/>
      <c r="AH58" s="3594"/>
      <c r="AI58" s="3594"/>
      <c r="AJ58" s="3594"/>
      <c r="AK58" s="3594"/>
      <c r="AL58" s="3594"/>
      <c r="AM58" s="3594"/>
      <c r="AN58" s="3594"/>
      <c r="AO58" s="3594"/>
      <c r="AP58" s="3594"/>
      <c r="AQ58" s="3594"/>
      <c r="AR58" s="3594"/>
      <c r="AS58" s="3594"/>
      <c r="AT58" s="3594"/>
      <c r="AU58" s="3594"/>
      <c r="AV58" s="3594"/>
      <c r="AW58" s="3594"/>
      <c r="AX58" s="3593">
        <v>7</v>
      </c>
      <c r="AY58" s="3593"/>
      <c r="AZ58" s="3593"/>
      <c r="BA58" s="3593"/>
      <c r="BB58" s="3593"/>
      <c r="BC58" s="3593"/>
      <c r="BD58" s="3593"/>
      <c r="BE58" s="3593"/>
      <c r="BF58" s="3593"/>
      <c r="BG58" s="3593"/>
      <c r="BH58" s="3593"/>
      <c r="BI58" s="3593"/>
      <c r="BJ58" s="3593"/>
      <c r="BK58" s="3593"/>
      <c r="BL58" s="3593"/>
      <c r="BM58" s="3593"/>
      <c r="BN58" s="3593"/>
      <c r="BO58" s="3593"/>
      <c r="BP58" s="3593"/>
      <c r="BQ58" s="3593"/>
      <c r="BR58" s="3593"/>
      <c r="BS58" s="3593"/>
      <c r="BT58" s="3593"/>
      <c r="BU58" s="3593"/>
      <c r="BV58" s="3593"/>
      <c r="BW58" s="3593"/>
      <c r="BX58" s="3593"/>
      <c r="BY58" s="3593"/>
      <c r="BZ58" s="3593"/>
      <c r="CA58" s="3593"/>
      <c r="CB58" s="3593"/>
      <c r="CC58" s="3593"/>
      <c r="CD58" s="3593"/>
      <c r="CE58" s="3593"/>
      <c r="CF58" s="3592">
        <f t="shared" si="18"/>
        <v>7</v>
      </c>
    </row>
    <row r="59" spans="1:84" ht="37.5" customHeight="1">
      <c r="A59" s="1001" t="s">
        <v>2630</v>
      </c>
      <c r="B59" s="233" t="s">
        <v>148</v>
      </c>
      <c r="C59" s="233" t="s">
        <v>4969</v>
      </c>
      <c r="D59" s="1699" t="s">
        <v>80</v>
      </c>
      <c r="E59" s="1699" t="s">
        <v>147</v>
      </c>
      <c r="F59" s="3730" t="s">
        <v>147</v>
      </c>
      <c r="G59" s="243"/>
      <c r="H59" s="2519">
        <v>1000</v>
      </c>
      <c r="I59" s="957">
        <f>H59/100000</f>
        <v>0.01</v>
      </c>
      <c r="J59" s="2519">
        <v>2500</v>
      </c>
      <c r="K59" s="2978">
        <f>I59*J59</f>
        <v>25</v>
      </c>
      <c r="L59" s="2256" t="s">
        <v>5296</v>
      </c>
      <c r="M59" s="2257">
        <f>'Abs18. NTCP'!Q122</f>
        <v>0</v>
      </c>
      <c r="N59" s="3642">
        <v>25</v>
      </c>
      <c r="O59" s="3594"/>
      <c r="P59" s="3594"/>
      <c r="Q59" s="3594"/>
      <c r="R59" s="3594"/>
      <c r="S59" s="3594"/>
      <c r="T59" s="3594"/>
      <c r="U59" s="3594"/>
      <c r="V59" s="3594"/>
      <c r="W59" s="3594"/>
      <c r="X59" s="3594"/>
      <c r="Y59" s="3594"/>
      <c r="Z59" s="3594"/>
      <c r="AA59" s="3594"/>
      <c r="AB59" s="3594"/>
      <c r="AC59" s="3594"/>
      <c r="AD59" s="3594"/>
      <c r="AE59" s="3594"/>
      <c r="AF59" s="3594"/>
      <c r="AG59" s="3594"/>
      <c r="AH59" s="3594"/>
      <c r="AI59" s="3594"/>
      <c r="AJ59" s="3594"/>
      <c r="AK59" s="3594"/>
      <c r="AL59" s="3594"/>
      <c r="AM59" s="3594"/>
      <c r="AN59" s="3594"/>
      <c r="AO59" s="3594"/>
      <c r="AP59" s="3594"/>
      <c r="AQ59" s="3594"/>
      <c r="AR59" s="3594"/>
      <c r="AS59" s="3594"/>
      <c r="AT59" s="3594"/>
      <c r="AU59" s="3594"/>
      <c r="AV59" s="3594"/>
      <c r="AW59" s="3594"/>
      <c r="AX59" s="3593">
        <v>1</v>
      </c>
      <c r="AY59" s="3593">
        <v>2</v>
      </c>
      <c r="AZ59" s="3593">
        <v>2</v>
      </c>
      <c r="BA59" s="3593">
        <v>2</v>
      </c>
      <c r="BB59" s="3593">
        <v>3</v>
      </c>
      <c r="BC59" s="3593">
        <v>0.5</v>
      </c>
      <c r="BD59" s="3593">
        <v>2</v>
      </c>
      <c r="BE59" s="3593">
        <v>0.5</v>
      </c>
      <c r="BF59" s="3593">
        <v>3</v>
      </c>
      <c r="BG59" s="3593">
        <v>3</v>
      </c>
      <c r="BH59" s="3593">
        <v>2</v>
      </c>
      <c r="BI59" s="3593">
        <v>2</v>
      </c>
      <c r="BJ59" s="3593">
        <v>2</v>
      </c>
      <c r="BK59" s="3593"/>
      <c r="BL59" s="3593"/>
      <c r="BM59" s="3593"/>
      <c r="BN59" s="3593"/>
      <c r="BO59" s="3593"/>
      <c r="BP59" s="3593"/>
      <c r="BQ59" s="3593"/>
      <c r="BR59" s="3593"/>
      <c r="BS59" s="3593"/>
      <c r="BT59" s="3593"/>
      <c r="BU59" s="3593"/>
      <c r="BV59" s="3593"/>
      <c r="BW59" s="3593"/>
      <c r="BX59" s="3593"/>
      <c r="BY59" s="3593"/>
      <c r="BZ59" s="3593"/>
      <c r="CA59" s="3593"/>
      <c r="CB59" s="3593"/>
      <c r="CC59" s="3593"/>
      <c r="CD59" s="3593"/>
      <c r="CE59" s="3593"/>
      <c r="CF59" s="3592">
        <f t="shared" si="18"/>
        <v>25</v>
      </c>
    </row>
    <row r="60" spans="1:84" ht="37.5" customHeight="1">
      <c r="A60" s="1004" t="s">
        <v>2646</v>
      </c>
      <c r="B60" s="1080" t="s">
        <v>160</v>
      </c>
      <c r="C60" s="1080" t="s">
        <v>161</v>
      </c>
      <c r="D60" s="2254" t="s">
        <v>85</v>
      </c>
      <c r="E60" s="2254" t="s">
        <v>85</v>
      </c>
      <c r="F60" s="3730" t="s">
        <v>113</v>
      </c>
      <c r="G60" s="325"/>
      <c r="H60" s="2440">
        <v>586.66</v>
      </c>
      <c r="I60" s="298">
        <f>H60/100000</f>
        <v>5.8665999999999996E-3</v>
      </c>
      <c r="J60" s="2440">
        <v>15000</v>
      </c>
      <c r="K60" s="2995">
        <f>I60*J60</f>
        <v>87.998999999999995</v>
      </c>
      <c r="L60" s="2441" t="s">
        <v>5264</v>
      </c>
      <c r="M60" s="2257">
        <f>'Ab3. ASHA'!Q186</f>
        <v>0</v>
      </c>
      <c r="N60" s="3651">
        <v>88</v>
      </c>
      <c r="O60" s="3652"/>
      <c r="P60" s="3653"/>
      <c r="Q60" s="3653"/>
      <c r="R60" s="3653"/>
      <c r="S60" s="3653"/>
      <c r="T60" s="3653"/>
      <c r="U60" s="3653"/>
      <c r="V60" s="3653"/>
      <c r="W60" s="3653"/>
      <c r="X60" s="3653"/>
      <c r="Y60" s="3653"/>
      <c r="Z60" s="3653"/>
      <c r="AA60" s="3653"/>
      <c r="AB60" s="3653"/>
      <c r="AC60" s="3653"/>
      <c r="AD60" s="3653"/>
      <c r="AE60" s="3653"/>
      <c r="AF60" s="3653"/>
      <c r="AG60" s="3653"/>
      <c r="AH60" s="3653"/>
      <c r="AI60" s="3653"/>
      <c r="AJ60" s="3653"/>
      <c r="AK60" s="3653"/>
      <c r="AL60" s="3653"/>
      <c r="AM60" s="3653"/>
      <c r="AN60" s="3653"/>
      <c r="AO60" s="3653"/>
      <c r="AP60" s="3653"/>
      <c r="AQ60" s="3653"/>
      <c r="AR60" s="3653"/>
      <c r="AS60" s="3653"/>
      <c r="AT60" s="3653"/>
      <c r="AU60" s="3653"/>
      <c r="AV60" s="3653"/>
      <c r="AW60" s="3653"/>
      <c r="AX60" s="3572"/>
      <c r="AY60" s="3572">
        <v>3.48</v>
      </c>
      <c r="AZ60" s="3572">
        <v>5.72</v>
      </c>
      <c r="BA60" s="3572">
        <v>6.37</v>
      </c>
      <c r="BB60" s="3572">
        <v>17.25</v>
      </c>
      <c r="BC60" s="3572">
        <v>0.31</v>
      </c>
      <c r="BD60" s="3572">
        <v>4.97</v>
      </c>
      <c r="BE60" s="3572">
        <v>0.09</v>
      </c>
      <c r="BF60" s="3572">
        <v>12.45</v>
      </c>
      <c r="BG60" s="3572">
        <v>16.14</v>
      </c>
      <c r="BH60" s="3572">
        <v>7.94</v>
      </c>
      <c r="BI60" s="3572">
        <v>8.3800000000000008</v>
      </c>
      <c r="BJ60" s="3572">
        <v>4.9000000000000004</v>
      </c>
      <c r="BK60" s="3572"/>
      <c r="BL60" s="3572"/>
      <c r="BM60" s="3572"/>
      <c r="BN60" s="3572"/>
      <c r="BO60" s="3572"/>
      <c r="BP60" s="3572"/>
      <c r="BQ60" s="3572"/>
      <c r="BR60" s="3572"/>
      <c r="BS60" s="3572"/>
      <c r="BT60" s="3595"/>
      <c r="BU60" s="3595"/>
      <c r="BV60" s="3595"/>
      <c r="BW60" s="3595"/>
      <c r="BX60" s="3595"/>
      <c r="BY60" s="3595"/>
      <c r="BZ60" s="3595"/>
      <c r="CA60" s="3595"/>
      <c r="CB60" s="3595"/>
      <c r="CC60" s="3595"/>
      <c r="CD60" s="3595"/>
      <c r="CE60" s="3595"/>
      <c r="CF60" s="3595">
        <f t="shared" si="18"/>
        <v>88</v>
      </c>
    </row>
    <row r="61" spans="1:84" ht="37.5" customHeight="1">
      <c r="A61" s="1004" t="s">
        <v>2654</v>
      </c>
      <c r="B61" s="1080" t="s">
        <v>193</v>
      </c>
      <c r="C61" s="1080" t="s">
        <v>194</v>
      </c>
      <c r="D61" s="2254" t="s">
        <v>85</v>
      </c>
      <c r="E61" s="2254" t="s">
        <v>65</v>
      </c>
      <c r="F61" s="3730" t="s">
        <v>5070</v>
      </c>
      <c r="G61" s="235"/>
      <c r="H61" s="2504">
        <v>900</v>
      </c>
      <c r="I61" s="298">
        <f>H61/100000</f>
        <v>8.9999999999999993E-3</v>
      </c>
      <c r="J61" s="2504">
        <v>8066</v>
      </c>
      <c r="K61" s="2995">
        <f>I61*J61</f>
        <v>72.593999999999994</v>
      </c>
      <c r="L61" s="2256" t="s">
        <v>5349</v>
      </c>
      <c r="M61" s="2257">
        <f>'Ab3. ASHA'!Q188</f>
        <v>0</v>
      </c>
      <c r="N61" s="3651">
        <v>72.59</v>
      </c>
      <c r="O61" s="3652"/>
      <c r="P61" s="3653"/>
      <c r="Q61" s="3653"/>
      <c r="R61" s="3653"/>
      <c r="S61" s="3653"/>
      <c r="T61" s="3653"/>
      <c r="U61" s="3653"/>
      <c r="V61" s="3653"/>
      <c r="W61" s="3653"/>
      <c r="X61" s="3653"/>
      <c r="Y61" s="3653"/>
      <c r="Z61" s="3653"/>
      <c r="AA61" s="3653"/>
      <c r="AB61" s="3653"/>
      <c r="AC61" s="3653"/>
      <c r="AD61" s="3653"/>
      <c r="AE61" s="3653"/>
      <c r="AF61" s="3653"/>
      <c r="AG61" s="3653"/>
      <c r="AH61" s="3653"/>
      <c r="AI61" s="3653"/>
      <c r="AJ61" s="3653"/>
      <c r="AK61" s="3653"/>
      <c r="AL61" s="3653"/>
      <c r="AM61" s="3653"/>
      <c r="AN61" s="3653"/>
      <c r="AO61" s="3653"/>
      <c r="AP61" s="3653"/>
      <c r="AQ61" s="3653"/>
      <c r="AR61" s="3653"/>
      <c r="AS61" s="3653"/>
      <c r="AT61" s="3653"/>
      <c r="AU61" s="3653"/>
      <c r="AV61" s="3653"/>
      <c r="AW61" s="3653"/>
      <c r="AX61" s="3572">
        <v>72.59</v>
      </c>
      <c r="AY61" s="3572"/>
      <c r="AZ61" s="3572"/>
      <c r="BA61" s="3572"/>
      <c r="BB61" s="3572"/>
      <c r="BC61" s="3572"/>
      <c r="BD61" s="3572"/>
      <c r="BE61" s="3572"/>
      <c r="BF61" s="3572"/>
      <c r="BG61" s="3572"/>
      <c r="BH61" s="3572"/>
      <c r="BI61" s="3572"/>
      <c r="BJ61" s="3572"/>
      <c r="BK61" s="3572"/>
      <c r="BL61" s="3572"/>
      <c r="BM61" s="3572"/>
      <c r="BN61" s="3572"/>
      <c r="BO61" s="3572"/>
      <c r="BP61" s="3572"/>
      <c r="BQ61" s="3572"/>
      <c r="BR61" s="3572"/>
      <c r="BS61" s="3572"/>
      <c r="BT61" s="3595"/>
      <c r="BU61" s="3595"/>
      <c r="BV61" s="3595"/>
      <c r="BW61" s="3595"/>
      <c r="BX61" s="3595"/>
      <c r="BY61" s="3595"/>
      <c r="BZ61" s="3595"/>
      <c r="CA61" s="3595"/>
      <c r="CB61" s="3595"/>
      <c r="CC61" s="3595"/>
      <c r="CD61" s="3595"/>
      <c r="CE61" s="3595"/>
      <c r="CF61" s="3595">
        <f t="shared" si="18"/>
        <v>72.59</v>
      </c>
    </row>
    <row r="62" spans="1:84" ht="37.5" customHeight="1">
      <c r="A62" s="1004" t="s">
        <v>2647</v>
      </c>
      <c r="B62" s="1080" t="s">
        <v>173</v>
      </c>
      <c r="C62" s="1080" t="s">
        <v>174</v>
      </c>
      <c r="D62" s="2254" t="s">
        <v>85</v>
      </c>
      <c r="E62" s="2254" t="s">
        <v>65</v>
      </c>
      <c r="F62" s="3730" t="s">
        <v>2581</v>
      </c>
      <c r="G62" s="235">
        <v>1</v>
      </c>
      <c r="H62" s="2504">
        <v>400</v>
      </c>
      <c r="I62" s="298">
        <f t="shared" ref="I62:I68" si="23">H62/100000</f>
        <v>4.0000000000000001E-3</v>
      </c>
      <c r="J62" s="2504">
        <v>8066</v>
      </c>
      <c r="K62" s="2995">
        <f t="shared" ref="K62:K68" si="24">I62*J62</f>
        <v>32.264000000000003</v>
      </c>
      <c r="L62" s="2256" t="s">
        <v>5350</v>
      </c>
      <c r="M62" s="2257">
        <f>'Ab3. ASHA'!Q191</f>
        <v>0</v>
      </c>
      <c r="N62" s="3651">
        <v>32.26</v>
      </c>
      <c r="O62" s="3652"/>
      <c r="P62" s="3652"/>
      <c r="Q62" s="3652"/>
      <c r="R62" s="3652"/>
      <c r="S62" s="3652"/>
      <c r="T62" s="3652"/>
      <c r="U62" s="3652"/>
      <c r="V62" s="3652"/>
      <c r="W62" s="3652"/>
      <c r="X62" s="3652"/>
      <c r="Y62" s="3652"/>
      <c r="Z62" s="3652"/>
      <c r="AA62" s="3652"/>
      <c r="AB62" s="3652"/>
      <c r="AC62" s="3652"/>
      <c r="AD62" s="3652"/>
      <c r="AE62" s="3652"/>
      <c r="AF62" s="3652"/>
      <c r="AG62" s="3652"/>
      <c r="AH62" s="3652"/>
      <c r="AI62" s="3652"/>
      <c r="AJ62" s="3652"/>
      <c r="AK62" s="3652"/>
      <c r="AL62" s="3652"/>
      <c r="AM62" s="3652"/>
      <c r="AN62" s="3652"/>
      <c r="AO62" s="3652"/>
      <c r="AP62" s="3652"/>
      <c r="AQ62" s="3652"/>
      <c r="AR62" s="3652"/>
      <c r="AS62" s="3652"/>
      <c r="AT62" s="3652"/>
      <c r="AU62" s="3652"/>
      <c r="AV62" s="3652"/>
      <c r="AW62" s="3652"/>
      <c r="AX62" s="3595"/>
      <c r="AY62" s="3595">
        <v>2</v>
      </c>
      <c r="AZ62" s="3595">
        <v>2.4</v>
      </c>
      <c r="BA62" s="3595">
        <v>2.14</v>
      </c>
      <c r="BB62" s="3595">
        <v>7.34</v>
      </c>
      <c r="BC62" s="3595">
        <v>0.43</v>
      </c>
      <c r="BD62" s="3595">
        <v>1.99</v>
      </c>
      <c r="BE62" s="3595">
        <v>0.19</v>
      </c>
      <c r="BF62" s="3595">
        <v>5.01</v>
      </c>
      <c r="BG62" s="3595">
        <v>3.34</v>
      </c>
      <c r="BH62" s="3595">
        <v>2.46</v>
      </c>
      <c r="BI62" s="3595">
        <v>2.54</v>
      </c>
      <c r="BJ62" s="3595">
        <v>2.42</v>
      </c>
      <c r="BK62" s="3595"/>
      <c r="BL62" s="3595"/>
      <c r="BM62" s="3595"/>
      <c r="BN62" s="3595"/>
      <c r="BO62" s="3596"/>
      <c r="BP62" s="3596"/>
      <c r="BQ62" s="3596"/>
      <c r="BR62" s="3596"/>
      <c r="BS62" s="3596"/>
      <c r="BT62" s="3596"/>
      <c r="BU62" s="3596"/>
      <c r="BV62" s="3596"/>
      <c r="BW62" s="3596"/>
      <c r="BX62" s="3596"/>
      <c r="BY62" s="3596"/>
      <c r="BZ62" s="3596"/>
      <c r="CA62" s="3596"/>
      <c r="CB62" s="3596"/>
      <c r="CC62" s="3596"/>
      <c r="CD62" s="3596"/>
      <c r="CE62" s="3596"/>
      <c r="CF62" s="3596">
        <f t="shared" si="18"/>
        <v>32.26</v>
      </c>
    </row>
    <row r="63" spans="1:84" ht="37.5" customHeight="1">
      <c r="A63" s="1004" t="s">
        <v>2648</v>
      </c>
      <c r="B63" s="1080" t="s">
        <v>169</v>
      </c>
      <c r="C63" s="1080" t="s">
        <v>3945</v>
      </c>
      <c r="D63" s="2254" t="s">
        <v>85</v>
      </c>
      <c r="E63" s="2254" t="s">
        <v>65</v>
      </c>
      <c r="F63" s="3730" t="s">
        <v>2581</v>
      </c>
      <c r="G63" s="235"/>
      <c r="H63" s="2504">
        <v>250</v>
      </c>
      <c r="I63" s="298">
        <f t="shared" si="23"/>
        <v>2.5000000000000001E-3</v>
      </c>
      <c r="J63" s="2504">
        <v>80000</v>
      </c>
      <c r="K63" s="2995">
        <f t="shared" si="24"/>
        <v>200</v>
      </c>
      <c r="L63" s="2256" t="s">
        <v>5351</v>
      </c>
      <c r="M63" s="2257">
        <f>'Ab3. ASHA'!Q192</f>
        <v>0</v>
      </c>
      <c r="N63" s="3651">
        <v>200</v>
      </c>
      <c r="O63" s="3652"/>
      <c r="P63" s="3652"/>
      <c r="Q63" s="3652"/>
      <c r="R63" s="3652"/>
      <c r="S63" s="3652"/>
      <c r="T63" s="3652"/>
      <c r="U63" s="3652"/>
      <c r="V63" s="3652"/>
      <c r="W63" s="3652"/>
      <c r="X63" s="3652"/>
      <c r="Y63" s="3652"/>
      <c r="Z63" s="3652"/>
      <c r="AA63" s="3652"/>
      <c r="AB63" s="3652"/>
      <c r="AC63" s="3652"/>
      <c r="AD63" s="3652"/>
      <c r="AE63" s="3652"/>
      <c r="AF63" s="3652"/>
      <c r="AG63" s="3652"/>
      <c r="AH63" s="3652"/>
      <c r="AI63" s="3652"/>
      <c r="AJ63" s="3652"/>
      <c r="AK63" s="3652"/>
      <c r="AL63" s="3652"/>
      <c r="AM63" s="3652"/>
      <c r="AN63" s="3652"/>
      <c r="AO63" s="3652"/>
      <c r="AP63" s="3652"/>
      <c r="AQ63" s="3652"/>
      <c r="AR63" s="3652"/>
      <c r="AS63" s="3652"/>
      <c r="AT63" s="3652"/>
      <c r="AU63" s="3652"/>
      <c r="AV63" s="3652"/>
      <c r="AW63" s="3652"/>
      <c r="AX63" s="3595"/>
      <c r="AY63" s="3595">
        <v>11.25</v>
      </c>
      <c r="AZ63" s="3595">
        <v>12.5</v>
      </c>
      <c r="BA63" s="3595">
        <v>11.25</v>
      </c>
      <c r="BB63" s="3595">
        <v>45</v>
      </c>
      <c r="BC63" s="3595">
        <v>1</v>
      </c>
      <c r="BD63" s="3595">
        <v>11.25</v>
      </c>
      <c r="BE63" s="3595">
        <v>0.25</v>
      </c>
      <c r="BF63" s="3595">
        <v>22.5</v>
      </c>
      <c r="BG63" s="3595">
        <v>27.5</v>
      </c>
      <c r="BH63" s="3595">
        <v>20</v>
      </c>
      <c r="BI63" s="3595">
        <v>22.5</v>
      </c>
      <c r="BJ63" s="3595">
        <v>15</v>
      </c>
      <c r="BK63" s="3595"/>
      <c r="BL63" s="3595"/>
      <c r="BM63" s="3595"/>
      <c r="BN63" s="3595"/>
      <c r="BO63" s="3596"/>
      <c r="BP63" s="3596"/>
      <c r="BQ63" s="3596"/>
      <c r="BR63" s="3596"/>
      <c r="BS63" s="3596"/>
      <c r="BT63" s="3596"/>
      <c r="BU63" s="3596"/>
      <c r="BV63" s="3596"/>
      <c r="BW63" s="3596"/>
      <c r="BX63" s="3596"/>
      <c r="BY63" s="3596"/>
      <c r="BZ63" s="3596"/>
      <c r="CA63" s="3596"/>
      <c r="CB63" s="3596"/>
      <c r="CC63" s="3596"/>
      <c r="CD63" s="3596"/>
      <c r="CE63" s="3596"/>
      <c r="CF63" s="3596">
        <f t="shared" si="18"/>
        <v>200</v>
      </c>
    </row>
    <row r="64" spans="1:84" ht="37.5" customHeight="1">
      <c r="A64" s="1004" t="s">
        <v>2649</v>
      </c>
      <c r="B64" s="1080" t="s">
        <v>171</v>
      </c>
      <c r="C64" s="1080" t="s">
        <v>2438</v>
      </c>
      <c r="D64" s="2254" t="s">
        <v>85</v>
      </c>
      <c r="E64" s="2254" t="s">
        <v>65</v>
      </c>
      <c r="F64" s="3730" t="s">
        <v>2581</v>
      </c>
      <c r="G64" s="235"/>
      <c r="H64" s="2504">
        <v>200</v>
      </c>
      <c r="I64" s="298">
        <f t="shared" si="23"/>
        <v>2E-3</v>
      </c>
      <c r="J64" s="2504">
        <v>5000</v>
      </c>
      <c r="K64" s="2995">
        <f t="shared" si="24"/>
        <v>10</v>
      </c>
      <c r="L64" s="2256" t="s">
        <v>5352</v>
      </c>
      <c r="M64" s="2257">
        <f>'Ab3. ASHA'!Q193</f>
        <v>0</v>
      </c>
      <c r="N64" s="3651">
        <v>10</v>
      </c>
      <c r="O64" s="3652"/>
      <c r="P64" s="3652"/>
      <c r="Q64" s="3652"/>
      <c r="R64" s="3652"/>
      <c r="S64" s="3652"/>
      <c r="T64" s="3652"/>
      <c r="U64" s="3652"/>
      <c r="V64" s="3652"/>
      <c r="W64" s="3652"/>
      <c r="X64" s="3652"/>
      <c r="Y64" s="3652"/>
      <c r="Z64" s="3652"/>
      <c r="AA64" s="3652"/>
      <c r="AB64" s="3652"/>
      <c r="AC64" s="3652"/>
      <c r="AD64" s="3652"/>
      <c r="AE64" s="3652"/>
      <c r="AF64" s="3652"/>
      <c r="AG64" s="3652"/>
      <c r="AH64" s="3652"/>
      <c r="AI64" s="3652"/>
      <c r="AJ64" s="3652"/>
      <c r="AK64" s="3652"/>
      <c r="AL64" s="3652"/>
      <c r="AM64" s="3652"/>
      <c r="AN64" s="3652"/>
      <c r="AO64" s="3652"/>
      <c r="AP64" s="3652"/>
      <c r="AQ64" s="3652"/>
      <c r="AR64" s="3652"/>
      <c r="AS64" s="3652"/>
      <c r="AT64" s="3652"/>
      <c r="AU64" s="3652"/>
      <c r="AV64" s="3652"/>
      <c r="AW64" s="3652"/>
      <c r="AX64" s="3595">
        <v>2.98</v>
      </c>
      <c r="AY64" s="3595">
        <v>0.37</v>
      </c>
      <c r="AZ64" s="3595">
        <v>0.51</v>
      </c>
      <c r="BA64" s="3595">
        <v>0.69</v>
      </c>
      <c r="BB64" s="3595">
        <v>2.0499999999999998</v>
      </c>
      <c r="BC64" s="3595">
        <v>0.4</v>
      </c>
      <c r="BD64" s="3595">
        <v>0.68</v>
      </c>
      <c r="BE64" s="3595">
        <v>0.99</v>
      </c>
      <c r="BF64" s="3595">
        <v>0.53</v>
      </c>
      <c r="BG64" s="3595">
        <v>0.21</v>
      </c>
      <c r="BH64" s="3595">
        <v>0.59</v>
      </c>
      <c r="BI64" s="3595"/>
      <c r="BJ64" s="3595"/>
      <c r="BK64" s="3595"/>
      <c r="BL64" s="3595"/>
      <c r="BM64" s="3595"/>
      <c r="BN64" s="3595"/>
      <c r="BO64" s="3596"/>
      <c r="BP64" s="3596"/>
      <c r="BQ64" s="3596"/>
      <c r="BR64" s="3596"/>
      <c r="BS64" s="3596"/>
      <c r="BT64" s="3596"/>
      <c r="BU64" s="3596"/>
      <c r="BV64" s="3596"/>
      <c r="BW64" s="3596"/>
      <c r="BX64" s="3596"/>
      <c r="BY64" s="3596"/>
      <c r="BZ64" s="3596"/>
      <c r="CA64" s="3596"/>
      <c r="CB64" s="3596"/>
      <c r="CC64" s="3596"/>
      <c r="CD64" s="3596"/>
      <c r="CE64" s="3596"/>
      <c r="CF64" s="3596">
        <f t="shared" si="18"/>
        <v>10</v>
      </c>
    </row>
    <row r="65" spans="1:84" ht="37.5" customHeight="1">
      <c r="A65" s="1004" t="s">
        <v>2650</v>
      </c>
      <c r="B65" s="1080" t="s">
        <v>172</v>
      </c>
      <c r="C65" s="1080" t="s">
        <v>2439</v>
      </c>
      <c r="D65" s="2254" t="s">
        <v>85</v>
      </c>
      <c r="E65" s="2254" t="s">
        <v>65</v>
      </c>
      <c r="F65" s="3730" t="s">
        <v>2581</v>
      </c>
      <c r="G65" s="235"/>
      <c r="H65" s="2504">
        <v>150</v>
      </c>
      <c r="I65" s="298">
        <f t="shared" si="23"/>
        <v>1.5E-3</v>
      </c>
      <c r="J65" s="2504">
        <v>500</v>
      </c>
      <c r="K65" s="2995">
        <f t="shared" si="24"/>
        <v>0.75</v>
      </c>
      <c r="L65" s="2256" t="s">
        <v>5353</v>
      </c>
      <c r="M65" s="2257">
        <f>'Ab3. ASHA'!Q194</f>
        <v>0</v>
      </c>
      <c r="N65" s="3651">
        <v>0.75</v>
      </c>
      <c r="O65" s="3652"/>
      <c r="P65" s="3652"/>
      <c r="Q65" s="3652"/>
      <c r="R65" s="3652"/>
      <c r="S65" s="3652"/>
      <c r="T65" s="3652"/>
      <c r="U65" s="3652"/>
      <c r="V65" s="3652"/>
      <c r="W65" s="3652"/>
      <c r="X65" s="3652"/>
      <c r="Y65" s="3652"/>
      <c r="Z65" s="3652"/>
      <c r="AA65" s="3652"/>
      <c r="AB65" s="3652"/>
      <c r="AC65" s="3652"/>
      <c r="AD65" s="3652"/>
      <c r="AE65" s="3652"/>
      <c r="AF65" s="3652"/>
      <c r="AG65" s="3652"/>
      <c r="AH65" s="3652"/>
      <c r="AI65" s="3652"/>
      <c r="AJ65" s="3652"/>
      <c r="AK65" s="3652"/>
      <c r="AL65" s="3652"/>
      <c r="AM65" s="3652"/>
      <c r="AN65" s="3652"/>
      <c r="AO65" s="3652"/>
      <c r="AP65" s="3652"/>
      <c r="AQ65" s="3652"/>
      <c r="AR65" s="3652"/>
      <c r="AS65" s="3652"/>
      <c r="AT65" s="3652"/>
      <c r="AU65" s="3652"/>
      <c r="AV65" s="3652"/>
      <c r="AW65" s="3652"/>
      <c r="AX65" s="3595"/>
      <c r="AY65" s="3595">
        <v>0.03</v>
      </c>
      <c r="AZ65" s="3595">
        <v>0.05</v>
      </c>
      <c r="BA65" s="3595">
        <v>0.05</v>
      </c>
      <c r="BB65" s="3595">
        <v>7.0000000000000007E-2</v>
      </c>
      <c r="BC65" s="3595">
        <v>0.03</v>
      </c>
      <c r="BD65" s="3595">
        <v>7.0000000000000007E-2</v>
      </c>
      <c r="BE65" s="3595">
        <v>0.03</v>
      </c>
      <c r="BF65" s="3595">
        <v>0.12</v>
      </c>
      <c r="BG65" s="3595">
        <v>0.06</v>
      </c>
      <c r="BH65" s="3595">
        <v>0.1</v>
      </c>
      <c r="BI65" s="3595">
        <v>0.09</v>
      </c>
      <c r="BJ65" s="3595">
        <v>0.05</v>
      </c>
      <c r="BK65" s="3595"/>
      <c r="BL65" s="3595"/>
      <c r="BM65" s="3595"/>
      <c r="BN65" s="3595"/>
      <c r="BO65" s="3596"/>
      <c r="BP65" s="3596"/>
      <c r="BQ65" s="3596"/>
      <c r="BR65" s="3596"/>
      <c r="BS65" s="3596"/>
      <c r="BT65" s="3596"/>
      <c r="BU65" s="3596"/>
      <c r="BV65" s="3596"/>
      <c r="BW65" s="3596"/>
      <c r="BX65" s="3596"/>
      <c r="BY65" s="3596"/>
      <c r="BZ65" s="3596"/>
      <c r="CA65" s="3596"/>
      <c r="CB65" s="3596"/>
      <c r="CC65" s="3596"/>
      <c r="CD65" s="3596"/>
      <c r="CE65" s="3596"/>
      <c r="CF65" s="3596">
        <f t="shared" si="18"/>
        <v>0.75</v>
      </c>
    </row>
    <row r="66" spans="1:84" ht="37.5" customHeight="1">
      <c r="A66" s="1004" t="s">
        <v>2651</v>
      </c>
      <c r="B66" s="1080" t="s">
        <v>175</v>
      </c>
      <c r="C66" s="1080" t="s">
        <v>176</v>
      </c>
      <c r="D66" s="2254" t="s">
        <v>85</v>
      </c>
      <c r="E66" s="2254" t="s">
        <v>65</v>
      </c>
      <c r="F66" s="3730" t="s">
        <v>2581</v>
      </c>
      <c r="G66" s="290"/>
      <c r="H66" s="2504">
        <v>200</v>
      </c>
      <c r="I66" s="298">
        <f t="shared" si="23"/>
        <v>2E-3</v>
      </c>
      <c r="J66" s="2504">
        <v>8066</v>
      </c>
      <c r="K66" s="2995">
        <f t="shared" si="24"/>
        <v>16.132000000000001</v>
      </c>
      <c r="L66" s="2256" t="s">
        <v>5499</v>
      </c>
      <c r="M66" s="2257">
        <f>'Ab3. ASHA'!Q195</f>
        <v>0</v>
      </c>
      <c r="N66" s="3651">
        <v>16.13</v>
      </c>
      <c r="O66" s="3652"/>
      <c r="P66" s="3652"/>
      <c r="Q66" s="3652"/>
      <c r="R66" s="3652"/>
      <c r="S66" s="3652"/>
      <c r="T66" s="3652"/>
      <c r="U66" s="3652"/>
      <c r="V66" s="3652"/>
      <c r="W66" s="3652"/>
      <c r="X66" s="3652"/>
      <c r="Y66" s="3652"/>
      <c r="Z66" s="3652"/>
      <c r="AA66" s="3652"/>
      <c r="AB66" s="3652"/>
      <c r="AC66" s="3652"/>
      <c r="AD66" s="3652"/>
      <c r="AE66" s="3652"/>
      <c r="AF66" s="3652"/>
      <c r="AG66" s="3652"/>
      <c r="AH66" s="3652"/>
      <c r="AI66" s="3652"/>
      <c r="AJ66" s="3652"/>
      <c r="AK66" s="3652"/>
      <c r="AL66" s="3652"/>
      <c r="AM66" s="3652"/>
      <c r="AN66" s="3652"/>
      <c r="AO66" s="3652"/>
      <c r="AP66" s="3652"/>
      <c r="AQ66" s="3652"/>
      <c r="AR66" s="3652"/>
      <c r="AS66" s="3652"/>
      <c r="AT66" s="3652"/>
      <c r="AU66" s="3652"/>
      <c r="AV66" s="3652"/>
      <c r="AW66" s="3652"/>
      <c r="AX66" s="3595"/>
      <c r="AY66" s="3595">
        <v>1</v>
      </c>
      <c r="AZ66" s="3595">
        <v>1.2</v>
      </c>
      <c r="BA66" s="3595">
        <v>1.07</v>
      </c>
      <c r="BB66" s="3595">
        <v>3.67</v>
      </c>
      <c r="BC66" s="3595">
        <v>0.21</v>
      </c>
      <c r="BD66" s="3595">
        <v>0.99</v>
      </c>
      <c r="BE66" s="3595">
        <v>0.1</v>
      </c>
      <c r="BF66" s="3595">
        <v>2.5</v>
      </c>
      <c r="BG66" s="3595">
        <v>1.67</v>
      </c>
      <c r="BH66" s="3595">
        <v>1.23</v>
      </c>
      <c r="BI66" s="3595">
        <v>1.27</v>
      </c>
      <c r="BJ66" s="3595">
        <v>1.22</v>
      </c>
      <c r="BK66" s="3595"/>
      <c r="BL66" s="3595"/>
      <c r="BM66" s="3595"/>
      <c r="BN66" s="3595"/>
      <c r="BO66" s="3596"/>
      <c r="BP66" s="3596"/>
      <c r="BQ66" s="3596"/>
      <c r="BR66" s="3596"/>
      <c r="BS66" s="3596"/>
      <c r="BT66" s="3596"/>
      <c r="BU66" s="3596"/>
      <c r="BV66" s="3596"/>
      <c r="BW66" s="3596"/>
      <c r="BX66" s="3596"/>
      <c r="BY66" s="3596"/>
      <c r="BZ66" s="3596"/>
      <c r="CA66" s="3596"/>
      <c r="CB66" s="3596"/>
      <c r="CC66" s="3596"/>
      <c r="CD66" s="3596"/>
      <c r="CE66" s="3596"/>
      <c r="CF66" s="3596">
        <f t="shared" si="18"/>
        <v>16.13</v>
      </c>
    </row>
    <row r="67" spans="1:84" ht="37.5" customHeight="1">
      <c r="A67" s="1004" t="s">
        <v>2652</v>
      </c>
      <c r="B67" s="1080" t="s">
        <v>177</v>
      </c>
      <c r="C67" s="1080" t="s">
        <v>178</v>
      </c>
      <c r="D67" s="2254" t="s">
        <v>85</v>
      </c>
      <c r="E67" s="2254" t="s">
        <v>65</v>
      </c>
      <c r="F67" s="3730" t="s">
        <v>2581</v>
      </c>
      <c r="G67" s="235"/>
      <c r="H67" s="2504">
        <v>1</v>
      </c>
      <c r="I67" s="298">
        <f t="shared" si="23"/>
        <v>1.0000000000000001E-5</v>
      </c>
      <c r="J67" s="2504">
        <v>700000</v>
      </c>
      <c r="K67" s="2995">
        <f t="shared" si="24"/>
        <v>7.0000000000000009</v>
      </c>
      <c r="L67" s="2256" t="s">
        <v>5354</v>
      </c>
      <c r="M67" s="2257">
        <f>'Ab3. ASHA'!Q196</f>
        <v>0</v>
      </c>
      <c r="N67" s="3651">
        <v>7</v>
      </c>
      <c r="O67" s="3652"/>
      <c r="P67" s="3652"/>
      <c r="Q67" s="3652"/>
      <c r="R67" s="3652"/>
      <c r="S67" s="3652"/>
      <c r="T67" s="3652"/>
      <c r="U67" s="3652"/>
      <c r="V67" s="3652"/>
      <c r="W67" s="3652"/>
      <c r="X67" s="3652"/>
      <c r="Y67" s="3652"/>
      <c r="Z67" s="3652"/>
      <c r="AA67" s="3652"/>
      <c r="AB67" s="3652"/>
      <c r="AC67" s="3652"/>
      <c r="AD67" s="3652"/>
      <c r="AE67" s="3652"/>
      <c r="AF67" s="3652"/>
      <c r="AG67" s="3652"/>
      <c r="AH67" s="3652"/>
      <c r="AI67" s="3652"/>
      <c r="AJ67" s="3652"/>
      <c r="AK67" s="3652"/>
      <c r="AL67" s="3652"/>
      <c r="AM67" s="3652"/>
      <c r="AN67" s="3652"/>
      <c r="AO67" s="3652"/>
      <c r="AP67" s="3652"/>
      <c r="AQ67" s="3652"/>
      <c r="AR67" s="3652"/>
      <c r="AS67" s="3652"/>
      <c r="AT67" s="3652"/>
      <c r="AU67" s="3652"/>
      <c r="AV67" s="3652"/>
      <c r="AW67" s="3652"/>
      <c r="AX67" s="3595"/>
      <c r="AY67" s="3595">
        <v>0.35</v>
      </c>
      <c r="AZ67" s="3595">
        <v>0.56000000000000005</v>
      </c>
      <c r="BA67" s="3595">
        <v>0.39</v>
      </c>
      <c r="BB67" s="3595">
        <v>1.45</v>
      </c>
      <c r="BC67" s="3595">
        <v>7.0000000000000007E-2</v>
      </c>
      <c r="BD67" s="3595">
        <v>0.39</v>
      </c>
      <c r="BE67" s="3595">
        <v>0.02</v>
      </c>
      <c r="BF67" s="3595">
        <v>0.83</v>
      </c>
      <c r="BG67" s="3595">
        <v>0.71</v>
      </c>
      <c r="BH67" s="3595">
        <v>0.68</v>
      </c>
      <c r="BI67" s="3595">
        <v>0.96</v>
      </c>
      <c r="BJ67" s="3595">
        <v>0.59</v>
      </c>
      <c r="BK67" s="3595"/>
      <c r="BL67" s="3595"/>
      <c r="BM67" s="3595"/>
      <c r="BN67" s="3595"/>
      <c r="BO67" s="3596"/>
      <c r="BP67" s="3596"/>
      <c r="BQ67" s="3596"/>
      <c r="BR67" s="3596"/>
      <c r="BS67" s="3596"/>
      <c r="BT67" s="3596"/>
      <c r="BU67" s="3596"/>
      <c r="BV67" s="3596"/>
      <c r="BW67" s="3596"/>
      <c r="BX67" s="3596"/>
      <c r="BY67" s="3596"/>
      <c r="BZ67" s="3596"/>
      <c r="CA67" s="3596"/>
      <c r="CB67" s="3596"/>
      <c r="CC67" s="3596"/>
      <c r="CD67" s="3596"/>
      <c r="CE67" s="3596"/>
      <c r="CF67" s="3596">
        <f t="shared" si="18"/>
        <v>6.9999999999999991</v>
      </c>
    </row>
    <row r="68" spans="1:84" ht="37.5" customHeight="1">
      <c r="A68" s="1004" t="s">
        <v>2657</v>
      </c>
      <c r="B68" s="1080"/>
      <c r="C68" s="3735" t="s">
        <v>3224</v>
      </c>
      <c r="D68" s="2254" t="s">
        <v>85</v>
      </c>
      <c r="E68" s="2254" t="s">
        <v>65</v>
      </c>
      <c r="F68" s="3730" t="s">
        <v>2581</v>
      </c>
      <c r="G68" s="235"/>
      <c r="H68" s="2504">
        <v>250</v>
      </c>
      <c r="I68" s="298">
        <f t="shared" si="23"/>
        <v>2.5000000000000001E-3</v>
      </c>
      <c r="J68" s="2328">
        <v>20000</v>
      </c>
      <c r="K68" s="2995">
        <f t="shared" si="24"/>
        <v>50</v>
      </c>
      <c r="L68" s="2256" t="s">
        <v>5355</v>
      </c>
      <c r="M68" s="2257">
        <f>'Ab3. ASHA'!Q197</f>
        <v>0</v>
      </c>
      <c r="N68" s="3651">
        <v>50</v>
      </c>
      <c r="O68" s="3652"/>
      <c r="P68" s="3652"/>
      <c r="Q68" s="3652"/>
      <c r="R68" s="3652"/>
      <c r="S68" s="3652"/>
      <c r="T68" s="3652"/>
      <c r="U68" s="3652"/>
      <c r="V68" s="3652"/>
      <c r="W68" s="3652"/>
      <c r="X68" s="3652"/>
      <c r="Y68" s="3652"/>
      <c r="Z68" s="3652"/>
      <c r="AA68" s="3652"/>
      <c r="AB68" s="3652"/>
      <c r="AC68" s="3652"/>
      <c r="AD68" s="3652"/>
      <c r="AE68" s="3652"/>
      <c r="AF68" s="3652"/>
      <c r="AG68" s="3652"/>
      <c r="AH68" s="3652"/>
      <c r="AI68" s="3652"/>
      <c r="AJ68" s="3652"/>
      <c r="AK68" s="3652"/>
      <c r="AL68" s="3652"/>
      <c r="AM68" s="3652"/>
      <c r="AN68" s="3652"/>
      <c r="AO68" s="3652"/>
      <c r="AP68" s="3652"/>
      <c r="AQ68" s="3652"/>
      <c r="AR68" s="3652"/>
      <c r="AS68" s="3652"/>
      <c r="AT68" s="3652"/>
      <c r="AU68" s="3652"/>
      <c r="AV68" s="3652"/>
      <c r="AW68" s="3652"/>
      <c r="AX68" s="3595"/>
      <c r="AY68" s="3595"/>
      <c r="AZ68" s="3595">
        <v>7.47</v>
      </c>
      <c r="BA68" s="3595"/>
      <c r="BB68" s="3595"/>
      <c r="BC68" s="3595"/>
      <c r="BD68" s="3595">
        <v>6.18</v>
      </c>
      <c r="BE68" s="3595"/>
      <c r="BF68" s="3595">
        <v>12.7</v>
      </c>
      <c r="BG68" s="3595">
        <v>16</v>
      </c>
      <c r="BH68" s="3595">
        <v>7.65</v>
      </c>
      <c r="BI68" s="3595"/>
      <c r="BJ68" s="3595"/>
      <c r="BK68" s="3595"/>
      <c r="BL68" s="3595"/>
      <c r="BM68" s="3595"/>
      <c r="BN68" s="3595"/>
      <c r="BO68" s="3596"/>
      <c r="BP68" s="3596"/>
      <c r="BQ68" s="3596"/>
      <c r="BR68" s="3596"/>
      <c r="BS68" s="3596"/>
      <c r="BT68" s="3596"/>
      <c r="BU68" s="3596"/>
      <c r="BV68" s="3596"/>
      <c r="BW68" s="3596"/>
      <c r="BX68" s="3596"/>
      <c r="BY68" s="3596"/>
      <c r="BZ68" s="3596"/>
      <c r="CA68" s="3596"/>
      <c r="CB68" s="3596"/>
      <c r="CC68" s="3596"/>
      <c r="CD68" s="3596"/>
      <c r="CE68" s="3596"/>
      <c r="CF68" s="3596">
        <f t="shared" si="18"/>
        <v>49.999999999999993</v>
      </c>
    </row>
    <row r="69" spans="1:84" ht="37.5" customHeight="1">
      <c r="A69" s="1004" t="s">
        <v>2656</v>
      </c>
      <c r="B69" s="1080" t="s">
        <v>199</v>
      </c>
      <c r="C69" s="1080" t="s">
        <v>3946</v>
      </c>
      <c r="D69" s="2254" t="s">
        <v>85</v>
      </c>
      <c r="E69" s="2254" t="s">
        <v>200</v>
      </c>
      <c r="F69" s="3730" t="s">
        <v>2584</v>
      </c>
      <c r="G69" s="2669">
        <v>1</v>
      </c>
      <c r="H69" s="2520">
        <v>225</v>
      </c>
      <c r="I69" s="298">
        <f>H69/100000</f>
        <v>2.2499999999999998E-3</v>
      </c>
      <c r="J69" s="2520">
        <v>113000</v>
      </c>
      <c r="K69" s="212">
        <f>I69*J69</f>
        <v>254.24999999999997</v>
      </c>
      <c r="L69" s="2256" t="s">
        <v>5489</v>
      </c>
      <c r="M69" s="2257">
        <f>'Ab3. ASHA'!Q199</f>
        <v>0</v>
      </c>
      <c r="N69" s="3651">
        <v>254.25</v>
      </c>
      <c r="O69" s="3652"/>
      <c r="P69" s="3652"/>
      <c r="Q69" s="3652"/>
      <c r="R69" s="3652"/>
      <c r="S69" s="3652"/>
      <c r="T69" s="3652"/>
      <c r="U69" s="3652"/>
      <c r="V69" s="3652"/>
      <c r="W69" s="3652"/>
      <c r="X69" s="3652"/>
      <c r="Y69" s="3652"/>
      <c r="Z69" s="3652"/>
      <c r="AA69" s="3652"/>
      <c r="AB69" s="3652"/>
      <c r="AC69" s="3652"/>
      <c r="AD69" s="3652"/>
      <c r="AE69" s="3652"/>
      <c r="AF69" s="3652"/>
      <c r="AG69" s="3652"/>
      <c r="AH69" s="3652"/>
      <c r="AI69" s="3652"/>
      <c r="AJ69" s="3652"/>
      <c r="AK69" s="3652"/>
      <c r="AL69" s="3652"/>
      <c r="AM69" s="3652"/>
      <c r="AN69" s="3652"/>
      <c r="AO69" s="3652"/>
      <c r="AP69" s="3652"/>
      <c r="AQ69" s="3652"/>
      <c r="AR69" s="3652"/>
      <c r="AS69" s="3652"/>
      <c r="AT69" s="3652"/>
      <c r="AU69" s="3652"/>
      <c r="AV69" s="3652"/>
      <c r="AW69" s="3652"/>
      <c r="AX69" s="3595"/>
      <c r="AY69" s="3595">
        <v>15.23</v>
      </c>
      <c r="AZ69" s="3595">
        <v>20.59</v>
      </c>
      <c r="BA69" s="3595">
        <v>16.559999999999999</v>
      </c>
      <c r="BB69" s="3595">
        <v>50.95</v>
      </c>
      <c r="BC69" s="3595">
        <v>3.78</v>
      </c>
      <c r="BD69" s="3595">
        <v>15.96</v>
      </c>
      <c r="BE69" s="3595">
        <v>2.02</v>
      </c>
      <c r="BF69" s="3595">
        <v>33.72</v>
      </c>
      <c r="BG69" s="3595">
        <v>26.12</v>
      </c>
      <c r="BH69" s="3595">
        <v>23.05</v>
      </c>
      <c r="BI69" s="3595">
        <v>26.03</v>
      </c>
      <c r="BJ69" s="3595">
        <v>20.239999999999998</v>
      </c>
      <c r="BK69" s="3595"/>
      <c r="BL69" s="3595"/>
      <c r="BM69" s="3595"/>
      <c r="BN69" s="3595"/>
      <c r="BO69" s="3595"/>
      <c r="BP69" s="3595"/>
      <c r="BQ69" s="3595"/>
      <c r="BR69" s="3595"/>
      <c r="BS69" s="3595"/>
      <c r="BT69" s="3595"/>
      <c r="BU69" s="3595"/>
      <c r="BV69" s="3595"/>
      <c r="BW69" s="3595"/>
      <c r="BX69" s="3595"/>
      <c r="BY69" s="3595"/>
      <c r="BZ69" s="3595"/>
      <c r="CA69" s="3595"/>
      <c r="CB69" s="3595"/>
      <c r="CC69" s="3595"/>
      <c r="CD69" s="3595"/>
      <c r="CE69" s="3595"/>
      <c r="CF69" s="3595">
        <f t="shared" si="18"/>
        <v>254.25000000000003</v>
      </c>
    </row>
    <row r="70" spans="1:84" ht="37.5" customHeight="1">
      <c r="A70" s="1004" t="s">
        <v>2661</v>
      </c>
      <c r="B70" s="1080" t="s">
        <v>179</v>
      </c>
      <c r="C70" s="1080" t="s">
        <v>180</v>
      </c>
      <c r="D70" s="2254" t="s">
        <v>85</v>
      </c>
      <c r="E70" s="2254" t="s">
        <v>65</v>
      </c>
      <c r="F70" s="3730" t="s">
        <v>2580</v>
      </c>
      <c r="G70" s="3553">
        <v>1</v>
      </c>
      <c r="H70" s="2536">
        <v>150</v>
      </c>
      <c r="I70" s="298">
        <f t="shared" ref="I70:I71" si="25">H70/100000</f>
        <v>1.5E-3</v>
      </c>
      <c r="J70" s="2536">
        <v>2000</v>
      </c>
      <c r="K70" s="212">
        <f t="shared" ref="K70:K71" si="26">I70*J70</f>
        <v>3</v>
      </c>
      <c r="L70" s="2537" t="s">
        <v>5324</v>
      </c>
      <c r="M70" s="2257">
        <f>'Ab3. ASHA'!Q205</f>
        <v>0</v>
      </c>
      <c r="N70" s="3651">
        <v>3</v>
      </c>
      <c r="O70" s="3652"/>
      <c r="P70" s="3652"/>
      <c r="Q70" s="3652"/>
      <c r="R70" s="3652"/>
      <c r="S70" s="3652"/>
      <c r="T70" s="3652"/>
      <c r="U70" s="3652"/>
      <c r="V70" s="3652"/>
      <c r="W70" s="3652"/>
      <c r="X70" s="3652"/>
      <c r="Y70" s="3652"/>
      <c r="Z70" s="3652"/>
      <c r="AA70" s="3652"/>
      <c r="AB70" s="3652"/>
      <c r="AC70" s="3652"/>
      <c r="AD70" s="3652"/>
      <c r="AE70" s="3652"/>
      <c r="AF70" s="3652"/>
      <c r="AG70" s="3652"/>
      <c r="AH70" s="3652"/>
      <c r="AI70" s="3652"/>
      <c r="AJ70" s="3652"/>
      <c r="AK70" s="3652"/>
      <c r="AL70" s="3652"/>
      <c r="AM70" s="3652"/>
      <c r="AN70" s="3652"/>
      <c r="AO70" s="3652"/>
      <c r="AP70" s="3652"/>
      <c r="AQ70" s="3652"/>
      <c r="AR70" s="3652"/>
      <c r="AS70" s="3652"/>
      <c r="AT70" s="3652"/>
      <c r="AU70" s="3652"/>
      <c r="AV70" s="3652"/>
      <c r="AW70" s="3652"/>
      <c r="AX70" s="3595"/>
      <c r="AY70" s="3595">
        <v>0.45</v>
      </c>
      <c r="AZ70" s="3595">
        <v>0.08</v>
      </c>
      <c r="BA70" s="3595">
        <v>0.06</v>
      </c>
      <c r="BB70" s="3595">
        <v>0.4</v>
      </c>
      <c r="BC70" s="3595">
        <v>0.1</v>
      </c>
      <c r="BD70" s="3595">
        <v>0.1</v>
      </c>
      <c r="BE70" s="3595">
        <v>0.05</v>
      </c>
      <c r="BF70" s="3595">
        <v>0.16</v>
      </c>
      <c r="BG70" s="3595">
        <v>0.2</v>
      </c>
      <c r="BH70" s="3595">
        <v>0.2</v>
      </c>
      <c r="BI70" s="3595">
        <v>0.5</v>
      </c>
      <c r="BJ70" s="3595">
        <v>0.7</v>
      </c>
      <c r="BK70" s="3595"/>
      <c r="BL70" s="3595"/>
      <c r="BM70" s="3595"/>
      <c r="BN70" s="3595"/>
      <c r="BO70" s="3595"/>
      <c r="BP70" s="3595"/>
      <c r="BQ70" s="3595"/>
      <c r="BR70" s="3595"/>
      <c r="BS70" s="3595"/>
      <c r="BT70" s="3595"/>
      <c r="BU70" s="3595"/>
      <c r="BV70" s="3595"/>
      <c r="BW70" s="3595"/>
      <c r="BX70" s="3595"/>
      <c r="BY70" s="3595"/>
      <c r="BZ70" s="3595"/>
      <c r="CA70" s="3595"/>
      <c r="CB70" s="3595"/>
      <c r="CC70" s="3595"/>
      <c r="CD70" s="3595"/>
      <c r="CE70" s="3595"/>
      <c r="CF70" s="3595">
        <f t="shared" si="18"/>
        <v>3</v>
      </c>
    </row>
    <row r="71" spans="1:84" ht="37.5" customHeight="1">
      <c r="A71" s="1004" t="s">
        <v>2662</v>
      </c>
      <c r="B71" s="1080" t="s">
        <v>181</v>
      </c>
      <c r="C71" s="1080" t="s">
        <v>182</v>
      </c>
      <c r="D71" s="2254" t="s">
        <v>85</v>
      </c>
      <c r="E71" s="2254" t="s">
        <v>65</v>
      </c>
      <c r="F71" s="3730" t="s">
        <v>2580</v>
      </c>
      <c r="G71" s="3553">
        <v>1</v>
      </c>
      <c r="H71" s="2536">
        <v>150</v>
      </c>
      <c r="I71" s="298">
        <f t="shared" si="25"/>
        <v>1.5E-3</v>
      </c>
      <c r="J71" s="2536">
        <v>200</v>
      </c>
      <c r="K71" s="212">
        <f t="shared" si="26"/>
        <v>0.3</v>
      </c>
      <c r="L71" s="2537" t="s">
        <v>5325</v>
      </c>
      <c r="M71" s="2257">
        <f>'Ab3. ASHA'!Q206</f>
        <v>0</v>
      </c>
      <c r="N71" s="3651">
        <v>0.3</v>
      </c>
      <c r="O71" s="3652"/>
      <c r="P71" s="3652"/>
      <c r="Q71" s="3652"/>
      <c r="R71" s="3652"/>
      <c r="S71" s="3652"/>
      <c r="T71" s="3652"/>
      <c r="U71" s="3652"/>
      <c r="V71" s="3652"/>
      <c r="W71" s="3652"/>
      <c r="X71" s="3652"/>
      <c r="Y71" s="3652"/>
      <c r="Z71" s="3652"/>
      <c r="AA71" s="3652"/>
      <c r="AB71" s="3652"/>
      <c r="AC71" s="3652"/>
      <c r="AD71" s="3652"/>
      <c r="AE71" s="3652"/>
      <c r="AF71" s="3652"/>
      <c r="AG71" s="3652"/>
      <c r="AH71" s="3652"/>
      <c r="AI71" s="3652"/>
      <c r="AJ71" s="3652"/>
      <c r="AK71" s="3652"/>
      <c r="AL71" s="3652"/>
      <c r="AM71" s="3652"/>
      <c r="AN71" s="3652"/>
      <c r="AO71" s="3652"/>
      <c r="AP71" s="3652"/>
      <c r="AQ71" s="3652"/>
      <c r="AR71" s="3652"/>
      <c r="AS71" s="3652"/>
      <c r="AT71" s="3652"/>
      <c r="AU71" s="3652"/>
      <c r="AV71" s="3652"/>
      <c r="AW71" s="3652"/>
      <c r="AX71" s="3595"/>
      <c r="AY71" s="3595">
        <v>0.02</v>
      </c>
      <c r="AZ71" s="3595">
        <v>0.02</v>
      </c>
      <c r="BA71" s="3595">
        <v>0.02</v>
      </c>
      <c r="BB71" s="3595">
        <v>0.04</v>
      </c>
      <c r="BC71" s="3595">
        <v>0.02</v>
      </c>
      <c r="BD71" s="3595">
        <v>0.03</v>
      </c>
      <c r="BE71" s="3595">
        <v>0.01</v>
      </c>
      <c r="BF71" s="3595">
        <v>0.03</v>
      </c>
      <c r="BG71" s="3595">
        <v>0.04</v>
      </c>
      <c r="BH71" s="3595">
        <v>0.02</v>
      </c>
      <c r="BI71" s="3595">
        <v>0.03</v>
      </c>
      <c r="BJ71" s="3595">
        <v>0.02</v>
      </c>
      <c r="BK71" s="3595"/>
      <c r="BL71" s="3595"/>
      <c r="BM71" s="3595"/>
      <c r="BN71" s="3595"/>
      <c r="BO71" s="3595"/>
      <c r="BP71" s="3595"/>
      <c r="BQ71" s="3595"/>
      <c r="BR71" s="3595"/>
      <c r="BS71" s="3595"/>
      <c r="BT71" s="3595"/>
      <c r="BU71" s="3595"/>
      <c r="BV71" s="3595"/>
      <c r="BW71" s="3595"/>
      <c r="BX71" s="3595"/>
      <c r="BY71" s="3595"/>
      <c r="BZ71" s="3595"/>
      <c r="CA71" s="3595"/>
      <c r="CB71" s="3595"/>
      <c r="CC71" s="3595"/>
      <c r="CD71" s="3595"/>
      <c r="CE71" s="3595"/>
      <c r="CF71" s="3595">
        <f t="shared" si="18"/>
        <v>0.30000000000000004</v>
      </c>
    </row>
    <row r="72" spans="1:84" s="3706" customFormat="1" ht="37.5" customHeight="1">
      <c r="A72" s="3698"/>
      <c r="B72" s="3698"/>
      <c r="C72" s="3699" t="s">
        <v>2373</v>
      </c>
      <c r="D72" s="3700" t="s">
        <v>85</v>
      </c>
      <c r="E72" s="3700" t="s">
        <v>65</v>
      </c>
      <c r="F72" s="1193" t="s">
        <v>3754</v>
      </c>
      <c r="G72" s="230"/>
      <c r="H72" s="231">
        <v>200</v>
      </c>
      <c r="I72" s="3701">
        <f>H72/100000</f>
        <v>2E-3</v>
      </c>
      <c r="J72" s="231">
        <v>1200</v>
      </c>
      <c r="K72" s="3701">
        <f>I72*J72</f>
        <v>2.4</v>
      </c>
      <c r="L72" s="179" t="s">
        <v>5427</v>
      </c>
      <c r="M72" s="3702">
        <f>'Ab3. ASHA'!Q210</f>
        <v>0</v>
      </c>
      <c r="N72" s="3703">
        <v>2.4</v>
      </c>
      <c r="O72" s="3704"/>
      <c r="P72" s="3704"/>
      <c r="Q72" s="3704"/>
      <c r="R72" s="3704"/>
      <c r="S72" s="3704"/>
      <c r="T72" s="3704"/>
      <c r="U72" s="3704"/>
      <c r="V72" s="3704"/>
      <c r="W72" s="3704"/>
      <c r="X72" s="3704"/>
      <c r="Y72" s="3704"/>
      <c r="Z72" s="3704"/>
      <c r="AA72" s="3704"/>
      <c r="AB72" s="3704"/>
      <c r="AC72" s="3704"/>
      <c r="AD72" s="3704"/>
      <c r="AE72" s="3704"/>
      <c r="AF72" s="3704"/>
      <c r="AG72" s="3704"/>
      <c r="AH72" s="3704"/>
      <c r="AI72" s="3704"/>
      <c r="AJ72" s="3704"/>
      <c r="AK72" s="3704"/>
      <c r="AL72" s="3704"/>
      <c r="AM72" s="3704"/>
      <c r="AN72" s="3704"/>
      <c r="AO72" s="3704"/>
      <c r="AP72" s="3704"/>
      <c r="AQ72" s="3704"/>
      <c r="AR72" s="3704"/>
      <c r="AS72" s="3704"/>
      <c r="AT72" s="3704"/>
      <c r="AU72" s="3704"/>
      <c r="AV72" s="3704"/>
      <c r="AW72" s="3704"/>
      <c r="AX72" s="3705">
        <v>0.05</v>
      </c>
      <c r="AY72" s="3705">
        <v>0.13</v>
      </c>
      <c r="AZ72" s="3705">
        <v>0.18</v>
      </c>
      <c r="BA72" s="3705">
        <v>0.16</v>
      </c>
      <c r="BB72" s="3705">
        <v>0.55000000000000004</v>
      </c>
      <c r="BC72" s="3705">
        <v>0.03</v>
      </c>
      <c r="BD72" s="3705">
        <v>0.15</v>
      </c>
      <c r="BE72" s="3705">
        <v>0.01</v>
      </c>
      <c r="BF72" s="3705">
        <v>0.37</v>
      </c>
      <c r="BG72" s="3705">
        <v>0.23</v>
      </c>
      <c r="BH72" s="3705">
        <v>0.18</v>
      </c>
      <c r="BI72" s="3705">
        <v>0.18</v>
      </c>
      <c r="BJ72" s="3705">
        <v>0.18</v>
      </c>
      <c r="BK72" s="3705"/>
      <c r="BL72" s="3705"/>
      <c r="BM72" s="3705"/>
      <c r="BN72" s="3705"/>
      <c r="BO72" s="3705"/>
      <c r="BP72" s="3705"/>
      <c r="BQ72" s="3705"/>
      <c r="BR72" s="3705"/>
      <c r="BS72" s="3705"/>
      <c r="BT72" s="3705"/>
      <c r="BU72" s="3705"/>
      <c r="BV72" s="3705"/>
      <c r="BW72" s="3705"/>
      <c r="BX72" s="3705"/>
      <c r="BY72" s="3705"/>
      <c r="BZ72" s="3705"/>
      <c r="CA72" s="3705"/>
      <c r="CB72" s="3705"/>
      <c r="CC72" s="3705"/>
      <c r="CD72" s="3705"/>
      <c r="CE72" s="3705"/>
      <c r="CF72" s="3705">
        <f t="shared" si="18"/>
        <v>2.4000000000000004</v>
      </c>
    </row>
    <row r="73" spans="1:84" ht="37.5" customHeight="1">
      <c r="A73" s="1004" t="s">
        <v>2675</v>
      </c>
      <c r="B73" s="1080" t="s">
        <v>201</v>
      </c>
      <c r="C73" s="1080" t="s">
        <v>202</v>
      </c>
      <c r="D73" s="2254" t="s">
        <v>85</v>
      </c>
      <c r="E73" s="2254" t="s">
        <v>203</v>
      </c>
      <c r="F73" s="3730" t="s">
        <v>2585</v>
      </c>
      <c r="G73" s="235"/>
      <c r="H73" s="283">
        <v>300</v>
      </c>
      <c r="I73" s="298">
        <f>H73/100000</f>
        <v>3.0000000000000001E-3</v>
      </c>
      <c r="J73" s="283">
        <v>7809</v>
      </c>
      <c r="K73" s="212">
        <f>I73*J73</f>
        <v>23.427</v>
      </c>
      <c r="L73" s="2452" t="s">
        <v>5206</v>
      </c>
      <c r="M73" s="2257">
        <f>'Ab3. ASHA'!Q215</f>
        <v>0</v>
      </c>
      <c r="N73" s="3651">
        <v>23.43</v>
      </c>
      <c r="O73" s="3652"/>
      <c r="P73" s="3652"/>
      <c r="Q73" s="3652"/>
      <c r="R73" s="3652"/>
      <c r="S73" s="3652"/>
      <c r="T73" s="3652"/>
      <c r="U73" s="3652"/>
      <c r="V73" s="3652"/>
      <c r="W73" s="3652"/>
      <c r="X73" s="3652"/>
      <c r="Y73" s="3652"/>
      <c r="Z73" s="3652"/>
      <c r="AA73" s="3652"/>
      <c r="AB73" s="3652"/>
      <c r="AC73" s="3652"/>
      <c r="AD73" s="3652"/>
      <c r="AE73" s="3652"/>
      <c r="AF73" s="3652"/>
      <c r="AG73" s="3652"/>
      <c r="AH73" s="3652"/>
      <c r="AI73" s="3652"/>
      <c r="AJ73" s="3652"/>
      <c r="AK73" s="3652"/>
      <c r="AL73" s="3652"/>
      <c r="AM73" s="3652"/>
      <c r="AN73" s="3652"/>
      <c r="AO73" s="3652"/>
      <c r="AP73" s="3652"/>
      <c r="AQ73" s="3652"/>
      <c r="AR73" s="3652"/>
      <c r="AS73" s="3652"/>
      <c r="AT73" s="3652"/>
      <c r="AU73" s="3652"/>
      <c r="AV73" s="3652"/>
      <c r="AW73" s="3652"/>
      <c r="AX73" s="3595">
        <v>0</v>
      </c>
      <c r="AY73" s="3595">
        <v>1.5</v>
      </c>
      <c r="AZ73" s="3595">
        <v>1.8</v>
      </c>
      <c r="BA73" s="3595">
        <v>1.6</v>
      </c>
      <c r="BB73" s="3595">
        <v>5.46</v>
      </c>
      <c r="BC73" s="3595">
        <v>0</v>
      </c>
      <c r="BD73" s="3595">
        <v>1.48</v>
      </c>
      <c r="BE73" s="3595">
        <v>0</v>
      </c>
      <c r="BF73" s="3595">
        <v>3.75</v>
      </c>
      <c r="BG73" s="3595">
        <v>2.34</v>
      </c>
      <c r="BH73" s="3595">
        <v>1.84</v>
      </c>
      <c r="BI73" s="3595">
        <v>1.84</v>
      </c>
      <c r="BJ73" s="3595">
        <v>1.82</v>
      </c>
      <c r="BK73" s="3595"/>
      <c r="BL73" s="3595"/>
      <c r="BM73" s="3595"/>
      <c r="BN73" s="3595"/>
      <c r="BO73" s="3595"/>
      <c r="BP73" s="3595"/>
      <c r="BQ73" s="3595"/>
      <c r="BR73" s="3595"/>
      <c r="BS73" s="3595"/>
      <c r="BT73" s="3595"/>
      <c r="BU73" s="3595"/>
      <c r="BV73" s="3595"/>
      <c r="BW73" s="3595"/>
      <c r="BX73" s="3595"/>
      <c r="BY73" s="3595"/>
      <c r="BZ73" s="3595"/>
      <c r="CA73" s="3595"/>
      <c r="CB73" s="3595"/>
      <c r="CC73" s="3595"/>
      <c r="CD73" s="3595"/>
      <c r="CE73" s="3595"/>
      <c r="CF73" s="3595">
        <f t="shared" si="18"/>
        <v>23.43</v>
      </c>
    </row>
    <row r="74" spans="1:84" ht="37.5" customHeight="1">
      <c r="A74" s="1004" t="s">
        <v>2668</v>
      </c>
      <c r="B74" s="233" t="s">
        <v>204</v>
      </c>
      <c r="C74" s="233" t="s">
        <v>4302</v>
      </c>
      <c r="D74" s="2254" t="s">
        <v>4219</v>
      </c>
      <c r="E74" s="2254" t="s">
        <v>109</v>
      </c>
      <c r="F74" s="2543" t="s">
        <v>4713</v>
      </c>
      <c r="G74" s="230"/>
      <c r="H74" s="2545">
        <v>5</v>
      </c>
      <c r="I74" s="298">
        <f t="shared" ref="I74" si="27">H74/100000</f>
        <v>5.0000000000000002E-5</v>
      </c>
      <c r="J74" s="2545">
        <v>10000</v>
      </c>
      <c r="K74" s="212">
        <f t="shared" ref="K74" si="28">I74*J74</f>
        <v>0.5</v>
      </c>
      <c r="L74" s="2256"/>
      <c r="M74" s="2257">
        <f>'Ab3. ASHA'!Q217</f>
        <v>0</v>
      </c>
      <c r="N74" s="3651">
        <v>0.5</v>
      </c>
      <c r="O74" s="3652"/>
      <c r="P74" s="3652"/>
      <c r="Q74" s="3652"/>
      <c r="R74" s="3652"/>
      <c r="S74" s="3652"/>
      <c r="T74" s="3652"/>
      <c r="U74" s="3652"/>
      <c r="V74" s="3652"/>
      <c r="W74" s="3652"/>
      <c r="X74" s="3652"/>
      <c r="Y74" s="3652"/>
      <c r="Z74" s="3652"/>
      <c r="AA74" s="3652"/>
      <c r="AB74" s="3652"/>
      <c r="AC74" s="3652"/>
      <c r="AD74" s="3652"/>
      <c r="AE74" s="3652"/>
      <c r="AF74" s="3652"/>
      <c r="AG74" s="3652"/>
      <c r="AH74" s="3652"/>
      <c r="AI74" s="3652"/>
      <c r="AJ74" s="3652"/>
      <c r="AK74" s="3652"/>
      <c r="AL74" s="3652"/>
      <c r="AM74" s="3652"/>
      <c r="AN74" s="3652"/>
      <c r="AO74" s="3652"/>
      <c r="AP74" s="3652"/>
      <c r="AQ74" s="3652"/>
      <c r="AR74" s="3652"/>
      <c r="AS74" s="3652"/>
      <c r="AT74" s="3652"/>
      <c r="AU74" s="3652"/>
      <c r="AV74" s="3652"/>
      <c r="AW74" s="3652"/>
      <c r="AX74" s="3595"/>
      <c r="AY74" s="3595">
        <v>0.05</v>
      </c>
      <c r="AZ74" s="3595">
        <v>0.02</v>
      </c>
      <c r="BA74" s="3595">
        <v>0.05</v>
      </c>
      <c r="BB74" s="3595">
        <v>0.08</v>
      </c>
      <c r="BC74" s="3595">
        <v>0</v>
      </c>
      <c r="BD74" s="3595">
        <v>0.02</v>
      </c>
      <c r="BE74" s="3595">
        <v>0</v>
      </c>
      <c r="BF74" s="3595">
        <v>0.08</v>
      </c>
      <c r="BG74" s="3595">
        <v>0.02</v>
      </c>
      <c r="BH74" s="3595">
        <v>0.06</v>
      </c>
      <c r="BI74" s="3595">
        <v>0.06</v>
      </c>
      <c r="BJ74" s="3595">
        <v>0.06</v>
      </c>
      <c r="BK74" s="3595"/>
      <c r="BL74" s="3595"/>
      <c r="BM74" s="3595"/>
      <c r="BN74" s="3595"/>
      <c r="BO74" s="3595"/>
      <c r="BP74" s="3595"/>
      <c r="BQ74" s="3595"/>
      <c r="BR74" s="3595"/>
      <c r="BS74" s="3595"/>
      <c r="BT74" s="3595"/>
      <c r="BU74" s="3595"/>
      <c r="BV74" s="3595"/>
      <c r="BW74" s="3595"/>
      <c r="BX74" s="3595"/>
      <c r="BY74" s="3595"/>
      <c r="BZ74" s="3595"/>
      <c r="CA74" s="3595"/>
      <c r="CB74" s="3595"/>
      <c r="CC74" s="3595"/>
      <c r="CD74" s="3595"/>
      <c r="CE74" s="3595"/>
      <c r="CF74" s="3595">
        <f t="shared" si="18"/>
        <v>0.5</v>
      </c>
    </row>
    <row r="75" spans="1:84" ht="37.5" customHeight="1">
      <c r="A75" s="1004" t="s">
        <v>4444</v>
      </c>
      <c r="B75" s="233" t="s">
        <v>215</v>
      </c>
      <c r="C75" s="1179" t="s">
        <v>4338</v>
      </c>
      <c r="D75" s="2254" t="s">
        <v>4219</v>
      </c>
      <c r="E75" s="2254" t="s">
        <v>141</v>
      </c>
      <c r="F75" s="3730" t="s">
        <v>2586</v>
      </c>
      <c r="G75" s="2347">
        <v>0</v>
      </c>
      <c r="H75" s="2349">
        <v>250</v>
      </c>
      <c r="I75" s="298">
        <f t="shared" ref="I75:I80" si="29">H75/100000</f>
        <v>2.5000000000000001E-3</v>
      </c>
      <c r="J75" s="2349">
        <v>50</v>
      </c>
      <c r="K75" s="212">
        <f t="shared" ref="K75:K88" si="30">I75*J75</f>
        <v>0.125</v>
      </c>
      <c r="L75" s="2256" t="s">
        <v>5198</v>
      </c>
      <c r="M75" s="2257">
        <f>'Ab3. ASHA'!Q225</f>
        <v>0</v>
      </c>
      <c r="N75" s="3651">
        <v>0.13</v>
      </c>
      <c r="O75" s="3652"/>
      <c r="P75" s="3652"/>
      <c r="Q75" s="3652"/>
      <c r="R75" s="3652"/>
      <c r="S75" s="3652"/>
      <c r="T75" s="3652"/>
      <c r="U75" s="3652"/>
      <c r="V75" s="3652"/>
      <c r="W75" s="3652"/>
      <c r="X75" s="3652"/>
      <c r="Y75" s="3652"/>
      <c r="Z75" s="3652"/>
      <c r="AA75" s="3652"/>
      <c r="AB75" s="3652"/>
      <c r="AC75" s="3652"/>
      <c r="AD75" s="3652"/>
      <c r="AE75" s="3652"/>
      <c r="AF75" s="3652"/>
      <c r="AG75" s="3652"/>
      <c r="AH75" s="3652"/>
      <c r="AI75" s="3652"/>
      <c r="AJ75" s="3652"/>
      <c r="AK75" s="3652"/>
      <c r="AL75" s="3652"/>
      <c r="AM75" s="3652"/>
      <c r="AN75" s="3652"/>
      <c r="AO75" s="3652"/>
      <c r="AP75" s="3652"/>
      <c r="AQ75" s="3652"/>
      <c r="AR75" s="3652"/>
      <c r="AS75" s="3652"/>
      <c r="AT75" s="3652"/>
      <c r="AU75" s="3652"/>
      <c r="AV75" s="3652"/>
      <c r="AW75" s="3652"/>
      <c r="AX75" s="3595">
        <v>-0.26</v>
      </c>
      <c r="AY75" s="3595">
        <v>0.02</v>
      </c>
      <c r="AZ75" s="3595">
        <v>0.06</v>
      </c>
      <c r="BA75" s="3595">
        <v>0.02</v>
      </c>
      <c r="BB75" s="3595">
        <v>7.0000000000000007E-2</v>
      </c>
      <c r="BC75" s="3595">
        <v>0.02</v>
      </c>
      <c r="BD75" s="3595">
        <v>0.02</v>
      </c>
      <c r="BE75" s="3595">
        <v>0</v>
      </c>
      <c r="BF75" s="3595">
        <v>0.04</v>
      </c>
      <c r="BG75" s="3595">
        <v>0.04</v>
      </c>
      <c r="BH75" s="3595">
        <v>0.04</v>
      </c>
      <c r="BI75" s="3595">
        <v>0.05</v>
      </c>
      <c r="BJ75" s="3595">
        <v>0.01</v>
      </c>
      <c r="BK75" s="3595"/>
      <c r="BL75" s="3595"/>
      <c r="BM75" s="3595"/>
      <c r="BN75" s="3595"/>
      <c r="BO75" s="3595"/>
      <c r="BP75" s="3595"/>
      <c r="BQ75" s="3595"/>
      <c r="BR75" s="3595"/>
      <c r="BS75" s="3595"/>
      <c r="BT75" s="3595"/>
      <c r="BU75" s="3595"/>
      <c r="BV75" s="3595"/>
      <c r="BW75" s="3595"/>
      <c r="BX75" s="3595"/>
      <c r="BY75" s="3595"/>
      <c r="BZ75" s="3595"/>
      <c r="CA75" s="3595"/>
      <c r="CB75" s="3595"/>
      <c r="CC75" s="3595"/>
      <c r="CD75" s="3595"/>
      <c r="CE75" s="3595"/>
      <c r="CF75" s="3595">
        <f t="shared" si="18"/>
        <v>0.12999999999999998</v>
      </c>
    </row>
    <row r="76" spans="1:84" ht="37.5" customHeight="1">
      <c r="A76" s="1004" t="s">
        <v>4445</v>
      </c>
      <c r="B76" s="233" t="s">
        <v>216</v>
      </c>
      <c r="C76" s="1179" t="s">
        <v>4361</v>
      </c>
      <c r="D76" s="2254" t="s">
        <v>4219</v>
      </c>
      <c r="E76" s="2254" t="s">
        <v>141</v>
      </c>
      <c r="F76" s="3730" t="s">
        <v>2586</v>
      </c>
      <c r="G76" s="2347">
        <v>0</v>
      </c>
      <c r="H76" s="2349">
        <v>400</v>
      </c>
      <c r="I76" s="298">
        <f t="shared" si="29"/>
        <v>4.0000000000000001E-3</v>
      </c>
      <c r="J76" s="2349">
        <v>20</v>
      </c>
      <c r="K76" s="212">
        <f t="shared" si="30"/>
        <v>0.08</v>
      </c>
      <c r="L76" s="2256" t="s">
        <v>5199</v>
      </c>
      <c r="M76" s="2257">
        <f>'Ab3. ASHA'!Q226</f>
        <v>0</v>
      </c>
      <c r="N76" s="3651">
        <v>0.08</v>
      </c>
      <c r="O76" s="3652"/>
      <c r="P76" s="3652"/>
      <c r="Q76" s="3652"/>
      <c r="R76" s="3652"/>
      <c r="S76" s="3652"/>
      <c r="T76" s="3652"/>
      <c r="U76" s="3652"/>
      <c r="V76" s="3652"/>
      <c r="W76" s="3652"/>
      <c r="X76" s="3652"/>
      <c r="Y76" s="3652"/>
      <c r="Z76" s="3652"/>
      <c r="AA76" s="3652"/>
      <c r="AB76" s="3652"/>
      <c r="AC76" s="3652"/>
      <c r="AD76" s="3652"/>
      <c r="AE76" s="3652"/>
      <c r="AF76" s="3652"/>
      <c r="AG76" s="3652"/>
      <c r="AH76" s="3652"/>
      <c r="AI76" s="3652"/>
      <c r="AJ76" s="3652"/>
      <c r="AK76" s="3652"/>
      <c r="AL76" s="3652"/>
      <c r="AM76" s="3652"/>
      <c r="AN76" s="3652"/>
      <c r="AO76" s="3652"/>
      <c r="AP76" s="3652"/>
      <c r="AQ76" s="3652"/>
      <c r="AR76" s="3652"/>
      <c r="AS76" s="3652"/>
      <c r="AT76" s="3652"/>
      <c r="AU76" s="3652"/>
      <c r="AV76" s="3652"/>
      <c r="AW76" s="3652"/>
      <c r="AX76" s="3595">
        <v>0.08</v>
      </c>
      <c r="AY76" s="3595"/>
      <c r="AZ76" s="3595"/>
      <c r="BA76" s="3595"/>
      <c r="BB76" s="3595"/>
      <c r="BC76" s="3595"/>
      <c r="BD76" s="3595"/>
      <c r="BE76" s="3595"/>
      <c r="BF76" s="3595"/>
      <c r="BG76" s="3595"/>
      <c r="BH76" s="3595"/>
      <c r="BI76" s="3595"/>
      <c r="BJ76" s="3595"/>
      <c r="BK76" s="3595"/>
      <c r="BL76" s="3595"/>
      <c r="BM76" s="3595"/>
      <c r="BN76" s="3595"/>
      <c r="BO76" s="3595"/>
      <c r="BP76" s="3595"/>
      <c r="BQ76" s="3595"/>
      <c r="BR76" s="3595"/>
      <c r="BS76" s="3595"/>
      <c r="BT76" s="3595"/>
      <c r="BU76" s="3595"/>
      <c r="BV76" s="3595"/>
      <c r="BW76" s="3595"/>
      <c r="BX76" s="3595"/>
      <c r="BY76" s="3595"/>
      <c r="BZ76" s="3595"/>
      <c r="CA76" s="3595"/>
      <c r="CB76" s="3595"/>
      <c r="CC76" s="3595"/>
      <c r="CD76" s="3595"/>
      <c r="CE76" s="3595"/>
      <c r="CF76" s="3595">
        <f t="shared" si="18"/>
        <v>0.08</v>
      </c>
    </row>
    <row r="77" spans="1:84" ht="37.5" customHeight="1">
      <c r="A77" s="1004" t="s">
        <v>4446</v>
      </c>
      <c r="B77" s="233" t="s">
        <v>217</v>
      </c>
      <c r="C77" s="1179" t="s">
        <v>5134</v>
      </c>
      <c r="D77" s="2254" t="s">
        <v>4219</v>
      </c>
      <c r="E77" s="2254" t="s">
        <v>141</v>
      </c>
      <c r="F77" s="3730" t="s">
        <v>2586</v>
      </c>
      <c r="G77" s="2347">
        <v>0</v>
      </c>
      <c r="H77" s="2349">
        <v>600</v>
      </c>
      <c r="I77" s="298">
        <f t="shared" si="29"/>
        <v>6.0000000000000001E-3</v>
      </c>
      <c r="J77" s="2349">
        <v>80</v>
      </c>
      <c r="K77" s="212">
        <f t="shared" si="30"/>
        <v>0.48</v>
      </c>
      <c r="L77" s="2256" t="s">
        <v>5200</v>
      </c>
      <c r="M77" s="2257">
        <f>'Ab3. ASHA'!Q227</f>
        <v>0</v>
      </c>
      <c r="N77" s="3651">
        <v>0.18</v>
      </c>
      <c r="O77" s="3652"/>
      <c r="P77" s="3652"/>
      <c r="Q77" s="3652"/>
      <c r="R77" s="3652"/>
      <c r="S77" s="3652"/>
      <c r="T77" s="3652"/>
      <c r="U77" s="3652"/>
      <c r="V77" s="3652"/>
      <c r="W77" s="3652"/>
      <c r="X77" s="3652"/>
      <c r="Y77" s="3652"/>
      <c r="Z77" s="3652"/>
      <c r="AA77" s="3652"/>
      <c r="AB77" s="3652"/>
      <c r="AC77" s="3652"/>
      <c r="AD77" s="3652"/>
      <c r="AE77" s="3652"/>
      <c r="AF77" s="3652"/>
      <c r="AG77" s="3652"/>
      <c r="AH77" s="3652"/>
      <c r="AI77" s="3652"/>
      <c r="AJ77" s="3652"/>
      <c r="AK77" s="3652"/>
      <c r="AL77" s="3652"/>
      <c r="AM77" s="3652"/>
      <c r="AN77" s="3652"/>
      <c r="AO77" s="3652"/>
      <c r="AP77" s="3652"/>
      <c r="AQ77" s="3652"/>
      <c r="AR77" s="3652"/>
      <c r="AS77" s="3652"/>
      <c r="AT77" s="3652"/>
      <c r="AU77" s="3652"/>
      <c r="AV77" s="3652"/>
      <c r="AW77" s="3652"/>
      <c r="AX77" s="3595">
        <v>0.18</v>
      </c>
      <c r="AY77" s="3595"/>
      <c r="AZ77" s="3595"/>
      <c r="BA77" s="3595"/>
      <c r="BB77" s="3595"/>
      <c r="BC77" s="3595"/>
      <c r="BD77" s="3595"/>
      <c r="BE77" s="3595"/>
      <c r="BF77" s="3595"/>
      <c r="BG77" s="3595"/>
      <c r="BH77" s="3595"/>
      <c r="BI77" s="3595"/>
      <c r="BJ77" s="3595"/>
      <c r="BK77" s="3595"/>
      <c r="BL77" s="3595"/>
      <c r="BM77" s="3595"/>
      <c r="BN77" s="3595"/>
      <c r="BO77" s="3595"/>
      <c r="BP77" s="3595"/>
      <c r="BQ77" s="3595"/>
      <c r="BR77" s="3595"/>
      <c r="BS77" s="3595"/>
      <c r="BT77" s="3595"/>
      <c r="BU77" s="3595"/>
      <c r="BV77" s="3595"/>
      <c r="BW77" s="3595"/>
      <c r="BX77" s="3595"/>
      <c r="BY77" s="3595"/>
      <c r="BZ77" s="3595"/>
      <c r="CA77" s="3595"/>
      <c r="CB77" s="3595"/>
      <c r="CC77" s="3595"/>
      <c r="CD77" s="3595"/>
      <c r="CE77" s="3595"/>
      <c r="CF77" s="3595">
        <f t="shared" si="18"/>
        <v>0.18</v>
      </c>
    </row>
    <row r="78" spans="1:84" ht="37.5" customHeight="1">
      <c r="A78" s="1004"/>
      <c r="B78" s="1080"/>
      <c r="C78" s="1080" t="s">
        <v>4595</v>
      </c>
      <c r="D78" s="2095" t="s">
        <v>65</v>
      </c>
      <c r="E78" s="2095" t="s">
        <v>65</v>
      </c>
      <c r="F78" s="3730" t="s">
        <v>2583</v>
      </c>
      <c r="G78" s="235">
        <v>1</v>
      </c>
      <c r="H78" s="243">
        <v>10</v>
      </c>
      <c r="I78" s="212">
        <f t="shared" si="29"/>
        <v>1E-4</v>
      </c>
      <c r="J78" s="243">
        <v>2100000</v>
      </c>
      <c r="K78" s="212">
        <f t="shared" si="30"/>
        <v>210</v>
      </c>
      <c r="L78" s="108" t="s">
        <v>5424</v>
      </c>
      <c r="M78" s="2257">
        <f>'Ab3. ASHA'!Q230</f>
        <v>0</v>
      </c>
      <c r="N78" s="3651">
        <v>210</v>
      </c>
      <c r="O78" s="3652"/>
      <c r="P78" s="3652"/>
      <c r="Q78" s="3652"/>
      <c r="R78" s="3652"/>
      <c r="S78" s="3652"/>
      <c r="T78" s="3652"/>
      <c r="U78" s="3652"/>
      <c r="V78" s="3652"/>
      <c r="W78" s="3652"/>
      <c r="X78" s="3652"/>
      <c r="Y78" s="3652"/>
      <c r="Z78" s="3652"/>
      <c r="AA78" s="3652"/>
      <c r="AB78" s="3652"/>
      <c r="AC78" s="3652"/>
      <c r="AD78" s="3652"/>
      <c r="AE78" s="3652"/>
      <c r="AF78" s="3652"/>
      <c r="AG78" s="3652"/>
      <c r="AH78" s="3652"/>
      <c r="AI78" s="3652"/>
      <c r="AJ78" s="3652"/>
      <c r="AK78" s="3652"/>
      <c r="AL78" s="3652"/>
      <c r="AM78" s="3652"/>
      <c r="AN78" s="3652"/>
      <c r="AO78" s="3652"/>
      <c r="AP78" s="3652"/>
      <c r="AQ78" s="3652"/>
      <c r="AR78" s="3652"/>
      <c r="AS78" s="3652"/>
      <c r="AT78" s="3652"/>
      <c r="AU78" s="3652"/>
      <c r="AV78" s="3652"/>
      <c r="AW78" s="3652"/>
      <c r="AX78" s="3595">
        <v>0</v>
      </c>
      <c r="AY78" s="3595">
        <v>15</v>
      </c>
      <c r="AZ78" s="3595">
        <v>15</v>
      </c>
      <c r="BA78" s="3595">
        <v>15</v>
      </c>
      <c r="BB78" s="3595">
        <v>40</v>
      </c>
      <c r="BC78" s="3595">
        <v>3</v>
      </c>
      <c r="BD78" s="3595">
        <v>15</v>
      </c>
      <c r="BE78" s="3595">
        <v>2</v>
      </c>
      <c r="BF78" s="3595">
        <v>30</v>
      </c>
      <c r="BG78" s="3595">
        <v>30</v>
      </c>
      <c r="BH78" s="3595">
        <v>15</v>
      </c>
      <c r="BI78" s="3595">
        <v>15</v>
      </c>
      <c r="BJ78" s="3595">
        <v>15</v>
      </c>
      <c r="BK78" s="3595"/>
      <c r="BL78" s="3595"/>
      <c r="BM78" s="3595"/>
      <c r="BN78" s="3595"/>
      <c r="BO78" s="3595"/>
      <c r="BP78" s="3595"/>
      <c r="BQ78" s="3595"/>
      <c r="BR78" s="3595"/>
      <c r="BS78" s="3595"/>
      <c r="BT78" s="3595"/>
      <c r="BU78" s="3595"/>
      <c r="BV78" s="3595"/>
      <c r="BW78" s="3595"/>
      <c r="BX78" s="3595"/>
      <c r="BY78" s="3595"/>
      <c r="BZ78" s="3595"/>
      <c r="CA78" s="3595"/>
      <c r="CB78" s="3595"/>
      <c r="CC78" s="3595"/>
      <c r="CD78" s="3595"/>
      <c r="CE78" s="3595"/>
      <c r="CF78" s="3595">
        <f t="shared" si="18"/>
        <v>210</v>
      </c>
    </row>
    <row r="79" spans="1:84" ht="37.5" customHeight="1">
      <c r="A79" s="1004"/>
      <c r="B79" s="1080"/>
      <c r="C79" s="1080" t="s">
        <v>4596</v>
      </c>
      <c r="D79" s="2095" t="s">
        <v>65</v>
      </c>
      <c r="E79" s="2095" t="s">
        <v>65</v>
      </c>
      <c r="F79" s="3730" t="s">
        <v>2583</v>
      </c>
      <c r="G79" s="235"/>
      <c r="H79" s="243">
        <v>100</v>
      </c>
      <c r="I79" s="212">
        <f t="shared" si="29"/>
        <v>1E-3</v>
      </c>
      <c r="J79" s="243">
        <v>50000</v>
      </c>
      <c r="K79" s="212">
        <f t="shared" si="30"/>
        <v>50</v>
      </c>
      <c r="L79" s="108" t="s">
        <v>5297</v>
      </c>
      <c r="M79" s="2257">
        <f>'Ab3. ASHA'!Q231</f>
        <v>0</v>
      </c>
      <c r="N79" s="3651">
        <v>50</v>
      </c>
      <c r="O79" s="3652"/>
      <c r="P79" s="3652"/>
      <c r="Q79" s="3652"/>
      <c r="R79" s="3652"/>
      <c r="S79" s="3652"/>
      <c r="T79" s="3652"/>
      <c r="U79" s="3652"/>
      <c r="V79" s="3652"/>
      <c r="W79" s="3652"/>
      <c r="X79" s="3652"/>
      <c r="Y79" s="3652"/>
      <c r="Z79" s="3652"/>
      <c r="AA79" s="3652"/>
      <c r="AB79" s="3652"/>
      <c r="AC79" s="3652"/>
      <c r="AD79" s="3652"/>
      <c r="AE79" s="3652"/>
      <c r="AF79" s="3652"/>
      <c r="AG79" s="3652"/>
      <c r="AH79" s="3652"/>
      <c r="AI79" s="3652"/>
      <c r="AJ79" s="3652"/>
      <c r="AK79" s="3652"/>
      <c r="AL79" s="3652"/>
      <c r="AM79" s="3652"/>
      <c r="AN79" s="3652"/>
      <c r="AO79" s="3652"/>
      <c r="AP79" s="3652"/>
      <c r="AQ79" s="3652"/>
      <c r="AR79" s="3652"/>
      <c r="AS79" s="3652"/>
      <c r="AT79" s="3652"/>
      <c r="AU79" s="3652"/>
      <c r="AV79" s="3652"/>
      <c r="AW79" s="3652"/>
      <c r="AX79" s="3595"/>
      <c r="AY79" s="3595">
        <v>4</v>
      </c>
      <c r="AZ79" s="3595">
        <v>4</v>
      </c>
      <c r="BA79" s="3595">
        <v>4</v>
      </c>
      <c r="BB79" s="3595">
        <v>6</v>
      </c>
      <c r="BC79" s="3595">
        <v>2.5</v>
      </c>
      <c r="BD79" s="3595">
        <v>4</v>
      </c>
      <c r="BE79" s="3595">
        <v>1.5</v>
      </c>
      <c r="BF79" s="3595">
        <v>6</v>
      </c>
      <c r="BG79" s="3595">
        <v>6</v>
      </c>
      <c r="BH79" s="3595">
        <v>4</v>
      </c>
      <c r="BI79" s="3595">
        <v>4</v>
      </c>
      <c r="BJ79" s="3595">
        <v>4</v>
      </c>
      <c r="BK79" s="3595"/>
      <c r="BL79" s="3595"/>
      <c r="BM79" s="3595"/>
      <c r="BN79" s="3595"/>
      <c r="BO79" s="3595"/>
      <c r="BP79" s="3595"/>
      <c r="BQ79" s="3595"/>
      <c r="BR79" s="3595"/>
      <c r="BS79" s="3595"/>
      <c r="BT79" s="3595"/>
      <c r="BU79" s="3595"/>
      <c r="BV79" s="3595"/>
      <c r="BW79" s="3595"/>
      <c r="BX79" s="3595"/>
      <c r="BY79" s="3595"/>
      <c r="BZ79" s="3595"/>
      <c r="CA79" s="3595"/>
      <c r="CB79" s="3595"/>
      <c r="CC79" s="3595"/>
      <c r="CD79" s="3595"/>
      <c r="CE79" s="3595"/>
      <c r="CF79" s="3595">
        <f t="shared" si="18"/>
        <v>50</v>
      </c>
    </row>
    <row r="80" spans="1:84" ht="37.5" customHeight="1">
      <c r="A80" s="1004" t="s">
        <v>3212</v>
      </c>
      <c r="B80" s="1080" t="s">
        <v>197</v>
      </c>
      <c r="C80" s="1206" t="s">
        <v>198</v>
      </c>
      <c r="D80" s="982" t="s">
        <v>65</v>
      </c>
      <c r="E80" s="982" t="s">
        <v>65</v>
      </c>
      <c r="F80" s="3730" t="s">
        <v>2583</v>
      </c>
      <c r="G80" s="230">
        <v>1</v>
      </c>
      <c r="H80" s="2318">
        <v>24000</v>
      </c>
      <c r="I80" s="298">
        <f t="shared" si="29"/>
        <v>0.24</v>
      </c>
      <c r="J80" s="2318">
        <v>7948</v>
      </c>
      <c r="K80" s="212">
        <f t="shared" si="30"/>
        <v>1907.52</v>
      </c>
      <c r="L80" s="2256"/>
      <c r="M80" s="2257">
        <f>'Ab3. ASHA'!Q234</f>
        <v>0</v>
      </c>
      <c r="N80" s="3651">
        <v>1907.5</v>
      </c>
      <c r="O80" s="3652"/>
      <c r="P80" s="3652"/>
      <c r="Q80" s="3652"/>
      <c r="R80" s="3652"/>
      <c r="S80" s="3652"/>
      <c r="T80" s="3652"/>
      <c r="U80" s="3652"/>
      <c r="V80" s="3652"/>
      <c r="W80" s="3652"/>
      <c r="X80" s="3652"/>
      <c r="Y80" s="3652"/>
      <c r="Z80" s="3652"/>
      <c r="AA80" s="3652"/>
      <c r="AB80" s="3652"/>
      <c r="AC80" s="3652"/>
      <c r="AD80" s="3652"/>
      <c r="AE80" s="3652"/>
      <c r="AF80" s="3652"/>
      <c r="AG80" s="3652"/>
      <c r="AH80" s="3652"/>
      <c r="AI80" s="3652"/>
      <c r="AJ80" s="3652"/>
      <c r="AK80" s="3652"/>
      <c r="AL80" s="3652"/>
      <c r="AM80" s="3652"/>
      <c r="AN80" s="3652"/>
      <c r="AO80" s="3652"/>
      <c r="AP80" s="3652"/>
      <c r="AQ80" s="3652"/>
      <c r="AR80" s="3652"/>
      <c r="AS80" s="3652"/>
      <c r="AT80" s="3652"/>
      <c r="AU80" s="3652"/>
      <c r="AV80" s="3652"/>
      <c r="AW80" s="3652"/>
      <c r="AX80" s="3595"/>
      <c r="AY80" s="3595">
        <v>119.04</v>
      </c>
      <c r="AZ80" s="3595">
        <v>144</v>
      </c>
      <c r="BA80" s="3595">
        <v>127.9</v>
      </c>
      <c r="BB80" s="3595">
        <v>436.56</v>
      </c>
      <c r="BC80" s="3595">
        <v>25.44</v>
      </c>
      <c r="BD80" s="3595">
        <v>118.56</v>
      </c>
      <c r="BE80" s="3595">
        <v>11.52</v>
      </c>
      <c r="BF80" s="3595">
        <v>299.52</v>
      </c>
      <c r="BG80" s="3595">
        <v>186.24</v>
      </c>
      <c r="BH80" s="3595">
        <f>0.02*612*12</f>
        <v>146.88</v>
      </c>
      <c r="BI80" s="3595">
        <v>146.63999999999999</v>
      </c>
      <c r="BJ80" s="3595">
        <f>0.02*605*12</f>
        <v>145.19999999999999</v>
      </c>
      <c r="BK80" s="3595"/>
      <c r="BL80" s="3595"/>
      <c r="BM80" s="3595"/>
      <c r="BN80" s="3595"/>
      <c r="BO80" s="3595"/>
      <c r="BP80" s="3595"/>
      <c r="BQ80" s="3595"/>
      <c r="BR80" s="3595"/>
      <c r="BS80" s="3595"/>
      <c r="BT80" s="3595"/>
      <c r="BU80" s="3595"/>
      <c r="BV80" s="3595"/>
      <c r="BW80" s="3595"/>
      <c r="BX80" s="3595"/>
      <c r="BY80" s="3595"/>
      <c r="BZ80" s="3595"/>
      <c r="CA80" s="3595"/>
      <c r="CB80" s="3595"/>
      <c r="CC80" s="3595"/>
      <c r="CD80" s="3595"/>
      <c r="CE80" s="3595"/>
      <c r="CF80" s="3595">
        <f t="shared" si="18"/>
        <v>1907.4999999999998</v>
      </c>
    </row>
    <row r="81" spans="1:84" ht="37.5" customHeight="1">
      <c r="A81" s="391" t="s">
        <v>220</v>
      </c>
      <c r="B81" s="233" t="s">
        <v>224</v>
      </c>
      <c r="C81" s="1179" t="s">
        <v>225</v>
      </c>
      <c r="D81" s="982" t="s">
        <v>65</v>
      </c>
      <c r="E81" s="982" t="s">
        <v>65</v>
      </c>
      <c r="F81" s="3730" t="s">
        <v>2583</v>
      </c>
      <c r="G81" s="230">
        <v>1</v>
      </c>
      <c r="H81" s="2318">
        <v>216200</v>
      </c>
      <c r="I81" s="298">
        <f t="shared" ref="I81:I84" si="31">H81/100000</f>
        <v>2.1619999999999999</v>
      </c>
      <c r="J81" s="2318">
        <v>5</v>
      </c>
      <c r="K81" s="212">
        <f t="shared" si="30"/>
        <v>10.809999999999999</v>
      </c>
      <c r="L81" s="2329" t="s">
        <v>5142</v>
      </c>
      <c r="M81" s="2257">
        <f>'Ab3. ASHA'!Q237</f>
        <v>0</v>
      </c>
      <c r="N81" s="3651">
        <v>10.81</v>
      </c>
      <c r="O81" s="3652"/>
      <c r="P81" s="3652"/>
      <c r="Q81" s="3652"/>
      <c r="R81" s="3652"/>
      <c r="S81" s="3652"/>
      <c r="T81" s="3652"/>
      <c r="U81" s="3652"/>
      <c r="V81" s="3652"/>
      <c r="W81" s="3652"/>
      <c r="X81" s="3652"/>
      <c r="Y81" s="3652"/>
      <c r="Z81" s="3652"/>
      <c r="AA81" s="3652"/>
      <c r="AB81" s="3652"/>
      <c r="AC81" s="3652"/>
      <c r="AD81" s="3652"/>
      <c r="AE81" s="3652"/>
      <c r="AF81" s="3652"/>
      <c r="AG81" s="3652"/>
      <c r="AH81" s="3652"/>
      <c r="AI81" s="3652"/>
      <c r="AJ81" s="3652"/>
      <c r="AK81" s="3652"/>
      <c r="AL81" s="3652"/>
      <c r="AM81" s="3652"/>
      <c r="AN81" s="3652"/>
      <c r="AO81" s="3652"/>
      <c r="AP81" s="3652"/>
      <c r="AQ81" s="3652"/>
      <c r="AR81" s="3652"/>
      <c r="AS81" s="3652"/>
      <c r="AT81" s="3652"/>
      <c r="AU81" s="3652"/>
      <c r="AV81" s="3652"/>
      <c r="AW81" s="3652"/>
      <c r="AX81" s="3595">
        <v>4.33</v>
      </c>
      <c r="AY81" s="3595">
        <v>2.16</v>
      </c>
      <c r="AZ81" s="3595"/>
      <c r="BA81" s="3595"/>
      <c r="BB81" s="3595"/>
      <c r="BC81" s="3595"/>
      <c r="BD81" s="3595"/>
      <c r="BE81" s="3595"/>
      <c r="BF81" s="3595"/>
      <c r="BG81" s="3595">
        <v>2.16</v>
      </c>
      <c r="BH81" s="3595"/>
      <c r="BI81" s="3595">
        <v>2.16</v>
      </c>
      <c r="BJ81" s="3595"/>
      <c r="BK81" s="3595"/>
      <c r="BL81" s="3595"/>
      <c r="BM81" s="3595"/>
      <c r="BN81" s="3595"/>
      <c r="BO81" s="3595"/>
      <c r="BP81" s="3595"/>
      <c r="BQ81" s="3595"/>
      <c r="BR81" s="3595"/>
      <c r="BS81" s="3595"/>
      <c r="BT81" s="3595"/>
      <c r="BU81" s="3595"/>
      <c r="BV81" s="3595"/>
      <c r="BW81" s="3595"/>
      <c r="BX81" s="3595"/>
      <c r="BY81" s="3595"/>
      <c r="BZ81" s="3595"/>
      <c r="CA81" s="3595"/>
      <c r="CB81" s="3595"/>
      <c r="CC81" s="3595"/>
      <c r="CD81" s="3595"/>
      <c r="CE81" s="3595"/>
      <c r="CF81" s="3595">
        <f t="shared" si="18"/>
        <v>10.81</v>
      </c>
    </row>
    <row r="82" spans="1:84" ht="37.5" customHeight="1">
      <c r="A82" s="391" t="s">
        <v>223</v>
      </c>
      <c r="B82" s="233" t="s">
        <v>227</v>
      </c>
      <c r="C82" s="1179" t="s">
        <v>228</v>
      </c>
      <c r="D82" s="982" t="s">
        <v>65</v>
      </c>
      <c r="E82" s="982" t="s">
        <v>65</v>
      </c>
      <c r="F82" s="3730" t="s">
        <v>2583</v>
      </c>
      <c r="G82" s="230">
        <v>1</v>
      </c>
      <c r="H82" s="2318">
        <v>151685</v>
      </c>
      <c r="I82" s="298">
        <f t="shared" si="31"/>
        <v>1.51685</v>
      </c>
      <c r="J82" s="2318">
        <v>32</v>
      </c>
      <c r="K82" s="212">
        <f t="shared" si="30"/>
        <v>48.539200000000001</v>
      </c>
      <c r="L82" s="2329" t="s">
        <v>5143</v>
      </c>
      <c r="M82" s="2257">
        <f>'Ab3. ASHA'!Q238</f>
        <v>0</v>
      </c>
      <c r="N82" s="3651">
        <v>48.54</v>
      </c>
      <c r="O82" s="3652"/>
      <c r="P82" s="3652"/>
      <c r="Q82" s="3652"/>
      <c r="R82" s="3652"/>
      <c r="S82" s="3652"/>
      <c r="T82" s="3652"/>
      <c r="U82" s="3652"/>
      <c r="V82" s="3652"/>
      <c r="W82" s="3652"/>
      <c r="X82" s="3652"/>
      <c r="Y82" s="3652"/>
      <c r="Z82" s="3652"/>
      <c r="AA82" s="3652"/>
      <c r="AB82" s="3652"/>
      <c r="AC82" s="3652"/>
      <c r="AD82" s="3652"/>
      <c r="AE82" s="3652"/>
      <c r="AF82" s="3652"/>
      <c r="AG82" s="3652"/>
      <c r="AH82" s="3652"/>
      <c r="AI82" s="3652"/>
      <c r="AJ82" s="3652"/>
      <c r="AK82" s="3652"/>
      <c r="AL82" s="3652"/>
      <c r="AM82" s="3652"/>
      <c r="AN82" s="3652"/>
      <c r="AO82" s="3652"/>
      <c r="AP82" s="3652"/>
      <c r="AQ82" s="3652"/>
      <c r="AR82" s="3652"/>
      <c r="AS82" s="3652"/>
      <c r="AT82" s="3652"/>
      <c r="AU82" s="3652"/>
      <c r="AV82" s="3652"/>
      <c r="AW82" s="3652"/>
      <c r="AX82" s="3595"/>
      <c r="AY82" s="3595"/>
      <c r="AZ82" s="3595">
        <v>3.04</v>
      </c>
      <c r="BA82" s="3595">
        <v>6.08</v>
      </c>
      <c r="BB82" s="3595">
        <v>6.08</v>
      </c>
      <c r="BC82" s="3595">
        <v>0</v>
      </c>
      <c r="BD82" s="3595">
        <v>3.04</v>
      </c>
      <c r="BE82" s="3595">
        <v>0</v>
      </c>
      <c r="BF82" s="3595">
        <v>4.5599999999999996</v>
      </c>
      <c r="BG82" s="3595">
        <v>13.58</v>
      </c>
      <c r="BH82" s="3595">
        <v>3.04</v>
      </c>
      <c r="BI82" s="3595">
        <v>4.5599999999999996</v>
      </c>
      <c r="BJ82" s="3595">
        <v>4.5599999999999996</v>
      </c>
      <c r="BK82" s="3595"/>
      <c r="BL82" s="3595"/>
      <c r="BM82" s="3595"/>
      <c r="BN82" s="3595"/>
      <c r="BO82" s="3595"/>
      <c r="BP82" s="3595"/>
      <c r="BQ82" s="3595"/>
      <c r="BR82" s="3595"/>
      <c r="BS82" s="3595"/>
      <c r="BT82" s="3595"/>
      <c r="BU82" s="3595"/>
      <c r="BV82" s="3595"/>
      <c r="BW82" s="3595"/>
      <c r="BX82" s="3595"/>
      <c r="BY82" s="3595"/>
      <c r="BZ82" s="3595"/>
      <c r="CA82" s="3595"/>
      <c r="CB82" s="3595"/>
      <c r="CC82" s="3595"/>
      <c r="CD82" s="3595"/>
      <c r="CE82" s="3595"/>
      <c r="CF82" s="3595">
        <f t="shared" si="18"/>
        <v>48.540000000000006</v>
      </c>
    </row>
    <row r="83" spans="1:84" ht="37.5" customHeight="1">
      <c r="A83" s="391" t="s">
        <v>229</v>
      </c>
      <c r="B83" s="586" t="s">
        <v>232</v>
      </c>
      <c r="C83" s="586" t="s">
        <v>233</v>
      </c>
      <c r="D83" s="982" t="s">
        <v>65</v>
      </c>
      <c r="E83" s="982" t="s">
        <v>65</v>
      </c>
      <c r="F83" s="3730" t="s">
        <v>2583</v>
      </c>
      <c r="G83" s="2331">
        <v>1</v>
      </c>
      <c r="H83" s="2318">
        <v>315560</v>
      </c>
      <c r="I83" s="298">
        <f t="shared" si="31"/>
        <v>3.1556000000000002</v>
      </c>
      <c r="J83" s="2318">
        <v>30</v>
      </c>
      <c r="K83" s="212">
        <f t="shared" si="30"/>
        <v>94.668000000000006</v>
      </c>
      <c r="L83" s="2332" t="s">
        <v>5144</v>
      </c>
      <c r="M83" s="2257">
        <f>'Ab3. ASHA'!Q239</f>
        <v>0</v>
      </c>
      <c r="N83" s="3651">
        <v>94.67</v>
      </c>
      <c r="O83" s="3652"/>
      <c r="P83" s="3652"/>
      <c r="Q83" s="3652"/>
      <c r="R83" s="3652"/>
      <c r="S83" s="3652"/>
      <c r="T83" s="3652"/>
      <c r="U83" s="3652"/>
      <c r="V83" s="3652"/>
      <c r="W83" s="3652"/>
      <c r="X83" s="3652"/>
      <c r="Y83" s="3652"/>
      <c r="Z83" s="3652"/>
      <c r="AA83" s="3652"/>
      <c r="AB83" s="3652"/>
      <c r="AC83" s="3652"/>
      <c r="AD83" s="3652"/>
      <c r="AE83" s="3652"/>
      <c r="AF83" s="3652"/>
      <c r="AG83" s="3652"/>
      <c r="AH83" s="3652"/>
      <c r="AI83" s="3652"/>
      <c r="AJ83" s="3652"/>
      <c r="AK83" s="3652"/>
      <c r="AL83" s="3652"/>
      <c r="AM83" s="3652"/>
      <c r="AN83" s="3652"/>
      <c r="AO83" s="3652"/>
      <c r="AP83" s="3652"/>
      <c r="AQ83" s="3652"/>
      <c r="AR83" s="3652"/>
      <c r="AS83" s="3652"/>
      <c r="AT83" s="3652"/>
      <c r="AU83" s="3652"/>
      <c r="AV83" s="3652"/>
      <c r="AW83" s="3652"/>
      <c r="AX83" s="3595">
        <v>31.47</v>
      </c>
      <c r="AY83" s="3595"/>
      <c r="AZ83" s="3595"/>
      <c r="BA83" s="3595"/>
      <c r="BB83" s="3595"/>
      <c r="BC83" s="3595"/>
      <c r="BD83" s="3595">
        <v>15.8</v>
      </c>
      <c r="BE83" s="3595"/>
      <c r="BF83" s="3595"/>
      <c r="BG83" s="3595"/>
      <c r="BH83" s="3595"/>
      <c r="BI83" s="3595"/>
      <c r="BJ83" s="3595"/>
      <c r="BK83" s="3595"/>
      <c r="BL83" s="3595"/>
      <c r="BM83" s="3595"/>
      <c r="BN83" s="3595"/>
      <c r="BO83" s="3595">
        <v>15.8</v>
      </c>
      <c r="BP83" s="3595"/>
      <c r="BQ83" s="3595"/>
      <c r="BR83" s="3595"/>
      <c r="BS83" s="3595"/>
      <c r="BT83" s="3595"/>
      <c r="BU83" s="3595"/>
      <c r="BV83" s="3595"/>
      <c r="BW83" s="3595"/>
      <c r="BX83" s="3595"/>
      <c r="BY83" s="3595"/>
      <c r="BZ83" s="3595"/>
      <c r="CA83" s="3595"/>
      <c r="CB83" s="3595"/>
      <c r="CC83" s="3595">
        <v>15.8</v>
      </c>
      <c r="CD83" s="3595">
        <v>15.8</v>
      </c>
      <c r="CE83" s="3595"/>
      <c r="CF83" s="3595">
        <f t="shared" si="18"/>
        <v>94.669999999999987</v>
      </c>
    </row>
    <row r="84" spans="1:84" ht="37.5" customHeight="1">
      <c r="A84" s="1186" t="s">
        <v>3207</v>
      </c>
      <c r="B84" s="586"/>
      <c r="C84" s="1187" t="s">
        <v>3226</v>
      </c>
      <c r="D84" s="982" t="s">
        <v>65</v>
      </c>
      <c r="E84" s="982" t="s">
        <v>65</v>
      </c>
      <c r="F84" s="3730" t="s">
        <v>2583</v>
      </c>
      <c r="G84" s="2333">
        <v>1</v>
      </c>
      <c r="H84" s="2328">
        <v>190486</v>
      </c>
      <c r="I84" s="298">
        <f t="shared" si="31"/>
        <v>1.90486</v>
      </c>
      <c r="J84" s="2328">
        <v>43</v>
      </c>
      <c r="K84" s="212">
        <f t="shared" si="30"/>
        <v>81.90898</v>
      </c>
      <c r="L84" s="2334" t="s">
        <v>5151</v>
      </c>
      <c r="M84" s="2257">
        <f>'Ab3. ASHA'!Q240</f>
        <v>0</v>
      </c>
      <c r="N84" s="3651">
        <v>81.91</v>
      </c>
      <c r="O84" s="3652"/>
      <c r="P84" s="3652"/>
      <c r="Q84" s="3652"/>
      <c r="R84" s="3652"/>
      <c r="S84" s="3652"/>
      <c r="T84" s="3652"/>
      <c r="U84" s="3652"/>
      <c r="V84" s="3652"/>
      <c r="W84" s="3652"/>
      <c r="X84" s="3652"/>
      <c r="Y84" s="3652"/>
      <c r="Z84" s="3652"/>
      <c r="AA84" s="3652"/>
      <c r="AB84" s="3652"/>
      <c r="AC84" s="3652"/>
      <c r="AD84" s="3652"/>
      <c r="AE84" s="3652"/>
      <c r="AF84" s="3652"/>
      <c r="AG84" s="3652"/>
      <c r="AH84" s="3652"/>
      <c r="AI84" s="3652"/>
      <c r="AJ84" s="3652"/>
      <c r="AK84" s="3652"/>
      <c r="AL84" s="3652"/>
      <c r="AM84" s="3652"/>
      <c r="AN84" s="3652"/>
      <c r="AO84" s="3652"/>
      <c r="AP84" s="3652"/>
      <c r="AQ84" s="3652"/>
      <c r="AR84" s="3652"/>
      <c r="AS84" s="3652"/>
      <c r="AT84" s="3652"/>
      <c r="AU84" s="3652"/>
      <c r="AV84" s="3652"/>
      <c r="AW84" s="3652"/>
      <c r="AX84" s="3595">
        <v>15.41</v>
      </c>
      <c r="AY84" s="3595"/>
      <c r="AZ84" s="3595">
        <v>9.5</v>
      </c>
      <c r="BA84" s="3595"/>
      <c r="BB84" s="3595"/>
      <c r="BC84" s="3595"/>
      <c r="BD84" s="3595"/>
      <c r="BE84" s="3595"/>
      <c r="BF84" s="3595">
        <v>38</v>
      </c>
      <c r="BG84" s="3595"/>
      <c r="BH84" s="3595">
        <v>19</v>
      </c>
      <c r="BI84" s="3595"/>
      <c r="BJ84" s="3595"/>
      <c r="BK84" s="3595"/>
      <c r="BL84" s="3595"/>
      <c r="BM84" s="3595"/>
      <c r="BN84" s="3595"/>
      <c r="BO84" s="3595"/>
      <c r="BP84" s="3595"/>
      <c r="BQ84" s="3595"/>
      <c r="BR84" s="3595"/>
      <c r="BS84" s="3595"/>
      <c r="BT84" s="3595"/>
      <c r="BU84" s="3595"/>
      <c r="BV84" s="3595"/>
      <c r="BW84" s="3595"/>
      <c r="BX84" s="3595"/>
      <c r="BY84" s="3595"/>
      <c r="BZ84" s="3595"/>
      <c r="CA84" s="3595"/>
      <c r="CB84" s="3595"/>
      <c r="CC84" s="3595"/>
      <c r="CD84" s="3595"/>
      <c r="CE84" s="3595"/>
      <c r="CF84" s="3595">
        <f t="shared" si="18"/>
        <v>81.91</v>
      </c>
    </row>
    <row r="85" spans="1:84" ht="37.5" customHeight="1">
      <c r="A85" s="2335" t="s">
        <v>4229</v>
      </c>
      <c r="B85" s="958"/>
      <c r="C85" s="958" t="s">
        <v>5987</v>
      </c>
      <c r="D85" s="982" t="s">
        <v>65</v>
      </c>
      <c r="E85" s="982" t="s">
        <v>65</v>
      </c>
      <c r="F85" s="3730" t="s">
        <v>2583</v>
      </c>
      <c r="G85" s="2669">
        <v>1</v>
      </c>
      <c r="H85" s="2318">
        <v>342</v>
      </c>
      <c r="I85" s="298">
        <f>H85/100000</f>
        <v>3.4199999999999999E-3</v>
      </c>
      <c r="J85" s="2318">
        <v>8066</v>
      </c>
      <c r="K85" s="1189">
        <f t="shared" si="30"/>
        <v>27.585719999999998</v>
      </c>
      <c r="L85" s="2256" t="s">
        <v>5145</v>
      </c>
      <c r="M85" s="2257">
        <f>'Ab3. ASHA'!Q250</f>
        <v>0</v>
      </c>
      <c r="N85" s="3651">
        <v>27.59</v>
      </c>
      <c r="O85" s="3652"/>
      <c r="P85" s="3652"/>
      <c r="Q85" s="3652"/>
      <c r="R85" s="3652"/>
      <c r="S85" s="3652"/>
      <c r="T85" s="3652"/>
      <c r="U85" s="3652"/>
      <c r="V85" s="3652"/>
      <c r="W85" s="3652"/>
      <c r="X85" s="3652"/>
      <c r="Y85" s="3652"/>
      <c r="Z85" s="3652"/>
      <c r="AA85" s="3652"/>
      <c r="AB85" s="3652"/>
      <c r="AC85" s="3652"/>
      <c r="AD85" s="3652"/>
      <c r="AE85" s="3652"/>
      <c r="AF85" s="3652"/>
      <c r="AG85" s="3652"/>
      <c r="AH85" s="3652"/>
      <c r="AI85" s="3652"/>
      <c r="AJ85" s="3652"/>
      <c r="AK85" s="3652"/>
      <c r="AL85" s="3652"/>
      <c r="AM85" s="3652"/>
      <c r="AN85" s="3652"/>
      <c r="AO85" s="3652"/>
      <c r="AP85" s="3652"/>
      <c r="AQ85" s="3652"/>
      <c r="AR85" s="3652"/>
      <c r="AS85" s="3652"/>
      <c r="AT85" s="3652"/>
      <c r="AU85" s="3652"/>
      <c r="AV85" s="3652"/>
      <c r="AW85" s="3652"/>
      <c r="AX85" s="3595">
        <v>0.37</v>
      </c>
      <c r="AY85" s="3595">
        <v>1.71</v>
      </c>
      <c r="AZ85" s="3595">
        <v>2.0499999999999998</v>
      </c>
      <c r="BA85" s="3595">
        <v>1.82</v>
      </c>
      <c r="BB85" s="3595">
        <v>6.21</v>
      </c>
      <c r="BC85" s="3595">
        <v>0.36</v>
      </c>
      <c r="BD85" s="3595">
        <v>1.69</v>
      </c>
      <c r="BE85" s="3595">
        <v>0.17</v>
      </c>
      <c r="BF85" s="3595">
        <v>4.28</v>
      </c>
      <c r="BG85" s="3595">
        <v>2.66</v>
      </c>
      <c r="BH85" s="3595">
        <v>2.1</v>
      </c>
      <c r="BI85" s="3595">
        <v>2.1</v>
      </c>
      <c r="BJ85" s="3595">
        <v>2.0699999999999998</v>
      </c>
      <c r="BK85" s="3595"/>
      <c r="BL85" s="3595"/>
      <c r="BM85" s="3595"/>
      <c r="BN85" s="3595"/>
      <c r="BO85" s="3595"/>
      <c r="BP85" s="3595"/>
      <c r="BQ85" s="3595"/>
      <c r="BR85" s="3595"/>
      <c r="BS85" s="3595"/>
      <c r="BT85" s="3595"/>
      <c r="BU85" s="3595"/>
      <c r="BV85" s="3595"/>
      <c r="BW85" s="3595"/>
      <c r="BX85" s="3595"/>
      <c r="BY85" s="3595"/>
      <c r="BZ85" s="3595"/>
      <c r="CA85" s="3595"/>
      <c r="CB85" s="3595"/>
      <c r="CC85" s="3595"/>
      <c r="CD85" s="3595"/>
      <c r="CE85" s="3595"/>
      <c r="CF85" s="3595">
        <f t="shared" si="18"/>
        <v>27.590000000000003</v>
      </c>
    </row>
    <row r="86" spans="1:84" ht="37.5" customHeight="1">
      <c r="A86" s="1004" t="s">
        <v>237</v>
      </c>
      <c r="B86" s="1080" t="s">
        <v>238</v>
      </c>
      <c r="C86" s="1080" t="s">
        <v>4602</v>
      </c>
      <c r="D86" s="982" t="s">
        <v>65</v>
      </c>
      <c r="E86" s="982" t="s">
        <v>65</v>
      </c>
      <c r="F86" s="3730" t="s">
        <v>2583</v>
      </c>
      <c r="G86" s="2669">
        <v>1</v>
      </c>
      <c r="H86" s="283">
        <v>1100</v>
      </c>
      <c r="I86" s="298">
        <f>H86/100000</f>
        <v>1.0999999999999999E-2</v>
      </c>
      <c r="J86" s="283">
        <v>8066</v>
      </c>
      <c r="K86" s="212">
        <f t="shared" si="30"/>
        <v>88.725999999999999</v>
      </c>
      <c r="L86" s="2645" t="s">
        <v>5484</v>
      </c>
      <c r="M86" s="2257">
        <f>'Ab3. ASHA'!Q252</f>
        <v>0</v>
      </c>
      <c r="N86" s="3651">
        <v>88.73</v>
      </c>
      <c r="O86" s="3652"/>
      <c r="P86" s="3654"/>
      <c r="Q86" s="3654"/>
      <c r="R86" s="3654"/>
      <c r="S86" s="3654"/>
      <c r="T86" s="3654"/>
      <c r="U86" s="3654"/>
      <c r="V86" s="3654"/>
      <c r="W86" s="3654"/>
      <c r="X86" s="3654"/>
      <c r="Y86" s="3654"/>
      <c r="Z86" s="3654"/>
      <c r="AA86" s="3654"/>
      <c r="AB86" s="3654"/>
      <c r="AC86" s="3654"/>
      <c r="AD86" s="3654"/>
      <c r="AE86" s="3654"/>
      <c r="AF86" s="3654"/>
      <c r="AG86" s="3654"/>
      <c r="AH86" s="3654"/>
      <c r="AI86" s="3654"/>
      <c r="AJ86" s="3654"/>
      <c r="AK86" s="3654"/>
      <c r="AL86" s="3654"/>
      <c r="AM86" s="3654"/>
      <c r="AN86" s="3654"/>
      <c r="AO86" s="3654"/>
      <c r="AP86" s="3654"/>
      <c r="AQ86" s="3654"/>
      <c r="AR86" s="3654"/>
      <c r="AS86" s="3654"/>
      <c r="AT86" s="3654"/>
      <c r="AU86" s="3654"/>
      <c r="AV86" s="3654"/>
      <c r="AW86" s="3654"/>
      <c r="AX86" s="3597">
        <v>1.1200000000000001</v>
      </c>
      <c r="AY86" s="3597">
        <v>5.49</v>
      </c>
      <c r="AZ86" s="3597">
        <v>6.61</v>
      </c>
      <c r="BA86" s="3597">
        <v>5.87</v>
      </c>
      <c r="BB86" s="3597">
        <v>20.02</v>
      </c>
      <c r="BC86" s="3597">
        <v>1.18</v>
      </c>
      <c r="BD86" s="3597">
        <v>5.45</v>
      </c>
      <c r="BE86" s="3597">
        <v>0.53</v>
      </c>
      <c r="BF86" s="3597">
        <v>13.75</v>
      </c>
      <c r="BG86" s="3597">
        <v>8.56</v>
      </c>
      <c r="BH86" s="3597">
        <v>6.74</v>
      </c>
      <c r="BI86" s="3597">
        <v>6.74</v>
      </c>
      <c r="BJ86" s="3597">
        <v>6.67</v>
      </c>
      <c r="BK86" s="3597"/>
      <c r="BL86" s="3597"/>
      <c r="BM86" s="3597"/>
      <c r="BN86" s="3597"/>
      <c r="BO86" s="3597"/>
      <c r="BP86" s="3597"/>
      <c r="BQ86" s="3597"/>
      <c r="BR86" s="3597"/>
      <c r="BS86" s="3597"/>
      <c r="BT86" s="3597"/>
      <c r="BU86" s="3597"/>
      <c r="BV86" s="3597"/>
      <c r="BW86" s="3597"/>
      <c r="BX86" s="3597"/>
      <c r="BY86" s="3597"/>
      <c r="BZ86" s="3597"/>
      <c r="CA86" s="3597"/>
      <c r="CB86" s="3597"/>
      <c r="CC86" s="3597"/>
      <c r="CD86" s="3597"/>
      <c r="CE86" s="3597"/>
      <c r="CF86" s="3595">
        <f t="shared" si="18"/>
        <v>88.72999999999999</v>
      </c>
    </row>
    <row r="87" spans="1:84" ht="37.5" customHeight="1">
      <c r="A87" s="1004" t="s">
        <v>246</v>
      </c>
      <c r="B87" s="1080" t="s">
        <v>247</v>
      </c>
      <c r="C87" s="1080" t="s">
        <v>248</v>
      </c>
      <c r="D87" s="2254" t="s">
        <v>85</v>
      </c>
      <c r="E87" s="2254" t="s">
        <v>85</v>
      </c>
      <c r="F87" s="3730" t="s">
        <v>188</v>
      </c>
      <c r="G87" s="230"/>
      <c r="H87" s="283">
        <v>600</v>
      </c>
      <c r="I87" s="298">
        <f>H87/100000</f>
        <v>6.0000000000000001E-3</v>
      </c>
      <c r="J87" s="283">
        <v>2116</v>
      </c>
      <c r="K87" s="212">
        <f t="shared" si="30"/>
        <v>12.696</v>
      </c>
      <c r="L87" s="108" t="s">
        <v>5230</v>
      </c>
      <c r="M87" s="2257" t="str">
        <f>'Ab1. RMNCH+A'!Q479</f>
        <v>--</v>
      </c>
      <c r="N87" s="3651">
        <v>12.7</v>
      </c>
      <c r="O87" s="3654"/>
      <c r="P87" s="3654"/>
      <c r="Q87" s="3654"/>
      <c r="R87" s="3654"/>
      <c r="S87" s="3654"/>
      <c r="T87" s="3654"/>
      <c r="U87" s="3654"/>
      <c r="V87" s="3654"/>
      <c r="W87" s="3654"/>
      <c r="X87" s="3654"/>
      <c r="Y87" s="3654"/>
      <c r="Z87" s="3654"/>
      <c r="AA87" s="3654"/>
      <c r="AB87" s="3654"/>
      <c r="AC87" s="3654"/>
      <c r="AD87" s="3654"/>
      <c r="AE87" s="3654"/>
      <c r="AF87" s="3654"/>
      <c r="AG87" s="3654"/>
      <c r="AH87" s="3654"/>
      <c r="AI87" s="3654"/>
      <c r="AJ87" s="3654"/>
      <c r="AK87" s="3654"/>
      <c r="AL87" s="3654"/>
      <c r="AM87" s="3654"/>
      <c r="AN87" s="3654"/>
      <c r="AO87" s="3654"/>
      <c r="AP87" s="3654"/>
      <c r="AQ87" s="3654"/>
      <c r="AR87" s="3654"/>
      <c r="AS87" s="3654"/>
      <c r="AT87" s="3654"/>
      <c r="AU87" s="3654"/>
      <c r="AV87" s="3654"/>
      <c r="AW87" s="3654"/>
      <c r="AX87" s="3597">
        <v>12.7</v>
      </c>
      <c r="AY87" s="3597"/>
      <c r="AZ87" s="3597"/>
      <c r="BA87" s="3597"/>
      <c r="BB87" s="3597"/>
      <c r="BC87" s="3597"/>
      <c r="BD87" s="3597"/>
      <c r="BE87" s="3597"/>
      <c r="BF87" s="3597"/>
      <c r="BG87" s="3597"/>
      <c r="BH87" s="3597"/>
      <c r="BI87" s="3597"/>
      <c r="BJ87" s="3597"/>
      <c r="BK87" s="3597"/>
      <c r="BL87" s="3597"/>
      <c r="BM87" s="3597"/>
      <c r="BN87" s="3597"/>
      <c r="BO87" s="3598"/>
      <c r="BP87" s="3598"/>
      <c r="BQ87" s="3598"/>
      <c r="BR87" s="3598"/>
      <c r="BS87" s="3598"/>
      <c r="BT87" s="3598"/>
      <c r="BU87" s="3598"/>
      <c r="BV87" s="3598"/>
      <c r="BW87" s="3598"/>
      <c r="BX87" s="3598"/>
      <c r="BY87" s="3598"/>
      <c r="BZ87" s="3598"/>
      <c r="CA87" s="3598"/>
      <c r="CB87" s="3598"/>
      <c r="CC87" s="3598"/>
      <c r="CD87" s="3598"/>
      <c r="CE87" s="3598"/>
      <c r="CF87" s="3596">
        <f t="shared" si="18"/>
        <v>12.7</v>
      </c>
    </row>
    <row r="88" spans="1:84" ht="37.5" customHeight="1">
      <c r="A88" s="1205" t="s">
        <v>2691</v>
      </c>
      <c r="B88" s="1206" t="s">
        <v>273</v>
      </c>
      <c r="C88" s="1206" t="s">
        <v>2682</v>
      </c>
      <c r="D88" s="2254" t="s">
        <v>4219</v>
      </c>
      <c r="E88" s="2254" t="s">
        <v>109</v>
      </c>
      <c r="F88" s="3730" t="s">
        <v>4709</v>
      </c>
      <c r="G88" s="2634"/>
      <c r="H88" s="283">
        <v>50000</v>
      </c>
      <c r="I88" s="298">
        <f>H88/100000</f>
        <v>0.5</v>
      </c>
      <c r="J88" s="283">
        <v>7</v>
      </c>
      <c r="K88" s="212">
        <f t="shared" si="30"/>
        <v>3.5</v>
      </c>
      <c r="L88" s="2256" t="s">
        <v>5454</v>
      </c>
      <c r="M88" s="2257">
        <f>'Abs9. NVBDCP'!Q206</f>
        <v>0</v>
      </c>
      <c r="N88" s="3642">
        <v>3.5</v>
      </c>
      <c r="O88" s="3652"/>
      <c r="P88" s="3652"/>
      <c r="Q88" s="3652"/>
      <c r="R88" s="3652"/>
      <c r="S88" s="3652"/>
      <c r="T88" s="3652"/>
      <c r="U88" s="3652"/>
      <c r="V88" s="3652"/>
      <c r="W88" s="3652"/>
      <c r="X88" s="3652"/>
      <c r="Y88" s="3652"/>
      <c r="Z88" s="3652"/>
      <c r="AA88" s="3652"/>
      <c r="AB88" s="3652"/>
      <c r="AC88" s="3652"/>
      <c r="AD88" s="3652"/>
      <c r="AE88" s="3652"/>
      <c r="AF88" s="3652"/>
      <c r="AG88" s="3652"/>
      <c r="AH88" s="3652"/>
      <c r="AI88" s="3652"/>
      <c r="AJ88" s="3652"/>
      <c r="AK88" s="3652"/>
      <c r="AL88" s="3652"/>
      <c r="AM88" s="3652"/>
      <c r="AN88" s="3652"/>
      <c r="AO88" s="3652"/>
      <c r="AP88" s="3652"/>
      <c r="AQ88" s="3652"/>
      <c r="AR88" s="3652"/>
      <c r="AS88" s="3652"/>
      <c r="AT88" s="3652"/>
      <c r="AU88" s="3652"/>
      <c r="AV88" s="3652"/>
      <c r="AW88" s="3652"/>
      <c r="AX88" s="3595"/>
      <c r="AY88" s="3595">
        <v>0.5</v>
      </c>
      <c r="AZ88" s="3595">
        <v>0</v>
      </c>
      <c r="BA88" s="3595">
        <v>0.5</v>
      </c>
      <c r="BB88" s="3595">
        <v>0.5</v>
      </c>
      <c r="BC88" s="3595">
        <v>0</v>
      </c>
      <c r="BD88" s="3595">
        <v>0.5</v>
      </c>
      <c r="BE88" s="3595">
        <v>0</v>
      </c>
      <c r="BF88" s="3595">
        <v>0</v>
      </c>
      <c r="BG88" s="3595">
        <v>0</v>
      </c>
      <c r="BH88" s="3595">
        <v>0.5</v>
      </c>
      <c r="BI88" s="3595">
        <v>0.5</v>
      </c>
      <c r="BJ88" s="3595">
        <v>0.5</v>
      </c>
      <c r="BK88" s="3595"/>
      <c r="BL88" s="3595"/>
      <c r="BM88" s="3595"/>
      <c r="BN88" s="3595"/>
      <c r="BO88" s="3595"/>
      <c r="BP88" s="3595"/>
      <c r="BQ88" s="3595"/>
      <c r="BR88" s="3595"/>
      <c r="BS88" s="3595"/>
      <c r="BT88" s="3595"/>
      <c r="BU88" s="3595"/>
      <c r="BV88" s="3595"/>
      <c r="BW88" s="3595"/>
      <c r="BX88" s="3595"/>
      <c r="BY88" s="3595"/>
      <c r="BZ88" s="3595"/>
      <c r="CA88" s="3595"/>
      <c r="CB88" s="3595"/>
      <c r="CC88" s="3595"/>
      <c r="CD88" s="3595"/>
      <c r="CE88" s="3595"/>
      <c r="CF88" s="3595">
        <f t="shared" si="18"/>
        <v>3.5</v>
      </c>
    </row>
    <row r="89" spans="1:84" ht="37.5" customHeight="1">
      <c r="A89" s="1004" t="s">
        <v>3937</v>
      </c>
      <c r="B89" s="1004" t="s">
        <v>4238</v>
      </c>
      <c r="C89" s="1004" t="s">
        <v>4236</v>
      </c>
      <c r="D89" s="2254" t="s">
        <v>4219</v>
      </c>
      <c r="E89" s="2254" t="s">
        <v>4525</v>
      </c>
      <c r="F89" s="3730" t="s">
        <v>4525</v>
      </c>
      <c r="G89" s="2669">
        <v>7000</v>
      </c>
      <c r="H89" s="283">
        <v>1000</v>
      </c>
      <c r="I89" s="298">
        <f t="shared" ref="I89:I91" si="32">H89/100000</f>
        <v>0.01</v>
      </c>
      <c r="J89" s="283">
        <v>7000</v>
      </c>
      <c r="K89" s="212">
        <f t="shared" ref="K89:K91" si="33">I89*J89</f>
        <v>70</v>
      </c>
      <c r="L89" s="2350" t="s">
        <v>5164</v>
      </c>
      <c r="M89" s="2257">
        <f>'Abs11. NTEP'!Q191</f>
        <v>0</v>
      </c>
      <c r="N89" s="3651">
        <v>70</v>
      </c>
      <c r="O89" s="3652"/>
      <c r="P89" s="3652"/>
      <c r="Q89" s="3652"/>
      <c r="R89" s="3652"/>
      <c r="S89" s="3652"/>
      <c r="T89" s="3652"/>
      <c r="U89" s="3652"/>
      <c r="V89" s="3652"/>
      <c r="W89" s="3652"/>
      <c r="X89" s="3652"/>
      <c r="Y89" s="3652"/>
      <c r="Z89" s="3652"/>
      <c r="AA89" s="3652"/>
      <c r="AB89" s="3652"/>
      <c r="AC89" s="3652"/>
      <c r="AD89" s="3652"/>
      <c r="AE89" s="3652"/>
      <c r="AF89" s="3652"/>
      <c r="AG89" s="3652"/>
      <c r="AH89" s="3652"/>
      <c r="AI89" s="3652"/>
      <c r="AJ89" s="3652"/>
      <c r="AK89" s="3652"/>
      <c r="AL89" s="3652"/>
      <c r="AM89" s="3652"/>
      <c r="AN89" s="3652"/>
      <c r="AO89" s="3652"/>
      <c r="AP89" s="3652"/>
      <c r="AQ89" s="3652"/>
      <c r="AR89" s="3652"/>
      <c r="AS89" s="3652"/>
      <c r="AT89" s="3652"/>
      <c r="AU89" s="3652"/>
      <c r="AV89" s="3652"/>
      <c r="AW89" s="3652"/>
      <c r="AX89" s="3595"/>
      <c r="AY89" s="3595">
        <v>2.48</v>
      </c>
      <c r="AZ89" s="3595">
        <v>0.52</v>
      </c>
      <c r="BA89" s="3595">
        <v>3.06</v>
      </c>
      <c r="BB89" s="3595">
        <v>17.12</v>
      </c>
      <c r="BC89" s="3595">
        <v>0.51</v>
      </c>
      <c r="BD89" s="3595">
        <v>6.45</v>
      </c>
      <c r="BE89" s="3595">
        <v>0.15</v>
      </c>
      <c r="BF89" s="3595">
        <v>9.92</v>
      </c>
      <c r="BG89" s="3595">
        <v>13.43</v>
      </c>
      <c r="BH89" s="3595">
        <v>5.41</v>
      </c>
      <c r="BI89" s="3595">
        <v>8.0500000000000007</v>
      </c>
      <c r="BJ89" s="3595">
        <v>2.9</v>
      </c>
      <c r="BK89" s="3595"/>
      <c r="BL89" s="3595"/>
      <c r="BM89" s="3595"/>
      <c r="BN89" s="3595"/>
      <c r="BO89" s="3595"/>
      <c r="BP89" s="3595"/>
      <c r="BQ89" s="3595"/>
      <c r="BR89" s="3595"/>
      <c r="BS89" s="3595"/>
      <c r="BT89" s="3595"/>
      <c r="BU89" s="3595"/>
      <c r="BV89" s="3595"/>
      <c r="BW89" s="3595"/>
      <c r="BX89" s="3595"/>
      <c r="BY89" s="3595"/>
      <c r="BZ89" s="3595"/>
      <c r="CA89" s="3595"/>
      <c r="CB89" s="3595"/>
      <c r="CC89" s="3595"/>
      <c r="CD89" s="3595"/>
      <c r="CE89" s="3595"/>
      <c r="CF89" s="3595">
        <f t="shared" si="18"/>
        <v>70</v>
      </c>
    </row>
    <row r="90" spans="1:84" ht="37.5" customHeight="1">
      <c r="A90" s="1004" t="s">
        <v>3938</v>
      </c>
      <c r="B90" s="1004" t="s">
        <v>4239</v>
      </c>
      <c r="C90" s="1004" t="s">
        <v>4237</v>
      </c>
      <c r="D90" s="2254" t="s">
        <v>4219</v>
      </c>
      <c r="E90" s="2254" t="s">
        <v>4525</v>
      </c>
      <c r="F90" s="3730" t="s">
        <v>4525</v>
      </c>
      <c r="G90" s="2669">
        <v>100</v>
      </c>
      <c r="H90" s="283">
        <v>5000</v>
      </c>
      <c r="I90" s="298">
        <f t="shared" si="32"/>
        <v>0.05</v>
      </c>
      <c r="J90" s="283">
        <v>100</v>
      </c>
      <c r="K90" s="212">
        <f t="shared" si="33"/>
        <v>5</v>
      </c>
      <c r="L90" s="2351" t="s">
        <v>5165</v>
      </c>
      <c r="M90" s="2257">
        <f>'Abs11. NTEP'!Q192</f>
        <v>0</v>
      </c>
      <c r="N90" s="3651">
        <v>5</v>
      </c>
      <c r="O90" s="3652"/>
      <c r="P90" s="3652"/>
      <c r="Q90" s="3652"/>
      <c r="R90" s="3652"/>
      <c r="S90" s="3652"/>
      <c r="T90" s="3652"/>
      <c r="U90" s="3652"/>
      <c r="V90" s="3652"/>
      <c r="W90" s="3652"/>
      <c r="X90" s="3652"/>
      <c r="Y90" s="3652"/>
      <c r="Z90" s="3652"/>
      <c r="AA90" s="3652"/>
      <c r="AB90" s="3652"/>
      <c r="AC90" s="3652"/>
      <c r="AD90" s="3652"/>
      <c r="AE90" s="3652"/>
      <c r="AF90" s="3652"/>
      <c r="AG90" s="3652"/>
      <c r="AH90" s="3652"/>
      <c r="AI90" s="3652"/>
      <c r="AJ90" s="3652"/>
      <c r="AK90" s="3652"/>
      <c r="AL90" s="3652"/>
      <c r="AM90" s="3652"/>
      <c r="AN90" s="3652"/>
      <c r="AO90" s="3652"/>
      <c r="AP90" s="3652"/>
      <c r="AQ90" s="3652"/>
      <c r="AR90" s="3652"/>
      <c r="AS90" s="3652"/>
      <c r="AT90" s="3652"/>
      <c r="AU90" s="3652"/>
      <c r="AV90" s="3652"/>
      <c r="AW90" s="3652"/>
      <c r="AX90" s="3595"/>
      <c r="AY90" s="3595">
        <v>0.3</v>
      </c>
      <c r="AZ90" s="3595">
        <v>0.45</v>
      </c>
      <c r="BA90" s="3595">
        <v>0.35</v>
      </c>
      <c r="BB90" s="3595">
        <v>0.85</v>
      </c>
      <c r="BC90" s="3595">
        <v>0.1</v>
      </c>
      <c r="BD90" s="3595">
        <v>0.5</v>
      </c>
      <c r="BE90" s="3595">
        <v>0.45</v>
      </c>
      <c r="BF90" s="3595">
        <v>0.6</v>
      </c>
      <c r="BG90" s="3595">
        <v>0.45</v>
      </c>
      <c r="BH90" s="3595">
        <v>0.3</v>
      </c>
      <c r="BI90" s="3595">
        <v>0.35</v>
      </c>
      <c r="BJ90" s="3595">
        <v>0.3</v>
      </c>
      <c r="BK90" s="3595"/>
      <c r="BL90" s="3595"/>
      <c r="BM90" s="3595"/>
      <c r="BN90" s="3595"/>
      <c r="BO90" s="3595"/>
      <c r="BP90" s="3595"/>
      <c r="BQ90" s="3595"/>
      <c r="BR90" s="3595"/>
      <c r="BS90" s="3595"/>
      <c r="BT90" s="3595"/>
      <c r="BU90" s="3595"/>
      <c r="BV90" s="3595"/>
      <c r="BW90" s="3595"/>
      <c r="BX90" s="3595"/>
      <c r="BY90" s="3595"/>
      <c r="BZ90" s="3595"/>
      <c r="CA90" s="3595"/>
      <c r="CB90" s="3595"/>
      <c r="CC90" s="3595"/>
      <c r="CD90" s="3595"/>
      <c r="CE90" s="3595"/>
      <c r="CF90" s="3595">
        <f t="shared" si="18"/>
        <v>5</v>
      </c>
    </row>
    <row r="91" spans="1:84" ht="37.5" customHeight="1">
      <c r="A91" s="1004" t="s">
        <v>4408</v>
      </c>
      <c r="B91" s="1004"/>
      <c r="C91" s="1004" t="s">
        <v>4409</v>
      </c>
      <c r="D91" s="2254" t="s">
        <v>4219</v>
      </c>
      <c r="E91" s="2254" t="s">
        <v>4525</v>
      </c>
      <c r="F91" s="3730" t="s">
        <v>4525</v>
      </c>
      <c r="G91" s="2669">
        <v>3000</v>
      </c>
      <c r="H91" s="283">
        <v>500</v>
      </c>
      <c r="I91" s="298">
        <f t="shared" si="32"/>
        <v>5.0000000000000001E-3</v>
      </c>
      <c r="J91" s="283">
        <v>3000</v>
      </c>
      <c r="K91" s="212">
        <f t="shared" si="33"/>
        <v>15</v>
      </c>
      <c r="L91" s="2352" t="s">
        <v>5166</v>
      </c>
      <c r="M91" s="2257">
        <f>'Abs11. NTEP'!Q193</f>
        <v>0</v>
      </c>
      <c r="N91" s="3651">
        <v>15</v>
      </c>
      <c r="O91" s="3652"/>
      <c r="P91" s="3652"/>
      <c r="Q91" s="3652"/>
      <c r="R91" s="3652"/>
      <c r="S91" s="3652"/>
      <c r="T91" s="3652"/>
      <c r="U91" s="3652"/>
      <c r="V91" s="3652"/>
      <c r="W91" s="3652"/>
      <c r="X91" s="3652"/>
      <c r="Y91" s="3652"/>
      <c r="Z91" s="3652"/>
      <c r="AA91" s="3652"/>
      <c r="AB91" s="3652"/>
      <c r="AC91" s="3652"/>
      <c r="AD91" s="3652"/>
      <c r="AE91" s="3652"/>
      <c r="AF91" s="3652"/>
      <c r="AG91" s="3652"/>
      <c r="AH91" s="3652"/>
      <c r="AI91" s="3652"/>
      <c r="AJ91" s="3652"/>
      <c r="AK91" s="3652"/>
      <c r="AL91" s="3652"/>
      <c r="AM91" s="3652"/>
      <c r="AN91" s="3652"/>
      <c r="AO91" s="3652"/>
      <c r="AP91" s="3652"/>
      <c r="AQ91" s="3652"/>
      <c r="AR91" s="3652"/>
      <c r="AS91" s="3652"/>
      <c r="AT91" s="3652"/>
      <c r="AU91" s="3652"/>
      <c r="AV91" s="3652"/>
      <c r="AW91" s="3652"/>
      <c r="AX91" s="3595"/>
      <c r="AY91" s="3595">
        <v>1</v>
      </c>
      <c r="AZ91" s="3595">
        <v>1.05</v>
      </c>
      <c r="BA91" s="3595">
        <v>1.1499999999999999</v>
      </c>
      <c r="BB91" s="3595">
        <v>2.4</v>
      </c>
      <c r="BC91" s="3595">
        <v>0.64</v>
      </c>
      <c r="BD91" s="3595">
        <v>1.2</v>
      </c>
      <c r="BE91" s="3595">
        <v>0.55000000000000004</v>
      </c>
      <c r="BF91" s="3595">
        <v>1.53</v>
      </c>
      <c r="BG91" s="3595">
        <v>1.55</v>
      </c>
      <c r="BH91" s="3595">
        <v>1.38</v>
      </c>
      <c r="BI91" s="3595">
        <v>1.5</v>
      </c>
      <c r="BJ91" s="3595">
        <v>1.05</v>
      </c>
      <c r="BK91" s="3595"/>
      <c r="BL91" s="3595"/>
      <c r="BM91" s="3595"/>
      <c r="BN91" s="3595"/>
      <c r="BO91" s="3595"/>
      <c r="BP91" s="3595"/>
      <c r="BQ91" s="3595"/>
      <c r="BR91" s="3595"/>
      <c r="BS91" s="3595"/>
      <c r="BT91" s="3595"/>
      <c r="BU91" s="3595"/>
      <c r="BV91" s="3595"/>
      <c r="BW91" s="3595"/>
      <c r="BX91" s="3595"/>
      <c r="BY91" s="3595"/>
      <c r="BZ91" s="3595"/>
      <c r="CA91" s="3595"/>
      <c r="CB91" s="3595"/>
      <c r="CC91" s="3595"/>
      <c r="CD91" s="3595"/>
      <c r="CE91" s="3595"/>
      <c r="CF91" s="3595">
        <f t="shared" si="18"/>
        <v>15</v>
      </c>
    </row>
    <row r="92" spans="1:84" ht="37.5" customHeight="1">
      <c r="A92" s="1205" t="s">
        <v>4363</v>
      </c>
      <c r="B92" s="1206"/>
      <c r="C92" s="1206" t="s">
        <v>4364</v>
      </c>
      <c r="D92" s="2254" t="s">
        <v>4219</v>
      </c>
      <c r="E92" s="2254" t="s">
        <v>4525</v>
      </c>
      <c r="F92" s="3730" t="s">
        <v>4525</v>
      </c>
      <c r="G92" s="245">
        <v>1</v>
      </c>
      <c r="H92" s="283">
        <v>31538</v>
      </c>
      <c r="I92" s="298">
        <f>H92/100000</f>
        <v>0.31537999999999999</v>
      </c>
      <c r="J92" s="283">
        <v>26</v>
      </c>
      <c r="K92" s="212">
        <f>I92*J92</f>
        <v>8.1998800000000003</v>
      </c>
      <c r="L92" s="2607" t="s">
        <v>5417</v>
      </c>
      <c r="M92" s="2257">
        <f>'Abs11. NTEP'!Q194</f>
        <v>0</v>
      </c>
      <c r="N92" s="3651">
        <v>8.1999999999999993</v>
      </c>
      <c r="O92" s="3652"/>
      <c r="P92" s="3652"/>
      <c r="Q92" s="3652"/>
      <c r="R92" s="3652"/>
      <c r="S92" s="3652"/>
      <c r="T92" s="3652"/>
      <c r="U92" s="3652"/>
      <c r="V92" s="3652"/>
      <c r="W92" s="3652"/>
      <c r="X92" s="3652"/>
      <c r="Y92" s="3652"/>
      <c r="Z92" s="3652"/>
      <c r="AA92" s="3652"/>
      <c r="AB92" s="3652"/>
      <c r="AC92" s="3652"/>
      <c r="AD92" s="3652"/>
      <c r="AE92" s="3652"/>
      <c r="AF92" s="3652"/>
      <c r="AG92" s="3652"/>
      <c r="AH92" s="3652"/>
      <c r="AI92" s="3652"/>
      <c r="AJ92" s="3652"/>
      <c r="AK92" s="3652"/>
      <c r="AL92" s="3652"/>
      <c r="AM92" s="3652"/>
      <c r="AN92" s="3652"/>
      <c r="AO92" s="3652"/>
      <c r="AP92" s="3652"/>
      <c r="AQ92" s="3652"/>
      <c r="AR92" s="3652"/>
      <c r="AS92" s="3652"/>
      <c r="AT92" s="3652"/>
      <c r="AU92" s="3652"/>
      <c r="AV92" s="3652"/>
      <c r="AW92" s="3652"/>
      <c r="AX92" s="3595">
        <v>4.3499999999999996</v>
      </c>
      <c r="AY92" s="3595">
        <v>0.3</v>
      </c>
      <c r="AZ92" s="3595">
        <v>0.3</v>
      </c>
      <c r="BA92" s="3595">
        <v>0.3</v>
      </c>
      <c r="BB92" s="3595">
        <v>0.5</v>
      </c>
      <c r="BC92" s="3595">
        <v>0.2</v>
      </c>
      <c r="BD92" s="3595">
        <v>0.35</v>
      </c>
      <c r="BE92" s="3595">
        <v>0.2</v>
      </c>
      <c r="BF92" s="3595">
        <v>0.4</v>
      </c>
      <c r="BG92" s="3595">
        <v>0.4</v>
      </c>
      <c r="BH92" s="3595">
        <v>0.3</v>
      </c>
      <c r="BI92" s="3595">
        <v>0.3</v>
      </c>
      <c r="BJ92" s="3595">
        <v>0.3</v>
      </c>
      <c r="BK92" s="3595"/>
      <c r="BL92" s="3595"/>
      <c r="BM92" s="3595"/>
      <c r="BN92" s="3595"/>
      <c r="BO92" s="3580"/>
      <c r="BP92" s="3580"/>
      <c r="BQ92" s="3580"/>
      <c r="BR92" s="3580"/>
      <c r="BS92" s="3580"/>
      <c r="BT92" s="3580"/>
      <c r="BU92" s="3580"/>
      <c r="BV92" s="3580"/>
      <c r="BW92" s="3580"/>
      <c r="BX92" s="3580"/>
      <c r="BY92" s="3580"/>
      <c r="BZ92" s="3580"/>
      <c r="CA92" s="3580"/>
      <c r="CB92" s="3580"/>
      <c r="CC92" s="3580"/>
      <c r="CD92" s="3580"/>
      <c r="CE92" s="3580"/>
      <c r="CF92" s="3595">
        <f t="shared" si="18"/>
        <v>8.1999999999999993</v>
      </c>
    </row>
    <row r="93" spans="1:84" ht="37.5" customHeight="1">
      <c r="A93" s="1205" t="s">
        <v>4365</v>
      </c>
      <c r="B93" s="1206"/>
      <c r="C93" s="1206" t="s">
        <v>4366</v>
      </c>
      <c r="D93" s="2254" t="s">
        <v>4219</v>
      </c>
      <c r="E93" s="2254" t="s">
        <v>4525</v>
      </c>
      <c r="F93" s="3730" t="s">
        <v>4525</v>
      </c>
      <c r="G93" s="245">
        <v>1</v>
      </c>
      <c r="H93" s="283">
        <v>62501</v>
      </c>
      <c r="I93" s="298">
        <f>H93/100000</f>
        <v>0.62500999999999995</v>
      </c>
      <c r="J93" s="283">
        <v>12</v>
      </c>
      <c r="K93" s="212">
        <f>I93*J93</f>
        <v>7.500119999999999</v>
      </c>
      <c r="L93" s="2256" t="s">
        <v>5416</v>
      </c>
      <c r="M93" s="2257">
        <f>'Abs11. NTEP'!Q195</f>
        <v>0</v>
      </c>
      <c r="N93" s="3651">
        <v>7.5</v>
      </c>
      <c r="O93" s="3652"/>
      <c r="P93" s="3652"/>
      <c r="Q93" s="3652"/>
      <c r="R93" s="3652"/>
      <c r="S93" s="3652"/>
      <c r="T93" s="3652"/>
      <c r="U93" s="3652"/>
      <c r="V93" s="3652"/>
      <c r="W93" s="3652"/>
      <c r="X93" s="3652"/>
      <c r="Y93" s="3652"/>
      <c r="Z93" s="3652"/>
      <c r="AA93" s="3652"/>
      <c r="AB93" s="3652"/>
      <c r="AC93" s="3652"/>
      <c r="AD93" s="3652"/>
      <c r="AE93" s="3652"/>
      <c r="AF93" s="3652"/>
      <c r="AG93" s="3652"/>
      <c r="AH93" s="3652"/>
      <c r="AI93" s="3652"/>
      <c r="AJ93" s="3652"/>
      <c r="AK93" s="3652"/>
      <c r="AL93" s="3652"/>
      <c r="AM93" s="3652"/>
      <c r="AN93" s="3652"/>
      <c r="AO93" s="3652"/>
      <c r="AP93" s="3652"/>
      <c r="AQ93" s="3652"/>
      <c r="AR93" s="3652"/>
      <c r="AS93" s="3652"/>
      <c r="AT93" s="3652"/>
      <c r="AU93" s="3652"/>
      <c r="AV93" s="3652"/>
      <c r="AW93" s="3652"/>
      <c r="AX93" s="3595">
        <v>3</v>
      </c>
      <c r="AY93" s="3595">
        <v>0.3</v>
      </c>
      <c r="AZ93" s="3595">
        <v>0.44</v>
      </c>
      <c r="BA93" s="3595">
        <v>0.38</v>
      </c>
      <c r="BB93" s="3595">
        <v>0.6</v>
      </c>
      <c r="BC93" s="3595">
        <v>0.25</v>
      </c>
      <c r="BD93" s="3595">
        <v>0.35</v>
      </c>
      <c r="BE93" s="3595">
        <v>0.15</v>
      </c>
      <c r="BF93" s="3595">
        <v>0.5</v>
      </c>
      <c r="BG93" s="3595">
        <v>0.5</v>
      </c>
      <c r="BH93" s="3595">
        <v>0.35</v>
      </c>
      <c r="BI93" s="3595">
        <v>0.38</v>
      </c>
      <c r="BJ93" s="3595">
        <v>0.3</v>
      </c>
      <c r="BK93" s="3595"/>
      <c r="BL93" s="3595"/>
      <c r="BM93" s="3595"/>
      <c r="BN93" s="3595"/>
      <c r="BO93" s="3580"/>
      <c r="BP93" s="3580"/>
      <c r="BQ93" s="3580"/>
      <c r="BR93" s="3580"/>
      <c r="BS93" s="3580"/>
      <c r="BT93" s="3580"/>
      <c r="BU93" s="3580"/>
      <c r="BV93" s="3580"/>
      <c r="BW93" s="3580"/>
      <c r="BX93" s="3580"/>
      <c r="BY93" s="3580"/>
      <c r="BZ93" s="3580"/>
      <c r="CA93" s="3580"/>
      <c r="CB93" s="3580"/>
      <c r="CC93" s="3580"/>
      <c r="CD93" s="3580"/>
      <c r="CE93" s="3580"/>
      <c r="CF93" s="3595">
        <f t="shared" si="18"/>
        <v>7.4999999999999991</v>
      </c>
    </row>
    <row r="94" spans="1:84" ht="37.5" customHeight="1">
      <c r="A94" s="2293" t="s">
        <v>2637</v>
      </c>
      <c r="B94" s="521" t="s">
        <v>1568</v>
      </c>
      <c r="C94" s="521" t="s">
        <v>1569</v>
      </c>
      <c r="D94" s="982" t="s">
        <v>65</v>
      </c>
      <c r="E94" s="982" t="s">
        <v>65</v>
      </c>
      <c r="F94" s="2294" t="s">
        <v>65</v>
      </c>
      <c r="G94" s="2340"/>
      <c r="H94" s="283">
        <v>1000000</v>
      </c>
      <c r="I94" s="2261">
        <f t="shared" ref="I94:I98" si="34">H94/100000</f>
        <v>10</v>
      </c>
      <c r="J94" s="283">
        <v>13</v>
      </c>
      <c r="K94" s="2296">
        <f t="shared" ref="K94:K98" si="35">I94*J94</f>
        <v>130</v>
      </c>
      <c r="L94" s="3736" t="s">
        <v>5396</v>
      </c>
      <c r="M94" s="2836" t="s">
        <v>5858</v>
      </c>
      <c r="N94" s="3655">
        <v>130</v>
      </c>
      <c r="O94" s="3656"/>
      <c r="P94" s="3656"/>
      <c r="Q94" s="3656"/>
      <c r="R94" s="3656"/>
      <c r="S94" s="3656"/>
      <c r="T94" s="3656"/>
      <c r="U94" s="3656"/>
      <c r="V94" s="3656"/>
      <c r="W94" s="3656"/>
      <c r="X94" s="3656"/>
      <c r="Y94" s="3656"/>
      <c r="Z94" s="3656"/>
      <c r="AA94" s="3656"/>
      <c r="AB94" s="3656"/>
      <c r="AC94" s="3656"/>
      <c r="AD94" s="3656"/>
      <c r="AE94" s="3656"/>
      <c r="AF94" s="3656"/>
      <c r="AG94" s="3656"/>
      <c r="AH94" s="3656"/>
      <c r="AI94" s="3656"/>
      <c r="AJ94" s="3656"/>
      <c r="AK94" s="3656"/>
      <c r="AL94" s="3656"/>
      <c r="AM94" s="3656"/>
      <c r="AN94" s="3656"/>
      <c r="AO94" s="3656"/>
      <c r="AP94" s="3656"/>
      <c r="AQ94" s="3656"/>
      <c r="AR94" s="3656"/>
      <c r="AS94" s="3656"/>
      <c r="AT94" s="3656"/>
      <c r="AU94" s="3656"/>
      <c r="AV94" s="3656"/>
      <c r="AW94" s="3656"/>
      <c r="AX94" s="3600"/>
      <c r="AY94" s="3600"/>
      <c r="AZ94" s="3600"/>
      <c r="BA94" s="3600"/>
      <c r="BB94" s="3600"/>
      <c r="BC94" s="3600">
        <v>10</v>
      </c>
      <c r="BD94" s="3600"/>
      <c r="BE94" s="3600">
        <v>10</v>
      </c>
      <c r="BF94" s="3600"/>
      <c r="BG94" s="3600"/>
      <c r="BH94" s="3600"/>
      <c r="BI94" s="3600"/>
      <c r="BJ94" s="3600"/>
      <c r="BK94" s="3600"/>
      <c r="BL94" s="3600"/>
      <c r="BM94" s="3600"/>
      <c r="BN94" s="3600"/>
      <c r="BO94" s="3599"/>
      <c r="BP94" s="3599"/>
      <c r="BQ94" s="3599"/>
      <c r="BR94" s="3599">
        <v>10</v>
      </c>
      <c r="BS94" s="3599">
        <v>10</v>
      </c>
      <c r="BT94" s="3599">
        <v>10</v>
      </c>
      <c r="BU94" s="3599">
        <v>10</v>
      </c>
      <c r="BV94" s="3599">
        <v>10</v>
      </c>
      <c r="BW94" s="3599">
        <v>10</v>
      </c>
      <c r="BX94" s="3599">
        <v>10</v>
      </c>
      <c r="BY94" s="3599">
        <v>10</v>
      </c>
      <c r="BZ94" s="3599">
        <v>10</v>
      </c>
      <c r="CA94" s="3599">
        <v>10</v>
      </c>
      <c r="CB94" s="3599">
        <v>10</v>
      </c>
      <c r="CC94" s="3599"/>
      <c r="CD94" s="3599"/>
      <c r="CE94" s="3599"/>
      <c r="CF94" s="3599">
        <f t="shared" si="18"/>
        <v>130</v>
      </c>
    </row>
    <row r="95" spans="1:84" ht="37.5" customHeight="1">
      <c r="A95" s="2293" t="s">
        <v>2639</v>
      </c>
      <c r="B95" s="521" t="s">
        <v>1571</v>
      </c>
      <c r="C95" s="521" t="s">
        <v>297</v>
      </c>
      <c r="D95" s="982" t="s">
        <v>65</v>
      </c>
      <c r="E95" s="982" t="s">
        <v>65</v>
      </c>
      <c r="F95" s="2294" t="s">
        <v>65</v>
      </c>
      <c r="G95" s="2340"/>
      <c r="H95" s="283">
        <v>250000</v>
      </c>
      <c r="I95" s="2261">
        <f t="shared" si="34"/>
        <v>2.5</v>
      </c>
      <c r="J95" s="283">
        <v>171</v>
      </c>
      <c r="K95" s="2296">
        <f t="shared" si="35"/>
        <v>427.5</v>
      </c>
      <c r="L95" s="2297"/>
      <c r="M95" s="2836" t="s">
        <v>5859</v>
      </c>
      <c r="N95" s="3655">
        <f>2.5*171</f>
        <v>427.5</v>
      </c>
      <c r="O95" s="3656"/>
      <c r="P95" s="3656"/>
      <c r="Q95" s="3656"/>
      <c r="R95" s="3656"/>
      <c r="S95" s="3656"/>
      <c r="T95" s="3656"/>
      <c r="U95" s="3656"/>
      <c r="V95" s="3656"/>
      <c r="W95" s="3656"/>
      <c r="X95" s="3656"/>
      <c r="Y95" s="3656"/>
      <c r="Z95" s="3656"/>
      <c r="AA95" s="3656"/>
      <c r="AB95" s="3656"/>
      <c r="AC95" s="3656"/>
      <c r="AD95" s="3656"/>
      <c r="AE95" s="3656"/>
      <c r="AF95" s="3656"/>
      <c r="AG95" s="3656"/>
      <c r="AH95" s="3656"/>
      <c r="AI95" s="3656"/>
      <c r="AJ95" s="3656"/>
      <c r="AK95" s="3656"/>
      <c r="AL95" s="3656"/>
      <c r="AM95" s="3656"/>
      <c r="AN95" s="3656"/>
      <c r="AO95" s="3656"/>
      <c r="AP95" s="3656"/>
      <c r="AQ95" s="3656"/>
      <c r="AR95" s="3656"/>
      <c r="AS95" s="3656"/>
      <c r="AT95" s="3656"/>
      <c r="AU95" s="3656"/>
      <c r="AV95" s="3656"/>
      <c r="AW95" s="3656"/>
      <c r="AX95" s="3600"/>
      <c r="AY95" s="3600">
        <f>2.5*10</f>
        <v>25</v>
      </c>
      <c r="AZ95" s="3600">
        <f>2.5*11</f>
        <v>27.5</v>
      </c>
      <c r="BA95" s="3600">
        <f>2.5*7</f>
        <v>17.5</v>
      </c>
      <c r="BB95" s="3600">
        <f>2.5*36</f>
        <v>90</v>
      </c>
      <c r="BC95" s="3600">
        <f>2.5*5</f>
        <v>12.5</v>
      </c>
      <c r="BD95" s="3600">
        <f>2.5*9</f>
        <v>22.5</v>
      </c>
      <c r="BE95" s="3600">
        <f>2.5*3</f>
        <v>7.5</v>
      </c>
      <c r="BF95" s="3600">
        <f>2.5*26</f>
        <v>65</v>
      </c>
      <c r="BG95" s="3600">
        <f>2.5*27</f>
        <v>67.5</v>
      </c>
      <c r="BH95" s="3600">
        <f>2.5*11</f>
        <v>27.5</v>
      </c>
      <c r="BI95" s="3600">
        <f>2.5*12</f>
        <v>30</v>
      </c>
      <c r="BJ95" s="3600">
        <f>2.5*14</f>
        <v>35</v>
      </c>
      <c r="BK95" s="3600"/>
      <c r="BL95" s="3600"/>
      <c r="BM95" s="3600"/>
      <c r="BN95" s="3600"/>
      <c r="BO95" s="3599"/>
      <c r="BP95" s="3599"/>
      <c r="BQ95" s="3599"/>
      <c r="BR95" s="3599"/>
      <c r="BS95" s="3599"/>
      <c r="BT95" s="3599"/>
      <c r="BU95" s="3599"/>
      <c r="BV95" s="3599"/>
      <c r="BW95" s="3599"/>
      <c r="BX95" s="3599"/>
      <c r="BY95" s="3599"/>
      <c r="BZ95" s="3599"/>
      <c r="CA95" s="3599"/>
      <c r="CB95" s="3599"/>
      <c r="CC95" s="3599"/>
      <c r="CD95" s="3599"/>
      <c r="CE95" s="3599"/>
      <c r="CF95" s="3599">
        <f t="shared" si="18"/>
        <v>427.5</v>
      </c>
    </row>
    <row r="96" spans="1:84" ht="37.5" customHeight="1">
      <c r="A96" s="2293" t="s">
        <v>2640</v>
      </c>
      <c r="B96" s="521" t="s">
        <v>1572</v>
      </c>
      <c r="C96" s="521" t="s">
        <v>298</v>
      </c>
      <c r="D96" s="982" t="s">
        <v>65</v>
      </c>
      <c r="E96" s="982" t="s">
        <v>65</v>
      </c>
      <c r="F96" s="2294" t="s">
        <v>65</v>
      </c>
      <c r="G96" s="2340"/>
      <c r="H96" s="283">
        <v>87500</v>
      </c>
      <c r="I96" s="2261">
        <f t="shared" si="34"/>
        <v>0.875</v>
      </c>
      <c r="J96" s="283">
        <v>577</v>
      </c>
      <c r="K96" s="2296">
        <f t="shared" si="35"/>
        <v>504.875</v>
      </c>
      <c r="L96" s="2297"/>
      <c r="M96" s="2836" t="s">
        <v>5860</v>
      </c>
      <c r="N96" s="3655">
        <f>577*0.875</f>
        <v>504.875</v>
      </c>
      <c r="O96" s="3656"/>
      <c r="P96" s="3656"/>
      <c r="Q96" s="3656"/>
      <c r="R96" s="3656"/>
      <c r="S96" s="3656"/>
      <c r="T96" s="3656"/>
      <c r="U96" s="3656"/>
      <c r="V96" s="3656"/>
      <c r="W96" s="3656"/>
      <c r="X96" s="3656"/>
      <c r="Y96" s="3656"/>
      <c r="Z96" s="3656"/>
      <c r="AA96" s="3656"/>
      <c r="AB96" s="3656"/>
      <c r="AC96" s="3656"/>
      <c r="AD96" s="3656"/>
      <c r="AE96" s="3656"/>
      <c r="AF96" s="3656"/>
      <c r="AG96" s="3656"/>
      <c r="AH96" s="3656"/>
      <c r="AI96" s="3656"/>
      <c r="AJ96" s="3656"/>
      <c r="AK96" s="3656"/>
      <c r="AL96" s="3656"/>
      <c r="AM96" s="3656"/>
      <c r="AN96" s="3656"/>
      <c r="AO96" s="3656"/>
      <c r="AP96" s="3656"/>
      <c r="AQ96" s="3656"/>
      <c r="AR96" s="3656"/>
      <c r="AS96" s="3656"/>
      <c r="AT96" s="3656"/>
      <c r="AU96" s="3656"/>
      <c r="AV96" s="3656"/>
      <c r="AW96" s="3656"/>
      <c r="AX96" s="3600"/>
      <c r="AY96" s="3600">
        <f>0.875*37</f>
        <v>32.375</v>
      </c>
      <c r="AZ96" s="3600">
        <f>0.875*44</f>
        <v>38.5</v>
      </c>
      <c r="BA96" s="3600">
        <f>0.875*32</f>
        <v>28</v>
      </c>
      <c r="BB96" s="3600">
        <f>0.875*86</f>
        <v>75.25</v>
      </c>
      <c r="BC96" s="3600">
        <f>0.875*23</f>
        <v>20.125</v>
      </c>
      <c r="BD96" s="3600">
        <f>0.875*26</f>
        <v>22.75</v>
      </c>
      <c r="BE96" s="3600">
        <f>0.875*16</f>
        <v>14</v>
      </c>
      <c r="BF96" s="3600">
        <f>0.875*86</f>
        <v>75.25</v>
      </c>
      <c r="BG96" s="3600">
        <f>0.875*121</f>
        <v>105.875</v>
      </c>
      <c r="BH96" s="3600">
        <f>0.875*43</f>
        <v>37.625</v>
      </c>
      <c r="BI96" s="3600">
        <f>0.875*40</f>
        <v>35</v>
      </c>
      <c r="BJ96" s="3600">
        <f>0.875*23</f>
        <v>20.125</v>
      </c>
      <c r="BK96" s="3600"/>
      <c r="BL96" s="3600"/>
      <c r="BM96" s="3600"/>
      <c r="BN96" s="3600"/>
      <c r="BO96" s="3600"/>
      <c r="BP96" s="3600"/>
      <c r="BQ96" s="3600"/>
      <c r="BR96" s="3600"/>
      <c r="BS96" s="3600"/>
      <c r="BT96" s="3600"/>
      <c r="BU96" s="3600"/>
      <c r="BV96" s="3600"/>
      <c r="BW96" s="3600"/>
      <c r="BX96" s="3600"/>
      <c r="BY96" s="3600"/>
      <c r="BZ96" s="3600"/>
      <c r="CA96" s="3600"/>
      <c r="CB96" s="3600"/>
      <c r="CC96" s="3600"/>
      <c r="CD96" s="3600"/>
      <c r="CE96" s="3600"/>
      <c r="CF96" s="3599">
        <f t="shared" si="18"/>
        <v>504.875</v>
      </c>
    </row>
    <row r="97" spans="1:84" ht="37.5" customHeight="1">
      <c r="A97" s="2293" t="s">
        <v>2641</v>
      </c>
      <c r="B97" s="521" t="s">
        <v>1573</v>
      </c>
      <c r="C97" s="521" t="s">
        <v>299</v>
      </c>
      <c r="D97" s="982" t="s">
        <v>65</v>
      </c>
      <c r="E97" s="982" t="s">
        <v>65</v>
      </c>
      <c r="F97" s="2294" t="s">
        <v>65</v>
      </c>
      <c r="G97" s="2340"/>
      <c r="H97" s="283">
        <v>20000</v>
      </c>
      <c r="I97" s="2261">
        <f t="shared" si="34"/>
        <v>0.2</v>
      </c>
      <c r="J97" s="283">
        <v>2104</v>
      </c>
      <c r="K97" s="2296">
        <f t="shared" si="35"/>
        <v>420.8</v>
      </c>
      <c r="L97" s="2297"/>
      <c r="M97" s="2836" t="s">
        <v>5861</v>
      </c>
      <c r="N97" s="3655">
        <f>0.2*2104</f>
        <v>420.8</v>
      </c>
      <c r="O97" s="3656"/>
      <c r="P97" s="3656"/>
      <c r="Q97" s="3656"/>
      <c r="R97" s="3656"/>
      <c r="S97" s="3656"/>
      <c r="T97" s="3656"/>
      <c r="U97" s="3656"/>
      <c r="V97" s="3656"/>
      <c r="W97" s="3656"/>
      <c r="X97" s="3656"/>
      <c r="Y97" s="3656"/>
      <c r="Z97" s="3656"/>
      <c r="AA97" s="3656"/>
      <c r="AB97" s="3656"/>
      <c r="AC97" s="3656"/>
      <c r="AD97" s="3656"/>
      <c r="AE97" s="3656"/>
      <c r="AF97" s="3656"/>
      <c r="AG97" s="3656"/>
      <c r="AH97" s="3656"/>
      <c r="AI97" s="3656"/>
      <c r="AJ97" s="3656"/>
      <c r="AK97" s="3656"/>
      <c r="AL97" s="3656"/>
      <c r="AM97" s="3656"/>
      <c r="AN97" s="3656"/>
      <c r="AO97" s="3656"/>
      <c r="AP97" s="3656"/>
      <c r="AQ97" s="3656"/>
      <c r="AR97" s="3656"/>
      <c r="AS97" s="3656"/>
      <c r="AT97" s="3656"/>
      <c r="AU97" s="3656"/>
      <c r="AV97" s="3656"/>
      <c r="AW97" s="3656"/>
      <c r="AX97" s="3600"/>
      <c r="AY97" s="3600">
        <f>0.2*120</f>
        <v>24</v>
      </c>
      <c r="AZ97" s="3600">
        <f>0.2*177</f>
        <v>35.4</v>
      </c>
      <c r="BA97" s="3600">
        <f>0.2*150</f>
        <v>30</v>
      </c>
      <c r="BB97" s="3600">
        <f>0.2*441</f>
        <v>88.2</v>
      </c>
      <c r="BC97" s="3600">
        <f>0.2*34</f>
        <v>6.8000000000000007</v>
      </c>
      <c r="BD97" s="3600">
        <f>0.2*103</f>
        <v>20.6</v>
      </c>
      <c r="BE97" s="3600">
        <f>0.2*36</f>
        <v>7.2</v>
      </c>
      <c r="BF97" s="3600">
        <f>0.2*331</f>
        <v>66.2</v>
      </c>
      <c r="BG97" s="3600">
        <f>0.2*252</f>
        <v>50.400000000000006</v>
      </c>
      <c r="BH97" s="3600">
        <f>0.2*149</f>
        <v>29.8</v>
      </c>
      <c r="BI97" s="3600">
        <f>0.2*175</f>
        <v>35</v>
      </c>
      <c r="BJ97" s="3600">
        <f>0.2*136</f>
        <v>27.200000000000003</v>
      </c>
      <c r="BK97" s="3600"/>
      <c r="BL97" s="3600"/>
      <c r="BM97" s="3600"/>
      <c r="BN97" s="3600"/>
      <c r="BO97" s="3600"/>
      <c r="BP97" s="3600"/>
      <c r="BQ97" s="3600"/>
      <c r="BR97" s="3600"/>
      <c r="BS97" s="3600"/>
      <c r="BT97" s="3600"/>
      <c r="BU97" s="3600"/>
      <c r="BV97" s="3600"/>
      <c r="BW97" s="3600"/>
      <c r="BX97" s="3600"/>
      <c r="BY97" s="3600"/>
      <c r="BZ97" s="3600"/>
      <c r="CA97" s="3600"/>
      <c r="CB97" s="3600"/>
      <c r="CC97" s="3600"/>
      <c r="CD97" s="3600"/>
      <c r="CE97" s="3600"/>
      <c r="CF97" s="3599">
        <f t="shared" si="18"/>
        <v>420.80000000000007</v>
      </c>
    </row>
    <row r="98" spans="1:84" ht="37.5" customHeight="1">
      <c r="A98" s="2293" t="s">
        <v>2642</v>
      </c>
      <c r="B98" s="521" t="s">
        <v>1574</v>
      </c>
      <c r="C98" s="521" t="s">
        <v>1575</v>
      </c>
      <c r="D98" s="982" t="s">
        <v>65</v>
      </c>
      <c r="E98" s="982" t="s">
        <v>65</v>
      </c>
      <c r="F98" s="2294" t="s">
        <v>65</v>
      </c>
      <c r="G98" s="2340">
        <v>1</v>
      </c>
      <c r="H98" s="2318">
        <v>2000</v>
      </c>
      <c r="I98" s="2261">
        <f t="shared" si="34"/>
        <v>0.02</v>
      </c>
      <c r="J98" s="2318">
        <v>8000</v>
      </c>
      <c r="K98" s="2296">
        <f t="shared" si="35"/>
        <v>160</v>
      </c>
      <c r="L98" s="2341" t="s">
        <v>5397</v>
      </c>
      <c r="M98" s="2836" t="s">
        <v>5862</v>
      </c>
      <c r="N98" s="3655">
        <v>160</v>
      </c>
      <c r="O98" s="3656"/>
      <c r="P98" s="3656"/>
      <c r="Q98" s="3656"/>
      <c r="R98" s="3656"/>
      <c r="S98" s="3656"/>
      <c r="T98" s="3656"/>
      <c r="U98" s="3656"/>
      <c r="V98" s="3656"/>
      <c r="W98" s="3656"/>
      <c r="X98" s="3656"/>
      <c r="Y98" s="3656"/>
      <c r="Z98" s="3656"/>
      <c r="AA98" s="3656"/>
      <c r="AB98" s="3656"/>
      <c r="AC98" s="3656"/>
      <c r="AD98" s="3656"/>
      <c r="AE98" s="3656"/>
      <c r="AF98" s="3656"/>
      <c r="AG98" s="3656"/>
      <c r="AH98" s="3656"/>
      <c r="AI98" s="3656"/>
      <c r="AJ98" s="3656"/>
      <c r="AK98" s="3656"/>
      <c r="AL98" s="3656"/>
      <c r="AM98" s="3656"/>
      <c r="AN98" s="3656"/>
      <c r="AO98" s="3656"/>
      <c r="AP98" s="3656"/>
      <c r="AQ98" s="3656"/>
      <c r="AR98" s="3656"/>
      <c r="AS98" s="3656"/>
      <c r="AT98" s="3656"/>
      <c r="AU98" s="3656"/>
      <c r="AV98" s="3656"/>
      <c r="AW98" s="3656"/>
      <c r="AX98" s="3600">
        <v>2.4</v>
      </c>
      <c r="AY98" s="3600">
        <f>0.02*499</f>
        <v>9.98</v>
      </c>
      <c r="AZ98" s="3600">
        <f>0.02*600</f>
        <v>12</v>
      </c>
      <c r="BA98" s="3600">
        <f>0.02*533</f>
        <v>10.66</v>
      </c>
      <c r="BB98" s="3600">
        <f>0.02*1761</f>
        <v>35.22</v>
      </c>
      <c r="BC98" s="3600">
        <f>0.02*106</f>
        <v>2.12</v>
      </c>
      <c r="BD98" s="3600">
        <f>0.02*495</f>
        <v>9.9</v>
      </c>
      <c r="BE98" s="3600">
        <f>0.02*48</f>
        <v>0.96</v>
      </c>
      <c r="BF98" s="3600">
        <f>0.02*1250</f>
        <v>25</v>
      </c>
      <c r="BG98" s="3600">
        <f>0.02*757</f>
        <v>15.14</v>
      </c>
      <c r="BH98" s="3600">
        <f>0.02*612</f>
        <v>12.24</v>
      </c>
      <c r="BI98" s="3600">
        <f>0.02*613</f>
        <v>12.26</v>
      </c>
      <c r="BJ98" s="3600">
        <f>0.02*606</f>
        <v>12.120000000000001</v>
      </c>
      <c r="BK98" s="3600"/>
      <c r="BL98" s="3600"/>
      <c r="BM98" s="3600"/>
      <c r="BN98" s="3600"/>
      <c r="BO98" s="3600"/>
      <c r="BP98" s="3600"/>
      <c r="BQ98" s="3600"/>
      <c r="BR98" s="3600"/>
      <c r="BS98" s="3600"/>
      <c r="BT98" s="3600"/>
      <c r="BU98" s="3600"/>
      <c r="BV98" s="3600"/>
      <c r="BW98" s="3600"/>
      <c r="BX98" s="3600"/>
      <c r="BY98" s="3600"/>
      <c r="BZ98" s="3600"/>
      <c r="CA98" s="3600"/>
      <c r="CB98" s="3600"/>
      <c r="CC98" s="3600"/>
      <c r="CD98" s="3600"/>
      <c r="CE98" s="3600"/>
      <c r="CF98" s="3599">
        <f t="shared" si="18"/>
        <v>160</v>
      </c>
    </row>
    <row r="99" spans="1:84" ht="37.5" customHeight="1">
      <c r="A99" s="2293" t="s">
        <v>2643</v>
      </c>
      <c r="B99" s="521"/>
      <c r="C99" s="3697" t="s">
        <v>601</v>
      </c>
      <c r="D99" s="982" t="s">
        <v>65</v>
      </c>
      <c r="E99" s="982" t="s">
        <v>65</v>
      </c>
      <c r="F99" s="2294" t="s">
        <v>65</v>
      </c>
      <c r="G99" s="2340"/>
      <c r="H99" s="2318"/>
      <c r="I99" s="2261"/>
      <c r="J99" s="2318"/>
      <c r="K99" s="2296"/>
      <c r="L99" s="3696"/>
      <c r="M99" s="2836"/>
      <c r="N99" s="3655">
        <v>300</v>
      </c>
      <c r="O99" s="3656"/>
      <c r="P99" s="3656"/>
      <c r="Q99" s="3656"/>
      <c r="R99" s="3656"/>
      <c r="S99" s="3656"/>
      <c r="T99" s="3656"/>
      <c r="U99" s="3656"/>
      <c r="V99" s="3656"/>
      <c r="W99" s="3656"/>
      <c r="X99" s="3656"/>
      <c r="Y99" s="3656"/>
      <c r="Z99" s="3656"/>
      <c r="AA99" s="3656"/>
      <c r="AB99" s="3656"/>
      <c r="AC99" s="3656"/>
      <c r="AD99" s="3656"/>
      <c r="AE99" s="3656"/>
      <c r="AF99" s="3656"/>
      <c r="AG99" s="3656"/>
      <c r="AH99" s="3656"/>
      <c r="AI99" s="3656"/>
      <c r="AJ99" s="3656"/>
      <c r="AK99" s="3656"/>
      <c r="AL99" s="3656"/>
      <c r="AM99" s="3656"/>
      <c r="AN99" s="3656"/>
      <c r="AO99" s="3656"/>
      <c r="AP99" s="3656"/>
      <c r="AQ99" s="3656"/>
      <c r="AR99" s="3656"/>
      <c r="AS99" s="3656"/>
      <c r="AT99" s="3656"/>
      <c r="AU99" s="3656"/>
      <c r="AV99" s="3656"/>
      <c r="AW99" s="3656"/>
      <c r="AX99" s="3600">
        <v>300</v>
      </c>
      <c r="AY99" s="3600"/>
      <c r="AZ99" s="3600"/>
      <c r="BA99" s="3600"/>
      <c r="BB99" s="3600"/>
      <c r="BC99" s="3600"/>
      <c r="BD99" s="3600"/>
      <c r="BE99" s="3600"/>
      <c r="BF99" s="3600"/>
      <c r="BG99" s="3600"/>
      <c r="BH99" s="3600"/>
      <c r="BI99" s="3600"/>
      <c r="BJ99" s="3600"/>
      <c r="BK99" s="3600"/>
      <c r="BL99" s="3600"/>
      <c r="BM99" s="3600"/>
      <c r="BN99" s="3600"/>
      <c r="BO99" s="3600"/>
      <c r="BP99" s="3600"/>
      <c r="BQ99" s="3600"/>
      <c r="BR99" s="3600"/>
      <c r="BS99" s="3600"/>
      <c r="BT99" s="3600"/>
      <c r="BU99" s="3600"/>
      <c r="BV99" s="3600"/>
      <c r="BW99" s="3600"/>
      <c r="BX99" s="3600"/>
      <c r="BY99" s="3600"/>
      <c r="BZ99" s="3600"/>
      <c r="CA99" s="3600"/>
      <c r="CB99" s="3600"/>
      <c r="CC99" s="3600"/>
      <c r="CD99" s="3600"/>
      <c r="CE99" s="3600"/>
      <c r="CF99" s="3599">
        <f t="shared" si="18"/>
        <v>300</v>
      </c>
    </row>
    <row r="100" spans="1:84" s="963" customFormat="1" ht="37.5" customHeight="1">
      <c r="A100" s="1179" t="s">
        <v>4035</v>
      </c>
      <c r="B100" s="1080"/>
      <c r="C100" s="1080" t="s">
        <v>2883</v>
      </c>
      <c r="D100" s="982" t="s">
        <v>65</v>
      </c>
      <c r="E100" s="982" t="s">
        <v>65</v>
      </c>
      <c r="F100" s="3730" t="s">
        <v>65</v>
      </c>
      <c r="G100" s="324"/>
      <c r="H100" s="283">
        <v>277777</v>
      </c>
      <c r="I100" s="298">
        <f t="shared" ref="I100" si="36">H100/100000</f>
        <v>2.7777699999999999</v>
      </c>
      <c r="J100" s="283">
        <v>180</v>
      </c>
      <c r="K100" s="3009">
        <f>I100*J100</f>
        <v>499.99859999999995</v>
      </c>
      <c r="L100" s="719" t="s">
        <v>5495</v>
      </c>
      <c r="M100" s="3733" t="s">
        <v>5864</v>
      </c>
      <c r="N100" s="3669">
        <v>500</v>
      </c>
      <c r="O100" s="3653"/>
      <c r="P100" s="3653"/>
      <c r="Q100" s="3653"/>
      <c r="R100" s="3653"/>
      <c r="S100" s="3653"/>
      <c r="T100" s="3653"/>
      <c r="U100" s="3653"/>
      <c r="V100" s="3653"/>
      <c r="W100" s="3653"/>
      <c r="X100" s="3653"/>
      <c r="Y100" s="3653"/>
      <c r="Z100" s="3653"/>
      <c r="AA100" s="3653"/>
      <c r="AB100" s="3653"/>
      <c r="AC100" s="3653"/>
      <c r="AD100" s="3653"/>
      <c r="AE100" s="3653"/>
      <c r="AF100" s="3653"/>
      <c r="AG100" s="3653"/>
      <c r="AH100" s="3653"/>
      <c r="AI100" s="3653"/>
      <c r="AJ100" s="3653"/>
      <c r="AK100" s="3653"/>
      <c r="AL100" s="3653"/>
      <c r="AM100" s="3653"/>
      <c r="AN100" s="3653"/>
      <c r="AO100" s="3653"/>
      <c r="AP100" s="3653"/>
      <c r="AQ100" s="3653"/>
      <c r="AR100" s="3653"/>
      <c r="AS100" s="3653"/>
      <c r="AT100" s="3653"/>
      <c r="AU100" s="3653"/>
      <c r="AV100" s="3653"/>
      <c r="AW100" s="3653"/>
      <c r="AX100" s="3595">
        <v>500</v>
      </c>
      <c r="AY100" s="3595"/>
      <c r="AZ100" s="3595"/>
      <c r="BA100" s="3595"/>
      <c r="BB100" s="3595"/>
      <c r="BC100" s="3595"/>
      <c r="BD100" s="3595"/>
      <c r="BE100" s="3595"/>
      <c r="BF100" s="3595"/>
      <c r="BG100" s="3595"/>
      <c r="BH100" s="3595"/>
      <c r="BI100" s="3595"/>
      <c r="BJ100" s="3595"/>
      <c r="BK100" s="3595"/>
      <c r="BL100" s="3595"/>
      <c r="BM100" s="3595"/>
      <c r="BN100" s="3595"/>
      <c r="BO100" s="3595"/>
      <c r="BP100" s="3595"/>
      <c r="BQ100" s="3595"/>
      <c r="BR100" s="3595"/>
      <c r="BS100" s="3595"/>
      <c r="BT100" s="3595"/>
      <c r="BU100" s="3595"/>
      <c r="BV100" s="3595"/>
      <c r="BW100" s="3595"/>
      <c r="BX100" s="3595"/>
      <c r="BY100" s="3595"/>
      <c r="BZ100" s="3595"/>
      <c r="CA100" s="3595"/>
      <c r="CB100" s="3595"/>
      <c r="CC100" s="3595"/>
      <c r="CD100" s="3595"/>
      <c r="CE100" s="3595"/>
      <c r="CF100" s="3595">
        <f t="shared" si="18"/>
        <v>500</v>
      </c>
    </row>
    <row r="101" spans="1:84" ht="37.5" customHeight="1">
      <c r="A101" s="1179" t="s">
        <v>4038</v>
      </c>
      <c r="B101" s="1080" t="s">
        <v>308</v>
      </c>
      <c r="C101" s="1080" t="s">
        <v>4633</v>
      </c>
      <c r="D101" s="982" t="s">
        <v>80</v>
      </c>
      <c r="E101" s="982" t="s">
        <v>65</v>
      </c>
      <c r="F101" s="3730" t="s">
        <v>309</v>
      </c>
      <c r="G101" s="324"/>
      <c r="H101" s="2519">
        <v>100000</v>
      </c>
      <c r="I101" s="298">
        <f t="shared" ref="I101:I104" si="37">H101/100000</f>
        <v>1</v>
      </c>
      <c r="J101" s="2519">
        <v>10</v>
      </c>
      <c r="K101" s="3009">
        <f t="shared" ref="K101:K104" si="38">I101*J101</f>
        <v>10</v>
      </c>
      <c r="L101" s="719" t="s">
        <v>5298</v>
      </c>
      <c r="M101" s="2300">
        <f>'Abs25. NPPC'!Q316</f>
        <v>0</v>
      </c>
      <c r="N101" s="3642">
        <v>10</v>
      </c>
      <c r="O101" s="3653"/>
      <c r="P101" s="3653"/>
      <c r="Q101" s="3653"/>
      <c r="R101" s="3653"/>
      <c r="S101" s="3653"/>
      <c r="T101" s="3653"/>
      <c r="U101" s="3653"/>
      <c r="V101" s="3653"/>
      <c r="W101" s="3653"/>
      <c r="X101" s="3653"/>
      <c r="Y101" s="3653"/>
      <c r="Z101" s="3653"/>
      <c r="AA101" s="3653"/>
      <c r="AB101" s="3653"/>
      <c r="AC101" s="3653"/>
      <c r="AD101" s="3653"/>
      <c r="AE101" s="3653"/>
      <c r="AF101" s="3653"/>
      <c r="AG101" s="3653"/>
      <c r="AH101" s="3653"/>
      <c r="AI101" s="3653"/>
      <c r="AJ101" s="3653"/>
      <c r="AK101" s="3653"/>
      <c r="AL101" s="3653"/>
      <c r="AM101" s="3653"/>
      <c r="AN101" s="3653"/>
      <c r="AO101" s="3653"/>
      <c r="AP101" s="3653"/>
      <c r="AQ101" s="3653"/>
      <c r="AR101" s="3653"/>
      <c r="AS101" s="3653"/>
      <c r="AT101" s="3653"/>
      <c r="AU101" s="3653"/>
      <c r="AV101" s="3653"/>
      <c r="AW101" s="3653"/>
      <c r="AX101" s="3595">
        <v>0</v>
      </c>
      <c r="AY101" s="3595"/>
      <c r="AZ101" s="3595"/>
      <c r="BA101" s="3595"/>
      <c r="BB101" s="3595"/>
      <c r="BC101" s="3595">
        <v>1</v>
      </c>
      <c r="BD101" s="3595"/>
      <c r="BE101" s="3595"/>
      <c r="BF101" s="3595"/>
      <c r="BG101" s="3595"/>
      <c r="BH101" s="3595">
        <v>1</v>
      </c>
      <c r="BI101" s="3595"/>
      <c r="BJ101" s="3595"/>
      <c r="BK101" s="3595"/>
      <c r="BL101" s="3595"/>
      <c r="BM101" s="3595"/>
      <c r="BN101" s="3595"/>
      <c r="BO101" s="3595"/>
      <c r="BP101" s="3595"/>
      <c r="BQ101" s="3595"/>
      <c r="BR101" s="3595">
        <v>1</v>
      </c>
      <c r="BS101" s="3595">
        <v>1</v>
      </c>
      <c r="BT101" s="3595">
        <v>1</v>
      </c>
      <c r="BU101" s="3595">
        <v>1</v>
      </c>
      <c r="BV101" s="3595">
        <v>1</v>
      </c>
      <c r="BW101" s="3595"/>
      <c r="BX101" s="3595">
        <v>1</v>
      </c>
      <c r="BY101" s="3595"/>
      <c r="BZ101" s="3595">
        <v>1</v>
      </c>
      <c r="CA101" s="3595"/>
      <c r="CB101" s="3595">
        <v>1</v>
      </c>
      <c r="CC101" s="3595"/>
      <c r="CD101" s="3595"/>
      <c r="CE101" s="3595"/>
      <c r="CF101" s="3595">
        <f t="shared" si="18"/>
        <v>10</v>
      </c>
    </row>
    <row r="102" spans="1:84" ht="37.5" customHeight="1">
      <c r="A102" s="1179" t="s">
        <v>4043</v>
      </c>
      <c r="B102" s="1179" t="s">
        <v>2031</v>
      </c>
      <c r="C102" s="1179" t="s">
        <v>4463</v>
      </c>
      <c r="D102" s="982" t="s">
        <v>65</v>
      </c>
      <c r="E102" s="982" t="s">
        <v>65</v>
      </c>
      <c r="F102" s="3730" t="s">
        <v>4218</v>
      </c>
      <c r="G102" s="324">
        <v>1</v>
      </c>
      <c r="H102" s="283">
        <v>100000</v>
      </c>
      <c r="I102" s="298">
        <f t="shared" si="37"/>
        <v>1</v>
      </c>
      <c r="J102" s="283">
        <v>193</v>
      </c>
      <c r="K102" s="3009">
        <f t="shared" si="38"/>
        <v>193</v>
      </c>
      <c r="L102" s="2299" t="s">
        <v>5505</v>
      </c>
      <c r="M102" s="2300">
        <f>'Abs6. CPHC'!Q317</f>
        <v>0</v>
      </c>
      <c r="N102" s="3642">
        <v>193</v>
      </c>
      <c r="O102" s="3653"/>
      <c r="P102" s="3653"/>
      <c r="Q102" s="3653"/>
      <c r="R102" s="3653"/>
      <c r="S102" s="3653"/>
      <c r="T102" s="3653"/>
      <c r="U102" s="3653"/>
      <c r="V102" s="3653"/>
      <c r="W102" s="3653"/>
      <c r="X102" s="3653"/>
      <c r="Y102" s="3653"/>
      <c r="Z102" s="3653"/>
      <c r="AA102" s="3653"/>
      <c r="AB102" s="3653"/>
      <c r="AC102" s="3653"/>
      <c r="AD102" s="3653"/>
      <c r="AE102" s="3653"/>
      <c r="AF102" s="3653"/>
      <c r="AG102" s="3653"/>
      <c r="AH102" s="3653"/>
      <c r="AI102" s="3653"/>
      <c r="AJ102" s="3653"/>
      <c r="AK102" s="3653"/>
      <c r="AL102" s="3653"/>
      <c r="AM102" s="3653"/>
      <c r="AN102" s="3653"/>
      <c r="AO102" s="3653"/>
      <c r="AP102" s="3653"/>
      <c r="AQ102" s="3653"/>
      <c r="AR102" s="3653"/>
      <c r="AS102" s="3653"/>
      <c r="AT102" s="3653"/>
      <c r="AU102" s="3653"/>
      <c r="AV102" s="3653"/>
      <c r="AW102" s="3653"/>
      <c r="AX102" s="3595">
        <v>193</v>
      </c>
      <c r="AY102" s="3595"/>
      <c r="AZ102" s="3595"/>
      <c r="BA102" s="3595"/>
      <c r="BB102" s="3595"/>
      <c r="BC102" s="3595"/>
      <c r="BD102" s="3595"/>
      <c r="BE102" s="3595"/>
      <c r="BF102" s="3595"/>
      <c r="BG102" s="3595"/>
      <c r="BH102" s="3595"/>
      <c r="BI102" s="3595"/>
      <c r="BJ102" s="3595"/>
      <c r="BK102" s="3595"/>
      <c r="BL102" s="3595"/>
      <c r="BM102" s="3595"/>
      <c r="BN102" s="3595"/>
      <c r="BO102" s="3595"/>
      <c r="BP102" s="3595"/>
      <c r="BQ102" s="3595"/>
      <c r="BR102" s="3595"/>
      <c r="BS102" s="3595"/>
      <c r="BT102" s="3595"/>
      <c r="BU102" s="3595"/>
      <c r="BV102" s="3595"/>
      <c r="BW102" s="3595"/>
      <c r="BX102" s="3595"/>
      <c r="BY102" s="3595"/>
      <c r="BZ102" s="3595"/>
      <c r="CA102" s="3595"/>
      <c r="CB102" s="3595"/>
      <c r="CC102" s="3595"/>
      <c r="CD102" s="3595"/>
      <c r="CE102" s="3595"/>
      <c r="CF102" s="3595">
        <f t="shared" si="18"/>
        <v>193</v>
      </c>
    </row>
    <row r="103" spans="1:84" ht="37.5" customHeight="1">
      <c r="A103" s="1179" t="s">
        <v>4044</v>
      </c>
      <c r="B103" s="1179"/>
      <c r="C103" s="1179" t="s">
        <v>4464</v>
      </c>
      <c r="D103" s="982" t="s">
        <v>65</v>
      </c>
      <c r="E103" s="982" t="s">
        <v>65</v>
      </c>
      <c r="F103" s="3730" t="s">
        <v>4218</v>
      </c>
      <c r="G103" s="324">
        <v>1</v>
      </c>
      <c r="H103" s="283">
        <v>100000</v>
      </c>
      <c r="I103" s="298">
        <f t="shared" si="37"/>
        <v>1</v>
      </c>
      <c r="J103" s="283">
        <v>159</v>
      </c>
      <c r="K103" s="3009">
        <f t="shared" si="38"/>
        <v>159</v>
      </c>
      <c r="L103" s="2299" t="s">
        <v>5506</v>
      </c>
      <c r="M103" s="2300">
        <f>'Abs6. CPHC'!Q318</f>
        <v>0</v>
      </c>
      <c r="N103" s="3642">
        <v>159</v>
      </c>
      <c r="O103" s="3653"/>
      <c r="P103" s="3653"/>
      <c r="Q103" s="3653"/>
      <c r="R103" s="3653"/>
      <c r="S103" s="3653"/>
      <c r="T103" s="3653"/>
      <c r="U103" s="3653"/>
      <c r="V103" s="3653"/>
      <c r="W103" s="3653"/>
      <c r="X103" s="3653"/>
      <c r="Y103" s="3653"/>
      <c r="Z103" s="3653"/>
      <c r="AA103" s="3653"/>
      <c r="AB103" s="3653"/>
      <c r="AC103" s="3653"/>
      <c r="AD103" s="3653"/>
      <c r="AE103" s="3653"/>
      <c r="AF103" s="3653"/>
      <c r="AG103" s="3653"/>
      <c r="AH103" s="3653"/>
      <c r="AI103" s="3653"/>
      <c r="AJ103" s="3653"/>
      <c r="AK103" s="3653"/>
      <c r="AL103" s="3653"/>
      <c r="AM103" s="3653"/>
      <c r="AN103" s="3653"/>
      <c r="AO103" s="3653"/>
      <c r="AP103" s="3653"/>
      <c r="AQ103" s="3653"/>
      <c r="AR103" s="3653"/>
      <c r="AS103" s="3653"/>
      <c r="AT103" s="3653"/>
      <c r="AU103" s="3653"/>
      <c r="AV103" s="3653"/>
      <c r="AW103" s="3653"/>
      <c r="AX103" s="3595">
        <v>159</v>
      </c>
      <c r="AY103" s="3595"/>
      <c r="AZ103" s="3595"/>
      <c r="BA103" s="3595"/>
      <c r="BB103" s="3595"/>
      <c r="BC103" s="3595"/>
      <c r="BD103" s="3595"/>
      <c r="BE103" s="3595"/>
      <c r="BF103" s="3595"/>
      <c r="BG103" s="3595"/>
      <c r="BH103" s="3595"/>
      <c r="BI103" s="3595"/>
      <c r="BJ103" s="3595"/>
      <c r="BK103" s="3595"/>
      <c r="BL103" s="3595"/>
      <c r="BM103" s="3595"/>
      <c r="BN103" s="3595"/>
      <c r="BO103" s="3595"/>
      <c r="BP103" s="3595"/>
      <c r="BQ103" s="3595"/>
      <c r="BR103" s="3595"/>
      <c r="BS103" s="3595"/>
      <c r="BT103" s="3595"/>
      <c r="BU103" s="3595"/>
      <c r="BV103" s="3595"/>
      <c r="BW103" s="3595"/>
      <c r="BX103" s="3595"/>
      <c r="BY103" s="3595"/>
      <c r="BZ103" s="3595"/>
      <c r="CA103" s="3595"/>
      <c r="CB103" s="3595"/>
      <c r="CC103" s="3595"/>
      <c r="CD103" s="3595"/>
      <c r="CE103" s="3595"/>
      <c r="CF103" s="3595">
        <f t="shared" si="18"/>
        <v>159</v>
      </c>
    </row>
    <row r="104" spans="1:84" ht="37.5" customHeight="1">
      <c r="A104" s="3572" t="s">
        <v>4047</v>
      </c>
      <c r="B104" s="1080"/>
      <c r="C104" s="3737" t="s">
        <v>2313</v>
      </c>
      <c r="D104" s="3226" t="s">
        <v>65</v>
      </c>
      <c r="E104" s="3226" t="s">
        <v>65</v>
      </c>
      <c r="F104" s="3738" t="s">
        <v>2312</v>
      </c>
      <c r="G104" s="3317"/>
      <c r="H104" s="3200">
        <v>1375000</v>
      </c>
      <c r="I104" s="3232">
        <f t="shared" si="37"/>
        <v>13.75</v>
      </c>
      <c r="J104" s="3200">
        <v>12</v>
      </c>
      <c r="K104" s="3739">
        <f t="shared" si="38"/>
        <v>165</v>
      </c>
      <c r="L104" s="3321" t="s">
        <v>5481</v>
      </c>
      <c r="M104" s="1268" t="str">
        <f>'Ab1. RMNCH+A'!Q339</f>
        <v>-</v>
      </c>
      <c r="N104" s="3657">
        <v>165</v>
      </c>
      <c r="O104" s="3653"/>
      <c r="P104" s="3653"/>
      <c r="Q104" s="3653"/>
      <c r="R104" s="3653"/>
      <c r="S104" s="3653"/>
      <c r="T104" s="3653"/>
      <c r="U104" s="3653"/>
      <c r="V104" s="3653"/>
      <c r="W104" s="3653"/>
      <c r="X104" s="3653"/>
      <c r="Y104" s="3653"/>
      <c r="Z104" s="3653"/>
      <c r="AA104" s="3653"/>
      <c r="AB104" s="3653"/>
      <c r="AC104" s="3653"/>
      <c r="AD104" s="3653"/>
      <c r="AE104" s="3653"/>
      <c r="AF104" s="3653"/>
      <c r="AG104" s="3653"/>
      <c r="AH104" s="3653"/>
      <c r="AI104" s="3653"/>
      <c r="AJ104" s="3653"/>
      <c r="AK104" s="3653"/>
      <c r="AL104" s="3653"/>
      <c r="AM104" s="3653"/>
      <c r="AN104" s="3653"/>
      <c r="AO104" s="3653"/>
      <c r="AP104" s="3653"/>
      <c r="AQ104" s="3653"/>
      <c r="AR104" s="3653"/>
      <c r="AS104" s="3653"/>
      <c r="AT104" s="3653"/>
      <c r="AU104" s="3653"/>
      <c r="AV104" s="3653"/>
      <c r="AW104" s="3653"/>
      <c r="AX104" s="3595">
        <v>165</v>
      </c>
      <c r="AY104" s="3595"/>
      <c r="AZ104" s="3595"/>
      <c r="BA104" s="3595"/>
      <c r="BB104" s="3595"/>
      <c r="BC104" s="3595"/>
      <c r="BD104" s="3595"/>
      <c r="BE104" s="3595"/>
      <c r="BF104" s="3595"/>
      <c r="BG104" s="3595"/>
      <c r="BH104" s="3595"/>
      <c r="BI104" s="3595"/>
      <c r="BJ104" s="3595"/>
      <c r="BK104" s="3595"/>
      <c r="BL104" s="3595"/>
      <c r="BM104" s="3595"/>
      <c r="BN104" s="3595"/>
      <c r="BO104" s="3580"/>
      <c r="BP104" s="3580"/>
      <c r="BQ104" s="3580"/>
      <c r="BR104" s="3580"/>
      <c r="BS104" s="3580"/>
      <c r="BT104" s="3580"/>
      <c r="BU104" s="3580"/>
      <c r="BV104" s="3580"/>
      <c r="BW104" s="3580"/>
      <c r="BX104" s="3580"/>
      <c r="BY104" s="3580"/>
      <c r="BZ104" s="3580"/>
      <c r="CA104" s="3580"/>
      <c r="CB104" s="3580"/>
      <c r="CC104" s="3580"/>
      <c r="CD104" s="3580"/>
      <c r="CE104" s="3580"/>
      <c r="CF104" s="3595">
        <f t="shared" si="18"/>
        <v>165</v>
      </c>
    </row>
    <row r="105" spans="1:84" ht="37.5" customHeight="1">
      <c r="A105" s="1080" t="s">
        <v>4054</v>
      </c>
      <c r="B105" s="1080" t="s">
        <v>2717</v>
      </c>
      <c r="C105" s="1080" t="s">
        <v>5106</v>
      </c>
      <c r="D105" s="2095" t="s">
        <v>65</v>
      </c>
      <c r="E105" s="2095" t="s">
        <v>65</v>
      </c>
      <c r="F105" s="3730" t="s">
        <v>2312</v>
      </c>
      <c r="G105" s="324"/>
      <c r="H105" s="3477">
        <v>33686000</v>
      </c>
      <c r="I105" s="212">
        <f t="shared" ref="I105" si="39">H105/100000</f>
        <v>336.86</v>
      </c>
      <c r="J105" s="3477">
        <v>7</v>
      </c>
      <c r="K105" s="2995">
        <f t="shared" ref="K105" si="40">I105*J105</f>
        <v>2358.02</v>
      </c>
      <c r="L105" s="3480" t="s">
        <v>5267</v>
      </c>
      <c r="M105" s="2300" t="str">
        <f>'Ab1. RMNCH+A'!Q340</f>
        <v>-</v>
      </c>
      <c r="N105" s="3651">
        <v>2253.02</v>
      </c>
      <c r="O105" s="3653"/>
      <c r="P105" s="3653"/>
      <c r="Q105" s="3653"/>
      <c r="R105" s="3653"/>
      <c r="S105" s="3653"/>
      <c r="T105" s="3653"/>
      <c r="U105" s="3653"/>
      <c r="V105" s="3653"/>
      <c r="W105" s="3653"/>
      <c r="X105" s="3653"/>
      <c r="Y105" s="3653"/>
      <c r="Z105" s="3653"/>
      <c r="AA105" s="3653"/>
      <c r="AB105" s="3653"/>
      <c r="AC105" s="3653"/>
      <c r="AD105" s="3653"/>
      <c r="AE105" s="3653"/>
      <c r="AF105" s="3653"/>
      <c r="AG105" s="3653"/>
      <c r="AH105" s="3653"/>
      <c r="AI105" s="3653"/>
      <c r="AJ105" s="3653"/>
      <c r="AK105" s="3653"/>
      <c r="AL105" s="3653"/>
      <c r="AM105" s="3653"/>
      <c r="AN105" s="3653"/>
      <c r="AO105" s="3653"/>
      <c r="AP105" s="3653"/>
      <c r="AQ105" s="3653"/>
      <c r="AR105" s="3653"/>
      <c r="AS105" s="3653"/>
      <c r="AT105" s="3653"/>
      <c r="AU105" s="3653"/>
      <c r="AV105" s="3653"/>
      <c r="AW105" s="3653"/>
      <c r="AX105" s="3595">
        <v>2253.02</v>
      </c>
      <c r="AY105" s="3595"/>
      <c r="AZ105" s="3595"/>
      <c r="BA105" s="3595"/>
      <c r="BB105" s="3595"/>
      <c r="BC105" s="3595"/>
      <c r="BD105" s="3595"/>
      <c r="BE105" s="3595"/>
      <c r="BF105" s="3595"/>
      <c r="BG105" s="3595"/>
      <c r="BH105" s="3595"/>
      <c r="BI105" s="3595"/>
      <c r="BJ105" s="3595"/>
      <c r="BK105" s="3595"/>
      <c r="BL105" s="3595"/>
      <c r="BM105" s="3595"/>
      <c r="BN105" s="3595"/>
      <c r="BO105" s="3595"/>
      <c r="BP105" s="3595"/>
      <c r="BQ105" s="3595"/>
      <c r="BR105" s="3595"/>
      <c r="BS105" s="3595"/>
      <c r="BT105" s="3595"/>
      <c r="BU105" s="3595"/>
      <c r="BV105" s="3595"/>
      <c r="BW105" s="3595"/>
      <c r="BX105" s="3595"/>
      <c r="BY105" s="3595"/>
      <c r="BZ105" s="3595"/>
      <c r="CA105" s="3595"/>
      <c r="CB105" s="3595"/>
      <c r="CC105" s="3595"/>
      <c r="CD105" s="3595"/>
      <c r="CE105" s="3595"/>
      <c r="CF105" s="3595">
        <f t="shared" si="18"/>
        <v>2253.02</v>
      </c>
    </row>
    <row r="106" spans="1:84" ht="37.5" customHeight="1">
      <c r="A106" s="1179" t="s">
        <v>336</v>
      </c>
      <c r="B106" s="1080" t="s">
        <v>2735</v>
      </c>
      <c r="C106" s="1080" t="s">
        <v>5110</v>
      </c>
      <c r="D106" s="982" t="s">
        <v>65</v>
      </c>
      <c r="E106" s="982" t="s">
        <v>65</v>
      </c>
      <c r="F106" s="3730" t="s">
        <v>91</v>
      </c>
      <c r="G106" s="324"/>
      <c r="H106" s="283">
        <v>2500000</v>
      </c>
      <c r="I106" s="298">
        <f t="shared" ref="I106:I108" si="41">H106/100000</f>
        <v>25</v>
      </c>
      <c r="J106" s="283">
        <v>1</v>
      </c>
      <c r="K106" s="3009">
        <f t="shared" ref="K106:K109" si="42">I106*J106</f>
        <v>25</v>
      </c>
      <c r="L106" s="719" t="s">
        <v>5509</v>
      </c>
      <c r="M106" s="1268">
        <f>'Ab1. RMNCH+A'!Q659</f>
        <v>0</v>
      </c>
      <c r="N106" s="3657">
        <v>25</v>
      </c>
      <c r="O106" s="3653"/>
      <c r="P106" s="3653"/>
      <c r="Q106" s="3653"/>
      <c r="R106" s="3653"/>
      <c r="S106" s="3653"/>
      <c r="T106" s="3653"/>
      <c r="U106" s="3653"/>
      <c r="V106" s="3653"/>
      <c r="W106" s="3653"/>
      <c r="X106" s="3653"/>
      <c r="Y106" s="3653"/>
      <c r="Z106" s="3653"/>
      <c r="AA106" s="3653"/>
      <c r="AB106" s="3653"/>
      <c r="AC106" s="3653"/>
      <c r="AD106" s="3653"/>
      <c r="AE106" s="3653"/>
      <c r="AF106" s="3653"/>
      <c r="AG106" s="3653"/>
      <c r="AH106" s="3653"/>
      <c r="AI106" s="3653"/>
      <c r="AJ106" s="3653"/>
      <c r="AK106" s="3653"/>
      <c r="AL106" s="3653"/>
      <c r="AM106" s="3653"/>
      <c r="AN106" s="3653"/>
      <c r="AO106" s="3653"/>
      <c r="AP106" s="3653"/>
      <c r="AQ106" s="3653"/>
      <c r="AR106" s="3653"/>
      <c r="AS106" s="3653"/>
      <c r="AT106" s="3653"/>
      <c r="AU106" s="3653"/>
      <c r="AV106" s="3653"/>
      <c r="AW106" s="3653"/>
      <c r="AX106" s="3595">
        <v>25</v>
      </c>
      <c r="AY106" s="3595"/>
      <c r="AZ106" s="3595"/>
      <c r="BA106" s="3595"/>
      <c r="BB106" s="3595"/>
      <c r="BC106" s="3595"/>
      <c r="BD106" s="3595"/>
      <c r="BE106" s="3595"/>
      <c r="BF106" s="3595"/>
      <c r="BG106" s="3595"/>
      <c r="BH106" s="3595"/>
      <c r="BI106" s="3595"/>
      <c r="BJ106" s="3595"/>
      <c r="BK106" s="3595"/>
      <c r="BL106" s="3595"/>
      <c r="BM106" s="3595"/>
      <c r="BN106" s="3595"/>
      <c r="BO106" s="3595"/>
      <c r="BP106" s="3595"/>
      <c r="BQ106" s="3595"/>
      <c r="BR106" s="3595"/>
      <c r="BS106" s="3595"/>
      <c r="BT106" s="3595"/>
      <c r="BU106" s="3595"/>
      <c r="BV106" s="3595"/>
      <c r="BW106" s="3595"/>
      <c r="BX106" s="3595"/>
      <c r="BY106" s="3595"/>
      <c r="BZ106" s="3595"/>
      <c r="CA106" s="3595"/>
      <c r="CB106" s="3595"/>
      <c r="CC106" s="3595"/>
      <c r="CD106" s="3595"/>
      <c r="CE106" s="3595"/>
      <c r="CF106" s="3595">
        <f t="shared" si="18"/>
        <v>25</v>
      </c>
    </row>
    <row r="107" spans="1:84" ht="37.5" customHeight="1">
      <c r="A107" s="1179" t="s">
        <v>338</v>
      </c>
      <c r="B107" s="1080" t="s">
        <v>341</v>
      </c>
      <c r="C107" s="1080" t="s">
        <v>342</v>
      </c>
      <c r="D107" s="2254" t="s">
        <v>85</v>
      </c>
      <c r="E107" s="2254" t="s">
        <v>85</v>
      </c>
      <c r="F107" s="3730" t="s">
        <v>188</v>
      </c>
      <c r="G107" s="324"/>
      <c r="H107" s="2448">
        <f>(10000*99)+(50000*1)</f>
        <v>1040000</v>
      </c>
      <c r="I107" s="298">
        <f t="shared" si="41"/>
        <v>10.4</v>
      </c>
      <c r="J107" s="283">
        <v>1</v>
      </c>
      <c r="K107" s="3009">
        <f t="shared" si="42"/>
        <v>10.4</v>
      </c>
      <c r="L107" s="719" t="s">
        <v>5231</v>
      </c>
      <c r="M107" s="2300">
        <f>'Ab1. RMNCH+A'!Q610</f>
        <v>0</v>
      </c>
      <c r="N107" s="3642">
        <v>10.4</v>
      </c>
      <c r="O107" s="3653"/>
      <c r="P107" s="3653"/>
      <c r="Q107" s="3653"/>
      <c r="R107" s="3653"/>
      <c r="S107" s="3653"/>
      <c r="T107" s="3653"/>
      <c r="U107" s="3653"/>
      <c r="V107" s="3653"/>
      <c r="W107" s="3653"/>
      <c r="X107" s="3653"/>
      <c r="Y107" s="3653"/>
      <c r="Z107" s="3653"/>
      <c r="AA107" s="3653"/>
      <c r="AB107" s="3653"/>
      <c r="AC107" s="3653"/>
      <c r="AD107" s="3653"/>
      <c r="AE107" s="3653"/>
      <c r="AF107" s="3653"/>
      <c r="AG107" s="3653"/>
      <c r="AH107" s="3653"/>
      <c r="AI107" s="3653"/>
      <c r="AJ107" s="3653"/>
      <c r="AK107" s="3653"/>
      <c r="AL107" s="3653"/>
      <c r="AM107" s="3653"/>
      <c r="AN107" s="3653"/>
      <c r="AO107" s="3653"/>
      <c r="AP107" s="3653"/>
      <c r="AQ107" s="3653"/>
      <c r="AR107" s="3653"/>
      <c r="AS107" s="3653"/>
      <c r="AT107" s="3653"/>
      <c r="AU107" s="3653"/>
      <c r="AV107" s="3653"/>
      <c r="AW107" s="3653"/>
      <c r="AX107" s="3595">
        <v>0.6</v>
      </c>
      <c r="AY107" s="3595">
        <v>0.4</v>
      </c>
      <c r="AZ107" s="3595">
        <v>0.7</v>
      </c>
      <c r="BA107" s="3595">
        <v>0.5</v>
      </c>
      <c r="BB107" s="3595">
        <f>1.6+0.1</f>
        <v>1.7000000000000002</v>
      </c>
      <c r="BC107" s="3595">
        <f>0.2+0.1</f>
        <v>0.30000000000000004</v>
      </c>
      <c r="BD107" s="3595">
        <v>0.5</v>
      </c>
      <c r="BE107" s="3595">
        <v>0.1</v>
      </c>
      <c r="BF107" s="3595">
        <v>1.6</v>
      </c>
      <c r="BG107" s="3595">
        <v>1.1000000000000001</v>
      </c>
      <c r="BH107" s="3595">
        <f>0.4+0.1</f>
        <v>0.5</v>
      </c>
      <c r="BI107" s="3595">
        <v>0.5</v>
      </c>
      <c r="BJ107" s="3595">
        <v>0.6</v>
      </c>
      <c r="BK107" s="3595">
        <v>0</v>
      </c>
      <c r="BL107" s="3595"/>
      <c r="BM107" s="3595">
        <v>0.1</v>
      </c>
      <c r="BN107" s="3595">
        <v>0.1</v>
      </c>
      <c r="BO107" s="3595"/>
      <c r="BP107" s="3595">
        <v>0.1</v>
      </c>
      <c r="BQ107" s="3595">
        <v>0</v>
      </c>
      <c r="BR107" s="3595">
        <v>0.1</v>
      </c>
      <c r="BS107" s="3595">
        <v>0.1</v>
      </c>
      <c r="BT107" s="3595">
        <v>0.1</v>
      </c>
      <c r="BU107" s="3595">
        <v>0.1</v>
      </c>
      <c r="BV107" s="3595">
        <v>0.1</v>
      </c>
      <c r="BW107" s="3595">
        <v>0.1</v>
      </c>
      <c r="BX107" s="3595">
        <v>0.1</v>
      </c>
      <c r="BY107" s="3595">
        <v>0.1</v>
      </c>
      <c r="BZ107" s="3595">
        <v>0.1</v>
      </c>
      <c r="CA107" s="3595"/>
      <c r="CB107" s="3595">
        <v>0.1</v>
      </c>
      <c r="CC107" s="3595"/>
      <c r="CD107" s="3595"/>
      <c r="CE107" s="3595"/>
      <c r="CF107" s="3595">
        <f t="shared" si="18"/>
        <v>10.399999999999995</v>
      </c>
    </row>
    <row r="108" spans="1:84" ht="37.5" customHeight="1">
      <c r="A108" s="1179" t="s">
        <v>339</v>
      </c>
      <c r="B108" s="1080" t="s">
        <v>344</v>
      </c>
      <c r="C108" s="1080" t="s">
        <v>345</v>
      </c>
      <c r="D108" s="2254" t="s">
        <v>85</v>
      </c>
      <c r="E108" s="2254" t="s">
        <v>85</v>
      </c>
      <c r="F108" s="3730" t="s">
        <v>126</v>
      </c>
      <c r="G108" s="324">
        <v>1</v>
      </c>
      <c r="H108" s="243">
        <v>200000</v>
      </c>
      <c r="I108" s="212">
        <f t="shared" si="41"/>
        <v>2</v>
      </c>
      <c r="J108" s="243">
        <v>4</v>
      </c>
      <c r="K108" s="2995">
        <f t="shared" si="42"/>
        <v>8</v>
      </c>
      <c r="L108" s="719" t="s">
        <v>5356</v>
      </c>
      <c r="M108" s="2300" t="str">
        <f>'Ab1. RMNCH+A'!Q431</f>
        <v xml:space="preserve">Recommended for approval of Rs.35.20 lakhs  for eVIN operational cost. Fund approved for operational cost of E-VIN i.e. Lump sum amount of Rs. 17.40 lakhs recommended for UNDP technical assistance cost for e-VIN as per State's proposal.Data Sim Cards for CCH Mobile Phones (@ Rs.177/CCH) for 390Data Sim Cards for Temperature Loggers (@ Rs.116.82/TL) for 430Mobile voice and data SIM for UNDP staff ( @ Rs.234.82 per head) for 3Replacement of Temperature loggers (@ 20% loss/damage/New CCE) for 86Replacement of Mobile handset (@ 30% loss/damage/New CCP) for 117Mobile voice and data SIM for eVIN team ( @ Rs.295 per head) for 12 VCCM &amp;Laptop Maintainance for VCCM laptop (@ Rs 2400 per VCCM per year) for 12 VCCM, Management&amp; operational  fee 2.60. </v>
      </c>
      <c r="N108" s="3642">
        <v>8</v>
      </c>
      <c r="O108" s="3653"/>
      <c r="P108" s="3653"/>
      <c r="Q108" s="3653"/>
      <c r="R108" s="3653"/>
      <c r="S108" s="3653"/>
      <c r="T108" s="3653"/>
      <c r="U108" s="3653"/>
      <c r="V108" s="3653"/>
      <c r="W108" s="3653"/>
      <c r="X108" s="3653"/>
      <c r="Y108" s="3653"/>
      <c r="Z108" s="3653"/>
      <c r="AA108" s="3653"/>
      <c r="AB108" s="3653"/>
      <c r="AC108" s="3653"/>
      <c r="AD108" s="3653"/>
      <c r="AE108" s="3653"/>
      <c r="AF108" s="3653"/>
      <c r="AG108" s="3653"/>
      <c r="AH108" s="3653"/>
      <c r="AI108" s="3653"/>
      <c r="AJ108" s="3653"/>
      <c r="AK108" s="3653"/>
      <c r="AL108" s="3653"/>
      <c r="AM108" s="3653"/>
      <c r="AN108" s="3653"/>
      <c r="AO108" s="3653"/>
      <c r="AP108" s="3653"/>
      <c r="AQ108" s="3653"/>
      <c r="AR108" s="3653"/>
      <c r="AS108" s="3653"/>
      <c r="AT108" s="3653"/>
      <c r="AU108" s="3653"/>
      <c r="AV108" s="3653"/>
      <c r="AW108" s="3653"/>
      <c r="AX108" s="3595"/>
      <c r="AY108" s="3595"/>
      <c r="AZ108" s="3595"/>
      <c r="BA108" s="3595"/>
      <c r="BB108" s="3595"/>
      <c r="BC108" s="3595"/>
      <c r="BD108" s="3595"/>
      <c r="BE108" s="3595"/>
      <c r="BF108" s="3595"/>
      <c r="BG108" s="3595"/>
      <c r="BH108" s="3595"/>
      <c r="BI108" s="3595"/>
      <c r="BJ108" s="3595"/>
      <c r="BK108" s="3595"/>
      <c r="BL108" s="3595"/>
      <c r="BM108" s="3595">
        <v>2</v>
      </c>
      <c r="BN108" s="3595">
        <v>2</v>
      </c>
      <c r="BO108" s="3595">
        <v>2</v>
      </c>
      <c r="BP108" s="3595">
        <v>2</v>
      </c>
      <c r="BQ108" s="3595"/>
      <c r="BR108" s="3595"/>
      <c r="BS108" s="3595"/>
      <c r="BT108" s="3595"/>
      <c r="BU108" s="3595"/>
      <c r="BV108" s="3595"/>
      <c r="BW108" s="3595"/>
      <c r="BX108" s="3595"/>
      <c r="BY108" s="3595"/>
      <c r="BZ108" s="3595"/>
      <c r="CA108" s="3595"/>
      <c r="CB108" s="3595"/>
      <c r="CC108" s="3595"/>
      <c r="CD108" s="3595"/>
      <c r="CE108" s="3595"/>
      <c r="CF108" s="3595">
        <f t="shared" si="18"/>
        <v>8</v>
      </c>
    </row>
    <row r="109" spans="1:84" ht="37.5" customHeight="1">
      <c r="A109" s="1179" t="s">
        <v>340</v>
      </c>
      <c r="B109" s="1080"/>
      <c r="C109" s="1080" t="s">
        <v>2309</v>
      </c>
      <c r="D109" s="982" t="s">
        <v>65</v>
      </c>
      <c r="E109" s="982" t="s">
        <v>65</v>
      </c>
      <c r="F109" s="3730" t="s">
        <v>65</v>
      </c>
      <c r="G109" s="324">
        <v>1</v>
      </c>
      <c r="H109" s="283">
        <v>15237400</v>
      </c>
      <c r="I109" s="298">
        <f>H109/100000</f>
        <v>152.374</v>
      </c>
      <c r="J109" s="283">
        <v>1</v>
      </c>
      <c r="K109" s="3009">
        <f t="shared" si="42"/>
        <v>152.374</v>
      </c>
      <c r="L109" s="719" t="s">
        <v>5510</v>
      </c>
      <c r="M109" s="3019" t="s">
        <v>5867</v>
      </c>
      <c r="N109" s="3669">
        <v>152.37</v>
      </c>
      <c r="O109" s="3653"/>
      <c r="P109" s="3653"/>
      <c r="Q109" s="3653"/>
      <c r="R109" s="3653"/>
      <c r="S109" s="3653"/>
      <c r="T109" s="3653"/>
      <c r="U109" s="3653"/>
      <c r="V109" s="3653"/>
      <c r="W109" s="3653"/>
      <c r="X109" s="3653"/>
      <c r="Y109" s="3653"/>
      <c r="Z109" s="3653"/>
      <c r="AA109" s="3653"/>
      <c r="AB109" s="3653"/>
      <c r="AC109" s="3653"/>
      <c r="AD109" s="3653"/>
      <c r="AE109" s="3653"/>
      <c r="AF109" s="3653"/>
      <c r="AG109" s="3653"/>
      <c r="AH109" s="3653"/>
      <c r="AI109" s="3653"/>
      <c r="AJ109" s="3653"/>
      <c r="AK109" s="3653"/>
      <c r="AL109" s="3653"/>
      <c r="AM109" s="3653"/>
      <c r="AN109" s="3653"/>
      <c r="AO109" s="3653"/>
      <c r="AP109" s="3653"/>
      <c r="AQ109" s="3653"/>
      <c r="AR109" s="3653"/>
      <c r="AS109" s="3653"/>
      <c r="AT109" s="3653"/>
      <c r="AU109" s="3653"/>
      <c r="AV109" s="3653"/>
      <c r="AW109" s="3653"/>
      <c r="AX109" s="3595">
        <v>152.37</v>
      </c>
      <c r="AY109" s="3595"/>
      <c r="AZ109" s="3595"/>
      <c r="BA109" s="3595"/>
      <c r="BB109" s="3595"/>
      <c r="BC109" s="3595"/>
      <c r="BD109" s="3595"/>
      <c r="BE109" s="3595"/>
      <c r="BF109" s="3595"/>
      <c r="BG109" s="3595"/>
      <c r="BH109" s="3595"/>
      <c r="BI109" s="3595"/>
      <c r="BJ109" s="3595"/>
      <c r="BK109" s="3595"/>
      <c r="BL109" s="3595"/>
      <c r="BM109" s="3595"/>
      <c r="BN109" s="3595"/>
      <c r="BO109" s="3601"/>
      <c r="BP109" s="3601"/>
      <c r="BQ109" s="3601"/>
      <c r="BR109" s="3601"/>
      <c r="BS109" s="3601"/>
      <c r="BT109" s="3601"/>
      <c r="BU109" s="3601"/>
      <c r="BV109" s="3601"/>
      <c r="BW109" s="3601"/>
      <c r="BX109" s="3601"/>
      <c r="BY109" s="3601"/>
      <c r="BZ109" s="3601"/>
      <c r="CA109" s="3601"/>
      <c r="CB109" s="3601"/>
      <c r="CC109" s="3601"/>
      <c r="CD109" s="3601"/>
      <c r="CE109" s="3601"/>
      <c r="CF109" s="3601">
        <f t="shared" si="18"/>
        <v>152.37</v>
      </c>
    </row>
    <row r="110" spans="1:84" ht="37.5" customHeight="1">
      <c r="A110" s="1179" t="s">
        <v>390</v>
      </c>
      <c r="B110" s="233" t="s">
        <v>389</v>
      </c>
      <c r="C110" s="233" t="s">
        <v>4634</v>
      </c>
      <c r="D110" s="2254" t="s">
        <v>4219</v>
      </c>
      <c r="E110" s="2254" t="s">
        <v>4525</v>
      </c>
      <c r="F110" s="3730" t="s">
        <v>4525</v>
      </c>
      <c r="G110" s="2625">
        <v>26</v>
      </c>
      <c r="H110" s="2626">
        <v>213030</v>
      </c>
      <c r="I110" s="298">
        <f t="shared" ref="I110:I111" si="43">H110/100000</f>
        <v>2.1303000000000001</v>
      </c>
      <c r="J110" s="283">
        <v>59</v>
      </c>
      <c r="K110" s="3009">
        <f t="shared" ref="K110" si="44">I110*J110</f>
        <v>125.68770000000001</v>
      </c>
      <c r="L110" s="3186" t="s">
        <v>5466</v>
      </c>
      <c r="M110" s="3187">
        <f>'Abs11. NTEP'!Q326</f>
        <v>0</v>
      </c>
      <c r="N110" s="3642">
        <v>125.69</v>
      </c>
      <c r="O110" s="3653"/>
      <c r="P110" s="3653"/>
      <c r="Q110" s="3653"/>
      <c r="R110" s="3653"/>
      <c r="S110" s="3653"/>
      <c r="T110" s="3653"/>
      <c r="U110" s="3653"/>
      <c r="V110" s="3653"/>
      <c r="W110" s="3653"/>
      <c r="X110" s="3653"/>
      <c r="Y110" s="3653"/>
      <c r="Z110" s="3653"/>
      <c r="AA110" s="3653"/>
      <c r="AB110" s="3653"/>
      <c r="AC110" s="3653"/>
      <c r="AD110" s="3653"/>
      <c r="AE110" s="3653"/>
      <c r="AF110" s="3653"/>
      <c r="AG110" s="3653"/>
      <c r="AH110" s="3653"/>
      <c r="AI110" s="3653"/>
      <c r="AJ110" s="3653"/>
      <c r="AK110" s="3653"/>
      <c r="AL110" s="3653"/>
      <c r="AM110" s="3653"/>
      <c r="AN110" s="3653"/>
      <c r="AO110" s="3653"/>
      <c r="AP110" s="3653"/>
      <c r="AQ110" s="3653"/>
      <c r="AR110" s="3653"/>
      <c r="AS110" s="3653"/>
      <c r="AT110" s="3653"/>
      <c r="AU110" s="3653"/>
      <c r="AV110" s="3653"/>
      <c r="AW110" s="3653"/>
      <c r="AX110" s="3595"/>
      <c r="AY110" s="3595">
        <v>0.7</v>
      </c>
      <c r="AZ110" s="3595">
        <v>0.1</v>
      </c>
      <c r="BA110" s="3595">
        <v>2.5</v>
      </c>
      <c r="BB110" s="3595">
        <v>9.1999999999999993</v>
      </c>
      <c r="BC110" s="3595">
        <v>0.1</v>
      </c>
      <c r="BD110" s="3595">
        <v>3.89</v>
      </c>
      <c r="BE110" s="3595">
        <v>1.1000000000000001</v>
      </c>
      <c r="BF110" s="3595">
        <v>13.34</v>
      </c>
      <c r="BG110" s="3595">
        <v>8.5</v>
      </c>
      <c r="BH110" s="3595">
        <v>5.8</v>
      </c>
      <c r="BI110" s="3595">
        <v>0</v>
      </c>
      <c r="BJ110" s="3595">
        <v>0.2</v>
      </c>
      <c r="BK110" s="3595"/>
      <c r="BL110" s="3595">
        <v>55.26</v>
      </c>
      <c r="BM110" s="3595"/>
      <c r="BN110" s="3595"/>
      <c r="BO110" s="3595"/>
      <c r="BP110" s="3595"/>
      <c r="BQ110" s="3595"/>
      <c r="BR110" s="3595"/>
      <c r="BS110" s="3595"/>
      <c r="BT110" s="3595"/>
      <c r="BU110" s="3595"/>
      <c r="BV110" s="3595"/>
      <c r="BW110" s="3595"/>
      <c r="BX110" s="3595"/>
      <c r="BY110" s="3595"/>
      <c r="BZ110" s="3595"/>
      <c r="CA110" s="3595">
        <v>25</v>
      </c>
      <c r="CB110" s="3595"/>
      <c r="CC110" s="3595"/>
      <c r="CD110" s="3595"/>
      <c r="CE110" s="3595"/>
      <c r="CF110" s="3595">
        <f t="shared" si="18"/>
        <v>125.69</v>
      </c>
    </row>
    <row r="111" spans="1:84" ht="37.5" customHeight="1">
      <c r="A111" s="1179" t="s">
        <v>2384</v>
      </c>
      <c r="B111" s="233" t="s">
        <v>1662</v>
      </c>
      <c r="C111" s="233" t="s">
        <v>2100</v>
      </c>
      <c r="D111" s="1699" t="s">
        <v>80</v>
      </c>
      <c r="E111" s="1699" t="s">
        <v>410</v>
      </c>
      <c r="F111" s="3730" t="s">
        <v>410</v>
      </c>
      <c r="G111" s="324"/>
      <c r="H111" s="283">
        <v>200000</v>
      </c>
      <c r="I111" s="298">
        <f t="shared" si="43"/>
        <v>2</v>
      </c>
      <c r="J111" s="283">
        <v>10</v>
      </c>
      <c r="K111" s="3009">
        <f>I111*J111</f>
        <v>20</v>
      </c>
      <c r="L111" s="2648" t="s">
        <v>5463</v>
      </c>
      <c r="M111" s="2300">
        <f>'Abs19. NPCDCS'!Q323</f>
        <v>0</v>
      </c>
      <c r="N111" s="3642">
        <v>20</v>
      </c>
      <c r="O111" s="3653"/>
      <c r="P111" s="3653"/>
      <c r="Q111" s="3653"/>
      <c r="R111" s="3653"/>
      <c r="S111" s="3653"/>
      <c r="T111" s="3653"/>
      <c r="U111" s="3653"/>
      <c r="V111" s="3653"/>
      <c r="W111" s="3653"/>
      <c r="X111" s="3653"/>
      <c r="Y111" s="3653"/>
      <c r="Z111" s="3653"/>
      <c r="AA111" s="3653"/>
      <c r="AB111" s="3653"/>
      <c r="AC111" s="3653"/>
      <c r="AD111" s="3653"/>
      <c r="AE111" s="3653"/>
      <c r="AF111" s="3653"/>
      <c r="AG111" s="3653"/>
      <c r="AH111" s="3653"/>
      <c r="AI111" s="3653"/>
      <c r="AJ111" s="3653"/>
      <c r="AK111" s="3653"/>
      <c r="AL111" s="3653"/>
      <c r="AM111" s="3653"/>
      <c r="AN111" s="3653"/>
      <c r="AO111" s="3653"/>
      <c r="AP111" s="3653"/>
      <c r="AQ111" s="3653"/>
      <c r="AR111" s="3653"/>
      <c r="AS111" s="3653"/>
      <c r="AT111" s="3653"/>
      <c r="AU111" s="3653"/>
      <c r="AV111" s="3653"/>
      <c r="AW111" s="3653"/>
      <c r="AX111" s="3595">
        <v>20</v>
      </c>
      <c r="AY111" s="3595"/>
      <c r="AZ111" s="3595"/>
      <c r="BA111" s="3595"/>
      <c r="BB111" s="3595"/>
      <c r="BC111" s="3595"/>
      <c r="BD111" s="3595"/>
      <c r="BE111" s="3595"/>
      <c r="BF111" s="3595"/>
      <c r="BG111" s="3595"/>
      <c r="BH111" s="3595"/>
      <c r="BI111" s="3595"/>
      <c r="BJ111" s="3595"/>
      <c r="BK111" s="3595"/>
      <c r="BL111" s="3595"/>
      <c r="BM111" s="3595"/>
      <c r="BN111" s="3595"/>
      <c r="BO111" s="3595"/>
      <c r="BP111" s="3595"/>
      <c r="BQ111" s="3595"/>
      <c r="BR111" s="3595"/>
      <c r="BS111" s="3595"/>
      <c r="BT111" s="3595"/>
      <c r="BU111" s="3595"/>
      <c r="BV111" s="3595"/>
      <c r="BW111" s="3595"/>
      <c r="BX111" s="3595"/>
      <c r="BY111" s="3595"/>
      <c r="BZ111" s="3595"/>
      <c r="CA111" s="3595"/>
      <c r="CB111" s="3595"/>
      <c r="CC111" s="3595"/>
      <c r="CD111" s="3595"/>
      <c r="CE111" s="3595"/>
      <c r="CF111" s="3595">
        <f t="shared" si="18"/>
        <v>20</v>
      </c>
    </row>
    <row r="112" spans="1:84" ht="37.5" customHeight="1">
      <c r="A112" s="1317" t="s">
        <v>4066</v>
      </c>
      <c r="B112" s="1317"/>
      <c r="C112" s="521" t="s">
        <v>2367</v>
      </c>
      <c r="D112" s="2254" t="s">
        <v>85</v>
      </c>
      <c r="E112" s="2254" t="s">
        <v>65</v>
      </c>
      <c r="F112" s="1304" t="s">
        <v>113</v>
      </c>
      <c r="G112" s="354"/>
      <c r="H112" s="283">
        <v>5402175</v>
      </c>
      <c r="I112" s="2261">
        <f t="shared" ref="I112:I117" si="45">H112/100000</f>
        <v>54.021749999999997</v>
      </c>
      <c r="J112" s="283">
        <v>22</v>
      </c>
      <c r="K112" s="1348">
        <f t="shared" ref="K112:K117" si="46">J112*I112</f>
        <v>1188.4784999999999</v>
      </c>
      <c r="L112" s="791" t="s">
        <v>5482</v>
      </c>
      <c r="M112" s="2257" t="str">
        <f>'Ab1. RMNCH+A'!Q439</f>
        <v>As per the NPCC discussions, State to ensure an institutional mechanism for the same. Also, no details regarding post-surgery complication management preparedness have been shared. Hence, not recommended.</v>
      </c>
      <c r="N112" s="3640">
        <v>1188.48</v>
      </c>
      <c r="O112" s="3658"/>
      <c r="P112" s="3205"/>
      <c r="Q112" s="3205"/>
      <c r="R112" s="3205"/>
      <c r="S112" s="3205"/>
      <c r="T112" s="3205"/>
      <c r="U112" s="3205"/>
      <c r="V112" s="3205"/>
      <c r="W112" s="3205"/>
      <c r="X112" s="3205"/>
      <c r="Y112" s="3205"/>
      <c r="Z112" s="3205"/>
      <c r="AA112" s="3205"/>
      <c r="AB112" s="3205"/>
      <c r="AC112" s="3205"/>
      <c r="AD112" s="3205"/>
      <c r="AE112" s="3205"/>
      <c r="AF112" s="3205"/>
      <c r="AG112" s="3205"/>
      <c r="AH112" s="3205"/>
      <c r="AI112" s="3205"/>
      <c r="AJ112" s="3205"/>
      <c r="AK112" s="3205"/>
      <c r="AL112" s="3205"/>
      <c r="AM112" s="3205"/>
      <c r="AN112" s="3205"/>
      <c r="AO112" s="3205"/>
      <c r="AP112" s="3205"/>
      <c r="AQ112" s="3205"/>
      <c r="AR112" s="3205"/>
      <c r="AS112" s="3205"/>
      <c r="AT112" s="3205"/>
      <c r="AU112" s="3205"/>
      <c r="AV112" s="3205"/>
      <c r="AW112" s="3205"/>
      <c r="AX112" s="3268">
        <v>1188.48</v>
      </c>
      <c r="AY112" s="3268"/>
      <c r="AZ112" s="3268"/>
      <c r="BA112" s="3268"/>
      <c r="BB112" s="3268"/>
      <c r="BC112" s="3268"/>
      <c r="BD112" s="3268"/>
      <c r="BE112" s="3268"/>
      <c r="BF112" s="3268"/>
      <c r="BG112" s="3268"/>
      <c r="BH112" s="3268"/>
      <c r="BI112" s="3268"/>
      <c r="BJ112" s="3268"/>
      <c r="BK112" s="3268"/>
      <c r="BL112" s="3268"/>
      <c r="BM112" s="3268"/>
      <c r="BN112" s="3268"/>
      <c r="BO112" s="3602"/>
      <c r="BP112" s="3602"/>
      <c r="BQ112" s="3602"/>
      <c r="BR112" s="3602"/>
      <c r="BS112" s="3602"/>
      <c r="BT112" s="3602"/>
      <c r="BU112" s="3602"/>
      <c r="BV112" s="3602"/>
      <c r="BW112" s="3602"/>
      <c r="BX112" s="3602"/>
      <c r="BY112" s="3602"/>
      <c r="BZ112" s="3602"/>
      <c r="CA112" s="3602"/>
      <c r="CB112" s="3602"/>
      <c r="CC112" s="3602"/>
      <c r="CD112" s="3602"/>
      <c r="CE112" s="3602"/>
      <c r="CF112" s="3603">
        <f t="shared" ref="CF112:CF175" si="47">SUM(AX112:CD112)</f>
        <v>1188.48</v>
      </c>
    </row>
    <row r="113" spans="1:84" ht="37.5" customHeight="1">
      <c r="A113" s="1317" t="s">
        <v>4067</v>
      </c>
      <c r="B113" s="521"/>
      <c r="C113" s="521" t="s">
        <v>2314</v>
      </c>
      <c r="D113" s="2254" t="s">
        <v>85</v>
      </c>
      <c r="E113" s="2254" t="s">
        <v>65</v>
      </c>
      <c r="F113" s="1304" t="s">
        <v>113</v>
      </c>
      <c r="G113" s="354"/>
      <c r="H113" s="283">
        <v>8054750</v>
      </c>
      <c r="I113" s="2261">
        <f t="shared" si="45"/>
        <v>80.547499999999999</v>
      </c>
      <c r="J113" s="283">
        <v>12</v>
      </c>
      <c r="K113" s="1348">
        <f t="shared" si="46"/>
        <v>966.56999999999994</v>
      </c>
      <c r="L113" s="725" t="s">
        <v>5481</v>
      </c>
      <c r="M113" s="2257">
        <f>'Ab1. RMNCH+A'!Q440</f>
        <v>0</v>
      </c>
      <c r="N113" s="3640">
        <v>966.57</v>
      </c>
      <c r="O113" s="3658"/>
      <c r="P113" s="3205"/>
      <c r="Q113" s="3205"/>
      <c r="R113" s="3205"/>
      <c r="S113" s="3205"/>
      <c r="T113" s="3205"/>
      <c r="U113" s="3205"/>
      <c r="V113" s="3205"/>
      <c r="W113" s="3205"/>
      <c r="X113" s="3205"/>
      <c r="Y113" s="3205"/>
      <c r="Z113" s="3205"/>
      <c r="AA113" s="3205"/>
      <c r="AB113" s="3205"/>
      <c r="AC113" s="3205"/>
      <c r="AD113" s="3205"/>
      <c r="AE113" s="3205"/>
      <c r="AF113" s="3205"/>
      <c r="AG113" s="3205"/>
      <c r="AH113" s="3205"/>
      <c r="AI113" s="3205"/>
      <c r="AJ113" s="3205"/>
      <c r="AK113" s="3205"/>
      <c r="AL113" s="3205"/>
      <c r="AM113" s="3205"/>
      <c r="AN113" s="3205"/>
      <c r="AO113" s="3205"/>
      <c r="AP113" s="3205"/>
      <c r="AQ113" s="3205"/>
      <c r="AR113" s="3205"/>
      <c r="AS113" s="3205"/>
      <c r="AT113" s="3205"/>
      <c r="AU113" s="3205"/>
      <c r="AV113" s="3205"/>
      <c r="AW113" s="3205"/>
      <c r="AX113" s="3268">
        <v>966.57</v>
      </c>
      <c r="AY113" s="3268"/>
      <c r="AZ113" s="3268"/>
      <c r="BA113" s="3268"/>
      <c r="BB113" s="3268"/>
      <c r="BC113" s="3268"/>
      <c r="BD113" s="3268"/>
      <c r="BE113" s="3268"/>
      <c r="BF113" s="3268"/>
      <c r="BG113" s="3268"/>
      <c r="BH113" s="3268"/>
      <c r="BI113" s="3268"/>
      <c r="BJ113" s="3268"/>
      <c r="BK113" s="3268"/>
      <c r="BL113" s="3268"/>
      <c r="BM113" s="3268"/>
      <c r="BN113" s="3268"/>
      <c r="BO113" s="3602"/>
      <c r="BP113" s="3602"/>
      <c r="BQ113" s="3602"/>
      <c r="BR113" s="3602"/>
      <c r="BS113" s="3602"/>
      <c r="BT113" s="3602"/>
      <c r="BU113" s="3602"/>
      <c r="BV113" s="3602"/>
      <c r="BW113" s="3602"/>
      <c r="BX113" s="3602"/>
      <c r="BY113" s="3602"/>
      <c r="BZ113" s="3602"/>
      <c r="CA113" s="3602"/>
      <c r="CB113" s="3602"/>
      <c r="CC113" s="3602"/>
      <c r="CD113" s="3602"/>
      <c r="CE113" s="3602"/>
      <c r="CF113" s="3603">
        <f t="shared" si="47"/>
        <v>966.57</v>
      </c>
    </row>
    <row r="114" spans="1:84" ht="37.5" customHeight="1">
      <c r="A114" s="1317" t="s">
        <v>4070</v>
      </c>
      <c r="B114" s="521" t="s">
        <v>1589</v>
      </c>
      <c r="C114" s="1347" t="s">
        <v>4389</v>
      </c>
      <c r="D114" s="2254" t="s">
        <v>85</v>
      </c>
      <c r="E114" s="2254" t="s">
        <v>65</v>
      </c>
      <c r="F114" s="1304" t="s">
        <v>126</v>
      </c>
      <c r="G114" s="343"/>
      <c r="H114" s="283">
        <v>5000</v>
      </c>
      <c r="I114" s="2261">
        <f t="shared" si="45"/>
        <v>0.05</v>
      </c>
      <c r="J114" s="283">
        <v>2248</v>
      </c>
      <c r="K114" s="1348">
        <f t="shared" si="46"/>
        <v>112.4</v>
      </c>
      <c r="L114" s="791" t="s">
        <v>5426</v>
      </c>
      <c r="M114" s="2257">
        <f>'Ab1. RMNCH+A'!Q530</f>
        <v>0</v>
      </c>
      <c r="N114" s="3640">
        <v>112.4</v>
      </c>
      <c r="O114" s="3205"/>
      <c r="P114" s="3205"/>
      <c r="Q114" s="3205"/>
      <c r="R114" s="3205"/>
      <c r="S114" s="3205"/>
      <c r="T114" s="3205"/>
      <c r="U114" s="3205"/>
      <c r="V114" s="3205"/>
      <c r="W114" s="3205"/>
      <c r="X114" s="3205"/>
      <c r="Y114" s="3205"/>
      <c r="Z114" s="3205"/>
      <c r="AA114" s="3205"/>
      <c r="AB114" s="3205"/>
      <c r="AC114" s="3205"/>
      <c r="AD114" s="3205"/>
      <c r="AE114" s="3205"/>
      <c r="AF114" s="3205"/>
      <c r="AG114" s="3205"/>
      <c r="AH114" s="3205"/>
      <c r="AI114" s="3205"/>
      <c r="AJ114" s="3205"/>
      <c r="AK114" s="3205"/>
      <c r="AL114" s="3205"/>
      <c r="AM114" s="3205"/>
      <c r="AN114" s="3205"/>
      <c r="AO114" s="3205"/>
      <c r="AP114" s="3205"/>
      <c r="AQ114" s="3205"/>
      <c r="AR114" s="3205"/>
      <c r="AS114" s="3205"/>
      <c r="AT114" s="3205"/>
      <c r="AU114" s="3205"/>
      <c r="AV114" s="3205"/>
      <c r="AW114" s="3205"/>
      <c r="AX114" s="3268">
        <v>112.4</v>
      </c>
      <c r="AY114" s="3268"/>
      <c r="AZ114" s="3268"/>
      <c r="BA114" s="3268"/>
      <c r="BB114" s="3268"/>
      <c r="BC114" s="3268"/>
      <c r="BD114" s="3268"/>
      <c r="BE114" s="3268"/>
      <c r="BF114" s="3268"/>
      <c r="BG114" s="3268"/>
      <c r="BH114" s="3268"/>
      <c r="BI114" s="3268"/>
      <c r="BJ114" s="3268"/>
      <c r="BK114" s="3268"/>
      <c r="BL114" s="3268"/>
      <c r="BM114" s="3268"/>
      <c r="BN114" s="3268"/>
      <c r="BO114" s="3268"/>
      <c r="BP114" s="3268"/>
      <c r="BQ114" s="3268"/>
      <c r="BR114" s="3268"/>
      <c r="BS114" s="3268"/>
      <c r="BT114" s="3268"/>
      <c r="BU114" s="3268"/>
      <c r="BV114" s="3268"/>
      <c r="BW114" s="3268"/>
      <c r="BX114" s="3268"/>
      <c r="BY114" s="3268"/>
      <c r="BZ114" s="3268"/>
      <c r="CA114" s="3268"/>
      <c r="CB114" s="3268"/>
      <c r="CC114" s="3268"/>
      <c r="CD114" s="3268"/>
      <c r="CE114" s="3268"/>
      <c r="CF114" s="3603">
        <f t="shared" si="47"/>
        <v>112.4</v>
      </c>
    </row>
    <row r="115" spans="1:84" ht="37.5" customHeight="1">
      <c r="A115" s="1317" t="s">
        <v>4390</v>
      </c>
      <c r="B115" s="521"/>
      <c r="C115" s="1347" t="s">
        <v>4391</v>
      </c>
      <c r="D115" s="2254" t="s">
        <v>85</v>
      </c>
      <c r="E115" s="2254" t="s">
        <v>65</v>
      </c>
      <c r="F115" s="1304" t="s">
        <v>126</v>
      </c>
      <c r="G115" s="343">
        <v>1</v>
      </c>
      <c r="H115" s="283">
        <v>35000</v>
      </c>
      <c r="I115" s="2261">
        <f t="shared" si="45"/>
        <v>0.35</v>
      </c>
      <c r="J115" s="283">
        <v>50</v>
      </c>
      <c r="K115" s="1348">
        <f t="shared" si="46"/>
        <v>17.5</v>
      </c>
      <c r="L115" s="791" t="s">
        <v>5357</v>
      </c>
      <c r="M115" s="2257">
        <f>'Ab1. RMNCH+A'!Q531</f>
        <v>0</v>
      </c>
      <c r="N115" s="3640">
        <v>17.5</v>
      </c>
      <c r="O115" s="3658"/>
      <c r="P115" s="3205"/>
      <c r="Q115" s="3205"/>
      <c r="R115" s="3205"/>
      <c r="S115" s="3205"/>
      <c r="T115" s="3205"/>
      <c r="U115" s="3205"/>
      <c r="V115" s="3205"/>
      <c r="W115" s="3205"/>
      <c r="X115" s="3205"/>
      <c r="Y115" s="3205"/>
      <c r="Z115" s="3205"/>
      <c r="AA115" s="3205"/>
      <c r="AB115" s="3205"/>
      <c r="AC115" s="3205"/>
      <c r="AD115" s="3205"/>
      <c r="AE115" s="3205"/>
      <c r="AF115" s="3205"/>
      <c r="AG115" s="3205"/>
      <c r="AH115" s="3205"/>
      <c r="AI115" s="3205"/>
      <c r="AJ115" s="3205"/>
      <c r="AK115" s="3205"/>
      <c r="AL115" s="3205"/>
      <c r="AM115" s="3205"/>
      <c r="AN115" s="3205"/>
      <c r="AO115" s="3205"/>
      <c r="AP115" s="3205"/>
      <c r="AQ115" s="3205"/>
      <c r="AR115" s="3205"/>
      <c r="AS115" s="3205"/>
      <c r="AT115" s="3205"/>
      <c r="AU115" s="3205"/>
      <c r="AV115" s="3205"/>
      <c r="AW115" s="3205"/>
      <c r="AX115" s="3268">
        <v>17.5</v>
      </c>
      <c r="AY115" s="3268"/>
      <c r="AZ115" s="3268"/>
      <c r="BA115" s="3268"/>
      <c r="BB115" s="3268"/>
      <c r="BC115" s="3268"/>
      <c r="BD115" s="3268"/>
      <c r="BE115" s="3268"/>
      <c r="BF115" s="3268"/>
      <c r="BG115" s="3268"/>
      <c r="BH115" s="3268"/>
      <c r="BI115" s="3268"/>
      <c r="BJ115" s="3268"/>
      <c r="BK115" s="3268"/>
      <c r="BL115" s="3268"/>
      <c r="BM115" s="3268"/>
      <c r="BN115" s="3268"/>
      <c r="BO115" s="3268"/>
      <c r="BP115" s="3268"/>
      <c r="BQ115" s="3268"/>
      <c r="BR115" s="3268"/>
      <c r="BS115" s="3268"/>
      <c r="BT115" s="3268"/>
      <c r="BU115" s="3268"/>
      <c r="BV115" s="3268"/>
      <c r="BW115" s="3268"/>
      <c r="BX115" s="3268"/>
      <c r="BY115" s="3268"/>
      <c r="BZ115" s="3268"/>
      <c r="CA115" s="3268"/>
      <c r="CB115" s="3268"/>
      <c r="CC115" s="3268"/>
      <c r="CD115" s="3268"/>
      <c r="CE115" s="3268"/>
      <c r="CF115" s="3603">
        <f t="shared" si="47"/>
        <v>17.5</v>
      </c>
    </row>
    <row r="116" spans="1:84" ht="37.5" customHeight="1">
      <c r="A116" s="1317" t="s">
        <v>4131</v>
      </c>
      <c r="B116" s="521"/>
      <c r="C116" s="1480" t="s">
        <v>2751</v>
      </c>
      <c r="D116" s="2254" t="s">
        <v>85</v>
      </c>
      <c r="E116" s="2254" t="s">
        <v>65</v>
      </c>
      <c r="F116" s="3730" t="s">
        <v>126</v>
      </c>
      <c r="G116" s="293">
        <v>1</v>
      </c>
      <c r="H116" s="283">
        <v>20000</v>
      </c>
      <c r="I116" s="2261">
        <f t="shared" si="45"/>
        <v>0.2</v>
      </c>
      <c r="J116" s="283">
        <v>15</v>
      </c>
      <c r="K116" s="1348">
        <f t="shared" si="46"/>
        <v>3</v>
      </c>
      <c r="L116" s="762" t="s">
        <v>5358</v>
      </c>
      <c r="M116" s="2257">
        <f>'Ab1. RMNCH+A'!Q532</f>
        <v>0</v>
      </c>
      <c r="N116" s="3640">
        <v>3</v>
      </c>
      <c r="O116" s="3205"/>
      <c r="P116" s="3205"/>
      <c r="Q116" s="3205"/>
      <c r="R116" s="3205"/>
      <c r="S116" s="3205"/>
      <c r="T116" s="3205"/>
      <c r="U116" s="3205"/>
      <c r="V116" s="3205"/>
      <c r="W116" s="3205"/>
      <c r="X116" s="3205"/>
      <c r="Y116" s="3205"/>
      <c r="Z116" s="3205"/>
      <c r="AA116" s="3205"/>
      <c r="AB116" s="3205"/>
      <c r="AC116" s="3205"/>
      <c r="AD116" s="3205"/>
      <c r="AE116" s="3205"/>
      <c r="AF116" s="3205"/>
      <c r="AG116" s="3205"/>
      <c r="AH116" s="3205"/>
      <c r="AI116" s="3205"/>
      <c r="AJ116" s="3205"/>
      <c r="AK116" s="3205"/>
      <c r="AL116" s="3205"/>
      <c r="AM116" s="3205"/>
      <c r="AN116" s="3205"/>
      <c r="AO116" s="3205"/>
      <c r="AP116" s="3205"/>
      <c r="AQ116" s="3205"/>
      <c r="AR116" s="3205"/>
      <c r="AS116" s="3205"/>
      <c r="AT116" s="3205"/>
      <c r="AU116" s="3205"/>
      <c r="AV116" s="3205"/>
      <c r="AW116" s="3205"/>
      <c r="AX116" s="3268">
        <v>2.2000000000000002</v>
      </c>
      <c r="AY116" s="3268"/>
      <c r="AZ116" s="3268"/>
      <c r="BA116" s="3268"/>
      <c r="BB116" s="3268"/>
      <c r="BC116" s="3268"/>
      <c r="BD116" s="3268"/>
      <c r="BE116" s="3268"/>
      <c r="BF116" s="3268"/>
      <c r="BG116" s="3268"/>
      <c r="BH116" s="3268"/>
      <c r="BI116" s="3268"/>
      <c r="BJ116" s="3268"/>
      <c r="BK116" s="3268"/>
      <c r="BL116" s="3268"/>
      <c r="BM116" s="3268"/>
      <c r="BN116" s="3268"/>
      <c r="BO116" s="3268"/>
      <c r="BP116" s="3268"/>
      <c r="BQ116" s="3268">
        <v>0.4</v>
      </c>
      <c r="BR116" s="3268"/>
      <c r="BS116" s="3268"/>
      <c r="BT116" s="3268"/>
      <c r="BU116" s="3268"/>
      <c r="BV116" s="3268"/>
      <c r="BW116" s="3268"/>
      <c r="BX116" s="3268"/>
      <c r="BY116" s="3268"/>
      <c r="BZ116" s="3268"/>
      <c r="CA116" s="3268"/>
      <c r="CB116" s="3604">
        <v>0.4</v>
      </c>
      <c r="CC116" s="3268"/>
      <c r="CD116" s="3268"/>
      <c r="CE116" s="3268"/>
      <c r="CF116" s="3603">
        <f t="shared" si="47"/>
        <v>3</v>
      </c>
    </row>
    <row r="117" spans="1:84" ht="37.5" customHeight="1">
      <c r="A117" s="1317" t="s">
        <v>4392</v>
      </c>
      <c r="B117" s="521" t="s">
        <v>1589</v>
      </c>
      <c r="C117" s="2546" t="s">
        <v>4669</v>
      </c>
      <c r="D117" s="2254" t="s">
        <v>85</v>
      </c>
      <c r="E117" s="2254" t="s">
        <v>65</v>
      </c>
      <c r="F117" s="1304" t="s">
        <v>126</v>
      </c>
      <c r="G117" s="343">
        <v>1</v>
      </c>
      <c r="H117" s="283">
        <v>5016000</v>
      </c>
      <c r="I117" s="2261">
        <f t="shared" si="45"/>
        <v>50.16</v>
      </c>
      <c r="J117" s="283">
        <v>1</v>
      </c>
      <c r="K117" s="1348">
        <f t="shared" si="46"/>
        <v>50.16</v>
      </c>
      <c r="L117" s="791" t="s">
        <v>5359</v>
      </c>
      <c r="M117" s="2257">
        <f>'Ab1. RMNCH+A'!Q533</f>
        <v>0</v>
      </c>
      <c r="N117" s="3640">
        <v>50.16</v>
      </c>
      <c r="O117" s="3658"/>
      <c r="P117" s="3205"/>
      <c r="Q117" s="3205"/>
      <c r="R117" s="3205"/>
      <c r="S117" s="3205"/>
      <c r="T117" s="3205"/>
      <c r="U117" s="3205"/>
      <c r="V117" s="3205"/>
      <c r="W117" s="3205"/>
      <c r="X117" s="3205"/>
      <c r="Y117" s="3205"/>
      <c r="Z117" s="3205"/>
      <c r="AA117" s="3205"/>
      <c r="AB117" s="3205"/>
      <c r="AC117" s="3205"/>
      <c r="AD117" s="3205"/>
      <c r="AE117" s="3205"/>
      <c r="AF117" s="3205"/>
      <c r="AG117" s="3205"/>
      <c r="AH117" s="3205"/>
      <c r="AI117" s="3205"/>
      <c r="AJ117" s="3205"/>
      <c r="AK117" s="3205"/>
      <c r="AL117" s="3205"/>
      <c r="AM117" s="3205"/>
      <c r="AN117" s="3205"/>
      <c r="AO117" s="3205"/>
      <c r="AP117" s="3205"/>
      <c r="AQ117" s="3205"/>
      <c r="AR117" s="3205"/>
      <c r="AS117" s="3205"/>
      <c r="AT117" s="3205"/>
      <c r="AU117" s="3205"/>
      <c r="AV117" s="3205"/>
      <c r="AW117" s="3205"/>
      <c r="AX117" s="3268">
        <v>25.04</v>
      </c>
      <c r="AY117" s="3268"/>
      <c r="AZ117" s="3268"/>
      <c r="BA117" s="3268"/>
      <c r="BB117" s="3268"/>
      <c r="BC117" s="3268"/>
      <c r="BD117" s="3268">
        <v>1.99</v>
      </c>
      <c r="BE117" s="3268"/>
      <c r="BF117" s="3268"/>
      <c r="BG117" s="3268"/>
      <c r="BH117" s="3268"/>
      <c r="BI117" s="3268"/>
      <c r="BJ117" s="3268"/>
      <c r="BK117" s="3268"/>
      <c r="BL117" s="3268">
        <v>1.24</v>
      </c>
      <c r="BM117" s="3268"/>
      <c r="BN117" s="3268"/>
      <c r="BO117" s="3268"/>
      <c r="BP117" s="3268">
        <v>8.24</v>
      </c>
      <c r="BQ117" s="3268">
        <v>0.84</v>
      </c>
      <c r="BR117" s="3268"/>
      <c r="BS117" s="3268"/>
      <c r="BT117" s="3268"/>
      <c r="BU117" s="3268"/>
      <c r="BV117" s="3268">
        <v>9.57</v>
      </c>
      <c r="BW117" s="3268"/>
      <c r="BX117" s="3268"/>
      <c r="BY117" s="3268"/>
      <c r="BZ117" s="3268">
        <v>1.37</v>
      </c>
      <c r="CA117" s="3268"/>
      <c r="CB117" s="3268">
        <v>1.87</v>
      </c>
      <c r="CC117" s="3268"/>
      <c r="CD117" s="3268"/>
      <c r="CE117" s="3268"/>
      <c r="CF117" s="3603">
        <f t="shared" si="47"/>
        <v>50.16</v>
      </c>
    </row>
    <row r="118" spans="1:84" ht="37.5" customHeight="1">
      <c r="A118" s="1317" t="s">
        <v>4074</v>
      </c>
      <c r="B118" s="521" t="s">
        <v>1598</v>
      </c>
      <c r="C118" s="521" t="s">
        <v>1599</v>
      </c>
      <c r="D118" s="2254" t="s">
        <v>85</v>
      </c>
      <c r="E118" s="2254" t="s">
        <v>65</v>
      </c>
      <c r="F118" s="1304" t="s">
        <v>86</v>
      </c>
      <c r="G118" s="2549">
        <v>1</v>
      </c>
      <c r="H118" s="2536">
        <v>800000</v>
      </c>
      <c r="I118" s="2261">
        <f t="shared" ref="I118" si="48">H118/100000</f>
        <v>8</v>
      </c>
      <c r="J118" s="283">
        <v>6</v>
      </c>
      <c r="K118" s="1348">
        <f t="shared" ref="K118" si="49">J118*I118</f>
        <v>48</v>
      </c>
      <c r="L118" s="2550" t="s">
        <v>5326</v>
      </c>
      <c r="M118" s="2257">
        <f>'Ab1. RMNCH+A'!Q630</f>
        <v>0</v>
      </c>
      <c r="N118" s="3640">
        <v>48</v>
      </c>
      <c r="O118" s="3205"/>
      <c r="P118" s="3205"/>
      <c r="Q118" s="3205"/>
      <c r="R118" s="3205"/>
      <c r="S118" s="3205"/>
      <c r="T118" s="3205"/>
      <c r="U118" s="3205"/>
      <c r="V118" s="3205"/>
      <c r="W118" s="3205"/>
      <c r="X118" s="3205"/>
      <c r="Y118" s="3205"/>
      <c r="Z118" s="3205"/>
      <c r="AA118" s="3205"/>
      <c r="AB118" s="3205"/>
      <c r="AC118" s="3205"/>
      <c r="AD118" s="3205"/>
      <c r="AE118" s="3205"/>
      <c r="AF118" s="3205"/>
      <c r="AG118" s="3205"/>
      <c r="AH118" s="3205"/>
      <c r="AI118" s="3205"/>
      <c r="AJ118" s="3205"/>
      <c r="AK118" s="3205"/>
      <c r="AL118" s="3205"/>
      <c r="AM118" s="3205"/>
      <c r="AN118" s="3205"/>
      <c r="AO118" s="3205"/>
      <c r="AP118" s="3205"/>
      <c r="AQ118" s="3205"/>
      <c r="AR118" s="3205"/>
      <c r="AS118" s="3205"/>
      <c r="AT118" s="3205"/>
      <c r="AU118" s="3205"/>
      <c r="AV118" s="3205"/>
      <c r="AW118" s="3205"/>
      <c r="AX118" s="3268">
        <v>48</v>
      </c>
      <c r="AY118" s="3268"/>
      <c r="AZ118" s="3268"/>
      <c r="BA118" s="3268"/>
      <c r="BB118" s="3268"/>
      <c r="BC118" s="3268"/>
      <c r="BD118" s="3268"/>
      <c r="BE118" s="3268"/>
      <c r="BF118" s="3268"/>
      <c r="BG118" s="3268"/>
      <c r="BH118" s="3268"/>
      <c r="BI118" s="3268"/>
      <c r="BJ118" s="3268"/>
      <c r="BK118" s="3268"/>
      <c r="BL118" s="3268"/>
      <c r="BM118" s="3268"/>
      <c r="BN118" s="3268"/>
      <c r="BO118" s="3268"/>
      <c r="BP118" s="3268"/>
      <c r="BQ118" s="3268"/>
      <c r="BR118" s="3268"/>
      <c r="BS118" s="3268"/>
      <c r="BT118" s="3268"/>
      <c r="BU118" s="3268"/>
      <c r="BV118" s="3268"/>
      <c r="BW118" s="3268"/>
      <c r="BX118" s="3268"/>
      <c r="BY118" s="3268"/>
      <c r="BZ118" s="3268"/>
      <c r="CA118" s="3268"/>
      <c r="CB118" s="3268"/>
      <c r="CC118" s="3268"/>
      <c r="CD118" s="3268"/>
      <c r="CE118" s="3268"/>
      <c r="CF118" s="3603">
        <f t="shared" si="47"/>
        <v>48</v>
      </c>
    </row>
    <row r="119" spans="1:84" ht="37.5" customHeight="1">
      <c r="A119" s="1317" t="s">
        <v>4079</v>
      </c>
      <c r="B119" s="521" t="s">
        <v>1610</v>
      </c>
      <c r="C119" s="2551" t="s">
        <v>1611</v>
      </c>
      <c r="D119" s="2254" t="s">
        <v>85</v>
      </c>
      <c r="E119" s="2254" t="s">
        <v>65</v>
      </c>
      <c r="F119" s="1304" t="s">
        <v>91</v>
      </c>
      <c r="G119" s="343">
        <v>1</v>
      </c>
      <c r="H119" s="283">
        <v>3000</v>
      </c>
      <c r="I119" s="2261">
        <f>H119/100000</f>
        <v>0.03</v>
      </c>
      <c r="J119" s="283">
        <v>150</v>
      </c>
      <c r="K119" s="1348">
        <f t="shared" ref="K119:K128" si="50">J119*I119</f>
        <v>4.5</v>
      </c>
      <c r="L119" s="2552" t="s">
        <v>5360</v>
      </c>
      <c r="M119" s="2257">
        <f>'Ab1. RMNCH+A'!Q757</f>
        <v>0</v>
      </c>
      <c r="N119" s="3640">
        <v>4.5</v>
      </c>
      <c r="O119" s="3205"/>
      <c r="P119" s="3205"/>
      <c r="Q119" s="3205"/>
      <c r="R119" s="3205"/>
      <c r="S119" s="3205"/>
      <c r="T119" s="3205"/>
      <c r="U119" s="3205"/>
      <c r="V119" s="3205"/>
      <c r="W119" s="3205"/>
      <c r="X119" s="3205"/>
      <c r="Y119" s="3205"/>
      <c r="Z119" s="3205"/>
      <c r="AA119" s="3205"/>
      <c r="AB119" s="3205"/>
      <c r="AC119" s="3205"/>
      <c r="AD119" s="3205"/>
      <c r="AE119" s="3205"/>
      <c r="AF119" s="3205"/>
      <c r="AG119" s="3205"/>
      <c r="AH119" s="3205"/>
      <c r="AI119" s="3205"/>
      <c r="AJ119" s="3205"/>
      <c r="AK119" s="3205"/>
      <c r="AL119" s="3205"/>
      <c r="AM119" s="3205"/>
      <c r="AN119" s="3205"/>
      <c r="AO119" s="3205"/>
      <c r="AP119" s="3205"/>
      <c r="AQ119" s="3205"/>
      <c r="AR119" s="3205"/>
      <c r="AS119" s="3205"/>
      <c r="AT119" s="3205"/>
      <c r="AU119" s="3205"/>
      <c r="AV119" s="3205"/>
      <c r="AW119" s="3205"/>
      <c r="AX119" s="3268">
        <v>0.18</v>
      </c>
      <c r="AY119" s="3268">
        <v>0.21</v>
      </c>
      <c r="AZ119" s="3268">
        <v>0.39</v>
      </c>
      <c r="BA119" s="3268">
        <v>0.33</v>
      </c>
      <c r="BB119" s="3268">
        <v>0.96</v>
      </c>
      <c r="BC119" s="3268">
        <v>0.09</v>
      </c>
      <c r="BD119" s="3268">
        <v>0.27</v>
      </c>
      <c r="BE119" s="3268">
        <v>0.06</v>
      </c>
      <c r="BF119" s="3268">
        <v>0.66</v>
      </c>
      <c r="BG119" s="3268">
        <v>0.42</v>
      </c>
      <c r="BH119" s="3268">
        <v>0.36</v>
      </c>
      <c r="BI119" s="3268">
        <v>0.27</v>
      </c>
      <c r="BJ119" s="3268">
        <v>0.3</v>
      </c>
      <c r="BK119" s="3268"/>
      <c r="BL119" s="3268"/>
      <c r="BM119" s="3268"/>
      <c r="BN119" s="3268"/>
      <c r="BO119" s="3268"/>
      <c r="BP119" s="3268"/>
      <c r="BQ119" s="3268"/>
      <c r="BR119" s="3268"/>
      <c r="BS119" s="3268"/>
      <c r="BT119" s="3268"/>
      <c r="BU119" s="3268"/>
      <c r="BV119" s="3268"/>
      <c r="BW119" s="3268"/>
      <c r="BX119" s="3268"/>
      <c r="BY119" s="3268"/>
      <c r="BZ119" s="3268"/>
      <c r="CA119" s="3268"/>
      <c r="CB119" s="3268"/>
      <c r="CC119" s="3268"/>
      <c r="CD119" s="3268"/>
      <c r="CE119" s="3268"/>
      <c r="CF119" s="3603">
        <f t="shared" si="47"/>
        <v>4.5</v>
      </c>
    </row>
    <row r="120" spans="1:84" ht="37.5" customHeight="1">
      <c r="A120" s="3191" t="s">
        <v>4080</v>
      </c>
      <c r="B120" s="3192" t="s">
        <v>1612</v>
      </c>
      <c r="C120" s="3193" t="s">
        <v>1613</v>
      </c>
      <c r="D120" s="3194" t="s">
        <v>85</v>
      </c>
      <c r="E120" s="3194" t="s">
        <v>65</v>
      </c>
      <c r="F120" s="3195" t="s">
        <v>91</v>
      </c>
      <c r="G120" s="3196"/>
      <c r="H120" s="3200">
        <v>3500000</v>
      </c>
      <c r="I120" s="3201">
        <f>H120/100000</f>
        <v>35</v>
      </c>
      <c r="J120" s="3200">
        <v>1</v>
      </c>
      <c r="K120" s="3202">
        <f t="shared" si="50"/>
        <v>35</v>
      </c>
      <c r="L120" s="3203" t="s">
        <v>5511</v>
      </c>
      <c r="M120" s="3188">
        <f>'Ab1. RMNCH+A'!Q758</f>
        <v>0</v>
      </c>
      <c r="N120" s="3640">
        <v>35</v>
      </c>
      <c r="O120" s="3205"/>
      <c r="P120" s="3205"/>
      <c r="Q120" s="3205"/>
      <c r="R120" s="3205"/>
      <c r="S120" s="3205"/>
      <c r="T120" s="3205"/>
      <c r="U120" s="3205"/>
      <c r="V120" s="3205"/>
      <c r="W120" s="3205"/>
      <c r="X120" s="3205"/>
      <c r="Y120" s="3205"/>
      <c r="Z120" s="3205"/>
      <c r="AA120" s="3205"/>
      <c r="AB120" s="3205"/>
      <c r="AC120" s="3205"/>
      <c r="AD120" s="3205"/>
      <c r="AE120" s="3205"/>
      <c r="AF120" s="3205"/>
      <c r="AG120" s="3205"/>
      <c r="AH120" s="3205"/>
      <c r="AI120" s="3205"/>
      <c r="AJ120" s="3205"/>
      <c r="AK120" s="3205"/>
      <c r="AL120" s="3205"/>
      <c r="AM120" s="3205"/>
      <c r="AN120" s="3205"/>
      <c r="AO120" s="3205"/>
      <c r="AP120" s="3205"/>
      <c r="AQ120" s="3205"/>
      <c r="AR120" s="3205"/>
      <c r="AS120" s="3205"/>
      <c r="AT120" s="3205"/>
      <c r="AU120" s="3205"/>
      <c r="AV120" s="3205"/>
      <c r="AW120" s="3205"/>
      <c r="AX120" s="3268">
        <v>35</v>
      </c>
      <c r="AY120" s="3268"/>
      <c r="AZ120" s="3268"/>
      <c r="BA120" s="3268"/>
      <c r="BB120" s="3268"/>
      <c r="BC120" s="3268"/>
      <c r="BD120" s="3268"/>
      <c r="BE120" s="3268"/>
      <c r="BF120" s="3268"/>
      <c r="BG120" s="3268"/>
      <c r="BH120" s="3268"/>
      <c r="BI120" s="3268"/>
      <c r="BJ120" s="3268"/>
      <c r="BK120" s="3268"/>
      <c r="BL120" s="3268"/>
      <c r="BM120" s="3268"/>
      <c r="BN120" s="3268"/>
      <c r="BO120" s="3268"/>
      <c r="BP120" s="3268"/>
      <c r="BQ120" s="3268"/>
      <c r="BR120" s="3268"/>
      <c r="BS120" s="3268"/>
      <c r="BT120" s="3268"/>
      <c r="BU120" s="3268"/>
      <c r="BV120" s="3268"/>
      <c r="BW120" s="3268"/>
      <c r="BX120" s="3268"/>
      <c r="BY120" s="3268"/>
      <c r="BZ120" s="3268"/>
      <c r="CA120" s="3268"/>
      <c r="CB120" s="3268"/>
      <c r="CC120" s="3268"/>
      <c r="CD120" s="3268"/>
      <c r="CE120" s="3268"/>
      <c r="CF120" s="3603">
        <f t="shared" si="47"/>
        <v>35</v>
      </c>
    </row>
    <row r="121" spans="1:84" ht="37.5" customHeight="1">
      <c r="A121" s="1317" t="s">
        <v>1931</v>
      </c>
      <c r="B121" s="521" t="s">
        <v>1932</v>
      </c>
      <c r="C121" s="521" t="s">
        <v>1933</v>
      </c>
      <c r="D121" s="982" t="s">
        <v>65</v>
      </c>
      <c r="E121" s="982" t="s">
        <v>65</v>
      </c>
      <c r="F121" s="1304" t="s">
        <v>3713</v>
      </c>
      <c r="G121" s="354">
        <v>1</v>
      </c>
      <c r="H121" s="2519">
        <v>250000</v>
      </c>
      <c r="I121" s="2261">
        <f t="shared" ref="I121:I125" si="51">H121/100000</f>
        <v>2.5</v>
      </c>
      <c r="J121" s="2519">
        <v>800</v>
      </c>
      <c r="K121" s="1348">
        <f t="shared" si="50"/>
        <v>2000</v>
      </c>
      <c r="L121" s="791" t="s">
        <v>5493</v>
      </c>
      <c r="M121" s="2315" t="s">
        <v>5774</v>
      </c>
      <c r="N121" s="3659">
        <v>2000</v>
      </c>
      <c r="O121" s="3205"/>
      <c r="P121" s="3205"/>
      <c r="Q121" s="3205"/>
      <c r="R121" s="3205"/>
      <c r="S121" s="3205"/>
      <c r="T121" s="3205"/>
      <c r="U121" s="3205"/>
      <c r="V121" s="3205"/>
      <c r="W121" s="3205"/>
      <c r="X121" s="3205"/>
      <c r="Y121" s="3205"/>
      <c r="Z121" s="3205"/>
      <c r="AA121" s="3205"/>
      <c r="AB121" s="3205"/>
      <c r="AC121" s="3205"/>
      <c r="AD121" s="3205"/>
      <c r="AE121" s="3205"/>
      <c r="AF121" s="3205"/>
      <c r="AG121" s="3205"/>
      <c r="AH121" s="3205"/>
      <c r="AI121" s="3205"/>
      <c r="AJ121" s="3205"/>
      <c r="AK121" s="3205"/>
      <c r="AL121" s="3205"/>
      <c r="AM121" s="3205"/>
      <c r="AN121" s="3205"/>
      <c r="AO121" s="3205"/>
      <c r="AP121" s="3205"/>
      <c r="AQ121" s="3205"/>
      <c r="AR121" s="3205"/>
      <c r="AS121" s="3205"/>
      <c r="AT121" s="3205"/>
      <c r="AU121" s="3205"/>
      <c r="AV121" s="3205"/>
      <c r="AW121" s="3205"/>
      <c r="AX121" s="3268">
        <v>1000</v>
      </c>
      <c r="AY121" s="3268">
        <v>20</v>
      </c>
      <c r="AZ121" s="3268">
        <v>20</v>
      </c>
      <c r="BA121" s="3268">
        <v>20</v>
      </c>
      <c r="BB121" s="3268">
        <v>35</v>
      </c>
      <c r="BC121" s="3268">
        <v>3</v>
      </c>
      <c r="BD121" s="3268">
        <v>20</v>
      </c>
      <c r="BE121" s="3268">
        <v>2</v>
      </c>
      <c r="BF121" s="3268">
        <v>30</v>
      </c>
      <c r="BG121" s="3268">
        <v>30</v>
      </c>
      <c r="BH121" s="3268">
        <v>20</v>
      </c>
      <c r="BI121" s="3268">
        <v>20</v>
      </c>
      <c r="BJ121" s="3268">
        <v>20</v>
      </c>
      <c r="BK121" s="3268">
        <v>130</v>
      </c>
      <c r="BL121" s="3268">
        <v>130</v>
      </c>
      <c r="BM121" s="3268">
        <v>75</v>
      </c>
      <c r="BN121" s="3268">
        <v>75</v>
      </c>
      <c r="BO121" s="3268">
        <v>50</v>
      </c>
      <c r="BP121" s="3268">
        <v>50</v>
      </c>
      <c r="BQ121" s="3268">
        <v>50</v>
      </c>
      <c r="BR121" s="3268">
        <v>20</v>
      </c>
      <c r="BS121" s="3268">
        <v>20</v>
      </c>
      <c r="BT121" s="3268">
        <v>20</v>
      </c>
      <c r="BU121" s="3268">
        <v>20</v>
      </c>
      <c r="BV121" s="3268">
        <v>20</v>
      </c>
      <c r="BW121" s="3268">
        <v>20</v>
      </c>
      <c r="BX121" s="3268">
        <v>20</v>
      </c>
      <c r="BY121" s="3268">
        <v>20</v>
      </c>
      <c r="BZ121" s="3268">
        <v>20</v>
      </c>
      <c r="CA121" s="3268"/>
      <c r="CB121" s="3268">
        <v>20</v>
      </c>
      <c r="CC121" s="3268"/>
      <c r="CD121" s="3268"/>
      <c r="CE121" s="3268"/>
      <c r="CF121" s="3603">
        <f t="shared" si="47"/>
        <v>2000</v>
      </c>
    </row>
    <row r="122" spans="1:84" ht="37.5" customHeight="1">
      <c r="A122" s="1317" t="s">
        <v>1934</v>
      </c>
      <c r="B122" s="521" t="s">
        <v>1935</v>
      </c>
      <c r="C122" s="521" t="s">
        <v>1936</v>
      </c>
      <c r="D122" s="982" t="s">
        <v>65</v>
      </c>
      <c r="E122" s="982" t="s">
        <v>65</v>
      </c>
      <c r="F122" s="1304" t="s">
        <v>3713</v>
      </c>
      <c r="G122" s="344"/>
      <c r="H122" s="2519">
        <v>50000000</v>
      </c>
      <c r="I122" s="2261">
        <f t="shared" si="51"/>
        <v>500</v>
      </c>
      <c r="J122" s="283">
        <v>1</v>
      </c>
      <c r="K122" s="1348">
        <f t="shared" si="50"/>
        <v>500</v>
      </c>
      <c r="L122" s="791" t="s">
        <v>5479</v>
      </c>
      <c r="M122" s="2315" t="s">
        <v>5775</v>
      </c>
      <c r="N122" s="3659">
        <v>500</v>
      </c>
      <c r="O122" s="3205"/>
      <c r="P122" s="3205"/>
      <c r="Q122" s="3205"/>
      <c r="R122" s="3205"/>
      <c r="S122" s="3205"/>
      <c r="T122" s="3205"/>
      <c r="U122" s="3205"/>
      <c r="V122" s="3205"/>
      <c r="W122" s="3205"/>
      <c r="X122" s="3205"/>
      <c r="Y122" s="3205"/>
      <c r="Z122" s="3205"/>
      <c r="AA122" s="3205"/>
      <c r="AB122" s="3205"/>
      <c r="AC122" s="3205"/>
      <c r="AD122" s="3205"/>
      <c r="AE122" s="3205"/>
      <c r="AF122" s="3205"/>
      <c r="AG122" s="3205"/>
      <c r="AH122" s="3205"/>
      <c r="AI122" s="3205"/>
      <c r="AJ122" s="3205"/>
      <c r="AK122" s="3205"/>
      <c r="AL122" s="3205"/>
      <c r="AM122" s="3205"/>
      <c r="AN122" s="3205"/>
      <c r="AO122" s="3205"/>
      <c r="AP122" s="3205"/>
      <c r="AQ122" s="3205"/>
      <c r="AR122" s="3205"/>
      <c r="AS122" s="3205"/>
      <c r="AT122" s="3205"/>
      <c r="AU122" s="3205"/>
      <c r="AV122" s="3205"/>
      <c r="AW122" s="3205"/>
      <c r="AX122" s="3268">
        <v>250</v>
      </c>
      <c r="AY122" s="3268">
        <v>7.5</v>
      </c>
      <c r="AZ122" s="3268">
        <v>7.5</v>
      </c>
      <c r="BA122" s="3268">
        <v>7.5</v>
      </c>
      <c r="BB122" s="3268">
        <v>9.5</v>
      </c>
      <c r="BC122" s="3268">
        <v>1</v>
      </c>
      <c r="BD122" s="3268">
        <v>7.5</v>
      </c>
      <c r="BE122" s="3268">
        <v>0.5</v>
      </c>
      <c r="BF122" s="3268">
        <v>9.5</v>
      </c>
      <c r="BG122" s="3268">
        <v>9.5</v>
      </c>
      <c r="BH122" s="3268">
        <v>7.5</v>
      </c>
      <c r="BI122" s="3268">
        <v>7.5</v>
      </c>
      <c r="BJ122" s="3268">
        <v>7.5</v>
      </c>
      <c r="BK122" s="3268">
        <v>25</v>
      </c>
      <c r="BL122" s="3268">
        <v>25</v>
      </c>
      <c r="BM122" s="3268">
        <v>8.75</v>
      </c>
      <c r="BN122" s="3268">
        <v>8.75</v>
      </c>
      <c r="BO122" s="3268">
        <v>8.75</v>
      </c>
      <c r="BP122" s="3268">
        <v>8.75</v>
      </c>
      <c r="BQ122" s="3268">
        <v>7.5</v>
      </c>
      <c r="BR122" s="3268">
        <v>7.5</v>
      </c>
      <c r="BS122" s="3268">
        <v>7.5</v>
      </c>
      <c r="BT122" s="3268">
        <v>7.5</v>
      </c>
      <c r="BU122" s="3268">
        <v>7.5</v>
      </c>
      <c r="BV122" s="3268">
        <v>7.5</v>
      </c>
      <c r="BW122" s="3268">
        <v>7.5</v>
      </c>
      <c r="BX122" s="3268">
        <v>7.5</v>
      </c>
      <c r="BY122" s="3268">
        <v>7.5</v>
      </c>
      <c r="BZ122" s="3268">
        <v>7.5</v>
      </c>
      <c r="CA122" s="3268"/>
      <c r="CB122" s="3268">
        <v>7.5</v>
      </c>
      <c r="CC122" s="3268"/>
      <c r="CD122" s="3268"/>
      <c r="CE122" s="3268"/>
      <c r="CF122" s="3603">
        <f t="shared" si="47"/>
        <v>500</v>
      </c>
    </row>
    <row r="123" spans="1:84" ht="37.5" customHeight="1">
      <c r="A123" s="1317" t="s">
        <v>2483</v>
      </c>
      <c r="B123" s="521"/>
      <c r="C123" s="521" t="s">
        <v>1304</v>
      </c>
      <c r="D123" s="982" t="s">
        <v>65</v>
      </c>
      <c r="E123" s="982" t="s">
        <v>65</v>
      </c>
      <c r="F123" s="1304"/>
      <c r="G123" s="178"/>
      <c r="H123" s="2440">
        <v>12.86</v>
      </c>
      <c r="I123" s="2261">
        <f>H123/100000</f>
        <v>1.2859999999999998E-4</v>
      </c>
      <c r="J123" s="2440">
        <v>127120</v>
      </c>
      <c r="K123" s="1348">
        <f t="shared" si="50"/>
        <v>16.347631999999997</v>
      </c>
      <c r="L123" s="2441" t="s">
        <v>5268</v>
      </c>
      <c r="M123" s="2315" t="s">
        <v>5835</v>
      </c>
      <c r="N123" s="3659">
        <v>16.350000000000001</v>
      </c>
      <c r="O123" s="3205"/>
      <c r="P123" s="3205"/>
      <c r="Q123" s="3205"/>
      <c r="R123" s="3205"/>
      <c r="S123" s="3205"/>
      <c r="T123" s="3205"/>
      <c r="U123" s="3205"/>
      <c r="V123" s="3205"/>
      <c r="W123" s="3205"/>
      <c r="X123" s="3205"/>
      <c r="Y123" s="3205"/>
      <c r="Z123" s="3205"/>
      <c r="AA123" s="3205"/>
      <c r="AB123" s="3205"/>
      <c r="AC123" s="3205"/>
      <c r="AD123" s="3205"/>
      <c r="AE123" s="3205"/>
      <c r="AF123" s="3205"/>
      <c r="AG123" s="3205"/>
      <c r="AH123" s="3205"/>
      <c r="AI123" s="3205"/>
      <c r="AJ123" s="3205"/>
      <c r="AK123" s="3205"/>
      <c r="AL123" s="3205"/>
      <c r="AM123" s="3205"/>
      <c r="AN123" s="3205"/>
      <c r="AO123" s="3205"/>
      <c r="AP123" s="3205"/>
      <c r="AQ123" s="3205"/>
      <c r="AR123" s="3205"/>
      <c r="AS123" s="3205"/>
      <c r="AT123" s="3205"/>
      <c r="AU123" s="3205"/>
      <c r="AV123" s="3205"/>
      <c r="AW123" s="3205"/>
      <c r="AX123" s="3268">
        <v>16.350000000000001</v>
      </c>
      <c r="AY123" s="3268"/>
      <c r="AZ123" s="3268"/>
      <c r="BA123" s="3268"/>
      <c r="BB123" s="3268"/>
      <c r="BC123" s="3268"/>
      <c r="BD123" s="3268"/>
      <c r="BE123" s="3268"/>
      <c r="BF123" s="3268"/>
      <c r="BG123" s="3268"/>
      <c r="BH123" s="3268"/>
      <c r="BI123" s="3268"/>
      <c r="BJ123" s="3268"/>
      <c r="BK123" s="3268"/>
      <c r="BL123" s="3268"/>
      <c r="BM123" s="3268"/>
      <c r="BN123" s="3268"/>
      <c r="BO123" s="3605"/>
      <c r="BP123" s="3605"/>
      <c r="BQ123" s="3605"/>
      <c r="BR123" s="3605"/>
      <c r="BS123" s="3605"/>
      <c r="BT123" s="3605"/>
      <c r="BU123" s="3605"/>
      <c r="BV123" s="3605"/>
      <c r="BW123" s="3605"/>
      <c r="BX123" s="3605"/>
      <c r="BY123" s="3605"/>
      <c r="BZ123" s="3605"/>
      <c r="CA123" s="3605"/>
      <c r="CB123" s="3605"/>
      <c r="CC123" s="3605"/>
      <c r="CD123" s="3605"/>
      <c r="CE123" s="3605"/>
      <c r="CF123" s="3606">
        <f t="shared" si="47"/>
        <v>16.350000000000001</v>
      </c>
    </row>
    <row r="124" spans="1:84" ht="37.5" customHeight="1">
      <c r="A124" s="1317" t="s">
        <v>1937</v>
      </c>
      <c r="B124" s="521" t="s">
        <v>1938</v>
      </c>
      <c r="C124" s="521" t="s">
        <v>1939</v>
      </c>
      <c r="D124" s="2324" t="s">
        <v>85</v>
      </c>
      <c r="E124" s="2324" t="s">
        <v>85</v>
      </c>
      <c r="F124" s="1304" t="s">
        <v>113</v>
      </c>
      <c r="G124" s="2440"/>
      <c r="H124" s="2440">
        <v>600</v>
      </c>
      <c r="I124" s="2261">
        <f t="shared" si="51"/>
        <v>6.0000000000000001E-3</v>
      </c>
      <c r="J124" s="2440">
        <v>127120</v>
      </c>
      <c r="K124" s="1348">
        <f t="shared" si="50"/>
        <v>762.72</v>
      </c>
      <c r="L124" s="2441" t="s">
        <v>5269</v>
      </c>
      <c r="M124" s="2257" t="str">
        <f>'Ab1. RMNCH+A'!Q443</f>
        <v>--</v>
      </c>
      <c r="N124" s="3640">
        <v>762.72</v>
      </c>
      <c r="O124" s="3205"/>
      <c r="P124" s="3205"/>
      <c r="Q124" s="3205"/>
      <c r="R124" s="3205"/>
      <c r="S124" s="3205"/>
      <c r="T124" s="3205"/>
      <c r="U124" s="3205"/>
      <c r="V124" s="3205"/>
      <c r="W124" s="3205"/>
      <c r="X124" s="3205"/>
      <c r="Y124" s="3205"/>
      <c r="Z124" s="3205"/>
      <c r="AA124" s="3205"/>
      <c r="AB124" s="3205"/>
      <c r="AC124" s="3205"/>
      <c r="AD124" s="3205"/>
      <c r="AE124" s="3205"/>
      <c r="AF124" s="3205"/>
      <c r="AG124" s="3205"/>
      <c r="AH124" s="3205"/>
      <c r="AI124" s="3205"/>
      <c r="AJ124" s="3205"/>
      <c r="AK124" s="3205"/>
      <c r="AL124" s="3205"/>
      <c r="AM124" s="3205"/>
      <c r="AN124" s="3205"/>
      <c r="AO124" s="3205"/>
      <c r="AP124" s="3205"/>
      <c r="AQ124" s="3205"/>
      <c r="AR124" s="3205"/>
      <c r="AS124" s="3205"/>
      <c r="AT124" s="3205"/>
      <c r="AU124" s="3205"/>
      <c r="AV124" s="3205"/>
      <c r="AW124" s="3205"/>
      <c r="AX124" s="3268"/>
      <c r="AY124" s="3268">
        <v>6.53</v>
      </c>
      <c r="AZ124" s="3268">
        <v>15.03</v>
      </c>
      <c r="BA124" s="3268">
        <v>9.0299999999999994</v>
      </c>
      <c r="BB124" s="3268">
        <v>29.16</v>
      </c>
      <c r="BC124" s="3268">
        <v>2.69</v>
      </c>
      <c r="BD124" s="3268">
        <v>4.88</v>
      </c>
      <c r="BE124" s="3268">
        <v>0.82</v>
      </c>
      <c r="BF124" s="3268">
        <v>42.5</v>
      </c>
      <c r="BG124" s="3268">
        <v>10.53</v>
      </c>
      <c r="BH124" s="3268">
        <v>42.63</v>
      </c>
      <c r="BI124" s="3268">
        <v>47.77</v>
      </c>
      <c r="BJ124" s="3268">
        <v>2.96</v>
      </c>
      <c r="BK124" s="3268"/>
      <c r="BL124" s="3268">
        <v>96.96</v>
      </c>
      <c r="BM124" s="3268">
        <v>34.520000000000003</v>
      </c>
      <c r="BN124" s="3268">
        <v>46.18</v>
      </c>
      <c r="BO124" s="3268">
        <v>5.15</v>
      </c>
      <c r="BP124" s="3268">
        <v>26.19</v>
      </c>
      <c r="BQ124" s="3268">
        <v>83.96</v>
      </c>
      <c r="BR124" s="3268">
        <v>23.66</v>
      </c>
      <c r="BS124" s="3268">
        <v>1.66</v>
      </c>
      <c r="BT124" s="3268">
        <v>21.72</v>
      </c>
      <c r="BU124" s="3268">
        <v>38.24</v>
      </c>
      <c r="BV124" s="3268">
        <v>60.26</v>
      </c>
      <c r="BW124" s="3268">
        <v>0.53</v>
      </c>
      <c r="BX124" s="3268">
        <v>35.56</v>
      </c>
      <c r="BY124" s="3268">
        <v>9.2899999999999991</v>
      </c>
      <c r="BZ124" s="3268">
        <v>24.82</v>
      </c>
      <c r="CA124" s="3268"/>
      <c r="CB124" s="3268">
        <v>39.49</v>
      </c>
      <c r="CC124" s="3268"/>
      <c r="CD124" s="3268"/>
      <c r="CE124" s="3268"/>
      <c r="CF124" s="3603">
        <f t="shared" si="47"/>
        <v>762.71999999999991</v>
      </c>
    </row>
    <row r="125" spans="1:84" ht="37.5" customHeight="1">
      <c r="A125" s="1317" t="s">
        <v>2453</v>
      </c>
      <c r="B125" s="521" t="s">
        <v>1940</v>
      </c>
      <c r="C125" s="521" t="s">
        <v>1941</v>
      </c>
      <c r="D125" s="2324" t="s">
        <v>85</v>
      </c>
      <c r="E125" s="2324" t="s">
        <v>85</v>
      </c>
      <c r="F125" s="1304" t="s">
        <v>126</v>
      </c>
      <c r="G125" s="343"/>
      <c r="H125" s="2440">
        <v>300</v>
      </c>
      <c r="I125" s="2261">
        <f t="shared" si="51"/>
        <v>3.0000000000000001E-3</v>
      </c>
      <c r="J125" s="2440">
        <v>33000</v>
      </c>
      <c r="K125" s="1348">
        <f t="shared" si="50"/>
        <v>99</v>
      </c>
      <c r="L125" s="2441" t="s">
        <v>5418</v>
      </c>
      <c r="M125" s="2257">
        <f>'Ab1. RMNCH+A'!Q534</f>
        <v>0</v>
      </c>
      <c r="N125" s="3640">
        <v>99</v>
      </c>
      <c r="O125" s="3205"/>
      <c r="P125" s="3205"/>
      <c r="Q125" s="3205"/>
      <c r="R125" s="3205"/>
      <c r="S125" s="3205"/>
      <c r="T125" s="3205"/>
      <c r="U125" s="3205"/>
      <c r="V125" s="3205"/>
      <c r="W125" s="3205"/>
      <c r="X125" s="3205"/>
      <c r="Y125" s="3205"/>
      <c r="Z125" s="3205"/>
      <c r="AA125" s="3205"/>
      <c r="AB125" s="3205"/>
      <c r="AC125" s="3205"/>
      <c r="AD125" s="3205"/>
      <c r="AE125" s="3205"/>
      <c r="AF125" s="3205"/>
      <c r="AG125" s="3205"/>
      <c r="AH125" s="3205"/>
      <c r="AI125" s="3205"/>
      <c r="AJ125" s="3205"/>
      <c r="AK125" s="3205"/>
      <c r="AL125" s="3205"/>
      <c r="AM125" s="3205"/>
      <c r="AN125" s="3205"/>
      <c r="AO125" s="3205"/>
      <c r="AP125" s="3205"/>
      <c r="AQ125" s="3205"/>
      <c r="AR125" s="3205"/>
      <c r="AS125" s="3205"/>
      <c r="AT125" s="3205"/>
      <c r="AU125" s="3205"/>
      <c r="AV125" s="3205"/>
      <c r="AW125" s="3205"/>
      <c r="AX125" s="3268">
        <v>19</v>
      </c>
      <c r="AY125" s="3268">
        <v>1</v>
      </c>
      <c r="AZ125" s="3268">
        <v>1</v>
      </c>
      <c r="BA125" s="3268">
        <v>1</v>
      </c>
      <c r="BB125" s="3268">
        <v>19</v>
      </c>
      <c r="BC125" s="3268">
        <v>1</v>
      </c>
      <c r="BD125" s="3268">
        <v>1</v>
      </c>
      <c r="BE125" s="3268">
        <v>0.4</v>
      </c>
      <c r="BF125" s="3268">
        <v>11</v>
      </c>
      <c r="BG125" s="3268">
        <v>2</v>
      </c>
      <c r="BH125" s="3268">
        <v>5</v>
      </c>
      <c r="BI125" s="3268">
        <v>3</v>
      </c>
      <c r="BJ125" s="3268">
        <v>4</v>
      </c>
      <c r="BK125" s="3268">
        <v>3.3</v>
      </c>
      <c r="BL125" s="3268">
        <v>7</v>
      </c>
      <c r="BM125" s="3268">
        <v>3</v>
      </c>
      <c r="BN125" s="3268">
        <v>3</v>
      </c>
      <c r="BO125" s="3268">
        <v>1</v>
      </c>
      <c r="BP125" s="3268">
        <v>0.3</v>
      </c>
      <c r="BQ125" s="3268">
        <v>4</v>
      </c>
      <c r="BR125" s="3268">
        <v>1</v>
      </c>
      <c r="BS125" s="3268"/>
      <c r="BT125" s="3268"/>
      <c r="BU125" s="3268">
        <v>2</v>
      </c>
      <c r="BV125" s="3268">
        <v>1</v>
      </c>
      <c r="BW125" s="3268"/>
      <c r="BX125" s="3268">
        <v>1</v>
      </c>
      <c r="BY125" s="3268"/>
      <c r="BZ125" s="3268">
        <v>1</v>
      </c>
      <c r="CA125" s="3268"/>
      <c r="CB125" s="3268">
        <v>3</v>
      </c>
      <c r="CC125" s="3268"/>
      <c r="CD125" s="3268"/>
      <c r="CE125" s="3268"/>
      <c r="CF125" s="3603">
        <f t="shared" si="47"/>
        <v>99</v>
      </c>
    </row>
    <row r="126" spans="1:84" ht="37.5" customHeight="1">
      <c r="A126" s="1317" t="s">
        <v>4138</v>
      </c>
      <c r="B126" s="1357" t="s">
        <v>1682</v>
      </c>
      <c r="C126" s="1355" t="s">
        <v>1683</v>
      </c>
      <c r="D126" s="2254" t="s">
        <v>4219</v>
      </c>
      <c r="E126" s="2254" t="s">
        <v>141</v>
      </c>
      <c r="F126" s="1346" t="s">
        <v>141</v>
      </c>
      <c r="G126" s="343">
        <v>0</v>
      </c>
      <c r="H126" s="283">
        <v>300</v>
      </c>
      <c r="I126" s="2261">
        <f>H126/100000</f>
        <v>3.0000000000000001E-3</v>
      </c>
      <c r="J126" s="283">
        <v>300</v>
      </c>
      <c r="K126" s="2353">
        <f t="shared" si="50"/>
        <v>0.9</v>
      </c>
      <c r="L126" s="791" t="s">
        <v>5201</v>
      </c>
      <c r="M126" s="2257">
        <f>'Abs10. NLEP'!Q420</f>
        <v>0</v>
      </c>
      <c r="N126" s="3640">
        <v>0.9</v>
      </c>
      <c r="O126" s="3205"/>
      <c r="P126" s="3205"/>
      <c r="Q126" s="3205"/>
      <c r="R126" s="3205"/>
      <c r="S126" s="3205"/>
      <c r="T126" s="3205"/>
      <c r="U126" s="3205"/>
      <c r="V126" s="3205"/>
      <c r="W126" s="3205"/>
      <c r="X126" s="3205"/>
      <c r="Y126" s="3205"/>
      <c r="Z126" s="3205"/>
      <c r="AA126" s="3205"/>
      <c r="AB126" s="3205"/>
      <c r="AC126" s="3205"/>
      <c r="AD126" s="3205"/>
      <c r="AE126" s="3205"/>
      <c r="AF126" s="3205"/>
      <c r="AG126" s="3205"/>
      <c r="AH126" s="3205"/>
      <c r="AI126" s="3205"/>
      <c r="AJ126" s="3205"/>
      <c r="AK126" s="3205"/>
      <c r="AL126" s="3205"/>
      <c r="AM126" s="3205"/>
      <c r="AN126" s="3205"/>
      <c r="AO126" s="3205"/>
      <c r="AP126" s="3205"/>
      <c r="AQ126" s="3205"/>
      <c r="AR126" s="3205"/>
      <c r="AS126" s="3205"/>
      <c r="AT126" s="3205"/>
      <c r="AU126" s="3205"/>
      <c r="AV126" s="3205"/>
      <c r="AW126" s="3205"/>
      <c r="AX126" s="3268">
        <v>0.9</v>
      </c>
      <c r="AY126" s="3268"/>
      <c r="AZ126" s="3268"/>
      <c r="BA126" s="3268"/>
      <c r="BB126" s="3268"/>
      <c r="BC126" s="3268"/>
      <c r="BD126" s="3268"/>
      <c r="BE126" s="3268"/>
      <c r="BF126" s="3268"/>
      <c r="BG126" s="3268"/>
      <c r="BH126" s="3268"/>
      <c r="BI126" s="3268"/>
      <c r="BJ126" s="3268"/>
      <c r="BK126" s="3268"/>
      <c r="BL126" s="3268"/>
      <c r="BM126" s="3268"/>
      <c r="BN126" s="3268"/>
      <c r="BO126" s="3268"/>
      <c r="BP126" s="3268"/>
      <c r="BQ126" s="3268"/>
      <c r="BR126" s="3268"/>
      <c r="BS126" s="3268"/>
      <c r="BT126" s="3268"/>
      <c r="BU126" s="3268"/>
      <c r="BV126" s="3268"/>
      <c r="BW126" s="3268"/>
      <c r="BX126" s="3268"/>
      <c r="BY126" s="3268"/>
      <c r="BZ126" s="3268"/>
      <c r="CA126" s="3268"/>
      <c r="CB126" s="3268"/>
      <c r="CC126" s="3268"/>
      <c r="CD126" s="3268"/>
      <c r="CE126" s="3268"/>
      <c r="CF126" s="3603">
        <f t="shared" si="47"/>
        <v>0.9</v>
      </c>
    </row>
    <row r="127" spans="1:84" ht="37.5" customHeight="1">
      <c r="A127" s="1317" t="s">
        <v>4139</v>
      </c>
      <c r="B127" s="1357" t="s">
        <v>1684</v>
      </c>
      <c r="C127" s="1355" t="s">
        <v>1685</v>
      </c>
      <c r="D127" s="2254" t="s">
        <v>4219</v>
      </c>
      <c r="E127" s="2254" t="s">
        <v>141</v>
      </c>
      <c r="F127" s="1304" t="s">
        <v>141</v>
      </c>
      <c r="G127" s="343"/>
      <c r="H127" s="283">
        <v>12500</v>
      </c>
      <c r="I127" s="2261">
        <f>H127/100000</f>
        <v>0.125</v>
      </c>
      <c r="J127" s="283">
        <v>12</v>
      </c>
      <c r="K127" s="2353">
        <f t="shared" si="50"/>
        <v>1.5</v>
      </c>
      <c r="L127" s="762" t="s">
        <v>5202</v>
      </c>
      <c r="M127" s="2257">
        <f>'Abs10. NLEP'!Q421</f>
        <v>0</v>
      </c>
      <c r="N127" s="3640">
        <v>1.5</v>
      </c>
      <c r="O127" s="3205"/>
      <c r="P127" s="3205"/>
      <c r="Q127" s="3205"/>
      <c r="R127" s="3205"/>
      <c r="S127" s="3205"/>
      <c r="T127" s="3205"/>
      <c r="U127" s="3205"/>
      <c r="V127" s="3205"/>
      <c r="W127" s="3205"/>
      <c r="X127" s="3205"/>
      <c r="Y127" s="3205"/>
      <c r="Z127" s="3205"/>
      <c r="AA127" s="3205"/>
      <c r="AB127" s="3205"/>
      <c r="AC127" s="3205"/>
      <c r="AD127" s="3205"/>
      <c r="AE127" s="3205"/>
      <c r="AF127" s="3205"/>
      <c r="AG127" s="3205"/>
      <c r="AH127" s="3205"/>
      <c r="AI127" s="3205"/>
      <c r="AJ127" s="3205"/>
      <c r="AK127" s="3205"/>
      <c r="AL127" s="3205"/>
      <c r="AM127" s="3205"/>
      <c r="AN127" s="3205"/>
      <c r="AO127" s="3205"/>
      <c r="AP127" s="3205"/>
      <c r="AQ127" s="3205"/>
      <c r="AR127" s="3205"/>
      <c r="AS127" s="3205"/>
      <c r="AT127" s="3205"/>
      <c r="AU127" s="3205"/>
      <c r="AV127" s="3205"/>
      <c r="AW127" s="3205"/>
      <c r="AX127" s="3268">
        <v>1.5</v>
      </c>
      <c r="AY127" s="3268"/>
      <c r="AZ127" s="3268"/>
      <c r="BA127" s="3268"/>
      <c r="BB127" s="3268"/>
      <c r="BC127" s="3268"/>
      <c r="BD127" s="3268"/>
      <c r="BE127" s="3268"/>
      <c r="BF127" s="3268"/>
      <c r="BG127" s="3268"/>
      <c r="BH127" s="3268"/>
      <c r="BI127" s="3268"/>
      <c r="BJ127" s="3268"/>
      <c r="BK127" s="3268"/>
      <c r="BL127" s="3268"/>
      <c r="BM127" s="3268"/>
      <c r="BN127" s="3268"/>
      <c r="BO127" s="3268"/>
      <c r="BP127" s="3268"/>
      <c r="BQ127" s="3268"/>
      <c r="BR127" s="3268"/>
      <c r="BS127" s="3268"/>
      <c r="BT127" s="3268"/>
      <c r="BU127" s="3268"/>
      <c r="BV127" s="3268"/>
      <c r="BW127" s="3268"/>
      <c r="BX127" s="3268"/>
      <c r="BY127" s="3268"/>
      <c r="BZ127" s="3268"/>
      <c r="CA127" s="3268"/>
      <c r="CB127" s="3268"/>
      <c r="CC127" s="3268"/>
      <c r="CD127" s="3268"/>
      <c r="CE127" s="3268"/>
      <c r="CF127" s="3603">
        <f t="shared" si="47"/>
        <v>1.5</v>
      </c>
    </row>
    <row r="128" spans="1:84" ht="37.5" customHeight="1">
      <c r="A128" s="3191" t="s">
        <v>4107</v>
      </c>
      <c r="B128" s="3192" t="s">
        <v>1646</v>
      </c>
      <c r="C128" s="3192" t="s">
        <v>1579</v>
      </c>
      <c r="D128" s="2254" t="s">
        <v>4219</v>
      </c>
      <c r="E128" s="2254" t="s">
        <v>4525</v>
      </c>
      <c r="F128" s="1304" t="s">
        <v>4525</v>
      </c>
      <c r="G128" s="2354">
        <v>29</v>
      </c>
      <c r="H128" s="2345">
        <v>120540</v>
      </c>
      <c r="I128" s="2261">
        <f>H128/100000</f>
        <v>1.2054</v>
      </c>
      <c r="J128" s="2345">
        <v>74</v>
      </c>
      <c r="K128" s="2355">
        <f t="shared" si="50"/>
        <v>89.199600000000004</v>
      </c>
      <c r="L128" s="3206" t="s">
        <v>5986</v>
      </c>
      <c r="M128" s="3189">
        <f>'Abs11. NTEP'!Q423</f>
        <v>0</v>
      </c>
      <c r="N128" s="3640">
        <v>89.2</v>
      </c>
      <c r="O128" s="3205">
        <f>5.3</f>
        <v>5.3</v>
      </c>
      <c r="P128" s="3205"/>
      <c r="Q128" s="3205"/>
      <c r="R128" s="3205"/>
      <c r="S128" s="3205"/>
      <c r="T128" s="3205"/>
      <c r="U128" s="3205"/>
      <c r="V128" s="3205"/>
      <c r="W128" s="3205"/>
      <c r="X128" s="3205"/>
      <c r="Y128" s="3205"/>
      <c r="Z128" s="3205"/>
      <c r="AA128" s="3205"/>
      <c r="AB128" s="3205"/>
      <c r="AC128" s="3205"/>
      <c r="AD128" s="3205"/>
      <c r="AE128" s="3205"/>
      <c r="AF128" s="3205"/>
      <c r="AG128" s="3205"/>
      <c r="AH128" s="3205"/>
      <c r="AI128" s="3205"/>
      <c r="AJ128" s="3205"/>
      <c r="AK128" s="3205"/>
      <c r="AL128" s="3205"/>
      <c r="AM128" s="3205"/>
      <c r="AN128" s="3205"/>
      <c r="AO128" s="3205"/>
      <c r="AP128" s="3205"/>
      <c r="AQ128" s="3205"/>
      <c r="AR128" s="3205"/>
      <c r="AS128" s="3205"/>
      <c r="AT128" s="3205"/>
      <c r="AU128" s="3205"/>
      <c r="AV128" s="3205"/>
      <c r="AW128" s="3205"/>
      <c r="AX128" s="3607"/>
      <c r="AY128" s="3607"/>
      <c r="AZ128" s="3607"/>
      <c r="BA128" s="3607">
        <v>1.5</v>
      </c>
      <c r="BB128" s="3607">
        <v>2.6</v>
      </c>
      <c r="BC128" s="3607"/>
      <c r="BD128" s="3607">
        <v>1.7</v>
      </c>
      <c r="BE128" s="3607">
        <v>1</v>
      </c>
      <c r="BF128" s="3607"/>
      <c r="BG128" s="3607"/>
      <c r="BH128" s="3607">
        <v>3</v>
      </c>
      <c r="BI128" s="3607"/>
      <c r="BJ128" s="3607">
        <v>1.5</v>
      </c>
      <c r="BK128" s="3607"/>
      <c r="BL128" s="3607"/>
      <c r="BM128" s="3607"/>
      <c r="BN128" s="3607"/>
      <c r="BO128" s="3607"/>
      <c r="BP128" s="3607"/>
      <c r="BQ128" s="3607"/>
      <c r="BR128" s="3607"/>
      <c r="BS128" s="3607"/>
      <c r="BT128" s="3607"/>
      <c r="BU128" s="3607"/>
      <c r="BV128" s="3607"/>
      <c r="BW128" s="3607"/>
      <c r="BX128" s="3607"/>
      <c r="BY128" s="3607"/>
      <c r="BZ128" s="3607"/>
      <c r="CA128" s="3607">
        <v>77.900000000000006</v>
      </c>
      <c r="CB128" s="3607"/>
      <c r="CC128" s="3607"/>
      <c r="CD128" s="3607"/>
      <c r="CE128" s="3607"/>
      <c r="CF128" s="3603">
        <f t="shared" si="47"/>
        <v>89.2</v>
      </c>
    </row>
    <row r="129" spans="1:84" ht="37.5" customHeight="1">
      <c r="A129" s="1317" t="s">
        <v>4123</v>
      </c>
      <c r="B129" s="1357" t="s">
        <v>1664</v>
      </c>
      <c r="C129" s="1355" t="s">
        <v>2755</v>
      </c>
      <c r="D129" s="1699" t="s">
        <v>80</v>
      </c>
      <c r="E129" s="1699" t="s">
        <v>410</v>
      </c>
      <c r="F129" s="1304" t="s">
        <v>410</v>
      </c>
      <c r="G129" s="2649"/>
      <c r="H129" s="2650">
        <v>50000</v>
      </c>
      <c r="I129" s="2261">
        <f t="shared" ref="I129:I130" si="52">H129/100000</f>
        <v>0.5</v>
      </c>
      <c r="J129" s="283">
        <v>10</v>
      </c>
      <c r="K129" s="1348">
        <f t="shared" ref="K129:K130" si="53">J129*I129</f>
        <v>5</v>
      </c>
      <c r="L129" s="2651" t="s">
        <v>5475</v>
      </c>
      <c r="M129" s="2257">
        <f>'Abs19. NPCDCS'!Q421</f>
        <v>0</v>
      </c>
      <c r="N129" s="3640">
        <v>5</v>
      </c>
      <c r="O129" s="3205"/>
      <c r="P129" s="3205"/>
      <c r="Q129" s="3205"/>
      <c r="R129" s="3205"/>
      <c r="S129" s="3205"/>
      <c r="T129" s="3205"/>
      <c r="U129" s="3205"/>
      <c r="V129" s="3205"/>
      <c r="W129" s="3205"/>
      <c r="X129" s="3205"/>
      <c r="Y129" s="3205"/>
      <c r="Z129" s="3205"/>
      <c r="AA129" s="3205"/>
      <c r="AB129" s="3205"/>
      <c r="AC129" s="3205"/>
      <c r="AD129" s="3205"/>
      <c r="AE129" s="3205"/>
      <c r="AF129" s="3205"/>
      <c r="AG129" s="3205"/>
      <c r="AH129" s="3205"/>
      <c r="AI129" s="3205"/>
      <c r="AJ129" s="3205"/>
      <c r="AK129" s="3205"/>
      <c r="AL129" s="3205"/>
      <c r="AM129" s="3205"/>
      <c r="AN129" s="3205"/>
      <c r="AO129" s="3205"/>
      <c r="AP129" s="3205"/>
      <c r="AQ129" s="3205"/>
      <c r="AR129" s="3205"/>
      <c r="AS129" s="3205"/>
      <c r="AT129" s="3205"/>
      <c r="AU129" s="3205"/>
      <c r="AV129" s="3205"/>
      <c r="AW129" s="3205"/>
      <c r="AX129" s="3268"/>
      <c r="AY129" s="3268"/>
      <c r="AZ129" s="3268"/>
      <c r="BA129" s="3268"/>
      <c r="BB129" s="3268"/>
      <c r="BC129" s="3268">
        <v>0.5</v>
      </c>
      <c r="BD129" s="3268"/>
      <c r="BE129" s="3268"/>
      <c r="BF129" s="3268"/>
      <c r="BG129" s="3268"/>
      <c r="BH129" s="3268">
        <v>0.5</v>
      </c>
      <c r="BI129" s="3268"/>
      <c r="BJ129" s="3268"/>
      <c r="BK129" s="3268"/>
      <c r="BL129" s="3268"/>
      <c r="BM129" s="3268">
        <v>0.5</v>
      </c>
      <c r="BN129" s="3268">
        <v>0.5</v>
      </c>
      <c r="BO129" s="3268"/>
      <c r="BP129" s="3268">
        <v>0.5</v>
      </c>
      <c r="BQ129" s="3268"/>
      <c r="BR129" s="3268">
        <v>0.5</v>
      </c>
      <c r="BS129" s="3268">
        <v>0.5</v>
      </c>
      <c r="BT129" s="3268">
        <v>0.5</v>
      </c>
      <c r="BU129" s="3268"/>
      <c r="BV129" s="3268">
        <v>0.5</v>
      </c>
      <c r="BW129" s="3268"/>
      <c r="BX129" s="3268">
        <v>0.5</v>
      </c>
      <c r="BY129" s="3268"/>
      <c r="BZ129" s="3268"/>
      <c r="CA129" s="3268"/>
      <c r="CB129" s="3268"/>
      <c r="CC129" s="3268"/>
      <c r="CD129" s="3268"/>
      <c r="CE129" s="3268"/>
      <c r="CF129" s="3603">
        <f t="shared" si="47"/>
        <v>5</v>
      </c>
    </row>
    <row r="130" spans="1:84" ht="37.5" customHeight="1">
      <c r="A130" s="1317" t="s">
        <v>4126</v>
      </c>
      <c r="B130" s="1357"/>
      <c r="C130" s="521" t="s">
        <v>1585</v>
      </c>
      <c r="D130" s="1699" t="s">
        <v>80</v>
      </c>
      <c r="E130" s="1699" t="s">
        <v>410</v>
      </c>
      <c r="F130" s="1304" t="s">
        <v>410</v>
      </c>
      <c r="G130" s="344">
        <v>1</v>
      </c>
      <c r="H130" s="2650">
        <v>250000</v>
      </c>
      <c r="I130" s="2261">
        <f t="shared" si="52"/>
        <v>2.5</v>
      </c>
      <c r="J130" s="283">
        <v>10</v>
      </c>
      <c r="K130" s="1348">
        <f t="shared" si="53"/>
        <v>25</v>
      </c>
      <c r="L130" s="2651" t="s">
        <v>5476</v>
      </c>
      <c r="M130" s="2257">
        <f>'Abs19. NPCDCS'!Q424</f>
        <v>0</v>
      </c>
      <c r="N130" s="3651">
        <v>25</v>
      </c>
      <c r="O130" s="3205"/>
      <c r="P130" s="3205"/>
      <c r="Q130" s="3205"/>
      <c r="R130" s="3205"/>
      <c r="S130" s="3205"/>
      <c r="T130" s="3205"/>
      <c r="U130" s="3205"/>
      <c r="V130" s="3205"/>
      <c r="W130" s="3205"/>
      <c r="X130" s="3205"/>
      <c r="Y130" s="3205"/>
      <c r="Z130" s="3205"/>
      <c r="AA130" s="3205"/>
      <c r="AB130" s="3205"/>
      <c r="AC130" s="3205"/>
      <c r="AD130" s="3205"/>
      <c r="AE130" s="3205"/>
      <c r="AF130" s="3205"/>
      <c r="AG130" s="3205"/>
      <c r="AH130" s="3205"/>
      <c r="AI130" s="3205"/>
      <c r="AJ130" s="3205"/>
      <c r="AK130" s="3205"/>
      <c r="AL130" s="3205"/>
      <c r="AM130" s="3205"/>
      <c r="AN130" s="3205"/>
      <c r="AO130" s="3205"/>
      <c r="AP130" s="3205"/>
      <c r="AQ130" s="3205"/>
      <c r="AR130" s="3205"/>
      <c r="AS130" s="3205"/>
      <c r="AT130" s="3205"/>
      <c r="AU130" s="3205"/>
      <c r="AV130" s="3205"/>
      <c r="AW130" s="3205"/>
      <c r="AX130" s="3268"/>
      <c r="AY130" s="3268"/>
      <c r="AZ130" s="3268"/>
      <c r="BA130" s="3268"/>
      <c r="BB130" s="3268"/>
      <c r="BC130" s="3268">
        <v>2.5</v>
      </c>
      <c r="BD130" s="3268"/>
      <c r="BE130" s="3268"/>
      <c r="BF130" s="3268"/>
      <c r="BG130" s="3268"/>
      <c r="BH130" s="3268">
        <v>2.5</v>
      </c>
      <c r="BI130" s="3268"/>
      <c r="BJ130" s="3268"/>
      <c r="BK130" s="3268"/>
      <c r="BL130" s="3268"/>
      <c r="BM130" s="3268"/>
      <c r="BN130" s="3268"/>
      <c r="BO130" s="3268"/>
      <c r="BP130" s="3268"/>
      <c r="BQ130" s="3268"/>
      <c r="BR130" s="3268">
        <v>2.5</v>
      </c>
      <c r="BS130" s="3268">
        <v>2.5</v>
      </c>
      <c r="BT130" s="3268">
        <v>2.5</v>
      </c>
      <c r="BU130" s="3268">
        <v>2.5</v>
      </c>
      <c r="BV130" s="3268">
        <v>2.5</v>
      </c>
      <c r="BW130" s="3268"/>
      <c r="BX130" s="3268">
        <v>2.5</v>
      </c>
      <c r="BY130" s="3268"/>
      <c r="BZ130" s="3268">
        <v>2.5</v>
      </c>
      <c r="CA130" s="3268"/>
      <c r="CB130" s="3268">
        <v>2.5</v>
      </c>
      <c r="CC130" s="3268"/>
      <c r="CD130" s="3268"/>
      <c r="CE130" s="3268"/>
      <c r="CF130" s="3603">
        <f t="shared" si="47"/>
        <v>25</v>
      </c>
    </row>
    <row r="131" spans="1:84" ht="37.5" customHeight="1">
      <c r="A131" s="1317" t="s">
        <v>4097</v>
      </c>
      <c r="B131" s="521" t="s">
        <v>305</v>
      </c>
      <c r="C131" s="521" t="s">
        <v>1634</v>
      </c>
      <c r="D131" s="1699" t="s">
        <v>80</v>
      </c>
      <c r="E131" s="1699" t="s">
        <v>65</v>
      </c>
      <c r="F131" s="1304" t="s">
        <v>307</v>
      </c>
      <c r="G131" s="290">
        <v>1</v>
      </c>
      <c r="H131" s="283">
        <v>439000</v>
      </c>
      <c r="I131" s="2261">
        <f>H131/100000</f>
        <v>4.3899999999999997</v>
      </c>
      <c r="J131" s="283">
        <v>9</v>
      </c>
      <c r="K131" s="1348">
        <f>J131*I131</f>
        <v>39.51</v>
      </c>
      <c r="L131" s="791" t="s">
        <v>5503</v>
      </c>
      <c r="M131" s="2257">
        <f>'Abs24. NOHP'!Q411</f>
        <v>0</v>
      </c>
      <c r="N131" s="3640">
        <v>39.51</v>
      </c>
      <c r="O131" s="3205"/>
      <c r="P131" s="3205"/>
      <c r="Q131" s="3205"/>
      <c r="R131" s="3205"/>
      <c r="S131" s="3205"/>
      <c r="T131" s="3205"/>
      <c r="U131" s="3205"/>
      <c r="V131" s="3205"/>
      <c r="W131" s="3205"/>
      <c r="X131" s="3205"/>
      <c r="Y131" s="3205"/>
      <c r="Z131" s="3205"/>
      <c r="AA131" s="3205"/>
      <c r="AB131" s="3205"/>
      <c r="AC131" s="3205"/>
      <c r="AD131" s="3205"/>
      <c r="AE131" s="3205"/>
      <c r="AF131" s="3205"/>
      <c r="AG131" s="3205"/>
      <c r="AH131" s="3205"/>
      <c r="AI131" s="3205"/>
      <c r="AJ131" s="3205"/>
      <c r="AK131" s="3205"/>
      <c r="AL131" s="3205"/>
      <c r="AM131" s="3205"/>
      <c r="AN131" s="3205"/>
      <c r="AO131" s="3205"/>
      <c r="AP131" s="3205"/>
      <c r="AQ131" s="3205"/>
      <c r="AR131" s="3205"/>
      <c r="AS131" s="3205"/>
      <c r="AT131" s="3205"/>
      <c r="AU131" s="3205"/>
      <c r="AV131" s="3205"/>
      <c r="AW131" s="3205"/>
      <c r="AX131" s="3268">
        <v>39.51</v>
      </c>
      <c r="AY131" s="3268"/>
      <c r="AZ131" s="3268"/>
      <c r="BA131" s="3268"/>
      <c r="BB131" s="3268"/>
      <c r="BC131" s="3268"/>
      <c r="BD131" s="3268"/>
      <c r="BE131" s="3268"/>
      <c r="BF131" s="3268"/>
      <c r="BG131" s="3268"/>
      <c r="BH131" s="3268"/>
      <c r="BI131" s="3268"/>
      <c r="BJ131" s="3268"/>
      <c r="BK131" s="3268"/>
      <c r="BL131" s="3268"/>
      <c r="BM131" s="3268"/>
      <c r="BN131" s="3268"/>
      <c r="BO131" s="3268"/>
      <c r="BP131" s="3268"/>
      <c r="BQ131" s="3268"/>
      <c r="BR131" s="3268"/>
      <c r="BS131" s="3268"/>
      <c r="BT131" s="3268"/>
      <c r="BU131" s="3268"/>
      <c r="BV131" s="3268"/>
      <c r="BW131" s="3268"/>
      <c r="BX131" s="3268"/>
      <c r="BY131" s="3268"/>
      <c r="BZ131" s="3268"/>
      <c r="CA131" s="3268"/>
      <c r="CB131" s="3268"/>
      <c r="CC131" s="3268"/>
      <c r="CD131" s="3268"/>
      <c r="CE131" s="3268"/>
      <c r="CF131" s="3603">
        <f t="shared" si="47"/>
        <v>39.51</v>
      </c>
    </row>
    <row r="132" spans="1:84" ht="37.5" customHeight="1">
      <c r="A132" s="1317" t="s">
        <v>4149</v>
      </c>
      <c r="B132" s="1355" t="s">
        <v>1696</v>
      </c>
      <c r="C132" s="3213" t="s">
        <v>1697</v>
      </c>
      <c r="D132" s="2254" t="s">
        <v>4219</v>
      </c>
      <c r="E132" s="2254" t="s">
        <v>4525</v>
      </c>
      <c r="F132" s="1304" t="s">
        <v>4525</v>
      </c>
      <c r="G132" s="354"/>
      <c r="H132" s="2345">
        <v>7016</v>
      </c>
      <c r="I132" s="2261">
        <f t="shared" ref="I132:I133" si="54">H132/100000</f>
        <v>7.016E-2</v>
      </c>
      <c r="J132" s="2345">
        <v>386</v>
      </c>
      <c r="K132" s="1348">
        <f t="shared" ref="K132:K133" si="55">J132*I132</f>
        <v>27.081759999999999</v>
      </c>
      <c r="L132" s="3212" t="s">
        <v>5167</v>
      </c>
      <c r="M132" s="3188">
        <f>'Abs11. NTEP'!Q424</f>
        <v>0</v>
      </c>
      <c r="N132" s="3640">
        <v>27.08</v>
      </c>
      <c r="O132" s="3205"/>
      <c r="P132" s="3205"/>
      <c r="Q132" s="3205"/>
      <c r="R132" s="3205"/>
      <c r="S132" s="3205"/>
      <c r="T132" s="3205"/>
      <c r="U132" s="3205"/>
      <c r="V132" s="3205"/>
      <c r="W132" s="3205"/>
      <c r="X132" s="3205"/>
      <c r="Y132" s="3205"/>
      <c r="Z132" s="3205"/>
      <c r="AA132" s="3205"/>
      <c r="AB132" s="3205"/>
      <c r="AC132" s="3205"/>
      <c r="AD132" s="3205"/>
      <c r="AE132" s="3205"/>
      <c r="AF132" s="3205"/>
      <c r="AG132" s="3205"/>
      <c r="AH132" s="3205"/>
      <c r="AI132" s="3205"/>
      <c r="AJ132" s="3205"/>
      <c r="AK132" s="3205"/>
      <c r="AL132" s="3205"/>
      <c r="AM132" s="3205"/>
      <c r="AN132" s="3205"/>
      <c r="AO132" s="3205"/>
      <c r="AP132" s="3205"/>
      <c r="AQ132" s="3205"/>
      <c r="AR132" s="3205"/>
      <c r="AS132" s="3205"/>
      <c r="AT132" s="3205"/>
      <c r="AU132" s="3205"/>
      <c r="AV132" s="3205"/>
      <c r="AW132" s="3205"/>
      <c r="AX132" s="3268"/>
      <c r="AY132" s="3268">
        <v>0.02</v>
      </c>
      <c r="AZ132" s="3268">
        <v>0.02</v>
      </c>
      <c r="BA132" s="3268">
        <v>0.02</v>
      </c>
      <c r="BB132" s="3268">
        <v>4.04</v>
      </c>
      <c r="BC132" s="3268">
        <v>0.01</v>
      </c>
      <c r="BD132" s="3268">
        <v>0.02</v>
      </c>
      <c r="BE132" s="3268">
        <v>0.01</v>
      </c>
      <c r="BF132" s="3268">
        <v>2.04</v>
      </c>
      <c r="BG132" s="3268">
        <v>4.04</v>
      </c>
      <c r="BH132" s="3268">
        <v>2.0299999999999998</v>
      </c>
      <c r="BI132" s="3268">
        <v>2.02</v>
      </c>
      <c r="BJ132" s="3268">
        <v>0.02</v>
      </c>
      <c r="BK132" s="3268"/>
      <c r="BL132" s="3268"/>
      <c r="BM132" s="3268"/>
      <c r="BN132" s="3268"/>
      <c r="BO132" s="3268"/>
      <c r="BP132" s="3268"/>
      <c r="BQ132" s="3268"/>
      <c r="BR132" s="3268"/>
      <c r="BS132" s="3268"/>
      <c r="BT132" s="3268"/>
      <c r="BU132" s="3268"/>
      <c r="BV132" s="3268"/>
      <c r="BW132" s="3268"/>
      <c r="BX132" s="3268"/>
      <c r="BY132" s="3268"/>
      <c r="BZ132" s="3268"/>
      <c r="CA132" s="3268">
        <v>12.79</v>
      </c>
      <c r="CB132" s="3268"/>
      <c r="CC132" s="3268"/>
      <c r="CD132" s="3268"/>
      <c r="CE132" s="3268"/>
      <c r="CF132" s="3603">
        <f t="shared" si="47"/>
        <v>27.08</v>
      </c>
    </row>
    <row r="133" spans="1:84" ht="37.5" customHeight="1">
      <c r="A133" s="1317" t="s">
        <v>4151</v>
      </c>
      <c r="B133" s="521"/>
      <c r="C133" s="521" t="s">
        <v>4706</v>
      </c>
      <c r="D133" s="982" t="s">
        <v>65</v>
      </c>
      <c r="E133" s="982" t="s">
        <v>65</v>
      </c>
      <c r="F133" s="1304" t="s">
        <v>4668</v>
      </c>
      <c r="G133" s="354">
        <v>1</v>
      </c>
      <c r="H133" s="283">
        <v>2400</v>
      </c>
      <c r="I133" s="2261">
        <f t="shared" si="54"/>
        <v>2.4E-2</v>
      </c>
      <c r="J133" s="283">
        <v>12500</v>
      </c>
      <c r="K133" s="1348">
        <f t="shared" si="55"/>
        <v>300</v>
      </c>
      <c r="L133" s="2316" t="s">
        <v>5159</v>
      </c>
      <c r="M133" s="2315" t="s">
        <v>5776</v>
      </c>
      <c r="N133" s="3659">
        <v>300</v>
      </c>
      <c r="O133" s="3205"/>
      <c r="P133" s="3205"/>
      <c r="Q133" s="3205"/>
      <c r="R133" s="3205"/>
      <c r="S133" s="3205"/>
      <c r="T133" s="3205"/>
      <c r="U133" s="3205"/>
      <c r="V133" s="3205"/>
      <c r="W133" s="3205"/>
      <c r="X133" s="3205"/>
      <c r="Y133" s="3205"/>
      <c r="Z133" s="3205"/>
      <c r="AA133" s="3205"/>
      <c r="AB133" s="3205"/>
      <c r="AC133" s="3205"/>
      <c r="AD133" s="3205"/>
      <c r="AE133" s="3205"/>
      <c r="AF133" s="3205"/>
      <c r="AG133" s="3205"/>
      <c r="AH133" s="3205"/>
      <c r="AI133" s="3205"/>
      <c r="AJ133" s="3205"/>
      <c r="AK133" s="3205"/>
      <c r="AL133" s="3205"/>
      <c r="AM133" s="3205"/>
      <c r="AN133" s="3205"/>
      <c r="AO133" s="3205"/>
      <c r="AP133" s="3205"/>
      <c r="AQ133" s="3205"/>
      <c r="AR133" s="3205"/>
      <c r="AS133" s="3205"/>
      <c r="AT133" s="3205"/>
      <c r="AU133" s="3205"/>
      <c r="AV133" s="3205"/>
      <c r="AW133" s="3205"/>
      <c r="AX133" s="3268">
        <v>300</v>
      </c>
      <c r="AY133" s="3268"/>
      <c r="AZ133" s="3268"/>
      <c r="BA133" s="3268"/>
      <c r="BB133" s="3268"/>
      <c r="BC133" s="3268"/>
      <c r="BD133" s="3268"/>
      <c r="BE133" s="3268"/>
      <c r="BF133" s="3268"/>
      <c r="BG133" s="3268"/>
      <c r="BH133" s="3268"/>
      <c r="BI133" s="3268"/>
      <c r="BJ133" s="3268"/>
      <c r="BK133" s="3268"/>
      <c r="BL133" s="3268"/>
      <c r="BM133" s="3268"/>
      <c r="BN133" s="3268"/>
      <c r="BO133" s="3268"/>
      <c r="BP133" s="3268"/>
      <c r="BQ133" s="3268"/>
      <c r="BR133" s="3268"/>
      <c r="BS133" s="3268"/>
      <c r="BT133" s="3268"/>
      <c r="BU133" s="3268"/>
      <c r="BV133" s="3268"/>
      <c r="BW133" s="3268"/>
      <c r="BX133" s="3268"/>
      <c r="BY133" s="3268"/>
      <c r="BZ133" s="3268"/>
      <c r="CA133" s="3268"/>
      <c r="CB133" s="3268"/>
      <c r="CC133" s="3268"/>
      <c r="CD133" s="3268"/>
      <c r="CE133" s="3268"/>
      <c r="CF133" s="3603">
        <f t="shared" si="47"/>
        <v>300</v>
      </c>
    </row>
    <row r="134" spans="1:84" ht="37.5" customHeight="1">
      <c r="A134" s="1317" t="s">
        <v>4158</v>
      </c>
      <c r="B134" s="521" t="s">
        <v>1723</v>
      </c>
      <c r="C134" s="521" t="s">
        <v>1729</v>
      </c>
      <c r="D134" s="2324" t="s">
        <v>85</v>
      </c>
      <c r="E134" s="2324" t="s">
        <v>65</v>
      </c>
      <c r="F134" s="1304" t="s">
        <v>113</v>
      </c>
      <c r="G134" s="2454"/>
      <c r="H134" s="2440">
        <v>2113</v>
      </c>
      <c r="I134" s="2261">
        <f t="shared" ref="I134" si="56">H134/100000</f>
        <v>2.1129999999999999E-2</v>
      </c>
      <c r="J134" s="2440">
        <v>100000</v>
      </c>
      <c r="K134" s="1348">
        <f t="shared" ref="K134" si="57">J134*I134</f>
        <v>2113</v>
      </c>
      <c r="L134" s="2441" t="s">
        <v>5270</v>
      </c>
      <c r="M134" s="2257" t="str">
        <f>'Ab1. RMNCH+A'!Q454</f>
        <v>--</v>
      </c>
      <c r="N134" s="3640">
        <v>475</v>
      </c>
      <c r="O134" s="3205"/>
      <c r="P134" s="3205"/>
      <c r="Q134" s="3205"/>
      <c r="R134" s="3205"/>
      <c r="S134" s="3205"/>
      <c r="T134" s="3205"/>
      <c r="U134" s="3205"/>
      <c r="V134" s="3205"/>
      <c r="W134" s="3205"/>
      <c r="X134" s="3205"/>
      <c r="Y134" s="3205"/>
      <c r="Z134" s="3205"/>
      <c r="AA134" s="3205"/>
      <c r="AB134" s="3205"/>
      <c r="AC134" s="3205"/>
      <c r="AD134" s="3205"/>
      <c r="AE134" s="3205"/>
      <c r="AF134" s="3205"/>
      <c r="AG134" s="3205"/>
      <c r="AH134" s="3205"/>
      <c r="AI134" s="3205"/>
      <c r="AJ134" s="3205"/>
      <c r="AK134" s="3205"/>
      <c r="AL134" s="3205"/>
      <c r="AM134" s="3205"/>
      <c r="AN134" s="3205"/>
      <c r="AO134" s="3205"/>
      <c r="AP134" s="3205"/>
      <c r="AQ134" s="3205"/>
      <c r="AR134" s="3205"/>
      <c r="AS134" s="3205"/>
      <c r="AT134" s="3205"/>
      <c r="AU134" s="3205"/>
      <c r="AV134" s="3205"/>
      <c r="AW134" s="3205"/>
      <c r="AX134" s="3268"/>
      <c r="AY134" s="3268">
        <v>4.0599999999999996</v>
      </c>
      <c r="AZ134" s="3268">
        <v>9.36</v>
      </c>
      <c r="BA134" s="3268">
        <v>5.62</v>
      </c>
      <c r="BB134" s="3268">
        <v>18.16</v>
      </c>
      <c r="BC134" s="3268">
        <v>1.67</v>
      </c>
      <c r="BD134" s="3268">
        <v>3.04</v>
      </c>
      <c r="BE134" s="3268">
        <v>0.51</v>
      </c>
      <c r="BF134" s="3268">
        <v>26.47</v>
      </c>
      <c r="BG134" s="3268">
        <v>6.56</v>
      </c>
      <c r="BH134" s="3268">
        <v>26.55</v>
      </c>
      <c r="BI134" s="3268">
        <v>29.75</v>
      </c>
      <c r="BJ134" s="3268">
        <v>1.84</v>
      </c>
      <c r="BK134" s="3268"/>
      <c r="BL134" s="3268">
        <v>60.38</v>
      </c>
      <c r="BM134" s="3268">
        <v>21.5</v>
      </c>
      <c r="BN134" s="3268">
        <v>28.76</v>
      </c>
      <c r="BO134" s="3268">
        <v>3.2</v>
      </c>
      <c r="BP134" s="3268">
        <v>16.309999999999999</v>
      </c>
      <c r="BQ134" s="3268">
        <v>52.29</v>
      </c>
      <c r="BR134" s="3268">
        <v>14.73</v>
      </c>
      <c r="BS134" s="3268">
        <v>1.04</v>
      </c>
      <c r="BT134" s="3268">
        <v>13.53</v>
      </c>
      <c r="BU134" s="3268">
        <v>23.81</v>
      </c>
      <c r="BV134" s="3268">
        <v>37.53</v>
      </c>
      <c r="BW134" s="3268">
        <v>0.33</v>
      </c>
      <c r="BX134" s="3268">
        <v>22.15</v>
      </c>
      <c r="BY134" s="3268">
        <v>5.8</v>
      </c>
      <c r="BZ134" s="3268">
        <v>15.46</v>
      </c>
      <c r="CA134" s="3268"/>
      <c r="CB134" s="3268">
        <v>24.59</v>
      </c>
      <c r="CC134" s="3268"/>
      <c r="CD134" s="3268"/>
      <c r="CE134" s="3268"/>
      <c r="CF134" s="3603">
        <f t="shared" si="47"/>
        <v>474.99999999999989</v>
      </c>
    </row>
    <row r="135" spans="1:84" ht="37.5" customHeight="1">
      <c r="A135" s="1317" t="s">
        <v>1736</v>
      </c>
      <c r="B135" s="521" t="s">
        <v>1737</v>
      </c>
      <c r="C135" s="521" t="s">
        <v>1724</v>
      </c>
      <c r="D135" s="2324" t="s">
        <v>85</v>
      </c>
      <c r="E135" s="2324" t="s">
        <v>65</v>
      </c>
      <c r="F135" s="1304" t="s">
        <v>126</v>
      </c>
      <c r="G135" s="354"/>
      <c r="H135" s="2440">
        <v>400</v>
      </c>
      <c r="I135" s="2455">
        <f t="shared" ref="I135" si="58">H135/100000</f>
        <v>4.0000000000000001E-3</v>
      </c>
      <c r="J135" s="2440">
        <v>37500</v>
      </c>
      <c r="K135" s="1348">
        <f t="shared" ref="K135" si="59">J135*I135</f>
        <v>150</v>
      </c>
      <c r="L135" s="2441" t="s">
        <v>5271</v>
      </c>
      <c r="M135" s="2257">
        <f>'Ab1. RMNCH+A'!Q535</f>
        <v>0</v>
      </c>
      <c r="N135" s="3640">
        <v>150</v>
      </c>
      <c r="O135" s="3205"/>
      <c r="P135" s="3205"/>
      <c r="Q135" s="3205"/>
      <c r="R135" s="3205"/>
      <c r="S135" s="3205"/>
      <c r="T135" s="3205"/>
      <c r="U135" s="3205"/>
      <c r="V135" s="3205"/>
      <c r="W135" s="3205"/>
      <c r="X135" s="3205"/>
      <c r="Y135" s="3205"/>
      <c r="Z135" s="3205"/>
      <c r="AA135" s="3205"/>
      <c r="AB135" s="3205"/>
      <c r="AC135" s="3205"/>
      <c r="AD135" s="3205"/>
      <c r="AE135" s="3205"/>
      <c r="AF135" s="3205"/>
      <c r="AG135" s="3205"/>
      <c r="AH135" s="3205"/>
      <c r="AI135" s="3205"/>
      <c r="AJ135" s="3205"/>
      <c r="AK135" s="3205"/>
      <c r="AL135" s="3205"/>
      <c r="AM135" s="3205"/>
      <c r="AN135" s="3205"/>
      <c r="AO135" s="3205"/>
      <c r="AP135" s="3205"/>
      <c r="AQ135" s="3205"/>
      <c r="AR135" s="3205"/>
      <c r="AS135" s="3205"/>
      <c r="AT135" s="3205"/>
      <c r="AU135" s="3205"/>
      <c r="AV135" s="3205"/>
      <c r="AW135" s="3205"/>
      <c r="AX135" s="3268">
        <v>37.39</v>
      </c>
      <c r="AY135" s="3268">
        <v>1</v>
      </c>
      <c r="AZ135" s="3268">
        <v>1</v>
      </c>
      <c r="BA135" s="3268">
        <v>1</v>
      </c>
      <c r="BB135" s="3268">
        <v>25</v>
      </c>
      <c r="BC135" s="3268">
        <v>1</v>
      </c>
      <c r="BD135" s="3268">
        <v>1</v>
      </c>
      <c r="BE135" s="3268">
        <v>0.4</v>
      </c>
      <c r="BF135" s="3268">
        <v>15</v>
      </c>
      <c r="BG135" s="3268">
        <v>2</v>
      </c>
      <c r="BH135" s="3268">
        <v>2</v>
      </c>
      <c r="BI135" s="3268">
        <v>2</v>
      </c>
      <c r="BJ135" s="3268">
        <v>5</v>
      </c>
      <c r="BK135" s="3268">
        <v>8</v>
      </c>
      <c r="BL135" s="3268">
        <v>14</v>
      </c>
      <c r="BM135" s="3268">
        <v>3</v>
      </c>
      <c r="BN135" s="3268">
        <v>4</v>
      </c>
      <c r="BO135" s="3268">
        <v>7</v>
      </c>
      <c r="BP135" s="3268">
        <v>0.21</v>
      </c>
      <c r="BQ135" s="3268">
        <v>9</v>
      </c>
      <c r="BR135" s="3268">
        <v>1</v>
      </c>
      <c r="BS135" s="3268"/>
      <c r="BT135" s="3268"/>
      <c r="BU135" s="3268">
        <v>3</v>
      </c>
      <c r="BV135" s="3268">
        <v>2</v>
      </c>
      <c r="BW135" s="3268"/>
      <c r="BX135" s="3268">
        <v>1</v>
      </c>
      <c r="BY135" s="3268"/>
      <c r="BZ135" s="3268">
        <v>1</v>
      </c>
      <c r="CA135" s="3268"/>
      <c r="CB135" s="3268">
        <v>3</v>
      </c>
      <c r="CC135" s="3268"/>
      <c r="CD135" s="3268"/>
      <c r="CE135" s="3268"/>
      <c r="CF135" s="3603">
        <f t="shared" si="47"/>
        <v>150.00000000000003</v>
      </c>
    </row>
    <row r="136" spans="1:84" ht="37.5" customHeight="1">
      <c r="A136" s="1317" t="s">
        <v>1773</v>
      </c>
      <c r="B136" s="521" t="s">
        <v>1774</v>
      </c>
      <c r="C136" s="521" t="s">
        <v>1775</v>
      </c>
      <c r="D136" s="2254" t="s">
        <v>85</v>
      </c>
      <c r="E136" s="2254" t="s">
        <v>65</v>
      </c>
      <c r="F136" s="1304" t="s">
        <v>188</v>
      </c>
      <c r="G136" s="354"/>
      <c r="H136" s="2448">
        <v>10000000</v>
      </c>
      <c r="I136" s="2261">
        <f t="shared" ref="I136:I141" si="60">H136/100000</f>
        <v>100</v>
      </c>
      <c r="J136" s="283">
        <v>1</v>
      </c>
      <c r="K136" s="1348">
        <f t="shared" ref="K136:K141" si="61">J136*I136</f>
        <v>100</v>
      </c>
      <c r="L136" s="791" t="s">
        <v>5232</v>
      </c>
      <c r="M136" s="2257">
        <f>'Ab1. RMNCH+A'!Q711</f>
        <v>0</v>
      </c>
      <c r="N136" s="3640">
        <v>99.45</v>
      </c>
      <c r="O136" s="3205"/>
      <c r="P136" s="3205"/>
      <c r="Q136" s="3205"/>
      <c r="R136" s="3205"/>
      <c r="S136" s="3205"/>
      <c r="T136" s="3205"/>
      <c r="U136" s="3205"/>
      <c r="V136" s="3205"/>
      <c r="W136" s="3205"/>
      <c r="X136" s="3205"/>
      <c r="Y136" s="3205"/>
      <c r="Z136" s="3205"/>
      <c r="AA136" s="3205"/>
      <c r="AB136" s="3205"/>
      <c r="AC136" s="3205"/>
      <c r="AD136" s="3205"/>
      <c r="AE136" s="3205"/>
      <c r="AF136" s="3205"/>
      <c r="AG136" s="3205"/>
      <c r="AH136" s="3205"/>
      <c r="AI136" s="3205"/>
      <c r="AJ136" s="3205"/>
      <c r="AK136" s="3205"/>
      <c r="AL136" s="3205"/>
      <c r="AM136" s="3205"/>
      <c r="AN136" s="3205"/>
      <c r="AO136" s="3205"/>
      <c r="AP136" s="3205"/>
      <c r="AQ136" s="3205"/>
      <c r="AR136" s="3205"/>
      <c r="AS136" s="3205"/>
      <c r="AT136" s="3205"/>
      <c r="AU136" s="3205"/>
      <c r="AV136" s="3205"/>
      <c r="AW136" s="3205"/>
      <c r="AX136" s="3268">
        <v>99.45</v>
      </c>
      <c r="AY136" s="3268"/>
      <c r="AZ136" s="3268"/>
      <c r="BA136" s="3268"/>
      <c r="BB136" s="3268"/>
      <c r="BC136" s="3268"/>
      <c r="BD136" s="3268"/>
      <c r="BE136" s="3268"/>
      <c r="BF136" s="3268"/>
      <c r="BG136" s="3268"/>
      <c r="BH136" s="3268"/>
      <c r="BI136" s="3268"/>
      <c r="BJ136" s="3268"/>
      <c r="BK136" s="3268"/>
      <c r="BL136" s="3268"/>
      <c r="BM136" s="3268"/>
      <c r="BN136" s="3268"/>
      <c r="BO136" s="3268"/>
      <c r="BP136" s="3268"/>
      <c r="BQ136" s="3268"/>
      <c r="BR136" s="3268"/>
      <c r="BS136" s="3268"/>
      <c r="BT136" s="3268"/>
      <c r="BU136" s="3268"/>
      <c r="BV136" s="3268"/>
      <c r="BW136" s="3268"/>
      <c r="BX136" s="3268"/>
      <c r="BY136" s="3268"/>
      <c r="BZ136" s="3268"/>
      <c r="CA136" s="3268"/>
      <c r="CB136" s="3268"/>
      <c r="CC136" s="3268"/>
      <c r="CD136" s="3268"/>
      <c r="CE136" s="3268"/>
      <c r="CF136" s="3603">
        <f t="shared" si="47"/>
        <v>99.45</v>
      </c>
    </row>
    <row r="137" spans="1:84" ht="37.5" customHeight="1">
      <c r="A137" s="1317" t="s">
        <v>1821</v>
      </c>
      <c r="B137" s="1317" t="s">
        <v>1822</v>
      </c>
      <c r="C137" s="1317" t="s">
        <v>2303</v>
      </c>
      <c r="D137" s="2324" t="s">
        <v>85</v>
      </c>
      <c r="E137" s="2324" t="s">
        <v>203</v>
      </c>
      <c r="F137" s="1304" t="s">
        <v>203</v>
      </c>
      <c r="G137" s="354">
        <v>1</v>
      </c>
      <c r="H137" s="283">
        <v>206500</v>
      </c>
      <c r="I137" s="2261">
        <f t="shared" si="60"/>
        <v>2.0649999999999999</v>
      </c>
      <c r="J137" s="283">
        <v>10</v>
      </c>
      <c r="K137" s="1348">
        <f t="shared" si="61"/>
        <v>20.65</v>
      </c>
      <c r="L137" s="791" t="s">
        <v>5207</v>
      </c>
      <c r="M137" s="2257">
        <f>'Ab2. NIDDCP'!Q415</f>
        <v>0</v>
      </c>
      <c r="N137" s="3640">
        <v>19.350000000000001</v>
      </c>
      <c r="O137" s="3205"/>
      <c r="P137" s="3205"/>
      <c r="Q137" s="3205"/>
      <c r="R137" s="3205"/>
      <c r="S137" s="3205"/>
      <c r="T137" s="3205"/>
      <c r="U137" s="3205"/>
      <c r="V137" s="3205"/>
      <c r="W137" s="3205"/>
      <c r="X137" s="3205"/>
      <c r="Y137" s="3205"/>
      <c r="Z137" s="3205"/>
      <c r="AA137" s="3205"/>
      <c r="AB137" s="3205"/>
      <c r="AC137" s="3205"/>
      <c r="AD137" s="3205"/>
      <c r="AE137" s="3205"/>
      <c r="AF137" s="3205"/>
      <c r="AG137" s="3205"/>
      <c r="AH137" s="3205"/>
      <c r="AI137" s="3205"/>
      <c r="AJ137" s="3205"/>
      <c r="AK137" s="3205"/>
      <c r="AL137" s="3205"/>
      <c r="AM137" s="3205"/>
      <c r="AN137" s="3205"/>
      <c r="AO137" s="3205"/>
      <c r="AP137" s="3205"/>
      <c r="AQ137" s="3205"/>
      <c r="AR137" s="3205"/>
      <c r="AS137" s="3205"/>
      <c r="AT137" s="3205"/>
      <c r="AU137" s="3205"/>
      <c r="AV137" s="3205"/>
      <c r="AW137" s="3205"/>
      <c r="AX137" s="3268">
        <v>19.350000000000001</v>
      </c>
      <c r="AY137" s="3268"/>
      <c r="AZ137" s="3268"/>
      <c r="BA137" s="3268"/>
      <c r="BB137" s="3268"/>
      <c r="BC137" s="3268"/>
      <c r="BD137" s="3268"/>
      <c r="BE137" s="3268"/>
      <c r="BF137" s="3268"/>
      <c r="BG137" s="3268"/>
      <c r="BH137" s="3268"/>
      <c r="BI137" s="3268"/>
      <c r="BJ137" s="3268"/>
      <c r="BK137" s="3268"/>
      <c r="BL137" s="3268"/>
      <c r="BM137" s="3268"/>
      <c r="BN137" s="3268"/>
      <c r="BO137" s="3268"/>
      <c r="BP137" s="3268"/>
      <c r="BQ137" s="3268"/>
      <c r="BR137" s="3268"/>
      <c r="BS137" s="3268"/>
      <c r="BT137" s="3268"/>
      <c r="BU137" s="3268"/>
      <c r="BV137" s="3268"/>
      <c r="BW137" s="3268"/>
      <c r="BX137" s="3268"/>
      <c r="BY137" s="3268"/>
      <c r="BZ137" s="3268"/>
      <c r="CA137" s="3268"/>
      <c r="CB137" s="3268"/>
      <c r="CC137" s="3268"/>
      <c r="CD137" s="3268"/>
      <c r="CE137" s="3268"/>
      <c r="CF137" s="3603">
        <f t="shared" si="47"/>
        <v>19.350000000000001</v>
      </c>
    </row>
    <row r="138" spans="1:84" ht="37.5" customHeight="1">
      <c r="A138" s="1317" t="s">
        <v>1785</v>
      </c>
      <c r="B138" s="521" t="s">
        <v>1786</v>
      </c>
      <c r="C138" s="521" t="s">
        <v>1787</v>
      </c>
      <c r="D138" s="982" t="s">
        <v>65</v>
      </c>
      <c r="E138" s="982" t="s">
        <v>65</v>
      </c>
      <c r="F138" s="1353" t="s">
        <v>4723</v>
      </c>
      <c r="G138" s="354">
        <v>1</v>
      </c>
      <c r="H138" s="2318">
        <v>1000</v>
      </c>
      <c r="I138" s="2261">
        <f t="shared" si="60"/>
        <v>0.01</v>
      </c>
      <c r="J138" s="2318">
        <v>150</v>
      </c>
      <c r="K138" s="1348">
        <f t="shared" si="61"/>
        <v>1.5</v>
      </c>
      <c r="L138" s="791"/>
      <c r="M138" s="2257">
        <f>'Ab3. ASHA'!Q485</f>
        <v>0</v>
      </c>
      <c r="N138" s="3640">
        <v>1.5</v>
      </c>
      <c r="O138" s="3205"/>
      <c r="P138" s="3205"/>
      <c r="Q138" s="3205"/>
      <c r="R138" s="3205"/>
      <c r="S138" s="3205"/>
      <c r="T138" s="3205"/>
      <c r="U138" s="3205"/>
      <c r="V138" s="3205"/>
      <c r="W138" s="3205"/>
      <c r="X138" s="3205"/>
      <c r="Y138" s="3205"/>
      <c r="Z138" s="3205"/>
      <c r="AA138" s="3205"/>
      <c r="AB138" s="3205"/>
      <c r="AC138" s="3205"/>
      <c r="AD138" s="3205"/>
      <c r="AE138" s="3205"/>
      <c r="AF138" s="3205"/>
      <c r="AG138" s="3205"/>
      <c r="AH138" s="3205"/>
      <c r="AI138" s="3205"/>
      <c r="AJ138" s="3205"/>
      <c r="AK138" s="3205"/>
      <c r="AL138" s="3205"/>
      <c r="AM138" s="3205"/>
      <c r="AN138" s="3205"/>
      <c r="AO138" s="3205"/>
      <c r="AP138" s="3205"/>
      <c r="AQ138" s="3205"/>
      <c r="AR138" s="3205"/>
      <c r="AS138" s="3205"/>
      <c r="AT138" s="3205"/>
      <c r="AU138" s="3205"/>
      <c r="AV138" s="3205"/>
      <c r="AW138" s="3205"/>
      <c r="AX138" s="3268">
        <v>1.5</v>
      </c>
      <c r="AY138" s="3268"/>
      <c r="AZ138" s="3268"/>
      <c r="BA138" s="3268"/>
      <c r="BB138" s="3268"/>
      <c r="BC138" s="3268"/>
      <c r="BD138" s="3268"/>
      <c r="BE138" s="3268"/>
      <c r="BF138" s="3268"/>
      <c r="BG138" s="3268"/>
      <c r="BH138" s="3268"/>
      <c r="BI138" s="3268"/>
      <c r="BJ138" s="3268"/>
      <c r="BK138" s="3268"/>
      <c r="BL138" s="3268"/>
      <c r="BM138" s="3268"/>
      <c r="BN138" s="3268"/>
      <c r="BO138" s="3268"/>
      <c r="BP138" s="3268"/>
      <c r="BQ138" s="3268"/>
      <c r="BR138" s="3268"/>
      <c r="BS138" s="3268"/>
      <c r="BT138" s="3268"/>
      <c r="BU138" s="3268"/>
      <c r="BV138" s="3268"/>
      <c r="BW138" s="3268"/>
      <c r="BX138" s="3268"/>
      <c r="BY138" s="3268"/>
      <c r="BZ138" s="3268"/>
      <c r="CA138" s="3268"/>
      <c r="CB138" s="3268"/>
      <c r="CC138" s="3268"/>
      <c r="CD138" s="3268"/>
      <c r="CE138" s="3268"/>
      <c r="CF138" s="3603">
        <f t="shared" si="47"/>
        <v>1.5</v>
      </c>
    </row>
    <row r="139" spans="1:84" ht="37.5" customHeight="1">
      <c r="A139" s="1317" t="s">
        <v>1791</v>
      </c>
      <c r="B139" s="521" t="s">
        <v>1792</v>
      </c>
      <c r="C139" s="521" t="s">
        <v>1793</v>
      </c>
      <c r="D139" s="982" t="s">
        <v>65</v>
      </c>
      <c r="E139" s="982" t="s">
        <v>65</v>
      </c>
      <c r="F139" s="1353" t="s">
        <v>4723</v>
      </c>
      <c r="G139" s="354">
        <v>1</v>
      </c>
      <c r="H139" s="2318">
        <v>1000</v>
      </c>
      <c r="I139" s="2261">
        <f t="shared" si="60"/>
        <v>0.01</v>
      </c>
      <c r="J139" s="2318">
        <v>150</v>
      </c>
      <c r="K139" s="1348">
        <f t="shared" si="61"/>
        <v>1.5</v>
      </c>
      <c r="L139" s="792"/>
      <c r="M139" s="2257">
        <f>'Ab3. ASHA'!Q487</f>
        <v>0</v>
      </c>
      <c r="N139" s="3640">
        <v>1.5</v>
      </c>
      <c r="O139" s="3205"/>
      <c r="P139" s="3205"/>
      <c r="Q139" s="3205"/>
      <c r="R139" s="3205"/>
      <c r="S139" s="3205"/>
      <c r="T139" s="3205"/>
      <c r="U139" s="3205"/>
      <c r="V139" s="3205"/>
      <c r="W139" s="3205"/>
      <c r="X139" s="3205"/>
      <c r="Y139" s="3205"/>
      <c r="Z139" s="3205"/>
      <c r="AA139" s="3205"/>
      <c r="AB139" s="3205"/>
      <c r="AC139" s="3205"/>
      <c r="AD139" s="3205"/>
      <c r="AE139" s="3205"/>
      <c r="AF139" s="3205"/>
      <c r="AG139" s="3205"/>
      <c r="AH139" s="3205"/>
      <c r="AI139" s="3205"/>
      <c r="AJ139" s="3205"/>
      <c r="AK139" s="3205"/>
      <c r="AL139" s="3205"/>
      <c r="AM139" s="3205"/>
      <c r="AN139" s="3205"/>
      <c r="AO139" s="3205"/>
      <c r="AP139" s="3205"/>
      <c r="AQ139" s="3205"/>
      <c r="AR139" s="3205"/>
      <c r="AS139" s="3205"/>
      <c r="AT139" s="3205"/>
      <c r="AU139" s="3205"/>
      <c r="AV139" s="3205"/>
      <c r="AW139" s="3205"/>
      <c r="AX139" s="3268">
        <v>1.5</v>
      </c>
      <c r="AY139" s="3268"/>
      <c r="AZ139" s="3268"/>
      <c r="BA139" s="3268"/>
      <c r="BB139" s="3268"/>
      <c r="BC139" s="3268"/>
      <c r="BD139" s="3268"/>
      <c r="BE139" s="3268"/>
      <c r="BF139" s="3268"/>
      <c r="BG139" s="3268"/>
      <c r="BH139" s="3268"/>
      <c r="BI139" s="3268"/>
      <c r="BJ139" s="3268"/>
      <c r="BK139" s="3268"/>
      <c r="BL139" s="3268"/>
      <c r="BM139" s="3268"/>
      <c r="BN139" s="3268"/>
      <c r="BO139" s="3268"/>
      <c r="BP139" s="3268"/>
      <c r="BQ139" s="3268"/>
      <c r="BR139" s="3268"/>
      <c r="BS139" s="3268"/>
      <c r="BT139" s="3268"/>
      <c r="BU139" s="3268"/>
      <c r="BV139" s="3268"/>
      <c r="BW139" s="3268"/>
      <c r="BX139" s="3268"/>
      <c r="BY139" s="3268"/>
      <c r="BZ139" s="3268"/>
      <c r="CA139" s="3268"/>
      <c r="CB139" s="3268"/>
      <c r="CC139" s="3268"/>
      <c r="CD139" s="3268"/>
      <c r="CE139" s="3268"/>
      <c r="CF139" s="3603">
        <f t="shared" si="47"/>
        <v>1.5</v>
      </c>
    </row>
    <row r="140" spans="1:84" ht="37.5" customHeight="1">
      <c r="A140" s="1317" t="s">
        <v>1794</v>
      </c>
      <c r="B140" s="521" t="s">
        <v>1795</v>
      </c>
      <c r="C140" s="521" t="s">
        <v>4671</v>
      </c>
      <c r="D140" s="982" t="s">
        <v>65</v>
      </c>
      <c r="E140" s="982" t="s">
        <v>65</v>
      </c>
      <c r="F140" s="1353" t="s">
        <v>4723</v>
      </c>
      <c r="G140" s="354">
        <v>1</v>
      </c>
      <c r="H140" s="2318">
        <v>1000</v>
      </c>
      <c r="I140" s="2261">
        <f t="shared" si="60"/>
        <v>0.01</v>
      </c>
      <c r="J140" s="2318">
        <v>2000</v>
      </c>
      <c r="K140" s="1348">
        <f t="shared" si="61"/>
        <v>20</v>
      </c>
      <c r="L140" s="791" t="s">
        <v>5149</v>
      </c>
      <c r="M140" s="2257">
        <f>'Ab3. ASHA'!Q488</f>
        <v>0</v>
      </c>
      <c r="N140" s="3640">
        <v>20</v>
      </c>
      <c r="O140" s="3205"/>
      <c r="P140" s="3205"/>
      <c r="Q140" s="3205"/>
      <c r="R140" s="3205"/>
      <c r="S140" s="3205"/>
      <c r="T140" s="3205"/>
      <c r="U140" s="3205"/>
      <c r="V140" s="3205"/>
      <c r="W140" s="3205"/>
      <c r="X140" s="3205"/>
      <c r="Y140" s="3205"/>
      <c r="Z140" s="3205"/>
      <c r="AA140" s="3205"/>
      <c r="AB140" s="3205"/>
      <c r="AC140" s="3205"/>
      <c r="AD140" s="3205"/>
      <c r="AE140" s="3205"/>
      <c r="AF140" s="3205"/>
      <c r="AG140" s="3205"/>
      <c r="AH140" s="3205"/>
      <c r="AI140" s="3205"/>
      <c r="AJ140" s="3205"/>
      <c r="AK140" s="3205"/>
      <c r="AL140" s="3205"/>
      <c r="AM140" s="3205"/>
      <c r="AN140" s="3205"/>
      <c r="AO140" s="3205"/>
      <c r="AP140" s="3205"/>
      <c r="AQ140" s="3205"/>
      <c r="AR140" s="3205"/>
      <c r="AS140" s="3205"/>
      <c r="AT140" s="3205"/>
      <c r="AU140" s="3205"/>
      <c r="AV140" s="3205"/>
      <c r="AW140" s="3205"/>
      <c r="AX140" s="3268">
        <v>20</v>
      </c>
      <c r="AY140" s="3268"/>
      <c r="AZ140" s="3268"/>
      <c r="BA140" s="3268"/>
      <c r="BB140" s="3268"/>
      <c r="BC140" s="3268"/>
      <c r="BD140" s="3268"/>
      <c r="BE140" s="3268"/>
      <c r="BF140" s="3268"/>
      <c r="BG140" s="3268"/>
      <c r="BH140" s="3268"/>
      <c r="BI140" s="3268"/>
      <c r="BJ140" s="3268"/>
      <c r="BK140" s="3268"/>
      <c r="BL140" s="3268"/>
      <c r="BM140" s="3268"/>
      <c r="BN140" s="3268"/>
      <c r="BO140" s="3268"/>
      <c r="BP140" s="3268"/>
      <c r="BQ140" s="3268"/>
      <c r="BR140" s="3268"/>
      <c r="BS140" s="3268"/>
      <c r="BT140" s="3268"/>
      <c r="BU140" s="3268"/>
      <c r="BV140" s="3268"/>
      <c r="BW140" s="3268"/>
      <c r="BX140" s="3268"/>
      <c r="BY140" s="3268"/>
      <c r="BZ140" s="3268"/>
      <c r="CA140" s="3268"/>
      <c r="CB140" s="3268"/>
      <c r="CC140" s="3268"/>
      <c r="CD140" s="3268"/>
      <c r="CE140" s="3268"/>
      <c r="CF140" s="3603">
        <f t="shared" si="47"/>
        <v>20</v>
      </c>
    </row>
    <row r="141" spans="1:84" ht="37.5" customHeight="1">
      <c r="A141" s="1317" t="s">
        <v>2299</v>
      </c>
      <c r="B141" s="521" t="s">
        <v>1923</v>
      </c>
      <c r="C141" s="521" t="s">
        <v>4340</v>
      </c>
      <c r="D141" s="982" t="s">
        <v>65</v>
      </c>
      <c r="E141" s="982" t="s">
        <v>65</v>
      </c>
      <c r="F141" s="1304" t="s">
        <v>65</v>
      </c>
      <c r="G141" s="343">
        <v>1</v>
      </c>
      <c r="H141" s="2519">
        <v>100</v>
      </c>
      <c r="I141" s="2261">
        <f t="shared" si="60"/>
        <v>1E-3</v>
      </c>
      <c r="J141" s="2519">
        <v>6500000</v>
      </c>
      <c r="K141" s="1348">
        <f t="shared" si="61"/>
        <v>6500</v>
      </c>
      <c r="L141" s="791" t="s">
        <v>5480</v>
      </c>
      <c r="M141" s="2315" t="s">
        <v>5869</v>
      </c>
      <c r="N141" s="3659">
        <v>6500</v>
      </c>
      <c r="O141" s="3205"/>
      <c r="P141" s="3205"/>
      <c r="Q141" s="3205"/>
      <c r="R141" s="3205"/>
      <c r="S141" s="3205"/>
      <c r="T141" s="3205"/>
      <c r="U141" s="3205"/>
      <c r="V141" s="3205"/>
      <c r="W141" s="3205"/>
      <c r="X141" s="3205"/>
      <c r="Y141" s="3205"/>
      <c r="Z141" s="3205"/>
      <c r="AA141" s="3205"/>
      <c r="AB141" s="3205"/>
      <c r="AC141" s="3205"/>
      <c r="AD141" s="3205"/>
      <c r="AE141" s="3205"/>
      <c r="AF141" s="3205"/>
      <c r="AG141" s="3205"/>
      <c r="AH141" s="3205"/>
      <c r="AI141" s="3205"/>
      <c r="AJ141" s="3205"/>
      <c r="AK141" s="3205"/>
      <c r="AL141" s="3205"/>
      <c r="AM141" s="3205"/>
      <c r="AN141" s="3205"/>
      <c r="AO141" s="3205"/>
      <c r="AP141" s="3205"/>
      <c r="AQ141" s="3205"/>
      <c r="AR141" s="3205"/>
      <c r="AS141" s="3205"/>
      <c r="AT141" s="3205"/>
      <c r="AU141" s="3205"/>
      <c r="AV141" s="3205"/>
      <c r="AW141" s="3205"/>
      <c r="AX141" s="3268">
        <v>6500</v>
      </c>
      <c r="AY141" s="3268"/>
      <c r="AZ141" s="3268"/>
      <c r="BA141" s="3268"/>
      <c r="BB141" s="3268"/>
      <c r="BC141" s="3268"/>
      <c r="BD141" s="3268"/>
      <c r="BE141" s="3268"/>
      <c r="BF141" s="3268"/>
      <c r="BG141" s="3268"/>
      <c r="BH141" s="3268"/>
      <c r="BI141" s="3268"/>
      <c r="BJ141" s="3268"/>
      <c r="BK141" s="3268"/>
      <c r="BL141" s="3268"/>
      <c r="BM141" s="3268"/>
      <c r="BN141" s="3268"/>
      <c r="BO141" s="3268"/>
      <c r="BP141" s="3268"/>
      <c r="BQ141" s="3268"/>
      <c r="BR141" s="3268"/>
      <c r="BS141" s="3268"/>
      <c r="BT141" s="3268"/>
      <c r="BU141" s="3268"/>
      <c r="BV141" s="3268"/>
      <c r="BW141" s="3268"/>
      <c r="BX141" s="3268"/>
      <c r="BY141" s="3268"/>
      <c r="BZ141" s="3268"/>
      <c r="CA141" s="3268"/>
      <c r="CB141" s="3268"/>
      <c r="CC141" s="3268"/>
      <c r="CD141" s="3268"/>
      <c r="CE141" s="3268"/>
      <c r="CF141" s="3603">
        <f t="shared" si="47"/>
        <v>6500</v>
      </c>
    </row>
    <row r="142" spans="1:84" ht="37.5" customHeight="1">
      <c r="A142" s="1317" t="s">
        <v>1846</v>
      </c>
      <c r="B142" s="1312" t="s">
        <v>1847</v>
      </c>
      <c r="C142" s="1312" t="s">
        <v>1848</v>
      </c>
      <c r="D142" s="2254" t="s">
        <v>4219</v>
      </c>
      <c r="E142" s="2254" t="s">
        <v>109</v>
      </c>
      <c r="F142" s="1304" t="s">
        <v>4709</v>
      </c>
      <c r="G142" s="2554">
        <v>7</v>
      </c>
      <c r="H142" s="279">
        <v>30000</v>
      </c>
      <c r="I142" s="2261">
        <f t="shared" ref="I142:I143" si="62">H142/100000</f>
        <v>0.3</v>
      </c>
      <c r="J142" s="279">
        <v>7</v>
      </c>
      <c r="K142" s="1348">
        <f t="shared" ref="K142:K143" si="63">J142*I142</f>
        <v>2.1</v>
      </c>
      <c r="L142" s="2555" t="s">
        <v>5288</v>
      </c>
      <c r="M142" s="2257">
        <f>'Abs9. NVBDCP'!Q453</f>
        <v>0</v>
      </c>
      <c r="N142" s="3640">
        <v>2.1</v>
      </c>
      <c r="O142" s="3205"/>
      <c r="P142" s="3205"/>
      <c r="Q142" s="3205"/>
      <c r="R142" s="3205"/>
      <c r="S142" s="3205"/>
      <c r="T142" s="3205"/>
      <c r="U142" s="3205"/>
      <c r="V142" s="3205"/>
      <c r="W142" s="3205"/>
      <c r="X142" s="3205"/>
      <c r="Y142" s="3205"/>
      <c r="Z142" s="3205"/>
      <c r="AA142" s="3205"/>
      <c r="AB142" s="3205"/>
      <c r="AC142" s="3205"/>
      <c r="AD142" s="3205"/>
      <c r="AE142" s="3205"/>
      <c r="AF142" s="3205"/>
      <c r="AG142" s="3205"/>
      <c r="AH142" s="3205"/>
      <c r="AI142" s="3205"/>
      <c r="AJ142" s="3205"/>
      <c r="AK142" s="3205"/>
      <c r="AL142" s="3205"/>
      <c r="AM142" s="3205"/>
      <c r="AN142" s="3205"/>
      <c r="AO142" s="3205"/>
      <c r="AP142" s="3205"/>
      <c r="AQ142" s="3205"/>
      <c r="AR142" s="3205"/>
      <c r="AS142" s="3205"/>
      <c r="AT142" s="3205"/>
      <c r="AU142" s="3205"/>
      <c r="AV142" s="3205"/>
      <c r="AW142" s="3205"/>
      <c r="AX142" s="3268"/>
      <c r="AY142" s="3268"/>
      <c r="AZ142" s="3268"/>
      <c r="BA142" s="3268"/>
      <c r="BB142" s="3268"/>
      <c r="BC142" s="3268"/>
      <c r="BD142" s="3268"/>
      <c r="BE142" s="3268"/>
      <c r="BF142" s="3268"/>
      <c r="BG142" s="3268"/>
      <c r="BH142" s="3268"/>
      <c r="BI142" s="3268">
        <v>0.6</v>
      </c>
      <c r="BJ142" s="3268"/>
      <c r="BK142" s="3268">
        <v>0.3</v>
      </c>
      <c r="BL142" s="3268">
        <v>0.3</v>
      </c>
      <c r="BM142" s="3268"/>
      <c r="BN142" s="3268"/>
      <c r="BO142" s="3268"/>
      <c r="BP142" s="3268"/>
      <c r="BQ142" s="3268"/>
      <c r="BR142" s="3268">
        <v>0.3</v>
      </c>
      <c r="BS142" s="3268"/>
      <c r="BT142" s="3268"/>
      <c r="BU142" s="3268"/>
      <c r="BV142" s="3268">
        <v>0.3</v>
      </c>
      <c r="BW142" s="3268"/>
      <c r="BX142" s="3268"/>
      <c r="BY142" s="3268"/>
      <c r="BZ142" s="3268">
        <v>0.3</v>
      </c>
      <c r="CA142" s="3268"/>
      <c r="CB142" s="3268"/>
      <c r="CC142" s="3268"/>
      <c r="CD142" s="3268"/>
      <c r="CE142" s="3268"/>
      <c r="CF142" s="3603">
        <f t="shared" si="47"/>
        <v>2.1</v>
      </c>
    </row>
    <row r="143" spans="1:84" ht="37.5" customHeight="1">
      <c r="A143" s="1317" t="s">
        <v>1861</v>
      </c>
      <c r="B143" s="1355" t="s">
        <v>1862</v>
      </c>
      <c r="C143" s="1355" t="s">
        <v>1863</v>
      </c>
      <c r="D143" s="2254" t="s">
        <v>4219</v>
      </c>
      <c r="E143" s="2254" t="s">
        <v>109</v>
      </c>
      <c r="F143" s="1304" t="s">
        <v>1312</v>
      </c>
      <c r="G143" s="354"/>
      <c r="H143" s="283">
        <v>11000</v>
      </c>
      <c r="I143" s="2261">
        <f t="shared" si="62"/>
        <v>0.11</v>
      </c>
      <c r="J143" s="283">
        <v>21</v>
      </c>
      <c r="K143" s="1348">
        <f t="shared" si="63"/>
        <v>2.31</v>
      </c>
      <c r="L143" s="2555" t="s">
        <v>5455</v>
      </c>
      <c r="M143" s="2257">
        <f>'Abs9. NVBDCP'!Q458</f>
        <v>0</v>
      </c>
      <c r="N143" s="3640">
        <v>2.31</v>
      </c>
      <c r="O143" s="3205"/>
      <c r="P143" s="3205"/>
      <c r="Q143" s="3205"/>
      <c r="R143" s="3205"/>
      <c r="S143" s="3205"/>
      <c r="T143" s="3205"/>
      <c r="U143" s="3205"/>
      <c r="V143" s="3205"/>
      <c r="W143" s="3205"/>
      <c r="X143" s="3205"/>
      <c r="Y143" s="3205"/>
      <c r="Z143" s="3205"/>
      <c r="AA143" s="3205"/>
      <c r="AB143" s="3205"/>
      <c r="AC143" s="3205"/>
      <c r="AD143" s="3205"/>
      <c r="AE143" s="3205"/>
      <c r="AF143" s="3205"/>
      <c r="AG143" s="3205"/>
      <c r="AH143" s="3205"/>
      <c r="AI143" s="3205"/>
      <c r="AJ143" s="3205"/>
      <c r="AK143" s="3205"/>
      <c r="AL143" s="3205"/>
      <c r="AM143" s="3205"/>
      <c r="AN143" s="3205"/>
      <c r="AO143" s="3205"/>
      <c r="AP143" s="3205"/>
      <c r="AQ143" s="3205"/>
      <c r="AR143" s="3205"/>
      <c r="AS143" s="3205"/>
      <c r="AT143" s="3205"/>
      <c r="AU143" s="3205"/>
      <c r="AV143" s="3205"/>
      <c r="AW143" s="3205"/>
      <c r="AX143" s="3268">
        <v>2.31</v>
      </c>
      <c r="AY143" s="3268"/>
      <c r="AZ143" s="3268"/>
      <c r="BA143" s="3268"/>
      <c r="BB143" s="3268"/>
      <c r="BC143" s="3268"/>
      <c r="BD143" s="3268"/>
      <c r="BE143" s="3268"/>
      <c r="BF143" s="3268"/>
      <c r="BG143" s="3268"/>
      <c r="BH143" s="3268"/>
      <c r="BI143" s="3268"/>
      <c r="BJ143" s="3268"/>
      <c r="BK143" s="3268"/>
      <c r="BL143" s="3268"/>
      <c r="BM143" s="3268"/>
      <c r="BN143" s="3268"/>
      <c r="BO143" s="3268"/>
      <c r="BP143" s="3268"/>
      <c r="BQ143" s="3268"/>
      <c r="BR143" s="3268"/>
      <c r="BS143" s="3268"/>
      <c r="BT143" s="3268"/>
      <c r="BU143" s="3268"/>
      <c r="BV143" s="3268"/>
      <c r="BW143" s="3268"/>
      <c r="BX143" s="3268"/>
      <c r="BY143" s="3268"/>
      <c r="BZ143" s="3268"/>
      <c r="CA143" s="3268"/>
      <c r="CB143" s="3268"/>
      <c r="CC143" s="3268"/>
      <c r="CD143" s="3268"/>
      <c r="CE143" s="3268"/>
      <c r="CF143" s="3603">
        <f t="shared" si="47"/>
        <v>2.31</v>
      </c>
    </row>
    <row r="144" spans="1:84" ht="37.5" customHeight="1">
      <c r="A144" s="1317" t="s">
        <v>1878</v>
      </c>
      <c r="B144" s="1355" t="s">
        <v>1879</v>
      </c>
      <c r="C144" s="1355" t="s">
        <v>1880</v>
      </c>
      <c r="D144" s="2254" t="s">
        <v>4219</v>
      </c>
      <c r="E144" s="1304" t="s">
        <v>4525</v>
      </c>
      <c r="F144" s="1304" t="s">
        <v>4525</v>
      </c>
      <c r="G144" s="354">
        <v>981</v>
      </c>
      <c r="H144" s="2345">
        <v>10194</v>
      </c>
      <c r="I144" s="2261">
        <f t="shared" ref="I144:I149" si="64">H144/100000</f>
        <v>0.10194</v>
      </c>
      <c r="J144" s="2345">
        <v>981</v>
      </c>
      <c r="K144" s="1348">
        <f t="shared" ref="K144:K149" si="65">J144*I144</f>
        <v>100.00314</v>
      </c>
      <c r="L144" s="791"/>
      <c r="M144" s="3188">
        <f>'Abs11. NTEP'!Q425</f>
        <v>0</v>
      </c>
      <c r="N144" s="3640">
        <v>100</v>
      </c>
      <c r="O144" s="3205"/>
      <c r="P144" s="3205"/>
      <c r="Q144" s="3205"/>
      <c r="R144" s="3205"/>
      <c r="S144" s="3205"/>
      <c r="T144" s="3205"/>
      <c r="U144" s="3205"/>
      <c r="V144" s="3205"/>
      <c r="W144" s="3205"/>
      <c r="X144" s="3205"/>
      <c r="Y144" s="3205"/>
      <c r="Z144" s="3205"/>
      <c r="AA144" s="3205"/>
      <c r="AB144" s="3205"/>
      <c r="AC144" s="3205"/>
      <c r="AD144" s="3205"/>
      <c r="AE144" s="3205"/>
      <c r="AF144" s="3205"/>
      <c r="AG144" s="3205"/>
      <c r="AH144" s="3205"/>
      <c r="AI144" s="3205"/>
      <c r="AJ144" s="3205"/>
      <c r="AK144" s="3205"/>
      <c r="AL144" s="3205"/>
      <c r="AM144" s="3205"/>
      <c r="AN144" s="3205"/>
      <c r="AO144" s="3205"/>
      <c r="AP144" s="3205"/>
      <c r="AQ144" s="3205"/>
      <c r="AR144" s="3205"/>
      <c r="AS144" s="3205"/>
      <c r="AT144" s="3205"/>
      <c r="AU144" s="3205"/>
      <c r="AV144" s="3205"/>
      <c r="AW144" s="3205"/>
      <c r="AX144" s="3268"/>
      <c r="AY144" s="3268">
        <v>0.7</v>
      </c>
      <c r="AZ144" s="3268">
        <v>0.8</v>
      </c>
      <c r="BA144" s="3268">
        <v>0.8</v>
      </c>
      <c r="BB144" s="3268">
        <v>1.2</v>
      </c>
      <c r="BC144" s="3268">
        <v>0.5</v>
      </c>
      <c r="BD144" s="3268">
        <v>0.8</v>
      </c>
      <c r="BE144" s="3268">
        <v>0.5</v>
      </c>
      <c r="BF144" s="3268">
        <v>1.2</v>
      </c>
      <c r="BG144" s="3268">
        <v>1.2</v>
      </c>
      <c r="BH144" s="3268">
        <v>0.8</v>
      </c>
      <c r="BI144" s="3268">
        <v>0.8</v>
      </c>
      <c r="BJ144" s="3268">
        <v>0.7</v>
      </c>
      <c r="BK144" s="3268"/>
      <c r="BL144" s="3268"/>
      <c r="BM144" s="3268"/>
      <c r="BN144" s="3268"/>
      <c r="BO144" s="3268"/>
      <c r="BP144" s="3268"/>
      <c r="BQ144" s="3268"/>
      <c r="BR144" s="3268"/>
      <c r="BS144" s="3268"/>
      <c r="BT144" s="3268"/>
      <c r="BU144" s="3268"/>
      <c r="BV144" s="3268"/>
      <c r="BW144" s="3268"/>
      <c r="BX144" s="3268"/>
      <c r="BY144" s="3268"/>
      <c r="BZ144" s="3268"/>
      <c r="CA144" s="3268">
        <v>90</v>
      </c>
      <c r="CB144" s="3268"/>
      <c r="CC144" s="3268"/>
      <c r="CD144" s="3268"/>
      <c r="CE144" s="3268"/>
      <c r="CF144" s="3603">
        <f t="shared" si="47"/>
        <v>100</v>
      </c>
    </row>
    <row r="145" spans="1:84" ht="24.75" customHeight="1">
      <c r="A145" s="1317" t="s">
        <v>1881</v>
      </c>
      <c r="B145" s="1355" t="s">
        <v>1882</v>
      </c>
      <c r="C145" s="1355" t="s">
        <v>15</v>
      </c>
      <c r="D145" s="2254" t="s">
        <v>4219</v>
      </c>
      <c r="E145" s="1304" t="s">
        <v>4525</v>
      </c>
      <c r="F145" s="1304" t="s">
        <v>4525</v>
      </c>
      <c r="G145" s="354">
        <v>12</v>
      </c>
      <c r="H145" s="2345">
        <v>100000</v>
      </c>
      <c r="I145" s="2261">
        <f t="shared" si="64"/>
        <v>1</v>
      </c>
      <c r="J145" s="283">
        <v>10</v>
      </c>
      <c r="K145" s="1348">
        <f t="shared" si="65"/>
        <v>10</v>
      </c>
      <c r="L145" s="2357" t="s">
        <v>5168</v>
      </c>
      <c r="M145" s="2257">
        <f>'Abs11. NTEP'!Q426</f>
        <v>0</v>
      </c>
      <c r="N145" s="3640">
        <v>10</v>
      </c>
      <c r="O145" s="3205"/>
      <c r="P145" s="3205"/>
      <c r="Q145" s="3205"/>
      <c r="R145" s="3205"/>
      <c r="S145" s="3205"/>
      <c r="T145" s="3205"/>
      <c r="U145" s="3205"/>
      <c r="V145" s="3205"/>
      <c r="W145" s="3205"/>
      <c r="X145" s="3205"/>
      <c r="Y145" s="3205"/>
      <c r="Z145" s="3205"/>
      <c r="AA145" s="3205"/>
      <c r="AB145" s="3205"/>
      <c r="AC145" s="3205"/>
      <c r="AD145" s="3205"/>
      <c r="AE145" s="3205"/>
      <c r="AF145" s="3205"/>
      <c r="AG145" s="3205"/>
      <c r="AH145" s="3205"/>
      <c r="AI145" s="3205"/>
      <c r="AJ145" s="3205"/>
      <c r="AK145" s="3205"/>
      <c r="AL145" s="3205"/>
      <c r="AM145" s="3205"/>
      <c r="AN145" s="3205"/>
      <c r="AO145" s="3205"/>
      <c r="AP145" s="3205"/>
      <c r="AQ145" s="3205"/>
      <c r="AR145" s="3205"/>
      <c r="AS145" s="3205"/>
      <c r="AT145" s="3205"/>
      <c r="AU145" s="3205"/>
      <c r="AV145" s="3205"/>
      <c r="AW145" s="3205"/>
      <c r="AX145" s="3268"/>
      <c r="AY145" s="3268"/>
      <c r="AZ145" s="3268"/>
      <c r="BA145" s="3268"/>
      <c r="BB145" s="3268"/>
      <c r="BC145" s="3268"/>
      <c r="BD145" s="3268"/>
      <c r="BE145" s="3268"/>
      <c r="BF145" s="3268"/>
      <c r="BG145" s="3268"/>
      <c r="BH145" s="3268"/>
      <c r="BI145" s="3268"/>
      <c r="BJ145" s="3268"/>
      <c r="BK145" s="3268"/>
      <c r="BL145" s="3268"/>
      <c r="BM145" s="3268"/>
      <c r="BN145" s="3268"/>
      <c r="BO145" s="3268"/>
      <c r="BP145" s="3268"/>
      <c r="BQ145" s="3268"/>
      <c r="BR145" s="3268"/>
      <c r="BS145" s="3268"/>
      <c r="BT145" s="3268"/>
      <c r="BU145" s="3268"/>
      <c r="BV145" s="3268"/>
      <c r="BW145" s="3268"/>
      <c r="BX145" s="3268"/>
      <c r="BY145" s="3268"/>
      <c r="BZ145" s="3268"/>
      <c r="CA145" s="3268">
        <v>10</v>
      </c>
      <c r="CB145" s="3268"/>
      <c r="CC145" s="3268"/>
      <c r="CD145" s="3268"/>
      <c r="CE145" s="3268"/>
      <c r="CF145" s="3603">
        <f t="shared" si="47"/>
        <v>10</v>
      </c>
    </row>
    <row r="146" spans="1:84" ht="23.25" customHeight="1">
      <c r="A146" s="2557" t="s">
        <v>3234</v>
      </c>
      <c r="B146" s="521"/>
      <c r="C146" s="586" t="s">
        <v>3229</v>
      </c>
      <c r="D146" s="2254" t="s">
        <v>4219</v>
      </c>
      <c r="E146" s="1304" t="s">
        <v>3223</v>
      </c>
      <c r="F146" s="1304" t="s">
        <v>3223</v>
      </c>
      <c r="G146" s="2554">
        <v>1</v>
      </c>
      <c r="H146" s="279">
        <v>1976000</v>
      </c>
      <c r="I146" s="2261">
        <f t="shared" si="64"/>
        <v>19.760000000000002</v>
      </c>
      <c r="J146" s="283">
        <v>1</v>
      </c>
      <c r="K146" s="1348">
        <f t="shared" si="65"/>
        <v>19.760000000000002</v>
      </c>
      <c r="L146" s="2555" t="s">
        <v>5289</v>
      </c>
      <c r="M146" s="2257">
        <f>'Abs12. NVHCP'!Q420</f>
        <v>0</v>
      </c>
      <c r="N146" s="3640">
        <v>19.760000000000002</v>
      </c>
      <c r="O146" s="3205"/>
      <c r="P146" s="3205"/>
      <c r="Q146" s="3205"/>
      <c r="R146" s="3205"/>
      <c r="S146" s="3205"/>
      <c r="T146" s="3205"/>
      <c r="U146" s="3205"/>
      <c r="V146" s="3205"/>
      <c r="W146" s="3205"/>
      <c r="X146" s="3205"/>
      <c r="Y146" s="3205"/>
      <c r="Z146" s="3205"/>
      <c r="AA146" s="3205"/>
      <c r="AB146" s="3205"/>
      <c r="AC146" s="3205"/>
      <c r="AD146" s="3205"/>
      <c r="AE146" s="3205"/>
      <c r="AF146" s="3205"/>
      <c r="AG146" s="3205"/>
      <c r="AH146" s="3205"/>
      <c r="AI146" s="3205"/>
      <c r="AJ146" s="3205"/>
      <c r="AK146" s="3205"/>
      <c r="AL146" s="3205"/>
      <c r="AM146" s="3205"/>
      <c r="AN146" s="3205"/>
      <c r="AO146" s="3205"/>
      <c r="AP146" s="3205"/>
      <c r="AQ146" s="3205"/>
      <c r="AR146" s="3205"/>
      <c r="AS146" s="3205"/>
      <c r="AT146" s="3205"/>
      <c r="AU146" s="3205"/>
      <c r="AV146" s="3205"/>
      <c r="AW146" s="3205"/>
      <c r="AX146" s="3268">
        <v>8.76</v>
      </c>
      <c r="AY146" s="3268"/>
      <c r="AZ146" s="3268"/>
      <c r="BA146" s="3268"/>
      <c r="BB146" s="3268"/>
      <c r="BC146" s="3268"/>
      <c r="BD146" s="3268"/>
      <c r="BE146" s="3268"/>
      <c r="BF146" s="3268"/>
      <c r="BG146" s="3268"/>
      <c r="BH146" s="3268"/>
      <c r="BI146" s="3268"/>
      <c r="BJ146" s="3268"/>
      <c r="BK146" s="3268">
        <v>3</v>
      </c>
      <c r="BL146" s="3268">
        <v>3</v>
      </c>
      <c r="BM146" s="3268">
        <v>1</v>
      </c>
      <c r="BN146" s="3268">
        <v>1</v>
      </c>
      <c r="BO146" s="3268"/>
      <c r="BP146" s="3268">
        <v>1</v>
      </c>
      <c r="BQ146" s="3268"/>
      <c r="BR146" s="3268"/>
      <c r="BS146" s="3268"/>
      <c r="BT146" s="3268"/>
      <c r="BU146" s="3268"/>
      <c r="BV146" s="3268">
        <v>2</v>
      </c>
      <c r="BW146" s="3268"/>
      <c r="BX146" s="3268"/>
      <c r="BY146" s="3268"/>
      <c r="BZ146" s="3268"/>
      <c r="CA146" s="3268"/>
      <c r="CB146" s="3268"/>
      <c r="CC146" s="3268"/>
      <c r="CD146" s="3268"/>
      <c r="CE146" s="3268"/>
      <c r="CF146" s="3603">
        <f t="shared" si="47"/>
        <v>19.759999999999998</v>
      </c>
    </row>
    <row r="147" spans="1:84" ht="21" customHeight="1">
      <c r="A147" s="2557" t="s">
        <v>3235</v>
      </c>
      <c r="B147" s="521"/>
      <c r="C147" s="586" t="s">
        <v>3231</v>
      </c>
      <c r="D147" s="2254" t="s">
        <v>4219</v>
      </c>
      <c r="E147" s="1304" t="s">
        <v>3223</v>
      </c>
      <c r="F147" s="1304" t="s">
        <v>3223</v>
      </c>
      <c r="G147" s="2554">
        <v>1</v>
      </c>
      <c r="H147" s="279">
        <v>2442000</v>
      </c>
      <c r="I147" s="2261">
        <f t="shared" si="64"/>
        <v>24.42</v>
      </c>
      <c r="J147" s="283">
        <v>1</v>
      </c>
      <c r="K147" s="1348">
        <f t="shared" si="65"/>
        <v>24.42</v>
      </c>
      <c r="L147" s="2555" t="s">
        <v>5289</v>
      </c>
      <c r="M147" s="2257">
        <f>'Abs12. NVHCP'!Q421</f>
        <v>0</v>
      </c>
      <c r="N147" s="3640">
        <v>24.42</v>
      </c>
      <c r="O147" s="3205"/>
      <c r="P147" s="3205"/>
      <c r="Q147" s="3205"/>
      <c r="R147" s="3205"/>
      <c r="S147" s="3205"/>
      <c r="T147" s="3205"/>
      <c r="U147" s="3205"/>
      <c r="V147" s="3205"/>
      <c r="W147" s="3205"/>
      <c r="X147" s="3205"/>
      <c r="Y147" s="3205"/>
      <c r="Z147" s="3205"/>
      <c r="AA147" s="3205"/>
      <c r="AB147" s="3205"/>
      <c r="AC147" s="3205"/>
      <c r="AD147" s="3205"/>
      <c r="AE147" s="3205"/>
      <c r="AF147" s="3205"/>
      <c r="AG147" s="3205"/>
      <c r="AH147" s="3205"/>
      <c r="AI147" s="3205"/>
      <c r="AJ147" s="3205"/>
      <c r="AK147" s="3205"/>
      <c r="AL147" s="3205"/>
      <c r="AM147" s="3205"/>
      <c r="AN147" s="3205"/>
      <c r="AO147" s="3205"/>
      <c r="AP147" s="3205"/>
      <c r="AQ147" s="3205"/>
      <c r="AR147" s="3205"/>
      <c r="AS147" s="3205"/>
      <c r="AT147" s="3205"/>
      <c r="AU147" s="3205"/>
      <c r="AV147" s="3205"/>
      <c r="AW147" s="3205"/>
      <c r="AX147" s="3268">
        <v>5.42</v>
      </c>
      <c r="AY147" s="3268"/>
      <c r="AZ147" s="3268"/>
      <c r="BA147" s="3268"/>
      <c r="BB147" s="3268"/>
      <c r="BC147" s="3268">
        <v>0.5</v>
      </c>
      <c r="BD147" s="3268"/>
      <c r="BE147" s="3268">
        <v>0.5</v>
      </c>
      <c r="BF147" s="3268"/>
      <c r="BG147" s="3268"/>
      <c r="BH147" s="3268"/>
      <c r="BI147" s="3268"/>
      <c r="BJ147" s="3268"/>
      <c r="BK147" s="3268">
        <v>2</v>
      </c>
      <c r="BL147" s="3268">
        <v>2</v>
      </c>
      <c r="BM147" s="3268">
        <v>1</v>
      </c>
      <c r="BN147" s="3268">
        <v>1</v>
      </c>
      <c r="BO147" s="3268"/>
      <c r="BP147" s="3268">
        <v>1</v>
      </c>
      <c r="BQ147" s="3268"/>
      <c r="BR147" s="3268">
        <v>1</v>
      </c>
      <c r="BS147" s="3268">
        <v>2</v>
      </c>
      <c r="BT147" s="3268"/>
      <c r="BU147" s="3268">
        <v>1</v>
      </c>
      <c r="BV147" s="3268">
        <v>2</v>
      </c>
      <c r="BW147" s="3268">
        <v>2</v>
      </c>
      <c r="BX147" s="3268"/>
      <c r="BY147" s="3268"/>
      <c r="BZ147" s="3268">
        <v>1</v>
      </c>
      <c r="CA147" s="3268"/>
      <c r="CB147" s="3268">
        <v>2</v>
      </c>
      <c r="CC147" s="3268"/>
      <c r="CD147" s="3268"/>
      <c r="CE147" s="3268"/>
      <c r="CF147" s="3603">
        <f t="shared" si="47"/>
        <v>24.42</v>
      </c>
    </row>
    <row r="148" spans="1:84" ht="37.5" customHeight="1">
      <c r="A148" s="1317" t="s">
        <v>1887</v>
      </c>
      <c r="B148" s="1312" t="s">
        <v>1888</v>
      </c>
      <c r="C148" s="1312" t="s">
        <v>3841</v>
      </c>
      <c r="D148" s="1699" t="s">
        <v>80</v>
      </c>
      <c r="E148" s="1699" t="s">
        <v>65</v>
      </c>
      <c r="F148" s="1304" t="s">
        <v>81</v>
      </c>
      <c r="G148" s="343"/>
      <c r="H148" s="283">
        <v>1000</v>
      </c>
      <c r="I148" s="2261">
        <f t="shared" si="64"/>
        <v>0.01</v>
      </c>
      <c r="J148" s="283">
        <v>3000</v>
      </c>
      <c r="K148" s="1348">
        <f t="shared" si="65"/>
        <v>30</v>
      </c>
      <c r="L148" s="791" t="s">
        <v>5233</v>
      </c>
      <c r="M148" s="2257">
        <f>'Abs15. NPCB'!Q422</f>
        <v>0</v>
      </c>
      <c r="N148" s="3640">
        <v>30</v>
      </c>
      <c r="O148" s="3205"/>
      <c r="P148" s="3205"/>
      <c r="Q148" s="3205"/>
      <c r="R148" s="3205"/>
      <c r="S148" s="3205"/>
      <c r="T148" s="3205"/>
      <c r="U148" s="3205"/>
      <c r="V148" s="3205"/>
      <c r="W148" s="3205"/>
      <c r="X148" s="3205"/>
      <c r="Y148" s="3205"/>
      <c r="Z148" s="3205"/>
      <c r="AA148" s="3205"/>
      <c r="AB148" s="3205"/>
      <c r="AC148" s="3205"/>
      <c r="AD148" s="3205"/>
      <c r="AE148" s="3205"/>
      <c r="AF148" s="3205"/>
      <c r="AG148" s="3205"/>
      <c r="AH148" s="3205"/>
      <c r="AI148" s="3205"/>
      <c r="AJ148" s="3205"/>
      <c r="AK148" s="3205"/>
      <c r="AL148" s="3205"/>
      <c r="AM148" s="3205"/>
      <c r="AN148" s="3205"/>
      <c r="AO148" s="3205"/>
      <c r="AP148" s="3205"/>
      <c r="AQ148" s="3205"/>
      <c r="AR148" s="3205"/>
      <c r="AS148" s="3205"/>
      <c r="AT148" s="3205"/>
      <c r="AU148" s="3205"/>
      <c r="AV148" s="3205"/>
      <c r="AW148" s="3205"/>
      <c r="AX148" s="3268">
        <v>0</v>
      </c>
      <c r="AY148" s="3268">
        <v>0</v>
      </c>
      <c r="AZ148" s="3268">
        <v>0</v>
      </c>
      <c r="BA148" s="3268">
        <v>0</v>
      </c>
      <c r="BB148" s="3268">
        <v>2</v>
      </c>
      <c r="BC148" s="3268">
        <v>5.75</v>
      </c>
      <c r="BD148" s="3268">
        <v>0</v>
      </c>
      <c r="BE148" s="3268">
        <v>0</v>
      </c>
      <c r="BF148" s="3268">
        <v>3</v>
      </c>
      <c r="BG148" s="3268">
        <v>0.5</v>
      </c>
      <c r="BH148" s="3268">
        <v>0.75</v>
      </c>
      <c r="BI148" s="3268">
        <v>1</v>
      </c>
      <c r="BJ148" s="3268">
        <v>0</v>
      </c>
      <c r="BK148" s="3268"/>
      <c r="BL148" s="3268"/>
      <c r="BM148" s="3268">
        <v>2</v>
      </c>
      <c r="BN148" s="3268">
        <v>1</v>
      </c>
      <c r="BO148" s="3268"/>
      <c r="BP148" s="3268">
        <v>1</v>
      </c>
      <c r="BQ148" s="3268"/>
      <c r="BR148" s="3268">
        <v>1</v>
      </c>
      <c r="BS148" s="3268">
        <v>1</v>
      </c>
      <c r="BT148" s="3268">
        <v>0.5</v>
      </c>
      <c r="BU148" s="3268">
        <v>2</v>
      </c>
      <c r="BV148" s="3268">
        <v>3</v>
      </c>
      <c r="BW148" s="3268">
        <v>1.5</v>
      </c>
      <c r="BX148" s="3268">
        <v>0.5</v>
      </c>
      <c r="BY148" s="3268">
        <v>0.5</v>
      </c>
      <c r="BZ148" s="3268">
        <v>1</v>
      </c>
      <c r="CA148" s="3268"/>
      <c r="CB148" s="3268">
        <v>2</v>
      </c>
      <c r="CC148" s="3268"/>
      <c r="CD148" s="3268"/>
      <c r="CE148" s="3268"/>
      <c r="CF148" s="3603">
        <f t="shared" si="47"/>
        <v>30</v>
      </c>
    </row>
    <row r="149" spans="1:84" ht="37.5" customHeight="1">
      <c r="A149" s="1317" t="s">
        <v>1893</v>
      </c>
      <c r="B149" s="1312"/>
      <c r="C149" s="2456"/>
      <c r="D149" s="1699" t="s">
        <v>80</v>
      </c>
      <c r="E149" s="3740" t="s">
        <v>65</v>
      </c>
      <c r="F149" s="1304" t="s">
        <v>145</v>
      </c>
      <c r="G149" s="354"/>
      <c r="H149" s="2448">
        <v>2500000</v>
      </c>
      <c r="I149" s="2261">
        <f t="shared" si="64"/>
        <v>25</v>
      </c>
      <c r="J149" s="283">
        <v>1</v>
      </c>
      <c r="K149" s="1348">
        <f t="shared" si="65"/>
        <v>25</v>
      </c>
      <c r="L149" s="791" t="s">
        <v>5234</v>
      </c>
      <c r="M149" s="2257">
        <f>'Abs16. NMHP'!Q416</f>
        <v>0</v>
      </c>
      <c r="N149" s="3640">
        <v>25</v>
      </c>
      <c r="O149" s="3205"/>
      <c r="P149" s="3205"/>
      <c r="Q149" s="3205"/>
      <c r="R149" s="3205"/>
      <c r="S149" s="3205"/>
      <c r="T149" s="3205"/>
      <c r="U149" s="3205"/>
      <c r="V149" s="3205"/>
      <c r="W149" s="3205"/>
      <c r="X149" s="3205"/>
      <c r="Y149" s="3205"/>
      <c r="Z149" s="3205"/>
      <c r="AA149" s="3205"/>
      <c r="AB149" s="3205"/>
      <c r="AC149" s="3205"/>
      <c r="AD149" s="3205"/>
      <c r="AE149" s="3205"/>
      <c r="AF149" s="3205"/>
      <c r="AG149" s="3205"/>
      <c r="AH149" s="3205"/>
      <c r="AI149" s="3205"/>
      <c r="AJ149" s="3205"/>
      <c r="AK149" s="3205"/>
      <c r="AL149" s="3205"/>
      <c r="AM149" s="3205"/>
      <c r="AN149" s="3205"/>
      <c r="AO149" s="3205"/>
      <c r="AP149" s="3205"/>
      <c r="AQ149" s="3205"/>
      <c r="AR149" s="3205"/>
      <c r="AS149" s="3205"/>
      <c r="AT149" s="3205"/>
      <c r="AU149" s="3205"/>
      <c r="AV149" s="3205"/>
      <c r="AW149" s="3205"/>
      <c r="AX149" s="3268">
        <v>25</v>
      </c>
      <c r="AY149" s="3268"/>
      <c r="AZ149" s="3268"/>
      <c r="BA149" s="3268"/>
      <c r="BB149" s="3268"/>
      <c r="BC149" s="3268"/>
      <c r="BD149" s="3268"/>
      <c r="BE149" s="3268"/>
      <c r="BF149" s="3268"/>
      <c r="BG149" s="3268"/>
      <c r="BH149" s="3268"/>
      <c r="BI149" s="3268"/>
      <c r="BJ149" s="3268"/>
      <c r="BK149" s="3268"/>
      <c r="BL149" s="3268"/>
      <c r="BM149" s="3268"/>
      <c r="BN149" s="3268"/>
      <c r="BO149" s="3605"/>
      <c r="BP149" s="3605"/>
      <c r="BQ149" s="3605"/>
      <c r="BR149" s="3605"/>
      <c r="BS149" s="3605"/>
      <c r="BT149" s="3605"/>
      <c r="BU149" s="3605"/>
      <c r="BV149" s="3605"/>
      <c r="BW149" s="3605"/>
      <c r="BX149" s="3605"/>
      <c r="BY149" s="3605"/>
      <c r="BZ149" s="3605"/>
      <c r="CA149" s="3605"/>
      <c r="CB149" s="3605"/>
      <c r="CC149" s="3605"/>
      <c r="CD149" s="3605"/>
      <c r="CE149" s="3605"/>
      <c r="CF149" s="3606">
        <f t="shared" si="47"/>
        <v>25</v>
      </c>
    </row>
    <row r="150" spans="1:84" ht="37.5" customHeight="1">
      <c r="A150" s="3544" t="s">
        <v>1917</v>
      </c>
      <c r="B150" s="3545" t="s">
        <v>1918</v>
      </c>
      <c r="C150" s="3545" t="s">
        <v>4567</v>
      </c>
      <c r="D150" s="1077" t="s">
        <v>80</v>
      </c>
      <c r="E150" s="3546" t="s">
        <v>65</v>
      </c>
      <c r="F150" s="3546" t="s">
        <v>410</v>
      </c>
      <c r="G150" s="353"/>
      <c r="H150" s="243">
        <v>6.87</v>
      </c>
      <c r="I150" s="3525">
        <f t="shared" ref="I150:I151" si="66">H150/100000</f>
        <v>6.8700000000000003E-5</v>
      </c>
      <c r="J150" s="243">
        <v>2100000</v>
      </c>
      <c r="K150" s="1348">
        <f t="shared" ref="K150:K151" si="67">J150*I150</f>
        <v>144.27000000000001</v>
      </c>
      <c r="L150" s="3547" t="s">
        <v>5477</v>
      </c>
      <c r="M150" s="2257">
        <f>'Abs19. NPCDCS'!Q432</f>
        <v>0</v>
      </c>
      <c r="N150" s="3640">
        <v>134.27000000000001</v>
      </c>
      <c r="O150" s="3660"/>
      <c r="P150" s="3660"/>
      <c r="Q150" s="3660"/>
      <c r="R150" s="3660"/>
      <c r="S150" s="3660"/>
      <c r="T150" s="3660"/>
      <c r="U150" s="3660"/>
      <c r="V150" s="3660"/>
      <c r="W150" s="3660"/>
      <c r="X150" s="3660"/>
      <c r="Y150" s="3660"/>
      <c r="Z150" s="3660"/>
      <c r="AA150" s="3660"/>
      <c r="AB150" s="3660"/>
      <c r="AC150" s="3660"/>
      <c r="AD150" s="3660"/>
      <c r="AE150" s="3660"/>
      <c r="AF150" s="3660"/>
      <c r="AG150" s="3660"/>
      <c r="AH150" s="3660"/>
      <c r="AI150" s="3660"/>
      <c r="AJ150" s="3660"/>
      <c r="AK150" s="3660"/>
      <c r="AL150" s="3660"/>
      <c r="AM150" s="3660"/>
      <c r="AN150" s="3660"/>
      <c r="AO150" s="3660"/>
      <c r="AP150" s="3660"/>
      <c r="AQ150" s="3660"/>
      <c r="AR150" s="3660"/>
      <c r="AS150" s="3660"/>
      <c r="AT150" s="3660"/>
      <c r="AU150" s="3660"/>
      <c r="AV150" s="3660"/>
      <c r="AW150" s="3660"/>
      <c r="AX150" s="3604">
        <v>0</v>
      </c>
      <c r="AY150" s="3604">
        <v>12</v>
      </c>
      <c r="AZ150" s="3604">
        <v>12</v>
      </c>
      <c r="BA150" s="3604">
        <v>12</v>
      </c>
      <c r="BB150" s="3604">
        <v>15</v>
      </c>
      <c r="BC150" s="3604">
        <v>3</v>
      </c>
      <c r="BD150" s="3604">
        <v>12</v>
      </c>
      <c r="BE150" s="3604">
        <v>2.27</v>
      </c>
      <c r="BF150" s="3604">
        <v>15</v>
      </c>
      <c r="BG150" s="3604">
        <v>15</v>
      </c>
      <c r="BH150" s="3604">
        <v>12</v>
      </c>
      <c r="BI150" s="3604">
        <v>12</v>
      </c>
      <c r="BJ150" s="3604">
        <v>12</v>
      </c>
      <c r="BK150" s="3604"/>
      <c r="BL150" s="3604"/>
      <c r="BM150" s="3604"/>
      <c r="BN150" s="3604"/>
      <c r="BO150" s="3604"/>
      <c r="BP150" s="3604"/>
      <c r="BQ150" s="3604"/>
      <c r="BR150" s="3604"/>
      <c r="BS150" s="3604"/>
      <c r="BT150" s="3604"/>
      <c r="BU150" s="3604"/>
      <c r="BV150" s="3604"/>
      <c r="BW150" s="3604"/>
      <c r="BX150" s="3604"/>
      <c r="BY150" s="3604"/>
      <c r="BZ150" s="3604"/>
      <c r="CA150" s="3604"/>
      <c r="CB150" s="3604"/>
      <c r="CC150" s="3604"/>
      <c r="CD150" s="3604"/>
      <c r="CE150" s="3604"/>
      <c r="CF150" s="3608">
        <f t="shared" si="47"/>
        <v>134.26999999999998</v>
      </c>
    </row>
    <row r="151" spans="1:84" ht="37.5" customHeight="1">
      <c r="A151" s="3544" t="s">
        <v>2762</v>
      </c>
      <c r="B151" s="1080" t="s">
        <v>137</v>
      </c>
      <c r="C151" s="3545" t="s">
        <v>2452</v>
      </c>
      <c r="D151" s="1077" t="s">
        <v>80</v>
      </c>
      <c r="E151" s="1077" t="s">
        <v>65</v>
      </c>
      <c r="F151" s="3546" t="s">
        <v>410</v>
      </c>
      <c r="G151" s="353"/>
      <c r="H151" s="243"/>
      <c r="I151" s="3525">
        <f t="shared" si="66"/>
        <v>0</v>
      </c>
      <c r="J151" s="243"/>
      <c r="K151" s="1348">
        <f t="shared" si="67"/>
        <v>0</v>
      </c>
      <c r="L151" s="3547"/>
      <c r="M151" s="2257">
        <f>'Abs19. NPCDCS'!Q433</f>
        <v>0</v>
      </c>
      <c r="N151" s="3640">
        <v>10</v>
      </c>
      <c r="O151" s="3660"/>
      <c r="P151" s="3660"/>
      <c r="Q151" s="3660"/>
      <c r="R151" s="3660"/>
      <c r="S151" s="3660"/>
      <c r="T151" s="3660"/>
      <c r="U151" s="3660"/>
      <c r="V151" s="3660"/>
      <c r="W151" s="3660"/>
      <c r="X151" s="3660"/>
      <c r="Y151" s="3660"/>
      <c r="Z151" s="3660"/>
      <c r="AA151" s="3660"/>
      <c r="AB151" s="3660"/>
      <c r="AC151" s="3660"/>
      <c r="AD151" s="3660"/>
      <c r="AE151" s="3660"/>
      <c r="AF151" s="3660"/>
      <c r="AG151" s="3660"/>
      <c r="AH151" s="3660"/>
      <c r="AI151" s="3660"/>
      <c r="AJ151" s="3660"/>
      <c r="AK151" s="3660"/>
      <c r="AL151" s="3660"/>
      <c r="AM151" s="3660"/>
      <c r="AN151" s="3660"/>
      <c r="AO151" s="3660"/>
      <c r="AP151" s="3660"/>
      <c r="AQ151" s="3660"/>
      <c r="AR151" s="3660"/>
      <c r="AS151" s="3660"/>
      <c r="AT151" s="3660"/>
      <c r="AU151" s="3660"/>
      <c r="AV151" s="3660"/>
      <c r="AW151" s="3660"/>
      <c r="AX151" s="3604">
        <v>0</v>
      </c>
      <c r="AY151" s="3604">
        <v>0.5</v>
      </c>
      <c r="AZ151" s="3604">
        <v>0.5</v>
      </c>
      <c r="BA151" s="3604">
        <v>0.5</v>
      </c>
      <c r="BB151" s="3604">
        <v>0.5</v>
      </c>
      <c r="BC151" s="3604">
        <v>0.5</v>
      </c>
      <c r="BD151" s="3604">
        <v>0.5</v>
      </c>
      <c r="BE151" s="3604">
        <v>0.5</v>
      </c>
      <c r="BF151" s="3604">
        <v>0.5</v>
      </c>
      <c r="BG151" s="3604">
        <v>0.5</v>
      </c>
      <c r="BH151" s="3604">
        <v>0.5</v>
      </c>
      <c r="BI151" s="3604">
        <v>0.5</v>
      </c>
      <c r="BJ151" s="3604">
        <v>0.5</v>
      </c>
      <c r="BK151" s="3604"/>
      <c r="BL151" s="3604"/>
      <c r="BM151" s="3604"/>
      <c r="BN151" s="3604"/>
      <c r="BO151" s="3604"/>
      <c r="BP151" s="3604"/>
      <c r="BQ151" s="3604"/>
      <c r="BR151" s="3604">
        <v>0.5</v>
      </c>
      <c r="BS151" s="3604">
        <v>0.5</v>
      </c>
      <c r="BT151" s="3604">
        <v>0.5</v>
      </c>
      <c r="BU151" s="3604">
        <v>0.5</v>
      </c>
      <c r="BV151" s="3604">
        <v>0.5</v>
      </c>
      <c r="BW151" s="3604"/>
      <c r="BX151" s="3604">
        <v>0.5</v>
      </c>
      <c r="BY151" s="3604"/>
      <c r="BZ151" s="3604">
        <v>0.5</v>
      </c>
      <c r="CA151" s="3604"/>
      <c r="CB151" s="3604">
        <v>0.5</v>
      </c>
      <c r="CC151" s="3604"/>
      <c r="CD151" s="3604"/>
      <c r="CE151" s="3604"/>
      <c r="CF151" s="3608">
        <f t="shared" si="47"/>
        <v>10</v>
      </c>
    </row>
    <row r="152" spans="1:84" ht="37.5" customHeight="1">
      <c r="A152" s="1317" t="s">
        <v>1816</v>
      </c>
      <c r="B152" s="1312" t="s">
        <v>1817</v>
      </c>
      <c r="C152" s="1312" t="s">
        <v>1818</v>
      </c>
      <c r="D152" s="1699" t="s">
        <v>80</v>
      </c>
      <c r="E152" s="1699" t="s">
        <v>65</v>
      </c>
      <c r="F152" s="1304" t="s">
        <v>307</v>
      </c>
      <c r="G152" s="354"/>
      <c r="H152" s="283">
        <v>44392</v>
      </c>
      <c r="I152" s="2261">
        <f t="shared" ref="I152:I159" si="68">H152/100000</f>
        <v>0.44391999999999998</v>
      </c>
      <c r="J152" s="283">
        <v>107</v>
      </c>
      <c r="K152" s="1348">
        <f>J152*I152</f>
        <v>47.49944</v>
      </c>
      <c r="L152" s="791" t="s">
        <v>5502</v>
      </c>
      <c r="M152" s="2257">
        <f>'Abs24. NOHP'!Q413</f>
        <v>0</v>
      </c>
      <c r="N152" s="3640">
        <v>47.5</v>
      </c>
      <c r="O152" s="3205"/>
      <c r="P152" s="3205"/>
      <c r="Q152" s="3205"/>
      <c r="R152" s="3205"/>
      <c r="S152" s="3205"/>
      <c r="T152" s="3205"/>
      <c r="U152" s="3205"/>
      <c r="V152" s="3205"/>
      <c r="W152" s="3205"/>
      <c r="X152" s="3205"/>
      <c r="Y152" s="3205"/>
      <c r="Z152" s="3205"/>
      <c r="AA152" s="3205"/>
      <c r="AB152" s="3205"/>
      <c r="AC152" s="3205"/>
      <c r="AD152" s="3205"/>
      <c r="AE152" s="3205"/>
      <c r="AF152" s="3205"/>
      <c r="AG152" s="3205"/>
      <c r="AH152" s="3205"/>
      <c r="AI152" s="3205"/>
      <c r="AJ152" s="3205"/>
      <c r="AK152" s="3205"/>
      <c r="AL152" s="3205"/>
      <c r="AM152" s="3205"/>
      <c r="AN152" s="3205"/>
      <c r="AO152" s="3205"/>
      <c r="AP152" s="3205"/>
      <c r="AQ152" s="3205"/>
      <c r="AR152" s="3205"/>
      <c r="AS152" s="3205"/>
      <c r="AT152" s="3205"/>
      <c r="AU152" s="3205"/>
      <c r="AV152" s="3205"/>
      <c r="AW152" s="3205"/>
      <c r="AX152" s="3268">
        <v>47.5</v>
      </c>
      <c r="AY152" s="3268"/>
      <c r="AZ152" s="3268"/>
      <c r="BA152" s="3268"/>
      <c r="BB152" s="3268"/>
      <c r="BC152" s="3268"/>
      <c r="BD152" s="3268"/>
      <c r="BE152" s="3268"/>
      <c r="BF152" s="3268"/>
      <c r="BG152" s="3268"/>
      <c r="BH152" s="3268"/>
      <c r="BI152" s="3268"/>
      <c r="BJ152" s="3268"/>
      <c r="BK152" s="3268"/>
      <c r="BL152" s="3268"/>
      <c r="BM152" s="3268"/>
      <c r="BN152" s="3268"/>
      <c r="BO152" s="3268"/>
      <c r="BP152" s="3268"/>
      <c r="BQ152" s="3268"/>
      <c r="BR152" s="3268"/>
      <c r="BS152" s="3268"/>
      <c r="BT152" s="3268"/>
      <c r="BU152" s="3268"/>
      <c r="BV152" s="3268"/>
      <c r="BW152" s="3268"/>
      <c r="BX152" s="3268"/>
      <c r="BY152" s="3268"/>
      <c r="BZ152" s="3268"/>
      <c r="CA152" s="3268"/>
      <c r="CB152" s="3268"/>
      <c r="CC152" s="3268"/>
      <c r="CD152" s="3268"/>
      <c r="CE152" s="3268"/>
      <c r="CF152" s="3603">
        <f t="shared" si="47"/>
        <v>47.5</v>
      </c>
    </row>
    <row r="153" spans="1:84" ht="37.5" customHeight="1">
      <c r="A153" s="1317" t="s">
        <v>2455</v>
      </c>
      <c r="B153" s="521" t="s">
        <v>2224</v>
      </c>
      <c r="C153" s="3473" t="s">
        <v>2272</v>
      </c>
      <c r="D153" s="2254" t="s">
        <v>4219</v>
      </c>
      <c r="E153" s="2254" t="s">
        <v>4525</v>
      </c>
      <c r="F153" s="1304" t="s">
        <v>4525</v>
      </c>
      <c r="G153" s="354"/>
      <c r="H153" s="2345">
        <v>15000</v>
      </c>
      <c r="I153" s="2261">
        <f t="shared" si="68"/>
        <v>0.15</v>
      </c>
      <c r="J153" s="2345">
        <v>103</v>
      </c>
      <c r="K153" s="1348">
        <f>J153*I153</f>
        <v>15.45</v>
      </c>
      <c r="L153" s="3212" t="s">
        <v>5169</v>
      </c>
      <c r="M153" s="3188">
        <f>'Abs11. NTEP'!Q429</f>
        <v>0</v>
      </c>
      <c r="N153" s="3640">
        <v>15.45</v>
      </c>
      <c r="O153" s="3205"/>
      <c r="P153" s="3205"/>
      <c r="Q153" s="3205"/>
      <c r="R153" s="3205"/>
      <c r="S153" s="3205"/>
      <c r="T153" s="3205"/>
      <c r="U153" s="3205"/>
      <c r="V153" s="3205"/>
      <c r="W153" s="3205"/>
      <c r="X153" s="3205"/>
      <c r="Y153" s="3205"/>
      <c r="Z153" s="3205"/>
      <c r="AA153" s="3205"/>
      <c r="AB153" s="3205"/>
      <c r="AC153" s="3205"/>
      <c r="AD153" s="3205"/>
      <c r="AE153" s="3205"/>
      <c r="AF153" s="3205"/>
      <c r="AG153" s="3205"/>
      <c r="AH153" s="3205"/>
      <c r="AI153" s="3205"/>
      <c r="AJ153" s="3205"/>
      <c r="AK153" s="3205"/>
      <c r="AL153" s="3205"/>
      <c r="AM153" s="3205"/>
      <c r="AN153" s="3205"/>
      <c r="AO153" s="3205"/>
      <c r="AP153" s="3205"/>
      <c r="AQ153" s="3205"/>
      <c r="AR153" s="3205"/>
      <c r="AS153" s="3205"/>
      <c r="AT153" s="3205"/>
      <c r="AU153" s="3205"/>
      <c r="AV153" s="3205"/>
      <c r="AW153" s="3205"/>
      <c r="AX153" s="3268">
        <v>15.45</v>
      </c>
      <c r="AY153" s="3268"/>
      <c r="AZ153" s="3268"/>
      <c r="BA153" s="3268"/>
      <c r="BB153" s="3268"/>
      <c r="BC153" s="3268"/>
      <c r="BD153" s="3268"/>
      <c r="BE153" s="3268"/>
      <c r="BF153" s="3268"/>
      <c r="BG153" s="3268"/>
      <c r="BH153" s="3268"/>
      <c r="BI153" s="3268"/>
      <c r="BJ153" s="3268"/>
      <c r="BK153" s="3268"/>
      <c r="BL153" s="3268"/>
      <c r="BM153" s="3268"/>
      <c r="BN153" s="3268"/>
      <c r="BO153" s="3268"/>
      <c r="BP153" s="3268"/>
      <c r="BQ153" s="3268"/>
      <c r="BR153" s="3268"/>
      <c r="BS153" s="3268"/>
      <c r="BT153" s="3268"/>
      <c r="BU153" s="3268"/>
      <c r="BV153" s="3268"/>
      <c r="BW153" s="3268"/>
      <c r="BX153" s="3268"/>
      <c r="BY153" s="3268"/>
      <c r="BZ153" s="3268"/>
      <c r="CA153" s="3268"/>
      <c r="CB153" s="3268"/>
      <c r="CC153" s="3268"/>
      <c r="CD153" s="3268"/>
      <c r="CE153" s="3268"/>
      <c r="CF153" s="3603">
        <f t="shared" si="47"/>
        <v>15.45</v>
      </c>
    </row>
    <row r="154" spans="1:84" ht="37.5" customHeight="1">
      <c r="A154" s="902">
        <v>7.1</v>
      </c>
      <c r="B154" s="1080" t="s">
        <v>396</v>
      </c>
      <c r="C154" s="1072" t="s">
        <v>397</v>
      </c>
      <c r="D154" s="2254" t="s">
        <v>85</v>
      </c>
      <c r="E154" s="2254" t="s">
        <v>85</v>
      </c>
      <c r="F154" s="3730" t="s">
        <v>113</v>
      </c>
      <c r="G154" s="2208">
        <v>1</v>
      </c>
      <c r="H154" s="361">
        <v>500</v>
      </c>
      <c r="I154" s="1381">
        <f t="shared" si="68"/>
        <v>5.0000000000000001E-3</v>
      </c>
      <c r="J154" s="361">
        <v>140000</v>
      </c>
      <c r="K154" s="1382">
        <f t="shared" ref="K154:K159" si="69">I154*J154</f>
        <v>700</v>
      </c>
      <c r="L154" s="352" t="s">
        <v>5157</v>
      </c>
      <c r="M154" s="233">
        <f>'Ab1. RMNCH+A'!Q731</f>
        <v>0</v>
      </c>
      <c r="N154" s="3639">
        <v>635.6</v>
      </c>
      <c r="O154" s="3661"/>
      <c r="P154" s="3661"/>
      <c r="Q154" s="3661"/>
      <c r="R154" s="3661"/>
      <c r="S154" s="3661"/>
      <c r="T154" s="3661"/>
      <c r="U154" s="3661"/>
      <c r="V154" s="3661"/>
      <c r="W154" s="3661"/>
      <c r="X154" s="3661"/>
      <c r="Y154" s="3661"/>
      <c r="Z154" s="3661"/>
      <c r="AA154" s="3661"/>
      <c r="AB154" s="3661"/>
      <c r="AC154" s="3661"/>
      <c r="AD154" s="3661"/>
      <c r="AE154" s="3661"/>
      <c r="AF154" s="3661"/>
      <c r="AG154" s="3661"/>
      <c r="AH154" s="3661"/>
      <c r="AI154" s="3661"/>
      <c r="AJ154" s="3661"/>
      <c r="AK154" s="3661"/>
      <c r="AL154" s="3661"/>
      <c r="AM154" s="3661"/>
      <c r="AN154" s="3661"/>
      <c r="AO154" s="3661"/>
      <c r="AP154" s="3661"/>
      <c r="AQ154" s="3661"/>
      <c r="AR154" s="3661"/>
      <c r="AS154" s="3661"/>
      <c r="AT154" s="3661"/>
      <c r="AU154" s="3661"/>
      <c r="AV154" s="3661"/>
      <c r="AW154" s="3661"/>
      <c r="AX154" s="3609">
        <v>635.6</v>
      </c>
      <c r="AY154" s="3609"/>
      <c r="AZ154" s="3609"/>
      <c r="BA154" s="3609"/>
      <c r="BB154" s="3609"/>
      <c r="BC154" s="3609"/>
      <c r="BD154" s="3609"/>
      <c r="BE154" s="3609"/>
      <c r="BF154" s="3609"/>
      <c r="BG154" s="3609"/>
      <c r="BH154" s="3609"/>
      <c r="BI154" s="3609"/>
      <c r="BJ154" s="3609"/>
      <c r="BK154" s="3609"/>
      <c r="BL154" s="3609"/>
      <c r="BM154" s="3609"/>
      <c r="BN154" s="3609"/>
      <c r="BO154" s="3609"/>
      <c r="BP154" s="3609"/>
      <c r="BQ154" s="3609"/>
      <c r="BR154" s="3609"/>
      <c r="BS154" s="3609"/>
      <c r="BT154" s="3609"/>
      <c r="BU154" s="3609"/>
      <c r="BV154" s="3609"/>
      <c r="BW154" s="3609"/>
      <c r="BX154" s="3609"/>
      <c r="BY154" s="3609"/>
      <c r="BZ154" s="3609"/>
      <c r="CA154" s="3609"/>
      <c r="CB154" s="3609"/>
      <c r="CC154" s="3609"/>
      <c r="CD154" s="3609"/>
      <c r="CE154" s="3609"/>
      <c r="CF154" s="3610">
        <f t="shared" si="47"/>
        <v>635.6</v>
      </c>
    </row>
    <row r="155" spans="1:84" ht="37.5" customHeight="1">
      <c r="A155" s="473" t="s">
        <v>4310</v>
      </c>
      <c r="B155" s="521"/>
      <c r="C155" s="521" t="s">
        <v>4320</v>
      </c>
      <c r="D155" s="982" t="s">
        <v>65</v>
      </c>
      <c r="E155" s="982" t="s">
        <v>65</v>
      </c>
      <c r="F155" s="1075" t="s">
        <v>65</v>
      </c>
      <c r="G155" s="2208">
        <v>1</v>
      </c>
      <c r="H155" s="2208">
        <v>1796464</v>
      </c>
      <c r="I155" s="2261">
        <f t="shared" si="68"/>
        <v>17.964639999999999</v>
      </c>
      <c r="J155" s="283">
        <v>198</v>
      </c>
      <c r="K155" s="1404">
        <f t="shared" si="69"/>
        <v>3556.99872</v>
      </c>
      <c r="L155" s="2321" t="s">
        <v>5158</v>
      </c>
      <c r="M155" s="2831" t="s">
        <v>5771</v>
      </c>
      <c r="N155" s="3662">
        <v>3299.4</v>
      </c>
      <c r="O155" s="3661"/>
      <c r="P155" s="3661"/>
      <c r="Q155" s="3661"/>
      <c r="R155" s="3661"/>
      <c r="S155" s="3661"/>
      <c r="T155" s="3661"/>
      <c r="U155" s="3661"/>
      <c r="V155" s="3661"/>
      <c r="W155" s="3661"/>
      <c r="X155" s="3661"/>
      <c r="Y155" s="3661"/>
      <c r="Z155" s="3661"/>
      <c r="AA155" s="3661"/>
      <c r="AB155" s="3661"/>
      <c r="AC155" s="3661"/>
      <c r="AD155" s="3661"/>
      <c r="AE155" s="3661"/>
      <c r="AF155" s="3661"/>
      <c r="AG155" s="3661"/>
      <c r="AH155" s="3661"/>
      <c r="AI155" s="3661"/>
      <c r="AJ155" s="3661"/>
      <c r="AK155" s="3661"/>
      <c r="AL155" s="3661"/>
      <c r="AM155" s="3661"/>
      <c r="AN155" s="3661"/>
      <c r="AO155" s="3661"/>
      <c r="AP155" s="3661"/>
      <c r="AQ155" s="3661"/>
      <c r="AR155" s="3661"/>
      <c r="AS155" s="3661"/>
      <c r="AT155" s="3661"/>
      <c r="AU155" s="3661"/>
      <c r="AV155" s="3661"/>
      <c r="AW155" s="3661"/>
      <c r="AX155" s="3609">
        <v>3299.4</v>
      </c>
      <c r="AY155" s="3609"/>
      <c r="AZ155" s="3609"/>
      <c r="BA155" s="3609"/>
      <c r="BB155" s="3609"/>
      <c r="BC155" s="3609"/>
      <c r="BD155" s="3609"/>
      <c r="BE155" s="3609"/>
      <c r="BF155" s="3609"/>
      <c r="BG155" s="3609"/>
      <c r="BH155" s="3609"/>
      <c r="BI155" s="3609"/>
      <c r="BJ155" s="3609"/>
      <c r="BK155" s="3609"/>
      <c r="BL155" s="3609"/>
      <c r="BM155" s="3609"/>
      <c r="BN155" s="3609"/>
      <c r="BO155" s="3609"/>
      <c r="BP155" s="3609"/>
      <c r="BQ155" s="3609"/>
      <c r="BR155" s="3609"/>
      <c r="BS155" s="3609"/>
      <c r="BT155" s="3609"/>
      <c r="BU155" s="3609"/>
      <c r="BV155" s="3609"/>
      <c r="BW155" s="3609"/>
      <c r="BX155" s="3609"/>
      <c r="BY155" s="3609"/>
      <c r="BZ155" s="3609"/>
      <c r="CA155" s="3609"/>
      <c r="CB155" s="3609"/>
      <c r="CC155" s="3609"/>
      <c r="CD155" s="3609"/>
      <c r="CE155" s="3609"/>
      <c r="CF155" s="3610">
        <f t="shared" si="47"/>
        <v>3299.4</v>
      </c>
    </row>
    <row r="156" spans="1:84" ht="26.25" customHeight="1">
      <c r="A156" s="473" t="s">
        <v>4315</v>
      </c>
      <c r="B156" s="521"/>
      <c r="C156" s="521" t="s">
        <v>4316</v>
      </c>
      <c r="D156" s="982" t="s">
        <v>65</v>
      </c>
      <c r="E156" s="982" t="s">
        <v>65</v>
      </c>
      <c r="F156" s="1075" t="s">
        <v>65</v>
      </c>
      <c r="G156" s="289">
        <v>1</v>
      </c>
      <c r="H156" s="2291">
        <v>720000</v>
      </c>
      <c r="I156" s="2261">
        <f t="shared" si="68"/>
        <v>7.2</v>
      </c>
      <c r="J156" s="283">
        <v>6</v>
      </c>
      <c r="K156" s="1404">
        <f t="shared" si="69"/>
        <v>43.2</v>
      </c>
      <c r="L156" s="2292" t="s">
        <v>5160</v>
      </c>
      <c r="M156" s="2831" t="s">
        <v>5772</v>
      </c>
      <c r="N156" s="3662">
        <v>43.2</v>
      </c>
      <c r="O156" s="3661"/>
      <c r="P156" s="3661"/>
      <c r="Q156" s="3661"/>
      <c r="R156" s="3661"/>
      <c r="S156" s="3661"/>
      <c r="T156" s="3661"/>
      <c r="U156" s="3661"/>
      <c r="V156" s="3661"/>
      <c r="W156" s="3661"/>
      <c r="X156" s="3661"/>
      <c r="Y156" s="3661"/>
      <c r="Z156" s="3661"/>
      <c r="AA156" s="3661"/>
      <c r="AB156" s="3661"/>
      <c r="AC156" s="3661"/>
      <c r="AD156" s="3661"/>
      <c r="AE156" s="3661"/>
      <c r="AF156" s="3661"/>
      <c r="AG156" s="3661"/>
      <c r="AH156" s="3661"/>
      <c r="AI156" s="3661"/>
      <c r="AJ156" s="3661"/>
      <c r="AK156" s="3661"/>
      <c r="AL156" s="3661"/>
      <c r="AM156" s="3661"/>
      <c r="AN156" s="3661"/>
      <c r="AO156" s="3661"/>
      <c r="AP156" s="3661"/>
      <c r="AQ156" s="3661"/>
      <c r="AR156" s="3661"/>
      <c r="AS156" s="3661"/>
      <c r="AT156" s="3661"/>
      <c r="AU156" s="3661"/>
      <c r="AV156" s="3661"/>
      <c r="AW156" s="3661"/>
      <c r="AX156" s="3609">
        <v>43.2</v>
      </c>
      <c r="AY156" s="3609"/>
      <c r="AZ156" s="3609"/>
      <c r="BA156" s="3609"/>
      <c r="BB156" s="3609"/>
      <c r="BC156" s="3609"/>
      <c r="BD156" s="3609"/>
      <c r="BE156" s="3609"/>
      <c r="BF156" s="3609"/>
      <c r="BG156" s="3609"/>
      <c r="BH156" s="3609"/>
      <c r="BI156" s="3609"/>
      <c r="BJ156" s="3609"/>
      <c r="BK156" s="3609"/>
      <c r="BL156" s="3609"/>
      <c r="BM156" s="3609"/>
      <c r="BN156" s="3609"/>
      <c r="BO156" s="3609"/>
      <c r="BP156" s="3609"/>
      <c r="BQ156" s="3609"/>
      <c r="BR156" s="3609"/>
      <c r="BS156" s="3609"/>
      <c r="BT156" s="3609"/>
      <c r="BU156" s="3609"/>
      <c r="BV156" s="3609"/>
      <c r="BW156" s="3609"/>
      <c r="BX156" s="3609"/>
      <c r="BY156" s="3609"/>
      <c r="BZ156" s="3609"/>
      <c r="CA156" s="3609"/>
      <c r="CB156" s="3609"/>
      <c r="CC156" s="3609"/>
      <c r="CD156" s="3609"/>
      <c r="CE156" s="3609"/>
      <c r="CF156" s="3610">
        <f t="shared" si="47"/>
        <v>43.2</v>
      </c>
    </row>
    <row r="157" spans="1:84" ht="20.25" customHeight="1">
      <c r="A157" s="233" t="s">
        <v>3929</v>
      </c>
      <c r="B157" s="1080" t="s">
        <v>4407</v>
      </c>
      <c r="C157" s="3216" t="s">
        <v>3931</v>
      </c>
      <c r="D157" s="2254" t="s">
        <v>4219</v>
      </c>
      <c r="E157" s="2254" t="s">
        <v>4525</v>
      </c>
      <c r="F157" s="3730" t="s">
        <v>4525</v>
      </c>
      <c r="G157" s="324">
        <v>400</v>
      </c>
      <c r="H157" s="2368">
        <v>750</v>
      </c>
      <c r="I157" s="2261">
        <f t="shared" si="68"/>
        <v>7.4999999999999997E-3</v>
      </c>
      <c r="J157" s="2368">
        <v>400</v>
      </c>
      <c r="K157" s="1404">
        <f t="shared" si="69"/>
        <v>3</v>
      </c>
      <c r="L157" s="380" t="s">
        <v>5170</v>
      </c>
      <c r="M157" s="233">
        <f>'Abs11. NTEP'!Q706</f>
        <v>0</v>
      </c>
      <c r="N157" s="3663">
        <v>3</v>
      </c>
      <c r="O157" s="3661"/>
      <c r="P157" s="3661"/>
      <c r="Q157" s="3661"/>
      <c r="R157" s="3661"/>
      <c r="S157" s="3661"/>
      <c r="T157" s="3661"/>
      <c r="U157" s="3661"/>
      <c r="V157" s="3661"/>
      <c r="W157" s="3661"/>
      <c r="X157" s="3661"/>
      <c r="Y157" s="3661"/>
      <c r="Z157" s="3661"/>
      <c r="AA157" s="3661"/>
      <c r="AB157" s="3661"/>
      <c r="AC157" s="3661"/>
      <c r="AD157" s="3661"/>
      <c r="AE157" s="3661"/>
      <c r="AF157" s="3661"/>
      <c r="AG157" s="3661"/>
      <c r="AH157" s="3661"/>
      <c r="AI157" s="3661"/>
      <c r="AJ157" s="3661"/>
      <c r="AK157" s="3661"/>
      <c r="AL157" s="3661"/>
      <c r="AM157" s="3661"/>
      <c r="AN157" s="3661"/>
      <c r="AO157" s="3661"/>
      <c r="AP157" s="3661"/>
      <c r="AQ157" s="3661"/>
      <c r="AR157" s="3661"/>
      <c r="AS157" s="3661"/>
      <c r="AT157" s="3661"/>
      <c r="AU157" s="3661"/>
      <c r="AV157" s="3661"/>
      <c r="AW157" s="3661"/>
      <c r="AX157" s="3609"/>
      <c r="AY157" s="3609"/>
      <c r="AZ157" s="3609">
        <v>0.86</v>
      </c>
      <c r="BA157" s="3609"/>
      <c r="BB157" s="3609"/>
      <c r="BC157" s="3609">
        <v>1.46</v>
      </c>
      <c r="BD157" s="3609"/>
      <c r="BE157" s="3609">
        <v>0.68</v>
      </c>
      <c r="BF157" s="3609"/>
      <c r="BG157" s="3609"/>
      <c r="BH157" s="3609"/>
      <c r="BI157" s="3609"/>
      <c r="BJ157" s="3609"/>
      <c r="BK157" s="3609"/>
      <c r="BL157" s="3609"/>
      <c r="BM157" s="3609"/>
      <c r="BN157" s="3609"/>
      <c r="BO157" s="3609"/>
      <c r="BP157" s="3609"/>
      <c r="BQ157" s="3609"/>
      <c r="BR157" s="3609"/>
      <c r="BS157" s="3609"/>
      <c r="BT157" s="3609"/>
      <c r="BU157" s="3609"/>
      <c r="BV157" s="3609"/>
      <c r="BW157" s="3609"/>
      <c r="BX157" s="3609"/>
      <c r="BY157" s="3609"/>
      <c r="BZ157" s="3609"/>
      <c r="CA157" s="3609"/>
      <c r="CB157" s="3609"/>
      <c r="CC157" s="3609"/>
      <c r="CD157" s="3609"/>
      <c r="CE157" s="3609"/>
      <c r="CF157" s="3610">
        <f t="shared" si="47"/>
        <v>3</v>
      </c>
    </row>
    <row r="158" spans="1:84" ht="37.5" customHeight="1">
      <c r="A158" s="233" t="s">
        <v>3930</v>
      </c>
      <c r="B158" s="1080"/>
      <c r="C158" s="1004" t="s">
        <v>5094</v>
      </c>
      <c r="D158" s="2254" t="s">
        <v>4219</v>
      </c>
      <c r="E158" s="2254" t="s">
        <v>4525</v>
      </c>
      <c r="F158" s="3730" t="s">
        <v>4525</v>
      </c>
      <c r="G158" s="324">
        <v>8269</v>
      </c>
      <c r="H158" s="2368">
        <v>1209</v>
      </c>
      <c r="I158" s="2261">
        <f t="shared" si="68"/>
        <v>1.209E-2</v>
      </c>
      <c r="J158" s="2368">
        <v>8269</v>
      </c>
      <c r="K158" s="1404">
        <f t="shared" si="69"/>
        <v>99.972210000000004</v>
      </c>
      <c r="L158" s="289"/>
      <c r="M158" s="3131">
        <f>'Abs11. NTEP'!Q707</f>
        <v>0</v>
      </c>
      <c r="N158" s="3663">
        <v>100</v>
      </c>
      <c r="O158" s="3661"/>
      <c r="P158" s="3661"/>
      <c r="Q158" s="3661"/>
      <c r="R158" s="3661"/>
      <c r="S158" s="3661"/>
      <c r="T158" s="3661"/>
      <c r="U158" s="3661"/>
      <c r="V158" s="3661"/>
      <c r="W158" s="3661"/>
      <c r="X158" s="3661"/>
      <c r="Y158" s="3661"/>
      <c r="Z158" s="3661"/>
      <c r="AA158" s="3661"/>
      <c r="AB158" s="3661"/>
      <c r="AC158" s="3661"/>
      <c r="AD158" s="3661"/>
      <c r="AE158" s="3661"/>
      <c r="AF158" s="3661"/>
      <c r="AG158" s="3661"/>
      <c r="AH158" s="3661"/>
      <c r="AI158" s="3661"/>
      <c r="AJ158" s="3661"/>
      <c r="AK158" s="3661"/>
      <c r="AL158" s="3661"/>
      <c r="AM158" s="3661"/>
      <c r="AN158" s="3661"/>
      <c r="AO158" s="3661"/>
      <c r="AP158" s="3661"/>
      <c r="AQ158" s="3661"/>
      <c r="AR158" s="3661"/>
      <c r="AS158" s="3661"/>
      <c r="AT158" s="3661"/>
      <c r="AU158" s="3661"/>
      <c r="AV158" s="3661"/>
      <c r="AW158" s="3661"/>
      <c r="AX158" s="3609">
        <v>54.05</v>
      </c>
      <c r="AY158" s="3609">
        <v>1.5</v>
      </c>
      <c r="AZ158" s="3609">
        <v>3.56</v>
      </c>
      <c r="BA158" s="3609">
        <v>2.35</v>
      </c>
      <c r="BB158" s="3609">
        <v>8.9</v>
      </c>
      <c r="BC158" s="3609">
        <v>0.9</v>
      </c>
      <c r="BD158" s="3609">
        <v>2.2000000000000002</v>
      </c>
      <c r="BE158" s="3609">
        <v>0.8</v>
      </c>
      <c r="BF158" s="3609">
        <v>7.21</v>
      </c>
      <c r="BG158" s="3609">
        <v>8.5</v>
      </c>
      <c r="BH158" s="3609">
        <v>3.45</v>
      </c>
      <c r="BI158" s="3609">
        <v>3.54</v>
      </c>
      <c r="BJ158" s="3609">
        <v>2.56</v>
      </c>
      <c r="BK158" s="3611"/>
      <c r="BL158" s="3609"/>
      <c r="BM158" s="3609"/>
      <c r="BN158" s="3609"/>
      <c r="BO158" s="3609"/>
      <c r="BP158" s="3609"/>
      <c r="BQ158" s="3609"/>
      <c r="BR158" s="3609"/>
      <c r="BS158" s="3609"/>
      <c r="BT158" s="3609"/>
      <c r="BU158" s="3609"/>
      <c r="BV158" s="3609"/>
      <c r="BW158" s="3609"/>
      <c r="BX158" s="3609"/>
      <c r="BY158" s="3609"/>
      <c r="BZ158" s="3609"/>
      <c r="CA158" s="3609">
        <v>0.48</v>
      </c>
      <c r="CB158" s="3609"/>
      <c r="CC158" s="3609"/>
      <c r="CD158" s="3609"/>
      <c r="CE158" s="3609"/>
      <c r="CF158" s="3610">
        <f t="shared" si="47"/>
        <v>100.00000000000001</v>
      </c>
    </row>
    <row r="159" spans="1:84" ht="37.5" customHeight="1">
      <c r="A159" s="391" t="s">
        <v>419</v>
      </c>
      <c r="B159" s="391" t="s">
        <v>420</v>
      </c>
      <c r="C159" s="391" t="s">
        <v>421</v>
      </c>
      <c r="D159" s="982" t="s">
        <v>65</v>
      </c>
      <c r="E159" s="982" t="s">
        <v>65</v>
      </c>
      <c r="F159" s="1185" t="s">
        <v>3760</v>
      </c>
      <c r="G159" s="3802"/>
      <c r="H159" s="3802">
        <v>154379</v>
      </c>
      <c r="I159" s="3804">
        <f t="shared" si="68"/>
        <v>1.54379</v>
      </c>
      <c r="J159" s="3802">
        <v>374</v>
      </c>
      <c r="K159" s="3815">
        <f t="shared" si="69"/>
        <v>577.37746000000004</v>
      </c>
      <c r="L159" s="3741"/>
      <c r="M159" s="3067" t="s">
        <v>5777</v>
      </c>
      <c r="N159" s="3806">
        <v>577.37</v>
      </c>
      <c r="O159" s="3664"/>
      <c r="P159" s="3664"/>
      <c r="Q159" s="3742"/>
      <c r="R159" s="3664"/>
      <c r="S159" s="3664"/>
      <c r="T159" s="3664"/>
      <c r="U159" s="3664"/>
      <c r="V159" s="3664"/>
      <c r="W159" s="3664"/>
      <c r="X159" s="3664"/>
      <c r="Y159" s="3664"/>
      <c r="Z159" s="3664"/>
      <c r="AA159" s="3664"/>
      <c r="AB159" s="3664"/>
      <c r="AC159" s="3664"/>
      <c r="AD159" s="3664"/>
      <c r="AE159" s="3664"/>
      <c r="AF159" s="3664"/>
      <c r="AG159" s="3664"/>
      <c r="AH159" s="3664"/>
      <c r="AI159" s="3664"/>
      <c r="AJ159" s="3664"/>
      <c r="AK159" s="3664"/>
      <c r="AL159" s="3664"/>
      <c r="AM159" s="3664"/>
      <c r="AN159" s="3664"/>
      <c r="AO159" s="3664"/>
      <c r="AP159" s="3664"/>
      <c r="AQ159" s="3664"/>
      <c r="AR159" s="3664"/>
      <c r="AS159" s="3664"/>
      <c r="AT159" s="3664"/>
      <c r="AU159" s="3664"/>
      <c r="AV159" s="3664"/>
      <c r="AW159" s="3664"/>
      <c r="AX159" s="3597">
        <v>8.91</v>
      </c>
      <c r="AY159" s="3597">
        <f>2*10250*12/100000</f>
        <v>2.46</v>
      </c>
      <c r="AZ159" s="3597"/>
      <c r="BA159" s="3597">
        <f>2*10250*12/100000</f>
        <v>2.46</v>
      </c>
      <c r="BB159" s="3597"/>
      <c r="BC159" s="3597">
        <f>2*10250*12/100000</f>
        <v>2.46</v>
      </c>
      <c r="BD159" s="3597">
        <f>4*10250*12/100000</f>
        <v>4.92</v>
      </c>
      <c r="BE159" s="3597"/>
      <c r="BF159" s="3597">
        <f>2*10250*12/100000</f>
        <v>2.46</v>
      </c>
      <c r="BG159" s="3597"/>
      <c r="BH159" s="3597">
        <f>10*10250*12/100000</f>
        <v>12.3</v>
      </c>
      <c r="BI159" s="3597"/>
      <c r="BJ159" s="3597">
        <f>2*10250*12/100000</f>
        <v>2.46</v>
      </c>
      <c r="BK159" s="3597"/>
      <c r="BL159" s="3597"/>
      <c r="BM159" s="3597"/>
      <c r="BN159" s="3597"/>
      <c r="BO159" s="3581"/>
      <c r="BP159" s="3581"/>
      <c r="BQ159" s="3581"/>
      <c r="BR159" s="3581"/>
      <c r="BS159" s="3581"/>
      <c r="BT159" s="3581"/>
      <c r="BU159" s="3581"/>
      <c r="BV159" s="3581"/>
      <c r="BW159" s="3581"/>
      <c r="BX159" s="3581"/>
      <c r="BY159" s="3581"/>
      <c r="BZ159" s="3581"/>
      <c r="CA159" s="3581"/>
      <c r="CB159" s="3581"/>
      <c r="CC159" s="3581"/>
      <c r="CD159" s="3581"/>
      <c r="CE159" s="3581"/>
      <c r="CF159" s="3580">
        <f t="shared" si="47"/>
        <v>38.43</v>
      </c>
    </row>
    <row r="160" spans="1:84" ht="37.5" customHeight="1">
      <c r="A160" s="391" t="s">
        <v>422</v>
      </c>
      <c r="B160" s="391" t="s">
        <v>423</v>
      </c>
      <c r="C160" s="391" t="s">
        <v>424</v>
      </c>
      <c r="D160" s="982" t="s">
        <v>65</v>
      </c>
      <c r="E160" s="982" t="s">
        <v>65</v>
      </c>
      <c r="F160" s="1185" t="s">
        <v>3760</v>
      </c>
      <c r="G160" s="3803"/>
      <c r="H160" s="3803"/>
      <c r="I160" s="3805"/>
      <c r="J160" s="3803"/>
      <c r="K160" s="3816"/>
      <c r="L160" s="2706"/>
      <c r="M160" s="3067" t="s">
        <v>5931</v>
      </c>
      <c r="N160" s="3807"/>
      <c r="O160" s="3664"/>
      <c r="P160" s="3664"/>
      <c r="Q160" s="3664"/>
      <c r="R160" s="3664"/>
      <c r="S160" s="3664"/>
      <c r="T160" s="3664"/>
      <c r="U160" s="3664"/>
      <c r="V160" s="3664"/>
      <c r="W160" s="3664"/>
      <c r="X160" s="3664"/>
      <c r="Y160" s="3664"/>
      <c r="Z160" s="3664"/>
      <c r="AA160" s="3664"/>
      <c r="AB160" s="3664"/>
      <c r="AC160" s="3664"/>
      <c r="AD160" s="3664"/>
      <c r="AE160" s="3664"/>
      <c r="AF160" s="3664"/>
      <c r="AG160" s="3664"/>
      <c r="AH160" s="3664"/>
      <c r="AI160" s="3664"/>
      <c r="AJ160" s="3664"/>
      <c r="AK160" s="3664"/>
      <c r="AL160" s="3664"/>
      <c r="AM160" s="3664"/>
      <c r="AN160" s="3664"/>
      <c r="AO160" s="3664"/>
      <c r="AP160" s="3664"/>
      <c r="AQ160" s="3664"/>
      <c r="AR160" s="3664"/>
      <c r="AS160" s="3664"/>
      <c r="AT160" s="3664"/>
      <c r="AU160" s="3664"/>
      <c r="AV160" s="3664"/>
      <c r="AW160" s="3664"/>
      <c r="AX160" s="3597">
        <v>296.45</v>
      </c>
      <c r="AY160" s="3597">
        <f>13500*1*12/100000</f>
        <v>1.62</v>
      </c>
      <c r="AZ160" s="3597"/>
      <c r="BA160" s="3597"/>
      <c r="BB160" s="3597">
        <v>1.62</v>
      </c>
      <c r="BC160" s="3597"/>
      <c r="BD160" s="3597">
        <f t="shared" ref="BD160:BJ160" si="70">13500*1*12/100000</f>
        <v>1.62</v>
      </c>
      <c r="BE160" s="3597"/>
      <c r="BF160" s="3597">
        <f t="shared" si="70"/>
        <v>1.62</v>
      </c>
      <c r="BG160" s="3597"/>
      <c r="BH160" s="3597">
        <v>1.62</v>
      </c>
      <c r="BI160" s="3597">
        <f t="shared" si="70"/>
        <v>1.62</v>
      </c>
      <c r="BJ160" s="3597">
        <f t="shared" si="70"/>
        <v>1.62</v>
      </c>
      <c r="BK160" s="3597"/>
      <c r="BL160" s="3597"/>
      <c r="BM160" s="3597"/>
      <c r="BN160" s="3597"/>
      <c r="BO160" s="3597"/>
      <c r="BP160" s="3597"/>
      <c r="BQ160" s="3597"/>
      <c r="BR160" s="3597"/>
      <c r="BS160" s="3597"/>
      <c r="BT160" s="3597"/>
      <c r="BU160" s="3597"/>
      <c r="BV160" s="3597"/>
      <c r="BW160" s="3597"/>
      <c r="BX160" s="3597"/>
      <c r="BY160" s="3597"/>
      <c r="BZ160" s="3597"/>
      <c r="CA160" s="3597"/>
      <c r="CB160" s="3597"/>
      <c r="CC160" s="3597"/>
      <c r="CD160" s="3597"/>
      <c r="CE160" s="3597"/>
      <c r="CF160" s="3580">
        <f t="shared" si="47"/>
        <v>307.79000000000002</v>
      </c>
    </row>
    <row r="161" spans="1:84" ht="37.5" customHeight="1">
      <c r="A161" s="391" t="s">
        <v>4486</v>
      </c>
      <c r="B161" s="391" t="s">
        <v>429</v>
      </c>
      <c r="C161" s="1004" t="s">
        <v>570</v>
      </c>
      <c r="D161" s="982" t="s">
        <v>65</v>
      </c>
      <c r="E161" s="982" t="s">
        <v>65</v>
      </c>
      <c r="F161" s="2255" t="s">
        <v>3760</v>
      </c>
      <c r="G161" s="3803"/>
      <c r="H161" s="3803"/>
      <c r="I161" s="3805"/>
      <c r="J161" s="3803"/>
      <c r="K161" s="3816"/>
      <c r="L161" s="289"/>
      <c r="M161" s="3064" t="s">
        <v>5932</v>
      </c>
      <c r="N161" s="3807"/>
      <c r="O161" s="3664"/>
      <c r="P161" s="3664"/>
      <c r="Q161" s="3664"/>
      <c r="R161" s="3664"/>
      <c r="S161" s="3664"/>
      <c r="T161" s="3664"/>
      <c r="U161" s="3664"/>
      <c r="V161" s="3664"/>
      <c r="W161" s="3664"/>
      <c r="X161" s="3664"/>
      <c r="Y161" s="3664"/>
      <c r="Z161" s="3664"/>
      <c r="AA161" s="3664"/>
      <c r="AB161" s="3664"/>
      <c r="AC161" s="3664"/>
      <c r="AD161" s="3664"/>
      <c r="AE161" s="3664"/>
      <c r="AF161" s="3664"/>
      <c r="AG161" s="3664"/>
      <c r="AH161" s="3664"/>
      <c r="AI161" s="3664"/>
      <c r="AJ161" s="3664"/>
      <c r="AK161" s="3664"/>
      <c r="AL161" s="3664"/>
      <c r="AM161" s="3664"/>
      <c r="AN161" s="3664"/>
      <c r="AO161" s="3664"/>
      <c r="AP161" s="3664"/>
      <c r="AQ161" s="3664"/>
      <c r="AR161" s="3664"/>
      <c r="AS161" s="3664"/>
      <c r="AT161" s="3664"/>
      <c r="AU161" s="3664"/>
      <c r="AV161" s="3664"/>
      <c r="AW161" s="3664"/>
      <c r="AX161" s="3597">
        <v>36.590000000000003</v>
      </c>
      <c r="AY161" s="3597">
        <f>+(1*10000*12+2*11766*12)*105%/100000</f>
        <v>4.2250319999999997</v>
      </c>
      <c r="AZ161" s="3597">
        <f>+(1*14382*12+1*23202*12+1*13679*12+2*11766*12)*105%/100000</f>
        <v>9.4241700000000002</v>
      </c>
      <c r="BA161" s="3597">
        <f>+(2*12972*12+2*14382*12+1*11766*12)*105%/100000</f>
        <v>8.3757239999999999</v>
      </c>
      <c r="BB161" s="3597">
        <f>+(1*9759*12+4*14382*12+1*13679*12+1*21323*12+2*11766*12+2*11757*12+1*12353*12+3*10000*12)*105%/100000</f>
        <v>24.152688000000001</v>
      </c>
      <c r="BC161" s="3597">
        <f>+(2*15382*12+1*12111*12)*105%/100000</f>
        <v>5.4022500000000004</v>
      </c>
      <c r="BD161" s="3597">
        <f>+(1*21377*12+2*15882*12+1*16441*12+2*11766*12+2*10000*12)*105%/100000</f>
        <v>14.252364000000002</v>
      </c>
      <c r="BE161" s="3597">
        <f>+(1*21850*12+1*10000*12)*105%/100000</f>
        <v>4.0130999999999997</v>
      </c>
      <c r="BF161" s="3597">
        <f>+(1*15651*12+3*14575*12+5*11766*12+1*15230*12+1*14417*12+5*10000*12+1*11802*12)*105%/100000</f>
        <v>26.416530000000002</v>
      </c>
      <c r="BG161" s="3597">
        <f>+(2*14575*12+3*12355*12+3*10000*12)*105%/100000</f>
        <v>12.123089999999999</v>
      </c>
      <c r="BH161" s="3597">
        <f>+(2*23672*12+3*14382*12+3*13911*12+1*12382*12+1*10872*12+2*10000*12)*105%/100000</f>
        <v>22.110102000000001</v>
      </c>
      <c r="BI161" s="3597">
        <f>+(3*14382*12+1*10000*12)*105%/100000</f>
        <v>6.696396</v>
      </c>
      <c r="BJ161" s="3597">
        <f>+(1*22757*12+3*14417*12+1*10791*12+1*10000*12)*105%/100000</f>
        <v>10.936674000000002</v>
      </c>
      <c r="BK161" s="3597"/>
      <c r="BL161" s="3597"/>
      <c r="BM161" s="3597"/>
      <c r="BN161" s="3597"/>
      <c r="BO161" s="3597"/>
      <c r="BP161" s="3597"/>
      <c r="BQ161" s="3597"/>
      <c r="BR161" s="3597"/>
      <c r="BS161" s="3597"/>
      <c r="BT161" s="3597"/>
      <c r="BU161" s="3597"/>
      <c r="BV161" s="3597"/>
      <c r="BW161" s="3597"/>
      <c r="BX161" s="3597"/>
      <c r="BY161" s="3597"/>
      <c r="BZ161" s="3597"/>
      <c r="CA161" s="3597"/>
      <c r="CB161" s="3597"/>
      <c r="CC161" s="3597"/>
      <c r="CD161" s="3597"/>
      <c r="CE161" s="3597"/>
      <c r="CF161" s="3580">
        <f t="shared" si="47"/>
        <v>184.71812</v>
      </c>
    </row>
    <row r="162" spans="1:84" ht="37.5" customHeight="1">
      <c r="A162" s="391" t="s">
        <v>439</v>
      </c>
      <c r="B162" s="391" t="s">
        <v>437</v>
      </c>
      <c r="C162" s="391" t="s">
        <v>438</v>
      </c>
      <c r="D162" s="982" t="s">
        <v>65</v>
      </c>
      <c r="E162" s="982" t="s">
        <v>65</v>
      </c>
      <c r="F162" s="1185" t="s">
        <v>3760</v>
      </c>
      <c r="G162" s="3803"/>
      <c r="H162" s="3803"/>
      <c r="I162" s="3805"/>
      <c r="J162" s="3803"/>
      <c r="K162" s="3816"/>
      <c r="L162" s="422"/>
      <c r="M162" s="3067" t="s">
        <v>5778</v>
      </c>
      <c r="N162" s="3807"/>
      <c r="O162" s="3664"/>
      <c r="P162" s="3664"/>
      <c r="Q162" s="3664"/>
      <c r="R162" s="3664"/>
      <c r="S162" s="3664"/>
      <c r="T162" s="3664"/>
      <c r="U162" s="3664"/>
      <c r="V162" s="3664"/>
      <c r="W162" s="3664"/>
      <c r="X162" s="3664"/>
      <c r="Y162" s="3664"/>
      <c r="Z162" s="3664"/>
      <c r="AA162" s="3664"/>
      <c r="AB162" s="3664"/>
      <c r="AC162" s="3664"/>
      <c r="AD162" s="3664"/>
      <c r="AE162" s="3664"/>
      <c r="AF162" s="3664"/>
      <c r="AG162" s="3664"/>
      <c r="AH162" s="3664"/>
      <c r="AI162" s="3664"/>
      <c r="AJ162" s="3664"/>
      <c r="AK162" s="3664"/>
      <c r="AL162" s="3664"/>
      <c r="AM162" s="3664"/>
      <c r="AN162" s="3664"/>
      <c r="AO162" s="3664"/>
      <c r="AP162" s="3664"/>
      <c r="AQ162" s="3664"/>
      <c r="AR162" s="3664"/>
      <c r="AS162" s="3664"/>
      <c r="AT162" s="3664"/>
      <c r="AU162" s="3664"/>
      <c r="AV162" s="3664"/>
      <c r="AW162" s="3664"/>
      <c r="AX162" s="3597">
        <v>18.29</v>
      </c>
      <c r="AY162" s="3597"/>
      <c r="AZ162" s="3597"/>
      <c r="BA162" s="3597"/>
      <c r="BB162" s="3597"/>
      <c r="BC162" s="3597"/>
      <c r="BD162" s="3597"/>
      <c r="BE162" s="3597"/>
      <c r="BF162" s="3597"/>
      <c r="BG162" s="3597"/>
      <c r="BH162" s="3597"/>
      <c r="BI162" s="3597"/>
      <c r="BJ162" s="3597"/>
      <c r="BK162" s="3597"/>
      <c r="BL162" s="3597"/>
      <c r="BM162" s="3597"/>
      <c r="BN162" s="3597"/>
      <c r="BO162" s="3581"/>
      <c r="BP162" s="3581"/>
      <c r="BQ162" s="3581"/>
      <c r="BR162" s="3581"/>
      <c r="BS162" s="3581"/>
      <c r="BT162" s="3581"/>
      <c r="BU162" s="3581"/>
      <c r="BV162" s="3581"/>
      <c r="BW162" s="3581"/>
      <c r="BX162" s="3581"/>
      <c r="BY162" s="3581"/>
      <c r="BZ162" s="3581"/>
      <c r="CA162" s="3581"/>
      <c r="CB162" s="3581"/>
      <c r="CC162" s="3581"/>
      <c r="CD162" s="3581"/>
      <c r="CE162" s="3581"/>
      <c r="CF162" s="3580">
        <f t="shared" si="47"/>
        <v>18.29</v>
      </c>
    </row>
    <row r="163" spans="1:84" ht="37.5" customHeight="1">
      <c r="A163" s="391" t="s">
        <v>444</v>
      </c>
      <c r="B163" s="391" t="s">
        <v>442</v>
      </c>
      <c r="C163" s="391" t="s">
        <v>443</v>
      </c>
      <c r="D163" s="982" t="s">
        <v>65</v>
      </c>
      <c r="E163" s="982" t="s">
        <v>65</v>
      </c>
      <c r="F163" s="1185" t="s">
        <v>3760</v>
      </c>
      <c r="G163" s="3803"/>
      <c r="H163" s="3803"/>
      <c r="I163" s="3805"/>
      <c r="J163" s="3803"/>
      <c r="K163" s="3816"/>
      <c r="L163" s="3743"/>
      <c r="M163" s="3067" t="s">
        <v>5779</v>
      </c>
      <c r="N163" s="3807"/>
      <c r="O163" s="3664"/>
      <c r="P163" s="3664"/>
      <c r="Q163" s="3664"/>
      <c r="R163" s="3664"/>
      <c r="S163" s="3664"/>
      <c r="T163" s="3664"/>
      <c r="U163" s="3664"/>
      <c r="V163" s="3664"/>
      <c r="W163" s="3664"/>
      <c r="X163" s="3664"/>
      <c r="Y163" s="3664"/>
      <c r="Z163" s="3664"/>
      <c r="AA163" s="3664"/>
      <c r="AB163" s="3664"/>
      <c r="AC163" s="3664"/>
      <c r="AD163" s="3664"/>
      <c r="AE163" s="3664"/>
      <c r="AF163" s="3664"/>
      <c r="AG163" s="3664"/>
      <c r="AH163" s="3664"/>
      <c r="AI163" s="3664"/>
      <c r="AJ163" s="3664"/>
      <c r="AK163" s="3664"/>
      <c r="AL163" s="3664"/>
      <c r="AM163" s="3664"/>
      <c r="AN163" s="3664"/>
      <c r="AO163" s="3664"/>
      <c r="AP163" s="3664"/>
      <c r="AQ163" s="3664"/>
      <c r="AR163" s="3664"/>
      <c r="AS163" s="3664"/>
      <c r="AT163" s="3664"/>
      <c r="AU163" s="3664"/>
      <c r="AV163" s="3664"/>
      <c r="AW163" s="3664"/>
      <c r="AX163" s="3597">
        <v>18.86</v>
      </c>
      <c r="AY163" s="3597"/>
      <c r="AZ163" s="3597"/>
      <c r="BA163" s="3597"/>
      <c r="BB163" s="3597">
        <v>1.74</v>
      </c>
      <c r="BC163" s="3597">
        <v>2.31</v>
      </c>
      <c r="BD163" s="3597">
        <v>1.74</v>
      </c>
      <c r="BE163" s="3597"/>
      <c r="BF163" s="3597"/>
      <c r="BG163" s="3597">
        <v>1.74</v>
      </c>
      <c r="BH163" s="3597"/>
      <c r="BI163" s="3597"/>
      <c r="BJ163" s="3597">
        <v>1.74</v>
      </c>
      <c r="BK163" s="3597"/>
      <c r="BL163" s="3597"/>
      <c r="BM163" s="3597"/>
      <c r="BN163" s="3597"/>
      <c r="BO163" s="3581"/>
      <c r="BP163" s="3581"/>
      <c r="BQ163" s="3581"/>
      <c r="BR163" s="3581"/>
      <c r="BS163" s="3581"/>
      <c r="BT163" s="3581"/>
      <c r="BU163" s="3581"/>
      <c r="BV163" s="3581"/>
      <c r="BW163" s="3581"/>
      <c r="BX163" s="3581"/>
      <c r="BY163" s="3581"/>
      <c r="BZ163" s="3581"/>
      <c r="CA163" s="3581"/>
      <c r="CB163" s="3581"/>
      <c r="CC163" s="3581"/>
      <c r="CD163" s="3581"/>
      <c r="CE163" s="3581"/>
      <c r="CF163" s="3580">
        <f t="shared" si="47"/>
        <v>28.129999999999992</v>
      </c>
    </row>
    <row r="164" spans="1:84" ht="37.5" customHeight="1" thickBot="1">
      <c r="A164" s="391" t="s">
        <v>452</v>
      </c>
      <c r="B164" s="391" t="s">
        <v>453</v>
      </c>
      <c r="C164" s="391" t="s">
        <v>454</v>
      </c>
      <c r="D164" s="982" t="s">
        <v>65</v>
      </c>
      <c r="E164" s="982" t="s">
        <v>65</v>
      </c>
      <c r="F164" s="1185" t="s">
        <v>3760</v>
      </c>
      <c r="G164" s="3718"/>
      <c r="H164" s="3720">
        <v>200000</v>
      </c>
      <c r="I164" s="3722">
        <f>H164/100000</f>
        <v>2</v>
      </c>
      <c r="J164" s="3720">
        <v>12</v>
      </c>
      <c r="K164" s="3724">
        <f>I164*J164</f>
        <v>24</v>
      </c>
      <c r="L164" s="380"/>
      <c r="M164" s="2912" t="s">
        <v>5780</v>
      </c>
      <c r="N164" s="3744">
        <v>24</v>
      </c>
      <c r="O164" s="3664"/>
      <c r="P164" s="3664"/>
      <c r="Q164" s="3742"/>
      <c r="R164" s="3664"/>
      <c r="S164" s="3664"/>
      <c r="T164" s="3664"/>
      <c r="U164" s="3664"/>
      <c r="V164" s="3664"/>
      <c r="W164" s="3664"/>
      <c r="X164" s="3664"/>
      <c r="Y164" s="3664"/>
      <c r="Z164" s="3664"/>
      <c r="AA164" s="3664"/>
      <c r="AB164" s="3664"/>
      <c r="AC164" s="3664"/>
      <c r="AD164" s="3664"/>
      <c r="AE164" s="3664"/>
      <c r="AF164" s="3664"/>
      <c r="AG164" s="3664"/>
      <c r="AH164" s="3664"/>
      <c r="AI164" s="3664"/>
      <c r="AJ164" s="3664"/>
      <c r="AK164" s="3664"/>
      <c r="AL164" s="3664"/>
      <c r="AM164" s="3664"/>
      <c r="AN164" s="3664"/>
      <c r="AO164" s="3664"/>
      <c r="AP164" s="3664"/>
      <c r="AQ164" s="3664"/>
      <c r="AR164" s="3664"/>
      <c r="AS164" s="3664"/>
      <c r="AT164" s="3664"/>
      <c r="AU164" s="3664"/>
      <c r="AV164" s="3664"/>
      <c r="AW164" s="3664"/>
      <c r="AX164" s="3597">
        <v>24</v>
      </c>
      <c r="AY164" s="3597"/>
      <c r="AZ164" s="3597"/>
      <c r="BA164" s="3597"/>
      <c r="BB164" s="3597"/>
      <c r="BC164" s="3597"/>
      <c r="BD164" s="3597"/>
      <c r="BE164" s="3597"/>
      <c r="BF164" s="3597"/>
      <c r="BG164" s="3597"/>
      <c r="BH164" s="3597"/>
      <c r="BI164" s="3597"/>
      <c r="BJ164" s="3597"/>
      <c r="BK164" s="3597"/>
      <c r="BL164" s="3597"/>
      <c r="BM164" s="3597"/>
      <c r="BN164" s="3597"/>
      <c r="BO164" s="3581"/>
      <c r="BP164" s="3581"/>
      <c r="BQ164" s="3581"/>
      <c r="BR164" s="3581"/>
      <c r="BS164" s="3581"/>
      <c r="BT164" s="3581"/>
      <c r="BU164" s="3581"/>
      <c r="BV164" s="3581"/>
      <c r="BW164" s="3581"/>
      <c r="BX164" s="3581"/>
      <c r="BY164" s="3581"/>
      <c r="BZ164" s="3581"/>
      <c r="CA164" s="3581"/>
      <c r="CB164" s="3581"/>
      <c r="CC164" s="3581"/>
      <c r="CD164" s="3581"/>
      <c r="CE164" s="3581"/>
      <c r="CF164" s="3580">
        <f t="shared" si="47"/>
        <v>24</v>
      </c>
    </row>
    <row r="165" spans="1:84" ht="37.5" customHeight="1">
      <c r="A165" s="391" t="s">
        <v>474</v>
      </c>
      <c r="B165" s="391" t="s">
        <v>2343</v>
      </c>
      <c r="C165" s="391" t="s">
        <v>2342</v>
      </c>
      <c r="D165" s="982" t="s">
        <v>65</v>
      </c>
      <c r="E165" s="982" t="s">
        <v>65</v>
      </c>
      <c r="F165" s="1185" t="s">
        <v>3760</v>
      </c>
      <c r="G165" s="3813"/>
      <c r="H165" s="3802">
        <v>353000</v>
      </c>
      <c r="I165" s="3804">
        <f>H165/100000</f>
        <v>3.53</v>
      </c>
      <c r="J165" s="3802">
        <v>16</v>
      </c>
      <c r="K165" s="3815">
        <f>I165*J165</f>
        <v>56.48</v>
      </c>
      <c r="L165" s="289"/>
      <c r="M165" s="3067"/>
      <c r="N165" s="3819">
        <v>56.48</v>
      </c>
      <c r="O165" s="3664"/>
      <c r="P165" s="3664"/>
      <c r="Q165" s="3742"/>
      <c r="R165" s="3664"/>
      <c r="S165" s="3664"/>
      <c r="T165" s="3664"/>
      <c r="U165" s="3664"/>
      <c r="V165" s="3664"/>
      <c r="W165" s="3664"/>
      <c r="X165" s="3664"/>
      <c r="Y165" s="3664"/>
      <c r="Z165" s="3664"/>
      <c r="AA165" s="3664"/>
      <c r="AB165" s="3664"/>
      <c r="AC165" s="3664"/>
      <c r="AD165" s="3664"/>
      <c r="AE165" s="3664"/>
      <c r="AF165" s="3664"/>
      <c r="AG165" s="3664"/>
      <c r="AH165" s="3664"/>
      <c r="AI165" s="3664"/>
      <c r="AJ165" s="3664"/>
      <c r="AK165" s="3664"/>
      <c r="AL165" s="3664"/>
      <c r="AM165" s="3664"/>
      <c r="AN165" s="3664"/>
      <c r="AO165" s="3664"/>
      <c r="AP165" s="3664"/>
      <c r="AQ165" s="3664"/>
      <c r="AR165" s="3664"/>
      <c r="AS165" s="3664"/>
      <c r="AT165" s="3664"/>
      <c r="AU165" s="3664"/>
      <c r="AV165" s="3664"/>
      <c r="AW165" s="3664"/>
      <c r="AX165" s="3597"/>
      <c r="AY165" s="3597"/>
      <c r="AZ165" s="3597"/>
      <c r="BA165" s="3597"/>
      <c r="BB165" s="3597"/>
      <c r="BC165" s="3597"/>
      <c r="BD165" s="3597"/>
      <c r="BE165" s="3597"/>
      <c r="BF165" s="3597"/>
      <c r="BG165" s="3597"/>
      <c r="BH165" s="3597"/>
      <c r="BI165" s="3597"/>
      <c r="BJ165" s="3597"/>
      <c r="BK165" s="3597"/>
      <c r="BL165" s="3597"/>
      <c r="BM165" s="3597"/>
      <c r="BN165" s="3597"/>
      <c r="BO165" s="3581"/>
      <c r="BP165" s="3581"/>
      <c r="BQ165" s="3581"/>
      <c r="BR165" s="3581"/>
      <c r="BS165" s="3581"/>
      <c r="BT165" s="3581"/>
      <c r="BU165" s="3581"/>
      <c r="BV165" s="3581"/>
      <c r="BW165" s="3581"/>
      <c r="BX165" s="3581"/>
      <c r="BY165" s="3581"/>
      <c r="BZ165" s="3581"/>
      <c r="CA165" s="3581"/>
      <c r="CB165" s="3581"/>
      <c r="CC165" s="3581"/>
      <c r="CD165" s="3581"/>
      <c r="CE165" s="3581"/>
      <c r="CF165" s="3580">
        <f t="shared" si="47"/>
        <v>0</v>
      </c>
    </row>
    <row r="166" spans="1:84" ht="37.5" customHeight="1" thickBot="1">
      <c r="A166" s="391" t="s">
        <v>475</v>
      </c>
      <c r="B166" s="391" t="s">
        <v>476</v>
      </c>
      <c r="C166" s="391" t="s">
        <v>477</v>
      </c>
      <c r="D166" s="982" t="s">
        <v>65</v>
      </c>
      <c r="E166" s="982" t="s">
        <v>65</v>
      </c>
      <c r="F166" s="1185" t="s">
        <v>3760</v>
      </c>
      <c r="G166" s="3814"/>
      <c r="H166" s="3803"/>
      <c r="I166" s="3805"/>
      <c r="J166" s="3803"/>
      <c r="K166" s="3816"/>
      <c r="L166" s="3743"/>
      <c r="M166" s="2912" t="s">
        <v>5782</v>
      </c>
      <c r="N166" s="3820"/>
      <c r="O166" s="3664"/>
      <c r="P166" s="3664"/>
      <c r="Q166" s="3664"/>
      <c r="R166" s="3664"/>
      <c r="S166" s="3664"/>
      <c r="T166" s="3664"/>
      <c r="U166" s="3664"/>
      <c r="V166" s="3664"/>
      <c r="W166" s="3664"/>
      <c r="X166" s="3664"/>
      <c r="Y166" s="3664"/>
      <c r="Z166" s="3664"/>
      <c r="AA166" s="3664"/>
      <c r="AB166" s="3664"/>
      <c r="AC166" s="3664"/>
      <c r="AD166" s="3664"/>
      <c r="AE166" s="3664"/>
      <c r="AF166" s="3664"/>
      <c r="AG166" s="3664"/>
      <c r="AH166" s="3664"/>
      <c r="AI166" s="3664"/>
      <c r="AJ166" s="3664"/>
      <c r="AK166" s="3664"/>
      <c r="AL166" s="3664"/>
      <c r="AM166" s="3664"/>
      <c r="AN166" s="3664"/>
      <c r="AO166" s="3664"/>
      <c r="AP166" s="3664"/>
      <c r="AQ166" s="3664"/>
      <c r="AR166" s="3664"/>
      <c r="AS166" s="3664"/>
      <c r="AT166" s="3664"/>
      <c r="AU166" s="3664"/>
      <c r="AV166" s="3664"/>
      <c r="AW166" s="3664"/>
      <c r="AX166" s="3597">
        <v>38.4</v>
      </c>
      <c r="AY166" s="3597"/>
      <c r="AZ166" s="3597"/>
      <c r="BA166" s="3597"/>
      <c r="BB166" s="3597"/>
      <c r="BC166" s="3597"/>
      <c r="BD166" s="3597"/>
      <c r="BE166" s="3597"/>
      <c r="BF166" s="3597"/>
      <c r="BG166" s="3597"/>
      <c r="BH166" s="3597"/>
      <c r="BI166" s="3597"/>
      <c r="BJ166" s="3597"/>
      <c r="BK166" s="3597"/>
      <c r="BL166" s="3597"/>
      <c r="BM166" s="3597"/>
      <c r="BN166" s="3597"/>
      <c r="BO166" s="3581"/>
      <c r="BP166" s="3581"/>
      <c r="BQ166" s="3581"/>
      <c r="BR166" s="3581"/>
      <c r="BS166" s="3581"/>
      <c r="BT166" s="3581"/>
      <c r="BU166" s="3581"/>
      <c r="BV166" s="3581"/>
      <c r="BW166" s="3581"/>
      <c r="BX166" s="3581"/>
      <c r="BY166" s="3581"/>
      <c r="BZ166" s="3581"/>
      <c r="CA166" s="3581"/>
      <c r="CB166" s="3581"/>
      <c r="CC166" s="3581"/>
      <c r="CD166" s="3581"/>
      <c r="CE166" s="3581"/>
      <c r="CF166" s="3580">
        <f t="shared" si="47"/>
        <v>38.4</v>
      </c>
    </row>
    <row r="167" spans="1:84" ht="37.5" customHeight="1" thickBot="1">
      <c r="A167" s="233" t="s">
        <v>493</v>
      </c>
      <c r="B167" s="233" t="s">
        <v>491</v>
      </c>
      <c r="C167" s="233" t="s">
        <v>2344</v>
      </c>
      <c r="D167" s="2095" t="s">
        <v>65</v>
      </c>
      <c r="E167" s="2095" t="s">
        <v>65</v>
      </c>
      <c r="F167" s="3730" t="s">
        <v>3760</v>
      </c>
      <c r="G167" s="3814"/>
      <c r="H167" s="3803"/>
      <c r="I167" s="3805"/>
      <c r="J167" s="3803"/>
      <c r="K167" s="3816"/>
      <c r="L167" s="380"/>
      <c r="M167" s="3732" t="s">
        <v>6001</v>
      </c>
      <c r="N167" s="3820"/>
      <c r="O167" s="3653"/>
      <c r="P167" s="3653"/>
      <c r="Q167" s="3653"/>
      <c r="R167" s="3653"/>
      <c r="S167" s="3653"/>
      <c r="T167" s="3653"/>
      <c r="U167" s="3653"/>
      <c r="V167" s="3653"/>
      <c r="W167" s="3653"/>
      <c r="X167" s="3653"/>
      <c r="Y167" s="3653"/>
      <c r="Z167" s="3653"/>
      <c r="AA167" s="3653"/>
      <c r="AB167" s="3653"/>
      <c r="AC167" s="3653"/>
      <c r="AD167" s="3653"/>
      <c r="AE167" s="3653"/>
      <c r="AF167" s="3653"/>
      <c r="AG167" s="3653"/>
      <c r="AH167" s="3653"/>
      <c r="AI167" s="3653"/>
      <c r="AJ167" s="3653"/>
      <c r="AK167" s="3653"/>
      <c r="AL167" s="3653"/>
      <c r="AM167" s="3653"/>
      <c r="AN167" s="3653"/>
      <c r="AO167" s="3653"/>
      <c r="AP167" s="3653"/>
      <c r="AQ167" s="3653"/>
      <c r="AR167" s="3653"/>
      <c r="AS167" s="3653"/>
      <c r="AT167" s="3653"/>
      <c r="AU167" s="3653"/>
      <c r="AV167" s="3653"/>
      <c r="AW167" s="3653"/>
      <c r="AX167" s="3595">
        <f>18.08-4.8</f>
        <v>13.279999999999998</v>
      </c>
      <c r="AY167" s="3595"/>
      <c r="AZ167" s="3595"/>
      <c r="BA167" s="3595"/>
      <c r="BB167" s="3595">
        <v>4.8</v>
      </c>
      <c r="BC167" s="3595"/>
      <c r="BD167" s="3595"/>
      <c r="BE167" s="3595"/>
      <c r="BF167" s="3595"/>
      <c r="BG167" s="3595"/>
      <c r="BH167" s="3595"/>
      <c r="BI167" s="3595"/>
      <c r="BJ167" s="3595"/>
      <c r="BK167" s="3595"/>
      <c r="BL167" s="3595"/>
      <c r="BM167" s="3595"/>
      <c r="BN167" s="3595"/>
      <c r="BO167" s="3580"/>
      <c r="BP167" s="3580"/>
      <c r="BQ167" s="3580"/>
      <c r="BR167" s="3580"/>
      <c r="BS167" s="3580"/>
      <c r="BT167" s="3580"/>
      <c r="BU167" s="3580"/>
      <c r="BV167" s="3580"/>
      <c r="BW167" s="3580"/>
      <c r="BX167" s="3580"/>
      <c r="BY167" s="3580"/>
      <c r="BZ167" s="3580"/>
      <c r="CA167" s="3580"/>
      <c r="CB167" s="3580"/>
      <c r="CC167" s="3580"/>
      <c r="CD167" s="3580"/>
      <c r="CE167" s="3580"/>
      <c r="CF167" s="3580">
        <f t="shared" si="47"/>
        <v>18.079999999999998</v>
      </c>
    </row>
    <row r="168" spans="1:84" ht="37.5" customHeight="1">
      <c r="A168" s="391" t="s">
        <v>501</v>
      </c>
      <c r="B168" s="391" t="s">
        <v>502</v>
      </c>
      <c r="C168" s="391" t="s">
        <v>503</v>
      </c>
      <c r="D168" s="982" t="s">
        <v>65</v>
      </c>
      <c r="E168" s="982" t="s">
        <v>65</v>
      </c>
      <c r="F168" s="1185" t="s">
        <v>3760</v>
      </c>
      <c r="G168" s="3813"/>
      <c r="H168" s="3802">
        <v>121084</v>
      </c>
      <c r="I168" s="3804">
        <f>H168/100000</f>
        <v>1.2108399999999999</v>
      </c>
      <c r="J168" s="3802">
        <v>84</v>
      </c>
      <c r="K168" s="3815">
        <f>I168*J168</f>
        <v>101.71055999999999</v>
      </c>
      <c r="L168" s="3817" t="s">
        <v>5504</v>
      </c>
      <c r="M168" s="3122" t="s">
        <v>5937</v>
      </c>
      <c r="N168" s="3806">
        <v>92.39</v>
      </c>
      <c r="O168" s="3664"/>
      <c r="P168" s="3664"/>
      <c r="Q168" s="3742"/>
      <c r="R168" s="3664"/>
      <c r="S168" s="3664"/>
      <c r="T168" s="3664"/>
      <c r="U168" s="3664"/>
      <c r="V168" s="3664"/>
      <c r="W168" s="3664"/>
      <c r="X168" s="3664"/>
      <c r="Y168" s="3664"/>
      <c r="Z168" s="3664"/>
      <c r="AA168" s="3664"/>
      <c r="AB168" s="3664"/>
      <c r="AC168" s="3664"/>
      <c r="AD168" s="3664"/>
      <c r="AE168" s="3664"/>
      <c r="AF168" s="3664"/>
      <c r="AG168" s="3664"/>
      <c r="AH168" s="3664"/>
      <c r="AI168" s="3664"/>
      <c r="AJ168" s="3664"/>
      <c r="AK168" s="3664"/>
      <c r="AL168" s="3664"/>
      <c r="AM168" s="3664"/>
      <c r="AN168" s="3664"/>
      <c r="AO168" s="3664"/>
      <c r="AP168" s="3664"/>
      <c r="AQ168" s="3664"/>
      <c r="AR168" s="3664"/>
      <c r="AS168" s="3664"/>
      <c r="AT168" s="3664"/>
      <c r="AU168" s="3664"/>
      <c r="AV168" s="3664"/>
      <c r="AW168" s="3664"/>
      <c r="AX168" s="3597"/>
      <c r="AY168" s="3597"/>
      <c r="AZ168" s="3597"/>
      <c r="BA168" s="3597"/>
      <c r="BB168" s="3597"/>
      <c r="BC168" s="3597"/>
      <c r="BD168" s="3597"/>
      <c r="BE168" s="3597"/>
      <c r="BF168" s="3597"/>
      <c r="BG168" s="3597"/>
      <c r="BH168" s="3597"/>
      <c r="BI168" s="3597"/>
      <c r="BJ168" s="3597"/>
      <c r="BK168" s="3597"/>
      <c r="BL168" s="3597"/>
      <c r="BM168" s="3597"/>
      <c r="BN168" s="3597"/>
      <c r="BO168" s="3597"/>
      <c r="BP168" s="3597"/>
      <c r="BQ168" s="3597"/>
      <c r="BR168" s="3597"/>
      <c r="BS168" s="3597"/>
      <c r="BT168" s="3597"/>
      <c r="BU168" s="3597"/>
      <c r="BV168" s="3597"/>
      <c r="BW168" s="3597"/>
      <c r="BX168" s="3597"/>
      <c r="BY168" s="3597"/>
      <c r="BZ168" s="3597"/>
      <c r="CA168" s="3597"/>
      <c r="CB168" s="3597"/>
      <c r="CC168" s="3597"/>
      <c r="CD168" s="3597"/>
      <c r="CE168" s="3597"/>
      <c r="CF168" s="3580">
        <f t="shared" si="47"/>
        <v>0</v>
      </c>
    </row>
    <row r="169" spans="1:84" ht="37.5" customHeight="1">
      <c r="A169" s="391" t="s">
        <v>504</v>
      </c>
      <c r="B169" s="391" t="s">
        <v>505</v>
      </c>
      <c r="C169" s="391" t="s">
        <v>506</v>
      </c>
      <c r="D169" s="982" t="s">
        <v>65</v>
      </c>
      <c r="E169" s="982" t="s">
        <v>65</v>
      </c>
      <c r="F169" s="1185" t="s">
        <v>3760</v>
      </c>
      <c r="G169" s="3814"/>
      <c r="H169" s="3803"/>
      <c r="I169" s="3805"/>
      <c r="J169" s="3803"/>
      <c r="K169" s="3816"/>
      <c r="L169" s="3818"/>
      <c r="M169" s="3122"/>
      <c r="N169" s="3807"/>
      <c r="O169" s="3664"/>
      <c r="P169" s="3664"/>
      <c r="Q169" s="3664"/>
      <c r="R169" s="3664"/>
      <c r="S169" s="3664"/>
      <c r="T169" s="3664"/>
      <c r="U169" s="3664"/>
      <c r="V169" s="3664"/>
      <c r="W169" s="3664"/>
      <c r="X169" s="3664"/>
      <c r="Y169" s="3664"/>
      <c r="Z169" s="3664"/>
      <c r="AA169" s="3664"/>
      <c r="AB169" s="3664"/>
      <c r="AC169" s="3664"/>
      <c r="AD169" s="3664"/>
      <c r="AE169" s="3664"/>
      <c r="AF169" s="3664"/>
      <c r="AG169" s="3664"/>
      <c r="AH169" s="3664"/>
      <c r="AI169" s="3664"/>
      <c r="AJ169" s="3664"/>
      <c r="AK169" s="3664"/>
      <c r="AL169" s="3664"/>
      <c r="AM169" s="3664"/>
      <c r="AN169" s="3664"/>
      <c r="AO169" s="3664"/>
      <c r="AP169" s="3664"/>
      <c r="AQ169" s="3664"/>
      <c r="AR169" s="3664"/>
      <c r="AS169" s="3664"/>
      <c r="AT169" s="3664"/>
      <c r="AU169" s="3664"/>
      <c r="AV169" s="3664"/>
      <c r="AW169" s="3664"/>
      <c r="AX169" s="3597">
        <f>2.48+4.11</f>
        <v>6.59</v>
      </c>
      <c r="AY169" s="3597">
        <f>+(1*34353*12)*105%/100000</f>
        <v>4.3284780000000005</v>
      </c>
      <c r="AZ169" s="3597">
        <f>+(1*26250*12)*105%/100000</f>
        <v>3.3075000000000001</v>
      </c>
      <c r="BA169" s="3597">
        <f>+(1*26250*12)*105%/100000</f>
        <v>3.3075000000000001</v>
      </c>
      <c r="BB169" s="3597">
        <f>+(1*26250*12)*105%/100000</f>
        <v>3.3075000000000001</v>
      </c>
      <c r="BC169" s="3597">
        <f>+(1*26250*12)*105%/100000</f>
        <v>3.3075000000000001</v>
      </c>
      <c r="BD169" s="3597">
        <f>+(1*26250*12)*105%/100000</f>
        <v>3.3075000000000001</v>
      </c>
      <c r="BE169" s="3597">
        <v>0</v>
      </c>
      <c r="BF169" s="3597">
        <f>+(1*32909*12+1*26250*12)*105%/100000</f>
        <v>7.454034</v>
      </c>
      <c r="BG169" s="3597">
        <f>+(1*33603*12)*105%/100000</f>
        <v>4.2339780000000005</v>
      </c>
      <c r="BH169" s="3597">
        <f>+(1*26250*12)*105%/100000</f>
        <v>3.3075000000000001</v>
      </c>
      <c r="BI169" s="3597">
        <f>+(1*32909*12)*105%/100000</f>
        <v>4.1465339999999999</v>
      </c>
      <c r="BJ169" s="3597">
        <f>+(1*26250*12)*105%/100000</f>
        <v>3.3075000000000001</v>
      </c>
      <c r="BK169" s="3597"/>
      <c r="BL169" s="3597"/>
      <c r="BM169" s="3597"/>
      <c r="BN169" s="3597"/>
      <c r="BO169" s="3597"/>
      <c r="BP169" s="3597"/>
      <c r="BQ169" s="3597"/>
      <c r="BR169" s="3597"/>
      <c r="BS169" s="3597"/>
      <c r="BT169" s="3597"/>
      <c r="BU169" s="3597"/>
      <c r="BV169" s="3597"/>
      <c r="BW169" s="3597"/>
      <c r="BX169" s="3597"/>
      <c r="BY169" s="3597"/>
      <c r="BZ169" s="3597"/>
      <c r="CA169" s="3597"/>
      <c r="CB169" s="3597"/>
      <c r="CC169" s="3597"/>
      <c r="CD169" s="3597"/>
      <c r="CE169" s="3597"/>
      <c r="CF169" s="3580">
        <f t="shared" si="47"/>
        <v>49.905524000000007</v>
      </c>
    </row>
    <row r="170" spans="1:84" ht="37.5" customHeight="1">
      <c r="A170" s="391" t="s">
        <v>4165</v>
      </c>
      <c r="B170" s="391" t="s">
        <v>510</v>
      </c>
      <c r="C170" s="391" t="s">
        <v>511</v>
      </c>
      <c r="D170" s="982" t="s">
        <v>65</v>
      </c>
      <c r="E170" s="982" t="s">
        <v>65</v>
      </c>
      <c r="F170" s="1185" t="s">
        <v>3760</v>
      </c>
      <c r="G170" s="3814"/>
      <c r="H170" s="3803"/>
      <c r="I170" s="3805"/>
      <c r="J170" s="3803"/>
      <c r="K170" s="3816"/>
      <c r="L170" s="3818"/>
      <c r="M170" s="3745" t="s">
        <v>5938</v>
      </c>
      <c r="N170" s="3807"/>
      <c r="O170" s="3664"/>
      <c r="P170" s="3664"/>
      <c r="Q170" s="3664"/>
      <c r="R170" s="3664"/>
      <c r="S170" s="3664"/>
      <c r="T170" s="3664"/>
      <c r="U170" s="3664"/>
      <c r="V170" s="3664"/>
      <c r="W170" s="3664"/>
      <c r="X170" s="3664"/>
      <c r="Y170" s="3664"/>
      <c r="Z170" s="3664"/>
      <c r="AA170" s="3664"/>
      <c r="AB170" s="3664"/>
      <c r="AC170" s="3664"/>
      <c r="AD170" s="3664"/>
      <c r="AE170" s="3664"/>
      <c r="AF170" s="3664"/>
      <c r="AG170" s="3664"/>
      <c r="AH170" s="3664"/>
      <c r="AI170" s="3664"/>
      <c r="AJ170" s="3664"/>
      <c r="AK170" s="3664"/>
      <c r="AL170" s="3664"/>
      <c r="AM170" s="3664"/>
      <c r="AN170" s="3664"/>
      <c r="AO170" s="3664"/>
      <c r="AP170" s="3664"/>
      <c r="AQ170" s="3664"/>
      <c r="AR170" s="3664"/>
      <c r="AS170" s="3664"/>
      <c r="AT170" s="3664"/>
      <c r="AU170" s="3664"/>
      <c r="AV170" s="3664"/>
      <c r="AW170" s="3664"/>
      <c r="AX170" s="3597">
        <v>5.72</v>
      </c>
      <c r="AY170" s="3597">
        <f>+(2*8710*12)*105%/100000</f>
        <v>2.1949200000000002</v>
      </c>
      <c r="AZ170" s="3597">
        <f>+(2*10195*12)*105%/100000</f>
        <v>2.56914</v>
      </c>
      <c r="BA170" s="3597">
        <f>+(2*8710*12)*105%/100000</f>
        <v>2.1949200000000002</v>
      </c>
      <c r="BB170" s="3597">
        <f>+(2*10195*12)*105%/100000</f>
        <v>2.56914</v>
      </c>
      <c r="BC170" s="3597">
        <f>+(2*8710*12)*105%/100000</f>
        <v>2.1949200000000002</v>
      </c>
      <c r="BD170" s="3597">
        <f>+(2*8710*12)*105%/100000</f>
        <v>2.1949200000000002</v>
      </c>
      <c r="BE170" s="3597"/>
      <c r="BF170" s="3597">
        <f>+(2*10289*12+1*9943*12)*105%/100000</f>
        <v>3.8456460000000003</v>
      </c>
      <c r="BG170" s="3597">
        <f>+(1*9943*12)*105%/100000</f>
        <v>1.252818</v>
      </c>
      <c r="BH170" s="3597">
        <f>+(2*8710*12)*105%/100000</f>
        <v>2.1949200000000002</v>
      </c>
      <c r="BI170" s="3597">
        <f>+(2*10289*12)*105%/100000</f>
        <v>2.5928280000000004</v>
      </c>
      <c r="BJ170" s="3597">
        <f>+(2*8710*12)*105%/100000</f>
        <v>2.1949200000000002</v>
      </c>
      <c r="BK170" s="3597"/>
      <c r="BL170" s="3597"/>
      <c r="BM170" s="3597"/>
      <c r="BN170" s="3597"/>
      <c r="BO170" s="3597"/>
      <c r="BP170" s="3597"/>
      <c r="BQ170" s="3597"/>
      <c r="BR170" s="3597"/>
      <c r="BS170" s="3597"/>
      <c r="BT170" s="3597"/>
      <c r="BU170" s="3597"/>
      <c r="BV170" s="3597"/>
      <c r="BW170" s="3597"/>
      <c r="BX170" s="3597"/>
      <c r="BY170" s="3597"/>
      <c r="BZ170" s="3597"/>
      <c r="CA170" s="3597"/>
      <c r="CB170" s="3597"/>
      <c r="CC170" s="3597"/>
      <c r="CD170" s="3597"/>
      <c r="CE170" s="3597"/>
      <c r="CF170" s="3580">
        <f t="shared" si="47"/>
        <v>31.719092000000003</v>
      </c>
    </row>
    <row r="171" spans="1:84" ht="37.5" customHeight="1">
      <c r="A171" s="391" t="s">
        <v>4167</v>
      </c>
      <c r="B171" s="391" t="s">
        <v>514</v>
      </c>
      <c r="C171" s="391" t="s">
        <v>515</v>
      </c>
      <c r="D171" s="982" t="s">
        <v>65</v>
      </c>
      <c r="E171" s="982" t="s">
        <v>65</v>
      </c>
      <c r="F171" s="1185" t="s">
        <v>3760</v>
      </c>
      <c r="G171" s="3814"/>
      <c r="H171" s="3803"/>
      <c r="I171" s="3805"/>
      <c r="J171" s="3803"/>
      <c r="K171" s="3816"/>
      <c r="L171" s="3818"/>
      <c r="M171" s="3745" t="s">
        <v>5933</v>
      </c>
      <c r="N171" s="3808"/>
      <c r="O171" s="3664"/>
      <c r="P171" s="3664"/>
      <c r="Q171" s="3664"/>
      <c r="R171" s="3664"/>
      <c r="S171" s="3664"/>
      <c r="T171" s="3664"/>
      <c r="U171" s="3664"/>
      <c r="V171" s="3664"/>
      <c r="W171" s="3664"/>
      <c r="X171" s="3664"/>
      <c r="Y171" s="3664"/>
      <c r="Z171" s="3664"/>
      <c r="AA171" s="3664"/>
      <c r="AB171" s="3664"/>
      <c r="AC171" s="3664"/>
      <c r="AD171" s="3664"/>
      <c r="AE171" s="3664"/>
      <c r="AF171" s="3664"/>
      <c r="AG171" s="3664"/>
      <c r="AH171" s="3664"/>
      <c r="AI171" s="3664"/>
      <c r="AJ171" s="3664"/>
      <c r="AK171" s="3664"/>
      <c r="AL171" s="3664"/>
      <c r="AM171" s="3664"/>
      <c r="AN171" s="3664"/>
      <c r="AO171" s="3664"/>
      <c r="AP171" s="3664"/>
      <c r="AQ171" s="3664"/>
      <c r="AR171" s="3664"/>
      <c r="AS171" s="3664"/>
      <c r="AT171" s="3664"/>
      <c r="AU171" s="3664"/>
      <c r="AV171" s="3664"/>
      <c r="AW171" s="3664"/>
      <c r="AX171" s="3597">
        <v>2.68</v>
      </c>
      <c r="AY171" s="3597">
        <f>+(1*6200*12)*105%/100000</f>
        <v>0.78120000000000001</v>
      </c>
      <c r="AZ171" s="3597">
        <f>+(1*6200*12)*105%/100000</f>
        <v>0.78120000000000001</v>
      </c>
      <c r="BA171" s="3597">
        <f>+(1*6200*12)*105%/100000</f>
        <v>0.78120000000000001</v>
      </c>
      <c r="BB171" s="3597"/>
      <c r="BC171" s="3597"/>
      <c r="BD171" s="3597">
        <f>+(1*6200*12)*105%/100000</f>
        <v>0.78120000000000001</v>
      </c>
      <c r="BE171" s="3597">
        <f>+(1*6200*12)*105%/100000</f>
        <v>0.78120000000000001</v>
      </c>
      <c r="BF171" s="3597">
        <f>+(1*6806*12)*105%/100000</f>
        <v>0.8575560000000001</v>
      </c>
      <c r="BG171" s="3597">
        <f>+(1*6559*12)*105%/100000</f>
        <v>0.82643400000000011</v>
      </c>
      <c r="BH171" s="3597">
        <f>+(1*6806*12)*105%/100000</f>
        <v>0.8575560000000001</v>
      </c>
      <c r="BI171" s="3597">
        <f>+(1*6806*12)*105%/100000</f>
        <v>0.8575560000000001</v>
      </c>
      <c r="BJ171" s="3597">
        <f>+(1*6200*12)*105%/100000</f>
        <v>0.78120000000000001</v>
      </c>
      <c r="BK171" s="3597"/>
      <c r="BL171" s="3597"/>
      <c r="BM171" s="3597"/>
      <c r="BN171" s="3597"/>
      <c r="BO171" s="3597"/>
      <c r="BP171" s="3597"/>
      <c r="BQ171" s="3597"/>
      <c r="BR171" s="3597"/>
      <c r="BS171" s="3597"/>
      <c r="BT171" s="3597"/>
      <c r="BU171" s="3597"/>
      <c r="BV171" s="3597"/>
      <c r="BW171" s="3597"/>
      <c r="BX171" s="3597"/>
      <c r="BY171" s="3597"/>
      <c r="BZ171" s="3597"/>
      <c r="CA171" s="3597"/>
      <c r="CB171" s="3597"/>
      <c r="CC171" s="3597"/>
      <c r="CD171" s="3597"/>
      <c r="CE171" s="3597"/>
      <c r="CF171" s="3580">
        <f t="shared" si="47"/>
        <v>10.766302000000001</v>
      </c>
    </row>
    <row r="172" spans="1:84" ht="37.5" customHeight="1">
      <c r="A172" s="902" t="s">
        <v>517</v>
      </c>
      <c r="B172" s="1004" t="s">
        <v>518</v>
      </c>
      <c r="C172" s="1176" t="s">
        <v>519</v>
      </c>
      <c r="D172" s="3730" t="s">
        <v>65</v>
      </c>
      <c r="E172" s="3730" t="s">
        <v>65</v>
      </c>
      <c r="F172" s="3730" t="s">
        <v>3760</v>
      </c>
      <c r="G172" s="243"/>
      <c r="H172" s="243"/>
      <c r="I172" s="1447"/>
      <c r="J172" s="279"/>
      <c r="K172" s="2906" t="e">
        <f>SUM(#REF!)</f>
        <v>#REF!</v>
      </c>
      <c r="L172" s="236"/>
      <c r="M172" s="3064"/>
      <c r="N172" s="3665">
        <v>38.4</v>
      </c>
      <c r="O172" s="3664"/>
      <c r="P172" s="3664"/>
      <c r="Q172" s="3742"/>
      <c r="R172" s="3664"/>
      <c r="S172" s="3664"/>
      <c r="T172" s="3664"/>
      <c r="U172" s="3664"/>
      <c r="V172" s="3664"/>
      <c r="W172" s="3664"/>
      <c r="X172" s="3664"/>
      <c r="Y172" s="3664"/>
      <c r="Z172" s="3664"/>
      <c r="AA172" s="3664"/>
      <c r="AB172" s="3664"/>
      <c r="AC172" s="3664"/>
      <c r="AD172" s="3664"/>
      <c r="AE172" s="3664"/>
      <c r="AF172" s="3664"/>
      <c r="AG172" s="3664"/>
      <c r="AH172" s="3664"/>
      <c r="AI172" s="3664"/>
      <c r="AJ172" s="3664"/>
      <c r="AK172" s="3664"/>
      <c r="AL172" s="3664"/>
      <c r="AM172" s="3664"/>
      <c r="AN172" s="3664"/>
      <c r="AO172" s="3664"/>
      <c r="AP172" s="3664"/>
      <c r="AQ172" s="3664"/>
      <c r="AR172" s="3664"/>
      <c r="AS172" s="3664"/>
      <c r="AT172" s="3664"/>
      <c r="AU172" s="3664"/>
      <c r="AV172" s="3664"/>
      <c r="AW172" s="3664"/>
      <c r="AX172" s="3597">
        <v>38.4</v>
      </c>
      <c r="AY172" s="3597"/>
      <c r="AZ172" s="3597"/>
      <c r="BA172" s="3597"/>
      <c r="BB172" s="3597"/>
      <c r="BC172" s="3597"/>
      <c r="BD172" s="3597"/>
      <c r="BE172" s="3597"/>
      <c r="BF172" s="3597"/>
      <c r="BG172" s="3597"/>
      <c r="BH172" s="3597"/>
      <c r="BI172" s="3597"/>
      <c r="BJ172" s="3597"/>
      <c r="BK172" s="3597"/>
      <c r="BL172" s="3597"/>
      <c r="BM172" s="3597"/>
      <c r="BN172" s="3597"/>
      <c r="BO172" s="3597"/>
      <c r="BP172" s="3597"/>
      <c r="BQ172" s="3597"/>
      <c r="BR172" s="3597"/>
      <c r="BS172" s="3597"/>
      <c r="BT172" s="3597"/>
      <c r="BU172" s="3597"/>
      <c r="BV172" s="3597"/>
      <c r="BW172" s="3597"/>
      <c r="BX172" s="3597"/>
      <c r="BY172" s="3597"/>
      <c r="BZ172" s="3597"/>
      <c r="CA172" s="3597"/>
      <c r="CB172" s="3597"/>
      <c r="CC172" s="3597"/>
      <c r="CD172" s="3597"/>
      <c r="CE172" s="3597"/>
      <c r="CF172" s="3580">
        <f t="shared" si="47"/>
        <v>38.4</v>
      </c>
    </row>
    <row r="173" spans="1:84" ht="22.5" customHeight="1">
      <c r="A173" s="1205" t="s">
        <v>4169</v>
      </c>
      <c r="B173" s="391" t="s">
        <v>538</v>
      </c>
      <c r="C173" s="391" t="s">
        <v>539</v>
      </c>
      <c r="D173" s="982" t="s">
        <v>65</v>
      </c>
      <c r="E173" s="982" t="s">
        <v>65</v>
      </c>
      <c r="F173" s="1185" t="s">
        <v>91</v>
      </c>
      <c r="G173" s="3813"/>
      <c r="H173" s="3802">
        <v>211786</v>
      </c>
      <c r="I173" s="3804">
        <f>H173/100000</f>
        <v>2.1178599999999999</v>
      </c>
      <c r="J173" s="3802">
        <v>600</v>
      </c>
      <c r="K173" s="3815">
        <f>I173*J173</f>
        <v>1270.7159999999999</v>
      </c>
      <c r="L173" s="422"/>
      <c r="M173" s="3067" t="s">
        <v>5884</v>
      </c>
      <c r="N173" s="3823">
        <v>1257.33</v>
      </c>
      <c r="O173" s="3664"/>
      <c r="P173" s="3664"/>
      <c r="Q173" s="3742"/>
      <c r="R173" s="3664"/>
      <c r="S173" s="3664"/>
      <c r="T173" s="3664"/>
      <c r="U173" s="3664"/>
      <c r="V173" s="3664"/>
      <c r="W173" s="3664"/>
      <c r="X173" s="3664"/>
      <c r="Y173" s="3664"/>
      <c r="Z173" s="3664"/>
      <c r="AA173" s="3664"/>
      <c r="AB173" s="3664"/>
      <c r="AC173" s="3664"/>
      <c r="AD173" s="3664"/>
      <c r="AE173" s="3664"/>
      <c r="AF173" s="3664"/>
      <c r="AG173" s="3664"/>
      <c r="AH173" s="3664"/>
      <c r="AI173" s="3664"/>
      <c r="AJ173" s="3664"/>
      <c r="AK173" s="3664"/>
      <c r="AL173" s="3664"/>
      <c r="AM173" s="3664"/>
      <c r="AN173" s="3664"/>
      <c r="AO173" s="3664"/>
      <c r="AP173" s="3664"/>
      <c r="AQ173" s="3664"/>
      <c r="AR173" s="3664"/>
      <c r="AS173" s="3664"/>
      <c r="AT173" s="3664"/>
      <c r="AU173" s="3664"/>
      <c r="AV173" s="3664"/>
      <c r="AW173" s="3664"/>
      <c r="AX173" s="3597">
        <v>224.71</v>
      </c>
      <c r="AY173" s="3597">
        <f>+(11*23771*12)*105%/100000</f>
        <v>32.946606000000003</v>
      </c>
      <c r="AZ173" s="3597">
        <f>+(16*23771*12)*105%/100000</f>
        <v>47.922336000000008</v>
      </c>
      <c r="BA173" s="3597">
        <f>+(21*23771*12)*105%/100000</f>
        <v>62.898066000000007</v>
      </c>
      <c r="BB173" s="3597">
        <f>+(60*23771*12)*105%/100000</f>
        <v>179.70876000000001</v>
      </c>
      <c r="BC173" s="3597">
        <f>+(2*23771*12)*105%/100000</f>
        <v>5.9902920000000011</v>
      </c>
      <c r="BD173" s="3597">
        <f>+(17*23771*12)*105%/100000</f>
        <v>50.917482</v>
      </c>
      <c r="BE173" s="3597">
        <f>+(3*23771*12)*105%/100000</f>
        <v>8.9854380000000003</v>
      </c>
      <c r="BF173" s="3597">
        <f>+(38*23771*12)*105%/100000</f>
        <v>113.81554800000001</v>
      </c>
      <c r="BG173" s="3597">
        <f>+(24*23771*12)*105%/100000</f>
        <v>71.883504000000002</v>
      </c>
      <c r="BH173" s="3597">
        <f>+(14*23771*12)*105%/100000</f>
        <v>41.932044000000005</v>
      </c>
      <c r="BI173" s="3597">
        <f>+(14*23771*12)*105%/100000</f>
        <v>41.932044000000005</v>
      </c>
      <c r="BJ173" s="3597">
        <f>+(18*23771*12)*105%/100000</f>
        <v>53.912627999999998</v>
      </c>
      <c r="BK173" s="3597"/>
      <c r="BL173" s="3597"/>
      <c r="BM173" s="3597"/>
      <c r="BN173" s="3597"/>
      <c r="BO173" s="3581"/>
      <c r="BP173" s="3581"/>
      <c r="BQ173" s="3581"/>
      <c r="BR173" s="3581"/>
      <c r="BS173" s="3581"/>
      <c r="BT173" s="3581"/>
      <c r="BU173" s="3581"/>
      <c r="BV173" s="3581"/>
      <c r="BW173" s="3581"/>
      <c r="BX173" s="3581"/>
      <c r="BY173" s="3581"/>
      <c r="BZ173" s="3581"/>
      <c r="CA173" s="3581"/>
      <c r="CB173" s="3581"/>
      <c r="CC173" s="3581"/>
      <c r="CD173" s="3581"/>
      <c r="CE173" s="3581"/>
      <c r="CF173" s="3580">
        <f t="shared" si="47"/>
        <v>937.55474800000013</v>
      </c>
    </row>
    <row r="174" spans="1:84" ht="19.5" customHeight="1">
      <c r="A174" s="1205" t="s">
        <v>4172</v>
      </c>
      <c r="B174" s="391" t="s">
        <v>544</v>
      </c>
      <c r="C174" s="391" t="s">
        <v>545</v>
      </c>
      <c r="D174" s="982" t="s">
        <v>65</v>
      </c>
      <c r="E174" s="982" t="s">
        <v>65</v>
      </c>
      <c r="F174" s="1185" t="s">
        <v>91</v>
      </c>
      <c r="G174" s="3814"/>
      <c r="H174" s="3803"/>
      <c r="I174" s="3805"/>
      <c r="J174" s="3803"/>
      <c r="K174" s="3816"/>
      <c r="L174" s="422"/>
      <c r="M174" s="3052" t="s">
        <v>5886</v>
      </c>
      <c r="N174" s="3824"/>
      <c r="O174" s="3664"/>
      <c r="P174" s="3664"/>
      <c r="Q174" s="3664"/>
      <c r="R174" s="3664"/>
      <c r="S174" s="3664"/>
      <c r="T174" s="3664"/>
      <c r="U174" s="3664"/>
      <c r="V174" s="3664"/>
      <c r="W174" s="3664"/>
      <c r="X174" s="3664"/>
      <c r="Y174" s="3664"/>
      <c r="Z174" s="3664"/>
      <c r="AA174" s="3664"/>
      <c r="AB174" s="3664"/>
      <c r="AC174" s="3664"/>
      <c r="AD174" s="3664"/>
      <c r="AE174" s="3664"/>
      <c r="AF174" s="3664"/>
      <c r="AG174" s="3664"/>
      <c r="AH174" s="3664"/>
      <c r="AI174" s="3664"/>
      <c r="AJ174" s="3664"/>
      <c r="AK174" s="3664"/>
      <c r="AL174" s="3664"/>
      <c r="AM174" s="3664"/>
      <c r="AN174" s="3664"/>
      <c r="AO174" s="3664"/>
      <c r="AP174" s="3664"/>
      <c r="AQ174" s="3664"/>
      <c r="AR174" s="3664"/>
      <c r="AS174" s="3664"/>
      <c r="AT174" s="3664"/>
      <c r="AU174" s="3664"/>
      <c r="AV174" s="3664"/>
      <c r="AW174" s="3664"/>
      <c r="AX174" s="3597"/>
      <c r="AY174" s="3597">
        <f>+(7*10248*12)*105%/100000</f>
        <v>9.0387360000000001</v>
      </c>
      <c r="AZ174" s="3597">
        <f>+(11*10248*12)*105%/100000</f>
        <v>14.203728</v>
      </c>
      <c r="BA174" s="3597">
        <f>+(10*10248*12)*105%/100000</f>
        <v>12.91248</v>
      </c>
      <c r="BB174" s="3597">
        <f>+(32*10248*12)*105%/100000</f>
        <v>41.319935999999998</v>
      </c>
      <c r="BC174" s="3597">
        <f>+(2*10248*12)*105%/100000</f>
        <v>2.5824959999999999</v>
      </c>
      <c r="BD174" s="3597">
        <f>+(9*10248*12)*105%/100000</f>
        <v>11.621231999999999</v>
      </c>
      <c r="BE174" s="3597">
        <f>+(1*10248*12)*105%/100000</f>
        <v>1.291248</v>
      </c>
      <c r="BF174" s="3597">
        <f>+(19*10248*12)*105%/100000</f>
        <v>24.533712000000001</v>
      </c>
      <c r="BG174" s="3597">
        <f>+(11*10248*12)*105%/100000</f>
        <v>14.203728</v>
      </c>
      <c r="BH174" s="3597">
        <f>+(11*10248*12)*105%/100000</f>
        <v>14.203728</v>
      </c>
      <c r="BI174" s="3597">
        <f>+(7*10248*12)*105%/100000</f>
        <v>9.0387360000000001</v>
      </c>
      <c r="BJ174" s="3597">
        <f>+(10*10248*12)*105%/100000</f>
        <v>12.91248</v>
      </c>
      <c r="BK174" s="3597"/>
      <c r="BL174" s="3597"/>
      <c r="BM174" s="3597"/>
      <c r="BN174" s="3597"/>
      <c r="BO174" s="3581"/>
      <c r="BP174" s="3581"/>
      <c r="BQ174" s="3581"/>
      <c r="BR174" s="3581"/>
      <c r="BS174" s="3581"/>
      <c r="BT174" s="3581"/>
      <c r="BU174" s="3581"/>
      <c r="BV174" s="3581"/>
      <c r="BW174" s="3581"/>
      <c r="BX174" s="3581"/>
      <c r="BY174" s="3581"/>
      <c r="BZ174" s="3581"/>
      <c r="CA174" s="3581"/>
      <c r="CB174" s="3581"/>
      <c r="CC174" s="3581"/>
      <c r="CD174" s="3581"/>
      <c r="CE174" s="3581"/>
      <c r="CF174" s="3580">
        <f t="shared" si="47"/>
        <v>167.86224000000001</v>
      </c>
    </row>
    <row r="175" spans="1:84" ht="25.5" customHeight="1">
      <c r="A175" s="1205" t="s">
        <v>4173</v>
      </c>
      <c r="B175" s="391" t="s">
        <v>546</v>
      </c>
      <c r="C175" s="391" t="s">
        <v>547</v>
      </c>
      <c r="D175" s="982" t="s">
        <v>65</v>
      </c>
      <c r="E175" s="982" t="s">
        <v>65</v>
      </c>
      <c r="F175" s="1185" t="s">
        <v>91</v>
      </c>
      <c r="G175" s="3826"/>
      <c r="H175" s="3821"/>
      <c r="I175" s="3827"/>
      <c r="J175" s="3821"/>
      <c r="K175" s="3822"/>
      <c r="L175" s="422"/>
      <c r="M175" s="3746" t="s">
        <v>5885</v>
      </c>
      <c r="N175" s="3825"/>
      <c r="O175" s="3664"/>
      <c r="P175" s="3664"/>
      <c r="Q175" s="3664"/>
      <c r="R175" s="3664"/>
      <c r="S175" s="3664"/>
      <c r="T175" s="3664"/>
      <c r="U175" s="3664"/>
      <c r="V175" s="3664"/>
      <c r="W175" s="3664"/>
      <c r="X175" s="3664"/>
      <c r="Y175" s="3664"/>
      <c r="Z175" s="3664"/>
      <c r="AA175" s="3664"/>
      <c r="AB175" s="3664"/>
      <c r="AC175" s="3664"/>
      <c r="AD175" s="3664"/>
      <c r="AE175" s="3664"/>
      <c r="AF175" s="3664"/>
      <c r="AG175" s="3664"/>
      <c r="AH175" s="3664"/>
      <c r="AI175" s="3664"/>
      <c r="AJ175" s="3664"/>
      <c r="AK175" s="3664"/>
      <c r="AL175" s="3664"/>
      <c r="AM175" s="3664"/>
      <c r="AN175" s="3664"/>
      <c r="AO175" s="3664"/>
      <c r="AP175" s="3664"/>
      <c r="AQ175" s="3664"/>
      <c r="AR175" s="3664"/>
      <c r="AS175" s="3664"/>
      <c r="AT175" s="3664"/>
      <c r="AU175" s="3664"/>
      <c r="AV175" s="3664"/>
      <c r="AW175" s="3664"/>
      <c r="AX175" s="3597"/>
      <c r="AY175" s="3597">
        <f>+(7*10484*12)*105%/100000</f>
        <v>9.2468880000000002</v>
      </c>
      <c r="AZ175" s="3597">
        <f>+(9*10484*12)*105%/100000</f>
        <v>11.888856000000001</v>
      </c>
      <c r="BA175" s="3597">
        <f>+(11*10484*12)*105%/100000</f>
        <v>14.530824000000001</v>
      </c>
      <c r="BB175" s="3597">
        <f>+(27*10484*12)*105%/100000</f>
        <v>35.666568000000005</v>
      </c>
      <c r="BC175" s="3597">
        <f>+(2*10484*12)*105%/100000</f>
        <v>2.6419679999999999</v>
      </c>
      <c r="BD175" s="3597">
        <f>+(9*10484*12)*105%/100000</f>
        <v>11.888856000000001</v>
      </c>
      <c r="BE175" s="3597">
        <f>+(2*10484*12)*105%/100000</f>
        <v>2.6419679999999999</v>
      </c>
      <c r="BF175" s="3597">
        <f>(18*10484*12)*105%/100000</f>
        <v>23.777712000000001</v>
      </c>
      <c r="BG175" s="3597">
        <f>+(8*10484*12)*105%/100000</f>
        <v>10.567871999999999</v>
      </c>
      <c r="BH175" s="3597">
        <f>+(8*10484*12)*105%/100000</f>
        <v>10.567871999999999</v>
      </c>
      <c r="BI175" s="3597">
        <f>+(4*10484*12)*105%/100000</f>
        <v>5.2839359999999997</v>
      </c>
      <c r="BJ175" s="3597">
        <f>+(10*10484*12)*105%/100000</f>
        <v>13.20984</v>
      </c>
      <c r="BK175" s="3597"/>
      <c r="BL175" s="3597"/>
      <c r="BM175" s="3597"/>
      <c r="BN175" s="3597"/>
      <c r="BO175" s="3581"/>
      <c r="BP175" s="3581"/>
      <c r="BQ175" s="3581"/>
      <c r="BR175" s="3581"/>
      <c r="BS175" s="3581"/>
      <c r="BT175" s="3581"/>
      <c r="BU175" s="3581"/>
      <c r="BV175" s="3581"/>
      <c r="BW175" s="3581"/>
      <c r="BX175" s="3581"/>
      <c r="BY175" s="3581"/>
      <c r="BZ175" s="3581"/>
      <c r="CA175" s="3581"/>
      <c r="CB175" s="3581"/>
      <c r="CC175" s="3581"/>
      <c r="CD175" s="3581"/>
      <c r="CE175" s="3581"/>
      <c r="CF175" s="3580">
        <f t="shared" si="47"/>
        <v>151.91316</v>
      </c>
    </row>
    <row r="176" spans="1:84" ht="24.75" customHeight="1">
      <c r="A176" s="1205" t="s">
        <v>4174</v>
      </c>
      <c r="B176" s="391" t="s">
        <v>550</v>
      </c>
      <c r="C176" s="391" t="s">
        <v>551</v>
      </c>
      <c r="D176" s="982" t="s">
        <v>65</v>
      </c>
      <c r="E176" s="982" t="s">
        <v>65</v>
      </c>
      <c r="F176" s="1185" t="s">
        <v>91</v>
      </c>
      <c r="G176" s="3718"/>
      <c r="H176" s="3720">
        <v>124555</v>
      </c>
      <c r="I176" s="3722">
        <f>H176/100000</f>
        <v>1.2455499999999999</v>
      </c>
      <c r="J176" s="3720">
        <v>36</v>
      </c>
      <c r="K176" s="3724">
        <f>I176*J176</f>
        <v>44.839799999999997</v>
      </c>
      <c r="L176" s="3743"/>
      <c r="M176" s="3067" t="s">
        <v>5888</v>
      </c>
      <c r="N176" s="3747">
        <v>44.839799999999997</v>
      </c>
      <c r="O176" s="3664"/>
      <c r="P176" s="3664"/>
      <c r="Q176" s="3742"/>
      <c r="R176" s="3664"/>
      <c r="S176" s="3664"/>
      <c r="T176" s="3664"/>
      <c r="U176" s="3664"/>
      <c r="V176" s="3664"/>
      <c r="W176" s="3664"/>
      <c r="X176" s="3664"/>
      <c r="Y176" s="3664"/>
      <c r="Z176" s="3664"/>
      <c r="AA176" s="3664"/>
      <c r="AB176" s="3664"/>
      <c r="AC176" s="3664"/>
      <c r="AD176" s="3664"/>
      <c r="AE176" s="3664"/>
      <c r="AF176" s="3664"/>
      <c r="AG176" s="3664"/>
      <c r="AH176" s="3664"/>
      <c r="AI176" s="3664"/>
      <c r="AJ176" s="3664"/>
      <c r="AK176" s="3664"/>
      <c r="AL176" s="3664"/>
      <c r="AM176" s="3664"/>
      <c r="AN176" s="3664"/>
      <c r="AO176" s="3664"/>
      <c r="AP176" s="3664"/>
      <c r="AQ176" s="3664"/>
      <c r="AR176" s="3664"/>
      <c r="AS176" s="3664"/>
      <c r="AT176" s="3664"/>
      <c r="AU176" s="3664"/>
      <c r="AV176" s="3664"/>
      <c r="AW176" s="3664"/>
      <c r="AX176" s="3597">
        <v>44.84</v>
      </c>
      <c r="AY176" s="3597"/>
      <c r="AZ176" s="3597"/>
      <c r="BA176" s="3597"/>
      <c r="BB176" s="3597"/>
      <c r="BC176" s="3597"/>
      <c r="BD176" s="3597"/>
      <c r="BE176" s="3597"/>
      <c r="BF176" s="3597"/>
      <c r="BG176" s="3597"/>
      <c r="BH176" s="3597"/>
      <c r="BI176" s="3597"/>
      <c r="BJ176" s="3597"/>
      <c r="BK176" s="3597"/>
      <c r="BL176" s="3597"/>
      <c r="BM176" s="3597"/>
      <c r="BN176" s="3597"/>
      <c r="BO176" s="3581"/>
      <c r="BP176" s="3581"/>
      <c r="BQ176" s="3581"/>
      <c r="BR176" s="3581"/>
      <c r="BS176" s="3581"/>
      <c r="BT176" s="3581"/>
      <c r="BU176" s="3581"/>
      <c r="BV176" s="3581"/>
      <c r="BW176" s="3581"/>
      <c r="BX176" s="3581"/>
      <c r="BY176" s="3581"/>
      <c r="BZ176" s="3581"/>
      <c r="CA176" s="3581"/>
      <c r="CB176" s="3581"/>
      <c r="CC176" s="3581"/>
      <c r="CD176" s="3581"/>
      <c r="CE176" s="3581"/>
      <c r="CF176" s="3580">
        <f t="shared" ref="CF176:CF239" si="71">SUM(AX176:CD176)</f>
        <v>44.84</v>
      </c>
    </row>
    <row r="177" spans="1:84" ht="20.25" customHeight="1">
      <c r="A177" s="391" t="s">
        <v>580</v>
      </c>
      <c r="B177" s="391" t="s">
        <v>581</v>
      </c>
      <c r="C177" s="391" t="s">
        <v>582</v>
      </c>
      <c r="D177" s="982" t="s">
        <v>65</v>
      </c>
      <c r="E177" s="982" t="s">
        <v>65</v>
      </c>
      <c r="F177" s="1185" t="s">
        <v>3760</v>
      </c>
      <c r="G177" s="3803"/>
      <c r="H177" s="3803"/>
      <c r="I177" s="3805"/>
      <c r="J177" s="3803"/>
      <c r="K177" s="3816"/>
      <c r="L177" s="296"/>
      <c r="M177" s="3067" t="s">
        <v>5785</v>
      </c>
      <c r="N177" s="3820">
        <v>7.87</v>
      </c>
      <c r="O177" s="3664"/>
      <c r="P177" s="3664"/>
      <c r="Q177" s="3664"/>
      <c r="R177" s="3664"/>
      <c r="S177" s="3664"/>
      <c r="T177" s="3664"/>
      <c r="U177" s="3664"/>
      <c r="V177" s="3664"/>
      <c r="W177" s="3664"/>
      <c r="X177" s="3664"/>
      <c r="Y177" s="3664"/>
      <c r="Z177" s="3664"/>
      <c r="AA177" s="3664"/>
      <c r="AB177" s="3664"/>
      <c r="AC177" s="3664"/>
      <c r="AD177" s="3664"/>
      <c r="AE177" s="3664"/>
      <c r="AF177" s="3664"/>
      <c r="AG177" s="3664"/>
      <c r="AH177" s="3664"/>
      <c r="AI177" s="3664"/>
      <c r="AJ177" s="3664"/>
      <c r="AK177" s="3664"/>
      <c r="AL177" s="3664"/>
      <c r="AM177" s="3664"/>
      <c r="AN177" s="3664"/>
      <c r="AO177" s="3664"/>
      <c r="AP177" s="3664"/>
      <c r="AQ177" s="3664"/>
      <c r="AR177" s="3664"/>
      <c r="AS177" s="3664"/>
      <c r="AT177" s="3664"/>
      <c r="AU177" s="3664"/>
      <c r="AV177" s="3664"/>
      <c r="AW177" s="3664"/>
      <c r="AX177" s="3597">
        <v>1.07</v>
      </c>
      <c r="AY177" s="3597"/>
      <c r="AZ177" s="3597"/>
      <c r="BA177" s="3597"/>
      <c r="BB177" s="3597">
        <v>0.76</v>
      </c>
      <c r="BC177" s="3597"/>
      <c r="BD177" s="3597"/>
      <c r="BE177" s="3597"/>
      <c r="BF177" s="3597"/>
      <c r="BG177" s="3597">
        <v>0.76</v>
      </c>
      <c r="BH177" s="3597"/>
      <c r="BI177" s="3597"/>
      <c r="BJ177" s="3597"/>
      <c r="BK177" s="3597"/>
      <c r="BL177" s="3597"/>
      <c r="BM177" s="3597"/>
      <c r="BN177" s="3597"/>
      <c r="BO177" s="3581"/>
      <c r="BP177" s="3581"/>
      <c r="BQ177" s="3581"/>
      <c r="BR177" s="3581"/>
      <c r="BS177" s="3581"/>
      <c r="BT177" s="3581"/>
      <c r="BU177" s="3581"/>
      <c r="BV177" s="3581"/>
      <c r="BW177" s="3581"/>
      <c r="BX177" s="3581"/>
      <c r="BY177" s="3581"/>
      <c r="BZ177" s="3581"/>
      <c r="CA177" s="3581"/>
      <c r="CB177" s="3581"/>
      <c r="CC177" s="3581"/>
      <c r="CD177" s="3581"/>
      <c r="CE177" s="3581"/>
      <c r="CF177" s="3580">
        <f t="shared" si="71"/>
        <v>2.59</v>
      </c>
    </row>
    <row r="178" spans="1:84" ht="37.5" customHeight="1" thickBot="1">
      <c r="A178" s="391" t="s">
        <v>589</v>
      </c>
      <c r="B178" s="391" t="s">
        <v>590</v>
      </c>
      <c r="C178" s="3748" t="s">
        <v>5994</v>
      </c>
      <c r="D178" s="982" t="s">
        <v>65</v>
      </c>
      <c r="E178" s="982" t="s">
        <v>65</v>
      </c>
      <c r="F178" s="1185" t="s">
        <v>3760</v>
      </c>
      <c r="G178" s="3821"/>
      <c r="H178" s="3821"/>
      <c r="I178" s="3827"/>
      <c r="J178" s="3821"/>
      <c r="K178" s="3822"/>
      <c r="L178" s="296"/>
      <c r="M178" s="2912" t="s">
        <v>5786</v>
      </c>
      <c r="N178" s="3828"/>
      <c r="O178" s="3664"/>
      <c r="P178" s="3664"/>
      <c r="Q178" s="3664"/>
      <c r="R178" s="3664"/>
      <c r="S178" s="3664"/>
      <c r="T178" s="3664"/>
      <c r="U178" s="3664"/>
      <c r="V178" s="3664"/>
      <c r="W178" s="3664"/>
      <c r="X178" s="3664"/>
      <c r="Y178" s="3664"/>
      <c r="Z178" s="3664"/>
      <c r="AA178" s="3664"/>
      <c r="AB178" s="3664"/>
      <c r="AC178" s="3664"/>
      <c r="AD178" s="3664"/>
      <c r="AE178" s="3664"/>
      <c r="AF178" s="3664"/>
      <c r="AG178" s="3664"/>
      <c r="AH178" s="3664"/>
      <c r="AI178" s="3664"/>
      <c r="AJ178" s="3664"/>
      <c r="AK178" s="3664"/>
      <c r="AL178" s="3664"/>
      <c r="AM178" s="3664"/>
      <c r="AN178" s="3664"/>
      <c r="AO178" s="3664"/>
      <c r="AP178" s="3664"/>
      <c r="AQ178" s="3664"/>
      <c r="AR178" s="3664"/>
      <c r="AS178" s="3664"/>
      <c r="AT178" s="3664"/>
      <c r="AU178" s="3664"/>
      <c r="AV178" s="3664"/>
      <c r="AW178" s="3664"/>
      <c r="AX178" s="3597">
        <v>2.1800000000000002</v>
      </c>
      <c r="AY178" s="3597"/>
      <c r="AZ178" s="3597"/>
      <c r="BA178" s="3597"/>
      <c r="BB178" s="3597">
        <v>1.55</v>
      </c>
      <c r="BC178" s="3597"/>
      <c r="BD178" s="3597"/>
      <c r="BE178" s="3597"/>
      <c r="BF178" s="3597"/>
      <c r="BG178" s="3597">
        <v>1.55</v>
      </c>
      <c r="BH178" s="3597"/>
      <c r="BI178" s="3597"/>
      <c r="BJ178" s="3597"/>
      <c r="BK178" s="3597"/>
      <c r="BL178" s="3597"/>
      <c r="BM178" s="3597"/>
      <c r="BN178" s="3597"/>
      <c r="BO178" s="3581"/>
      <c r="BP178" s="3581"/>
      <c r="BQ178" s="3581"/>
      <c r="BR178" s="3581"/>
      <c r="BS178" s="3581"/>
      <c r="BT178" s="3581"/>
      <c r="BU178" s="3581"/>
      <c r="BV178" s="3581"/>
      <c r="BW178" s="3581"/>
      <c r="BX178" s="3581"/>
      <c r="BY178" s="3581"/>
      <c r="BZ178" s="3581"/>
      <c r="CA178" s="3581"/>
      <c r="CB178" s="3581"/>
      <c r="CC178" s="3581"/>
      <c r="CD178" s="3581"/>
      <c r="CE178" s="3581"/>
      <c r="CF178" s="3580">
        <f t="shared" si="71"/>
        <v>5.28</v>
      </c>
    </row>
    <row r="179" spans="1:84" ht="37.5" customHeight="1" thickBot="1">
      <c r="A179" s="391" t="s">
        <v>597</v>
      </c>
      <c r="B179" s="391" t="s">
        <v>598</v>
      </c>
      <c r="C179" s="3748" t="s">
        <v>5995</v>
      </c>
      <c r="D179" s="982" t="s">
        <v>65</v>
      </c>
      <c r="E179" s="982" t="s">
        <v>65</v>
      </c>
      <c r="F179" s="1185" t="s">
        <v>3760</v>
      </c>
      <c r="G179" s="3719"/>
      <c r="H179" s="3721"/>
      <c r="I179" s="3723"/>
      <c r="J179" s="3721"/>
      <c r="K179" s="3725"/>
      <c r="L179" s="422"/>
      <c r="M179" s="2912" t="s">
        <v>5934</v>
      </c>
      <c r="N179" s="3749">
        <v>355.68</v>
      </c>
      <c r="O179" s="3664"/>
      <c r="P179" s="3664"/>
      <c r="Q179" s="3664"/>
      <c r="R179" s="3664"/>
      <c r="S179" s="3664"/>
      <c r="T179" s="3664"/>
      <c r="U179" s="3664"/>
      <c r="V179" s="3664"/>
      <c r="W179" s="3664"/>
      <c r="X179" s="3664"/>
      <c r="Y179" s="3664"/>
      <c r="Z179" s="3664"/>
      <c r="AA179" s="3664"/>
      <c r="AB179" s="3664"/>
      <c r="AC179" s="3664"/>
      <c r="AD179" s="3664"/>
      <c r="AE179" s="3664"/>
      <c r="AF179" s="3664"/>
      <c r="AG179" s="3664"/>
      <c r="AH179" s="3664"/>
      <c r="AI179" s="3664"/>
      <c r="AJ179" s="3664"/>
      <c r="AK179" s="3664"/>
      <c r="AL179" s="3664"/>
      <c r="AM179" s="3664"/>
      <c r="AN179" s="3664"/>
      <c r="AO179" s="3664"/>
      <c r="AP179" s="3664"/>
      <c r="AQ179" s="3664"/>
      <c r="AR179" s="3664"/>
      <c r="AS179" s="3664"/>
      <c r="AT179" s="3664"/>
      <c r="AU179" s="3664"/>
      <c r="AV179" s="3664"/>
      <c r="AW179" s="3664"/>
      <c r="AX179" s="3597">
        <v>355.68</v>
      </c>
      <c r="AY179" s="3597"/>
      <c r="AZ179" s="3597"/>
      <c r="BA179" s="3597"/>
      <c r="BB179" s="3597"/>
      <c r="BC179" s="3597"/>
      <c r="BD179" s="3597"/>
      <c r="BE179" s="3597"/>
      <c r="BF179" s="3597"/>
      <c r="BG179" s="3597"/>
      <c r="BH179" s="3597"/>
      <c r="BI179" s="3597"/>
      <c r="BJ179" s="3597"/>
      <c r="BK179" s="3597"/>
      <c r="BL179" s="3597"/>
      <c r="BM179" s="3597"/>
      <c r="BN179" s="3597"/>
      <c r="BO179" s="3581"/>
      <c r="BP179" s="3581"/>
      <c r="BQ179" s="3581"/>
      <c r="BR179" s="3581"/>
      <c r="BS179" s="3581"/>
      <c r="BT179" s="3581"/>
      <c r="BU179" s="3581"/>
      <c r="BV179" s="3581"/>
      <c r="BW179" s="3581"/>
      <c r="BX179" s="3581"/>
      <c r="BY179" s="3581"/>
      <c r="BZ179" s="3581"/>
      <c r="CA179" s="3581"/>
      <c r="CB179" s="3581"/>
      <c r="CC179" s="3581"/>
      <c r="CD179" s="3581"/>
      <c r="CE179" s="3581"/>
      <c r="CF179" s="3580">
        <f t="shared" si="71"/>
        <v>355.68</v>
      </c>
    </row>
    <row r="180" spans="1:84" ht="37.5" customHeight="1" thickBot="1">
      <c r="A180" s="391" t="s">
        <v>610</v>
      </c>
      <c r="B180" s="391"/>
      <c r="C180" s="3748" t="s">
        <v>5996</v>
      </c>
      <c r="D180" s="982" t="s">
        <v>65</v>
      </c>
      <c r="E180" s="982" t="s">
        <v>65</v>
      </c>
      <c r="F180" s="1185" t="s">
        <v>3760</v>
      </c>
      <c r="G180" s="3721"/>
      <c r="H180" s="3721"/>
      <c r="I180" s="3723"/>
      <c r="J180" s="3721"/>
      <c r="K180" s="3725"/>
      <c r="L180" s="296"/>
      <c r="M180" s="2912" t="s">
        <v>5787</v>
      </c>
      <c r="N180" s="3749">
        <v>51.44</v>
      </c>
      <c r="O180" s="3664"/>
      <c r="P180" s="3664"/>
      <c r="Q180" s="3664"/>
      <c r="R180" s="3664"/>
      <c r="S180" s="3664"/>
      <c r="T180" s="3664"/>
      <c r="U180" s="3664"/>
      <c r="V180" s="3664"/>
      <c r="W180" s="3664"/>
      <c r="X180" s="3664"/>
      <c r="Y180" s="3664"/>
      <c r="Z180" s="3664"/>
      <c r="AA180" s="3664"/>
      <c r="AB180" s="3664"/>
      <c r="AC180" s="3664"/>
      <c r="AD180" s="3664"/>
      <c r="AE180" s="3664"/>
      <c r="AF180" s="3664"/>
      <c r="AG180" s="3664"/>
      <c r="AH180" s="3664"/>
      <c r="AI180" s="3664"/>
      <c r="AJ180" s="3664"/>
      <c r="AK180" s="3664"/>
      <c r="AL180" s="3664"/>
      <c r="AM180" s="3664"/>
      <c r="AN180" s="3664"/>
      <c r="AO180" s="3664"/>
      <c r="AP180" s="3664"/>
      <c r="AQ180" s="3664"/>
      <c r="AR180" s="3664"/>
      <c r="AS180" s="3664"/>
      <c r="AT180" s="3664"/>
      <c r="AU180" s="3664"/>
      <c r="AV180" s="3664"/>
      <c r="AW180" s="3664"/>
      <c r="AX180" s="3597">
        <v>51.44</v>
      </c>
      <c r="AY180" s="3597"/>
      <c r="AZ180" s="3597"/>
      <c r="BA180" s="3597"/>
      <c r="BB180" s="3597"/>
      <c r="BC180" s="3597"/>
      <c r="BD180" s="3597"/>
      <c r="BE180" s="3597"/>
      <c r="BF180" s="3597"/>
      <c r="BG180" s="3597"/>
      <c r="BH180" s="3597"/>
      <c r="BI180" s="3597"/>
      <c r="BJ180" s="3597"/>
      <c r="BK180" s="3597"/>
      <c r="BL180" s="3597"/>
      <c r="BM180" s="3597"/>
      <c r="BN180" s="3597"/>
      <c r="BO180" s="3581"/>
      <c r="BP180" s="3581"/>
      <c r="BQ180" s="3581"/>
      <c r="BR180" s="3581"/>
      <c r="BS180" s="3581"/>
      <c r="BT180" s="3581"/>
      <c r="BU180" s="3581"/>
      <c r="BV180" s="3581"/>
      <c r="BW180" s="3581"/>
      <c r="BX180" s="3581"/>
      <c r="BY180" s="3581"/>
      <c r="BZ180" s="3581"/>
      <c r="CA180" s="3581"/>
      <c r="CB180" s="3581"/>
      <c r="CC180" s="3581"/>
      <c r="CD180" s="3581"/>
      <c r="CE180" s="3581"/>
      <c r="CF180" s="3580">
        <f t="shared" si="71"/>
        <v>51.44</v>
      </c>
    </row>
    <row r="181" spans="1:84" ht="37.5" customHeight="1">
      <c r="A181" s="391" t="s">
        <v>656</v>
      </c>
      <c r="B181" s="391"/>
      <c r="C181" s="391" t="s">
        <v>2332</v>
      </c>
      <c r="D181" s="982" t="s">
        <v>65</v>
      </c>
      <c r="E181" s="982" t="s">
        <v>65</v>
      </c>
      <c r="F181" s="2630" t="s">
        <v>4218</v>
      </c>
      <c r="G181" s="613">
        <v>1</v>
      </c>
      <c r="H181" s="283">
        <v>187202</v>
      </c>
      <c r="I181" s="2308">
        <f>H181/100000</f>
        <v>1.87202</v>
      </c>
      <c r="J181" s="283">
        <v>1514</v>
      </c>
      <c r="K181" s="2906">
        <f>I181*J181</f>
        <v>2834.23828</v>
      </c>
      <c r="L181" s="2299" t="s">
        <v>5496</v>
      </c>
      <c r="M181" s="3070">
        <f>'Abs6. CPHC'!Q718</f>
        <v>0</v>
      </c>
      <c r="N181" s="3232">
        <v>2834.23828</v>
      </c>
      <c r="O181" s="3664"/>
      <c r="P181" s="3664"/>
      <c r="Q181" s="3742"/>
      <c r="R181" s="3664"/>
      <c r="S181" s="3664"/>
      <c r="T181" s="3664"/>
      <c r="U181" s="3664"/>
      <c r="V181" s="3664"/>
      <c r="W181" s="3664"/>
      <c r="X181" s="3664"/>
      <c r="Y181" s="3664"/>
      <c r="Z181" s="3664"/>
      <c r="AA181" s="3664"/>
      <c r="AB181" s="3664"/>
      <c r="AC181" s="3664"/>
      <c r="AD181" s="3664"/>
      <c r="AE181" s="3664"/>
      <c r="AF181" s="3664"/>
      <c r="AG181" s="3664"/>
      <c r="AH181" s="3664"/>
      <c r="AI181" s="3664"/>
      <c r="AJ181" s="3664"/>
      <c r="AK181" s="3664"/>
      <c r="AL181" s="3664"/>
      <c r="AM181" s="3664"/>
      <c r="AN181" s="3664"/>
      <c r="AO181" s="3664"/>
      <c r="AP181" s="3664"/>
      <c r="AQ181" s="3664"/>
      <c r="AR181" s="3664"/>
      <c r="AS181" s="3664"/>
      <c r="AT181" s="3664"/>
      <c r="AU181" s="3664"/>
      <c r="AV181" s="3664"/>
      <c r="AW181" s="3664"/>
      <c r="AX181" s="3597">
        <v>2834.24</v>
      </c>
      <c r="AY181" s="3597"/>
      <c r="AZ181" s="3597"/>
      <c r="BA181" s="3597"/>
      <c r="BB181" s="3597"/>
      <c r="BC181" s="3597"/>
      <c r="BD181" s="3597"/>
      <c r="BE181" s="3597"/>
      <c r="BF181" s="3597"/>
      <c r="BG181" s="3597"/>
      <c r="BH181" s="3597"/>
      <c r="BI181" s="3597"/>
      <c r="BJ181" s="3597"/>
      <c r="BK181" s="3597"/>
      <c r="BL181" s="3597"/>
      <c r="BM181" s="3597"/>
      <c r="BN181" s="3597"/>
      <c r="BO181" s="3597"/>
      <c r="BP181" s="3597"/>
      <c r="BQ181" s="3597"/>
      <c r="BR181" s="3597"/>
      <c r="BS181" s="3597"/>
      <c r="BT181" s="3597"/>
      <c r="BU181" s="3597"/>
      <c r="BV181" s="3597"/>
      <c r="BW181" s="3597"/>
      <c r="BX181" s="3597"/>
      <c r="BY181" s="3597"/>
      <c r="BZ181" s="3597"/>
      <c r="CA181" s="3597"/>
      <c r="CB181" s="3597"/>
      <c r="CC181" s="3597"/>
      <c r="CD181" s="3597"/>
      <c r="CE181" s="3597"/>
      <c r="CF181" s="3580">
        <f t="shared" si="71"/>
        <v>2834.24</v>
      </c>
    </row>
    <row r="182" spans="1:84" ht="37.5" customHeight="1">
      <c r="A182" s="391" t="s">
        <v>659</v>
      </c>
      <c r="B182" s="391"/>
      <c r="C182" s="391" t="s">
        <v>2333</v>
      </c>
      <c r="D182" s="982" t="s">
        <v>65</v>
      </c>
      <c r="E182" s="982" t="s">
        <v>65</v>
      </c>
      <c r="F182" s="2630" t="s">
        <v>4218</v>
      </c>
      <c r="G182" s="283">
        <v>1</v>
      </c>
      <c r="H182" s="283">
        <v>112321</v>
      </c>
      <c r="I182" s="2308">
        <f>H182/100000</f>
        <v>1.12321</v>
      </c>
      <c r="J182" s="283">
        <v>1514</v>
      </c>
      <c r="K182" s="2906">
        <f>I182*J182</f>
        <v>1700.5399400000001</v>
      </c>
      <c r="L182" s="2299" t="s">
        <v>5447</v>
      </c>
      <c r="M182" s="3070">
        <f>'Abs6. CPHC'!Q719</f>
        <v>0</v>
      </c>
      <c r="N182" s="3232">
        <v>1700.5399400000001</v>
      </c>
      <c r="O182" s="3664"/>
      <c r="P182" s="3664"/>
      <c r="Q182" s="3742"/>
      <c r="R182" s="3664"/>
      <c r="S182" s="3664"/>
      <c r="T182" s="3664"/>
      <c r="U182" s="3664"/>
      <c r="V182" s="3664"/>
      <c r="W182" s="3664"/>
      <c r="X182" s="3664"/>
      <c r="Y182" s="3664"/>
      <c r="Z182" s="3664"/>
      <c r="AA182" s="3664"/>
      <c r="AB182" s="3664"/>
      <c r="AC182" s="3664"/>
      <c r="AD182" s="3664"/>
      <c r="AE182" s="3664"/>
      <c r="AF182" s="3664"/>
      <c r="AG182" s="3664"/>
      <c r="AH182" s="3664"/>
      <c r="AI182" s="3664"/>
      <c r="AJ182" s="3664"/>
      <c r="AK182" s="3664"/>
      <c r="AL182" s="3664"/>
      <c r="AM182" s="3664"/>
      <c r="AN182" s="3664"/>
      <c r="AO182" s="3664"/>
      <c r="AP182" s="3664"/>
      <c r="AQ182" s="3664"/>
      <c r="AR182" s="3664"/>
      <c r="AS182" s="3664"/>
      <c r="AT182" s="3664"/>
      <c r="AU182" s="3664"/>
      <c r="AV182" s="3664"/>
      <c r="AW182" s="3664"/>
      <c r="AX182" s="3597">
        <v>355.94</v>
      </c>
      <c r="AY182" s="3597">
        <v>88.2</v>
      </c>
      <c r="AZ182" s="3597">
        <v>72</v>
      </c>
      <c r="BA182" s="3597">
        <v>93.6</v>
      </c>
      <c r="BB182" s="3597">
        <v>324</v>
      </c>
      <c r="BC182" s="3597">
        <v>5.4</v>
      </c>
      <c r="BD182" s="3597">
        <v>97.2</v>
      </c>
      <c r="BE182" s="3597">
        <v>3.6</v>
      </c>
      <c r="BF182" s="3597">
        <v>428.4</v>
      </c>
      <c r="BG182" s="3597">
        <v>70.2</v>
      </c>
      <c r="BH182" s="3597">
        <v>41.4</v>
      </c>
      <c r="BI182" s="3597">
        <v>88.2</v>
      </c>
      <c r="BJ182" s="3597">
        <v>32.4</v>
      </c>
      <c r="BK182" s="3597"/>
      <c r="BL182" s="3597"/>
      <c r="BM182" s="3597"/>
      <c r="BN182" s="3597"/>
      <c r="BO182" s="3597"/>
      <c r="BP182" s="3597"/>
      <c r="BQ182" s="3597"/>
      <c r="BR182" s="3597"/>
      <c r="BS182" s="3597"/>
      <c r="BT182" s="3597"/>
      <c r="BU182" s="3597"/>
      <c r="BV182" s="3597"/>
      <c r="BW182" s="3597"/>
      <c r="BX182" s="3597"/>
      <c r="BY182" s="3597"/>
      <c r="BZ182" s="3597"/>
      <c r="CA182" s="3597"/>
      <c r="CB182" s="3597"/>
      <c r="CC182" s="3597"/>
      <c r="CD182" s="3597"/>
      <c r="CE182" s="3597"/>
      <c r="CF182" s="3580">
        <f t="shared" si="71"/>
        <v>1700.54</v>
      </c>
    </row>
    <row r="183" spans="1:84" ht="37.5" customHeight="1" thickBot="1">
      <c r="A183" s="391" t="s">
        <v>669</v>
      </c>
      <c r="B183" s="391" t="s">
        <v>619</v>
      </c>
      <c r="C183" s="391" t="s">
        <v>620</v>
      </c>
      <c r="D183" s="982" t="s">
        <v>65</v>
      </c>
      <c r="E183" s="982" t="s">
        <v>65</v>
      </c>
      <c r="F183" s="1185" t="s">
        <v>3760</v>
      </c>
      <c r="G183" s="3813"/>
      <c r="H183" s="3802">
        <v>129779</v>
      </c>
      <c r="I183" s="3804">
        <f>H183/100000</f>
        <v>1.29779</v>
      </c>
      <c r="J183" s="3802">
        <v>136</v>
      </c>
      <c r="K183" s="3829">
        <f>I183*J183</f>
        <v>176.49943999999999</v>
      </c>
      <c r="L183" s="362"/>
      <c r="M183" s="2912" t="s">
        <v>5935</v>
      </c>
      <c r="N183" s="3823">
        <v>176.49943999999999</v>
      </c>
      <c r="O183" s="3664"/>
      <c r="P183" s="3664"/>
      <c r="Q183" s="3742"/>
      <c r="R183" s="3664"/>
      <c r="S183" s="3664"/>
      <c r="T183" s="3664"/>
      <c r="U183" s="3664"/>
      <c r="V183" s="3664"/>
      <c r="W183" s="3664"/>
      <c r="X183" s="3664"/>
      <c r="Y183" s="3664"/>
      <c r="Z183" s="3664"/>
      <c r="AA183" s="3664"/>
      <c r="AB183" s="3664"/>
      <c r="AC183" s="3664"/>
      <c r="AD183" s="3664"/>
      <c r="AE183" s="3664"/>
      <c r="AF183" s="3664"/>
      <c r="AG183" s="3664"/>
      <c r="AH183" s="3664"/>
      <c r="AI183" s="3664"/>
      <c r="AJ183" s="3664"/>
      <c r="AK183" s="3664"/>
      <c r="AL183" s="3664"/>
      <c r="AM183" s="3664"/>
      <c r="AN183" s="3664"/>
      <c r="AO183" s="3664"/>
      <c r="AP183" s="3664"/>
      <c r="AQ183" s="3664"/>
      <c r="AR183" s="3664"/>
      <c r="AS183" s="3664"/>
      <c r="AT183" s="3664"/>
      <c r="AU183" s="3664"/>
      <c r="AV183" s="3664"/>
      <c r="AW183" s="3664"/>
      <c r="AX183" s="3597">
        <v>30.54</v>
      </c>
      <c r="AY183" s="3597">
        <f>+(1*10000*12)*105%/100000</f>
        <v>1.26</v>
      </c>
      <c r="AZ183" s="3597">
        <f>+(2*10000*12+1*13611*12)*105%/100000</f>
        <v>4.2349860000000001</v>
      </c>
      <c r="BA183" s="3597">
        <f>+(1*10000*12+1*12973*12)*105%/100000</f>
        <v>2.8945979999999998</v>
      </c>
      <c r="BB183" s="3597">
        <f>+(1*21082*12+1*10000*12)*105%/100000</f>
        <v>3.9163320000000001</v>
      </c>
      <c r="BC183" s="3597">
        <f>+(1*21138*12+1*10000*12+1*12973*12)*105%/100000</f>
        <v>5.5579859999999996</v>
      </c>
      <c r="BD183" s="3597">
        <f>+(2*20141*12+1*12973*12)*105%/100000</f>
        <v>6.7101300000000004</v>
      </c>
      <c r="BE183" s="3597">
        <f>+(1*20047*12)*105%/100000</f>
        <v>2.525922</v>
      </c>
      <c r="BF183" s="3597">
        <f>+(1*9091*12+1*19992*12+1*10000*12+1*11793*12)*105%/100000</f>
        <v>6.4103759999999994</v>
      </c>
      <c r="BG183" s="3597">
        <f>+(3*9091*12+2*21138*12+1*11793*12+1*12355*12)*105%/100000</f>
        <v>11.805821999999999</v>
      </c>
      <c r="BH183" s="3597">
        <f>+(1*21138*12+1*10000*12+1*12972*12)*105%/100000</f>
        <v>5.5578599999999998</v>
      </c>
      <c r="BI183" s="3597">
        <f>+(1*9091*12+1*21138*12+1*10000*12+1*12972*12)*105%/100000</f>
        <v>6.7033259999999997</v>
      </c>
      <c r="BJ183" s="3597">
        <f>+(1*10000*12+1*11793*12)*105%/100000</f>
        <v>2.7459180000000001</v>
      </c>
      <c r="BK183" s="3597"/>
      <c r="BL183" s="3597"/>
      <c r="BM183" s="3597"/>
      <c r="BN183" s="3597"/>
      <c r="BO183" s="3581"/>
      <c r="BP183" s="3581"/>
      <c r="BQ183" s="3581"/>
      <c r="BR183" s="3581"/>
      <c r="BS183" s="3581"/>
      <c r="BT183" s="3581"/>
      <c r="BU183" s="3581"/>
      <c r="BV183" s="3581"/>
      <c r="BW183" s="3581"/>
      <c r="BX183" s="3581"/>
      <c r="BY183" s="3581"/>
      <c r="BZ183" s="3581"/>
      <c r="CA183" s="3581"/>
      <c r="CB183" s="3581"/>
      <c r="CC183" s="3581"/>
      <c r="CD183" s="3581"/>
      <c r="CE183" s="3581"/>
      <c r="CF183" s="3580">
        <f t="shared" si="71"/>
        <v>90.863256000000021</v>
      </c>
    </row>
    <row r="184" spans="1:84" ht="37.5" customHeight="1" thickBot="1">
      <c r="A184" s="391" t="s">
        <v>672</v>
      </c>
      <c r="B184" s="391" t="s">
        <v>622</v>
      </c>
      <c r="C184" s="391" t="s">
        <v>562</v>
      </c>
      <c r="D184" s="982" t="s">
        <v>65</v>
      </c>
      <c r="E184" s="982" t="s">
        <v>65</v>
      </c>
      <c r="F184" s="1185" t="s">
        <v>3760</v>
      </c>
      <c r="G184" s="3814"/>
      <c r="H184" s="3803"/>
      <c r="I184" s="3805"/>
      <c r="J184" s="3803"/>
      <c r="K184" s="3830"/>
      <c r="L184" s="3743"/>
      <c r="M184" s="2912" t="s">
        <v>5788</v>
      </c>
      <c r="N184" s="3824"/>
      <c r="O184" s="3664"/>
      <c r="P184" s="3664"/>
      <c r="Q184" s="3664"/>
      <c r="R184" s="3664"/>
      <c r="S184" s="3664"/>
      <c r="T184" s="3664"/>
      <c r="U184" s="3664"/>
      <c r="V184" s="3664"/>
      <c r="W184" s="3664"/>
      <c r="X184" s="3664"/>
      <c r="Y184" s="3664"/>
      <c r="Z184" s="3664"/>
      <c r="AA184" s="3664"/>
      <c r="AB184" s="3664"/>
      <c r="AC184" s="3664"/>
      <c r="AD184" s="3664"/>
      <c r="AE184" s="3664"/>
      <c r="AF184" s="3664"/>
      <c r="AG184" s="3664"/>
      <c r="AH184" s="3664"/>
      <c r="AI184" s="3664"/>
      <c r="AJ184" s="3664"/>
      <c r="AK184" s="3664"/>
      <c r="AL184" s="3664"/>
      <c r="AM184" s="3664"/>
      <c r="AN184" s="3664"/>
      <c r="AO184" s="3664"/>
      <c r="AP184" s="3664"/>
      <c r="AQ184" s="3664"/>
      <c r="AR184" s="3664"/>
      <c r="AS184" s="3664"/>
      <c r="AT184" s="3664"/>
      <c r="AU184" s="3664"/>
      <c r="AV184" s="3664"/>
      <c r="AW184" s="3664"/>
      <c r="AX184" s="3597">
        <v>1.8</v>
      </c>
      <c r="AY184" s="3597"/>
      <c r="AZ184" s="3597"/>
      <c r="BA184" s="3597"/>
      <c r="BB184" s="3597"/>
      <c r="BC184" s="3597"/>
      <c r="BD184" s="3597"/>
      <c r="BE184" s="3597"/>
      <c r="BF184" s="3597"/>
      <c r="BG184" s="3597"/>
      <c r="BH184" s="3597"/>
      <c r="BI184" s="3597"/>
      <c r="BJ184" s="3597"/>
      <c r="BK184" s="3597"/>
      <c r="BL184" s="3597"/>
      <c r="BM184" s="3597"/>
      <c r="BN184" s="3597"/>
      <c r="BO184" s="3581"/>
      <c r="BP184" s="3581"/>
      <c r="BQ184" s="3581"/>
      <c r="BR184" s="3581"/>
      <c r="BS184" s="3581"/>
      <c r="BT184" s="3581"/>
      <c r="BU184" s="3581"/>
      <c r="BV184" s="3581"/>
      <c r="BW184" s="3581"/>
      <c r="BX184" s="3581"/>
      <c r="BY184" s="3581"/>
      <c r="BZ184" s="3581"/>
      <c r="CA184" s="3581"/>
      <c r="CB184" s="3581"/>
      <c r="CC184" s="3581"/>
      <c r="CD184" s="3581"/>
      <c r="CE184" s="3581"/>
      <c r="CF184" s="3580">
        <f t="shared" si="71"/>
        <v>1.8</v>
      </c>
    </row>
    <row r="185" spans="1:84" ht="37.5" customHeight="1" thickBot="1">
      <c r="A185" s="391" t="s">
        <v>675</v>
      </c>
      <c r="B185" s="391" t="s">
        <v>650</v>
      </c>
      <c r="C185" s="391" t="s">
        <v>651</v>
      </c>
      <c r="D185" s="982" t="s">
        <v>65</v>
      </c>
      <c r="E185" s="982" t="s">
        <v>65</v>
      </c>
      <c r="F185" s="1185" t="s">
        <v>3760</v>
      </c>
      <c r="G185" s="3814"/>
      <c r="H185" s="3803"/>
      <c r="I185" s="3805"/>
      <c r="J185" s="3803"/>
      <c r="K185" s="3830"/>
      <c r="L185" s="422"/>
      <c r="M185" s="2912" t="s">
        <v>5789</v>
      </c>
      <c r="N185" s="3824"/>
      <c r="O185" s="3664"/>
      <c r="P185" s="3664"/>
      <c r="Q185" s="3664"/>
      <c r="R185" s="3664"/>
      <c r="S185" s="3664"/>
      <c r="T185" s="3664"/>
      <c r="U185" s="3664"/>
      <c r="V185" s="3664"/>
      <c r="W185" s="3664"/>
      <c r="X185" s="3664"/>
      <c r="Y185" s="3664"/>
      <c r="Z185" s="3664"/>
      <c r="AA185" s="3664"/>
      <c r="AB185" s="3664"/>
      <c r="AC185" s="3664"/>
      <c r="AD185" s="3664"/>
      <c r="AE185" s="3664"/>
      <c r="AF185" s="3664"/>
      <c r="AG185" s="3664"/>
      <c r="AH185" s="3664"/>
      <c r="AI185" s="3664"/>
      <c r="AJ185" s="3664"/>
      <c r="AK185" s="3664"/>
      <c r="AL185" s="3664"/>
      <c r="AM185" s="3664"/>
      <c r="AN185" s="3664"/>
      <c r="AO185" s="3664"/>
      <c r="AP185" s="3664"/>
      <c r="AQ185" s="3664"/>
      <c r="AR185" s="3664"/>
      <c r="AS185" s="3664"/>
      <c r="AT185" s="3664"/>
      <c r="AU185" s="3664"/>
      <c r="AV185" s="3664"/>
      <c r="AW185" s="3664"/>
      <c r="AX185" s="3597">
        <v>1.2</v>
      </c>
      <c r="AY185" s="3597"/>
      <c r="AZ185" s="3597"/>
      <c r="BA185" s="3597"/>
      <c r="BB185" s="3597"/>
      <c r="BC185" s="3597"/>
      <c r="BD185" s="3597"/>
      <c r="BE185" s="3597"/>
      <c r="BF185" s="3597"/>
      <c r="BG185" s="3597"/>
      <c r="BH185" s="3597"/>
      <c r="BI185" s="3597"/>
      <c r="BJ185" s="3597"/>
      <c r="BK185" s="3597"/>
      <c r="BL185" s="3597"/>
      <c r="BM185" s="3597"/>
      <c r="BN185" s="3597"/>
      <c r="BO185" s="3581"/>
      <c r="BP185" s="3581"/>
      <c r="BQ185" s="3581"/>
      <c r="BR185" s="3581"/>
      <c r="BS185" s="3581"/>
      <c r="BT185" s="3581"/>
      <c r="BU185" s="3581"/>
      <c r="BV185" s="3581"/>
      <c r="BW185" s="3581"/>
      <c r="BX185" s="3581"/>
      <c r="BY185" s="3581"/>
      <c r="BZ185" s="3581"/>
      <c r="CA185" s="3581"/>
      <c r="CB185" s="3581"/>
      <c r="CC185" s="3581"/>
      <c r="CD185" s="3581"/>
      <c r="CE185" s="3581"/>
      <c r="CF185" s="3580">
        <f t="shared" si="71"/>
        <v>1.2</v>
      </c>
    </row>
    <row r="186" spans="1:84" ht="37.5" customHeight="1" thickBot="1">
      <c r="A186" s="391" t="s">
        <v>680</v>
      </c>
      <c r="B186" s="391" t="s">
        <v>644</v>
      </c>
      <c r="C186" s="391" t="s">
        <v>645</v>
      </c>
      <c r="D186" s="982" t="s">
        <v>65</v>
      </c>
      <c r="E186" s="982" t="s">
        <v>65</v>
      </c>
      <c r="F186" s="1185" t="s">
        <v>3760</v>
      </c>
      <c r="G186" s="3814"/>
      <c r="H186" s="3803"/>
      <c r="I186" s="3805"/>
      <c r="J186" s="3803"/>
      <c r="K186" s="3830"/>
      <c r="L186" s="3750"/>
      <c r="M186" s="2912" t="s">
        <v>5790</v>
      </c>
      <c r="N186" s="3824"/>
      <c r="O186" s="3664"/>
      <c r="P186" s="3664"/>
      <c r="Q186" s="3664"/>
      <c r="R186" s="3664"/>
      <c r="S186" s="3664"/>
      <c r="T186" s="3664"/>
      <c r="U186" s="3664"/>
      <c r="V186" s="3664"/>
      <c r="W186" s="3664"/>
      <c r="X186" s="3664"/>
      <c r="Y186" s="3664"/>
      <c r="Z186" s="3664"/>
      <c r="AA186" s="3664"/>
      <c r="AB186" s="3664"/>
      <c r="AC186" s="3664"/>
      <c r="AD186" s="3664"/>
      <c r="AE186" s="3664"/>
      <c r="AF186" s="3664"/>
      <c r="AG186" s="3664"/>
      <c r="AH186" s="3664"/>
      <c r="AI186" s="3664"/>
      <c r="AJ186" s="3664"/>
      <c r="AK186" s="3664"/>
      <c r="AL186" s="3664"/>
      <c r="AM186" s="3664"/>
      <c r="AN186" s="3664"/>
      <c r="AO186" s="3664"/>
      <c r="AP186" s="3664"/>
      <c r="AQ186" s="3664"/>
      <c r="AR186" s="3664"/>
      <c r="AS186" s="3664"/>
      <c r="AT186" s="3664"/>
      <c r="AU186" s="3664"/>
      <c r="AV186" s="3664"/>
      <c r="AW186" s="3664"/>
      <c r="AX186" s="3597">
        <v>24</v>
      </c>
      <c r="AY186" s="3597"/>
      <c r="AZ186" s="3597"/>
      <c r="BA186" s="3597"/>
      <c r="BB186" s="3597"/>
      <c r="BC186" s="3597"/>
      <c r="BD186" s="3597"/>
      <c r="BE186" s="3597"/>
      <c r="BF186" s="3597"/>
      <c r="BG186" s="3597"/>
      <c r="BH186" s="3597"/>
      <c r="BI186" s="3597"/>
      <c r="BJ186" s="3597"/>
      <c r="BK186" s="3597"/>
      <c r="BL186" s="3597"/>
      <c r="BM186" s="3597"/>
      <c r="BN186" s="3597"/>
      <c r="BO186" s="3581"/>
      <c r="BP186" s="3581"/>
      <c r="BQ186" s="3581"/>
      <c r="BR186" s="3581"/>
      <c r="BS186" s="3581"/>
      <c r="BT186" s="3581"/>
      <c r="BU186" s="3581"/>
      <c r="BV186" s="3581"/>
      <c r="BW186" s="3581"/>
      <c r="BX186" s="3581"/>
      <c r="BY186" s="3581"/>
      <c r="BZ186" s="3581"/>
      <c r="CA186" s="3581"/>
      <c r="CB186" s="3581"/>
      <c r="CC186" s="3581"/>
      <c r="CD186" s="3581"/>
      <c r="CE186" s="3581"/>
      <c r="CF186" s="3580">
        <f t="shared" si="71"/>
        <v>24</v>
      </c>
    </row>
    <row r="187" spans="1:84" ht="37.5" customHeight="1" thickBot="1">
      <c r="A187" s="391" t="s">
        <v>2786</v>
      </c>
      <c r="B187" s="391" t="s">
        <v>623</v>
      </c>
      <c r="C187" s="391" t="s">
        <v>624</v>
      </c>
      <c r="D187" s="982" t="s">
        <v>65</v>
      </c>
      <c r="E187" s="982" t="s">
        <v>65</v>
      </c>
      <c r="F187" s="1185" t="s">
        <v>3760</v>
      </c>
      <c r="G187" s="3814"/>
      <c r="H187" s="3803"/>
      <c r="I187" s="3805"/>
      <c r="J187" s="3803"/>
      <c r="K187" s="3830"/>
      <c r="L187" s="3743"/>
      <c r="M187" s="2912" t="s">
        <v>5791</v>
      </c>
      <c r="N187" s="3824"/>
      <c r="O187" s="3664"/>
      <c r="P187" s="3664"/>
      <c r="Q187" s="3664"/>
      <c r="R187" s="3664"/>
      <c r="S187" s="3664"/>
      <c r="T187" s="3664"/>
      <c r="U187" s="3664"/>
      <c r="V187" s="3664"/>
      <c r="W187" s="3664"/>
      <c r="X187" s="3664"/>
      <c r="Y187" s="3664"/>
      <c r="Z187" s="3664"/>
      <c r="AA187" s="3664"/>
      <c r="AB187" s="3664"/>
      <c r="AC187" s="3664"/>
      <c r="AD187" s="3664"/>
      <c r="AE187" s="3664"/>
      <c r="AF187" s="3664"/>
      <c r="AG187" s="3664"/>
      <c r="AH187" s="3664"/>
      <c r="AI187" s="3664"/>
      <c r="AJ187" s="3664"/>
      <c r="AK187" s="3664"/>
      <c r="AL187" s="3664"/>
      <c r="AM187" s="3664"/>
      <c r="AN187" s="3664"/>
      <c r="AO187" s="3664"/>
      <c r="AP187" s="3664"/>
      <c r="AQ187" s="3664"/>
      <c r="AR187" s="3664"/>
      <c r="AS187" s="3664"/>
      <c r="AT187" s="3664"/>
      <c r="AU187" s="3664"/>
      <c r="AV187" s="3664"/>
      <c r="AW187" s="3664"/>
      <c r="AX187" s="3597">
        <v>25.2</v>
      </c>
      <c r="AY187" s="3597"/>
      <c r="AZ187" s="3597"/>
      <c r="BA187" s="3597"/>
      <c r="BB187" s="3597">
        <f>+(1*10000*12)*105%/100000</f>
        <v>1.26</v>
      </c>
      <c r="BC187" s="3597">
        <f>+(1*10000*12)*105%/100000</f>
        <v>1.26</v>
      </c>
      <c r="BD187" s="3597"/>
      <c r="BE187" s="3597"/>
      <c r="BF187" s="3597">
        <f>+(1*10000*12)*105%/100000</f>
        <v>1.26</v>
      </c>
      <c r="BG187" s="3597"/>
      <c r="BH187" s="3597"/>
      <c r="BI187" s="3597"/>
      <c r="BJ187" s="3597"/>
      <c r="BK187" s="3597"/>
      <c r="BL187" s="3597"/>
      <c r="BM187" s="3597"/>
      <c r="BN187" s="3597"/>
      <c r="BO187" s="3581"/>
      <c r="BP187" s="3581"/>
      <c r="BQ187" s="3581"/>
      <c r="BR187" s="3581"/>
      <c r="BS187" s="3581"/>
      <c r="BT187" s="3581"/>
      <c r="BU187" s="3581"/>
      <c r="BV187" s="3581"/>
      <c r="BW187" s="3581"/>
      <c r="BX187" s="3581"/>
      <c r="BY187" s="3581"/>
      <c r="BZ187" s="3581"/>
      <c r="CA187" s="3581"/>
      <c r="CB187" s="3581"/>
      <c r="CC187" s="3581"/>
      <c r="CD187" s="3581"/>
      <c r="CE187" s="3581"/>
      <c r="CF187" s="3580">
        <f t="shared" si="71"/>
        <v>28.980000000000004</v>
      </c>
    </row>
    <row r="188" spans="1:84" ht="37.5" customHeight="1" thickBot="1">
      <c r="A188" s="391" t="s">
        <v>2798</v>
      </c>
      <c r="B188" s="391" t="s">
        <v>652</v>
      </c>
      <c r="C188" s="391" t="s">
        <v>3965</v>
      </c>
      <c r="D188" s="982" t="s">
        <v>65</v>
      </c>
      <c r="E188" s="982" t="s">
        <v>65</v>
      </c>
      <c r="F188" s="1185" t="s">
        <v>3760</v>
      </c>
      <c r="G188" s="3814"/>
      <c r="H188" s="3803"/>
      <c r="I188" s="3805"/>
      <c r="J188" s="3803"/>
      <c r="K188" s="3830"/>
      <c r="L188" s="380"/>
      <c r="M188" s="2912" t="s">
        <v>5792</v>
      </c>
      <c r="N188" s="3824"/>
      <c r="O188" s="3664"/>
      <c r="P188" s="3664"/>
      <c r="Q188" s="3664"/>
      <c r="R188" s="3664"/>
      <c r="S188" s="3664"/>
      <c r="T188" s="3664"/>
      <c r="U188" s="3664"/>
      <c r="V188" s="3664"/>
      <c r="W188" s="3664"/>
      <c r="X188" s="3664"/>
      <c r="Y188" s="3664"/>
      <c r="Z188" s="3664"/>
      <c r="AA188" s="3664"/>
      <c r="AB188" s="3664"/>
      <c r="AC188" s="3664"/>
      <c r="AD188" s="3664"/>
      <c r="AE188" s="3664"/>
      <c r="AF188" s="3664"/>
      <c r="AG188" s="3664"/>
      <c r="AH188" s="3664"/>
      <c r="AI188" s="3664"/>
      <c r="AJ188" s="3664"/>
      <c r="AK188" s="3664"/>
      <c r="AL188" s="3664"/>
      <c r="AM188" s="3664"/>
      <c r="AN188" s="3664"/>
      <c r="AO188" s="3664"/>
      <c r="AP188" s="3664"/>
      <c r="AQ188" s="3664"/>
      <c r="AR188" s="3664"/>
      <c r="AS188" s="3664"/>
      <c r="AT188" s="3664"/>
      <c r="AU188" s="3664"/>
      <c r="AV188" s="3664"/>
      <c r="AW188" s="3664"/>
      <c r="AX188" s="3597">
        <v>13.34</v>
      </c>
      <c r="AY188" s="3597"/>
      <c r="AZ188" s="3597"/>
      <c r="BA188" s="3597"/>
      <c r="BB188" s="3597"/>
      <c r="BC188" s="3597"/>
      <c r="BD188" s="3597"/>
      <c r="BE188" s="3597"/>
      <c r="BF188" s="3597"/>
      <c r="BG188" s="3597"/>
      <c r="BH188" s="3597"/>
      <c r="BI188" s="3597"/>
      <c r="BJ188" s="3597"/>
      <c r="BK188" s="3597"/>
      <c r="BL188" s="3597"/>
      <c r="BM188" s="3597"/>
      <c r="BN188" s="3597"/>
      <c r="BO188" s="3581"/>
      <c r="BP188" s="3581"/>
      <c r="BQ188" s="3581"/>
      <c r="BR188" s="3581"/>
      <c r="BS188" s="3581"/>
      <c r="BT188" s="3581"/>
      <c r="BU188" s="3581"/>
      <c r="BV188" s="3581"/>
      <c r="BW188" s="3581"/>
      <c r="BX188" s="3581"/>
      <c r="BY188" s="3581"/>
      <c r="BZ188" s="3581"/>
      <c r="CA188" s="3581"/>
      <c r="CB188" s="3581"/>
      <c r="CC188" s="3581"/>
      <c r="CD188" s="3581"/>
      <c r="CE188" s="3581"/>
      <c r="CF188" s="3580">
        <f t="shared" si="71"/>
        <v>13.34</v>
      </c>
    </row>
    <row r="189" spans="1:84" ht="37.5" customHeight="1" thickBot="1">
      <c r="A189" s="391" t="s">
        <v>2799</v>
      </c>
      <c r="B189" s="391" t="s">
        <v>652</v>
      </c>
      <c r="C189" s="391" t="s">
        <v>3966</v>
      </c>
      <c r="D189" s="982" t="s">
        <v>65</v>
      </c>
      <c r="E189" s="982" t="s">
        <v>65</v>
      </c>
      <c r="F189" s="1185" t="s">
        <v>3760</v>
      </c>
      <c r="G189" s="3814"/>
      <c r="H189" s="3803"/>
      <c r="I189" s="3805"/>
      <c r="J189" s="3803"/>
      <c r="K189" s="3830"/>
      <c r="L189" s="422"/>
      <c r="M189" s="2912" t="s">
        <v>5790</v>
      </c>
      <c r="N189" s="3824"/>
      <c r="O189" s="3664"/>
      <c r="P189" s="3664"/>
      <c r="Q189" s="3664"/>
      <c r="R189" s="3664"/>
      <c r="S189" s="3664"/>
      <c r="T189" s="3664"/>
      <c r="U189" s="3664"/>
      <c r="V189" s="3664"/>
      <c r="W189" s="3664"/>
      <c r="X189" s="3664"/>
      <c r="Y189" s="3664"/>
      <c r="Z189" s="3664"/>
      <c r="AA189" s="3664"/>
      <c r="AB189" s="3664"/>
      <c r="AC189" s="3664"/>
      <c r="AD189" s="3664"/>
      <c r="AE189" s="3664"/>
      <c r="AF189" s="3664"/>
      <c r="AG189" s="3664"/>
      <c r="AH189" s="3664"/>
      <c r="AI189" s="3664"/>
      <c r="AJ189" s="3664"/>
      <c r="AK189" s="3664"/>
      <c r="AL189" s="3664"/>
      <c r="AM189" s="3664"/>
      <c r="AN189" s="3664"/>
      <c r="AO189" s="3664"/>
      <c r="AP189" s="3664"/>
      <c r="AQ189" s="3664"/>
      <c r="AR189" s="3664"/>
      <c r="AS189" s="3664"/>
      <c r="AT189" s="3664"/>
      <c r="AU189" s="3664"/>
      <c r="AV189" s="3664"/>
      <c r="AW189" s="3664"/>
      <c r="AX189" s="3597">
        <v>10.56</v>
      </c>
      <c r="AY189" s="3597"/>
      <c r="AZ189" s="3597"/>
      <c r="BA189" s="3597"/>
      <c r="BB189" s="3597"/>
      <c r="BC189" s="3597"/>
      <c r="BD189" s="3597"/>
      <c r="BE189" s="3597"/>
      <c r="BF189" s="3597"/>
      <c r="BG189" s="3597"/>
      <c r="BH189" s="3597"/>
      <c r="BI189" s="3597"/>
      <c r="BJ189" s="3597"/>
      <c r="BK189" s="3597"/>
      <c r="BL189" s="3597"/>
      <c r="BM189" s="3597"/>
      <c r="BN189" s="3597"/>
      <c r="BO189" s="3581"/>
      <c r="BP189" s="3581"/>
      <c r="BQ189" s="3581"/>
      <c r="BR189" s="3581"/>
      <c r="BS189" s="3581"/>
      <c r="BT189" s="3581"/>
      <c r="BU189" s="3581"/>
      <c r="BV189" s="3581"/>
      <c r="BW189" s="3581"/>
      <c r="BX189" s="3581"/>
      <c r="BY189" s="3581"/>
      <c r="BZ189" s="3581"/>
      <c r="CA189" s="3581"/>
      <c r="CB189" s="3581"/>
      <c r="CC189" s="3581"/>
      <c r="CD189" s="3581"/>
      <c r="CE189" s="3581"/>
      <c r="CF189" s="3580">
        <f t="shared" si="71"/>
        <v>10.56</v>
      </c>
    </row>
    <row r="190" spans="1:84" ht="37.5" customHeight="1">
      <c r="A190" s="391" t="s">
        <v>2802</v>
      </c>
      <c r="B190" s="391" t="s">
        <v>652</v>
      </c>
      <c r="C190" s="3748" t="s">
        <v>5997</v>
      </c>
      <c r="D190" s="982" t="s">
        <v>65</v>
      </c>
      <c r="E190" s="982" t="s">
        <v>65</v>
      </c>
      <c r="F190" s="1185" t="s">
        <v>3760</v>
      </c>
      <c r="G190" s="3826"/>
      <c r="H190" s="3821"/>
      <c r="I190" s="3827"/>
      <c r="J190" s="3821"/>
      <c r="K190" s="3831"/>
      <c r="L190" s="2706" t="s">
        <v>5508</v>
      </c>
      <c r="M190" s="3052" t="s">
        <v>5793</v>
      </c>
      <c r="N190" s="3825"/>
      <c r="O190" s="3664">
        <v>0.8</v>
      </c>
      <c r="P190" s="3664"/>
      <c r="Q190" s="3664"/>
      <c r="R190" s="3664"/>
      <c r="S190" s="3664"/>
      <c r="T190" s="3664"/>
      <c r="U190" s="3664"/>
      <c r="V190" s="3664"/>
      <c r="W190" s="3664"/>
      <c r="X190" s="3664"/>
      <c r="Y190" s="3664"/>
      <c r="Z190" s="3664"/>
      <c r="AA190" s="3664"/>
      <c r="AB190" s="3664"/>
      <c r="AC190" s="3664"/>
      <c r="AD190" s="3664"/>
      <c r="AE190" s="3664"/>
      <c r="AF190" s="3664"/>
      <c r="AG190" s="3664"/>
      <c r="AH190" s="3664"/>
      <c r="AI190" s="3664"/>
      <c r="AJ190" s="3664"/>
      <c r="AK190" s="3664"/>
      <c r="AL190" s="3664"/>
      <c r="AM190" s="3664"/>
      <c r="AN190" s="3664"/>
      <c r="AO190" s="3664"/>
      <c r="AP190" s="3664"/>
      <c r="AQ190" s="3664"/>
      <c r="AR190" s="3664"/>
      <c r="AS190" s="3664"/>
      <c r="AT190" s="3664"/>
      <c r="AU190" s="3664"/>
      <c r="AV190" s="3664"/>
      <c r="AW190" s="3664"/>
      <c r="AX190" s="3597">
        <v>5.76</v>
      </c>
      <c r="AY190" s="3597"/>
      <c r="AZ190" s="3597"/>
      <c r="BA190" s="3597"/>
      <c r="BB190" s="3597"/>
      <c r="BC190" s="3597"/>
      <c r="BD190" s="3597"/>
      <c r="BE190" s="3597"/>
      <c r="BF190" s="3597"/>
      <c r="BG190" s="3597"/>
      <c r="BH190" s="3597"/>
      <c r="BI190" s="3597"/>
      <c r="BJ190" s="3597"/>
      <c r="BK190" s="3597"/>
      <c r="BL190" s="3597"/>
      <c r="BM190" s="3597"/>
      <c r="BN190" s="3597"/>
      <c r="BO190" s="3581"/>
      <c r="BP190" s="3581"/>
      <c r="BQ190" s="3581"/>
      <c r="BR190" s="3581"/>
      <c r="BS190" s="3581"/>
      <c r="BT190" s="3581"/>
      <c r="BU190" s="3581"/>
      <c r="BV190" s="3581"/>
      <c r="BW190" s="3581"/>
      <c r="BX190" s="3581"/>
      <c r="BY190" s="3581"/>
      <c r="BZ190" s="3581"/>
      <c r="CA190" s="3581"/>
      <c r="CB190" s="3581"/>
      <c r="CC190" s="3581"/>
      <c r="CD190" s="3581"/>
      <c r="CE190" s="3581"/>
      <c r="CF190" s="3580">
        <f t="shared" si="71"/>
        <v>5.76</v>
      </c>
    </row>
    <row r="191" spans="1:84" ht="37.5" customHeight="1" thickBot="1">
      <c r="A191" s="391" t="s">
        <v>2354</v>
      </c>
      <c r="B191" s="391" t="s">
        <v>663</v>
      </c>
      <c r="C191" s="391" t="s">
        <v>664</v>
      </c>
      <c r="D191" s="982" t="s">
        <v>65</v>
      </c>
      <c r="E191" s="982" t="s">
        <v>65</v>
      </c>
      <c r="F191" s="1185" t="s">
        <v>3760</v>
      </c>
      <c r="G191" s="3721"/>
      <c r="H191" s="3721"/>
      <c r="I191" s="3723"/>
      <c r="J191" s="3721"/>
      <c r="K191" s="3725"/>
      <c r="L191" s="296"/>
      <c r="M191" s="2912" t="s">
        <v>5794</v>
      </c>
      <c r="N191" s="3749">
        <v>2.64</v>
      </c>
      <c r="O191" s="3664"/>
      <c r="P191" s="3664"/>
      <c r="Q191" s="3664"/>
      <c r="R191" s="3664"/>
      <c r="S191" s="3664"/>
      <c r="T191" s="3664"/>
      <c r="U191" s="3664"/>
      <c r="V191" s="3664"/>
      <c r="W191" s="3664"/>
      <c r="X191" s="3664"/>
      <c r="Y191" s="3664"/>
      <c r="Z191" s="3664"/>
      <c r="AA191" s="3664"/>
      <c r="AB191" s="3664"/>
      <c r="AC191" s="3664"/>
      <c r="AD191" s="3664"/>
      <c r="AE191" s="3664"/>
      <c r="AF191" s="3664"/>
      <c r="AG191" s="3664"/>
      <c r="AH191" s="3664"/>
      <c r="AI191" s="3664"/>
      <c r="AJ191" s="3664"/>
      <c r="AK191" s="3664"/>
      <c r="AL191" s="3664"/>
      <c r="AM191" s="3664"/>
      <c r="AN191" s="3664"/>
      <c r="AO191" s="3664"/>
      <c r="AP191" s="3664"/>
      <c r="AQ191" s="3664"/>
      <c r="AR191" s="3664"/>
      <c r="AS191" s="3664"/>
      <c r="AT191" s="3664"/>
      <c r="AU191" s="3664"/>
      <c r="AV191" s="3664"/>
      <c r="AW191" s="3664"/>
      <c r="AX191" s="3597">
        <v>2.64</v>
      </c>
      <c r="AY191" s="3597"/>
      <c r="AZ191" s="3597"/>
      <c r="BA191" s="3597"/>
      <c r="BB191" s="3597"/>
      <c r="BC191" s="3597"/>
      <c r="BD191" s="3597"/>
      <c r="BE191" s="3597"/>
      <c r="BF191" s="3597"/>
      <c r="BG191" s="3597"/>
      <c r="BH191" s="3597"/>
      <c r="BI191" s="3597"/>
      <c r="BJ191" s="3597"/>
      <c r="BK191" s="3597"/>
      <c r="BL191" s="3597"/>
      <c r="BM191" s="3597"/>
      <c r="BN191" s="3597"/>
      <c r="BO191" s="3581"/>
      <c r="BP191" s="3581"/>
      <c r="BQ191" s="3581"/>
      <c r="BR191" s="3581"/>
      <c r="BS191" s="3581"/>
      <c r="BT191" s="3581"/>
      <c r="BU191" s="3581"/>
      <c r="BV191" s="3581"/>
      <c r="BW191" s="3581"/>
      <c r="BX191" s="3581"/>
      <c r="BY191" s="3581"/>
      <c r="BZ191" s="3581"/>
      <c r="CA191" s="3581"/>
      <c r="CB191" s="3581"/>
      <c r="CC191" s="3581"/>
      <c r="CD191" s="3581"/>
      <c r="CE191" s="3581"/>
      <c r="CF191" s="3580">
        <f t="shared" si="71"/>
        <v>2.64</v>
      </c>
    </row>
    <row r="192" spans="1:84" ht="37.5" customHeight="1" thickBot="1">
      <c r="A192" s="391" t="s">
        <v>2364</v>
      </c>
      <c r="B192" s="391" t="s">
        <v>683</v>
      </c>
      <c r="C192" s="391" t="s">
        <v>684</v>
      </c>
      <c r="D192" s="982" t="s">
        <v>65</v>
      </c>
      <c r="E192" s="982" t="s">
        <v>65</v>
      </c>
      <c r="F192" s="1185" t="s">
        <v>3760</v>
      </c>
      <c r="G192" s="3718"/>
      <c r="H192" s="3720"/>
      <c r="I192" s="3722"/>
      <c r="J192" s="3720"/>
      <c r="K192" s="3724"/>
      <c r="L192" s="3751" t="s">
        <v>5501</v>
      </c>
      <c r="M192" s="2912" t="s">
        <v>5795</v>
      </c>
      <c r="N192" s="3744">
        <v>14.96</v>
      </c>
      <c r="O192" s="3664"/>
      <c r="P192" s="3664"/>
      <c r="Q192" s="3664"/>
      <c r="R192" s="3664"/>
      <c r="S192" s="3664"/>
      <c r="T192" s="3664"/>
      <c r="U192" s="3664"/>
      <c r="V192" s="3664"/>
      <c r="W192" s="3664"/>
      <c r="X192" s="3664"/>
      <c r="Y192" s="3664"/>
      <c r="Z192" s="3664"/>
      <c r="AA192" s="3664"/>
      <c r="AB192" s="3664"/>
      <c r="AC192" s="3664"/>
      <c r="AD192" s="3664"/>
      <c r="AE192" s="3664"/>
      <c r="AF192" s="3664"/>
      <c r="AG192" s="3664"/>
      <c r="AH192" s="3664"/>
      <c r="AI192" s="3664"/>
      <c r="AJ192" s="3664"/>
      <c r="AK192" s="3664"/>
      <c r="AL192" s="3664"/>
      <c r="AM192" s="3664"/>
      <c r="AN192" s="3664"/>
      <c r="AO192" s="3664"/>
      <c r="AP192" s="3664"/>
      <c r="AQ192" s="3664"/>
      <c r="AR192" s="3664"/>
      <c r="AS192" s="3664"/>
      <c r="AT192" s="3664"/>
      <c r="AU192" s="3664"/>
      <c r="AV192" s="3664"/>
      <c r="AW192" s="3664"/>
      <c r="AX192" s="3597">
        <v>8.9600000000000009</v>
      </c>
      <c r="AY192" s="3597"/>
      <c r="AZ192" s="3597"/>
      <c r="BA192" s="3597">
        <v>1.2</v>
      </c>
      <c r="BB192" s="3597">
        <v>1.2</v>
      </c>
      <c r="BC192" s="3597"/>
      <c r="BD192" s="3597"/>
      <c r="BE192" s="3597"/>
      <c r="BF192" s="3597">
        <v>1.2</v>
      </c>
      <c r="BG192" s="3597">
        <v>1.2</v>
      </c>
      <c r="BH192" s="3597">
        <v>1.2</v>
      </c>
      <c r="BI192" s="3597"/>
      <c r="BJ192" s="3597"/>
      <c r="BK192" s="3597"/>
      <c r="BL192" s="3597"/>
      <c r="BM192" s="3597"/>
      <c r="BN192" s="3597"/>
      <c r="BO192" s="3612"/>
      <c r="BP192" s="3612"/>
      <c r="BQ192" s="3612"/>
      <c r="BR192" s="3612"/>
      <c r="BS192" s="3612"/>
      <c r="BT192" s="3612"/>
      <c r="BU192" s="3612"/>
      <c r="BV192" s="3612"/>
      <c r="BW192" s="3612"/>
      <c r="BX192" s="3612"/>
      <c r="BY192" s="3612"/>
      <c r="BZ192" s="3612"/>
      <c r="CA192" s="3612"/>
      <c r="CB192" s="3612"/>
      <c r="CC192" s="3612"/>
      <c r="CD192" s="3612"/>
      <c r="CE192" s="3612"/>
      <c r="CF192" s="3580">
        <f t="shared" si="71"/>
        <v>14.959999999999997</v>
      </c>
    </row>
    <row r="193" spans="1:84" ht="37.5" customHeight="1" thickBot="1">
      <c r="A193" s="391" t="s">
        <v>2811</v>
      </c>
      <c r="B193" s="391" t="s">
        <v>695</v>
      </c>
      <c r="C193" s="391" t="s">
        <v>2348</v>
      </c>
      <c r="D193" s="982" t="s">
        <v>65</v>
      </c>
      <c r="E193" s="982" t="s">
        <v>65</v>
      </c>
      <c r="F193" s="1185" t="s">
        <v>3760</v>
      </c>
      <c r="G193" s="3719"/>
      <c r="H193" s="3721"/>
      <c r="I193" s="3723"/>
      <c r="J193" s="3721"/>
      <c r="K193" s="3725"/>
      <c r="L193" s="289"/>
      <c r="M193" s="2912" t="s">
        <v>5796</v>
      </c>
      <c r="N193" s="3752">
        <v>8.64</v>
      </c>
      <c r="O193" s="3664"/>
      <c r="P193" s="3664"/>
      <c r="Q193" s="3664"/>
      <c r="R193" s="3664"/>
      <c r="S193" s="3664"/>
      <c r="T193" s="3664"/>
      <c r="U193" s="3664"/>
      <c r="V193" s="3664"/>
      <c r="W193" s="3664"/>
      <c r="X193" s="3664"/>
      <c r="Y193" s="3664"/>
      <c r="Z193" s="3664"/>
      <c r="AA193" s="3664"/>
      <c r="AB193" s="3664"/>
      <c r="AC193" s="3664"/>
      <c r="AD193" s="3664"/>
      <c r="AE193" s="3664"/>
      <c r="AF193" s="3664"/>
      <c r="AG193" s="3664"/>
      <c r="AH193" s="3664"/>
      <c r="AI193" s="3664"/>
      <c r="AJ193" s="3664"/>
      <c r="AK193" s="3664"/>
      <c r="AL193" s="3664"/>
      <c r="AM193" s="3664"/>
      <c r="AN193" s="3664"/>
      <c r="AO193" s="3664"/>
      <c r="AP193" s="3664"/>
      <c r="AQ193" s="3664"/>
      <c r="AR193" s="3664"/>
      <c r="AS193" s="3664"/>
      <c r="AT193" s="3664"/>
      <c r="AU193" s="3664"/>
      <c r="AV193" s="3664"/>
      <c r="AW193" s="3664"/>
      <c r="AX193" s="3597">
        <v>8.64</v>
      </c>
      <c r="AY193" s="3597"/>
      <c r="AZ193" s="3597"/>
      <c r="BA193" s="3597"/>
      <c r="BB193" s="3597"/>
      <c r="BC193" s="3597"/>
      <c r="BD193" s="3597"/>
      <c r="BE193" s="3597"/>
      <c r="BF193" s="3597"/>
      <c r="BG193" s="3597"/>
      <c r="BH193" s="3597"/>
      <c r="BI193" s="3597"/>
      <c r="BJ193" s="3597"/>
      <c r="BK193" s="3597"/>
      <c r="BL193" s="3597"/>
      <c r="BM193" s="3597"/>
      <c r="BN193" s="3597"/>
      <c r="BO193" s="3581"/>
      <c r="BP193" s="3581"/>
      <c r="BQ193" s="3581"/>
      <c r="BR193" s="3581"/>
      <c r="BS193" s="3581"/>
      <c r="BT193" s="3581"/>
      <c r="BU193" s="3581"/>
      <c r="BV193" s="3581"/>
      <c r="BW193" s="3581"/>
      <c r="BX193" s="3581"/>
      <c r="BY193" s="3581"/>
      <c r="BZ193" s="3581"/>
      <c r="CA193" s="3581"/>
      <c r="CB193" s="3581"/>
      <c r="CC193" s="3581"/>
      <c r="CD193" s="3581"/>
      <c r="CE193" s="3581"/>
      <c r="CF193" s="3580">
        <f t="shared" si="71"/>
        <v>8.64</v>
      </c>
    </row>
    <row r="194" spans="1:84" ht="37.5" customHeight="1">
      <c r="A194" s="391" t="s">
        <v>2816</v>
      </c>
      <c r="B194" s="391" t="s">
        <v>709</v>
      </c>
      <c r="C194" s="391" t="s">
        <v>705</v>
      </c>
      <c r="D194" s="982" t="s">
        <v>65</v>
      </c>
      <c r="E194" s="982" t="s">
        <v>65</v>
      </c>
      <c r="F194" s="1185" t="s">
        <v>3760</v>
      </c>
      <c r="G194" s="613"/>
      <c r="H194" s="283">
        <v>127416</v>
      </c>
      <c r="I194" s="2308">
        <f t="shared" ref="I194" si="72">H194/100000</f>
        <v>1.27416</v>
      </c>
      <c r="J194" s="283">
        <v>12</v>
      </c>
      <c r="K194" s="2906">
        <f>I194*J194</f>
        <v>15.289919999999999</v>
      </c>
      <c r="L194" s="3753"/>
      <c r="M194" s="3121" t="s">
        <v>5930</v>
      </c>
      <c r="N194" s="3754">
        <v>15.289919999999999</v>
      </c>
      <c r="O194" s="3664"/>
      <c r="P194" s="3664"/>
      <c r="Q194" s="3742"/>
      <c r="R194" s="3664"/>
      <c r="S194" s="3664"/>
      <c r="T194" s="3664"/>
      <c r="U194" s="3664"/>
      <c r="V194" s="3664"/>
      <c r="W194" s="3664"/>
      <c r="X194" s="3664"/>
      <c r="Y194" s="3664"/>
      <c r="Z194" s="3664"/>
      <c r="AA194" s="3664"/>
      <c r="AB194" s="3664"/>
      <c r="AC194" s="3664"/>
      <c r="AD194" s="3664"/>
      <c r="AE194" s="3664"/>
      <c r="AF194" s="3664"/>
      <c r="AG194" s="3664"/>
      <c r="AH194" s="3664"/>
      <c r="AI194" s="3664"/>
      <c r="AJ194" s="3664"/>
      <c r="AK194" s="3664"/>
      <c r="AL194" s="3664"/>
      <c r="AM194" s="3664"/>
      <c r="AN194" s="3664"/>
      <c r="AO194" s="3664"/>
      <c r="AP194" s="3664"/>
      <c r="AQ194" s="3664"/>
      <c r="AR194" s="3664"/>
      <c r="AS194" s="3664"/>
      <c r="AT194" s="3664"/>
      <c r="AU194" s="3664"/>
      <c r="AV194" s="3664"/>
      <c r="AW194" s="3664"/>
      <c r="AX194" s="3597">
        <v>10.14</v>
      </c>
      <c r="AY194" s="3597"/>
      <c r="AZ194" s="3597"/>
      <c r="BA194" s="3597"/>
      <c r="BB194" s="3597"/>
      <c r="BC194" s="3597">
        <v>5.15</v>
      </c>
      <c r="BD194" s="3597"/>
      <c r="BE194" s="3597"/>
      <c r="BF194" s="3597"/>
      <c r="BG194" s="3597"/>
      <c r="BH194" s="3597"/>
      <c r="BI194" s="3597"/>
      <c r="BJ194" s="3597"/>
      <c r="BK194" s="3597"/>
      <c r="BL194" s="3597"/>
      <c r="BM194" s="3597"/>
      <c r="BN194" s="3597"/>
      <c r="BO194" s="3581"/>
      <c r="BP194" s="3581"/>
      <c r="BQ194" s="3581"/>
      <c r="BR194" s="3581"/>
      <c r="BS194" s="3581"/>
      <c r="BT194" s="3581"/>
      <c r="BU194" s="3581"/>
      <c r="BV194" s="3581"/>
      <c r="BW194" s="3581"/>
      <c r="BX194" s="3581"/>
      <c r="BY194" s="3581"/>
      <c r="BZ194" s="3581"/>
      <c r="CA194" s="3581"/>
      <c r="CB194" s="3581"/>
      <c r="CC194" s="3581"/>
      <c r="CD194" s="3581"/>
      <c r="CE194" s="3581"/>
      <c r="CF194" s="3580">
        <f t="shared" si="71"/>
        <v>15.290000000000001</v>
      </c>
    </row>
    <row r="195" spans="1:84" ht="37.5" customHeight="1">
      <c r="A195" s="902">
        <v>8.1999999999999993</v>
      </c>
      <c r="B195" s="1004" t="s">
        <v>710</v>
      </c>
      <c r="C195" s="1176" t="s">
        <v>3779</v>
      </c>
      <c r="D195" s="982" t="s">
        <v>65</v>
      </c>
      <c r="E195" s="982" t="s">
        <v>65</v>
      </c>
      <c r="F195" s="3730" t="s">
        <v>3760</v>
      </c>
      <c r="G195" s="634"/>
      <c r="H195" s="634"/>
      <c r="I195" s="1447">
        <f>H195/100000</f>
        <v>0</v>
      </c>
      <c r="J195" s="613"/>
      <c r="K195" s="3755">
        <f>I195*J195</f>
        <v>0</v>
      </c>
      <c r="L195" s="289"/>
      <c r="M195" s="3746" t="s">
        <v>5797</v>
      </c>
      <c r="N195" s="3756">
        <v>23.43</v>
      </c>
      <c r="O195" s="3664"/>
      <c r="P195" s="3664"/>
      <c r="Q195" s="3742"/>
      <c r="R195" s="3664"/>
      <c r="S195" s="3664"/>
      <c r="T195" s="3664"/>
      <c r="U195" s="3664"/>
      <c r="V195" s="3664"/>
      <c r="W195" s="3664"/>
      <c r="X195" s="3664"/>
      <c r="Y195" s="3664"/>
      <c r="Z195" s="3664"/>
      <c r="AA195" s="3664"/>
      <c r="AB195" s="3664"/>
      <c r="AC195" s="3664"/>
      <c r="AD195" s="3664"/>
      <c r="AE195" s="3664"/>
      <c r="AF195" s="3664"/>
      <c r="AG195" s="3664"/>
      <c r="AH195" s="3664"/>
      <c r="AI195" s="3664"/>
      <c r="AJ195" s="3664"/>
      <c r="AK195" s="3664"/>
      <c r="AL195" s="3664"/>
      <c r="AM195" s="3664"/>
      <c r="AN195" s="3664"/>
      <c r="AO195" s="3664"/>
      <c r="AP195" s="3664"/>
      <c r="AQ195" s="3664"/>
      <c r="AR195" s="3664"/>
      <c r="AS195" s="3664"/>
      <c r="AT195" s="3664"/>
      <c r="AU195" s="3664"/>
      <c r="AV195" s="3664"/>
      <c r="AW195" s="3664"/>
      <c r="AX195" s="3597">
        <v>23.43</v>
      </c>
      <c r="AY195" s="3597"/>
      <c r="AZ195" s="3597"/>
      <c r="BA195" s="3597"/>
      <c r="BB195" s="3597"/>
      <c r="BC195" s="3597"/>
      <c r="BD195" s="3597"/>
      <c r="BE195" s="3597"/>
      <c r="BF195" s="3597"/>
      <c r="BG195" s="3597"/>
      <c r="BH195" s="3597"/>
      <c r="BI195" s="3597"/>
      <c r="BJ195" s="3597"/>
      <c r="BK195" s="3597"/>
      <c r="BL195" s="3597"/>
      <c r="BM195" s="3597"/>
      <c r="BN195" s="3597"/>
      <c r="BO195" s="3581"/>
      <c r="BP195" s="3581"/>
      <c r="BQ195" s="3581"/>
      <c r="BR195" s="3581"/>
      <c r="BS195" s="3581"/>
      <c r="BT195" s="3581"/>
      <c r="BU195" s="3581"/>
      <c r="BV195" s="3581"/>
      <c r="BW195" s="3581"/>
      <c r="BX195" s="3581"/>
      <c r="BY195" s="3581"/>
      <c r="BZ195" s="3581"/>
      <c r="CA195" s="3581"/>
      <c r="CB195" s="3581"/>
      <c r="CC195" s="3581"/>
      <c r="CD195" s="3581"/>
      <c r="CE195" s="3581"/>
      <c r="CF195" s="3580">
        <f t="shared" si="71"/>
        <v>23.43</v>
      </c>
    </row>
    <row r="196" spans="1:84" ht="37.5" customHeight="1" thickBot="1">
      <c r="A196" s="902">
        <v>8.3000000000000007</v>
      </c>
      <c r="B196" s="1004" t="s">
        <v>712</v>
      </c>
      <c r="C196" s="1176" t="s">
        <v>713</v>
      </c>
      <c r="D196" s="982" t="s">
        <v>65</v>
      </c>
      <c r="E196" s="982" t="s">
        <v>65</v>
      </c>
      <c r="F196" s="3730" t="s">
        <v>3760</v>
      </c>
      <c r="G196" s="634"/>
      <c r="H196" s="634">
        <v>16443000</v>
      </c>
      <c r="I196" s="1447">
        <f>H196/100000</f>
        <v>164.43</v>
      </c>
      <c r="J196" s="613">
        <v>1</v>
      </c>
      <c r="K196" s="3755">
        <f>I196*J196</f>
        <v>164.43</v>
      </c>
      <c r="L196" s="289"/>
      <c r="M196" s="2912" t="s">
        <v>5798</v>
      </c>
      <c r="N196" s="3756">
        <v>164.43</v>
      </c>
      <c r="O196" s="3664"/>
      <c r="P196" s="3664"/>
      <c r="Q196" s="3742"/>
      <c r="R196" s="3664"/>
      <c r="S196" s="3664"/>
      <c r="T196" s="3664"/>
      <c r="U196" s="3664"/>
      <c r="V196" s="3664"/>
      <c r="W196" s="3664"/>
      <c r="X196" s="3664"/>
      <c r="Y196" s="3664"/>
      <c r="Z196" s="3664"/>
      <c r="AA196" s="3664"/>
      <c r="AB196" s="3664"/>
      <c r="AC196" s="3664"/>
      <c r="AD196" s="3664"/>
      <c r="AE196" s="3664"/>
      <c r="AF196" s="3664"/>
      <c r="AG196" s="3664"/>
      <c r="AH196" s="3664"/>
      <c r="AI196" s="3664"/>
      <c r="AJ196" s="3664"/>
      <c r="AK196" s="3664"/>
      <c r="AL196" s="3664"/>
      <c r="AM196" s="3664"/>
      <c r="AN196" s="3664"/>
      <c r="AO196" s="3664"/>
      <c r="AP196" s="3664"/>
      <c r="AQ196" s="3664"/>
      <c r="AR196" s="3664"/>
      <c r="AS196" s="3664"/>
      <c r="AT196" s="3664"/>
      <c r="AU196" s="3664"/>
      <c r="AV196" s="3664"/>
      <c r="AW196" s="3664"/>
      <c r="AX196" s="3597">
        <v>164.43</v>
      </c>
      <c r="AY196" s="3597"/>
      <c r="AZ196" s="3597"/>
      <c r="BA196" s="3597"/>
      <c r="BB196" s="3597"/>
      <c r="BC196" s="3597"/>
      <c r="BD196" s="3597"/>
      <c r="BE196" s="3597"/>
      <c r="BF196" s="3597"/>
      <c r="BG196" s="3597"/>
      <c r="BH196" s="3597"/>
      <c r="BI196" s="3597"/>
      <c r="BJ196" s="3597"/>
      <c r="BK196" s="3597"/>
      <c r="BL196" s="3597"/>
      <c r="BM196" s="3597"/>
      <c r="BN196" s="3597"/>
      <c r="BO196" s="3581"/>
      <c r="BP196" s="3581"/>
      <c r="BQ196" s="3581"/>
      <c r="BR196" s="3581"/>
      <c r="BS196" s="3581"/>
      <c r="BT196" s="3581"/>
      <c r="BU196" s="3581"/>
      <c r="BV196" s="3581"/>
      <c r="BW196" s="3581"/>
      <c r="BX196" s="3581"/>
      <c r="BY196" s="3581"/>
      <c r="BZ196" s="3581"/>
      <c r="CA196" s="3581"/>
      <c r="CB196" s="3581"/>
      <c r="CC196" s="3581"/>
      <c r="CD196" s="3581"/>
      <c r="CE196" s="3581"/>
      <c r="CF196" s="3580">
        <f t="shared" si="71"/>
        <v>164.43</v>
      </c>
    </row>
    <row r="197" spans="1:84" ht="37.5" customHeight="1">
      <c r="A197" s="233" t="s">
        <v>715</v>
      </c>
      <c r="B197" s="1004" t="s">
        <v>716</v>
      </c>
      <c r="C197" s="1004" t="s">
        <v>717</v>
      </c>
      <c r="D197" s="982" t="s">
        <v>65</v>
      </c>
      <c r="E197" s="982" t="s">
        <v>65</v>
      </c>
      <c r="F197" s="3730" t="s">
        <v>3760</v>
      </c>
      <c r="G197" s="634">
        <v>1</v>
      </c>
      <c r="H197" s="283">
        <v>250000000</v>
      </c>
      <c r="I197" s="2308">
        <f t="shared" ref="I197:I203" si="73">H197/100000</f>
        <v>2500</v>
      </c>
      <c r="J197" s="283">
        <v>1</v>
      </c>
      <c r="K197" s="2906">
        <f t="shared" ref="K197:K203" si="74">I197*J197</f>
        <v>2500</v>
      </c>
      <c r="L197" s="289"/>
      <c r="M197" s="3064" t="s">
        <v>5871</v>
      </c>
      <c r="N197" s="3666">
        <v>2500</v>
      </c>
      <c r="O197" s="3664"/>
      <c r="P197" s="3664"/>
      <c r="Q197" s="3742"/>
      <c r="R197" s="3664"/>
      <c r="S197" s="3664"/>
      <c r="T197" s="3664"/>
      <c r="U197" s="3664"/>
      <c r="V197" s="3664"/>
      <c r="W197" s="3664"/>
      <c r="X197" s="3664"/>
      <c r="Y197" s="3664"/>
      <c r="Z197" s="3664"/>
      <c r="AA197" s="3664"/>
      <c r="AB197" s="3664"/>
      <c r="AC197" s="3664"/>
      <c r="AD197" s="3664"/>
      <c r="AE197" s="3664"/>
      <c r="AF197" s="3664"/>
      <c r="AG197" s="3664"/>
      <c r="AH197" s="3664"/>
      <c r="AI197" s="3664"/>
      <c r="AJ197" s="3664"/>
      <c r="AK197" s="3664"/>
      <c r="AL197" s="3664"/>
      <c r="AM197" s="3664"/>
      <c r="AN197" s="3664"/>
      <c r="AO197" s="3664"/>
      <c r="AP197" s="3664"/>
      <c r="AQ197" s="3664"/>
      <c r="AR197" s="3664"/>
      <c r="AS197" s="3664"/>
      <c r="AT197" s="3664"/>
      <c r="AU197" s="3664"/>
      <c r="AV197" s="3664"/>
      <c r="AW197" s="3664"/>
      <c r="AX197" s="3597">
        <v>100</v>
      </c>
      <c r="AY197" s="3597">
        <v>65</v>
      </c>
      <c r="AZ197" s="3597">
        <v>290</v>
      </c>
      <c r="BA197" s="3597">
        <v>80</v>
      </c>
      <c r="BB197" s="3597">
        <v>360</v>
      </c>
      <c r="BC197" s="3597">
        <v>210</v>
      </c>
      <c r="BD197" s="3597">
        <v>100</v>
      </c>
      <c r="BE197" s="3597">
        <v>140</v>
      </c>
      <c r="BF197" s="3597">
        <v>450</v>
      </c>
      <c r="BG197" s="3597">
        <v>400</v>
      </c>
      <c r="BH197" s="3597">
        <v>120</v>
      </c>
      <c r="BI197" s="3597">
        <v>95</v>
      </c>
      <c r="BJ197" s="3597">
        <v>90</v>
      </c>
      <c r="BK197" s="3597"/>
      <c r="BL197" s="3597"/>
      <c r="BM197" s="3597"/>
      <c r="BN197" s="3597"/>
      <c r="BO197" s="3581"/>
      <c r="BP197" s="3581"/>
      <c r="BQ197" s="3581"/>
      <c r="BR197" s="3581"/>
      <c r="BS197" s="3581"/>
      <c r="BT197" s="3581"/>
      <c r="BU197" s="3581"/>
      <c r="BV197" s="3581"/>
      <c r="BW197" s="3581"/>
      <c r="BX197" s="3581"/>
      <c r="BY197" s="3581"/>
      <c r="BZ197" s="3581"/>
      <c r="CA197" s="3581"/>
      <c r="CB197" s="3581"/>
      <c r="CC197" s="3581"/>
      <c r="CD197" s="3581"/>
      <c r="CE197" s="3581"/>
      <c r="CF197" s="3580">
        <f t="shared" si="71"/>
        <v>2500</v>
      </c>
    </row>
    <row r="198" spans="1:84" ht="37.5" customHeight="1">
      <c r="A198" s="233" t="s">
        <v>718</v>
      </c>
      <c r="B198" s="1004" t="s">
        <v>719</v>
      </c>
      <c r="C198" s="1004" t="s">
        <v>720</v>
      </c>
      <c r="D198" s="982" t="s">
        <v>65</v>
      </c>
      <c r="E198" s="982" t="s">
        <v>65</v>
      </c>
      <c r="F198" s="3730" t="s">
        <v>3760</v>
      </c>
      <c r="G198" s="634"/>
      <c r="H198" s="2440">
        <v>200000</v>
      </c>
      <c r="I198" s="2308">
        <f t="shared" si="73"/>
        <v>2</v>
      </c>
      <c r="J198" s="2440">
        <v>16</v>
      </c>
      <c r="K198" s="2906">
        <f t="shared" si="74"/>
        <v>32</v>
      </c>
      <c r="L198" s="2441" t="s">
        <v>5272</v>
      </c>
      <c r="M198" s="3064" t="s">
        <v>5872</v>
      </c>
      <c r="N198" s="3666">
        <v>32</v>
      </c>
      <c r="O198" s="3664"/>
      <c r="P198" s="3664"/>
      <c r="Q198" s="3742"/>
      <c r="R198" s="3664"/>
      <c r="S198" s="3664"/>
      <c r="T198" s="3664"/>
      <c r="U198" s="3664"/>
      <c r="V198" s="3664"/>
      <c r="W198" s="3664"/>
      <c r="X198" s="3664"/>
      <c r="Y198" s="3664"/>
      <c r="Z198" s="3664"/>
      <c r="AA198" s="3664"/>
      <c r="AB198" s="3664"/>
      <c r="AC198" s="3664"/>
      <c r="AD198" s="3664"/>
      <c r="AE198" s="3664"/>
      <c r="AF198" s="3664"/>
      <c r="AG198" s="3664"/>
      <c r="AH198" s="3664"/>
      <c r="AI198" s="3664"/>
      <c r="AJ198" s="3664"/>
      <c r="AK198" s="3664"/>
      <c r="AL198" s="3664"/>
      <c r="AM198" s="3664"/>
      <c r="AN198" s="3664"/>
      <c r="AO198" s="3664"/>
      <c r="AP198" s="3664"/>
      <c r="AQ198" s="3664"/>
      <c r="AR198" s="3664"/>
      <c r="AS198" s="3664"/>
      <c r="AT198" s="3664"/>
      <c r="AU198" s="3664"/>
      <c r="AV198" s="3664"/>
      <c r="AW198" s="3664"/>
      <c r="AX198" s="3597">
        <v>7</v>
      </c>
      <c r="AY198" s="3597">
        <v>0</v>
      </c>
      <c r="AZ198" s="3597">
        <v>0</v>
      </c>
      <c r="BA198" s="3597">
        <v>0</v>
      </c>
      <c r="BB198" s="3597">
        <v>0</v>
      </c>
      <c r="BC198" s="3597">
        <v>0</v>
      </c>
      <c r="BD198" s="3597">
        <v>0</v>
      </c>
      <c r="BE198" s="3597">
        <v>0</v>
      </c>
      <c r="BF198" s="3597">
        <v>0</v>
      </c>
      <c r="BG198" s="3597">
        <v>0</v>
      </c>
      <c r="BH198" s="3597">
        <v>6</v>
      </c>
      <c r="BI198" s="3597"/>
      <c r="BJ198" s="3597"/>
      <c r="BK198" s="3597"/>
      <c r="BL198" s="3597"/>
      <c r="BM198" s="3597"/>
      <c r="BN198" s="3597"/>
      <c r="BO198" s="3597"/>
      <c r="BP198" s="3597"/>
      <c r="BQ198" s="3597"/>
      <c r="BR198" s="3597">
        <v>15</v>
      </c>
      <c r="BS198" s="3597">
        <v>0</v>
      </c>
      <c r="BT198" s="3597">
        <v>0</v>
      </c>
      <c r="BU198" s="3597">
        <v>2</v>
      </c>
      <c r="BV198" s="3597">
        <v>2</v>
      </c>
      <c r="BW198" s="3597"/>
      <c r="BX198" s="3597"/>
      <c r="BY198" s="3597"/>
      <c r="BZ198" s="3597"/>
      <c r="CA198" s="3597"/>
      <c r="CB198" s="3597"/>
      <c r="CC198" s="3597"/>
      <c r="CD198" s="3597"/>
      <c r="CE198" s="3597"/>
      <c r="CF198" s="3580">
        <f t="shared" si="71"/>
        <v>32</v>
      </c>
    </row>
    <row r="199" spans="1:84" ht="37.5" customHeight="1">
      <c r="A199" s="233" t="s">
        <v>726</v>
      </c>
      <c r="B199" s="391" t="s">
        <v>727</v>
      </c>
      <c r="C199" s="391" t="s">
        <v>728</v>
      </c>
      <c r="D199" s="2457" t="s">
        <v>85</v>
      </c>
      <c r="E199" s="2457" t="s">
        <v>85</v>
      </c>
      <c r="F199" s="1185" t="s">
        <v>86</v>
      </c>
      <c r="G199" s="613"/>
      <c r="H199" s="2440">
        <v>300000</v>
      </c>
      <c r="I199" s="2308">
        <f t="shared" si="73"/>
        <v>3</v>
      </c>
      <c r="J199" s="2440">
        <v>2</v>
      </c>
      <c r="K199" s="2906">
        <f t="shared" si="74"/>
        <v>6</v>
      </c>
      <c r="L199" s="2441" t="s">
        <v>5273</v>
      </c>
      <c r="M199" s="3070">
        <f>'Ab1. RMNCH+A'!Q937</f>
        <v>0</v>
      </c>
      <c r="N199" s="3232">
        <v>6</v>
      </c>
      <c r="O199" s="3664"/>
      <c r="P199" s="3664"/>
      <c r="Q199" s="3742"/>
      <c r="R199" s="3664"/>
      <c r="S199" s="3664"/>
      <c r="T199" s="3664"/>
      <c r="U199" s="3664"/>
      <c r="V199" s="3664"/>
      <c r="W199" s="3664"/>
      <c r="X199" s="3664"/>
      <c r="Y199" s="3664"/>
      <c r="Z199" s="3664"/>
      <c r="AA199" s="3664"/>
      <c r="AB199" s="3664"/>
      <c r="AC199" s="3664"/>
      <c r="AD199" s="3664"/>
      <c r="AE199" s="3664"/>
      <c r="AF199" s="3664"/>
      <c r="AG199" s="3664"/>
      <c r="AH199" s="3664"/>
      <c r="AI199" s="3664"/>
      <c r="AJ199" s="3664"/>
      <c r="AK199" s="3664"/>
      <c r="AL199" s="3664"/>
      <c r="AM199" s="3664"/>
      <c r="AN199" s="3664"/>
      <c r="AO199" s="3664"/>
      <c r="AP199" s="3664"/>
      <c r="AQ199" s="3664"/>
      <c r="AR199" s="3664"/>
      <c r="AS199" s="3664"/>
      <c r="AT199" s="3664"/>
      <c r="AU199" s="3664"/>
      <c r="AV199" s="3664"/>
      <c r="AW199" s="3664"/>
      <c r="AX199" s="3597">
        <v>6</v>
      </c>
      <c r="AY199" s="3597"/>
      <c r="AZ199" s="3597"/>
      <c r="BA199" s="3597"/>
      <c r="BB199" s="3597"/>
      <c r="BC199" s="3597"/>
      <c r="BD199" s="3597"/>
      <c r="BE199" s="3597"/>
      <c r="BF199" s="3597"/>
      <c r="BG199" s="3597"/>
      <c r="BH199" s="3597"/>
      <c r="BI199" s="3597"/>
      <c r="BJ199" s="3597"/>
      <c r="BK199" s="3597"/>
      <c r="BL199" s="3597"/>
      <c r="BM199" s="3597"/>
      <c r="BN199" s="3597"/>
      <c r="BO199" s="3597"/>
      <c r="BP199" s="3597"/>
      <c r="BQ199" s="3597"/>
      <c r="BR199" s="3597"/>
      <c r="BS199" s="3597"/>
      <c r="BT199" s="3597"/>
      <c r="BU199" s="3597"/>
      <c r="BV199" s="3597"/>
      <c r="BW199" s="3597"/>
      <c r="BX199" s="3597"/>
      <c r="BY199" s="3597"/>
      <c r="BZ199" s="3597"/>
      <c r="CA199" s="3597"/>
      <c r="CB199" s="3597"/>
      <c r="CC199" s="3597"/>
      <c r="CD199" s="3597"/>
      <c r="CE199" s="3597"/>
      <c r="CF199" s="3580">
        <f t="shared" si="71"/>
        <v>6</v>
      </c>
    </row>
    <row r="200" spans="1:84" ht="37.5" customHeight="1">
      <c r="A200" s="233" t="s">
        <v>731</v>
      </c>
      <c r="B200" s="391" t="s">
        <v>732</v>
      </c>
      <c r="C200" s="391" t="s">
        <v>3843</v>
      </c>
      <c r="D200" s="2457" t="s">
        <v>85</v>
      </c>
      <c r="E200" s="2457" t="s">
        <v>85</v>
      </c>
      <c r="F200" s="1185" t="s">
        <v>86</v>
      </c>
      <c r="G200" s="634">
        <v>1</v>
      </c>
      <c r="H200" s="243">
        <v>150</v>
      </c>
      <c r="I200" s="2308">
        <f t="shared" si="73"/>
        <v>1.5E-3</v>
      </c>
      <c r="J200" s="243">
        <v>5000</v>
      </c>
      <c r="K200" s="2906">
        <f t="shared" si="74"/>
        <v>7.5</v>
      </c>
      <c r="L200" s="289" t="s">
        <v>5328</v>
      </c>
      <c r="M200" s="3070">
        <f>'Ab1. RMNCH+A'!Q939</f>
        <v>0</v>
      </c>
      <c r="N200" s="3232">
        <v>7.5</v>
      </c>
      <c r="O200" s="3664"/>
      <c r="P200" s="3664"/>
      <c r="Q200" s="3742"/>
      <c r="R200" s="3664"/>
      <c r="S200" s="3664"/>
      <c r="T200" s="3664"/>
      <c r="U200" s="3664"/>
      <c r="V200" s="3664"/>
      <c r="W200" s="3664"/>
      <c r="X200" s="3664"/>
      <c r="Y200" s="3664"/>
      <c r="Z200" s="3664"/>
      <c r="AA200" s="3664"/>
      <c r="AB200" s="3664"/>
      <c r="AC200" s="3664"/>
      <c r="AD200" s="3664"/>
      <c r="AE200" s="3664"/>
      <c r="AF200" s="3664"/>
      <c r="AG200" s="3664"/>
      <c r="AH200" s="3664"/>
      <c r="AI200" s="3664"/>
      <c r="AJ200" s="3664"/>
      <c r="AK200" s="3664"/>
      <c r="AL200" s="3664"/>
      <c r="AM200" s="3664"/>
      <c r="AN200" s="3664"/>
      <c r="AO200" s="3664"/>
      <c r="AP200" s="3664"/>
      <c r="AQ200" s="3664"/>
      <c r="AR200" s="3664"/>
      <c r="AS200" s="3664"/>
      <c r="AT200" s="3664"/>
      <c r="AU200" s="3664"/>
      <c r="AV200" s="3664"/>
      <c r="AW200" s="3664"/>
      <c r="AX200" s="3597"/>
      <c r="AY200" s="3597">
        <v>0.53</v>
      </c>
      <c r="AZ200" s="3597">
        <v>0.08</v>
      </c>
      <c r="BA200" s="3597">
        <v>0.08</v>
      </c>
      <c r="BB200" s="3597">
        <v>0.35</v>
      </c>
      <c r="BC200" s="3597">
        <v>0.22</v>
      </c>
      <c r="BD200" s="3597">
        <v>0.23</v>
      </c>
      <c r="BE200" s="3597">
        <v>0</v>
      </c>
      <c r="BF200" s="3597">
        <v>0.23</v>
      </c>
      <c r="BG200" s="3597">
        <v>0.23</v>
      </c>
      <c r="BH200" s="3597">
        <v>0.45</v>
      </c>
      <c r="BI200" s="3597">
        <v>0.53</v>
      </c>
      <c r="BJ200" s="3597">
        <v>1</v>
      </c>
      <c r="BK200" s="3597"/>
      <c r="BL200" s="3597"/>
      <c r="BM200" s="3597">
        <v>7.0000000000000007E-2</v>
      </c>
      <c r="BN200" s="3597">
        <v>7.0000000000000007E-2</v>
      </c>
      <c r="BO200" s="3597"/>
      <c r="BP200" s="3597">
        <v>0.38</v>
      </c>
      <c r="BQ200" s="3597"/>
      <c r="BR200" s="3597">
        <v>0.52</v>
      </c>
      <c r="BS200" s="3597">
        <v>0.2</v>
      </c>
      <c r="BT200" s="3597">
        <v>0.2</v>
      </c>
      <c r="BU200" s="3597">
        <v>0.22</v>
      </c>
      <c r="BV200" s="3597">
        <v>0.22</v>
      </c>
      <c r="BW200" s="3597">
        <v>0.22</v>
      </c>
      <c r="BX200" s="3597">
        <v>0</v>
      </c>
      <c r="BY200" s="3597">
        <v>0</v>
      </c>
      <c r="BZ200" s="3597">
        <v>0.52</v>
      </c>
      <c r="CA200" s="3597"/>
      <c r="CB200" s="3597">
        <v>0.95</v>
      </c>
      <c r="CC200" s="3597"/>
      <c r="CD200" s="3597"/>
      <c r="CE200" s="3597"/>
      <c r="CF200" s="3580">
        <f t="shared" si="71"/>
        <v>7.4999999999999991</v>
      </c>
    </row>
    <row r="201" spans="1:84" ht="37.5" customHeight="1">
      <c r="A201" s="233" t="s">
        <v>733</v>
      </c>
      <c r="B201" s="391" t="s">
        <v>734</v>
      </c>
      <c r="C201" s="391" t="s">
        <v>3844</v>
      </c>
      <c r="D201" s="2457" t="s">
        <v>85</v>
      </c>
      <c r="E201" s="2457" t="s">
        <v>85</v>
      </c>
      <c r="F201" s="1185" t="s">
        <v>86</v>
      </c>
      <c r="G201" s="634">
        <v>1</v>
      </c>
      <c r="H201" s="243">
        <v>150</v>
      </c>
      <c r="I201" s="2308">
        <f t="shared" si="73"/>
        <v>1.5E-3</v>
      </c>
      <c r="J201" s="243">
        <v>500</v>
      </c>
      <c r="K201" s="2906">
        <f t="shared" si="74"/>
        <v>0.75</v>
      </c>
      <c r="L201" s="289" t="s">
        <v>5329</v>
      </c>
      <c r="M201" s="3070">
        <f>'Ab1. RMNCH+A'!Q940</f>
        <v>0</v>
      </c>
      <c r="N201" s="3232">
        <v>0.75</v>
      </c>
      <c r="O201" s="3664"/>
      <c r="P201" s="3664"/>
      <c r="Q201" s="3742"/>
      <c r="R201" s="3664"/>
      <c r="S201" s="3664"/>
      <c r="T201" s="3664"/>
      <c r="U201" s="3664"/>
      <c r="V201" s="3664"/>
      <c r="W201" s="3664"/>
      <c r="X201" s="3664"/>
      <c r="Y201" s="3664"/>
      <c r="Z201" s="3664"/>
      <c r="AA201" s="3664"/>
      <c r="AB201" s="3664"/>
      <c r="AC201" s="3664"/>
      <c r="AD201" s="3664"/>
      <c r="AE201" s="3664"/>
      <c r="AF201" s="3664"/>
      <c r="AG201" s="3664"/>
      <c r="AH201" s="3664"/>
      <c r="AI201" s="3664"/>
      <c r="AJ201" s="3664"/>
      <c r="AK201" s="3664"/>
      <c r="AL201" s="3664"/>
      <c r="AM201" s="3664"/>
      <c r="AN201" s="3664"/>
      <c r="AO201" s="3664"/>
      <c r="AP201" s="3664"/>
      <c r="AQ201" s="3664"/>
      <c r="AR201" s="3664"/>
      <c r="AS201" s="3664"/>
      <c r="AT201" s="3664"/>
      <c r="AU201" s="3664"/>
      <c r="AV201" s="3664"/>
      <c r="AW201" s="3664"/>
      <c r="AX201" s="3597"/>
      <c r="AY201" s="3597">
        <v>0.02</v>
      </c>
      <c r="AZ201" s="3597">
        <v>0.04</v>
      </c>
      <c r="BA201" s="3597">
        <v>0.01</v>
      </c>
      <c r="BB201" s="3597">
        <v>0.02</v>
      </c>
      <c r="BC201" s="3597">
        <v>0.02</v>
      </c>
      <c r="BD201" s="3597">
        <v>0.05</v>
      </c>
      <c r="BE201" s="3597">
        <v>0.03</v>
      </c>
      <c r="BF201" s="3597">
        <v>0.02</v>
      </c>
      <c r="BG201" s="3597">
        <v>0.05</v>
      </c>
      <c r="BH201" s="3597">
        <v>0.03</v>
      </c>
      <c r="BI201" s="3597">
        <v>7.0000000000000007E-2</v>
      </c>
      <c r="BJ201" s="3597">
        <v>0.02</v>
      </c>
      <c r="BK201" s="3597"/>
      <c r="BL201" s="3597"/>
      <c r="BM201" s="3597">
        <v>0.03</v>
      </c>
      <c r="BN201" s="3597">
        <v>0.01</v>
      </c>
      <c r="BO201" s="3597"/>
      <c r="BP201" s="3597">
        <v>0.05</v>
      </c>
      <c r="BQ201" s="3597"/>
      <c r="BR201" s="3597">
        <v>0.02</v>
      </c>
      <c r="BS201" s="3597">
        <v>0.01</v>
      </c>
      <c r="BT201" s="3597">
        <v>0.01</v>
      </c>
      <c r="BU201" s="3597">
        <v>0.05</v>
      </c>
      <c r="BV201" s="3597">
        <v>0.02</v>
      </c>
      <c r="BW201" s="3597">
        <v>0.05</v>
      </c>
      <c r="BX201" s="3597">
        <v>0.02</v>
      </c>
      <c r="BY201" s="3597">
        <v>0.02</v>
      </c>
      <c r="BZ201" s="3597">
        <v>0.06</v>
      </c>
      <c r="CA201" s="3597"/>
      <c r="CB201" s="3597">
        <v>0.02</v>
      </c>
      <c r="CC201" s="3597"/>
      <c r="CD201" s="3597"/>
      <c r="CE201" s="3597"/>
      <c r="CF201" s="3580">
        <f t="shared" si="71"/>
        <v>0.75000000000000022</v>
      </c>
    </row>
    <row r="202" spans="1:84" ht="37.5" customHeight="1">
      <c r="A202" s="233" t="s">
        <v>735</v>
      </c>
      <c r="B202" s="391" t="s">
        <v>2031</v>
      </c>
      <c r="C202" s="2632" t="s">
        <v>5100</v>
      </c>
      <c r="D202" s="982" t="s">
        <v>65</v>
      </c>
      <c r="E202" s="982" t="s">
        <v>65</v>
      </c>
      <c r="F202" s="2630" t="s">
        <v>4218</v>
      </c>
      <c r="G202" s="2659">
        <v>1</v>
      </c>
      <c r="H202" s="283">
        <v>20000</v>
      </c>
      <c r="I202" s="2308">
        <f t="shared" si="73"/>
        <v>0.2</v>
      </c>
      <c r="J202" s="283">
        <v>1514</v>
      </c>
      <c r="K202" s="2906">
        <f t="shared" si="74"/>
        <v>302.8</v>
      </c>
      <c r="L202" s="2299" t="s">
        <v>5448</v>
      </c>
      <c r="M202" s="3070">
        <f>'Abs6. CPHC'!Q720</f>
        <v>0</v>
      </c>
      <c r="N202" s="3232">
        <v>302.8</v>
      </c>
      <c r="O202" s="3664"/>
      <c r="P202" s="3664"/>
      <c r="Q202" s="3742"/>
      <c r="R202" s="3664"/>
      <c r="S202" s="3664"/>
      <c r="T202" s="3664"/>
      <c r="U202" s="3664"/>
      <c r="V202" s="3664"/>
      <c r="W202" s="3664"/>
      <c r="X202" s="3664"/>
      <c r="Y202" s="3664"/>
      <c r="Z202" s="3664"/>
      <c r="AA202" s="3664"/>
      <c r="AB202" s="3664"/>
      <c r="AC202" s="3664"/>
      <c r="AD202" s="3664"/>
      <c r="AE202" s="3664"/>
      <c r="AF202" s="3664"/>
      <c r="AG202" s="3664"/>
      <c r="AH202" s="3664"/>
      <c r="AI202" s="3664"/>
      <c r="AJ202" s="3664"/>
      <c r="AK202" s="3664"/>
      <c r="AL202" s="3664"/>
      <c r="AM202" s="3664"/>
      <c r="AN202" s="3664"/>
      <c r="AO202" s="3664"/>
      <c r="AP202" s="3664"/>
      <c r="AQ202" s="3664"/>
      <c r="AR202" s="3664"/>
      <c r="AS202" s="3664"/>
      <c r="AT202" s="3664"/>
      <c r="AU202" s="3664"/>
      <c r="AV202" s="3664"/>
      <c r="AW202" s="3664"/>
      <c r="AX202" s="3597">
        <v>32.4</v>
      </c>
      <c r="AY202" s="3597">
        <v>9.8000000000000007</v>
      </c>
      <c r="AZ202" s="3597">
        <v>27</v>
      </c>
      <c r="BA202" s="3597">
        <v>25.2</v>
      </c>
      <c r="BB202" s="3597">
        <v>47.2</v>
      </c>
      <c r="BC202" s="3597">
        <v>0.8</v>
      </c>
      <c r="BD202" s="3597">
        <v>17</v>
      </c>
      <c r="BE202" s="3597">
        <v>1.6</v>
      </c>
      <c r="BF202" s="3597">
        <v>59.8</v>
      </c>
      <c r="BG202" s="3597">
        <v>19.399999999999999</v>
      </c>
      <c r="BH202" s="3597">
        <v>15.8</v>
      </c>
      <c r="BI202" s="3597">
        <v>23.4</v>
      </c>
      <c r="BJ202" s="3597">
        <v>23.4</v>
      </c>
      <c r="BK202" s="3597"/>
      <c r="BL202" s="3597"/>
      <c r="BM202" s="3597"/>
      <c r="BN202" s="3597"/>
      <c r="BO202" s="3597"/>
      <c r="BP202" s="3597"/>
      <c r="BQ202" s="3597"/>
      <c r="BR202" s="3597"/>
      <c r="BS202" s="3597"/>
      <c r="BT202" s="3597"/>
      <c r="BU202" s="3597"/>
      <c r="BV202" s="3597"/>
      <c r="BW202" s="3597"/>
      <c r="BX202" s="3597"/>
      <c r="BY202" s="3597"/>
      <c r="BZ202" s="3597"/>
      <c r="CA202" s="3597"/>
      <c r="CB202" s="3597"/>
      <c r="CC202" s="3597"/>
      <c r="CD202" s="3597"/>
      <c r="CE202" s="3597"/>
      <c r="CF202" s="3580">
        <f t="shared" si="71"/>
        <v>302.79999999999995</v>
      </c>
    </row>
    <row r="203" spans="1:84" ht="37.5" customHeight="1">
      <c r="A203" s="233" t="s">
        <v>2330</v>
      </c>
      <c r="B203" s="391" t="s">
        <v>4448</v>
      </c>
      <c r="C203" s="2682" t="s">
        <v>5099</v>
      </c>
      <c r="D203" s="982" t="s">
        <v>65</v>
      </c>
      <c r="E203" s="982" t="s">
        <v>65</v>
      </c>
      <c r="F203" s="2630" t="s">
        <v>4218</v>
      </c>
      <c r="G203" s="2659">
        <v>1</v>
      </c>
      <c r="H203" s="283">
        <v>18000</v>
      </c>
      <c r="I203" s="2308">
        <f t="shared" si="73"/>
        <v>0.18</v>
      </c>
      <c r="J203" s="283">
        <v>590</v>
      </c>
      <c r="K203" s="2906">
        <f t="shared" si="74"/>
        <v>106.2</v>
      </c>
      <c r="L203" s="2299" t="s">
        <v>5449</v>
      </c>
      <c r="M203" s="3070">
        <f>'Abs6. CPHC'!Q721</f>
        <v>0</v>
      </c>
      <c r="N203" s="3667">
        <v>103.86</v>
      </c>
      <c r="O203" s="3664"/>
      <c r="P203" s="3664"/>
      <c r="Q203" s="3742"/>
      <c r="R203" s="3664"/>
      <c r="S203" s="3664"/>
      <c r="T203" s="3664"/>
      <c r="U203" s="3664"/>
      <c r="V203" s="3664"/>
      <c r="W203" s="3664"/>
      <c r="X203" s="3664"/>
      <c r="Y203" s="3664"/>
      <c r="Z203" s="3664"/>
      <c r="AA203" s="3664"/>
      <c r="AB203" s="3664"/>
      <c r="AC203" s="3664"/>
      <c r="AD203" s="3664"/>
      <c r="AE203" s="3664"/>
      <c r="AF203" s="3664"/>
      <c r="AG203" s="3664"/>
      <c r="AH203" s="3664"/>
      <c r="AI203" s="3664"/>
      <c r="AJ203" s="3664"/>
      <c r="AK203" s="3664"/>
      <c r="AL203" s="3664"/>
      <c r="AM203" s="3664"/>
      <c r="AN203" s="3664"/>
      <c r="AO203" s="3664"/>
      <c r="AP203" s="3664"/>
      <c r="AQ203" s="3664"/>
      <c r="AR203" s="3664"/>
      <c r="AS203" s="3664"/>
      <c r="AT203" s="3664"/>
      <c r="AU203" s="3664"/>
      <c r="AV203" s="3664"/>
      <c r="AW203" s="3664"/>
      <c r="AX203" s="3597">
        <v>3.78</v>
      </c>
      <c r="AY203" s="3597">
        <v>6.84</v>
      </c>
      <c r="AZ203" s="3597">
        <v>8.1</v>
      </c>
      <c r="BA203" s="3597">
        <v>5.04</v>
      </c>
      <c r="BB203" s="3597">
        <v>15.12</v>
      </c>
      <c r="BC203" s="3597">
        <v>4.32</v>
      </c>
      <c r="BD203" s="3597">
        <v>4.1399999999999997</v>
      </c>
      <c r="BE203" s="3597">
        <v>2.88</v>
      </c>
      <c r="BF203" s="3597">
        <v>15.12</v>
      </c>
      <c r="BG203" s="3597">
        <v>19.8</v>
      </c>
      <c r="BH203" s="3597">
        <v>7.74</v>
      </c>
      <c r="BI203" s="3597">
        <v>7.2</v>
      </c>
      <c r="BJ203" s="3597">
        <v>3.78</v>
      </c>
      <c r="BK203" s="3597"/>
      <c r="BL203" s="3597"/>
      <c r="BM203" s="3597"/>
      <c r="BN203" s="3597"/>
      <c r="BO203" s="3597"/>
      <c r="BP203" s="3597"/>
      <c r="BQ203" s="3597"/>
      <c r="BR203" s="3597"/>
      <c r="BS203" s="3597"/>
      <c r="BT203" s="3597"/>
      <c r="BU203" s="3597"/>
      <c r="BV203" s="3597"/>
      <c r="BW203" s="3597"/>
      <c r="BX203" s="3597"/>
      <c r="BY203" s="3597"/>
      <c r="BZ203" s="3597"/>
      <c r="CA203" s="3597"/>
      <c r="CB203" s="3597"/>
      <c r="CC203" s="3597"/>
      <c r="CD203" s="3597"/>
      <c r="CE203" s="3597"/>
      <c r="CF203" s="3580">
        <f t="shared" si="71"/>
        <v>103.86</v>
      </c>
    </row>
    <row r="204" spans="1:84" ht="37.5" customHeight="1">
      <c r="A204" s="473" t="s">
        <v>758</v>
      </c>
      <c r="B204" s="586" t="s">
        <v>759</v>
      </c>
      <c r="C204" s="586" t="s">
        <v>760</v>
      </c>
      <c r="D204" s="982" t="s">
        <v>65</v>
      </c>
      <c r="E204" s="982" t="s">
        <v>85</v>
      </c>
      <c r="F204" s="1075" t="s">
        <v>3768</v>
      </c>
      <c r="G204" s="285"/>
      <c r="H204" s="2442">
        <v>125082</v>
      </c>
      <c r="I204" s="2261">
        <f t="shared" ref="I204:I205" si="75">H204/100000</f>
        <v>1.25082</v>
      </c>
      <c r="J204" s="2442">
        <v>15</v>
      </c>
      <c r="K204" s="1472">
        <f t="shared" ref="K204:K205" si="76">I204*J204</f>
        <v>18.7623</v>
      </c>
      <c r="L204" s="2444"/>
      <c r="M204" s="2263">
        <f>'Ab1. RMNCH+A'!Q934</f>
        <v>0</v>
      </c>
      <c r="N204" s="3657">
        <v>18.760000000000002</v>
      </c>
      <c r="O204" s="3661"/>
      <c r="P204" s="3661"/>
      <c r="Q204" s="3661"/>
      <c r="R204" s="3661"/>
      <c r="S204" s="3661"/>
      <c r="T204" s="3661"/>
      <c r="U204" s="3661"/>
      <c r="V204" s="3661"/>
      <c r="W204" s="3661"/>
      <c r="X204" s="3661"/>
      <c r="Y204" s="3661"/>
      <c r="Z204" s="3661"/>
      <c r="AA204" s="3661"/>
      <c r="AB204" s="3661"/>
      <c r="AC204" s="3661"/>
      <c r="AD204" s="3661"/>
      <c r="AE204" s="3661"/>
      <c r="AF204" s="3661"/>
      <c r="AG204" s="3661"/>
      <c r="AH204" s="3661"/>
      <c r="AI204" s="3661"/>
      <c r="AJ204" s="3661"/>
      <c r="AK204" s="3661"/>
      <c r="AL204" s="3661"/>
      <c r="AM204" s="3661"/>
      <c r="AN204" s="3661"/>
      <c r="AO204" s="3661"/>
      <c r="AP204" s="3661"/>
      <c r="AQ204" s="3661"/>
      <c r="AR204" s="3661"/>
      <c r="AS204" s="3661"/>
      <c r="AT204" s="3661"/>
      <c r="AU204" s="3661"/>
      <c r="AV204" s="3661"/>
      <c r="AW204" s="3661"/>
      <c r="AX204" s="3609">
        <v>18.760000000000002</v>
      </c>
      <c r="AY204" s="3609"/>
      <c r="AZ204" s="3609"/>
      <c r="BA204" s="3609"/>
      <c r="BB204" s="3609"/>
      <c r="BC204" s="3609"/>
      <c r="BD204" s="3609"/>
      <c r="BE204" s="3609"/>
      <c r="BF204" s="3609"/>
      <c r="BG204" s="3609"/>
      <c r="BH204" s="3609"/>
      <c r="BI204" s="3609"/>
      <c r="BJ204" s="3609"/>
      <c r="BK204" s="3609"/>
      <c r="BL204" s="3609"/>
      <c r="BM204" s="3609"/>
      <c r="BN204" s="3609"/>
      <c r="BO204" s="3609"/>
      <c r="BP204" s="3609"/>
      <c r="BQ204" s="3609"/>
      <c r="BR204" s="3609"/>
      <c r="BS204" s="3609"/>
      <c r="BT204" s="3609"/>
      <c r="BU204" s="3609"/>
      <c r="BV204" s="3609"/>
      <c r="BW204" s="3609"/>
      <c r="BX204" s="3609"/>
      <c r="BY204" s="3609"/>
      <c r="BZ204" s="3609"/>
      <c r="CA204" s="3609"/>
      <c r="CB204" s="3609"/>
      <c r="CC204" s="3609"/>
      <c r="CD204" s="3609"/>
      <c r="CE204" s="3609"/>
      <c r="CF204" s="3613">
        <f t="shared" si="71"/>
        <v>18.760000000000002</v>
      </c>
    </row>
    <row r="205" spans="1:84" ht="20.25" customHeight="1">
      <c r="A205" s="473" t="s">
        <v>3720</v>
      </c>
      <c r="B205" s="958"/>
      <c r="C205" s="3757" t="s">
        <v>5998</v>
      </c>
      <c r="D205" s="982" t="s">
        <v>65</v>
      </c>
      <c r="E205" s="982" t="s">
        <v>85</v>
      </c>
      <c r="F205" s="1075" t="s">
        <v>3760</v>
      </c>
      <c r="G205" s="273"/>
      <c r="H205" s="283">
        <v>388000</v>
      </c>
      <c r="I205" s="2261">
        <f t="shared" si="75"/>
        <v>3.88</v>
      </c>
      <c r="J205" s="283">
        <v>6</v>
      </c>
      <c r="K205" s="2571">
        <f t="shared" si="76"/>
        <v>23.28</v>
      </c>
      <c r="L205" s="3758"/>
      <c r="M205" s="2315" t="s">
        <v>5822</v>
      </c>
      <c r="N205" s="3759">
        <v>23.28</v>
      </c>
      <c r="O205" s="3668">
        <v>23.28</v>
      </c>
      <c r="P205" s="3668"/>
      <c r="Q205" s="3668"/>
      <c r="R205" s="3668"/>
      <c r="S205" s="3668"/>
      <c r="T205" s="3668"/>
      <c r="U205" s="3668"/>
      <c r="V205" s="3668"/>
      <c r="W205" s="3668"/>
      <c r="X205" s="3668"/>
      <c r="Y205" s="3668"/>
      <c r="Z205" s="3668"/>
      <c r="AA205" s="3668"/>
      <c r="AB205" s="3668"/>
      <c r="AC205" s="3668"/>
      <c r="AD205" s="3668"/>
      <c r="AE205" s="3668"/>
      <c r="AF205" s="3668"/>
      <c r="AG205" s="3668"/>
      <c r="AH205" s="3668"/>
      <c r="AI205" s="3668"/>
      <c r="AJ205" s="3668"/>
      <c r="AK205" s="3668"/>
      <c r="AL205" s="3668"/>
      <c r="AM205" s="3668"/>
      <c r="AN205" s="3668"/>
      <c r="AO205" s="3668"/>
      <c r="AP205" s="3668"/>
      <c r="AQ205" s="3668"/>
      <c r="AR205" s="3668"/>
      <c r="AS205" s="3668"/>
      <c r="AT205" s="3668"/>
      <c r="AU205" s="3668"/>
      <c r="AV205" s="3668"/>
      <c r="AW205" s="3668"/>
      <c r="AX205" s="3614">
        <v>23.28</v>
      </c>
      <c r="AY205" s="3614"/>
      <c r="AZ205" s="3614"/>
      <c r="BA205" s="3614"/>
      <c r="BB205" s="3614"/>
      <c r="BC205" s="3614"/>
      <c r="BD205" s="3614"/>
      <c r="BE205" s="3614"/>
      <c r="BF205" s="3614"/>
      <c r="BG205" s="3614"/>
      <c r="BH205" s="3614"/>
      <c r="BI205" s="3614"/>
      <c r="BJ205" s="3614"/>
      <c r="BK205" s="3614"/>
      <c r="BL205" s="3614"/>
      <c r="BM205" s="3614"/>
      <c r="BN205" s="3614"/>
      <c r="BO205" s="3613"/>
      <c r="BP205" s="3613"/>
      <c r="BQ205" s="3613"/>
      <c r="BR205" s="3613"/>
      <c r="BS205" s="3613"/>
      <c r="BT205" s="3613"/>
      <c r="BU205" s="3613"/>
      <c r="BV205" s="3613"/>
      <c r="BW205" s="3613"/>
      <c r="BX205" s="3613"/>
      <c r="BY205" s="3613"/>
      <c r="BZ205" s="3613"/>
      <c r="CA205" s="3613"/>
      <c r="CB205" s="3613"/>
      <c r="CC205" s="3613"/>
      <c r="CD205" s="3613"/>
      <c r="CE205" s="3613"/>
      <c r="CF205" s="3613">
        <f t="shared" si="71"/>
        <v>23.28</v>
      </c>
    </row>
    <row r="206" spans="1:84" ht="37.5" customHeight="1">
      <c r="A206" s="473" t="s">
        <v>763</v>
      </c>
      <c r="B206" s="1482" t="s">
        <v>764</v>
      </c>
      <c r="C206" s="521" t="s">
        <v>765</v>
      </c>
      <c r="D206" s="1699" t="s">
        <v>85</v>
      </c>
      <c r="E206" s="1699" t="s">
        <v>85</v>
      </c>
      <c r="F206" s="1075" t="s">
        <v>113</v>
      </c>
      <c r="G206" s="421"/>
      <c r="H206" s="283">
        <v>58650</v>
      </c>
      <c r="I206" s="2261">
        <f t="shared" ref="I206:I213" si="77">H206/100000</f>
        <v>0.58650000000000002</v>
      </c>
      <c r="J206" s="283">
        <v>12</v>
      </c>
      <c r="K206" s="1472">
        <f t="shared" ref="K206:K211" si="78">I206*J206</f>
        <v>7.0380000000000003</v>
      </c>
      <c r="L206" s="2444" t="s">
        <v>5387</v>
      </c>
      <c r="M206" s="2263">
        <f>'Ab1. RMNCH+A'!Q936</f>
        <v>0</v>
      </c>
      <c r="N206" s="3657">
        <v>7.04</v>
      </c>
      <c r="O206" s="3668"/>
      <c r="P206" s="3668"/>
      <c r="Q206" s="3668"/>
      <c r="R206" s="3668"/>
      <c r="S206" s="3668"/>
      <c r="T206" s="3668"/>
      <c r="U206" s="3668"/>
      <c r="V206" s="3668"/>
      <c r="W206" s="3668"/>
      <c r="X206" s="3668"/>
      <c r="Y206" s="3668"/>
      <c r="Z206" s="3668"/>
      <c r="AA206" s="3668"/>
      <c r="AB206" s="3668"/>
      <c r="AC206" s="3668"/>
      <c r="AD206" s="3668"/>
      <c r="AE206" s="3668"/>
      <c r="AF206" s="3668"/>
      <c r="AG206" s="3668"/>
      <c r="AH206" s="3668"/>
      <c r="AI206" s="3668"/>
      <c r="AJ206" s="3668"/>
      <c r="AK206" s="3668"/>
      <c r="AL206" s="3668"/>
      <c r="AM206" s="3668"/>
      <c r="AN206" s="3668"/>
      <c r="AO206" s="3668"/>
      <c r="AP206" s="3668"/>
      <c r="AQ206" s="3668"/>
      <c r="AR206" s="3668"/>
      <c r="AS206" s="3668"/>
      <c r="AT206" s="3668"/>
      <c r="AU206" s="3668"/>
      <c r="AV206" s="3668"/>
      <c r="AW206" s="3668"/>
      <c r="AX206" s="3614">
        <v>7.04</v>
      </c>
      <c r="AY206" s="3614"/>
      <c r="AZ206" s="3614"/>
      <c r="BA206" s="3614"/>
      <c r="BB206" s="3614"/>
      <c r="BC206" s="3614"/>
      <c r="BD206" s="3614"/>
      <c r="BE206" s="3614"/>
      <c r="BF206" s="3614"/>
      <c r="BG206" s="3614"/>
      <c r="BH206" s="3614"/>
      <c r="BI206" s="3614"/>
      <c r="BJ206" s="3614"/>
      <c r="BK206" s="3614"/>
      <c r="BL206" s="3614"/>
      <c r="BM206" s="3614"/>
      <c r="BN206" s="3614"/>
      <c r="BO206" s="3613"/>
      <c r="BP206" s="3613"/>
      <c r="BQ206" s="3613"/>
      <c r="BR206" s="3613"/>
      <c r="BS206" s="3613"/>
      <c r="BT206" s="3613"/>
      <c r="BU206" s="3613"/>
      <c r="BV206" s="3613"/>
      <c r="BW206" s="3613"/>
      <c r="BX206" s="3613"/>
      <c r="BY206" s="3613"/>
      <c r="BZ206" s="3613"/>
      <c r="CA206" s="3613"/>
      <c r="CB206" s="3613"/>
      <c r="CC206" s="3613"/>
      <c r="CD206" s="3613"/>
      <c r="CE206" s="3613"/>
      <c r="CF206" s="3613">
        <f t="shared" si="71"/>
        <v>7.04</v>
      </c>
    </row>
    <row r="207" spans="1:84" ht="37.5" customHeight="1">
      <c r="A207" s="473" t="s">
        <v>766</v>
      </c>
      <c r="B207" s="586" t="s">
        <v>767</v>
      </c>
      <c r="C207" s="586" t="s">
        <v>2315</v>
      </c>
      <c r="D207" s="1699" t="s">
        <v>85</v>
      </c>
      <c r="E207" s="1699" t="s">
        <v>85</v>
      </c>
      <c r="F207" s="1075" t="s">
        <v>113</v>
      </c>
      <c r="G207" s="2442">
        <v>1</v>
      </c>
      <c r="H207" s="2442">
        <v>24000</v>
      </c>
      <c r="I207" s="2261">
        <f t="shared" si="77"/>
        <v>0.24</v>
      </c>
      <c r="J207" s="283">
        <v>88</v>
      </c>
      <c r="K207" s="1472">
        <f t="shared" si="78"/>
        <v>21.119999999999997</v>
      </c>
      <c r="L207" s="2444" t="s">
        <v>5389</v>
      </c>
      <c r="M207" s="2263">
        <f>'Ab1. RMNCH+A'!Q937</f>
        <v>0</v>
      </c>
      <c r="N207" s="3657">
        <v>21.12</v>
      </c>
      <c r="O207" s="3661"/>
      <c r="P207" s="3661"/>
      <c r="Q207" s="3661"/>
      <c r="R207" s="3661"/>
      <c r="S207" s="3661"/>
      <c r="T207" s="3661"/>
      <c r="U207" s="3661"/>
      <c r="V207" s="3661"/>
      <c r="W207" s="3661"/>
      <c r="X207" s="3661"/>
      <c r="Y207" s="3661"/>
      <c r="Z207" s="3661"/>
      <c r="AA207" s="3661"/>
      <c r="AB207" s="3661"/>
      <c r="AC207" s="3661"/>
      <c r="AD207" s="3661"/>
      <c r="AE207" s="3661"/>
      <c r="AF207" s="3661"/>
      <c r="AG207" s="3661"/>
      <c r="AH207" s="3661"/>
      <c r="AI207" s="3661"/>
      <c r="AJ207" s="3661"/>
      <c r="AK207" s="3661"/>
      <c r="AL207" s="3661"/>
      <c r="AM207" s="3661"/>
      <c r="AN207" s="3661"/>
      <c r="AO207" s="3661"/>
      <c r="AP207" s="3661"/>
      <c r="AQ207" s="3661"/>
      <c r="AR207" s="3661"/>
      <c r="AS207" s="3661"/>
      <c r="AT207" s="3661"/>
      <c r="AU207" s="3661"/>
      <c r="AV207" s="3661"/>
      <c r="AW207" s="3661"/>
      <c r="AX207" s="3609">
        <v>21.12</v>
      </c>
      <c r="AY207" s="3609"/>
      <c r="AZ207" s="3609"/>
      <c r="BA207" s="3609"/>
      <c r="BB207" s="3609"/>
      <c r="BC207" s="3609"/>
      <c r="BD207" s="3609"/>
      <c r="BE207" s="3609"/>
      <c r="BF207" s="3609"/>
      <c r="BG207" s="3609"/>
      <c r="BH207" s="3609"/>
      <c r="BI207" s="3609"/>
      <c r="BJ207" s="3609"/>
      <c r="BK207" s="3609"/>
      <c r="BL207" s="3609"/>
      <c r="BM207" s="3609"/>
      <c r="BN207" s="3609"/>
      <c r="BO207" s="3610"/>
      <c r="BP207" s="3610"/>
      <c r="BQ207" s="3610"/>
      <c r="BR207" s="3610"/>
      <c r="BS207" s="3610"/>
      <c r="BT207" s="3610"/>
      <c r="BU207" s="3610"/>
      <c r="BV207" s="3610"/>
      <c r="BW207" s="3610"/>
      <c r="BX207" s="3610"/>
      <c r="BY207" s="3610"/>
      <c r="BZ207" s="3610"/>
      <c r="CA207" s="3610"/>
      <c r="CB207" s="3610"/>
      <c r="CC207" s="3610"/>
      <c r="CD207" s="3610"/>
      <c r="CE207" s="3610"/>
      <c r="CF207" s="3613">
        <f t="shared" si="71"/>
        <v>21.12</v>
      </c>
    </row>
    <row r="208" spans="1:84" ht="37.5" customHeight="1">
      <c r="A208" s="473" t="s">
        <v>769</v>
      </c>
      <c r="B208" s="586"/>
      <c r="C208" s="586" t="s">
        <v>2317</v>
      </c>
      <c r="D208" s="1699" t="s">
        <v>85</v>
      </c>
      <c r="E208" s="1699" t="s">
        <v>85</v>
      </c>
      <c r="F208" s="1075" t="s">
        <v>113</v>
      </c>
      <c r="G208" s="285"/>
      <c r="H208" s="2442">
        <v>91000</v>
      </c>
      <c r="I208" s="2261">
        <f t="shared" si="77"/>
        <v>0.91</v>
      </c>
      <c r="J208" s="2442">
        <v>2</v>
      </c>
      <c r="K208" s="1472">
        <f t="shared" si="78"/>
        <v>1.82</v>
      </c>
      <c r="L208" s="2444" t="s">
        <v>5274</v>
      </c>
      <c r="M208" s="2263">
        <f>'Ab1. RMNCH+A'!Q938</f>
        <v>0</v>
      </c>
      <c r="N208" s="3657">
        <v>1.82</v>
      </c>
      <c r="O208" s="3661"/>
      <c r="P208" s="3661"/>
      <c r="Q208" s="3661"/>
      <c r="R208" s="3661"/>
      <c r="S208" s="3661"/>
      <c r="T208" s="3661"/>
      <c r="U208" s="3661"/>
      <c r="V208" s="3661"/>
      <c r="W208" s="3661"/>
      <c r="X208" s="3661"/>
      <c r="Y208" s="3661"/>
      <c r="Z208" s="3661"/>
      <c r="AA208" s="3661"/>
      <c r="AB208" s="3661"/>
      <c r="AC208" s="3661"/>
      <c r="AD208" s="3661"/>
      <c r="AE208" s="3661"/>
      <c r="AF208" s="3661"/>
      <c r="AG208" s="3661"/>
      <c r="AH208" s="3661"/>
      <c r="AI208" s="3661"/>
      <c r="AJ208" s="3661"/>
      <c r="AK208" s="3661"/>
      <c r="AL208" s="3661"/>
      <c r="AM208" s="3661"/>
      <c r="AN208" s="3661"/>
      <c r="AO208" s="3661"/>
      <c r="AP208" s="3661"/>
      <c r="AQ208" s="3661"/>
      <c r="AR208" s="3661"/>
      <c r="AS208" s="3661"/>
      <c r="AT208" s="3661"/>
      <c r="AU208" s="3661"/>
      <c r="AV208" s="3661"/>
      <c r="AW208" s="3661"/>
      <c r="AX208" s="3609">
        <v>1.82</v>
      </c>
      <c r="AY208" s="3609"/>
      <c r="AZ208" s="3609"/>
      <c r="BA208" s="3609"/>
      <c r="BB208" s="3609"/>
      <c r="BC208" s="3609"/>
      <c r="BD208" s="3609"/>
      <c r="BE208" s="3609"/>
      <c r="BF208" s="3609"/>
      <c r="BG208" s="3609"/>
      <c r="BH208" s="3609"/>
      <c r="BI208" s="3609"/>
      <c r="BJ208" s="3609"/>
      <c r="BK208" s="3609"/>
      <c r="BL208" s="3609"/>
      <c r="BM208" s="3609"/>
      <c r="BN208" s="3609"/>
      <c r="BO208" s="3609"/>
      <c r="BP208" s="3609"/>
      <c r="BQ208" s="3609"/>
      <c r="BR208" s="3609"/>
      <c r="BS208" s="3609"/>
      <c r="BT208" s="3609"/>
      <c r="BU208" s="3609"/>
      <c r="BV208" s="3609"/>
      <c r="BW208" s="3609"/>
      <c r="BX208" s="3609"/>
      <c r="BY208" s="3609"/>
      <c r="BZ208" s="3609"/>
      <c r="CA208" s="3609"/>
      <c r="CB208" s="3609"/>
      <c r="CC208" s="3609"/>
      <c r="CD208" s="3609"/>
      <c r="CE208" s="3609"/>
      <c r="CF208" s="3613">
        <f t="shared" si="71"/>
        <v>1.82</v>
      </c>
    </row>
    <row r="209" spans="1:84" ht="37.5" customHeight="1">
      <c r="A209" s="473" t="s">
        <v>772</v>
      </c>
      <c r="B209" s="586"/>
      <c r="C209" s="586" t="s">
        <v>2368</v>
      </c>
      <c r="D209" s="1699" t="s">
        <v>85</v>
      </c>
      <c r="E209" s="1699" t="s">
        <v>85</v>
      </c>
      <c r="F209" s="1075" t="s">
        <v>113</v>
      </c>
      <c r="G209" s="285"/>
      <c r="H209" s="2442">
        <v>132400</v>
      </c>
      <c r="I209" s="2261">
        <f t="shared" si="77"/>
        <v>1.3240000000000001</v>
      </c>
      <c r="J209" s="2442">
        <v>75</v>
      </c>
      <c r="K209" s="1472">
        <f t="shared" si="78"/>
        <v>99.300000000000011</v>
      </c>
      <c r="L209" s="2444" t="s">
        <v>5276</v>
      </c>
      <c r="M209" s="2263">
        <f>'Ab1. RMNCH+A'!Q939</f>
        <v>0</v>
      </c>
      <c r="N209" s="3657">
        <v>99.3</v>
      </c>
      <c r="O209" s="3661"/>
      <c r="P209" s="3661"/>
      <c r="Q209" s="3661"/>
      <c r="R209" s="3661"/>
      <c r="S209" s="3661"/>
      <c r="T209" s="3661"/>
      <c r="U209" s="3661"/>
      <c r="V209" s="3661"/>
      <c r="W209" s="3661"/>
      <c r="X209" s="3661"/>
      <c r="Y209" s="3661"/>
      <c r="Z209" s="3661"/>
      <c r="AA209" s="3661"/>
      <c r="AB209" s="3661"/>
      <c r="AC209" s="3661"/>
      <c r="AD209" s="3661"/>
      <c r="AE209" s="3661"/>
      <c r="AF209" s="3661"/>
      <c r="AG209" s="3661"/>
      <c r="AH209" s="3661"/>
      <c r="AI209" s="3661"/>
      <c r="AJ209" s="3661"/>
      <c r="AK209" s="3661"/>
      <c r="AL209" s="3661"/>
      <c r="AM209" s="3661"/>
      <c r="AN209" s="3661"/>
      <c r="AO209" s="3661"/>
      <c r="AP209" s="3661"/>
      <c r="AQ209" s="3661"/>
      <c r="AR209" s="3661"/>
      <c r="AS209" s="3661"/>
      <c r="AT209" s="3661"/>
      <c r="AU209" s="3661"/>
      <c r="AV209" s="3661"/>
      <c r="AW209" s="3661"/>
      <c r="AX209" s="3609">
        <f>50.31+15.89</f>
        <v>66.2</v>
      </c>
      <c r="AY209" s="3609"/>
      <c r="AZ209" s="3609"/>
      <c r="BA209" s="3609"/>
      <c r="BB209" s="3609"/>
      <c r="BC209" s="3609"/>
      <c r="BD209" s="3609"/>
      <c r="BE209" s="3609"/>
      <c r="BF209" s="3609"/>
      <c r="BG209" s="3609"/>
      <c r="BH209" s="3609"/>
      <c r="BI209" s="3609"/>
      <c r="BJ209" s="3609"/>
      <c r="BK209" s="3609"/>
      <c r="BL209" s="3609"/>
      <c r="BM209" s="3609"/>
      <c r="BN209" s="3609"/>
      <c r="BO209" s="3609"/>
      <c r="BP209" s="3609"/>
      <c r="BQ209" s="3609"/>
      <c r="BR209" s="3609"/>
      <c r="BS209" s="3609"/>
      <c r="BT209" s="3609"/>
      <c r="BU209" s="3609"/>
      <c r="BV209" s="3609"/>
      <c r="BW209" s="3609"/>
      <c r="BX209" s="3609"/>
      <c r="BY209" s="3609"/>
      <c r="BZ209" s="3609"/>
      <c r="CA209" s="3609"/>
      <c r="CB209" s="3609"/>
      <c r="CC209" s="3609">
        <v>33.1</v>
      </c>
      <c r="CD209" s="3609">
        <v>0</v>
      </c>
      <c r="CE209" s="3609"/>
      <c r="CF209" s="3613">
        <f t="shared" si="71"/>
        <v>99.300000000000011</v>
      </c>
    </row>
    <row r="210" spans="1:84" ht="37.5" customHeight="1">
      <c r="A210" s="473" t="s">
        <v>796</v>
      </c>
      <c r="B210" s="586" t="s">
        <v>791</v>
      </c>
      <c r="C210" s="586" t="s">
        <v>792</v>
      </c>
      <c r="D210" s="1699" t="s">
        <v>85</v>
      </c>
      <c r="E210" s="1699" t="s">
        <v>85</v>
      </c>
      <c r="F210" s="1075" t="s">
        <v>113</v>
      </c>
      <c r="G210" s="325"/>
      <c r="H210" s="2442">
        <v>126615</v>
      </c>
      <c r="I210" s="2261">
        <f t="shared" si="77"/>
        <v>1.2661500000000001</v>
      </c>
      <c r="J210" s="283">
        <v>10</v>
      </c>
      <c r="K210" s="1472">
        <f t="shared" si="78"/>
        <v>12.6615</v>
      </c>
      <c r="L210" s="2444" t="s">
        <v>5277</v>
      </c>
      <c r="M210" s="2263">
        <f>'Ab1. RMNCH+A'!Q947</f>
        <v>0</v>
      </c>
      <c r="N210" s="3657">
        <v>12.66</v>
      </c>
      <c r="O210" s="3661"/>
      <c r="P210" s="3661"/>
      <c r="Q210" s="3661"/>
      <c r="R210" s="3661"/>
      <c r="S210" s="3661"/>
      <c r="T210" s="3661"/>
      <c r="U210" s="3661"/>
      <c r="V210" s="3661"/>
      <c r="W210" s="3661"/>
      <c r="X210" s="3661"/>
      <c r="Y210" s="3661"/>
      <c r="Z210" s="3661"/>
      <c r="AA210" s="3661"/>
      <c r="AB210" s="3661"/>
      <c r="AC210" s="3661"/>
      <c r="AD210" s="3661"/>
      <c r="AE210" s="3661"/>
      <c r="AF210" s="3661"/>
      <c r="AG210" s="3661"/>
      <c r="AH210" s="3661"/>
      <c r="AI210" s="3661"/>
      <c r="AJ210" s="3661"/>
      <c r="AK210" s="3661"/>
      <c r="AL210" s="3661"/>
      <c r="AM210" s="3661"/>
      <c r="AN210" s="3661"/>
      <c r="AO210" s="3661"/>
      <c r="AP210" s="3661"/>
      <c r="AQ210" s="3661"/>
      <c r="AR210" s="3661"/>
      <c r="AS210" s="3661"/>
      <c r="AT210" s="3661"/>
      <c r="AU210" s="3661"/>
      <c r="AV210" s="3661"/>
      <c r="AW210" s="3661"/>
      <c r="AX210" s="3609">
        <v>12.66</v>
      </c>
      <c r="AY210" s="3609"/>
      <c r="AZ210" s="3609"/>
      <c r="BA210" s="3609"/>
      <c r="BB210" s="3609"/>
      <c r="BC210" s="3609"/>
      <c r="BD210" s="3609"/>
      <c r="BE210" s="3609"/>
      <c r="BF210" s="3609"/>
      <c r="BG210" s="3609"/>
      <c r="BH210" s="3609"/>
      <c r="BI210" s="3609"/>
      <c r="BJ210" s="3609"/>
      <c r="BK210" s="3609"/>
      <c r="BL210" s="3609"/>
      <c r="BM210" s="3609"/>
      <c r="BN210" s="3609"/>
      <c r="BO210" s="3609"/>
      <c r="BP210" s="3609"/>
      <c r="BQ210" s="3609"/>
      <c r="BR210" s="3609"/>
      <c r="BS210" s="3609"/>
      <c r="BT210" s="3609"/>
      <c r="BU210" s="3609"/>
      <c r="BV210" s="3609"/>
      <c r="BW210" s="3609"/>
      <c r="BX210" s="3609"/>
      <c r="BY210" s="3609"/>
      <c r="BZ210" s="3609"/>
      <c r="CA210" s="3609"/>
      <c r="CB210" s="3609"/>
      <c r="CC210" s="3609"/>
      <c r="CD210" s="3609"/>
      <c r="CE210" s="3609"/>
      <c r="CF210" s="3613">
        <f t="shared" si="71"/>
        <v>12.66</v>
      </c>
    </row>
    <row r="211" spans="1:84" ht="37.5" customHeight="1">
      <c r="A211" s="473" t="s">
        <v>2318</v>
      </c>
      <c r="B211" s="586"/>
      <c r="C211" s="1080" t="s">
        <v>2370</v>
      </c>
      <c r="D211" s="1699" t="s">
        <v>85</v>
      </c>
      <c r="E211" s="1699" t="s">
        <v>85</v>
      </c>
      <c r="F211" s="1075" t="s">
        <v>113</v>
      </c>
      <c r="G211" s="285"/>
      <c r="H211" s="2442">
        <v>97520</v>
      </c>
      <c r="I211" s="2261">
        <f t="shared" si="77"/>
        <v>0.97519999999999996</v>
      </c>
      <c r="J211" s="283">
        <v>5</v>
      </c>
      <c r="K211" s="1472">
        <f t="shared" si="78"/>
        <v>4.8759999999999994</v>
      </c>
      <c r="L211" s="2444" t="s">
        <v>5278</v>
      </c>
      <c r="M211" s="2263">
        <f>'Ab1. RMNCH+A'!Q957</f>
        <v>0</v>
      </c>
      <c r="N211" s="3657">
        <v>4.88</v>
      </c>
      <c r="O211" s="3661"/>
      <c r="P211" s="3661"/>
      <c r="Q211" s="3661"/>
      <c r="R211" s="3661"/>
      <c r="S211" s="3661"/>
      <c r="T211" s="3661"/>
      <c r="U211" s="3661"/>
      <c r="V211" s="3661"/>
      <c r="W211" s="3661"/>
      <c r="X211" s="3661"/>
      <c r="Y211" s="3661"/>
      <c r="Z211" s="3661"/>
      <c r="AA211" s="3661"/>
      <c r="AB211" s="3661"/>
      <c r="AC211" s="3661"/>
      <c r="AD211" s="3661"/>
      <c r="AE211" s="3661"/>
      <c r="AF211" s="3661"/>
      <c r="AG211" s="3661"/>
      <c r="AH211" s="3661"/>
      <c r="AI211" s="3661"/>
      <c r="AJ211" s="3661"/>
      <c r="AK211" s="3661"/>
      <c r="AL211" s="3661"/>
      <c r="AM211" s="3661"/>
      <c r="AN211" s="3661"/>
      <c r="AO211" s="3661"/>
      <c r="AP211" s="3661"/>
      <c r="AQ211" s="3661"/>
      <c r="AR211" s="3661"/>
      <c r="AS211" s="3661"/>
      <c r="AT211" s="3661"/>
      <c r="AU211" s="3661"/>
      <c r="AV211" s="3661"/>
      <c r="AW211" s="3661"/>
      <c r="AX211" s="3609">
        <v>4.88</v>
      </c>
      <c r="AY211" s="3609"/>
      <c r="AZ211" s="3609"/>
      <c r="BA211" s="3609"/>
      <c r="BB211" s="3609"/>
      <c r="BC211" s="3609"/>
      <c r="BD211" s="3609"/>
      <c r="BE211" s="3609"/>
      <c r="BF211" s="3609"/>
      <c r="BG211" s="3609"/>
      <c r="BH211" s="3609"/>
      <c r="BI211" s="3609"/>
      <c r="BJ211" s="3609"/>
      <c r="BK211" s="3609"/>
      <c r="BL211" s="3609"/>
      <c r="BM211" s="3609"/>
      <c r="BN211" s="3609"/>
      <c r="BO211" s="3609"/>
      <c r="BP211" s="3609"/>
      <c r="BQ211" s="3609"/>
      <c r="BR211" s="3609"/>
      <c r="BS211" s="3609"/>
      <c r="BT211" s="3609"/>
      <c r="BU211" s="3609"/>
      <c r="BV211" s="3609"/>
      <c r="BW211" s="3609"/>
      <c r="BX211" s="3609"/>
      <c r="BY211" s="3609"/>
      <c r="BZ211" s="3609"/>
      <c r="CA211" s="3609"/>
      <c r="CB211" s="3609"/>
      <c r="CC211" s="3609"/>
      <c r="CD211" s="3609"/>
      <c r="CE211" s="3609"/>
      <c r="CF211" s="3613">
        <f t="shared" si="71"/>
        <v>4.88</v>
      </c>
    </row>
    <row r="212" spans="1:84" ht="37.5" customHeight="1">
      <c r="A212" s="473" t="s">
        <v>2319</v>
      </c>
      <c r="B212" s="586"/>
      <c r="C212" s="1080" t="s">
        <v>2277</v>
      </c>
      <c r="D212" s="1699" t="s">
        <v>85</v>
      </c>
      <c r="E212" s="1699" t="s">
        <v>85</v>
      </c>
      <c r="F212" s="1075" t="s">
        <v>113</v>
      </c>
      <c r="G212" s="325"/>
      <c r="H212" s="2442">
        <v>79580</v>
      </c>
      <c r="I212" s="2261">
        <f t="shared" si="77"/>
        <v>0.79579999999999995</v>
      </c>
      <c r="J212" s="283">
        <v>20</v>
      </c>
      <c r="K212" s="1472">
        <f>I212*J212</f>
        <v>15.915999999999999</v>
      </c>
      <c r="L212" s="2444" t="s">
        <v>5279</v>
      </c>
      <c r="M212" s="2263">
        <f>'Ab1. RMNCH+A'!Q958</f>
        <v>0</v>
      </c>
      <c r="N212" s="3657">
        <v>15.92</v>
      </c>
      <c r="O212" s="3661"/>
      <c r="P212" s="3661"/>
      <c r="Q212" s="3661"/>
      <c r="R212" s="3661"/>
      <c r="S212" s="3661"/>
      <c r="T212" s="3661"/>
      <c r="U212" s="3661"/>
      <c r="V212" s="3661"/>
      <c r="W212" s="3661"/>
      <c r="X212" s="3661"/>
      <c r="Y212" s="3661"/>
      <c r="Z212" s="3661"/>
      <c r="AA212" s="3661"/>
      <c r="AB212" s="3661"/>
      <c r="AC212" s="3661"/>
      <c r="AD212" s="3661"/>
      <c r="AE212" s="3661"/>
      <c r="AF212" s="3661"/>
      <c r="AG212" s="3661"/>
      <c r="AH212" s="3661"/>
      <c r="AI212" s="3661"/>
      <c r="AJ212" s="3661"/>
      <c r="AK212" s="3661"/>
      <c r="AL212" s="3661"/>
      <c r="AM212" s="3661"/>
      <c r="AN212" s="3661"/>
      <c r="AO212" s="3661"/>
      <c r="AP212" s="3661"/>
      <c r="AQ212" s="3661"/>
      <c r="AR212" s="3661"/>
      <c r="AS212" s="3661"/>
      <c r="AT212" s="3661"/>
      <c r="AU212" s="3661"/>
      <c r="AV212" s="3661"/>
      <c r="AW212" s="3661"/>
      <c r="AX212" s="3609">
        <v>15.92</v>
      </c>
      <c r="AY212" s="3609"/>
      <c r="AZ212" s="3609"/>
      <c r="BA212" s="3609"/>
      <c r="BB212" s="3609"/>
      <c r="BC212" s="3609"/>
      <c r="BD212" s="3609"/>
      <c r="BE212" s="3609"/>
      <c r="BF212" s="3609"/>
      <c r="BG212" s="3609"/>
      <c r="BH212" s="3609"/>
      <c r="BI212" s="3609"/>
      <c r="BJ212" s="3609"/>
      <c r="BK212" s="3609"/>
      <c r="BL212" s="3609"/>
      <c r="BM212" s="3609"/>
      <c r="BN212" s="3609"/>
      <c r="BO212" s="3609"/>
      <c r="BP212" s="3609"/>
      <c r="BQ212" s="3609"/>
      <c r="BR212" s="3609"/>
      <c r="BS212" s="3609"/>
      <c r="BT212" s="3609"/>
      <c r="BU212" s="3609"/>
      <c r="BV212" s="3609"/>
      <c r="BW212" s="3609"/>
      <c r="BX212" s="3609"/>
      <c r="BY212" s="3609"/>
      <c r="BZ212" s="3609"/>
      <c r="CA212" s="3609"/>
      <c r="CB212" s="3609"/>
      <c r="CC212" s="3609">
        <v>0</v>
      </c>
      <c r="CD212" s="3609">
        <v>0</v>
      </c>
      <c r="CE212" s="3609"/>
      <c r="CF212" s="3613">
        <f t="shared" si="71"/>
        <v>15.92</v>
      </c>
    </row>
    <row r="213" spans="1:84" ht="37.5" customHeight="1">
      <c r="A213" s="473" t="s">
        <v>2322</v>
      </c>
      <c r="B213" s="586"/>
      <c r="C213" s="1080" t="s">
        <v>3715</v>
      </c>
      <c r="D213" s="1699" t="s">
        <v>85</v>
      </c>
      <c r="E213" s="1699" t="s">
        <v>85</v>
      </c>
      <c r="F213" s="1075" t="s">
        <v>113</v>
      </c>
      <c r="G213" s="421"/>
      <c r="H213" s="2442">
        <v>412000</v>
      </c>
      <c r="I213" s="2261">
        <f t="shared" si="77"/>
        <v>4.12</v>
      </c>
      <c r="J213" s="2442">
        <v>6</v>
      </c>
      <c r="K213" s="1472">
        <f>I213*J213</f>
        <v>24.72</v>
      </c>
      <c r="L213" s="2444" t="s">
        <v>5483</v>
      </c>
      <c r="M213" s="2263">
        <f>'Ab1. RMNCH+A'!Q960</f>
        <v>0</v>
      </c>
      <c r="N213" s="3657">
        <v>24.72</v>
      </c>
      <c r="O213" s="3661"/>
      <c r="P213" s="3661"/>
      <c r="Q213" s="3661"/>
      <c r="R213" s="3661"/>
      <c r="S213" s="3661"/>
      <c r="T213" s="3661"/>
      <c r="U213" s="3661"/>
      <c r="V213" s="3661"/>
      <c r="W213" s="3661"/>
      <c r="X213" s="3661"/>
      <c r="Y213" s="3661"/>
      <c r="Z213" s="3661"/>
      <c r="AA213" s="3661"/>
      <c r="AB213" s="3661"/>
      <c r="AC213" s="3661"/>
      <c r="AD213" s="3661"/>
      <c r="AE213" s="3661"/>
      <c r="AF213" s="3661"/>
      <c r="AG213" s="3661"/>
      <c r="AH213" s="3661"/>
      <c r="AI213" s="3661"/>
      <c r="AJ213" s="3661"/>
      <c r="AK213" s="3661"/>
      <c r="AL213" s="3661"/>
      <c r="AM213" s="3661"/>
      <c r="AN213" s="3661"/>
      <c r="AO213" s="3661"/>
      <c r="AP213" s="3661"/>
      <c r="AQ213" s="3661"/>
      <c r="AR213" s="3661"/>
      <c r="AS213" s="3661"/>
      <c r="AT213" s="3661"/>
      <c r="AU213" s="3661"/>
      <c r="AV213" s="3661"/>
      <c r="AW213" s="3661"/>
      <c r="AX213" s="3609">
        <v>24.72</v>
      </c>
      <c r="AY213" s="3609"/>
      <c r="AZ213" s="3609"/>
      <c r="BA213" s="3609"/>
      <c r="BB213" s="3609"/>
      <c r="BC213" s="3609"/>
      <c r="BD213" s="3609"/>
      <c r="BE213" s="3609"/>
      <c r="BF213" s="3609"/>
      <c r="BG213" s="3609"/>
      <c r="BH213" s="3609"/>
      <c r="BI213" s="3609"/>
      <c r="BJ213" s="3609"/>
      <c r="BK213" s="3609"/>
      <c r="BL213" s="3609"/>
      <c r="BM213" s="3609"/>
      <c r="BN213" s="3609"/>
      <c r="BO213" s="3609"/>
      <c r="BP213" s="3609"/>
      <c r="BQ213" s="3609"/>
      <c r="BR213" s="3609"/>
      <c r="BS213" s="3609"/>
      <c r="BT213" s="3609"/>
      <c r="BU213" s="3609"/>
      <c r="BV213" s="3609"/>
      <c r="BW213" s="3609"/>
      <c r="BX213" s="3609"/>
      <c r="BY213" s="3609"/>
      <c r="BZ213" s="3609"/>
      <c r="CA213" s="3609"/>
      <c r="CB213" s="3609"/>
      <c r="CC213" s="3609"/>
      <c r="CD213" s="3609"/>
      <c r="CE213" s="3609"/>
      <c r="CF213" s="3613">
        <f t="shared" si="71"/>
        <v>24.72</v>
      </c>
    </row>
    <row r="214" spans="1:84" ht="37.5" customHeight="1">
      <c r="A214" s="473" t="s">
        <v>826</v>
      </c>
      <c r="B214" s="1482" t="s">
        <v>827</v>
      </c>
      <c r="C214" s="1347" t="s">
        <v>4222</v>
      </c>
      <c r="D214" s="2262" t="s">
        <v>85</v>
      </c>
      <c r="E214" s="2262" t="s">
        <v>85</v>
      </c>
      <c r="F214" s="1075" t="s">
        <v>126</v>
      </c>
      <c r="G214" s="2559">
        <v>1</v>
      </c>
      <c r="H214" s="2504">
        <v>50000</v>
      </c>
      <c r="I214" s="2261">
        <f t="shared" ref="I214:I225" si="79">H214/100000</f>
        <v>0.5</v>
      </c>
      <c r="J214" s="2504">
        <v>6</v>
      </c>
      <c r="K214" s="1472">
        <f t="shared" ref="K214:K224" si="80">I214*J214</f>
        <v>3</v>
      </c>
      <c r="L214" s="2552" t="s">
        <v>5367</v>
      </c>
      <c r="M214" s="2263">
        <f>'Ab1. RMNCH+A'!Q1022</f>
        <v>0</v>
      </c>
      <c r="N214" s="3657">
        <v>3</v>
      </c>
      <c r="O214" s="3668"/>
      <c r="P214" s="3668"/>
      <c r="Q214" s="3668"/>
      <c r="R214" s="3668"/>
      <c r="S214" s="3668"/>
      <c r="T214" s="3668"/>
      <c r="U214" s="3668"/>
      <c r="V214" s="3668"/>
      <c r="W214" s="3668"/>
      <c r="X214" s="3668"/>
      <c r="Y214" s="3668"/>
      <c r="Z214" s="3668"/>
      <c r="AA214" s="3668"/>
      <c r="AB214" s="3668"/>
      <c r="AC214" s="3668"/>
      <c r="AD214" s="3668"/>
      <c r="AE214" s="3668"/>
      <c r="AF214" s="3668"/>
      <c r="AG214" s="3668"/>
      <c r="AH214" s="3668"/>
      <c r="AI214" s="3668"/>
      <c r="AJ214" s="3668"/>
      <c r="AK214" s="3668"/>
      <c r="AL214" s="3668"/>
      <c r="AM214" s="3668"/>
      <c r="AN214" s="3668"/>
      <c r="AO214" s="3668"/>
      <c r="AP214" s="3668"/>
      <c r="AQ214" s="3668"/>
      <c r="AR214" s="3668"/>
      <c r="AS214" s="3668"/>
      <c r="AT214" s="3668"/>
      <c r="AU214" s="3668"/>
      <c r="AV214" s="3668"/>
      <c r="AW214" s="3668"/>
      <c r="AX214" s="3614">
        <v>0</v>
      </c>
      <c r="AY214" s="3614">
        <v>0.25</v>
      </c>
      <c r="AZ214" s="3614">
        <v>0.25</v>
      </c>
      <c r="BA214" s="3614">
        <v>0.3</v>
      </c>
      <c r="BB214" s="3614">
        <v>0.3</v>
      </c>
      <c r="BC214" s="3614">
        <v>0.1</v>
      </c>
      <c r="BD214" s="3614">
        <v>0.25</v>
      </c>
      <c r="BE214" s="3614">
        <v>0.1</v>
      </c>
      <c r="BF214" s="3614">
        <v>0.3</v>
      </c>
      <c r="BG214" s="3614">
        <v>0.3</v>
      </c>
      <c r="BH214" s="3614">
        <v>0.3</v>
      </c>
      <c r="BI214" s="3614">
        <v>0.3</v>
      </c>
      <c r="BJ214" s="3614">
        <v>0.25</v>
      </c>
      <c r="BK214" s="3614"/>
      <c r="BL214" s="3614"/>
      <c r="BM214" s="3614"/>
      <c r="BN214" s="3614"/>
      <c r="BO214" s="3614"/>
      <c r="BP214" s="3614"/>
      <c r="BQ214" s="3614"/>
      <c r="BR214" s="3614"/>
      <c r="BS214" s="3614"/>
      <c r="BT214" s="3614"/>
      <c r="BU214" s="3614"/>
      <c r="BV214" s="3614"/>
      <c r="BW214" s="3614"/>
      <c r="BX214" s="3614"/>
      <c r="BY214" s="3614"/>
      <c r="BZ214" s="3614"/>
      <c r="CA214" s="3614"/>
      <c r="CB214" s="3614"/>
      <c r="CC214" s="3614"/>
      <c r="CD214" s="3614"/>
      <c r="CE214" s="3614"/>
      <c r="CF214" s="3613">
        <f t="shared" si="71"/>
        <v>3</v>
      </c>
    </row>
    <row r="215" spans="1:84" ht="37.5" customHeight="1">
      <c r="A215" s="473" t="s">
        <v>828</v>
      </c>
      <c r="B215" s="1482" t="s">
        <v>127</v>
      </c>
      <c r="C215" s="1347" t="s">
        <v>3967</v>
      </c>
      <c r="D215" s="2262" t="s">
        <v>85</v>
      </c>
      <c r="E215" s="2262" t="s">
        <v>85</v>
      </c>
      <c r="F215" s="1075" t="s">
        <v>126</v>
      </c>
      <c r="G215" s="2559">
        <v>1</v>
      </c>
      <c r="H215" s="2504">
        <v>50000</v>
      </c>
      <c r="I215" s="2261">
        <f t="shared" si="79"/>
        <v>0.5</v>
      </c>
      <c r="J215" s="2504">
        <v>6</v>
      </c>
      <c r="K215" s="1472">
        <f t="shared" si="80"/>
        <v>3</v>
      </c>
      <c r="L215" s="2560" t="s">
        <v>5368</v>
      </c>
      <c r="M215" s="2263">
        <f>'Ab1. RMNCH+A'!Q1023</f>
        <v>0</v>
      </c>
      <c r="N215" s="3657">
        <v>3</v>
      </c>
      <c r="O215" s="3668"/>
      <c r="P215" s="3668"/>
      <c r="Q215" s="3668"/>
      <c r="R215" s="3668"/>
      <c r="S215" s="3668"/>
      <c r="T215" s="3668"/>
      <c r="U215" s="3668"/>
      <c r="V215" s="3668"/>
      <c r="W215" s="3668"/>
      <c r="X215" s="3668"/>
      <c r="Y215" s="3668"/>
      <c r="Z215" s="3668"/>
      <c r="AA215" s="3668"/>
      <c r="AB215" s="3668"/>
      <c r="AC215" s="3668"/>
      <c r="AD215" s="3668"/>
      <c r="AE215" s="3668"/>
      <c r="AF215" s="3668"/>
      <c r="AG215" s="3668"/>
      <c r="AH215" s="3668"/>
      <c r="AI215" s="3668"/>
      <c r="AJ215" s="3668"/>
      <c r="AK215" s="3668"/>
      <c r="AL215" s="3668"/>
      <c r="AM215" s="3668"/>
      <c r="AN215" s="3668"/>
      <c r="AO215" s="3668"/>
      <c r="AP215" s="3668"/>
      <c r="AQ215" s="3668"/>
      <c r="AR215" s="3668"/>
      <c r="AS215" s="3668"/>
      <c r="AT215" s="3668"/>
      <c r="AU215" s="3668"/>
      <c r="AV215" s="3668"/>
      <c r="AW215" s="3668"/>
      <c r="AX215" s="3614">
        <v>0</v>
      </c>
      <c r="AY215" s="3614">
        <v>0.25</v>
      </c>
      <c r="AZ215" s="3614">
        <v>0.25</v>
      </c>
      <c r="BA215" s="3614">
        <v>0.3</v>
      </c>
      <c r="BB215" s="3614">
        <v>0.3</v>
      </c>
      <c r="BC215" s="3614">
        <v>0.1</v>
      </c>
      <c r="BD215" s="3614">
        <v>0.25</v>
      </c>
      <c r="BE215" s="3614">
        <v>0.1</v>
      </c>
      <c r="BF215" s="3614">
        <v>0.3</v>
      </c>
      <c r="BG215" s="3614">
        <v>0.3</v>
      </c>
      <c r="BH215" s="3614">
        <v>0.3</v>
      </c>
      <c r="BI215" s="3614">
        <v>0.3</v>
      </c>
      <c r="BJ215" s="3614">
        <v>0.25</v>
      </c>
      <c r="BK215" s="3614"/>
      <c r="BL215" s="3614"/>
      <c r="BM215" s="3614"/>
      <c r="BN215" s="3614"/>
      <c r="BO215" s="3614"/>
      <c r="BP215" s="3614"/>
      <c r="BQ215" s="3614"/>
      <c r="BR215" s="3614"/>
      <c r="BS215" s="3614"/>
      <c r="BT215" s="3614"/>
      <c r="BU215" s="3614"/>
      <c r="BV215" s="3614"/>
      <c r="BW215" s="3614"/>
      <c r="BX215" s="3614"/>
      <c r="BY215" s="3614"/>
      <c r="BZ215" s="3614"/>
      <c r="CA215" s="3614"/>
      <c r="CB215" s="3614"/>
      <c r="CC215" s="3614"/>
      <c r="CD215" s="3614"/>
      <c r="CE215" s="3614"/>
      <c r="CF215" s="3613">
        <f t="shared" si="71"/>
        <v>3</v>
      </c>
    </row>
    <row r="216" spans="1:84" ht="37.5" customHeight="1">
      <c r="A216" s="473" t="s">
        <v>829</v>
      </c>
      <c r="B216" s="1482" t="s">
        <v>830</v>
      </c>
      <c r="C216" s="2561" t="s">
        <v>831</v>
      </c>
      <c r="D216" s="1699" t="s">
        <v>85</v>
      </c>
      <c r="E216" s="1699" t="s">
        <v>85</v>
      </c>
      <c r="F216" s="1075" t="s">
        <v>126</v>
      </c>
      <c r="G216" s="324">
        <v>1</v>
      </c>
      <c r="H216" s="243">
        <v>50000</v>
      </c>
      <c r="I216" s="2261">
        <f t="shared" si="79"/>
        <v>0.5</v>
      </c>
      <c r="J216" s="2504">
        <v>3</v>
      </c>
      <c r="K216" s="1472">
        <f t="shared" si="80"/>
        <v>1.5</v>
      </c>
      <c r="L216" s="719" t="s">
        <v>5369</v>
      </c>
      <c r="M216" s="2263">
        <f>'Ab1. RMNCH+A'!Q1024</f>
        <v>0</v>
      </c>
      <c r="N216" s="3657">
        <v>1.5</v>
      </c>
      <c r="O216" s="3668"/>
      <c r="P216" s="3668"/>
      <c r="Q216" s="3668"/>
      <c r="R216" s="3668"/>
      <c r="S216" s="3668"/>
      <c r="T216" s="3668"/>
      <c r="U216" s="3668"/>
      <c r="V216" s="3668"/>
      <c r="W216" s="3668"/>
      <c r="X216" s="3668"/>
      <c r="Y216" s="3668"/>
      <c r="Z216" s="3668"/>
      <c r="AA216" s="3668"/>
      <c r="AB216" s="3668"/>
      <c r="AC216" s="3668"/>
      <c r="AD216" s="3668"/>
      <c r="AE216" s="3668"/>
      <c r="AF216" s="3668"/>
      <c r="AG216" s="3668"/>
      <c r="AH216" s="3668"/>
      <c r="AI216" s="3668"/>
      <c r="AJ216" s="3668"/>
      <c r="AK216" s="3668"/>
      <c r="AL216" s="3668"/>
      <c r="AM216" s="3668"/>
      <c r="AN216" s="3668"/>
      <c r="AO216" s="3668"/>
      <c r="AP216" s="3668"/>
      <c r="AQ216" s="3668"/>
      <c r="AR216" s="3668"/>
      <c r="AS216" s="3668"/>
      <c r="AT216" s="3668"/>
      <c r="AU216" s="3668"/>
      <c r="AV216" s="3668"/>
      <c r="AW216" s="3668"/>
      <c r="AX216" s="3614">
        <v>1.5</v>
      </c>
      <c r="AY216" s="3614"/>
      <c r="AZ216" s="3614"/>
      <c r="BA216" s="3614"/>
      <c r="BB216" s="3614"/>
      <c r="BC216" s="3614"/>
      <c r="BD216" s="3614"/>
      <c r="BE216" s="3614"/>
      <c r="BF216" s="3614"/>
      <c r="BG216" s="3614"/>
      <c r="BH216" s="3614"/>
      <c r="BI216" s="3614"/>
      <c r="BJ216" s="3614"/>
      <c r="BK216" s="3614"/>
      <c r="BL216" s="3614"/>
      <c r="BM216" s="3614"/>
      <c r="BN216" s="3614"/>
      <c r="BO216" s="3614"/>
      <c r="BP216" s="3614"/>
      <c r="BQ216" s="3614"/>
      <c r="BR216" s="3614"/>
      <c r="BS216" s="3614"/>
      <c r="BT216" s="3614"/>
      <c r="BU216" s="3614"/>
      <c r="BV216" s="3614"/>
      <c r="BW216" s="3614"/>
      <c r="BX216" s="3614"/>
      <c r="BY216" s="3614"/>
      <c r="BZ216" s="3614"/>
      <c r="CA216" s="3614"/>
      <c r="CB216" s="3614"/>
      <c r="CC216" s="3614"/>
      <c r="CD216" s="3614"/>
      <c r="CE216" s="3614"/>
      <c r="CF216" s="3613">
        <f t="shared" si="71"/>
        <v>1.5</v>
      </c>
    </row>
    <row r="217" spans="1:84" ht="37.5" customHeight="1">
      <c r="A217" s="473" t="s">
        <v>835</v>
      </c>
      <c r="B217" s="586" t="s">
        <v>836</v>
      </c>
      <c r="C217" s="586" t="s">
        <v>837</v>
      </c>
      <c r="D217" s="1699" t="s">
        <v>85</v>
      </c>
      <c r="E217" s="1699" t="s">
        <v>85</v>
      </c>
      <c r="F217" s="1075" t="s">
        <v>126</v>
      </c>
      <c r="G217" s="324">
        <v>1</v>
      </c>
      <c r="H217" s="243">
        <v>95000</v>
      </c>
      <c r="I217" s="2261">
        <f t="shared" si="79"/>
        <v>0.95</v>
      </c>
      <c r="J217" s="243">
        <v>2</v>
      </c>
      <c r="K217" s="1472">
        <f t="shared" si="80"/>
        <v>1.9</v>
      </c>
      <c r="L217" s="719" t="s">
        <v>5370</v>
      </c>
      <c r="M217" s="2263">
        <f>'Ab1. RMNCH+A'!Q1026</f>
        <v>0</v>
      </c>
      <c r="N217" s="3657">
        <v>1.9</v>
      </c>
      <c r="O217" s="3661"/>
      <c r="P217" s="3661"/>
      <c r="Q217" s="3661"/>
      <c r="R217" s="3661"/>
      <c r="S217" s="3661"/>
      <c r="T217" s="3661"/>
      <c r="U217" s="3661"/>
      <c r="V217" s="3661"/>
      <c r="W217" s="3661"/>
      <c r="X217" s="3661"/>
      <c r="Y217" s="3661"/>
      <c r="Z217" s="3661"/>
      <c r="AA217" s="3661"/>
      <c r="AB217" s="3661"/>
      <c r="AC217" s="3661"/>
      <c r="AD217" s="3661"/>
      <c r="AE217" s="3661"/>
      <c r="AF217" s="3661"/>
      <c r="AG217" s="3661"/>
      <c r="AH217" s="3661"/>
      <c r="AI217" s="3661"/>
      <c r="AJ217" s="3661"/>
      <c r="AK217" s="3661"/>
      <c r="AL217" s="3661"/>
      <c r="AM217" s="3661"/>
      <c r="AN217" s="3661"/>
      <c r="AO217" s="3661"/>
      <c r="AP217" s="3661"/>
      <c r="AQ217" s="3661"/>
      <c r="AR217" s="3661"/>
      <c r="AS217" s="3661"/>
      <c r="AT217" s="3661"/>
      <c r="AU217" s="3661"/>
      <c r="AV217" s="3661"/>
      <c r="AW217" s="3661"/>
      <c r="AX217" s="3609">
        <v>1.9</v>
      </c>
      <c r="AY217" s="3609"/>
      <c r="AZ217" s="3609"/>
      <c r="BA217" s="3609"/>
      <c r="BB217" s="3609"/>
      <c r="BC217" s="3609"/>
      <c r="BD217" s="3609"/>
      <c r="BE217" s="3609"/>
      <c r="BF217" s="3609"/>
      <c r="BG217" s="3609"/>
      <c r="BH217" s="3609"/>
      <c r="BI217" s="3609"/>
      <c r="BJ217" s="3609"/>
      <c r="BK217" s="3609"/>
      <c r="BL217" s="3609"/>
      <c r="BM217" s="3609"/>
      <c r="BN217" s="3609"/>
      <c r="BO217" s="3609"/>
      <c r="BP217" s="3609"/>
      <c r="BQ217" s="3609"/>
      <c r="BR217" s="3609"/>
      <c r="BS217" s="3609"/>
      <c r="BT217" s="3609"/>
      <c r="BU217" s="3609"/>
      <c r="BV217" s="3609"/>
      <c r="BW217" s="3609"/>
      <c r="BX217" s="3609"/>
      <c r="BY217" s="3609"/>
      <c r="BZ217" s="3609"/>
      <c r="CA217" s="3609"/>
      <c r="CB217" s="3609"/>
      <c r="CC217" s="3609"/>
      <c r="CD217" s="3609"/>
      <c r="CE217" s="3609"/>
      <c r="CF217" s="3613">
        <f t="shared" si="71"/>
        <v>1.9</v>
      </c>
    </row>
    <row r="218" spans="1:84" ht="37.5" customHeight="1">
      <c r="A218" s="473" t="s">
        <v>838</v>
      </c>
      <c r="B218" s="586" t="s">
        <v>839</v>
      </c>
      <c r="C218" s="586" t="s">
        <v>840</v>
      </c>
      <c r="D218" s="1699" t="s">
        <v>85</v>
      </c>
      <c r="E218" s="1699" t="s">
        <v>85</v>
      </c>
      <c r="F218" s="1075" t="s">
        <v>126</v>
      </c>
      <c r="G218" s="324">
        <v>1</v>
      </c>
      <c r="H218" s="243">
        <v>100000</v>
      </c>
      <c r="I218" s="2261">
        <f t="shared" si="79"/>
        <v>1</v>
      </c>
      <c r="J218" s="243">
        <v>6</v>
      </c>
      <c r="K218" s="1472">
        <f t="shared" si="80"/>
        <v>6</v>
      </c>
      <c r="L218" s="719" t="s">
        <v>5371</v>
      </c>
      <c r="M218" s="2263">
        <f>'Ab1. RMNCH+A'!Q1027</f>
        <v>0</v>
      </c>
      <c r="N218" s="3657">
        <v>6</v>
      </c>
      <c r="O218" s="3661"/>
      <c r="P218" s="3661"/>
      <c r="Q218" s="3661"/>
      <c r="R218" s="3661"/>
      <c r="S218" s="3661"/>
      <c r="T218" s="3661"/>
      <c r="U218" s="3661"/>
      <c r="V218" s="3661"/>
      <c r="W218" s="3661"/>
      <c r="X218" s="3661"/>
      <c r="Y218" s="3661"/>
      <c r="Z218" s="3661"/>
      <c r="AA218" s="3661"/>
      <c r="AB218" s="3661"/>
      <c r="AC218" s="3661"/>
      <c r="AD218" s="3661"/>
      <c r="AE218" s="3661"/>
      <c r="AF218" s="3661"/>
      <c r="AG218" s="3661"/>
      <c r="AH218" s="3661"/>
      <c r="AI218" s="3661"/>
      <c r="AJ218" s="3661"/>
      <c r="AK218" s="3661"/>
      <c r="AL218" s="3661"/>
      <c r="AM218" s="3661"/>
      <c r="AN218" s="3661"/>
      <c r="AO218" s="3661"/>
      <c r="AP218" s="3661"/>
      <c r="AQ218" s="3661"/>
      <c r="AR218" s="3661"/>
      <c r="AS218" s="3661"/>
      <c r="AT218" s="3661"/>
      <c r="AU218" s="3661"/>
      <c r="AV218" s="3661"/>
      <c r="AW218" s="3661"/>
      <c r="AX218" s="3609">
        <v>0</v>
      </c>
      <c r="AY218" s="3609"/>
      <c r="AZ218" s="3609">
        <v>1</v>
      </c>
      <c r="BA218" s="3609"/>
      <c r="BB218" s="3609">
        <v>1</v>
      </c>
      <c r="BC218" s="3609"/>
      <c r="BD218" s="3609"/>
      <c r="BE218" s="3609"/>
      <c r="BF218" s="3609">
        <v>1</v>
      </c>
      <c r="BG218" s="3609"/>
      <c r="BH218" s="3609">
        <v>1</v>
      </c>
      <c r="BI218" s="3609">
        <v>1</v>
      </c>
      <c r="BJ218" s="3609">
        <v>1</v>
      </c>
      <c r="BK218" s="3609"/>
      <c r="BL218" s="3609"/>
      <c r="BM218" s="3609"/>
      <c r="BN218" s="3609"/>
      <c r="BO218" s="3609"/>
      <c r="BP218" s="3609"/>
      <c r="BQ218" s="3609"/>
      <c r="BR218" s="3609"/>
      <c r="BS218" s="3609"/>
      <c r="BT218" s="3609"/>
      <c r="BU218" s="3609"/>
      <c r="BV218" s="3609"/>
      <c r="BW218" s="3609"/>
      <c r="BX218" s="3609"/>
      <c r="BY218" s="3609"/>
      <c r="BZ218" s="3609"/>
      <c r="CA218" s="3609"/>
      <c r="CB218" s="3609"/>
      <c r="CC218" s="3609"/>
      <c r="CD218" s="3609"/>
      <c r="CE218" s="3609"/>
      <c r="CF218" s="3613">
        <f t="shared" si="71"/>
        <v>6</v>
      </c>
    </row>
    <row r="219" spans="1:84" ht="37.5" customHeight="1">
      <c r="A219" s="473" t="s">
        <v>852</v>
      </c>
      <c r="B219" s="586" t="s">
        <v>859</v>
      </c>
      <c r="C219" s="586" t="s">
        <v>860</v>
      </c>
      <c r="D219" s="1699" t="s">
        <v>85</v>
      </c>
      <c r="E219" s="1699" t="s">
        <v>85</v>
      </c>
      <c r="F219" s="1075" t="s">
        <v>126</v>
      </c>
      <c r="G219" s="324">
        <v>1</v>
      </c>
      <c r="H219" s="243">
        <v>70000</v>
      </c>
      <c r="I219" s="2261">
        <f t="shared" si="79"/>
        <v>0.7</v>
      </c>
      <c r="J219" s="243">
        <v>6</v>
      </c>
      <c r="K219" s="1472">
        <f t="shared" si="80"/>
        <v>4.1999999999999993</v>
      </c>
      <c r="L219" s="2560" t="s">
        <v>5372</v>
      </c>
      <c r="M219" s="2263">
        <f>'Ab1. RMNCH+A'!Q1033</f>
        <v>0</v>
      </c>
      <c r="N219" s="3657">
        <v>4.2</v>
      </c>
      <c r="O219" s="3661"/>
      <c r="P219" s="3661"/>
      <c r="Q219" s="3661"/>
      <c r="R219" s="3661"/>
      <c r="S219" s="3661"/>
      <c r="T219" s="3661"/>
      <c r="U219" s="3661"/>
      <c r="V219" s="3661"/>
      <c r="W219" s="3661"/>
      <c r="X219" s="3661"/>
      <c r="Y219" s="3661"/>
      <c r="Z219" s="3661"/>
      <c r="AA219" s="3661"/>
      <c r="AB219" s="3661"/>
      <c r="AC219" s="3661"/>
      <c r="AD219" s="3661"/>
      <c r="AE219" s="3661"/>
      <c r="AF219" s="3661"/>
      <c r="AG219" s="3661"/>
      <c r="AH219" s="3661"/>
      <c r="AI219" s="3661"/>
      <c r="AJ219" s="3661"/>
      <c r="AK219" s="3661"/>
      <c r="AL219" s="3661"/>
      <c r="AM219" s="3661"/>
      <c r="AN219" s="3661"/>
      <c r="AO219" s="3661"/>
      <c r="AP219" s="3661"/>
      <c r="AQ219" s="3661"/>
      <c r="AR219" s="3661"/>
      <c r="AS219" s="3661"/>
      <c r="AT219" s="3661"/>
      <c r="AU219" s="3661"/>
      <c r="AV219" s="3661"/>
      <c r="AW219" s="3661"/>
      <c r="AX219" s="3609">
        <v>0</v>
      </c>
      <c r="AY219" s="3609"/>
      <c r="AZ219" s="3609">
        <v>0.7</v>
      </c>
      <c r="BA219" s="3609">
        <v>0.7</v>
      </c>
      <c r="BB219" s="3609">
        <v>0.7</v>
      </c>
      <c r="BC219" s="3609"/>
      <c r="BD219" s="3609">
        <v>0.7</v>
      </c>
      <c r="BE219" s="3609"/>
      <c r="BF219" s="3609">
        <v>0.7</v>
      </c>
      <c r="BG219" s="3609">
        <v>0.7</v>
      </c>
      <c r="BH219" s="3609"/>
      <c r="BI219" s="3609"/>
      <c r="BJ219" s="3609"/>
      <c r="BK219" s="3609"/>
      <c r="BL219" s="3609"/>
      <c r="BM219" s="3609"/>
      <c r="BN219" s="3609"/>
      <c r="BO219" s="3609"/>
      <c r="BP219" s="3609"/>
      <c r="BQ219" s="3609"/>
      <c r="BR219" s="3609"/>
      <c r="BS219" s="3609"/>
      <c r="BT219" s="3609"/>
      <c r="BU219" s="3609"/>
      <c r="BV219" s="3609"/>
      <c r="BW219" s="3609"/>
      <c r="BX219" s="3609"/>
      <c r="BY219" s="3609"/>
      <c r="BZ219" s="3609"/>
      <c r="CA219" s="3609"/>
      <c r="CB219" s="3609"/>
      <c r="CC219" s="3609"/>
      <c r="CD219" s="3609"/>
      <c r="CE219" s="3609"/>
      <c r="CF219" s="3613">
        <f t="shared" si="71"/>
        <v>4.2</v>
      </c>
    </row>
    <row r="220" spans="1:84" ht="37.5" customHeight="1">
      <c r="A220" s="473" t="s">
        <v>855</v>
      </c>
      <c r="B220" s="586" t="s">
        <v>862</v>
      </c>
      <c r="C220" s="586" t="s">
        <v>863</v>
      </c>
      <c r="D220" s="1699" t="s">
        <v>85</v>
      </c>
      <c r="E220" s="1699" t="s">
        <v>85</v>
      </c>
      <c r="F220" s="1075" t="s">
        <v>126</v>
      </c>
      <c r="G220" s="324"/>
      <c r="H220" s="243">
        <v>50000</v>
      </c>
      <c r="I220" s="2261">
        <f t="shared" si="79"/>
        <v>0.5</v>
      </c>
      <c r="J220" s="243">
        <v>6</v>
      </c>
      <c r="K220" s="1472">
        <f t="shared" si="80"/>
        <v>3</v>
      </c>
      <c r="L220" s="2560" t="s">
        <v>5373</v>
      </c>
      <c r="M220" s="2263">
        <f>'Ab1. RMNCH+A'!Q1034</f>
        <v>0</v>
      </c>
      <c r="N220" s="3657">
        <v>3</v>
      </c>
      <c r="O220" s="3661"/>
      <c r="P220" s="3661"/>
      <c r="Q220" s="3661"/>
      <c r="R220" s="3661"/>
      <c r="S220" s="3661"/>
      <c r="T220" s="3661"/>
      <c r="U220" s="3661"/>
      <c r="V220" s="3661"/>
      <c r="W220" s="3661"/>
      <c r="X220" s="3661"/>
      <c r="Y220" s="3661"/>
      <c r="Z220" s="3661"/>
      <c r="AA220" s="3661"/>
      <c r="AB220" s="3661"/>
      <c r="AC220" s="3661"/>
      <c r="AD220" s="3661"/>
      <c r="AE220" s="3661"/>
      <c r="AF220" s="3661"/>
      <c r="AG220" s="3661"/>
      <c r="AH220" s="3661"/>
      <c r="AI220" s="3661"/>
      <c r="AJ220" s="3661"/>
      <c r="AK220" s="3661"/>
      <c r="AL220" s="3661"/>
      <c r="AM220" s="3661"/>
      <c r="AN220" s="3661"/>
      <c r="AO220" s="3661"/>
      <c r="AP220" s="3661"/>
      <c r="AQ220" s="3661"/>
      <c r="AR220" s="3661"/>
      <c r="AS220" s="3661"/>
      <c r="AT220" s="3661"/>
      <c r="AU220" s="3661"/>
      <c r="AV220" s="3661"/>
      <c r="AW220" s="3661"/>
      <c r="AX220" s="3609"/>
      <c r="AY220" s="3609"/>
      <c r="AZ220" s="3609">
        <v>0.5</v>
      </c>
      <c r="BA220" s="3609">
        <v>0.5</v>
      </c>
      <c r="BB220" s="3609">
        <v>0.5</v>
      </c>
      <c r="BC220" s="3609"/>
      <c r="BD220" s="3609">
        <v>0.5</v>
      </c>
      <c r="BE220" s="3609"/>
      <c r="BF220" s="3609">
        <v>0.5</v>
      </c>
      <c r="BG220" s="3609">
        <v>0.5</v>
      </c>
      <c r="BH220" s="3609"/>
      <c r="BI220" s="3609"/>
      <c r="BJ220" s="3609"/>
      <c r="BK220" s="3609"/>
      <c r="BL220" s="3609"/>
      <c r="BM220" s="3609"/>
      <c r="BN220" s="3609"/>
      <c r="BO220" s="3609"/>
      <c r="BP220" s="3609"/>
      <c r="BQ220" s="3609"/>
      <c r="BR220" s="3609"/>
      <c r="BS220" s="3609"/>
      <c r="BT220" s="3609"/>
      <c r="BU220" s="3609"/>
      <c r="BV220" s="3609"/>
      <c r="BW220" s="3609"/>
      <c r="BX220" s="3609"/>
      <c r="BY220" s="3609"/>
      <c r="BZ220" s="3609"/>
      <c r="CA220" s="3609"/>
      <c r="CB220" s="3609"/>
      <c r="CC220" s="3609"/>
      <c r="CD220" s="3609"/>
      <c r="CE220" s="3609"/>
      <c r="CF220" s="3613">
        <f t="shared" si="71"/>
        <v>3</v>
      </c>
    </row>
    <row r="221" spans="1:84" ht="37.5" customHeight="1">
      <c r="A221" s="473" t="s">
        <v>861</v>
      </c>
      <c r="B221" s="586" t="s">
        <v>868</v>
      </c>
      <c r="C221" s="586" t="s">
        <v>3968</v>
      </c>
      <c r="D221" s="1699" t="s">
        <v>85</v>
      </c>
      <c r="E221" s="1699" t="s">
        <v>85</v>
      </c>
      <c r="F221" s="1075" t="s">
        <v>126</v>
      </c>
      <c r="G221" s="2564">
        <v>1</v>
      </c>
      <c r="H221" s="2504">
        <v>280000</v>
      </c>
      <c r="I221" s="2261">
        <f t="shared" si="79"/>
        <v>2.8</v>
      </c>
      <c r="J221" s="2504">
        <v>2</v>
      </c>
      <c r="K221" s="1472">
        <f t="shared" si="80"/>
        <v>5.6</v>
      </c>
      <c r="L221" s="2560" t="s">
        <v>5374</v>
      </c>
      <c r="M221" s="2263">
        <f>'Ab1. RMNCH+A'!Q1036</f>
        <v>0</v>
      </c>
      <c r="N221" s="3657">
        <v>5.6</v>
      </c>
      <c r="O221" s="3661"/>
      <c r="P221" s="3661"/>
      <c r="Q221" s="3661"/>
      <c r="R221" s="3661"/>
      <c r="S221" s="3661"/>
      <c r="T221" s="3661"/>
      <c r="U221" s="3661"/>
      <c r="V221" s="3661"/>
      <c r="W221" s="3661"/>
      <c r="X221" s="3661"/>
      <c r="Y221" s="3661"/>
      <c r="Z221" s="3661"/>
      <c r="AA221" s="3661"/>
      <c r="AB221" s="3661"/>
      <c r="AC221" s="3661"/>
      <c r="AD221" s="3661"/>
      <c r="AE221" s="3661"/>
      <c r="AF221" s="3661"/>
      <c r="AG221" s="3661"/>
      <c r="AH221" s="3661"/>
      <c r="AI221" s="3661"/>
      <c r="AJ221" s="3661"/>
      <c r="AK221" s="3661"/>
      <c r="AL221" s="3661"/>
      <c r="AM221" s="3661"/>
      <c r="AN221" s="3661"/>
      <c r="AO221" s="3661"/>
      <c r="AP221" s="3661"/>
      <c r="AQ221" s="3661"/>
      <c r="AR221" s="3661"/>
      <c r="AS221" s="3661"/>
      <c r="AT221" s="3661"/>
      <c r="AU221" s="3661"/>
      <c r="AV221" s="3661"/>
      <c r="AW221" s="3661"/>
      <c r="AX221" s="3609">
        <v>5.6</v>
      </c>
      <c r="AY221" s="3609"/>
      <c r="AZ221" s="3609"/>
      <c r="BA221" s="3609"/>
      <c r="BB221" s="3609"/>
      <c r="BC221" s="3609"/>
      <c r="BD221" s="3609"/>
      <c r="BE221" s="3609"/>
      <c r="BF221" s="3609"/>
      <c r="BG221" s="3609"/>
      <c r="BH221" s="3609"/>
      <c r="BI221" s="3609"/>
      <c r="BJ221" s="3609"/>
      <c r="BK221" s="3609"/>
      <c r="BL221" s="3609"/>
      <c r="BM221" s="3609"/>
      <c r="BN221" s="3609"/>
      <c r="BO221" s="3609"/>
      <c r="BP221" s="3609"/>
      <c r="BQ221" s="3609"/>
      <c r="BR221" s="3609"/>
      <c r="BS221" s="3609"/>
      <c r="BT221" s="3609"/>
      <c r="BU221" s="3609"/>
      <c r="BV221" s="3609"/>
      <c r="BW221" s="3609"/>
      <c r="BX221" s="3609"/>
      <c r="BY221" s="3609"/>
      <c r="BZ221" s="3609"/>
      <c r="CA221" s="3609"/>
      <c r="CB221" s="3609"/>
      <c r="CC221" s="3609"/>
      <c r="CD221" s="3609"/>
      <c r="CE221" s="3609"/>
      <c r="CF221" s="3613">
        <f t="shared" si="71"/>
        <v>5.6</v>
      </c>
    </row>
    <row r="222" spans="1:84" ht="37.5" customHeight="1">
      <c r="A222" s="473" t="s">
        <v>867</v>
      </c>
      <c r="B222" s="586" t="s">
        <v>872</v>
      </c>
      <c r="C222" s="586" t="s">
        <v>2390</v>
      </c>
      <c r="D222" s="1699" t="s">
        <v>85</v>
      </c>
      <c r="E222" s="1699" t="s">
        <v>85</v>
      </c>
      <c r="F222" s="1075" t="s">
        <v>126</v>
      </c>
      <c r="G222" s="324">
        <v>1</v>
      </c>
      <c r="H222" s="243">
        <v>280000</v>
      </c>
      <c r="I222" s="2261">
        <f t="shared" si="79"/>
        <v>2.8</v>
      </c>
      <c r="J222" s="243">
        <v>4</v>
      </c>
      <c r="K222" s="1472">
        <f t="shared" si="80"/>
        <v>11.2</v>
      </c>
      <c r="L222" s="719" t="s">
        <v>5375</v>
      </c>
      <c r="M222" s="2263">
        <f>'Ab1. RMNCH+A'!Q1038</f>
        <v>0</v>
      </c>
      <c r="N222" s="3657">
        <v>11.2</v>
      </c>
      <c r="O222" s="3661"/>
      <c r="P222" s="3661"/>
      <c r="Q222" s="3661"/>
      <c r="R222" s="3661"/>
      <c r="S222" s="3661"/>
      <c r="T222" s="3661"/>
      <c r="U222" s="3661"/>
      <c r="V222" s="3661"/>
      <c r="W222" s="3661"/>
      <c r="X222" s="3661"/>
      <c r="Y222" s="3661"/>
      <c r="Z222" s="3661"/>
      <c r="AA222" s="3661"/>
      <c r="AB222" s="3661"/>
      <c r="AC222" s="3661"/>
      <c r="AD222" s="3661"/>
      <c r="AE222" s="3661"/>
      <c r="AF222" s="3661"/>
      <c r="AG222" s="3661"/>
      <c r="AH222" s="3661"/>
      <c r="AI222" s="3661"/>
      <c r="AJ222" s="3661"/>
      <c r="AK222" s="3661"/>
      <c r="AL222" s="3661"/>
      <c r="AM222" s="3661"/>
      <c r="AN222" s="3661"/>
      <c r="AO222" s="3661"/>
      <c r="AP222" s="3661"/>
      <c r="AQ222" s="3661"/>
      <c r="AR222" s="3661"/>
      <c r="AS222" s="3661"/>
      <c r="AT222" s="3661"/>
      <c r="AU222" s="3661"/>
      <c r="AV222" s="3661"/>
      <c r="AW222" s="3661"/>
      <c r="AX222" s="3609"/>
      <c r="AY222" s="3609">
        <v>1</v>
      </c>
      <c r="AZ222" s="3609">
        <v>1</v>
      </c>
      <c r="BA222" s="3609">
        <v>1</v>
      </c>
      <c r="BB222" s="3609">
        <v>1.2</v>
      </c>
      <c r="BC222" s="3609">
        <v>0.5</v>
      </c>
      <c r="BD222" s="3609">
        <v>1</v>
      </c>
      <c r="BE222" s="3609">
        <v>0.5</v>
      </c>
      <c r="BF222" s="3609">
        <v>1</v>
      </c>
      <c r="BG222" s="3609">
        <v>1</v>
      </c>
      <c r="BH222" s="3609">
        <v>1</v>
      </c>
      <c r="BI222" s="3609">
        <v>1</v>
      </c>
      <c r="BJ222" s="3609">
        <v>1</v>
      </c>
      <c r="BK222" s="3609"/>
      <c r="BL222" s="3609"/>
      <c r="BM222" s="3609"/>
      <c r="BN222" s="3609"/>
      <c r="BO222" s="3609"/>
      <c r="BP222" s="3609"/>
      <c r="BQ222" s="3609"/>
      <c r="BR222" s="3609"/>
      <c r="BS222" s="3609"/>
      <c r="BT222" s="3609"/>
      <c r="BU222" s="3609"/>
      <c r="BV222" s="3609"/>
      <c r="BW222" s="3609"/>
      <c r="BX222" s="3609"/>
      <c r="BY222" s="3609"/>
      <c r="BZ222" s="3609"/>
      <c r="CA222" s="3609"/>
      <c r="CB222" s="3609"/>
      <c r="CC222" s="3609"/>
      <c r="CD222" s="3609"/>
      <c r="CE222" s="3609"/>
      <c r="CF222" s="3613">
        <f t="shared" si="71"/>
        <v>11.2</v>
      </c>
    </row>
    <row r="223" spans="1:84" ht="37.5" customHeight="1">
      <c r="A223" s="473" t="s">
        <v>869</v>
      </c>
      <c r="B223" s="586" t="s">
        <v>874</v>
      </c>
      <c r="C223" s="586" t="s">
        <v>875</v>
      </c>
      <c r="D223" s="1699" t="s">
        <v>85</v>
      </c>
      <c r="E223" s="1699" t="s">
        <v>85</v>
      </c>
      <c r="F223" s="1075" t="s">
        <v>126</v>
      </c>
      <c r="G223" s="324">
        <v>1</v>
      </c>
      <c r="H223" s="243">
        <v>60000</v>
      </c>
      <c r="I223" s="2261">
        <f t="shared" si="79"/>
        <v>0.6</v>
      </c>
      <c r="J223" s="243">
        <v>12</v>
      </c>
      <c r="K223" s="1472">
        <f t="shared" si="80"/>
        <v>7.1999999999999993</v>
      </c>
      <c r="L223" s="2566" t="s">
        <v>5500</v>
      </c>
      <c r="M223" s="2263">
        <f>'Ab1. RMNCH+A'!Q1039</f>
        <v>0</v>
      </c>
      <c r="N223" s="3657">
        <v>7.2</v>
      </c>
      <c r="O223" s="3661"/>
      <c r="P223" s="3661"/>
      <c r="Q223" s="3661"/>
      <c r="R223" s="3661"/>
      <c r="S223" s="3661"/>
      <c r="T223" s="3661"/>
      <c r="U223" s="3661"/>
      <c r="V223" s="3661"/>
      <c r="W223" s="3661"/>
      <c r="X223" s="3661"/>
      <c r="Y223" s="3661"/>
      <c r="Z223" s="3661"/>
      <c r="AA223" s="3661"/>
      <c r="AB223" s="3661"/>
      <c r="AC223" s="3661"/>
      <c r="AD223" s="3661"/>
      <c r="AE223" s="3661"/>
      <c r="AF223" s="3661"/>
      <c r="AG223" s="3661"/>
      <c r="AH223" s="3661"/>
      <c r="AI223" s="3661"/>
      <c r="AJ223" s="3661"/>
      <c r="AK223" s="3661"/>
      <c r="AL223" s="3661"/>
      <c r="AM223" s="3661"/>
      <c r="AN223" s="3661"/>
      <c r="AO223" s="3661"/>
      <c r="AP223" s="3661"/>
      <c r="AQ223" s="3661"/>
      <c r="AR223" s="3661"/>
      <c r="AS223" s="3661"/>
      <c r="AT223" s="3661"/>
      <c r="AU223" s="3661"/>
      <c r="AV223" s="3661"/>
      <c r="AW223" s="3661"/>
      <c r="AX223" s="3609"/>
      <c r="AY223" s="3609">
        <v>0.6</v>
      </c>
      <c r="AZ223" s="3609">
        <v>0.6</v>
      </c>
      <c r="BA223" s="3609">
        <v>0.6</v>
      </c>
      <c r="BB223" s="3609">
        <v>0.9</v>
      </c>
      <c r="BC223" s="3609">
        <v>0.4</v>
      </c>
      <c r="BD223" s="3609">
        <v>0.6</v>
      </c>
      <c r="BE223" s="3609">
        <v>0.3</v>
      </c>
      <c r="BF223" s="3609">
        <v>0.8</v>
      </c>
      <c r="BG223" s="3609">
        <v>0.6</v>
      </c>
      <c r="BH223" s="3609">
        <v>0.6</v>
      </c>
      <c r="BI223" s="3609">
        <v>0.6</v>
      </c>
      <c r="BJ223" s="3609">
        <v>0.6</v>
      </c>
      <c r="BK223" s="3609"/>
      <c r="BL223" s="3609"/>
      <c r="BM223" s="3609"/>
      <c r="BN223" s="3609"/>
      <c r="BO223" s="3609"/>
      <c r="BP223" s="3609"/>
      <c r="BQ223" s="3609"/>
      <c r="BR223" s="3609"/>
      <c r="BS223" s="3609"/>
      <c r="BT223" s="3609"/>
      <c r="BU223" s="3609"/>
      <c r="BV223" s="3609"/>
      <c r="BW223" s="3609"/>
      <c r="BX223" s="3609"/>
      <c r="BY223" s="3609"/>
      <c r="BZ223" s="3609"/>
      <c r="CA223" s="3609"/>
      <c r="CB223" s="3609"/>
      <c r="CC223" s="3609"/>
      <c r="CD223" s="3609"/>
      <c r="CE223" s="3609"/>
      <c r="CF223" s="3613">
        <f t="shared" si="71"/>
        <v>7.1999999999999984</v>
      </c>
    </row>
    <row r="224" spans="1:84" ht="37.5" customHeight="1">
      <c r="A224" s="473" t="s">
        <v>2381</v>
      </c>
      <c r="B224" s="586"/>
      <c r="C224" s="586" t="s">
        <v>2386</v>
      </c>
      <c r="D224" s="1699" t="s">
        <v>85</v>
      </c>
      <c r="E224" s="1699" t="s">
        <v>85</v>
      </c>
      <c r="F224" s="1075" t="s">
        <v>126</v>
      </c>
      <c r="G224" s="324">
        <v>1</v>
      </c>
      <c r="H224" s="243">
        <v>350000</v>
      </c>
      <c r="I224" s="2261">
        <f t="shared" si="79"/>
        <v>3.5</v>
      </c>
      <c r="J224" s="243">
        <v>4</v>
      </c>
      <c r="K224" s="1472">
        <f t="shared" si="80"/>
        <v>14</v>
      </c>
      <c r="L224" s="719" t="s">
        <v>5376</v>
      </c>
      <c r="M224" s="2263">
        <f>'Ab1. RMNCH+A'!Q1042</f>
        <v>0</v>
      </c>
      <c r="N224" s="3657">
        <v>14</v>
      </c>
      <c r="O224" s="3661"/>
      <c r="P224" s="3661"/>
      <c r="Q224" s="3661"/>
      <c r="R224" s="3661"/>
      <c r="S224" s="3661"/>
      <c r="T224" s="3661"/>
      <c r="U224" s="3661"/>
      <c r="V224" s="3661"/>
      <c r="W224" s="3661"/>
      <c r="X224" s="3661"/>
      <c r="Y224" s="3661"/>
      <c r="Z224" s="3661"/>
      <c r="AA224" s="3661"/>
      <c r="AB224" s="3661"/>
      <c r="AC224" s="3661"/>
      <c r="AD224" s="3661"/>
      <c r="AE224" s="3661"/>
      <c r="AF224" s="3661"/>
      <c r="AG224" s="3661"/>
      <c r="AH224" s="3661"/>
      <c r="AI224" s="3661"/>
      <c r="AJ224" s="3661"/>
      <c r="AK224" s="3661"/>
      <c r="AL224" s="3661"/>
      <c r="AM224" s="3661"/>
      <c r="AN224" s="3661"/>
      <c r="AO224" s="3661"/>
      <c r="AP224" s="3661"/>
      <c r="AQ224" s="3661"/>
      <c r="AR224" s="3661"/>
      <c r="AS224" s="3661"/>
      <c r="AT224" s="3661"/>
      <c r="AU224" s="3661"/>
      <c r="AV224" s="3661"/>
      <c r="AW224" s="3661"/>
      <c r="AX224" s="3609">
        <v>1.6</v>
      </c>
      <c r="AY224" s="3609">
        <v>1</v>
      </c>
      <c r="AZ224" s="3609">
        <v>1</v>
      </c>
      <c r="BA224" s="3609">
        <v>1</v>
      </c>
      <c r="BB224" s="3609">
        <v>2</v>
      </c>
      <c r="BC224" s="3609">
        <v>0.4</v>
      </c>
      <c r="BD224" s="3609"/>
      <c r="BE224" s="3609"/>
      <c r="BF224" s="3609">
        <v>2</v>
      </c>
      <c r="BG224" s="3609">
        <v>2</v>
      </c>
      <c r="BH224" s="3609">
        <v>1</v>
      </c>
      <c r="BI224" s="3609">
        <v>1</v>
      </c>
      <c r="BJ224" s="3609">
        <v>1</v>
      </c>
      <c r="BK224" s="3609"/>
      <c r="BL224" s="3609"/>
      <c r="BM224" s="3609"/>
      <c r="BN224" s="3609"/>
      <c r="BO224" s="3609"/>
      <c r="BP224" s="3609"/>
      <c r="BQ224" s="3609"/>
      <c r="BR224" s="3609"/>
      <c r="BS224" s="3609"/>
      <c r="BT224" s="3609"/>
      <c r="BU224" s="3609"/>
      <c r="BV224" s="3609"/>
      <c r="BW224" s="3609"/>
      <c r="BX224" s="3609"/>
      <c r="BY224" s="3609"/>
      <c r="BZ224" s="3609"/>
      <c r="CA224" s="3609"/>
      <c r="CB224" s="3609"/>
      <c r="CC224" s="3609"/>
      <c r="CD224" s="3609"/>
      <c r="CE224" s="3609"/>
      <c r="CF224" s="3613">
        <f t="shared" si="71"/>
        <v>14</v>
      </c>
    </row>
    <row r="225" spans="1:84" ht="37.5" customHeight="1">
      <c r="A225" s="2567" t="s">
        <v>3258</v>
      </c>
      <c r="B225" s="586"/>
      <c r="C225" s="3507" t="s">
        <v>4224</v>
      </c>
      <c r="D225" s="1699" t="s">
        <v>85</v>
      </c>
      <c r="E225" s="1699" t="s">
        <v>85</v>
      </c>
      <c r="F225" s="1075" t="s">
        <v>126</v>
      </c>
      <c r="G225" s="324">
        <v>1</v>
      </c>
      <c r="H225" s="243">
        <v>100000</v>
      </c>
      <c r="I225" s="2261">
        <f t="shared" si="79"/>
        <v>1</v>
      </c>
      <c r="J225" s="243">
        <v>5</v>
      </c>
      <c r="K225" s="1472">
        <f>I225*J225</f>
        <v>5</v>
      </c>
      <c r="L225" s="2570" t="s">
        <v>5377</v>
      </c>
      <c r="M225" s="2263">
        <f>'Ab1. RMNCH+A'!Q1044</f>
        <v>0</v>
      </c>
      <c r="N225" s="3657">
        <v>5</v>
      </c>
      <c r="O225" s="3661"/>
      <c r="P225" s="3661"/>
      <c r="Q225" s="3661"/>
      <c r="R225" s="3661"/>
      <c r="S225" s="3661"/>
      <c r="T225" s="3661"/>
      <c r="U225" s="3661"/>
      <c r="V225" s="3661"/>
      <c r="W225" s="3661"/>
      <c r="X225" s="3661"/>
      <c r="Y225" s="3661"/>
      <c r="Z225" s="3661"/>
      <c r="AA225" s="3661"/>
      <c r="AB225" s="3661"/>
      <c r="AC225" s="3661"/>
      <c r="AD225" s="3661"/>
      <c r="AE225" s="3661"/>
      <c r="AF225" s="3661"/>
      <c r="AG225" s="3661"/>
      <c r="AH225" s="3661"/>
      <c r="AI225" s="3661"/>
      <c r="AJ225" s="3661"/>
      <c r="AK225" s="3661"/>
      <c r="AL225" s="3661"/>
      <c r="AM225" s="3661"/>
      <c r="AN225" s="3661"/>
      <c r="AO225" s="3661"/>
      <c r="AP225" s="3661"/>
      <c r="AQ225" s="3661"/>
      <c r="AR225" s="3661"/>
      <c r="AS225" s="3661"/>
      <c r="AT225" s="3661"/>
      <c r="AU225" s="3661"/>
      <c r="AV225" s="3661"/>
      <c r="AW225" s="3661"/>
      <c r="AX225" s="3609">
        <v>1</v>
      </c>
      <c r="AY225" s="3609"/>
      <c r="AZ225" s="3609">
        <v>1</v>
      </c>
      <c r="BA225" s="3609"/>
      <c r="BB225" s="3609">
        <v>1</v>
      </c>
      <c r="BC225" s="3609"/>
      <c r="BD225" s="3609"/>
      <c r="BE225" s="3609"/>
      <c r="BF225" s="3609"/>
      <c r="BG225" s="3609"/>
      <c r="BH225" s="3609">
        <v>1</v>
      </c>
      <c r="BI225" s="3609">
        <v>1</v>
      </c>
      <c r="BJ225" s="3609"/>
      <c r="BK225" s="3609"/>
      <c r="BL225" s="3609"/>
      <c r="BM225" s="3609"/>
      <c r="BN225" s="3609"/>
      <c r="BO225" s="3609"/>
      <c r="BP225" s="3609"/>
      <c r="BQ225" s="3609"/>
      <c r="BR225" s="3609"/>
      <c r="BS225" s="3609"/>
      <c r="BT225" s="3609"/>
      <c r="BU225" s="3609"/>
      <c r="BV225" s="3609"/>
      <c r="BW225" s="3609"/>
      <c r="BX225" s="3609"/>
      <c r="BY225" s="3609"/>
      <c r="BZ225" s="3609"/>
      <c r="CA225" s="3609"/>
      <c r="CB225" s="3609"/>
      <c r="CC225" s="3609"/>
      <c r="CD225" s="3609"/>
      <c r="CE225" s="3609"/>
      <c r="CF225" s="3613">
        <f t="shared" si="71"/>
        <v>5</v>
      </c>
    </row>
    <row r="226" spans="1:84" ht="37.5" customHeight="1">
      <c r="A226" s="473" t="s">
        <v>878</v>
      </c>
      <c r="B226" s="586" t="s">
        <v>221</v>
      </c>
      <c r="C226" s="521" t="s">
        <v>2400</v>
      </c>
      <c r="D226" s="1699" t="s">
        <v>85</v>
      </c>
      <c r="E226" s="1699" t="s">
        <v>85</v>
      </c>
      <c r="F226" s="1075" t="s">
        <v>86</v>
      </c>
      <c r="G226" s="414">
        <v>1</v>
      </c>
      <c r="H226" s="2504">
        <v>62445</v>
      </c>
      <c r="I226" s="2261">
        <f t="shared" ref="I226:I227" si="81">H226/100000</f>
        <v>0.62444999999999995</v>
      </c>
      <c r="J226" s="283">
        <v>5</v>
      </c>
      <c r="K226" s="1472">
        <f t="shared" ref="K226:K227" si="82">I226*J226</f>
        <v>3.1222499999999997</v>
      </c>
      <c r="L226" s="2560" t="s">
        <v>5330</v>
      </c>
      <c r="M226" s="2263">
        <f>'Ab1. RMNCH+A'!Q1116</f>
        <v>0</v>
      </c>
      <c r="N226" s="3657">
        <v>3.12</v>
      </c>
      <c r="O226" s="3668"/>
      <c r="P226" s="3668"/>
      <c r="Q226" s="3668"/>
      <c r="R226" s="3668"/>
      <c r="S226" s="3668"/>
      <c r="T226" s="3668"/>
      <c r="U226" s="3668"/>
      <c r="V226" s="3668"/>
      <c r="W226" s="3668"/>
      <c r="X226" s="3668"/>
      <c r="Y226" s="3668"/>
      <c r="Z226" s="3668"/>
      <c r="AA226" s="3668"/>
      <c r="AB226" s="3668"/>
      <c r="AC226" s="3668"/>
      <c r="AD226" s="3668"/>
      <c r="AE226" s="3668"/>
      <c r="AF226" s="3668"/>
      <c r="AG226" s="3668"/>
      <c r="AH226" s="3668"/>
      <c r="AI226" s="3668"/>
      <c r="AJ226" s="3668"/>
      <c r="AK226" s="3668"/>
      <c r="AL226" s="3668"/>
      <c r="AM226" s="3668"/>
      <c r="AN226" s="3668"/>
      <c r="AO226" s="3668"/>
      <c r="AP226" s="3668"/>
      <c r="AQ226" s="3668"/>
      <c r="AR226" s="3668"/>
      <c r="AS226" s="3668"/>
      <c r="AT226" s="3668"/>
      <c r="AU226" s="3668"/>
      <c r="AV226" s="3668"/>
      <c r="AW226" s="3668"/>
      <c r="AX226" s="3614"/>
      <c r="AY226" s="3614">
        <v>0.15</v>
      </c>
      <c r="AZ226" s="3614">
        <v>0.15</v>
      </c>
      <c r="BA226" s="3614">
        <v>0.15</v>
      </c>
      <c r="BB226" s="3614">
        <v>0.37</v>
      </c>
      <c r="BC226" s="3614">
        <v>0.1</v>
      </c>
      <c r="BD226" s="3614">
        <v>0.2</v>
      </c>
      <c r="BE226" s="3614">
        <v>0.1</v>
      </c>
      <c r="BF226" s="3614">
        <v>0.35</v>
      </c>
      <c r="BG226" s="3614">
        <v>0.3</v>
      </c>
      <c r="BH226" s="3614">
        <v>0.15</v>
      </c>
      <c r="BI226" s="3614">
        <v>0.15</v>
      </c>
      <c r="BJ226" s="3614">
        <v>0.15</v>
      </c>
      <c r="BK226" s="3614"/>
      <c r="BL226" s="3614"/>
      <c r="BM226" s="3614"/>
      <c r="BN226" s="3614"/>
      <c r="BO226" s="3614"/>
      <c r="BP226" s="3614"/>
      <c r="BQ226" s="3614">
        <v>0.8</v>
      </c>
      <c r="BR226" s="3614"/>
      <c r="BS226" s="3614"/>
      <c r="BT226" s="3614"/>
      <c r="BU226" s="3614"/>
      <c r="BV226" s="3614"/>
      <c r="BW226" s="3614"/>
      <c r="BX226" s="3614"/>
      <c r="BY226" s="3614"/>
      <c r="BZ226" s="3614"/>
      <c r="CA226" s="3614"/>
      <c r="CB226" s="3614"/>
      <c r="CC226" s="3614"/>
      <c r="CD226" s="3614"/>
      <c r="CE226" s="3614"/>
      <c r="CF226" s="3613">
        <f t="shared" si="71"/>
        <v>3.12</v>
      </c>
    </row>
    <row r="227" spans="1:84" ht="37.5" customHeight="1">
      <c r="A227" s="473" t="s">
        <v>886</v>
      </c>
      <c r="B227" s="586" t="s">
        <v>890</v>
      </c>
      <c r="C227" s="586" t="s">
        <v>891</v>
      </c>
      <c r="D227" s="1699" t="s">
        <v>85</v>
      </c>
      <c r="E227" s="1699" t="s">
        <v>85</v>
      </c>
      <c r="F227" s="1075" t="s">
        <v>86</v>
      </c>
      <c r="G227" s="634">
        <v>1</v>
      </c>
      <c r="H227" s="2504">
        <v>223850</v>
      </c>
      <c r="I227" s="2261">
        <f t="shared" si="81"/>
        <v>2.2385000000000002</v>
      </c>
      <c r="J227" s="283">
        <v>2</v>
      </c>
      <c r="K227" s="1472">
        <f t="shared" si="82"/>
        <v>4.4770000000000003</v>
      </c>
      <c r="L227" s="2560" t="s">
        <v>5331</v>
      </c>
      <c r="M227" s="2263">
        <f>'Ab1. RMNCH+A'!Q1120</f>
        <v>0</v>
      </c>
      <c r="N227" s="3657">
        <v>1</v>
      </c>
      <c r="O227" s="3661"/>
      <c r="P227" s="3661"/>
      <c r="Q227" s="3661"/>
      <c r="R227" s="3661"/>
      <c r="S227" s="3661"/>
      <c r="T227" s="3661"/>
      <c r="U227" s="3661"/>
      <c r="V227" s="3661"/>
      <c r="W227" s="3661"/>
      <c r="X227" s="3661"/>
      <c r="Y227" s="3661"/>
      <c r="Z227" s="3661"/>
      <c r="AA227" s="3661"/>
      <c r="AB227" s="3661"/>
      <c r="AC227" s="3661"/>
      <c r="AD227" s="3661"/>
      <c r="AE227" s="3661"/>
      <c r="AF227" s="3661"/>
      <c r="AG227" s="3661"/>
      <c r="AH227" s="3661"/>
      <c r="AI227" s="3661"/>
      <c r="AJ227" s="3661"/>
      <c r="AK227" s="3661"/>
      <c r="AL227" s="3661"/>
      <c r="AM227" s="3661"/>
      <c r="AN227" s="3661"/>
      <c r="AO227" s="3661"/>
      <c r="AP227" s="3661"/>
      <c r="AQ227" s="3661"/>
      <c r="AR227" s="3661"/>
      <c r="AS227" s="3661"/>
      <c r="AT227" s="3661"/>
      <c r="AU227" s="3661"/>
      <c r="AV227" s="3661"/>
      <c r="AW227" s="3661"/>
      <c r="AX227" s="3609"/>
      <c r="AY227" s="3609"/>
      <c r="AZ227" s="3609"/>
      <c r="BA227" s="3609"/>
      <c r="BB227" s="3609"/>
      <c r="BC227" s="3609"/>
      <c r="BD227" s="3609"/>
      <c r="BE227" s="3609"/>
      <c r="BF227" s="3609"/>
      <c r="BG227" s="3609"/>
      <c r="BH227" s="3609"/>
      <c r="BI227" s="3609"/>
      <c r="BJ227" s="3609"/>
      <c r="BK227" s="3609">
        <v>0.5</v>
      </c>
      <c r="BL227" s="3609"/>
      <c r="BM227" s="3609"/>
      <c r="BN227" s="3609"/>
      <c r="BO227" s="3609"/>
      <c r="BP227" s="3609"/>
      <c r="BQ227" s="3609"/>
      <c r="BR227" s="3609"/>
      <c r="BS227" s="3609"/>
      <c r="BT227" s="3609"/>
      <c r="BU227" s="3609"/>
      <c r="BV227" s="3609">
        <v>0.5</v>
      </c>
      <c r="BW227" s="3609"/>
      <c r="BX227" s="3609"/>
      <c r="BY227" s="3609"/>
      <c r="BZ227" s="3609"/>
      <c r="CA227" s="3609"/>
      <c r="CB227" s="3609"/>
      <c r="CC227" s="3609"/>
      <c r="CD227" s="3609"/>
      <c r="CE227" s="3609"/>
      <c r="CF227" s="3613">
        <f t="shared" si="71"/>
        <v>1</v>
      </c>
    </row>
    <row r="228" spans="1:84" ht="37.5" customHeight="1">
      <c r="A228" s="473" t="s">
        <v>950</v>
      </c>
      <c r="B228" s="586" t="s">
        <v>951</v>
      </c>
      <c r="C228" s="521" t="s">
        <v>952</v>
      </c>
      <c r="D228" s="1699" t="s">
        <v>85</v>
      </c>
      <c r="E228" s="1699" t="s">
        <v>85</v>
      </c>
      <c r="F228" s="1075" t="s">
        <v>188</v>
      </c>
      <c r="G228" s="286"/>
      <c r="H228" s="2459">
        <v>200000</v>
      </c>
      <c r="I228" s="2261">
        <f t="shared" ref="I228:I235" si="83">H228/100000</f>
        <v>2</v>
      </c>
      <c r="J228" s="283">
        <v>1</v>
      </c>
      <c r="K228" s="1472">
        <f t="shared" ref="K228:K235" si="84">I228*J228</f>
        <v>2</v>
      </c>
      <c r="L228" s="2460" t="s">
        <v>5235</v>
      </c>
      <c r="M228" s="2263">
        <f>'Ab1. RMNCH+A'!Q1187</f>
        <v>0</v>
      </c>
      <c r="N228" s="3657">
        <v>2</v>
      </c>
      <c r="O228" s="3668"/>
      <c r="P228" s="3668"/>
      <c r="Q228" s="3668"/>
      <c r="R228" s="3668"/>
      <c r="S228" s="3668"/>
      <c r="T228" s="3668"/>
      <c r="U228" s="3668"/>
      <c r="V228" s="3668"/>
      <c r="W228" s="3668"/>
      <c r="X228" s="3668"/>
      <c r="Y228" s="3668"/>
      <c r="Z228" s="3668"/>
      <c r="AA228" s="3668"/>
      <c r="AB228" s="3668"/>
      <c r="AC228" s="3668"/>
      <c r="AD228" s="3668"/>
      <c r="AE228" s="3668"/>
      <c r="AF228" s="3668"/>
      <c r="AG228" s="3668"/>
      <c r="AH228" s="3668"/>
      <c r="AI228" s="3668"/>
      <c r="AJ228" s="3668"/>
      <c r="AK228" s="3668"/>
      <c r="AL228" s="3668"/>
      <c r="AM228" s="3668"/>
      <c r="AN228" s="3668"/>
      <c r="AO228" s="3668"/>
      <c r="AP228" s="3668"/>
      <c r="AQ228" s="3668"/>
      <c r="AR228" s="3668"/>
      <c r="AS228" s="3668"/>
      <c r="AT228" s="3668"/>
      <c r="AU228" s="3668"/>
      <c r="AV228" s="3668"/>
      <c r="AW228" s="3668"/>
      <c r="AX228" s="3615">
        <v>2</v>
      </c>
      <c r="AY228" s="3614"/>
      <c r="AZ228" s="3614"/>
      <c r="BA228" s="3614"/>
      <c r="BB228" s="3614"/>
      <c r="BC228" s="3614"/>
      <c r="BD228" s="3614"/>
      <c r="BE228" s="3614"/>
      <c r="BF228" s="3614"/>
      <c r="BG228" s="3614"/>
      <c r="BH228" s="3614"/>
      <c r="BI228" s="3614"/>
      <c r="BJ228" s="3614"/>
      <c r="BK228" s="3614"/>
      <c r="BL228" s="3614"/>
      <c r="BM228" s="3614"/>
      <c r="BN228" s="3614"/>
      <c r="BO228" s="3614"/>
      <c r="BP228" s="3614"/>
      <c r="BQ228" s="3614"/>
      <c r="BR228" s="3614"/>
      <c r="BS228" s="3614"/>
      <c r="BT228" s="3614"/>
      <c r="BU228" s="3614"/>
      <c r="BV228" s="3614"/>
      <c r="BW228" s="3614"/>
      <c r="BX228" s="3614"/>
      <c r="BY228" s="3614"/>
      <c r="BZ228" s="3614"/>
      <c r="CA228" s="3614"/>
      <c r="CB228" s="3614"/>
      <c r="CC228" s="3614"/>
      <c r="CD228" s="3614"/>
      <c r="CE228" s="3614"/>
      <c r="CF228" s="3613">
        <f t="shared" si="71"/>
        <v>2</v>
      </c>
    </row>
    <row r="229" spans="1:84" ht="37.5" customHeight="1">
      <c r="A229" s="473" t="s">
        <v>956</v>
      </c>
      <c r="B229" s="586" t="s">
        <v>957</v>
      </c>
      <c r="C229" s="586" t="s">
        <v>958</v>
      </c>
      <c r="D229" s="1699" t="s">
        <v>85</v>
      </c>
      <c r="E229" s="1699" t="s">
        <v>85</v>
      </c>
      <c r="F229" s="1075" t="s">
        <v>188</v>
      </c>
      <c r="G229" s="285"/>
      <c r="H229" s="2459">
        <v>255200</v>
      </c>
      <c r="I229" s="2261">
        <f t="shared" si="83"/>
        <v>2.552</v>
      </c>
      <c r="J229" s="283">
        <v>1</v>
      </c>
      <c r="K229" s="1472">
        <f t="shared" si="84"/>
        <v>2.552</v>
      </c>
      <c r="L229" s="2460" t="s">
        <v>5236</v>
      </c>
      <c r="M229" s="2263">
        <f>'Ab1. RMNCH+A'!Q1189</f>
        <v>0</v>
      </c>
      <c r="N229" s="3657">
        <v>2.5499999999999998</v>
      </c>
      <c r="O229" s="3661"/>
      <c r="P229" s="3661"/>
      <c r="Q229" s="3661"/>
      <c r="R229" s="3661"/>
      <c r="S229" s="3661"/>
      <c r="T229" s="3661"/>
      <c r="U229" s="3661"/>
      <c r="V229" s="3661"/>
      <c r="W229" s="3661"/>
      <c r="X229" s="3661"/>
      <c r="Y229" s="3661"/>
      <c r="Z229" s="3661"/>
      <c r="AA229" s="3661"/>
      <c r="AB229" s="3661"/>
      <c r="AC229" s="3661"/>
      <c r="AD229" s="3661"/>
      <c r="AE229" s="3661"/>
      <c r="AF229" s="3661"/>
      <c r="AG229" s="3661"/>
      <c r="AH229" s="3661"/>
      <c r="AI229" s="3661"/>
      <c r="AJ229" s="3661"/>
      <c r="AK229" s="3661"/>
      <c r="AL229" s="3661"/>
      <c r="AM229" s="3661"/>
      <c r="AN229" s="3661"/>
      <c r="AO229" s="3661"/>
      <c r="AP229" s="3661"/>
      <c r="AQ229" s="3661"/>
      <c r="AR229" s="3661"/>
      <c r="AS229" s="3661"/>
      <c r="AT229" s="3661"/>
      <c r="AU229" s="3661"/>
      <c r="AV229" s="3661"/>
      <c r="AW229" s="3661"/>
      <c r="AX229" s="3609">
        <v>2.5499999999999998</v>
      </c>
      <c r="AY229" s="3609"/>
      <c r="AZ229" s="3609"/>
      <c r="BA229" s="3609"/>
      <c r="BB229" s="3609"/>
      <c r="BC229" s="3609"/>
      <c r="BD229" s="3609"/>
      <c r="BE229" s="3609"/>
      <c r="BF229" s="3609"/>
      <c r="BG229" s="3609"/>
      <c r="BH229" s="3609"/>
      <c r="BI229" s="3609"/>
      <c r="BJ229" s="3609"/>
      <c r="BK229" s="3609"/>
      <c r="BL229" s="3609"/>
      <c r="BM229" s="3609"/>
      <c r="BN229" s="3609"/>
      <c r="BO229" s="3609"/>
      <c r="BP229" s="3609"/>
      <c r="BQ229" s="3609"/>
      <c r="BR229" s="3609"/>
      <c r="BS229" s="3609"/>
      <c r="BT229" s="3609"/>
      <c r="BU229" s="3609"/>
      <c r="BV229" s="3609"/>
      <c r="BW229" s="3609"/>
      <c r="BX229" s="3609"/>
      <c r="BY229" s="3609"/>
      <c r="BZ229" s="3609"/>
      <c r="CA229" s="3609"/>
      <c r="CB229" s="3609"/>
      <c r="CC229" s="3609"/>
      <c r="CD229" s="3609"/>
      <c r="CE229" s="3609"/>
      <c r="CF229" s="3613">
        <f t="shared" si="71"/>
        <v>2.5499999999999998</v>
      </c>
    </row>
    <row r="230" spans="1:84" ht="37.5" customHeight="1">
      <c r="A230" s="473" t="s">
        <v>959</v>
      </c>
      <c r="B230" s="586" t="s">
        <v>960</v>
      </c>
      <c r="C230" s="586" t="s">
        <v>2408</v>
      </c>
      <c r="D230" s="1699" t="s">
        <v>85</v>
      </c>
      <c r="E230" s="1699" t="s">
        <v>85</v>
      </c>
      <c r="F230" s="1075" t="s">
        <v>188</v>
      </c>
      <c r="G230" s="285"/>
      <c r="H230" s="2459">
        <v>200000</v>
      </c>
      <c r="I230" s="2261">
        <f t="shared" si="83"/>
        <v>2</v>
      </c>
      <c r="J230" s="283">
        <v>6</v>
      </c>
      <c r="K230" s="1472">
        <f t="shared" si="84"/>
        <v>12</v>
      </c>
      <c r="L230" s="2463" t="s">
        <v>5237</v>
      </c>
      <c r="M230" s="2263">
        <f>'Ab1. RMNCH+A'!Q1190</f>
        <v>0</v>
      </c>
      <c r="N230" s="3657">
        <v>12</v>
      </c>
      <c r="O230" s="3661"/>
      <c r="P230" s="3661"/>
      <c r="Q230" s="3661"/>
      <c r="R230" s="3661"/>
      <c r="S230" s="3661"/>
      <c r="T230" s="3661"/>
      <c r="U230" s="3661"/>
      <c r="V230" s="3661"/>
      <c r="W230" s="3661"/>
      <c r="X230" s="3661"/>
      <c r="Y230" s="3661"/>
      <c r="Z230" s="3661"/>
      <c r="AA230" s="3661"/>
      <c r="AB230" s="3661"/>
      <c r="AC230" s="3661"/>
      <c r="AD230" s="3661"/>
      <c r="AE230" s="3661"/>
      <c r="AF230" s="3661"/>
      <c r="AG230" s="3661"/>
      <c r="AH230" s="3661"/>
      <c r="AI230" s="3661"/>
      <c r="AJ230" s="3661"/>
      <c r="AK230" s="3661"/>
      <c r="AL230" s="3661"/>
      <c r="AM230" s="3661"/>
      <c r="AN230" s="3661"/>
      <c r="AO230" s="3661"/>
      <c r="AP230" s="3661"/>
      <c r="AQ230" s="3661"/>
      <c r="AR230" s="3661"/>
      <c r="AS230" s="3661"/>
      <c r="AT230" s="3661"/>
      <c r="AU230" s="3661"/>
      <c r="AV230" s="3661"/>
      <c r="AW230" s="3661"/>
      <c r="AX230" s="3609">
        <v>12</v>
      </c>
      <c r="AY230" s="3609"/>
      <c r="AZ230" s="3609"/>
      <c r="BA230" s="3609"/>
      <c r="BB230" s="3609"/>
      <c r="BC230" s="3609"/>
      <c r="BD230" s="3609"/>
      <c r="BE230" s="3609"/>
      <c r="BF230" s="3609"/>
      <c r="BG230" s="3609"/>
      <c r="BH230" s="3609"/>
      <c r="BI230" s="3609"/>
      <c r="BJ230" s="3609"/>
      <c r="BK230" s="3609"/>
      <c r="BL230" s="3609"/>
      <c r="BM230" s="3609"/>
      <c r="BN230" s="3609"/>
      <c r="BO230" s="3609"/>
      <c r="BP230" s="3609"/>
      <c r="BQ230" s="3609"/>
      <c r="BR230" s="3609"/>
      <c r="BS230" s="3609"/>
      <c r="BT230" s="3609"/>
      <c r="BU230" s="3609"/>
      <c r="BV230" s="3609"/>
      <c r="BW230" s="3609"/>
      <c r="BX230" s="3609"/>
      <c r="BY230" s="3609"/>
      <c r="BZ230" s="3609"/>
      <c r="CA230" s="3609"/>
      <c r="CB230" s="3609"/>
      <c r="CC230" s="3609"/>
      <c r="CD230" s="3609"/>
      <c r="CE230" s="3609"/>
      <c r="CF230" s="3613">
        <f t="shared" si="71"/>
        <v>12</v>
      </c>
    </row>
    <row r="231" spans="1:84" ht="37.5" customHeight="1">
      <c r="A231" s="473" t="s">
        <v>2490</v>
      </c>
      <c r="B231" s="586" t="s">
        <v>962</v>
      </c>
      <c r="C231" s="586" t="s">
        <v>963</v>
      </c>
      <c r="D231" s="1699" t="s">
        <v>85</v>
      </c>
      <c r="E231" s="1699" t="s">
        <v>85</v>
      </c>
      <c r="F231" s="1075" t="s">
        <v>188</v>
      </c>
      <c r="G231" s="421"/>
      <c r="H231" s="2459">
        <v>200000</v>
      </c>
      <c r="I231" s="2261">
        <f t="shared" si="83"/>
        <v>2</v>
      </c>
      <c r="J231" s="283">
        <v>1</v>
      </c>
      <c r="K231" s="1472">
        <f t="shared" si="84"/>
        <v>2</v>
      </c>
      <c r="L231" s="2464" t="s">
        <v>5238</v>
      </c>
      <c r="M231" s="2263">
        <f>'Ab1. RMNCH+A'!Q1191</f>
        <v>0</v>
      </c>
      <c r="N231" s="3657">
        <v>2</v>
      </c>
      <c r="O231" s="3661"/>
      <c r="P231" s="3661"/>
      <c r="Q231" s="3661"/>
      <c r="R231" s="3661"/>
      <c r="S231" s="3661"/>
      <c r="T231" s="3661"/>
      <c r="U231" s="3661"/>
      <c r="V231" s="3661"/>
      <c r="W231" s="3661"/>
      <c r="X231" s="3661"/>
      <c r="Y231" s="3661"/>
      <c r="Z231" s="3661"/>
      <c r="AA231" s="3661"/>
      <c r="AB231" s="3661"/>
      <c r="AC231" s="3661"/>
      <c r="AD231" s="3661"/>
      <c r="AE231" s="3661"/>
      <c r="AF231" s="3661"/>
      <c r="AG231" s="3661"/>
      <c r="AH231" s="3661"/>
      <c r="AI231" s="3661"/>
      <c r="AJ231" s="3661"/>
      <c r="AK231" s="3661"/>
      <c r="AL231" s="3661"/>
      <c r="AM231" s="3661"/>
      <c r="AN231" s="3661"/>
      <c r="AO231" s="3661"/>
      <c r="AP231" s="3661"/>
      <c r="AQ231" s="3661"/>
      <c r="AR231" s="3661"/>
      <c r="AS231" s="3661"/>
      <c r="AT231" s="3661"/>
      <c r="AU231" s="3661"/>
      <c r="AV231" s="3661"/>
      <c r="AW231" s="3661"/>
      <c r="AX231" s="3609">
        <v>2</v>
      </c>
      <c r="AY231" s="3609"/>
      <c r="AZ231" s="3609"/>
      <c r="BA231" s="3609"/>
      <c r="BB231" s="3609"/>
      <c r="BC231" s="3609"/>
      <c r="BD231" s="3609"/>
      <c r="BE231" s="3609"/>
      <c r="BF231" s="3609"/>
      <c r="BG231" s="3609"/>
      <c r="BH231" s="3609"/>
      <c r="BI231" s="3609"/>
      <c r="BJ231" s="3609"/>
      <c r="BK231" s="3609"/>
      <c r="BL231" s="3609"/>
      <c r="BM231" s="3609"/>
      <c r="BN231" s="3609"/>
      <c r="BO231" s="3609"/>
      <c r="BP231" s="3609"/>
      <c r="BQ231" s="3609"/>
      <c r="BR231" s="3609"/>
      <c r="BS231" s="3609"/>
      <c r="BT231" s="3609"/>
      <c r="BU231" s="3609"/>
      <c r="BV231" s="3609"/>
      <c r="BW231" s="3609"/>
      <c r="BX231" s="3609"/>
      <c r="BY231" s="3609"/>
      <c r="BZ231" s="3609"/>
      <c r="CA231" s="3609"/>
      <c r="CB231" s="3609"/>
      <c r="CC231" s="3609"/>
      <c r="CD231" s="3609"/>
      <c r="CE231" s="3609"/>
      <c r="CF231" s="3613">
        <f t="shared" si="71"/>
        <v>2</v>
      </c>
    </row>
    <row r="232" spans="1:84" ht="37.5" customHeight="1">
      <c r="A232" s="473" t="s">
        <v>961</v>
      </c>
      <c r="B232" s="586" t="s">
        <v>965</v>
      </c>
      <c r="C232" s="586" t="s">
        <v>966</v>
      </c>
      <c r="D232" s="1699" t="s">
        <v>85</v>
      </c>
      <c r="E232" s="1699" t="s">
        <v>85</v>
      </c>
      <c r="F232" s="1075" t="s">
        <v>188</v>
      </c>
      <c r="G232" s="2465"/>
      <c r="H232" s="2459">
        <v>200000</v>
      </c>
      <c r="I232" s="2261">
        <f t="shared" si="83"/>
        <v>2</v>
      </c>
      <c r="J232" s="2459">
        <v>1</v>
      </c>
      <c r="K232" s="1472">
        <f t="shared" si="84"/>
        <v>2</v>
      </c>
      <c r="L232" s="2464" t="s">
        <v>5239</v>
      </c>
      <c r="M232" s="2263">
        <f>'Ab1. RMNCH+A'!Q1192</f>
        <v>0</v>
      </c>
      <c r="N232" s="3657">
        <v>2</v>
      </c>
      <c r="O232" s="3661"/>
      <c r="P232" s="3661"/>
      <c r="Q232" s="3661"/>
      <c r="R232" s="3661"/>
      <c r="S232" s="3661"/>
      <c r="T232" s="3661"/>
      <c r="U232" s="3661"/>
      <c r="V232" s="3661"/>
      <c r="W232" s="3661"/>
      <c r="X232" s="3661"/>
      <c r="Y232" s="3661"/>
      <c r="Z232" s="3661"/>
      <c r="AA232" s="3661"/>
      <c r="AB232" s="3661"/>
      <c r="AC232" s="3661"/>
      <c r="AD232" s="3661"/>
      <c r="AE232" s="3661"/>
      <c r="AF232" s="3661"/>
      <c r="AG232" s="3661"/>
      <c r="AH232" s="3661"/>
      <c r="AI232" s="3661"/>
      <c r="AJ232" s="3661"/>
      <c r="AK232" s="3661"/>
      <c r="AL232" s="3661"/>
      <c r="AM232" s="3661"/>
      <c r="AN232" s="3661"/>
      <c r="AO232" s="3661"/>
      <c r="AP232" s="3661"/>
      <c r="AQ232" s="3661"/>
      <c r="AR232" s="3661"/>
      <c r="AS232" s="3661"/>
      <c r="AT232" s="3661"/>
      <c r="AU232" s="3661"/>
      <c r="AV232" s="3661"/>
      <c r="AW232" s="3661"/>
      <c r="AX232" s="3609">
        <v>2</v>
      </c>
      <c r="AY232" s="3609"/>
      <c r="AZ232" s="3609"/>
      <c r="BA232" s="3609"/>
      <c r="BB232" s="3609"/>
      <c r="BC232" s="3609"/>
      <c r="BD232" s="3609"/>
      <c r="BE232" s="3609"/>
      <c r="BF232" s="3609"/>
      <c r="BG232" s="3609"/>
      <c r="BH232" s="3609"/>
      <c r="BI232" s="3609"/>
      <c r="BJ232" s="3609"/>
      <c r="BK232" s="3609"/>
      <c r="BL232" s="3609"/>
      <c r="BM232" s="3609"/>
      <c r="BN232" s="3609"/>
      <c r="BO232" s="3609"/>
      <c r="BP232" s="3609"/>
      <c r="BQ232" s="3609"/>
      <c r="BR232" s="3609"/>
      <c r="BS232" s="3609"/>
      <c r="BT232" s="3609"/>
      <c r="BU232" s="3609"/>
      <c r="BV232" s="3609"/>
      <c r="BW232" s="3609"/>
      <c r="BX232" s="3609"/>
      <c r="BY232" s="3609"/>
      <c r="BZ232" s="3609"/>
      <c r="CA232" s="3609"/>
      <c r="CB232" s="3609"/>
      <c r="CC232" s="3609"/>
      <c r="CD232" s="3609"/>
      <c r="CE232" s="3609"/>
      <c r="CF232" s="3613">
        <f t="shared" si="71"/>
        <v>2</v>
      </c>
    </row>
    <row r="233" spans="1:84" ht="37.5" customHeight="1">
      <c r="A233" s="473" t="s">
        <v>964</v>
      </c>
      <c r="B233" s="586" t="s">
        <v>968</v>
      </c>
      <c r="C233" s="586" t="s">
        <v>969</v>
      </c>
      <c r="D233" s="1699" t="s">
        <v>85</v>
      </c>
      <c r="E233" s="1699" t="s">
        <v>85</v>
      </c>
      <c r="F233" s="1075" t="s">
        <v>188</v>
      </c>
      <c r="G233" s="2465"/>
      <c r="H233" s="2459">
        <v>197000</v>
      </c>
      <c r="I233" s="2261">
        <f t="shared" si="83"/>
        <v>1.97</v>
      </c>
      <c r="J233" s="2459">
        <v>3</v>
      </c>
      <c r="K233" s="1472">
        <f t="shared" si="84"/>
        <v>5.91</v>
      </c>
      <c r="L233" s="2464" t="s">
        <v>5419</v>
      </c>
      <c r="M233" s="2263">
        <f>'Ab1. RMNCH+A'!Q1193</f>
        <v>0</v>
      </c>
      <c r="N233" s="3657">
        <v>5.91</v>
      </c>
      <c r="O233" s="3661"/>
      <c r="P233" s="3661"/>
      <c r="Q233" s="3661"/>
      <c r="R233" s="3661"/>
      <c r="S233" s="3661"/>
      <c r="T233" s="3661"/>
      <c r="U233" s="3661"/>
      <c r="V233" s="3661"/>
      <c r="W233" s="3661"/>
      <c r="X233" s="3661"/>
      <c r="Y233" s="3661"/>
      <c r="Z233" s="3661"/>
      <c r="AA233" s="3661"/>
      <c r="AB233" s="3661"/>
      <c r="AC233" s="3661"/>
      <c r="AD233" s="3661"/>
      <c r="AE233" s="3661"/>
      <c r="AF233" s="3661"/>
      <c r="AG233" s="3661"/>
      <c r="AH233" s="3661"/>
      <c r="AI233" s="3661"/>
      <c r="AJ233" s="3661"/>
      <c r="AK233" s="3661"/>
      <c r="AL233" s="3661"/>
      <c r="AM233" s="3661"/>
      <c r="AN233" s="3661"/>
      <c r="AO233" s="3661"/>
      <c r="AP233" s="3661"/>
      <c r="AQ233" s="3661"/>
      <c r="AR233" s="3661"/>
      <c r="AS233" s="3661"/>
      <c r="AT233" s="3661"/>
      <c r="AU233" s="3661"/>
      <c r="AV233" s="3661"/>
      <c r="AW233" s="3661"/>
      <c r="AX233" s="3609">
        <v>5.91</v>
      </c>
      <c r="AY233" s="3609"/>
      <c r="AZ233" s="3609"/>
      <c r="BA233" s="3609"/>
      <c r="BB233" s="3609"/>
      <c r="BC233" s="3609"/>
      <c r="BD233" s="3609"/>
      <c r="BE233" s="3609"/>
      <c r="BF233" s="3609"/>
      <c r="BG233" s="3609"/>
      <c r="BH233" s="3609"/>
      <c r="BI233" s="3609"/>
      <c r="BJ233" s="3609"/>
      <c r="BK233" s="3609"/>
      <c r="BL233" s="3609"/>
      <c r="BM233" s="3609"/>
      <c r="BN233" s="3609"/>
      <c r="BO233" s="3609"/>
      <c r="BP233" s="3609"/>
      <c r="BQ233" s="3609"/>
      <c r="BR233" s="3609"/>
      <c r="BS233" s="3609"/>
      <c r="BT233" s="3609"/>
      <c r="BU233" s="3609"/>
      <c r="BV233" s="3609"/>
      <c r="BW233" s="3609"/>
      <c r="BX233" s="3609"/>
      <c r="BY233" s="3609"/>
      <c r="BZ233" s="3609"/>
      <c r="CA233" s="3609"/>
      <c r="CB233" s="3609"/>
      <c r="CC233" s="3609"/>
      <c r="CD233" s="3609"/>
      <c r="CE233" s="3609"/>
      <c r="CF233" s="3613">
        <f t="shared" si="71"/>
        <v>5.91</v>
      </c>
    </row>
    <row r="234" spans="1:84" ht="37.5" customHeight="1">
      <c r="A234" s="473" t="s">
        <v>967</v>
      </c>
      <c r="B234" s="586" t="s">
        <v>971</v>
      </c>
      <c r="C234" s="1556" t="s">
        <v>972</v>
      </c>
      <c r="D234" s="1699" t="s">
        <v>85</v>
      </c>
      <c r="E234" s="1699" t="s">
        <v>85</v>
      </c>
      <c r="F234" s="1075" t="s">
        <v>188</v>
      </c>
      <c r="G234" s="2465"/>
      <c r="H234" s="2459">
        <v>70000</v>
      </c>
      <c r="I234" s="2261">
        <f t="shared" si="83"/>
        <v>0.7</v>
      </c>
      <c r="J234" s="2459">
        <v>66</v>
      </c>
      <c r="K234" s="1472">
        <f t="shared" si="84"/>
        <v>46.199999999999996</v>
      </c>
      <c r="L234" s="2464" t="s">
        <v>5240</v>
      </c>
      <c r="M234" s="2263">
        <f>'Ab1. RMNCH+A'!Q1194</f>
        <v>0</v>
      </c>
      <c r="N234" s="3657">
        <v>46.2</v>
      </c>
      <c r="O234" s="3661"/>
      <c r="P234" s="3661"/>
      <c r="Q234" s="3661"/>
      <c r="R234" s="3661"/>
      <c r="S234" s="3661"/>
      <c r="T234" s="3661"/>
      <c r="U234" s="3661"/>
      <c r="V234" s="3661"/>
      <c r="W234" s="3661"/>
      <c r="X234" s="3661"/>
      <c r="Y234" s="3661"/>
      <c r="Z234" s="3661"/>
      <c r="AA234" s="3661"/>
      <c r="AB234" s="3661"/>
      <c r="AC234" s="3661"/>
      <c r="AD234" s="3661"/>
      <c r="AE234" s="3661"/>
      <c r="AF234" s="3661"/>
      <c r="AG234" s="3661"/>
      <c r="AH234" s="3661"/>
      <c r="AI234" s="3661"/>
      <c r="AJ234" s="3661"/>
      <c r="AK234" s="3661"/>
      <c r="AL234" s="3661"/>
      <c r="AM234" s="3661"/>
      <c r="AN234" s="3661"/>
      <c r="AO234" s="3661"/>
      <c r="AP234" s="3661"/>
      <c r="AQ234" s="3661"/>
      <c r="AR234" s="3661"/>
      <c r="AS234" s="3661"/>
      <c r="AT234" s="3661"/>
      <c r="AU234" s="3661"/>
      <c r="AV234" s="3661"/>
      <c r="AW234" s="3661"/>
      <c r="AX234" s="3609">
        <v>46.2</v>
      </c>
      <c r="AY234" s="3609"/>
      <c r="AZ234" s="3609"/>
      <c r="BA234" s="3609"/>
      <c r="BB234" s="3609"/>
      <c r="BC234" s="3609"/>
      <c r="BD234" s="3609"/>
      <c r="BE234" s="3609"/>
      <c r="BF234" s="3609"/>
      <c r="BG234" s="3609"/>
      <c r="BH234" s="3609"/>
      <c r="BI234" s="3609"/>
      <c r="BJ234" s="3609"/>
      <c r="BK234" s="3609"/>
      <c r="BL234" s="3609"/>
      <c r="BM234" s="3609"/>
      <c r="BN234" s="3609"/>
      <c r="BO234" s="3609"/>
      <c r="BP234" s="3609"/>
      <c r="BQ234" s="3609"/>
      <c r="BR234" s="3609"/>
      <c r="BS234" s="3609"/>
      <c r="BT234" s="3609"/>
      <c r="BU234" s="3609"/>
      <c r="BV234" s="3609"/>
      <c r="BW234" s="3609"/>
      <c r="BX234" s="3609"/>
      <c r="BY234" s="3609"/>
      <c r="BZ234" s="3609"/>
      <c r="CA234" s="3609"/>
      <c r="CB234" s="3609"/>
      <c r="CC234" s="3609"/>
      <c r="CD234" s="3609"/>
      <c r="CE234" s="3609"/>
      <c r="CF234" s="3613">
        <f t="shared" si="71"/>
        <v>46.2</v>
      </c>
    </row>
    <row r="235" spans="1:84" ht="37.5" customHeight="1">
      <c r="A235" s="473" t="s">
        <v>973</v>
      </c>
      <c r="B235" s="586" t="s">
        <v>977</v>
      </c>
      <c r="C235" s="586" t="s">
        <v>978</v>
      </c>
      <c r="D235" s="1699" t="s">
        <v>85</v>
      </c>
      <c r="E235" s="1699" t="s">
        <v>85</v>
      </c>
      <c r="F235" s="1075" t="s">
        <v>188</v>
      </c>
      <c r="G235" s="2465"/>
      <c r="H235" s="2459">
        <v>20000</v>
      </c>
      <c r="I235" s="2261">
        <f t="shared" si="83"/>
        <v>0.2</v>
      </c>
      <c r="J235" s="2459">
        <v>75</v>
      </c>
      <c r="K235" s="1472">
        <f t="shared" si="84"/>
        <v>15</v>
      </c>
      <c r="L235" s="2467" t="s">
        <v>5241</v>
      </c>
      <c r="M235" s="2263">
        <f>'Ab1. RMNCH+A'!Q1196</f>
        <v>0</v>
      </c>
      <c r="N235" s="3657">
        <v>15</v>
      </c>
      <c r="O235" s="3661"/>
      <c r="P235" s="3661"/>
      <c r="Q235" s="3661"/>
      <c r="R235" s="3661"/>
      <c r="S235" s="3661"/>
      <c r="T235" s="3661"/>
      <c r="U235" s="3661"/>
      <c r="V235" s="3661"/>
      <c r="W235" s="3661"/>
      <c r="X235" s="3661"/>
      <c r="Y235" s="3661"/>
      <c r="Z235" s="3661"/>
      <c r="AA235" s="3661"/>
      <c r="AB235" s="3661"/>
      <c r="AC235" s="3661"/>
      <c r="AD235" s="3661"/>
      <c r="AE235" s="3661"/>
      <c r="AF235" s="3661"/>
      <c r="AG235" s="3661"/>
      <c r="AH235" s="3661"/>
      <c r="AI235" s="3661"/>
      <c r="AJ235" s="3661"/>
      <c r="AK235" s="3661"/>
      <c r="AL235" s="3661"/>
      <c r="AM235" s="3661"/>
      <c r="AN235" s="3661"/>
      <c r="AO235" s="3661"/>
      <c r="AP235" s="3661"/>
      <c r="AQ235" s="3661"/>
      <c r="AR235" s="3661"/>
      <c r="AS235" s="3661"/>
      <c r="AT235" s="3661"/>
      <c r="AU235" s="3661"/>
      <c r="AV235" s="3661"/>
      <c r="AW235" s="3661"/>
      <c r="AX235" s="3609">
        <v>15</v>
      </c>
      <c r="AY235" s="3609"/>
      <c r="AZ235" s="3609"/>
      <c r="BA235" s="3609"/>
      <c r="BB235" s="3609"/>
      <c r="BC235" s="3609"/>
      <c r="BD235" s="3609"/>
      <c r="BE235" s="3609"/>
      <c r="BF235" s="3609"/>
      <c r="BG235" s="3609"/>
      <c r="BH235" s="3609"/>
      <c r="BI235" s="3609"/>
      <c r="BJ235" s="3609"/>
      <c r="BK235" s="3609"/>
      <c r="BL235" s="3609"/>
      <c r="BM235" s="3609"/>
      <c r="BN235" s="3609"/>
      <c r="BO235" s="3609"/>
      <c r="BP235" s="3609"/>
      <c r="BQ235" s="3609"/>
      <c r="BR235" s="3609"/>
      <c r="BS235" s="3609"/>
      <c r="BT235" s="3609"/>
      <c r="BU235" s="3609"/>
      <c r="BV235" s="3609"/>
      <c r="BW235" s="3609"/>
      <c r="BX235" s="3609"/>
      <c r="BY235" s="3609"/>
      <c r="BZ235" s="3609"/>
      <c r="CA235" s="3609"/>
      <c r="CB235" s="3609"/>
      <c r="CC235" s="3609"/>
      <c r="CD235" s="3609"/>
      <c r="CE235" s="3609"/>
      <c r="CF235" s="3613">
        <f t="shared" si="71"/>
        <v>15</v>
      </c>
    </row>
    <row r="236" spans="1:84" ht="37.5" customHeight="1">
      <c r="A236" s="473" t="s">
        <v>4189</v>
      </c>
      <c r="B236" s="586" t="s">
        <v>1003</v>
      </c>
      <c r="C236" s="586" t="s">
        <v>1004</v>
      </c>
      <c r="D236" s="1699" t="s">
        <v>85</v>
      </c>
      <c r="E236" s="1699" t="s">
        <v>85</v>
      </c>
      <c r="F236" s="1185" t="s">
        <v>188</v>
      </c>
      <c r="G236" s="2465"/>
      <c r="H236" s="2459">
        <v>178860</v>
      </c>
      <c r="I236" s="2261">
        <f t="shared" ref="I236:I241" si="85">H236/100000</f>
        <v>1.7886</v>
      </c>
      <c r="J236" s="283">
        <v>111</v>
      </c>
      <c r="K236" s="1472">
        <f t="shared" ref="K236:K241" si="86">I236*J236</f>
        <v>198.53459999999998</v>
      </c>
      <c r="L236" s="2464" t="s">
        <v>5242</v>
      </c>
      <c r="M236" s="2263">
        <f>'Ab1. RMNCH+A'!Q1200</f>
        <v>0</v>
      </c>
      <c r="N236" s="3657">
        <v>198.53</v>
      </c>
      <c r="O236" s="3661"/>
      <c r="P236" s="3661"/>
      <c r="Q236" s="3661"/>
      <c r="R236" s="3661"/>
      <c r="S236" s="3661"/>
      <c r="T236" s="3661"/>
      <c r="U236" s="3661"/>
      <c r="V236" s="3661"/>
      <c r="W236" s="3661"/>
      <c r="X236" s="3661"/>
      <c r="Y236" s="3661"/>
      <c r="Z236" s="3661"/>
      <c r="AA236" s="3661"/>
      <c r="AB236" s="3661"/>
      <c r="AC236" s="3661"/>
      <c r="AD236" s="3661"/>
      <c r="AE236" s="3661"/>
      <c r="AF236" s="3661"/>
      <c r="AG236" s="3661"/>
      <c r="AH236" s="3661"/>
      <c r="AI236" s="3661"/>
      <c r="AJ236" s="3661"/>
      <c r="AK236" s="3661"/>
      <c r="AL236" s="3661"/>
      <c r="AM236" s="3661"/>
      <c r="AN236" s="3661"/>
      <c r="AO236" s="3661"/>
      <c r="AP236" s="3661"/>
      <c r="AQ236" s="3661"/>
      <c r="AR236" s="3661"/>
      <c r="AS236" s="3661"/>
      <c r="AT236" s="3661"/>
      <c r="AU236" s="3661"/>
      <c r="AV236" s="3661"/>
      <c r="AW236" s="3661"/>
      <c r="AX236" s="3609">
        <v>198.53</v>
      </c>
      <c r="AY236" s="3609"/>
      <c r="AZ236" s="3609"/>
      <c r="BA236" s="3609"/>
      <c r="BB236" s="3609"/>
      <c r="BC236" s="3609"/>
      <c r="BD236" s="3609"/>
      <c r="BE236" s="3609"/>
      <c r="BF236" s="3609"/>
      <c r="BG236" s="3609"/>
      <c r="BH236" s="3609"/>
      <c r="BI236" s="3609"/>
      <c r="BJ236" s="3609"/>
      <c r="BK236" s="3609"/>
      <c r="BL236" s="3609"/>
      <c r="BM236" s="3609"/>
      <c r="BN236" s="3609"/>
      <c r="BO236" s="3609"/>
      <c r="BP236" s="3609"/>
      <c r="BQ236" s="3609"/>
      <c r="BR236" s="3609"/>
      <c r="BS236" s="3609"/>
      <c r="BT236" s="3609"/>
      <c r="BU236" s="3609"/>
      <c r="BV236" s="3609"/>
      <c r="BW236" s="3609"/>
      <c r="BX236" s="3609"/>
      <c r="BY236" s="3609"/>
      <c r="BZ236" s="3609"/>
      <c r="CA236" s="3609"/>
      <c r="CB236" s="3609"/>
      <c r="CC236" s="3609"/>
      <c r="CD236" s="3609"/>
      <c r="CE236" s="3609"/>
      <c r="CF236" s="3613">
        <f t="shared" si="71"/>
        <v>198.53</v>
      </c>
    </row>
    <row r="237" spans="1:84" ht="37.5" customHeight="1">
      <c r="A237" s="473" t="s">
        <v>987</v>
      </c>
      <c r="B237" s="586" t="s">
        <v>988</v>
      </c>
      <c r="C237" s="586" t="s">
        <v>989</v>
      </c>
      <c r="D237" s="1699" t="s">
        <v>85</v>
      </c>
      <c r="E237" s="1699" t="s">
        <v>85</v>
      </c>
      <c r="F237" s="1075" t="s">
        <v>91</v>
      </c>
      <c r="G237" s="324">
        <v>1</v>
      </c>
      <c r="H237" s="243">
        <v>320000</v>
      </c>
      <c r="I237" s="2261">
        <f t="shared" si="85"/>
        <v>3.2</v>
      </c>
      <c r="J237" s="243">
        <v>4</v>
      </c>
      <c r="K237" s="1472">
        <f t="shared" si="86"/>
        <v>12.8</v>
      </c>
      <c r="L237" s="2552" t="s">
        <v>5378</v>
      </c>
      <c r="M237" s="2263">
        <f>'Ab1. RMNCH+A'!Q1238</f>
        <v>0</v>
      </c>
      <c r="N237" s="3657">
        <v>12.8</v>
      </c>
      <c r="O237" s="3661"/>
      <c r="P237" s="3661"/>
      <c r="Q237" s="3661"/>
      <c r="R237" s="3661"/>
      <c r="S237" s="3661"/>
      <c r="T237" s="3661"/>
      <c r="U237" s="3661"/>
      <c r="V237" s="3661"/>
      <c r="W237" s="3661"/>
      <c r="X237" s="3661"/>
      <c r="Y237" s="3661"/>
      <c r="Z237" s="3661"/>
      <c r="AA237" s="3661"/>
      <c r="AB237" s="3661"/>
      <c r="AC237" s="3661"/>
      <c r="AD237" s="3661"/>
      <c r="AE237" s="3661"/>
      <c r="AF237" s="3661"/>
      <c r="AG237" s="3661"/>
      <c r="AH237" s="3661"/>
      <c r="AI237" s="3661"/>
      <c r="AJ237" s="3661"/>
      <c r="AK237" s="3661"/>
      <c r="AL237" s="3661"/>
      <c r="AM237" s="3661"/>
      <c r="AN237" s="3661"/>
      <c r="AO237" s="3661"/>
      <c r="AP237" s="3661"/>
      <c r="AQ237" s="3661"/>
      <c r="AR237" s="3661"/>
      <c r="AS237" s="3661"/>
      <c r="AT237" s="3661"/>
      <c r="AU237" s="3661"/>
      <c r="AV237" s="3661"/>
      <c r="AW237" s="3661"/>
      <c r="AX237" s="3609">
        <v>12.8</v>
      </c>
      <c r="AY237" s="3609"/>
      <c r="AZ237" s="3609"/>
      <c r="BA237" s="3609"/>
      <c r="BB237" s="3609"/>
      <c r="BC237" s="3609"/>
      <c r="BD237" s="3609"/>
      <c r="BE237" s="3609"/>
      <c r="BF237" s="3609"/>
      <c r="BG237" s="3609"/>
      <c r="BH237" s="3609"/>
      <c r="BI237" s="3609"/>
      <c r="BJ237" s="3609"/>
      <c r="BK237" s="3609"/>
      <c r="BL237" s="3609"/>
      <c r="BM237" s="3609"/>
      <c r="BN237" s="3609"/>
      <c r="BO237" s="3609"/>
      <c r="BP237" s="3609"/>
      <c r="BQ237" s="3609"/>
      <c r="BR237" s="3609"/>
      <c r="BS237" s="3609"/>
      <c r="BT237" s="3609"/>
      <c r="BU237" s="3609"/>
      <c r="BV237" s="3609"/>
      <c r="BW237" s="3609"/>
      <c r="BX237" s="3609"/>
      <c r="BY237" s="3609"/>
      <c r="BZ237" s="3609"/>
      <c r="CA237" s="3609"/>
      <c r="CB237" s="3609"/>
      <c r="CC237" s="3609"/>
      <c r="CD237" s="3609"/>
      <c r="CE237" s="3609"/>
      <c r="CF237" s="3613">
        <f t="shared" si="71"/>
        <v>12.8</v>
      </c>
    </row>
    <row r="238" spans="1:84" ht="37.5" customHeight="1">
      <c r="A238" s="473" t="s">
        <v>990</v>
      </c>
      <c r="B238" s="586" t="s">
        <v>991</v>
      </c>
      <c r="C238" s="586" t="s">
        <v>992</v>
      </c>
      <c r="D238" s="1699" t="s">
        <v>85</v>
      </c>
      <c r="E238" s="1699" t="s">
        <v>85</v>
      </c>
      <c r="F238" s="1075" t="s">
        <v>91</v>
      </c>
      <c r="G238" s="324">
        <v>1</v>
      </c>
      <c r="H238" s="243">
        <v>200000</v>
      </c>
      <c r="I238" s="2261">
        <f t="shared" si="85"/>
        <v>2</v>
      </c>
      <c r="J238" s="243">
        <v>1</v>
      </c>
      <c r="K238" s="1472">
        <f t="shared" si="86"/>
        <v>2</v>
      </c>
      <c r="L238" s="719" t="s">
        <v>5379</v>
      </c>
      <c r="M238" s="2263">
        <f>'Ab1. RMNCH+A'!Q1239</f>
        <v>0</v>
      </c>
      <c r="N238" s="3657">
        <v>2</v>
      </c>
      <c r="O238" s="3661"/>
      <c r="P238" s="3661"/>
      <c r="Q238" s="3661"/>
      <c r="R238" s="3661"/>
      <c r="S238" s="3661"/>
      <c r="T238" s="3661"/>
      <c r="U238" s="3661"/>
      <c r="V238" s="3661"/>
      <c r="W238" s="3661"/>
      <c r="X238" s="3661"/>
      <c r="Y238" s="3661"/>
      <c r="Z238" s="3661"/>
      <c r="AA238" s="3661"/>
      <c r="AB238" s="3661"/>
      <c r="AC238" s="3661"/>
      <c r="AD238" s="3661"/>
      <c r="AE238" s="3661"/>
      <c r="AF238" s="3661"/>
      <c r="AG238" s="3661"/>
      <c r="AH238" s="3661"/>
      <c r="AI238" s="3661"/>
      <c r="AJ238" s="3661"/>
      <c r="AK238" s="3661"/>
      <c r="AL238" s="3661"/>
      <c r="AM238" s="3661"/>
      <c r="AN238" s="3661"/>
      <c r="AO238" s="3661"/>
      <c r="AP238" s="3661"/>
      <c r="AQ238" s="3661"/>
      <c r="AR238" s="3661"/>
      <c r="AS238" s="3661"/>
      <c r="AT238" s="3661"/>
      <c r="AU238" s="3661"/>
      <c r="AV238" s="3661"/>
      <c r="AW238" s="3661"/>
      <c r="AX238" s="3609">
        <v>2</v>
      </c>
      <c r="AY238" s="3609"/>
      <c r="AZ238" s="3609"/>
      <c r="BA238" s="3609"/>
      <c r="BB238" s="3609"/>
      <c r="BC238" s="3609"/>
      <c r="BD238" s="3609"/>
      <c r="BE238" s="3609"/>
      <c r="BF238" s="3609"/>
      <c r="BG238" s="3609"/>
      <c r="BH238" s="3609"/>
      <c r="BI238" s="3609"/>
      <c r="BJ238" s="3609"/>
      <c r="BK238" s="3609"/>
      <c r="BL238" s="3609"/>
      <c r="BM238" s="3609"/>
      <c r="BN238" s="3609"/>
      <c r="BO238" s="3609"/>
      <c r="BP238" s="3609"/>
      <c r="BQ238" s="3609"/>
      <c r="BR238" s="3609"/>
      <c r="BS238" s="3609"/>
      <c r="BT238" s="3609"/>
      <c r="BU238" s="3609"/>
      <c r="BV238" s="3609"/>
      <c r="BW238" s="3609"/>
      <c r="BX238" s="3609"/>
      <c r="BY238" s="3609"/>
      <c r="BZ238" s="3609"/>
      <c r="CA238" s="3609"/>
      <c r="CB238" s="3609"/>
      <c r="CC238" s="3609"/>
      <c r="CD238" s="3609"/>
      <c r="CE238" s="3609"/>
      <c r="CF238" s="3613">
        <f t="shared" si="71"/>
        <v>2</v>
      </c>
    </row>
    <row r="239" spans="1:84" ht="37.5" customHeight="1">
      <c r="A239" s="586" t="s">
        <v>1031</v>
      </c>
      <c r="B239" s="586" t="s">
        <v>1032</v>
      </c>
      <c r="C239" s="586" t="s">
        <v>1033</v>
      </c>
      <c r="D239" s="1699" t="s">
        <v>85</v>
      </c>
      <c r="E239" s="1699" t="s">
        <v>200</v>
      </c>
      <c r="F239" s="1075" t="s">
        <v>200</v>
      </c>
      <c r="G239" s="324">
        <v>1</v>
      </c>
      <c r="H239" s="2520">
        <v>375000</v>
      </c>
      <c r="I239" s="2261">
        <f t="shared" si="85"/>
        <v>3.75</v>
      </c>
      <c r="J239" s="283">
        <v>20</v>
      </c>
      <c r="K239" s="1472">
        <f t="shared" si="86"/>
        <v>75</v>
      </c>
      <c r="L239" s="719" t="s">
        <v>5406</v>
      </c>
      <c r="M239" s="2263">
        <f>'Ab1. RMNCH+A'!Q1288</f>
        <v>0</v>
      </c>
      <c r="N239" s="3657">
        <v>75</v>
      </c>
      <c r="O239" s="3661"/>
      <c r="P239" s="3661"/>
      <c r="Q239" s="3661"/>
      <c r="R239" s="3661"/>
      <c r="S239" s="3661"/>
      <c r="T239" s="3661"/>
      <c r="U239" s="3661"/>
      <c r="V239" s="3661"/>
      <c r="W239" s="3661"/>
      <c r="X239" s="3661"/>
      <c r="Y239" s="3661"/>
      <c r="Z239" s="3661"/>
      <c r="AA239" s="3661"/>
      <c r="AB239" s="3661"/>
      <c r="AC239" s="3661"/>
      <c r="AD239" s="3661"/>
      <c r="AE239" s="3661"/>
      <c r="AF239" s="3661"/>
      <c r="AG239" s="3661"/>
      <c r="AH239" s="3661"/>
      <c r="AI239" s="3661"/>
      <c r="AJ239" s="3661"/>
      <c r="AK239" s="3661"/>
      <c r="AL239" s="3661"/>
      <c r="AM239" s="3661"/>
      <c r="AN239" s="3661"/>
      <c r="AO239" s="3661"/>
      <c r="AP239" s="3661"/>
      <c r="AQ239" s="3661"/>
      <c r="AR239" s="3661"/>
      <c r="AS239" s="3661"/>
      <c r="AT239" s="3661"/>
      <c r="AU239" s="3661"/>
      <c r="AV239" s="3661"/>
      <c r="AW239" s="3661"/>
      <c r="AX239" s="3609">
        <v>3.77</v>
      </c>
      <c r="AY239" s="3609">
        <v>4.68</v>
      </c>
      <c r="AZ239" s="3609">
        <v>5.64</v>
      </c>
      <c r="BA239" s="3609">
        <v>4.3</v>
      </c>
      <c r="BB239" s="3609">
        <v>12.37</v>
      </c>
      <c r="BC239" s="3609">
        <v>2.42</v>
      </c>
      <c r="BD239" s="3609">
        <v>3.59</v>
      </c>
      <c r="BE239" s="3609">
        <v>1.86</v>
      </c>
      <c r="BF239" s="3609">
        <v>10.44</v>
      </c>
      <c r="BG239" s="3609">
        <v>11.63</v>
      </c>
      <c r="BH239" s="3609">
        <v>4.78</v>
      </c>
      <c r="BI239" s="3609">
        <v>5.43</v>
      </c>
      <c r="BJ239" s="3609">
        <v>4.09</v>
      </c>
      <c r="BK239" s="3609"/>
      <c r="BL239" s="3609"/>
      <c r="BM239" s="3609"/>
      <c r="BN239" s="3609"/>
      <c r="BO239" s="3609"/>
      <c r="BP239" s="3609"/>
      <c r="BQ239" s="3609"/>
      <c r="BR239" s="3609"/>
      <c r="BS239" s="3609"/>
      <c r="BT239" s="3609"/>
      <c r="BU239" s="3609"/>
      <c r="BV239" s="3609"/>
      <c r="BW239" s="3609"/>
      <c r="BX239" s="3609"/>
      <c r="BY239" s="3609"/>
      <c r="BZ239" s="3609"/>
      <c r="CA239" s="3609"/>
      <c r="CB239" s="3609"/>
      <c r="CC239" s="3609"/>
      <c r="CD239" s="3609"/>
      <c r="CE239" s="3609"/>
      <c r="CF239" s="3613">
        <f t="shared" si="71"/>
        <v>75</v>
      </c>
    </row>
    <row r="240" spans="1:84" ht="37.5" customHeight="1">
      <c r="A240" s="473" t="s">
        <v>1006</v>
      </c>
      <c r="B240" s="586" t="s">
        <v>810</v>
      </c>
      <c r="C240" s="586" t="s">
        <v>811</v>
      </c>
      <c r="D240" s="982" t="s">
        <v>65</v>
      </c>
      <c r="E240" s="982" t="s">
        <v>65</v>
      </c>
      <c r="F240" s="1075" t="s">
        <v>2081</v>
      </c>
      <c r="G240" s="324">
        <v>1</v>
      </c>
      <c r="H240" s="2504">
        <v>90000</v>
      </c>
      <c r="I240" s="2261">
        <f t="shared" si="85"/>
        <v>0.9</v>
      </c>
      <c r="J240" s="283">
        <v>2</v>
      </c>
      <c r="K240" s="1472">
        <f t="shared" si="86"/>
        <v>1.8</v>
      </c>
      <c r="L240" s="2560" t="s">
        <v>5332</v>
      </c>
      <c r="M240" s="2263">
        <f>'Abs5. Blood services &amp; Disorder'!Q893</f>
        <v>0</v>
      </c>
      <c r="N240" s="3657">
        <v>1.8</v>
      </c>
      <c r="O240" s="3661"/>
      <c r="P240" s="3661"/>
      <c r="Q240" s="3661"/>
      <c r="R240" s="3661"/>
      <c r="S240" s="3661"/>
      <c r="T240" s="3661"/>
      <c r="U240" s="3661"/>
      <c r="V240" s="3661"/>
      <c r="W240" s="3661"/>
      <c r="X240" s="3661"/>
      <c r="Y240" s="3661"/>
      <c r="Z240" s="3661"/>
      <c r="AA240" s="3661"/>
      <c r="AB240" s="3661"/>
      <c r="AC240" s="3661"/>
      <c r="AD240" s="3661"/>
      <c r="AE240" s="3661"/>
      <c r="AF240" s="3661"/>
      <c r="AG240" s="3661"/>
      <c r="AH240" s="3661"/>
      <c r="AI240" s="3661"/>
      <c r="AJ240" s="3661"/>
      <c r="AK240" s="3661"/>
      <c r="AL240" s="3661"/>
      <c r="AM240" s="3661"/>
      <c r="AN240" s="3661"/>
      <c r="AO240" s="3661"/>
      <c r="AP240" s="3661"/>
      <c r="AQ240" s="3661"/>
      <c r="AR240" s="3661"/>
      <c r="AS240" s="3661"/>
      <c r="AT240" s="3661"/>
      <c r="AU240" s="3661"/>
      <c r="AV240" s="3661"/>
      <c r="AW240" s="3661"/>
      <c r="AX240" s="3609"/>
      <c r="AY240" s="3609"/>
      <c r="AZ240" s="3609"/>
      <c r="BA240" s="3609"/>
      <c r="BB240" s="3609"/>
      <c r="BC240" s="3609"/>
      <c r="BD240" s="3609"/>
      <c r="BE240" s="3609"/>
      <c r="BF240" s="3609"/>
      <c r="BG240" s="3609"/>
      <c r="BH240" s="3609"/>
      <c r="BI240" s="3609"/>
      <c r="BJ240" s="3609"/>
      <c r="BK240" s="3609">
        <v>1.8</v>
      </c>
      <c r="BL240" s="3609"/>
      <c r="BM240" s="3609"/>
      <c r="BN240" s="3609"/>
      <c r="BO240" s="3609"/>
      <c r="BP240" s="3609"/>
      <c r="BQ240" s="3609"/>
      <c r="BR240" s="3609"/>
      <c r="BS240" s="3609"/>
      <c r="BT240" s="3609"/>
      <c r="BU240" s="3609"/>
      <c r="BV240" s="3609"/>
      <c r="BW240" s="3609"/>
      <c r="BX240" s="3609"/>
      <c r="BY240" s="3609"/>
      <c r="BZ240" s="3609"/>
      <c r="CA240" s="3609"/>
      <c r="CB240" s="3609"/>
      <c r="CC240" s="3609"/>
      <c r="CD240" s="3609"/>
      <c r="CE240" s="3609"/>
      <c r="CF240" s="3614">
        <f t="shared" ref="CF240:CF303" si="87">SUM(AX240:CD240)</f>
        <v>1.8</v>
      </c>
    </row>
    <row r="241" spans="1:84" ht="37.5" customHeight="1">
      <c r="A241" s="473" t="s">
        <v>4191</v>
      </c>
      <c r="B241" s="586"/>
      <c r="C241" s="586" t="s">
        <v>2817</v>
      </c>
      <c r="D241" s="982" t="s">
        <v>65</v>
      </c>
      <c r="E241" s="982" t="s">
        <v>85</v>
      </c>
      <c r="F241" s="1075" t="s">
        <v>3828</v>
      </c>
      <c r="G241" s="421"/>
      <c r="H241" s="283">
        <v>1000000</v>
      </c>
      <c r="I241" s="2261">
        <f t="shared" si="85"/>
        <v>10</v>
      </c>
      <c r="J241" s="283">
        <v>1</v>
      </c>
      <c r="K241" s="1472">
        <f t="shared" si="86"/>
        <v>10</v>
      </c>
      <c r="L241" s="3760" t="s">
        <v>5428</v>
      </c>
      <c r="M241" s="3761" t="s">
        <v>5752</v>
      </c>
      <c r="N241" s="3669">
        <v>10</v>
      </c>
      <c r="O241" s="3668"/>
      <c r="P241" s="3668"/>
      <c r="Q241" s="3661"/>
      <c r="R241" s="3661"/>
      <c r="S241" s="3661"/>
      <c r="T241" s="3661"/>
      <c r="U241" s="3661"/>
      <c r="V241" s="3661"/>
      <c r="W241" s="3661"/>
      <c r="X241" s="3661"/>
      <c r="Y241" s="3661"/>
      <c r="Z241" s="3661"/>
      <c r="AA241" s="3661"/>
      <c r="AB241" s="3661"/>
      <c r="AC241" s="3661"/>
      <c r="AD241" s="3661"/>
      <c r="AE241" s="3661"/>
      <c r="AF241" s="3661"/>
      <c r="AG241" s="3661"/>
      <c r="AH241" s="3661"/>
      <c r="AI241" s="3661"/>
      <c r="AJ241" s="3661"/>
      <c r="AK241" s="3661"/>
      <c r="AL241" s="3661"/>
      <c r="AM241" s="3661"/>
      <c r="AN241" s="3661"/>
      <c r="AO241" s="3661"/>
      <c r="AP241" s="3661"/>
      <c r="AQ241" s="3661"/>
      <c r="AR241" s="3661"/>
      <c r="AS241" s="3661"/>
      <c r="AT241" s="3661"/>
      <c r="AU241" s="3661"/>
      <c r="AV241" s="3661"/>
      <c r="AW241" s="3661"/>
      <c r="AX241" s="3609">
        <v>10</v>
      </c>
      <c r="AY241" s="3609"/>
      <c r="AZ241" s="3609"/>
      <c r="BA241" s="3609"/>
      <c r="BB241" s="3609"/>
      <c r="BC241" s="3609"/>
      <c r="BD241" s="3609"/>
      <c r="BE241" s="3609"/>
      <c r="BF241" s="3609"/>
      <c r="BG241" s="3609"/>
      <c r="BH241" s="3609"/>
      <c r="BI241" s="3609"/>
      <c r="BJ241" s="3609"/>
      <c r="BK241" s="3609"/>
      <c r="BL241" s="3609"/>
      <c r="BM241" s="3609"/>
      <c r="BN241" s="3609"/>
      <c r="BO241" s="3610"/>
      <c r="BP241" s="3610"/>
      <c r="BQ241" s="3610"/>
      <c r="BR241" s="3610"/>
      <c r="BS241" s="3610"/>
      <c r="BT241" s="3610"/>
      <c r="BU241" s="3610"/>
      <c r="BV241" s="3610"/>
      <c r="BW241" s="3610"/>
      <c r="BX241" s="3610"/>
      <c r="BY241" s="3610"/>
      <c r="BZ241" s="3610"/>
      <c r="CA241" s="3610"/>
      <c r="CB241" s="3610"/>
      <c r="CC241" s="3610"/>
      <c r="CD241" s="3610"/>
      <c r="CE241" s="3610"/>
      <c r="CF241" s="3613">
        <f t="shared" si="87"/>
        <v>10</v>
      </c>
    </row>
    <row r="242" spans="1:84" ht="37.5" customHeight="1">
      <c r="A242" s="586" t="s">
        <v>2108</v>
      </c>
      <c r="B242" s="586" t="s">
        <v>1147</v>
      </c>
      <c r="C242" s="3270" t="s">
        <v>4235</v>
      </c>
      <c r="D242" s="3226" t="s">
        <v>65</v>
      </c>
      <c r="E242" s="3226" t="s">
        <v>65</v>
      </c>
      <c r="F242" s="3271" t="s">
        <v>3769</v>
      </c>
      <c r="G242" s="3272"/>
      <c r="H242" s="3276">
        <v>234000</v>
      </c>
      <c r="I242" s="3201">
        <f t="shared" ref="I242:I243" si="88">H242/100000</f>
        <v>2.34</v>
      </c>
      <c r="J242" s="3200">
        <v>4</v>
      </c>
      <c r="K242" s="3277">
        <f t="shared" ref="K242:K243" si="89">I242*J242</f>
        <v>9.36</v>
      </c>
      <c r="L242" s="2470" t="s">
        <v>5212</v>
      </c>
      <c r="M242" s="3278" t="s">
        <v>5767</v>
      </c>
      <c r="N242" s="3669">
        <v>9.36</v>
      </c>
      <c r="O242" s="3661"/>
      <c r="P242" s="3661"/>
      <c r="Q242" s="3661"/>
      <c r="R242" s="3661"/>
      <c r="S242" s="3661"/>
      <c r="T242" s="3661"/>
      <c r="U242" s="3661"/>
      <c r="V242" s="3661"/>
      <c r="W242" s="3661"/>
      <c r="X242" s="3661"/>
      <c r="Y242" s="3661"/>
      <c r="Z242" s="3661"/>
      <c r="AA242" s="3661"/>
      <c r="AB242" s="3661"/>
      <c r="AC242" s="3661"/>
      <c r="AD242" s="3661"/>
      <c r="AE242" s="3661"/>
      <c r="AF242" s="3661"/>
      <c r="AG242" s="3661"/>
      <c r="AH242" s="3661"/>
      <c r="AI242" s="3661"/>
      <c r="AJ242" s="3661"/>
      <c r="AK242" s="3661"/>
      <c r="AL242" s="3661"/>
      <c r="AM242" s="3661"/>
      <c r="AN242" s="3661"/>
      <c r="AO242" s="3661"/>
      <c r="AP242" s="3661"/>
      <c r="AQ242" s="3661"/>
      <c r="AR242" s="3661"/>
      <c r="AS242" s="3661"/>
      <c r="AT242" s="3661"/>
      <c r="AU242" s="3661"/>
      <c r="AV242" s="3661"/>
      <c r="AW242" s="3661"/>
      <c r="AX242" s="3609">
        <v>9.36</v>
      </c>
      <c r="AY242" s="3609"/>
      <c r="AZ242" s="3609"/>
      <c r="BA242" s="3609"/>
      <c r="BB242" s="3609"/>
      <c r="BC242" s="3609"/>
      <c r="BD242" s="3609"/>
      <c r="BE242" s="3609"/>
      <c r="BF242" s="3609"/>
      <c r="BG242" s="3609"/>
      <c r="BH242" s="3609"/>
      <c r="BI242" s="3609"/>
      <c r="BJ242" s="3609"/>
      <c r="BK242" s="3609"/>
      <c r="BL242" s="3609"/>
      <c r="BM242" s="3609"/>
      <c r="BN242" s="3609"/>
      <c r="BO242" s="3609"/>
      <c r="BP242" s="3609"/>
      <c r="BQ242" s="3609"/>
      <c r="BR242" s="3609"/>
      <c r="BS242" s="3609"/>
      <c r="BT242" s="3609"/>
      <c r="BU242" s="3609"/>
      <c r="BV242" s="3609"/>
      <c r="BW242" s="3609"/>
      <c r="BX242" s="3609"/>
      <c r="BY242" s="3609"/>
      <c r="BZ242" s="3609"/>
      <c r="CA242" s="3609"/>
      <c r="CB242" s="3609"/>
      <c r="CC242" s="3609"/>
      <c r="CD242" s="3609"/>
      <c r="CE242" s="3609"/>
      <c r="CF242" s="3613">
        <f t="shared" si="87"/>
        <v>9.36</v>
      </c>
    </row>
    <row r="243" spans="1:84" ht="37.5" customHeight="1">
      <c r="A243" s="586" t="s">
        <v>2521</v>
      </c>
      <c r="B243" s="586" t="s">
        <v>1149</v>
      </c>
      <c r="C243" s="586" t="s">
        <v>1150</v>
      </c>
      <c r="D243" s="982" t="s">
        <v>65</v>
      </c>
      <c r="E243" s="982" t="s">
        <v>65</v>
      </c>
      <c r="F243" s="1075" t="s">
        <v>3769</v>
      </c>
      <c r="G243" s="421"/>
      <c r="H243" s="2469">
        <v>18904.759999999998</v>
      </c>
      <c r="I243" s="2261">
        <f t="shared" si="88"/>
        <v>0.18904759999999998</v>
      </c>
      <c r="J243" s="283">
        <v>106</v>
      </c>
      <c r="K243" s="1472">
        <f t="shared" si="89"/>
        <v>20.039045599999998</v>
      </c>
      <c r="L243" s="2473" t="s">
        <v>5213</v>
      </c>
      <c r="M243" s="2315" t="s">
        <v>5768</v>
      </c>
      <c r="N243" s="3669">
        <f>0.4+3.4+1.8+4.56</f>
        <v>10.16</v>
      </c>
      <c r="O243" s="3661"/>
      <c r="P243" s="3661"/>
      <c r="Q243" s="3661"/>
      <c r="R243" s="3661"/>
      <c r="S243" s="3661"/>
      <c r="T243" s="3661"/>
      <c r="U243" s="3661"/>
      <c r="V243" s="3661"/>
      <c r="W243" s="3661"/>
      <c r="X243" s="3661"/>
      <c r="Y243" s="3661"/>
      <c r="Z243" s="3661"/>
      <c r="AA243" s="3661"/>
      <c r="AB243" s="3661"/>
      <c r="AC243" s="3661"/>
      <c r="AD243" s="3661"/>
      <c r="AE243" s="3661"/>
      <c r="AF243" s="3661"/>
      <c r="AG243" s="3661"/>
      <c r="AH243" s="3661"/>
      <c r="AI243" s="3661"/>
      <c r="AJ243" s="3661"/>
      <c r="AK243" s="3661"/>
      <c r="AL243" s="3661"/>
      <c r="AM243" s="3661"/>
      <c r="AN243" s="3661"/>
      <c r="AO243" s="3661"/>
      <c r="AP243" s="3661"/>
      <c r="AQ243" s="3661"/>
      <c r="AR243" s="3661"/>
      <c r="AS243" s="3661"/>
      <c r="AT243" s="3661"/>
      <c r="AU243" s="3661"/>
      <c r="AV243" s="3661"/>
      <c r="AW243" s="3661"/>
      <c r="AX243" s="3609">
        <v>0.6</v>
      </c>
      <c r="AY243" s="3609">
        <v>0.39</v>
      </c>
      <c r="AZ243" s="3609">
        <v>0.56999999999999995</v>
      </c>
      <c r="BA243" s="3609">
        <v>0.51</v>
      </c>
      <c r="BB243" s="3609">
        <v>0.93</v>
      </c>
      <c r="BC243" s="3609">
        <v>0.53</v>
      </c>
      <c r="BD243" s="3609">
        <v>0.45</v>
      </c>
      <c r="BE243" s="3609">
        <v>0.47</v>
      </c>
      <c r="BF243" s="3609">
        <v>0.81</v>
      </c>
      <c r="BG243" s="3609">
        <v>0.75</v>
      </c>
      <c r="BH243" s="3609">
        <v>0.45</v>
      </c>
      <c r="BI243" s="3609">
        <v>0.45</v>
      </c>
      <c r="BJ243" s="3609">
        <v>0.45</v>
      </c>
      <c r="BK243" s="3611">
        <v>0.2</v>
      </c>
      <c r="BL243" s="3609">
        <v>0.2</v>
      </c>
      <c r="BM243" s="3609">
        <v>0.2</v>
      </c>
      <c r="BN243" s="3609">
        <v>0.2</v>
      </c>
      <c r="BO243" s="3609">
        <v>0.2</v>
      </c>
      <c r="BP243" s="3609">
        <v>0.2</v>
      </c>
      <c r="BQ243" s="3609"/>
      <c r="BR243" s="3609">
        <v>0.2</v>
      </c>
      <c r="BS243" s="3609">
        <v>0.2</v>
      </c>
      <c r="BT243" s="3609"/>
      <c r="BU243" s="3609">
        <v>0.2</v>
      </c>
      <c r="BV243" s="3609">
        <v>0.2</v>
      </c>
      <c r="BW243" s="3609">
        <v>0.2</v>
      </c>
      <c r="BX243" s="3609"/>
      <c r="BY243" s="3609"/>
      <c r="BZ243" s="3609">
        <v>0.2</v>
      </c>
      <c r="CA243" s="3609">
        <v>0.2</v>
      </c>
      <c r="CB243" s="3609">
        <v>0.2</v>
      </c>
      <c r="CC243" s="3609"/>
      <c r="CD243" s="3609"/>
      <c r="CE243" s="3609"/>
      <c r="CF243" s="3613">
        <f t="shared" si="87"/>
        <v>10.159999999999993</v>
      </c>
    </row>
    <row r="244" spans="1:84" ht="37.5" customHeight="1">
      <c r="A244" s="586" t="s">
        <v>2110</v>
      </c>
      <c r="B244" s="586" t="s">
        <v>1151</v>
      </c>
      <c r="C244" s="586" t="s">
        <v>1152</v>
      </c>
      <c r="D244" s="982" t="s">
        <v>65</v>
      </c>
      <c r="E244" s="982" t="s">
        <v>65</v>
      </c>
      <c r="F244" s="1075" t="s">
        <v>2293</v>
      </c>
      <c r="G244" s="179" t="s">
        <v>5187</v>
      </c>
      <c r="H244" s="283">
        <v>123933</v>
      </c>
      <c r="I244" s="2261">
        <f>H244/100000</f>
        <v>1.23933</v>
      </c>
      <c r="J244" s="283">
        <v>3</v>
      </c>
      <c r="K244" s="1472">
        <f>I244*J244</f>
        <v>3.7179900000000004</v>
      </c>
      <c r="L244" s="2358"/>
      <c r="M244" s="2263">
        <f>'Ab4. HMIS-MCTS'!Q882</f>
        <v>0</v>
      </c>
      <c r="N244" s="3657">
        <v>3.72</v>
      </c>
      <c r="O244" s="3661"/>
      <c r="P244" s="3661"/>
      <c r="Q244" s="3661"/>
      <c r="R244" s="3661"/>
      <c r="S244" s="3661"/>
      <c r="T244" s="3661"/>
      <c r="U244" s="3661"/>
      <c r="V244" s="3661"/>
      <c r="W244" s="3661"/>
      <c r="X244" s="3661"/>
      <c r="Y244" s="3661"/>
      <c r="Z244" s="3661"/>
      <c r="AA244" s="3661"/>
      <c r="AB244" s="3661"/>
      <c r="AC244" s="3661"/>
      <c r="AD244" s="3661"/>
      <c r="AE244" s="3661"/>
      <c r="AF244" s="3661"/>
      <c r="AG244" s="3661"/>
      <c r="AH244" s="3661"/>
      <c r="AI244" s="3661"/>
      <c r="AJ244" s="3661"/>
      <c r="AK244" s="3661"/>
      <c r="AL244" s="3661"/>
      <c r="AM244" s="3661"/>
      <c r="AN244" s="3661"/>
      <c r="AO244" s="3661"/>
      <c r="AP244" s="3661"/>
      <c r="AQ244" s="3661"/>
      <c r="AR244" s="3661"/>
      <c r="AS244" s="3661"/>
      <c r="AT244" s="3661"/>
      <c r="AU244" s="3661"/>
      <c r="AV244" s="3661"/>
      <c r="AW244" s="3661"/>
      <c r="AX244" s="3609">
        <v>3.72</v>
      </c>
      <c r="AY244" s="3609"/>
      <c r="AZ244" s="3609"/>
      <c r="BA244" s="3609"/>
      <c r="BB244" s="3609"/>
      <c r="BC244" s="3609"/>
      <c r="BD244" s="3609"/>
      <c r="BE244" s="3609"/>
      <c r="BF244" s="3609"/>
      <c r="BG244" s="3609"/>
      <c r="BH244" s="3609"/>
      <c r="BI244" s="3609"/>
      <c r="BJ244" s="3609"/>
      <c r="BK244" s="3609"/>
      <c r="BL244" s="3609"/>
      <c r="BM244" s="3609"/>
      <c r="BN244" s="3609"/>
      <c r="BO244" s="3609"/>
      <c r="BP244" s="3609"/>
      <c r="BQ244" s="3609"/>
      <c r="BR244" s="3609"/>
      <c r="BS244" s="3609"/>
      <c r="BT244" s="3609"/>
      <c r="BU244" s="3609"/>
      <c r="BV244" s="3609"/>
      <c r="BW244" s="3609"/>
      <c r="BX244" s="3609"/>
      <c r="BY244" s="3609"/>
      <c r="BZ244" s="3609"/>
      <c r="CA244" s="3609"/>
      <c r="CB244" s="3609"/>
      <c r="CC244" s="3609"/>
      <c r="CD244" s="3609"/>
      <c r="CE244" s="3609"/>
      <c r="CF244" s="3613">
        <f t="shared" si="87"/>
        <v>3.72</v>
      </c>
    </row>
    <row r="245" spans="1:84" ht="37.5" customHeight="1">
      <c r="A245" s="586" t="s">
        <v>2111</v>
      </c>
      <c r="B245" s="586" t="s">
        <v>1153</v>
      </c>
      <c r="C245" s="586" t="s">
        <v>1154</v>
      </c>
      <c r="D245" s="982" t="s">
        <v>65</v>
      </c>
      <c r="E245" s="982" t="s">
        <v>65</v>
      </c>
      <c r="F245" s="1075" t="s">
        <v>2293</v>
      </c>
      <c r="G245" s="179" t="s">
        <v>5187</v>
      </c>
      <c r="H245" s="283">
        <v>44067</v>
      </c>
      <c r="I245" s="2261">
        <f>H245/100000</f>
        <v>0.44067000000000001</v>
      </c>
      <c r="J245" s="283">
        <v>12</v>
      </c>
      <c r="K245" s="1472">
        <f>I245*J245</f>
        <v>5.2880400000000005</v>
      </c>
      <c r="L245" s="2358"/>
      <c r="M245" s="2263">
        <f>'Ab4. HMIS-MCTS'!Q883</f>
        <v>0</v>
      </c>
      <c r="N245" s="3657">
        <v>5.29</v>
      </c>
      <c r="O245" s="3661"/>
      <c r="P245" s="3661"/>
      <c r="Q245" s="3661"/>
      <c r="R245" s="3661"/>
      <c r="S245" s="3661"/>
      <c r="T245" s="3661"/>
      <c r="U245" s="3661"/>
      <c r="V245" s="3661"/>
      <c r="W245" s="3661"/>
      <c r="X245" s="3661"/>
      <c r="Y245" s="3661"/>
      <c r="Z245" s="3661"/>
      <c r="AA245" s="3661"/>
      <c r="AB245" s="3661"/>
      <c r="AC245" s="3661"/>
      <c r="AD245" s="3661"/>
      <c r="AE245" s="3661"/>
      <c r="AF245" s="3661"/>
      <c r="AG245" s="3661"/>
      <c r="AH245" s="3661"/>
      <c r="AI245" s="3661"/>
      <c r="AJ245" s="3661"/>
      <c r="AK245" s="3661"/>
      <c r="AL245" s="3661"/>
      <c r="AM245" s="3661"/>
      <c r="AN245" s="3661"/>
      <c r="AO245" s="3661"/>
      <c r="AP245" s="3661"/>
      <c r="AQ245" s="3661"/>
      <c r="AR245" s="3661"/>
      <c r="AS245" s="3661"/>
      <c r="AT245" s="3661"/>
      <c r="AU245" s="3661"/>
      <c r="AV245" s="3661"/>
      <c r="AW245" s="3661"/>
      <c r="AX245" s="3609">
        <v>2.64</v>
      </c>
      <c r="AY245" s="3609">
        <v>0.14000000000000001</v>
      </c>
      <c r="AZ245" s="3609">
        <v>0.24</v>
      </c>
      <c r="BA245" s="3609">
        <v>0.21</v>
      </c>
      <c r="BB245" s="3609">
        <v>0.45</v>
      </c>
      <c r="BC245" s="3609">
        <v>0.1</v>
      </c>
      <c r="BD245" s="3609">
        <v>0.17</v>
      </c>
      <c r="BE245" s="3609">
        <v>7.0000000000000007E-2</v>
      </c>
      <c r="BF245" s="3609">
        <v>0.38</v>
      </c>
      <c r="BG245" s="3609">
        <v>0.35</v>
      </c>
      <c r="BH245" s="3609">
        <v>0.18</v>
      </c>
      <c r="BI245" s="3609">
        <v>0.18</v>
      </c>
      <c r="BJ245" s="3609">
        <v>0.18</v>
      </c>
      <c r="BK245" s="3609"/>
      <c r="BL245" s="3609"/>
      <c r="BM245" s="3609"/>
      <c r="BN245" s="3609"/>
      <c r="BO245" s="3609"/>
      <c r="BP245" s="3609"/>
      <c r="BQ245" s="3609"/>
      <c r="BR245" s="3609"/>
      <c r="BS245" s="3609"/>
      <c r="BT245" s="3609"/>
      <c r="BU245" s="3609"/>
      <c r="BV245" s="3609"/>
      <c r="BW245" s="3609"/>
      <c r="BX245" s="3609"/>
      <c r="BY245" s="3609"/>
      <c r="BZ245" s="3609"/>
      <c r="CA245" s="3609"/>
      <c r="CB245" s="3609"/>
      <c r="CC245" s="3609"/>
      <c r="CD245" s="3609"/>
      <c r="CE245" s="3609"/>
      <c r="CF245" s="3613">
        <f t="shared" si="87"/>
        <v>5.2899999999999991</v>
      </c>
    </row>
    <row r="246" spans="1:84" ht="37.5" customHeight="1">
      <c r="A246" s="586" t="s">
        <v>2112</v>
      </c>
      <c r="B246" s="586" t="s">
        <v>1155</v>
      </c>
      <c r="C246" s="586" t="s">
        <v>1156</v>
      </c>
      <c r="D246" s="982" t="s">
        <v>65</v>
      </c>
      <c r="E246" s="982" t="s">
        <v>65</v>
      </c>
      <c r="F246" s="1075" t="s">
        <v>2293</v>
      </c>
      <c r="G246" s="179" t="s">
        <v>5187</v>
      </c>
      <c r="H246" s="283">
        <v>28421</v>
      </c>
      <c r="I246" s="2261">
        <f>H246/100000</f>
        <v>0.28421000000000002</v>
      </c>
      <c r="J246" s="283">
        <v>76</v>
      </c>
      <c r="K246" s="1472">
        <f>I246*J246</f>
        <v>21.599960000000003</v>
      </c>
      <c r="L246" s="2361" t="s">
        <v>5188</v>
      </c>
      <c r="M246" s="2263">
        <f>'Ab4. HMIS-MCTS'!Q884</f>
        <v>0</v>
      </c>
      <c r="N246" s="3657">
        <v>21.6</v>
      </c>
      <c r="O246" s="3661"/>
      <c r="P246" s="3661"/>
      <c r="Q246" s="3661"/>
      <c r="R246" s="3661"/>
      <c r="S246" s="3661"/>
      <c r="T246" s="3661"/>
      <c r="U246" s="3661"/>
      <c r="V246" s="3661"/>
      <c r="W246" s="3661"/>
      <c r="X246" s="3661"/>
      <c r="Y246" s="3661"/>
      <c r="Z246" s="3661"/>
      <c r="AA246" s="3661"/>
      <c r="AB246" s="3661"/>
      <c r="AC246" s="3661"/>
      <c r="AD246" s="3661"/>
      <c r="AE246" s="3661"/>
      <c r="AF246" s="3661"/>
      <c r="AG246" s="3661"/>
      <c r="AH246" s="3661"/>
      <c r="AI246" s="3661"/>
      <c r="AJ246" s="3661"/>
      <c r="AK246" s="3661"/>
      <c r="AL246" s="3661"/>
      <c r="AM246" s="3661"/>
      <c r="AN246" s="3661"/>
      <c r="AO246" s="3661"/>
      <c r="AP246" s="3661"/>
      <c r="AQ246" s="3661"/>
      <c r="AR246" s="3661"/>
      <c r="AS246" s="3661"/>
      <c r="AT246" s="3661"/>
      <c r="AU246" s="3661"/>
      <c r="AV246" s="3661"/>
      <c r="AW246" s="3661"/>
      <c r="AX246" s="3609">
        <v>12.09</v>
      </c>
      <c r="AY246" s="3609">
        <v>0.5</v>
      </c>
      <c r="AZ246" s="3609">
        <v>0.88</v>
      </c>
      <c r="BA246" s="3609">
        <v>0.75</v>
      </c>
      <c r="BB246" s="3609">
        <v>1.62</v>
      </c>
      <c r="BC246" s="3609">
        <v>0.38</v>
      </c>
      <c r="BD246" s="3609">
        <v>0.63</v>
      </c>
      <c r="BE246" s="3609">
        <v>0.25</v>
      </c>
      <c r="BF246" s="3609">
        <v>1.37</v>
      </c>
      <c r="BG246" s="3609">
        <v>1.25</v>
      </c>
      <c r="BH246" s="3609">
        <v>0.63</v>
      </c>
      <c r="BI246" s="3609">
        <v>0.63</v>
      </c>
      <c r="BJ246" s="3609">
        <v>0.62</v>
      </c>
      <c r="BK246" s="3609"/>
      <c r="BL246" s="3609"/>
      <c r="BM246" s="3609"/>
      <c r="BN246" s="3609"/>
      <c r="BO246" s="3609"/>
      <c r="BP246" s="3609"/>
      <c r="BQ246" s="3609"/>
      <c r="BR246" s="3609"/>
      <c r="BS246" s="3609"/>
      <c r="BT246" s="3609"/>
      <c r="BU246" s="3609"/>
      <c r="BV246" s="3609"/>
      <c r="BW246" s="3609"/>
      <c r="BX246" s="3609"/>
      <c r="BY246" s="3609"/>
      <c r="BZ246" s="3609"/>
      <c r="CA246" s="3609"/>
      <c r="CB246" s="3609"/>
      <c r="CC246" s="3609"/>
      <c r="CD246" s="3609"/>
      <c r="CE246" s="3609"/>
      <c r="CF246" s="3613">
        <f t="shared" si="87"/>
        <v>21.599999999999998</v>
      </c>
    </row>
    <row r="247" spans="1:84" ht="37.5" customHeight="1">
      <c r="A247" s="586" t="s">
        <v>2115</v>
      </c>
      <c r="B247" s="2627" t="s">
        <v>2031</v>
      </c>
      <c r="C247" s="586" t="s">
        <v>4572</v>
      </c>
      <c r="D247" s="982" t="s">
        <v>65</v>
      </c>
      <c r="E247" s="982" t="s">
        <v>65</v>
      </c>
      <c r="F247" s="2301" t="s">
        <v>4218</v>
      </c>
      <c r="G247" s="421">
        <v>1</v>
      </c>
      <c r="H247" s="283">
        <v>7500</v>
      </c>
      <c r="I247" s="2261">
        <f>H247/100000</f>
        <v>7.4999999999999997E-2</v>
      </c>
      <c r="J247" s="283">
        <v>2104</v>
      </c>
      <c r="K247" s="1472">
        <f>I247*J247</f>
        <v>157.79999999999998</v>
      </c>
      <c r="L247" s="2299" t="s">
        <v>5444</v>
      </c>
      <c r="M247" s="2263">
        <f>'Abs6. CPHC'!Q897</f>
        <v>0</v>
      </c>
      <c r="N247" s="3657">
        <v>156.82</v>
      </c>
      <c r="O247" s="3661"/>
      <c r="P247" s="3661"/>
      <c r="Q247" s="3661"/>
      <c r="R247" s="3661"/>
      <c r="S247" s="3661"/>
      <c r="T247" s="3661"/>
      <c r="U247" s="3661"/>
      <c r="V247" s="3661"/>
      <c r="W247" s="3661"/>
      <c r="X247" s="3661"/>
      <c r="Y247" s="3661"/>
      <c r="Z247" s="3661"/>
      <c r="AA247" s="3661"/>
      <c r="AB247" s="3661"/>
      <c r="AC247" s="3661"/>
      <c r="AD247" s="3661"/>
      <c r="AE247" s="3661"/>
      <c r="AF247" s="3661"/>
      <c r="AG247" s="3661"/>
      <c r="AH247" s="3661"/>
      <c r="AI247" s="3661"/>
      <c r="AJ247" s="3661"/>
      <c r="AK247" s="3661"/>
      <c r="AL247" s="3661"/>
      <c r="AM247" s="3661"/>
      <c r="AN247" s="3661"/>
      <c r="AO247" s="3661"/>
      <c r="AP247" s="3661"/>
      <c r="AQ247" s="3661"/>
      <c r="AR247" s="3661"/>
      <c r="AS247" s="3661"/>
      <c r="AT247" s="3661"/>
      <c r="AU247" s="3661"/>
      <c r="AV247" s="3661"/>
      <c r="AW247" s="3661"/>
      <c r="AX247" s="3609">
        <v>156.82</v>
      </c>
      <c r="AY247" s="3609"/>
      <c r="AZ247" s="3609"/>
      <c r="BA247" s="3609"/>
      <c r="BB247" s="3609"/>
      <c r="BC247" s="3609"/>
      <c r="BD247" s="3609"/>
      <c r="BE247" s="3609"/>
      <c r="BF247" s="3609"/>
      <c r="BG247" s="3609"/>
      <c r="BH247" s="3609"/>
      <c r="BI247" s="3609"/>
      <c r="BJ247" s="3609"/>
      <c r="BK247" s="3609"/>
      <c r="BL247" s="3609"/>
      <c r="BM247" s="3609"/>
      <c r="BN247" s="3609"/>
      <c r="BO247" s="3609"/>
      <c r="BP247" s="3609"/>
      <c r="BQ247" s="3609"/>
      <c r="BR247" s="3609"/>
      <c r="BS247" s="3609"/>
      <c r="BT247" s="3609"/>
      <c r="BU247" s="3609"/>
      <c r="BV247" s="3609"/>
      <c r="BW247" s="3609"/>
      <c r="BX247" s="3609"/>
      <c r="BY247" s="3609"/>
      <c r="BZ247" s="3609"/>
      <c r="CA247" s="3609"/>
      <c r="CB247" s="3609"/>
      <c r="CC247" s="3609"/>
      <c r="CD247" s="3609"/>
      <c r="CE247" s="3609"/>
      <c r="CF247" s="3613">
        <f t="shared" si="87"/>
        <v>156.82</v>
      </c>
    </row>
    <row r="248" spans="1:84" ht="37.5" customHeight="1">
      <c r="A248" s="586" t="s">
        <v>2524</v>
      </c>
      <c r="B248" s="586"/>
      <c r="C248" s="2628" t="s">
        <v>5152</v>
      </c>
      <c r="D248" s="982" t="s">
        <v>65</v>
      </c>
      <c r="E248" s="982" t="s">
        <v>65</v>
      </c>
      <c r="F248" s="2301" t="s">
        <v>4218</v>
      </c>
      <c r="G248" s="285">
        <v>1</v>
      </c>
      <c r="H248" s="283">
        <v>5000</v>
      </c>
      <c r="I248" s="2261">
        <f>H248/100000</f>
        <v>0.05</v>
      </c>
      <c r="J248" s="283">
        <v>2104</v>
      </c>
      <c r="K248" s="1472">
        <f>I248*J248</f>
        <v>105.2</v>
      </c>
      <c r="L248" s="2299" t="s">
        <v>5445</v>
      </c>
      <c r="M248" s="2263">
        <f>'Abs6. CPHC'!Q900</f>
        <v>0</v>
      </c>
      <c r="N248" s="3657">
        <v>105.2</v>
      </c>
      <c r="O248" s="3661"/>
      <c r="P248" s="3661"/>
      <c r="Q248" s="3661"/>
      <c r="R248" s="3661"/>
      <c r="S248" s="3661"/>
      <c r="T248" s="3661"/>
      <c r="U248" s="3661"/>
      <c r="V248" s="3661"/>
      <c r="W248" s="3661"/>
      <c r="X248" s="3661"/>
      <c r="Y248" s="3661"/>
      <c r="Z248" s="3661"/>
      <c r="AA248" s="3661"/>
      <c r="AB248" s="3661"/>
      <c r="AC248" s="3661"/>
      <c r="AD248" s="3661"/>
      <c r="AE248" s="3661"/>
      <c r="AF248" s="3661"/>
      <c r="AG248" s="3661"/>
      <c r="AH248" s="3661"/>
      <c r="AI248" s="3661"/>
      <c r="AJ248" s="3661"/>
      <c r="AK248" s="3661"/>
      <c r="AL248" s="3661"/>
      <c r="AM248" s="3661"/>
      <c r="AN248" s="3661"/>
      <c r="AO248" s="3661"/>
      <c r="AP248" s="3661"/>
      <c r="AQ248" s="3661"/>
      <c r="AR248" s="3661"/>
      <c r="AS248" s="3661"/>
      <c r="AT248" s="3661"/>
      <c r="AU248" s="3661"/>
      <c r="AV248" s="3661"/>
      <c r="AW248" s="3661"/>
      <c r="AX248" s="3609">
        <f>80+3.6</f>
        <v>83.6</v>
      </c>
      <c r="AY248" s="3609"/>
      <c r="AZ248" s="3609"/>
      <c r="BA248" s="3609"/>
      <c r="BB248" s="3609"/>
      <c r="BC248" s="3609"/>
      <c r="BD248" s="3609"/>
      <c r="BE248" s="3609"/>
      <c r="BF248" s="3609"/>
      <c r="BG248" s="3609"/>
      <c r="BH248" s="3609"/>
      <c r="BI248" s="3609"/>
      <c r="BJ248" s="3609"/>
      <c r="BK248" s="3609">
        <v>3.6</v>
      </c>
      <c r="BL248" s="3609">
        <v>3.6</v>
      </c>
      <c r="BM248" s="3609">
        <v>3.6</v>
      </c>
      <c r="BN248" s="3609">
        <v>3.6</v>
      </c>
      <c r="BO248" s="3609">
        <v>3.6</v>
      </c>
      <c r="BP248" s="3609">
        <v>3.6</v>
      </c>
      <c r="BQ248" s="3609"/>
      <c r="BR248" s="3609"/>
      <c r="BS248" s="3609"/>
      <c r="BT248" s="3609"/>
      <c r="BU248" s="3609"/>
      <c r="BV248" s="3609"/>
      <c r="BW248" s="3609"/>
      <c r="BX248" s="3609"/>
      <c r="BY248" s="3609"/>
      <c r="BZ248" s="3609"/>
      <c r="CA248" s="3609"/>
      <c r="CB248" s="3609"/>
      <c r="CC248" s="3609"/>
      <c r="CD248" s="3609"/>
      <c r="CE248" s="3609"/>
      <c r="CF248" s="3613">
        <f t="shared" si="87"/>
        <v>105.19999999999996</v>
      </c>
    </row>
    <row r="249" spans="1:84" ht="37.5" customHeight="1">
      <c r="A249" s="586" t="s">
        <v>1036</v>
      </c>
      <c r="B249" s="391" t="s">
        <v>1037</v>
      </c>
      <c r="C249" s="391" t="s">
        <v>1038</v>
      </c>
      <c r="D249" s="2254" t="s">
        <v>4219</v>
      </c>
      <c r="E249" s="2254" t="s">
        <v>288</v>
      </c>
      <c r="F249" s="1075" t="s">
        <v>288</v>
      </c>
      <c r="G249" s="2574">
        <v>5</v>
      </c>
      <c r="H249" s="2545">
        <v>57145</v>
      </c>
      <c r="I249" s="2261">
        <f t="shared" ref="I249:I251" si="90">H249/100000</f>
        <v>0.57145000000000001</v>
      </c>
      <c r="J249" s="283">
        <v>5</v>
      </c>
      <c r="K249" s="1472">
        <f t="shared" ref="K249:K251" si="91">I249*J249</f>
        <v>2.8572500000000001</v>
      </c>
      <c r="L249" s="2575"/>
      <c r="M249" s="2263">
        <f>'Abs8. IDSP'!Q886</f>
        <v>0</v>
      </c>
      <c r="N249" s="3657">
        <v>2.86</v>
      </c>
      <c r="O249" s="3661"/>
      <c r="P249" s="3661"/>
      <c r="Q249" s="3661"/>
      <c r="R249" s="3661"/>
      <c r="S249" s="3661"/>
      <c r="T249" s="3661"/>
      <c r="U249" s="3661"/>
      <c r="V249" s="3661"/>
      <c r="W249" s="3661"/>
      <c r="X249" s="3661"/>
      <c r="Y249" s="3661"/>
      <c r="Z249" s="3661"/>
      <c r="AA249" s="3661"/>
      <c r="AB249" s="3661"/>
      <c r="AC249" s="3661"/>
      <c r="AD249" s="3661"/>
      <c r="AE249" s="3661"/>
      <c r="AF249" s="3661"/>
      <c r="AG249" s="3661"/>
      <c r="AH249" s="3661"/>
      <c r="AI249" s="3661"/>
      <c r="AJ249" s="3661"/>
      <c r="AK249" s="3661"/>
      <c r="AL249" s="3661"/>
      <c r="AM249" s="3661"/>
      <c r="AN249" s="3661"/>
      <c r="AO249" s="3661"/>
      <c r="AP249" s="3661"/>
      <c r="AQ249" s="3661"/>
      <c r="AR249" s="3661"/>
      <c r="AS249" s="3661"/>
      <c r="AT249" s="3661"/>
      <c r="AU249" s="3661"/>
      <c r="AV249" s="3661"/>
      <c r="AW249" s="3661"/>
      <c r="AX249" s="3609"/>
      <c r="AY249" s="3609"/>
      <c r="AZ249" s="3609"/>
      <c r="BA249" s="3609">
        <v>0.5</v>
      </c>
      <c r="BB249" s="3609">
        <v>0.6</v>
      </c>
      <c r="BC249" s="3609">
        <v>0.2</v>
      </c>
      <c r="BD249" s="3609"/>
      <c r="BE249" s="3609"/>
      <c r="BF249" s="3609">
        <v>0.5</v>
      </c>
      <c r="BG249" s="3609">
        <v>0.5</v>
      </c>
      <c r="BH249" s="3609"/>
      <c r="BI249" s="3609">
        <v>0.56000000000000005</v>
      </c>
      <c r="BJ249" s="3609"/>
      <c r="BK249" s="3609"/>
      <c r="BL249" s="3609"/>
      <c r="BM249" s="3609"/>
      <c r="BN249" s="3609"/>
      <c r="BO249" s="3609"/>
      <c r="BP249" s="3609"/>
      <c r="BQ249" s="3609"/>
      <c r="BR249" s="3609"/>
      <c r="BS249" s="3609"/>
      <c r="BT249" s="3609"/>
      <c r="BU249" s="3609"/>
      <c r="BV249" s="3609"/>
      <c r="BW249" s="3609"/>
      <c r="BX249" s="3609"/>
      <c r="BY249" s="3609"/>
      <c r="BZ249" s="3609"/>
      <c r="CA249" s="3609"/>
      <c r="CB249" s="3609"/>
      <c r="CC249" s="3609"/>
      <c r="CD249" s="3609"/>
      <c r="CE249" s="3609"/>
      <c r="CF249" s="3613">
        <f t="shared" si="87"/>
        <v>2.86</v>
      </c>
    </row>
    <row r="250" spans="1:84" ht="37.5" customHeight="1">
      <c r="A250" s="586" t="s">
        <v>2502</v>
      </c>
      <c r="B250" s="391" t="s">
        <v>1041</v>
      </c>
      <c r="C250" s="391" t="s">
        <v>1042</v>
      </c>
      <c r="D250" s="2254" t="s">
        <v>4219</v>
      </c>
      <c r="E250" s="2254" t="s">
        <v>288</v>
      </c>
      <c r="F250" s="1075" t="s">
        <v>288</v>
      </c>
      <c r="G250" s="2574">
        <v>5</v>
      </c>
      <c r="H250" s="2545">
        <v>41114</v>
      </c>
      <c r="I250" s="2261">
        <f t="shared" si="90"/>
        <v>0.41114000000000001</v>
      </c>
      <c r="J250" s="2545">
        <v>5</v>
      </c>
      <c r="K250" s="1472">
        <f t="shared" si="91"/>
        <v>2.0556999999999999</v>
      </c>
      <c r="L250" s="2575"/>
      <c r="M250" s="2263">
        <f>'Abs8. IDSP'!Q888</f>
        <v>0</v>
      </c>
      <c r="N250" s="3657">
        <v>2.06</v>
      </c>
      <c r="O250" s="3661"/>
      <c r="P250" s="3661"/>
      <c r="Q250" s="3661"/>
      <c r="R250" s="3661"/>
      <c r="S250" s="3661"/>
      <c r="T250" s="3661"/>
      <c r="U250" s="3661"/>
      <c r="V250" s="3661"/>
      <c r="W250" s="3661"/>
      <c r="X250" s="3661"/>
      <c r="Y250" s="3661"/>
      <c r="Z250" s="3661"/>
      <c r="AA250" s="3661"/>
      <c r="AB250" s="3661"/>
      <c r="AC250" s="3661"/>
      <c r="AD250" s="3661"/>
      <c r="AE250" s="3661"/>
      <c r="AF250" s="3661"/>
      <c r="AG250" s="3661"/>
      <c r="AH250" s="3661"/>
      <c r="AI250" s="3661"/>
      <c r="AJ250" s="3661"/>
      <c r="AK250" s="3661"/>
      <c r="AL250" s="3661"/>
      <c r="AM250" s="3661"/>
      <c r="AN250" s="3661"/>
      <c r="AO250" s="3661"/>
      <c r="AP250" s="3661"/>
      <c r="AQ250" s="3661"/>
      <c r="AR250" s="3661"/>
      <c r="AS250" s="3661"/>
      <c r="AT250" s="3661"/>
      <c r="AU250" s="3661"/>
      <c r="AV250" s="3661"/>
      <c r="AW250" s="3661"/>
      <c r="AX250" s="3609"/>
      <c r="AY250" s="3609"/>
      <c r="AZ250" s="3609"/>
      <c r="BA250" s="3609">
        <v>0.4</v>
      </c>
      <c r="BB250" s="3609">
        <v>0.4</v>
      </c>
      <c r="BC250" s="3609">
        <v>0.2</v>
      </c>
      <c r="BD250" s="3609"/>
      <c r="BE250" s="3609"/>
      <c r="BF250" s="3609">
        <v>0.4</v>
      </c>
      <c r="BG250" s="3609">
        <v>0.2</v>
      </c>
      <c r="BH250" s="3609">
        <v>0.46</v>
      </c>
      <c r="BI250" s="3609"/>
      <c r="BJ250" s="3609"/>
      <c r="BK250" s="3609"/>
      <c r="BL250" s="3609"/>
      <c r="BM250" s="3609"/>
      <c r="BN250" s="3609"/>
      <c r="BO250" s="3609"/>
      <c r="BP250" s="3609"/>
      <c r="BQ250" s="3609"/>
      <c r="BR250" s="3609"/>
      <c r="BS250" s="3609"/>
      <c r="BT250" s="3609"/>
      <c r="BU250" s="3609"/>
      <c r="BV250" s="3609"/>
      <c r="BW250" s="3609"/>
      <c r="BX250" s="3609"/>
      <c r="BY250" s="3609"/>
      <c r="BZ250" s="3609"/>
      <c r="CA250" s="3609"/>
      <c r="CB250" s="3609"/>
      <c r="CC250" s="3609"/>
      <c r="CD250" s="3609"/>
      <c r="CE250" s="3609"/>
      <c r="CF250" s="3613">
        <f t="shared" si="87"/>
        <v>2.06</v>
      </c>
    </row>
    <row r="251" spans="1:84" ht="37.5" customHeight="1">
      <c r="A251" s="586" t="s">
        <v>2506</v>
      </c>
      <c r="B251" s="391" t="s">
        <v>1049</v>
      </c>
      <c r="C251" s="391" t="s">
        <v>1050</v>
      </c>
      <c r="D251" s="2254" t="s">
        <v>4219</v>
      </c>
      <c r="E251" s="2254" t="s">
        <v>288</v>
      </c>
      <c r="F251" s="1075" t="s">
        <v>288</v>
      </c>
      <c r="G251" s="2574">
        <v>12</v>
      </c>
      <c r="H251" s="2545">
        <v>41103</v>
      </c>
      <c r="I251" s="2261">
        <f t="shared" si="90"/>
        <v>0.41103000000000001</v>
      </c>
      <c r="J251" s="2545">
        <v>12</v>
      </c>
      <c r="K251" s="1472">
        <f t="shared" si="91"/>
        <v>4.9323600000000001</v>
      </c>
      <c r="L251" s="2575"/>
      <c r="M251" s="2263">
        <f>'Abs8. IDSP'!Q892</f>
        <v>0</v>
      </c>
      <c r="N251" s="3657">
        <v>4.93</v>
      </c>
      <c r="O251" s="3661"/>
      <c r="P251" s="3661"/>
      <c r="Q251" s="3661"/>
      <c r="R251" s="3661"/>
      <c r="S251" s="3661"/>
      <c r="T251" s="3661"/>
      <c r="U251" s="3661"/>
      <c r="V251" s="3661"/>
      <c r="W251" s="3661"/>
      <c r="X251" s="3661"/>
      <c r="Y251" s="3661"/>
      <c r="Z251" s="3661"/>
      <c r="AA251" s="3661"/>
      <c r="AB251" s="3661"/>
      <c r="AC251" s="3661"/>
      <c r="AD251" s="3661"/>
      <c r="AE251" s="3661"/>
      <c r="AF251" s="3661"/>
      <c r="AG251" s="3661"/>
      <c r="AH251" s="3661"/>
      <c r="AI251" s="3661"/>
      <c r="AJ251" s="3661"/>
      <c r="AK251" s="3661"/>
      <c r="AL251" s="3661"/>
      <c r="AM251" s="3661"/>
      <c r="AN251" s="3661"/>
      <c r="AO251" s="3661"/>
      <c r="AP251" s="3661"/>
      <c r="AQ251" s="3661"/>
      <c r="AR251" s="3661"/>
      <c r="AS251" s="3661"/>
      <c r="AT251" s="3661"/>
      <c r="AU251" s="3661"/>
      <c r="AV251" s="3661"/>
      <c r="AW251" s="3661"/>
      <c r="AX251" s="3609"/>
      <c r="AY251" s="3609">
        <v>0.5</v>
      </c>
      <c r="AZ251" s="3609">
        <v>0.43</v>
      </c>
      <c r="BA251" s="3609">
        <v>0.4</v>
      </c>
      <c r="BB251" s="3609">
        <v>0.6</v>
      </c>
      <c r="BC251" s="3609">
        <v>0.2</v>
      </c>
      <c r="BD251" s="3609">
        <v>0.3</v>
      </c>
      <c r="BE251" s="3609">
        <v>0.2</v>
      </c>
      <c r="BF251" s="3609">
        <v>0.5</v>
      </c>
      <c r="BG251" s="3609">
        <v>0.5</v>
      </c>
      <c r="BH251" s="3609">
        <v>0.4</v>
      </c>
      <c r="BI251" s="3609">
        <v>0.4</v>
      </c>
      <c r="BJ251" s="3609">
        <v>0.5</v>
      </c>
      <c r="BK251" s="3609"/>
      <c r="BL251" s="3609"/>
      <c r="BM251" s="3609"/>
      <c r="BN251" s="3609"/>
      <c r="BO251" s="3609"/>
      <c r="BP251" s="3609"/>
      <c r="BQ251" s="3609"/>
      <c r="BR251" s="3609"/>
      <c r="BS251" s="3609"/>
      <c r="BT251" s="3609"/>
      <c r="BU251" s="3609"/>
      <c r="BV251" s="3609"/>
      <c r="BW251" s="3609"/>
      <c r="BX251" s="3609"/>
      <c r="BY251" s="3609"/>
      <c r="BZ251" s="3609"/>
      <c r="CA251" s="3609"/>
      <c r="CB251" s="3609"/>
      <c r="CC251" s="3609"/>
      <c r="CD251" s="3609"/>
      <c r="CE251" s="3609"/>
      <c r="CF251" s="3613">
        <f t="shared" si="87"/>
        <v>4.9300000000000006</v>
      </c>
    </row>
    <row r="252" spans="1:84" ht="37.5" customHeight="1">
      <c r="A252" s="586" t="s">
        <v>1056</v>
      </c>
      <c r="B252" s="391" t="s">
        <v>1057</v>
      </c>
      <c r="C252" s="391" t="s">
        <v>1058</v>
      </c>
      <c r="D252" s="2254" t="s">
        <v>4219</v>
      </c>
      <c r="E252" s="2254" t="s">
        <v>109</v>
      </c>
      <c r="F252" s="1185" t="s">
        <v>4714</v>
      </c>
      <c r="G252" s="324">
        <v>10</v>
      </c>
      <c r="H252" s="243">
        <v>50000</v>
      </c>
      <c r="I252" s="2261">
        <f t="shared" ref="I252" si="92">H252/100000</f>
        <v>0.5</v>
      </c>
      <c r="J252" s="243">
        <v>10</v>
      </c>
      <c r="K252" s="1472">
        <f t="shared" ref="K252" si="93">I252*J252</f>
        <v>5</v>
      </c>
      <c r="L252" s="2471"/>
      <c r="M252" s="2263">
        <f>'Abs9. NVBDCP'!Q935</f>
        <v>0</v>
      </c>
      <c r="N252" s="3657">
        <v>5</v>
      </c>
      <c r="O252" s="3661"/>
      <c r="P252" s="3661"/>
      <c r="Q252" s="3661"/>
      <c r="R252" s="3661"/>
      <c r="S252" s="3661"/>
      <c r="T252" s="3661"/>
      <c r="U252" s="3661"/>
      <c r="V252" s="3661"/>
      <c r="W252" s="3661"/>
      <c r="X252" s="3661"/>
      <c r="Y252" s="3661"/>
      <c r="Z252" s="3661"/>
      <c r="AA252" s="3661"/>
      <c r="AB252" s="3661"/>
      <c r="AC252" s="3661"/>
      <c r="AD252" s="3661"/>
      <c r="AE252" s="3661"/>
      <c r="AF252" s="3661"/>
      <c r="AG252" s="3661"/>
      <c r="AH252" s="3661"/>
      <c r="AI252" s="3661"/>
      <c r="AJ252" s="3661"/>
      <c r="AK252" s="3661"/>
      <c r="AL252" s="3661"/>
      <c r="AM252" s="3661"/>
      <c r="AN252" s="3661"/>
      <c r="AO252" s="3661"/>
      <c r="AP252" s="3661"/>
      <c r="AQ252" s="3661"/>
      <c r="AR252" s="3661"/>
      <c r="AS252" s="3661"/>
      <c r="AT252" s="3661"/>
      <c r="AU252" s="3661"/>
      <c r="AV252" s="3661"/>
      <c r="AW252" s="3661"/>
      <c r="AX252" s="3609"/>
      <c r="AY252" s="3609">
        <v>0.5</v>
      </c>
      <c r="AZ252" s="3609">
        <v>0.5</v>
      </c>
      <c r="BA252" s="3609">
        <v>0.5</v>
      </c>
      <c r="BB252" s="3609">
        <v>0.6</v>
      </c>
      <c r="BC252" s="3609">
        <v>0</v>
      </c>
      <c r="BD252" s="3609">
        <v>0.4</v>
      </c>
      <c r="BE252" s="3609">
        <v>0</v>
      </c>
      <c r="BF252" s="3609">
        <v>0.5</v>
      </c>
      <c r="BG252" s="3609">
        <v>0.5</v>
      </c>
      <c r="BH252" s="3609">
        <v>0.5</v>
      </c>
      <c r="BI252" s="3609">
        <v>0.5</v>
      </c>
      <c r="BJ252" s="3609">
        <v>0.5</v>
      </c>
      <c r="BK252" s="3609"/>
      <c r="BL252" s="3609"/>
      <c r="BM252" s="3609"/>
      <c r="BN252" s="3609"/>
      <c r="BO252" s="3609"/>
      <c r="BP252" s="3609"/>
      <c r="BQ252" s="3609"/>
      <c r="BR252" s="3609"/>
      <c r="BS252" s="3609"/>
      <c r="BT252" s="3609"/>
      <c r="BU252" s="3609"/>
      <c r="BV252" s="3609"/>
      <c r="BW252" s="3609"/>
      <c r="BX252" s="3609"/>
      <c r="BY252" s="3609"/>
      <c r="BZ252" s="3609"/>
      <c r="CA252" s="3609"/>
      <c r="CB252" s="3609"/>
      <c r="CC252" s="3609"/>
      <c r="CD252" s="3609"/>
      <c r="CE252" s="3609"/>
      <c r="CF252" s="3613">
        <f t="shared" si="87"/>
        <v>5</v>
      </c>
    </row>
    <row r="253" spans="1:84" ht="37.5" customHeight="1">
      <c r="A253" s="391" t="s">
        <v>1076</v>
      </c>
      <c r="B253" s="391" t="s">
        <v>1077</v>
      </c>
      <c r="C253" s="391" t="s">
        <v>1078</v>
      </c>
      <c r="D253" s="2254" t="s">
        <v>4219</v>
      </c>
      <c r="E253" s="2254" t="s">
        <v>141</v>
      </c>
      <c r="F253" s="1075" t="s">
        <v>141</v>
      </c>
      <c r="G253" s="2363">
        <v>0</v>
      </c>
      <c r="H253" s="283">
        <v>43500</v>
      </c>
      <c r="I253" s="2261">
        <f t="shared" ref="I253:I265" si="94">H253/100000</f>
        <v>0.435</v>
      </c>
      <c r="J253" s="283">
        <v>18</v>
      </c>
      <c r="K253" s="2364">
        <f t="shared" ref="K253:K265" si="95">I253*J253</f>
        <v>7.83</v>
      </c>
      <c r="L253" s="2365" t="s">
        <v>5204</v>
      </c>
      <c r="M253" s="2263">
        <f>'Abs10. NLEP'!Q897</f>
        <v>0</v>
      </c>
      <c r="N253" s="3657">
        <v>7.83</v>
      </c>
      <c r="O253" s="3661"/>
      <c r="P253" s="3661"/>
      <c r="Q253" s="3661"/>
      <c r="R253" s="3661"/>
      <c r="S253" s="3661"/>
      <c r="T253" s="3661"/>
      <c r="U253" s="3661"/>
      <c r="V253" s="3661"/>
      <c r="W253" s="3661"/>
      <c r="X253" s="3661"/>
      <c r="Y253" s="3661"/>
      <c r="Z253" s="3661"/>
      <c r="AA253" s="3661"/>
      <c r="AB253" s="3661"/>
      <c r="AC253" s="3661"/>
      <c r="AD253" s="3661"/>
      <c r="AE253" s="3661"/>
      <c r="AF253" s="3661"/>
      <c r="AG253" s="3661"/>
      <c r="AH253" s="3661"/>
      <c r="AI253" s="3661"/>
      <c r="AJ253" s="3661"/>
      <c r="AK253" s="3661"/>
      <c r="AL253" s="3661"/>
      <c r="AM253" s="3661"/>
      <c r="AN253" s="3661"/>
      <c r="AO253" s="3661"/>
      <c r="AP253" s="3661"/>
      <c r="AQ253" s="3661"/>
      <c r="AR253" s="3661"/>
      <c r="AS253" s="3661"/>
      <c r="AT253" s="3661"/>
      <c r="AU253" s="3661"/>
      <c r="AV253" s="3661"/>
      <c r="AW253" s="3661"/>
      <c r="AX253" s="3609">
        <v>0.38</v>
      </c>
      <c r="AY253" s="3609">
        <v>0.5</v>
      </c>
      <c r="AZ253" s="3609">
        <v>0.7</v>
      </c>
      <c r="BA253" s="3609">
        <v>0.5</v>
      </c>
      <c r="BB253" s="3609">
        <v>1.2</v>
      </c>
      <c r="BC253" s="3609">
        <v>0.4</v>
      </c>
      <c r="BD253" s="3609">
        <v>0.5</v>
      </c>
      <c r="BE253" s="3609">
        <v>0.2</v>
      </c>
      <c r="BF253" s="3609">
        <v>0.8</v>
      </c>
      <c r="BG253" s="3609">
        <v>0.8</v>
      </c>
      <c r="BH253" s="3609">
        <v>0.75</v>
      </c>
      <c r="BI253" s="3609">
        <v>0.6</v>
      </c>
      <c r="BJ253" s="3609">
        <v>0.5</v>
      </c>
      <c r="BK253" s="3609"/>
      <c r="BL253" s="3609"/>
      <c r="BM253" s="3609"/>
      <c r="BN253" s="3609"/>
      <c r="BO253" s="3609"/>
      <c r="BP253" s="3609"/>
      <c r="BQ253" s="3609"/>
      <c r="BR253" s="3609"/>
      <c r="BS253" s="3609"/>
      <c r="BT253" s="3609"/>
      <c r="BU253" s="3609"/>
      <c r="BV253" s="3609"/>
      <c r="BW253" s="3609"/>
      <c r="BX253" s="3609"/>
      <c r="BY253" s="3609"/>
      <c r="BZ253" s="3609"/>
      <c r="CA253" s="3609"/>
      <c r="CB253" s="3609"/>
      <c r="CC253" s="3609"/>
      <c r="CD253" s="3609"/>
      <c r="CE253" s="3609"/>
      <c r="CF253" s="3613">
        <f t="shared" si="87"/>
        <v>7.8299999999999992</v>
      </c>
    </row>
    <row r="254" spans="1:84" ht="37.5" customHeight="1">
      <c r="A254" s="1004" t="s">
        <v>1080</v>
      </c>
      <c r="B254" s="233" t="s">
        <v>1081</v>
      </c>
      <c r="C254" s="1004" t="s">
        <v>4638</v>
      </c>
      <c r="D254" s="2254" t="s">
        <v>4219</v>
      </c>
      <c r="E254" s="2254" t="s">
        <v>4525</v>
      </c>
      <c r="F254" s="1074" t="s">
        <v>4525</v>
      </c>
      <c r="G254" s="3523">
        <v>1</v>
      </c>
      <c r="H254" s="3524">
        <v>30597</v>
      </c>
      <c r="I254" s="3525">
        <f t="shared" si="94"/>
        <v>0.30597000000000002</v>
      </c>
      <c r="J254" s="3524">
        <v>95</v>
      </c>
      <c r="K254" s="3526">
        <f t="shared" si="95"/>
        <v>29.067150000000002</v>
      </c>
      <c r="L254" s="3527"/>
      <c r="M254" s="2257">
        <f>'Abs11. NTEP'!Q906</f>
        <v>0</v>
      </c>
      <c r="N254" s="3642">
        <v>29.07</v>
      </c>
      <c r="O254" s="3670"/>
      <c r="P254" s="3670"/>
      <c r="Q254" s="3670"/>
      <c r="R254" s="3670"/>
      <c r="S254" s="3670"/>
      <c r="T254" s="3670"/>
      <c r="U254" s="3670"/>
      <c r="V254" s="3670"/>
      <c r="W254" s="3670"/>
      <c r="X254" s="3670"/>
      <c r="Y254" s="3670"/>
      <c r="Z254" s="3670"/>
      <c r="AA254" s="3670"/>
      <c r="AB254" s="3670"/>
      <c r="AC254" s="3670"/>
      <c r="AD254" s="3670"/>
      <c r="AE254" s="3670"/>
      <c r="AF254" s="3670"/>
      <c r="AG254" s="3670"/>
      <c r="AH254" s="3670"/>
      <c r="AI254" s="3670"/>
      <c r="AJ254" s="3670"/>
      <c r="AK254" s="3670"/>
      <c r="AL254" s="3670"/>
      <c r="AM254" s="3670"/>
      <c r="AN254" s="3670"/>
      <c r="AO254" s="3670"/>
      <c r="AP254" s="3670"/>
      <c r="AQ254" s="3670"/>
      <c r="AR254" s="3670"/>
      <c r="AS254" s="3670"/>
      <c r="AT254" s="3670"/>
      <c r="AU254" s="3670"/>
      <c r="AV254" s="3670"/>
      <c r="AW254" s="3670"/>
      <c r="AX254" s="3616">
        <v>1.86</v>
      </c>
      <c r="AY254" s="3616">
        <v>0.82</v>
      </c>
      <c r="AZ254" s="3616">
        <v>0.92</v>
      </c>
      <c r="BA254" s="3616">
        <v>0.82</v>
      </c>
      <c r="BB254" s="3616">
        <v>1.22</v>
      </c>
      <c r="BC254" s="3616">
        <v>0.4</v>
      </c>
      <c r="BD254" s="3616">
        <v>0.92</v>
      </c>
      <c r="BE254" s="3616">
        <v>0.4</v>
      </c>
      <c r="BF254" s="3616">
        <v>1.22</v>
      </c>
      <c r="BG254" s="3616">
        <v>1.22</v>
      </c>
      <c r="BH254" s="3616">
        <v>1.22</v>
      </c>
      <c r="BI254" s="3616">
        <v>1.22</v>
      </c>
      <c r="BJ254" s="3616">
        <v>0.92</v>
      </c>
      <c r="BK254" s="3616"/>
      <c r="BL254" s="3616"/>
      <c r="BM254" s="3616"/>
      <c r="BN254" s="3616"/>
      <c r="BO254" s="3616"/>
      <c r="BP254" s="3616"/>
      <c r="BQ254" s="3616"/>
      <c r="BR254" s="3616"/>
      <c r="BS254" s="3616"/>
      <c r="BT254" s="3616"/>
      <c r="BU254" s="3616"/>
      <c r="BV254" s="3616"/>
      <c r="BW254" s="3616"/>
      <c r="BX254" s="3616"/>
      <c r="BY254" s="3616"/>
      <c r="BZ254" s="3616"/>
      <c r="CA254" s="3616">
        <v>6.73</v>
      </c>
      <c r="CB254" s="3616"/>
      <c r="CC254" s="3616">
        <v>5.51</v>
      </c>
      <c r="CD254" s="3616">
        <v>3.67</v>
      </c>
      <c r="CE254" s="3616"/>
      <c r="CF254" s="3617">
        <f t="shared" si="87"/>
        <v>29.07</v>
      </c>
    </row>
    <row r="255" spans="1:84" ht="37.5" customHeight="1">
      <c r="A255" s="586" t="s">
        <v>2509</v>
      </c>
      <c r="B255" s="391" t="s">
        <v>1082</v>
      </c>
      <c r="C255" s="586" t="s">
        <v>2267</v>
      </c>
      <c r="D255" s="2254" t="s">
        <v>4219</v>
      </c>
      <c r="E255" s="2254" t="s">
        <v>4525</v>
      </c>
      <c r="F255" s="1075" t="s">
        <v>4525</v>
      </c>
      <c r="G255" s="2340">
        <v>14</v>
      </c>
      <c r="H255" s="2368">
        <v>50000</v>
      </c>
      <c r="I255" s="2261">
        <f t="shared" si="94"/>
        <v>0.5</v>
      </c>
      <c r="J255" s="2368">
        <v>14</v>
      </c>
      <c r="K255" s="1472">
        <f t="shared" si="95"/>
        <v>7</v>
      </c>
      <c r="L255" s="719" t="s">
        <v>5171</v>
      </c>
      <c r="M255" s="2263">
        <f>'Abs11. NTEP'!Q907</f>
        <v>0</v>
      </c>
      <c r="N255" s="3657">
        <v>7</v>
      </c>
      <c r="O255" s="3661"/>
      <c r="P255" s="3661"/>
      <c r="Q255" s="3661"/>
      <c r="R255" s="3661"/>
      <c r="S255" s="3661"/>
      <c r="T255" s="3661"/>
      <c r="U255" s="3661"/>
      <c r="V255" s="3661"/>
      <c r="W255" s="3661"/>
      <c r="X255" s="3661"/>
      <c r="Y255" s="3661"/>
      <c r="Z255" s="3661"/>
      <c r="AA255" s="3661"/>
      <c r="AB255" s="3661"/>
      <c r="AC255" s="3661"/>
      <c r="AD255" s="3661"/>
      <c r="AE255" s="3661"/>
      <c r="AF255" s="3661"/>
      <c r="AG255" s="3661"/>
      <c r="AH255" s="3661"/>
      <c r="AI255" s="3661"/>
      <c r="AJ255" s="3661"/>
      <c r="AK255" s="3661"/>
      <c r="AL255" s="3661"/>
      <c r="AM255" s="3661"/>
      <c r="AN255" s="3661"/>
      <c r="AO255" s="3661"/>
      <c r="AP255" s="3661"/>
      <c r="AQ255" s="3661"/>
      <c r="AR255" s="3661"/>
      <c r="AS255" s="3661"/>
      <c r="AT255" s="3661"/>
      <c r="AU255" s="3661"/>
      <c r="AV255" s="3661"/>
      <c r="AW255" s="3661"/>
      <c r="AX255" s="3609">
        <v>7</v>
      </c>
      <c r="AY255" s="3609"/>
      <c r="AZ255" s="3609"/>
      <c r="BA255" s="3609"/>
      <c r="BB255" s="3609"/>
      <c r="BC255" s="3609"/>
      <c r="BD255" s="3609"/>
      <c r="BE255" s="3609"/>
      <c r="BF255" s="3609"/>
      <c r="BG255" s="3609"/>
      <c r="BH255" s="3609"/>
      <c r="BI255" s="3609"/>
      <c r="BJ255" s="3609"/>
      <c r="BK255" s="3609"/>
      <c r="BL255" s="3609"/>
      <c r="BM255" s="3609"/>
      <c r="BN255" s="3609"/>
      <c r="BO255" s="3609"/>
      <c r="BP255" s="3609"/>
      <c r="BQ255" s="3609"/>
      <c r="BR255" s="3609"/>
      <c r="BS255" s="3609"/>
      <c r="BT255" s="3609"/>
      <c r="BU255" s="3609"/>
      <c r="BV255" s="3609"/>
      <c r="BW255" s="3609"/>
      <c r="BX255" s="3609"/>
      <c r="BY255" s="3609"/>
      <c r="BZ255" s="3609"/>
      <c r="CA255" s="3609"/>
      <c r="CB255" s="3609"/>
      <c r="CC255" s="3609"/>
      <c r="CD255" s="3609"/>
      <c r="CE255" s="3609"/>
      <c r="CF255" s="3613">
        <f t="shared" si="87"/>
        <v>7</v>
      </c>
    </row>
    <row r="256" spans="1:84" ht="37.5" customHeight="1">
      <c r="A256" s="586" t="s">
        <v>1090</v>
      </c>
      <c r="B256" s="473" t="s">
        <v>1091</v>
      </c>
      <c r="C256" s="391" t="s">
        <v>1092</v>
      </c>
      <c r="D256" s="2264" t="s">
        <v>80</v>
      </c>
      <c r="E256" s="2264" t="s">
        <v>145</v>
      </c>
      <c r="F256" s="1075" t="s">
        <v>145</v>
      </c>
      <c r="G256" s="285"/>
      <c r="H256" s="2448">
        <v>262906</v>
      </c>
      <c r="I256" s="2261">
        <f t="shared" si="94"/>
        <v>2.62906</v>
      </c>
      <c r="J256" s="283">
        <v>8</v>
      </c>
      <c r="K256" s="1472">
        <f t="shared" si="95"/>
        <v>21.03248</v>
      </c>
      <c r="L256" s="719" t="s">
        <v>5244</v>
      </c>
      <c r="M256" s="2263">
        <f>'Abs16. NMHP'!Q892</f>
        <v>0</v>
      </c>
      <c r="N256" s="3671">
        <v>21.03</v>
      </c>
      <c r="O256" s="3661"/>
      <c r="P256" s="3661"/>
      <c r="Q256" s="3661"/>
      <c r="R256" s="3661"/>
      <c r="S256" s="3661"/>
      <c r="T256" s="3661"/>
      <c r="U256" s="3661"/>
      <c r="V256" s="3661"/>
      <c r="W256" s="3661"/>
      <c r="X256" s="3661"/>
      <c r="Y256" s="3661"/>
      <c r="Z256" s="3661"/>
      <c r="AA256" s="3661"/>
      <c r="AB256" s="3661"/>
      <c r="AC256" s="3661"/>
      <c r="AD256" s="3661"/>
      <c r="AE256" s="3661"/>
      <c r="AF256" s="3661"/>
      <c r="AG256" s="3661"/>
      <c r="AH256" s="3661"/>
      <c r="AI256" s="3661"/>
      <c r="AJ256" s="3661"/>
      <c r="AK256" s="3661"/>
      <c r="AL256" s="3661"/>
      <c r="AM256" s="3661"/>
      <c r="AN256" s="3661"/>
      <c r="AO256" s="3661"/>
      <c r="AP256" s="3661"/>
      <c r="AQ256" s="3661"/>
      <c r="AR256" s="3661"/>
      <c r="AS256" s="3661"/>
      <c r="AT256" s="3661"/>
      <c r="AU256" s="3661"/>
      <c r="AV256" s="3661"/>
      <c r="AW256" s="3661"/>
      <c r="AX256" s="3609">
        <v>21.03</v>
      </c>
      <c r="AY256" s="3609"/>
      <c r="AZ256" s="3609"/>
      <c r="BA256" s="3609"/>
      <c r="BB256" s="3609"/>
      <c r="BC256" s="3609"/>
      <c r="BD256" s="3609"/>
      <c r="BE256" s="3609"/>
      <c r="BF256" s="3609"/>
      <c r="BG256" s="3609"/>
      <c r="BH256" s="3609"/>
      <c r="BI256" s="3609"/>
      <c r="BJ256" s="3609"/>
      <c r="BK256" s="3609"/>
      <c r="BL256" s="3609"/>
      <c r="BM256" s="3609"/>
      <c r="BN256" s="3609"/>
      <c r="BO256" s="3609"/>
      <c r="BP256" s="3609"/>
      <c r="BQ256" s="3609"/>
      <c r="BR256" s="3609"/>
      <c r="BS256" s="3609"/>
      <c r="BT256" s="3609"/>
      <c r="BU256" s="3609"/>
      <c r="BV256" s="3609"/>
      <c r="BW256" s="3609"/>
      <c r="BX256" s="3609"/>
      <c r="BY256" s="3609"/>
      <c r="BZ256" s="3609"/>
      <c r="CA256" s="3609"/>
      <c r="CB256" s="3609"/>
      <c r="CC256" s="3609"/>
      <c r="CD256" s="3609"/>
      <c r="CE256" s="3609"/>
      <c r="CF256" s="3613">
        <f t="shared" si="87"/>
        <v>21.03</v>
      </c>
    </row>
    <row r="257" spans="1:84" ht="37.5" customHeight="1">
      <c r="A257" s="1004" t="s">
        <v>2512</v>
      </c>
      <c r="B257" s="1079" t="s">
        <v>1097</v>
      </c>
      <c r="C257" s="233" t="s">
        <v>4278</v>
      </c>
      <c r="D257" s="2264" t="s">
        <v>80</v>
      </c>
      <c r="E257" s="1074" t="s">
        <v>394</v>
      </c>
      <c r="F257" s="1074" t="s">
        <v>394</v>
      </c>
      <c r="G257" s="324">
        <v>1</v>
      </c>
      <c r="H257" s="243">
        <v>1000</v>
      </c>
      <c r="I257" s="3525">
        <f t="shared" si="94"/>
        <v>0.01</v>
      </c>
      <c r="J257" s="243">
        <v>200</v>
      </c>
      <c r="K257" s="3526">
        <f t="shared" si="95"/>
        <v>2</v>
      </c>
      <c r="L257" s="719"/>
      <c r="M257" s="2257">
        <f>'Abs17. NPHCE'!Q895</f>
        <v>0</v>
      </c>
      <c r="N257" s="3642">
        <v>2</v>
      </c>
      <c r="O257" s="3670"/>
      <c r="P257" s="3670"/>
      <c r="Q257" s="3670"/>
      <c r="R257" s="3670"/>
      <c r="S257" s="3670"/>
      <c r="T257" s="3670"/>
      <c r="U257" s="3670"/>
      <c r="V257" s="3670"/>
      <c r="W257" s="3670"/>
      <c r="X257" s="3670"/>
      <c r="Y257" s="3670"/>
      <c r="Z257" s="3670"/>
      <c r="AA257" s="3670"/>
      <c r="AB257" s="3670"/>
      <c r="AC257" s="3670"/>
      <c r="AD257" s="3670"/>
      <c r="AE257" s="3670"/>
      <c r="AF257" s="3670"/>
      <c r="AG257" s="3670"/>
      <c r="AH257" s="3670"/>
      <c r="AI257" s="3670"/>
      <c r="AJ257" s="3670"/>
      <c r="AK257" s="3670"/>
      <c r="AL257" s="3670"/>
      <c r="AM257" s="3670"/>
      <c r="AN257" s="3670"/>
      <c r="AO257" s="3670"/>
      <c r="AP257" s="3670"/>
      <c r="AQ257" s="3670"/>
      <c r="AR257" s="3670"/>
      <c r="AS257" s="3670"/>
      <c r="AT257" s="3670"/>
      <c r="AU257" s="3670"/>
      <c r="AV257" s="3670"/>
      <c r="AW257" s="3670"/>
      <c r="AX257" s="3616">
        <v>2</v>
      </c>
      <c r="AY257" s="3616"/>
      <c r="AZ257" s="3616"/>
      <c r="BA257" s="3616"/>
      <c r="BB257" s="3616"/>
      <c r="BC257" s="3616"/>
      <c r="BD257" s="3616"/>
      <c r="BE257" s="3616"/>
      <c r="BF257" s="3616"/>
      <c r="BG257" s="3616"/>
      <c r="BH257" s="3616"/>
      <c r="BI257" s="3616"/>
      <c r="BJ257" s="3618"/>
      <c r="BK257" s="3616"/>
      <c r="BL257" s="3616"/>
      <c r="BM257" s="3616"/>
      <c r="BN257" s="3616"/>
      <c r="BO257" s="3616"/>
      <c r="BP257" s="3616"/>
      <c r="BQ257" s="3616"/>
      <c r="BR257" s="3616"/>
      <c r="BS257" s="3616"/>
      <c r="BT257" s="3616"/>
      <c r="BU257" s="3616"/>
      <c r="BV257" s="3616"/>
      <c r="BW257" s="3616"/>
      <c r="BX257" s="3616"/>
      <c r="BY257" s="3616"/>
      <c r="BZ257" s="3616"/>
      <c r="CA257" s="3616"/>
      <c r="CB257" s="3616"/>
      <c r="CC257" s="3616"/>
      <c r="CD257" s="3616"/>
      <c r="CE257" s="3616"/>
      <c r="CF257" s="3619">
        <f t="shared" si="87"/>
        <v>2</v>
      </c>
    </row>
    <row r="258" spans="1:84" ht="37.5" customHeight="1">
      <c r="A258" s="1004" t="s">
        <v>2513</v>
      </c>
      <c r="B258" s="1079" t="s">
        <v>1098</v>
      </c>
      <c r="C258" s="233" t="s">
        <v>4279</v>
      </c>
      <c r="D258" s="2264" t="s">
        <v>80</v>
      </c>
      <c r="E258" s="1074" t="s">
        <v>394</v>
      </c>
      <c r="F258" s="1074" t="s">
        <v>394</v>
      </c>
      <c r="G258" s="324">
        <v>1</v>
      </c>
      <c r="H258" s="243">
        <v>1000</v>
      </c>
      <c r="I258" s="3525">
        <f t="shared" si="94"/>
        <v>0.01</v>
      </c>
      <c r="J258" s="243">
        <v>500</v>
      </c>
      <c r="K258" s="3526">
        <f t="shared" si="95"/>
        <v>5</v>
      </c>
      <c r="L258" s="719" t="s">
        <v>5465</v>
      </c>
      <c r="M258" s="2257">
        <f>'Abs17. NPHCE'!Q896</f>
        <v>0</v>
      </c>
      <c r="N258" s="3642">
        <v>5</v>
      </c>
      <c r="O258" s="3670"/>
      <c r="P258" s="3670"/>
      <c r="Q258" s="3670"/>
      <c r="R258" s="3670"/>
      <c r="S258" s="3670"/>
      <c r="T258" s="3670"/>
      <c r="U258" s="3670"/>
      <c r="V258" s="3670"/>
      <c r="W258" s="3670"/>
      <c r="X258" s="3670"/>
      <c r="Y258" s="3670"/>
      <c r="Z258" s="3670"/>
      <c r="AA258" s="3670"/>
      <c r="AB258" s="3670"/>
      <c r="AC258" s="3670"/>
      <c r="AD258" s="3670"/>
      <c r="AE258" s="3670"/>
      <c r="AF258" s="3670"/>
      <c r="AG258" s="3670"/>
      <c r="AH258" s="3670"/>
      <c r="AI258" s="3670"/>
      <c r="AJ258" s="3670"/>
      <c r="AK258" s="3670"/>
      <c r="AL258" s="3670"/>
      <c r="AM258" s="3670"/>
      <c r="AN258" s="3670"/>
      <c r="AO258" s="3670"/>
      <c r="AP258" s="3670"/>
      <c r="AQ258" s="3670"/>
      <c r="AR258" s="3670"/>
      <c r="AS258" s="3670"/>
      <c r="AT258" s="3670"/>
      <c r="AU258" s="3670"/>
      <c r="AV258" s="3670"/>
      <c r="AW258" s="3670"/>
      <c r="AX258" s="3616">
        <v>5</v>
      </c>
      <c r="AY258" s="3616"/>
      <c r="AZ258" s="3616"/>
      <c r="BA258" s="3616"/>
      <c r="BB258" s="3616"/>
      <c r="BC258" s="3616"/>
      <c r="BD258" s="3616"/>
      <c r="BE258" s="3616"/>
      <c r="BF258" s="3616"/>
      <c r="BG258" s="3616"/>
      <c r="BH258" s="3616"/>
      <c r="BI258" s="3616"/>
      <c r="BJ258" s="3616"/>
      <c r="BK258" s="3616"/>
      <c r="BL258" s="3616"/>
      <c r="BM258" s="3616"/>
      <c r="BN258" s="3616"/>
      <c r="BO258" s="3616"/>
      <c r="BP258" s="3616"/>
      <c r="BQ258" s="3616"/>
      <c r="BR258" s="3616"/>
      <c r="BS258" s="3616"/>
      <c r="BT258" s="3616"/>
      <c r="BU258" s="3616"/>
      <c r="BV258" s="3616"/>
      <c r="BW258" s="3616"/>
      <c r="BX258" s="3616"/>
      <c r="BY258" s="3616"/>
      <c r="BZ258" s="3616"/>
      <c r="CA258" s="3616"/>
      <c r="CB258" s="3616"/>
      <c r="CC258" s="3616"/>
      <c r="CD258" s="3616"/>
      <c r="CE258" s="3616"/>
      <c r="CF258" s="3619">
        <f t="shared" si="87"/>
        <v>5</v>
      </c>
    </row>
    <row r="259" spans="1:84" ht="37.5" customHeight="1">
      <c r="A259" s="1080" t="s">
        <v>1101</v>
      </c>
      <c r="B259" s="1080" t="s">
        <v>1102</v>
      </c>
      <c r="C259" s="1080" t="s">
        <v>4971</v>
      </c>
      <c r="D259" s="2576" t="s">
        <v>80</v>
      </c>
      <c r="E259" s="2576" t="s">
        <v>147</v>
      </c>
      <c r="F259" s="1170" t="s">
        <v>147</v>
      </c>
      <c r="G259" s="290">
        <v>1</v>
      </c>
      <c r="H259" s="2510">
        <v>10000</v>
      </c>
      <c r="I259" s="2261">
        <f t="shared" si="94"/>
        <v>0.1</v>
      </c>
      <c r="J259" s="283">
        <v>100</v>
      </c>
      <c r="K259" s="1472">
        <f t="shared" si="95"/>
        <v>10</v>
      </c>
      <c r="L259" s="762" t="s">
        <v>5394</v>
      </c>
      <c r="M259" s="2257">
        <f>'Abs18. NTCP'!Q891</f>
        <v>0</v>
      </c>
      <c r="N259" s="3642">
        <v>10</v>
      </c>
      <c r="O259" s="3661"/>
      <c r="P259" s="3661"/>
      <c r="Q259" s="3661"/>
      <c r="R259" s="3661"/>
      <c r="S259" s="3661"/>
      <c r="T259" s="3661"/>
      <c r="U259" s="3661"/>
      <c r="V259" s="3661"/>
      <c r="W259" s="3661"/>
      <c r="X259" s="3661"/>
      <c r="Y259" s="3661"/>
      <c r="Z259" s="3661"/>
      <c r="AA259" s="3661"/>
      <c r="AB259" s="3661"/>
      <c r="AC259" s="3661"/>
      <c r="AD259" s="3661"/>
      <c r="AE259" s="3661"/>
      <c r="AF259" s="3661"/>
      <c r="AG259" s="3661"/>
      <c r="AH259" s="3661"/>
      <c r="AI259" s="3661"/>
      <c r="AJ259" s="3661"/>
      <c r="AK259" s="3661"/>
      <c r="AL259" s="3661"/>
      <c r="AM259" s="3661"/>
      <c r="AN259" s="3661"/>
      <c r="AO259" s="3661"/>
      <c r="AP259" s="3661"/>
      <c r="AQ259" s="3661"/>
      <c r="AR259" s="3661"/>
      <c r="AS259" s="3661"/>
      <c r="AT259" s="3661"/>
      <c r="AU259" s="3661"/>
      <c r="AV259" s="3661"/>
      <c r="AW259" s="3661"/>
      <c r="AX259" s="3609">
        <v>10</v>
      </c>
      <c r="AY259" s="3609"/>
      <c r="AZ259" s="3609"/>
      <c r="BA259" s="3609"/>
      <c r="BB259" s="3609"/>
      <c r="BC259" s="3609"/>
      <c r="BD259" s="3609"/>
      <c r="BE259" s="3609"/>
      <c r="BF259" s="3609"/>
      <c r="BG259" s="3609"/>
      <c r="BH259" s="3609"/>
      <c r="BI259" s="3609"/>
      <c r="BJ259" s="3609"/>
      <c r="BK259" s="3609"/>
      <c r="BL259" s="3609"/>
      <c r="BM259" s="3609"/>
      <c r="BN259" s="3609"/>
      <c r="BO259" s="3609"/>
      <c r="BP259" s="3609"/>
      <c r="BQ259" s="3609"/>
      <c r="BR259" s="3609"/>
      <c r="BS259" s="3609"/>
      <c r="BT259" s="3609"/>
      <c r="BU259" s="3609"/>
      <c r="BV259" s="3609"/>
      <c r="BW259" s="3609"/>
      <c r="BX259" s="3609"/>
      <c r="BY259" s="3609"/>
      <c r="BZ259" s="3609"/>
      <c r="CA259" s="3609"/>
      <c r="CB259" s="3609"/>
      <c r="CC259" s="3609"/>
      <c r="CD259" s="3609"/>
      <c r="CE259" s="3609"/>
      <c r="CF259" s="3613">
        <f t="shared" si="87"/>
        <v>10</v>
      </c>
    </row>
    <row r="260" spans="1:84" ht="37.5" customHeight="1">
      <c r="A260" s="1080" t="s">
        <v>1103</v>
      </c>
      <c r="B260" s="1080" t="s">
        <v>1104</v>
      </c>
      <c r="C260" s="1080" t="s">
        <v>4972</v>
      </c>
      <c r="D260" s="2576" t="s">
        <v>80</v>
      </c>
      <c r="E260" s="2576" t="s">
        <v>147</v>
      </c>
      <c r="F260" s="1170" t="s">
        <v>147</v>
      </c>
      <c r="G260" s="290"/>
      <c r="H260" s="283">
        <v>1000</v>
      </c>
      <c r="I260" s="2261">
        <f t="shared" si="94"/>
        <v>0.01</v>
      </c>
      <c r="J260" s="283">
        <v>500</v>
      </c>
      <c r="K260" s="1472">
        <f t="shared" si="95"/>
        <v>5</v>
      </c>
      <c r="L260" s="762" t="s">
        <v>5423</v>
      </c>
      <c r="M260" s="2257">
        <f>'Abs18. NTCP'!Q892</f>
        <v>0</v>
      </c>
      <c r="N260" s="3642">
        <v>5</v>
      </c>
      <c r="O260" s="3661"/>
      <c r="P260" s="3661"/>
      <c r="Q260" s="3661"/>
      <c r="R260" s="3661"/>
      <c r="S260" s="3661"/>
      <c r="T260" s="3661"/>
      <c r="U260" s="3661"/>
      <c r="V260" s="3661"/>
      <c r="W260" s="3661"/>
      <c r="X260" s="3661"/>
      <c r="Y260" s="3661"/>
      <c r="Z260" s="3661"/>
      <c r="AA260" s="3661"/>
      <c r="AB260" s="3661"/>
      <c r="AC260" s="3661"/>
      <c r="AD260" s="3661"/>
      <c r="AE260" s="3661"/>
      <c r="AF260" s="3661"/>
      <c r="AG260" s="3661"/>
      <c r="AH260" s="3661"/>
      <c r="AI260" s="3661"/>
      <c r="AJ260" s="3661"/>
      <c r="AK260" s="3661"/>
      <c r="AL260" s="3661"/>
      <c r="AM260" s="3661"/>
      <c r="AN260" s="3661"/>
      <c r="AO260" s="3661"/>
      <c r="AP260" s="3661"/>
      <c r="AQ260" s="3661"/>
      <c r="AR260" s="3661"/>
      <c r="AS260" s="3661"/>
      <c r="AT260" s="3661"/>
      <c r="AU260" s="3661"/>
      <c r="AV260" s="3661"/>
      <c r="AW260" s="3661"/>
      <c r="AX260" s="3609">
        <v>0.5</v>
      </c>
      <c r="AY260" s="3609">
        <v>0.4</v>
      </c>
      <c r="AZ260" s="3609">
        <v>0.4</v>
      </c>
      <c r="BA260" s="3609">
        <v>0.4</v>
      </c>
      <c r="BB260" s="3609">
        <v>0.5</v>
      </c>
      <c r="BC260" s="3609">
        <v>0.1</v>
      </c>
      <c r="BD260" s="3609">
        <v>0.4</v>
      </c>
      <c r="BE260" s="3609">
        <v>0.1</v>
      </c>
      <c r="BF260" s="3609">
        <v>0.5</v>
      </c>
      <c r="BG260" s="3609">
        <v>0.5</v>
      </c>
      <c r="BH260" s="3609">
        <v>0.4</v>
      </c>
      <c r="BI260" s="3609">
        <v>0.4</v>
      </c>
      <c r="BJ260" s="3609">
        <v>0.4</v>
      </c>
      <c r="BK260" s="3609"/>
      <c r="BL260" s="3609"/>
      <c r="BM260" s="3609"/>
      <c r="BN260" s="3609"/>
      <c r="BO260" s="3609"/>
      <c r="BP260" s="3609"/>
      <c r="BQ260" s="3609"/>
      <c r="BR260" s="3609"/>
      <c r="BS260" s="3609"/>
      <c r="BT260" s="3609"/>
      <c r="BU260" s="3609"/>
      <c r="BV260" s="3609"/>
      <c r="BW260" s="3609"/>
      <c r="BX260" s="3609"/>
      <c r="BY260" s="3609"/>
      <c r="BZ260" s="3609"/>
      <c r="CA260" s="3609"/>
      <c r="CB260" s="3609"/>
      <c r="CC260" s="3609"/>
      <c r="CD260" s="3609"/>
      <c r="CE260" s="3609"/>
      <c r="CF260" s="3613">
        <f t="shared" si="87"/>
        <v>5.0000000000000009</v>
      </c>
    </row>
    <row r="261" spans="1:84" ht="37.5" customHeight="1">
      <c r="A261" s="473" t="s">
        <v>1108</v>
      </c>
      <c r="B261" s="473" t="s">
        <v>1109</v>
      </c>
      <c r="C261" s="391" t="s">
        <v>1110</v>
      </c>
      <c r="D261" s="2264" t="s">
        <v>80</v>
      </c>
      <c r="E261" s="2264" t="s">
        <v>410</v>
      </c>
      <c r="F261" s="1075" t="s">
        <v>410</v>
      </c>
      <c r="G261" s="2652">
        <v>1</v>
      </c>
      <c r="H261" s="2510">
        <v>10000</v>
      </c>
      <c r="I261" s="2261">
        <f t="shared" si="94"/>
        <v>0.1</v>
      </c>
      <c r="J261" s="283">
        <v>100</v>
      </c>
      <c r="K261" s="1472">
        <f t="shared" si="95"/>
        <v>10</v>
      </c>
      <c r="L261" s="3304" t="s">
        <v>5478</v>
      </c>
      <c r="M261" s="2263">
        <f>'Abs19. NPCDCS'!Q909</f>
        <v>0</v>
      </c>
      <c r="N261" s="3657">
        <v>10</v>
      </c>
      <c r="O261" s="3661"/>
      <c r="P261" s="3661"/>
      <c r="Q261" s="3661"/>
      <c r="R261" s="3661"/>
      <c r="S261" s="3661"/>
      <c r="T261" s="3661"/>
      <c r="U261" s="3661"/>
      <c r="V261" s="3661"/>
      <c r="W261" s="3661"/>
      <c r="X261" s="3661"/>
      <c r="Y261" s="3661"/>
      <c r="Z261" s="3661"/>
      <c r="AA261" s="3661"/>
      <c r="AB261" s="3661"/>
      <c r="AC261" s="3661"/>
      <c r="AD261" s="3661"/>
      <c r="AE261" s="3661"/>
      <c r="AF261" s="3661"/>
      <c r="AG261" s="3661"/>
      <c r="AH261" s="3661"/>
      <c r="AI261" s="3661"/>
      <c r="AJ261" s="3661"/>
      <c r="AK261" s="3661"/>
      <c r="AL261" s="3661"/>
      <c r="AM261" s="3661"/>
      <c r="AN261" s="3661"/>
      <c r="AO261" s="3661"/>
      <c r="AP261" s="3661"/>
      <c r="AQ261" s="3661"/>
      <c r="AR261" s="3661"/>
      <c r="AS261" s="3661"/>
      <c r="AT261" s="3661"/>
      <c r="AU261" s="3661"/>
      <c r="AV261" s="3661"/>
      <c r="AW261" s="3661"/>
      <c r="AX261" s="3609">
        <v>1</v>
      </c>
      <c r="AY261" s="3609">
        <v>0.75</v>
      </c>
      <c r="AZ261" s="3609">
        <v>0.75</v>
      </c>
      <c r="BA261" s="3609">
        <v>0.75</v>
      </c>
      <c r="BB261" s="3609">
        <v>1</v>
      </c>
      <c r="BC261" s="3609">
        <v>0.5</v>
      </c>
      <c r="BD261" s="3609">
        <v>0.75</v>
      </c>
      <c r="BE261" s="3609">
        <v>0.25</v>
      </c>
      <c r="BF261" s="3609">
        <v>1</v>
      </c>
      <c r="BG261" s="3609">
        <v>1</v>
      </c>
      <c r="BH261" s="3609">
        <v>0.75</v>
      </c>
      <c r="BI261" s="3609">
        <v>0.75</v>
      </c>
      <c r="BJ261" s="3609">
        <v>0.75</v>
      </c>
      <c r="BK261" s="3609"/>
      <c r="BL261" s="3609"/>
      <c r="BM261" s="3609"/>
      <c r="BN261" s="3609"/>
      <c r="BO261" s="3609"/>
      <c r="BP261" s="3609"/>
      <c r="BQ261" s="3609"/>
      <c r="BR261" s="3609"/>
      <c r="BS261" s="3609"/>
      <c r="BT261" s="3609"/>
      <c r="BU261" s="3609"/>
      <c r="BV261" s="3609"/>
      <c r="BW261" s="3609"/>
      <c r="BX261" s="3609"/>
      <c r="BY261" s="3609"/>
      <c r="BZ261" s="3609"/>
      <c r="CA261" s="3609"/>
      <c r="CB261" s="3609"/>
      <c r="CC261" s="3609"/>
      <c r="CD261" s="3609"/>
      <c r="CE261" s="3609"/>
      <c r="CF261" s="3613">
        <f t="shared" si="87"/>
        <v>10</v>
      </c>
    </row>
    <row r="262" spans="1:84" ht="37.5" customHeight="1">
      <c r="A262" s="586" t="s">
        <v>1013</v>
      </c>
      <c r="B262" s="586" t="s">
        <v>1015</v>
      </c>
      <c r="C262" s="586" t="s">
        <v>3761</v>
      </c>
      <c r="D262" s="2264" t="s">
        <v>80</v>
      </c>
      <c r="E262" s="2264" t="s">
        <v>65</v>
      </c>
      <c r="F262" s="1075" t="s">
        <v>1014</v>
      </c>
      <c r="G262" s="422"/>
      <c r="H262" s="2519">
        <v>1000</v>
      </c>
      <c r="I262" s="2261">
        <f t="shared" si="94"/>
        <v>0.01</v>
      </c>
      <c r="J262" s="2519">
        <v>100</v>
      </c>
      <c r="K262" s="1472">
        <f t="shared" si="95"/>
        <v>1</v>
      </c>
      <c r="L262" s="2578" t="s">
        <v>5306</v>
      </c>
      <c r="M262" s="2263">
        <f>'Abs22. NPPCD'!Q883</f>
        <v>0</v>
      </c>
      <c r="N262" s="3657">
        <v>1</v>
      </c>
      <c r="O262" s="3661"/>
      <c r="P262" s="3661"/>
      <c r="Q262" s="3661"/>
      <c r="R262" s="3661"/>
      <c r="S262" s="3661"/>
      <c r="T262" s="3661"/>
      <c r="U262" s="3661"/>
      <c r="V262" s="3661"/>
      <c r="W262" s="3661"/>
      <c r="X262" s="3661"/>
      <c r="Y262" s="3661"/>
      <c r="Z262" s="3661"/>
      <c r="AA262" s="3661"/>
      <c r="AB262" s="3661"/>
      <c r="AC262" s="3661"/>
      <c r="AD262" s="3661"/>
      <c r="AE262" s="3661"/>
      <c r="AF262" s="3661"/>
      <c r="AG262" s="3661"/>
      <c r="AH262" s="3661"/>
      <c r="AI262" s="3661"/>
      <c r="AJ262" s="3661"/>
      <c r="AK262" s="3661"/>
      <c r="AL262" s="3661"/>
      <c r="AM262" s="3661"/>
      <c r="AN262" s="3661"/>
      <c r="AO262" s="3661"/>
      <c r="AP262" s="3661"/>
      <c r="AQ262" s="3661"/>
      <c r="AR262" s="3661"/>
      <c r="AS262" s="3661"/>
      <c r="AT262" s="3661"/>
      <c r="AU262" s="3661"/>
      <c r="AV262" s="3661"/>
      <c r="AW262" s="3661"/>
      <c r="AX262" s="3609">
        <v>1</v>
      </c>
      <c r="AY262" s="3609"/>
      <c r="AZ262" s="3609"/>
      <c r="BA262" s="3609"/>
      <c r="BB262" s="3609"/>
      <c r="BC262" s="3609"/>
      <c r="BD262" s="3609"/>
      <c r="BE262" s="3609"/>
      <c r="BF262" s="3609"/>
      <c r="BG262" s="3609"/>
      <c r="BH262" s="3609"/>
      <c r="BI262" s="3609"/>
      <c r="BJ262" s="3609"/>
      <c r="BK262" s="3609"/>
      <c r="BL262" s="3609"/>
      <c r="BM262" s="3609"/>
      <c r="BN262" s="3609"/>
      <c r="BO262" s="3609"/>
      <c r="BP262" s="3609"/>
      <c r="BQ262" s="3609"/>
      <c r="BR262" s="3609"/>
      <c r="BS262" s="3609"/>
      <c r="BT262" s="3609"/>
      <c r="BU262" s="3609"/>
      <c r="BV262" s="3609"/>
      <c r="BW262" s="3609"/>
      <c r="BX262" s="3609"/>
      <c r="BY262" s="3609"/>
      <c r="BZ262" s="3609"/>
      <c r="CA262" s="3609"/>
      <c r="CB262" s="3609"/>
      <c r="CC262" s="3609"/>
      <c r="CD262" s="3609"/>
      <c r="CE262" s="3609"/>
      <c r="CF262" s="3613">
        <f t="shared" si="87"/>
        <v>1</v>
      </c>
    </row>
    <row r="263" spans="1:84" ht="37.5" customHeight="1">
      <c r="A263" s="586" t="s">
        <v>3854</v>
      </c>
      <c r="B263" s="586"/>
      <c r="C263" s="586" t="s">
        <v>3994</v>
      </c>
      <c r="D263" s="2264" t="s">
        <v>80</v>
      </c>
      <c r="E263" s="2264" t="s">
        <v>3989</v>
      </c>
      <c r="F263" s="1548" t="s">
        <v>3989</v>
      </c>
      <c r="G263" s="421"/>
      <c r="H263" s="283">
        <v>16923</v>
      </c>
      <c r="I263" s="2261">
        <f t="shared" si="94"/>
        <v>0.16922999999999999</v>
      </c>
      <c r="J263" s="283">
        <v>13</v>
      </c>
      <c r="K263" s="1472">
        <f t="shared" si="95"/>
        <v>2.1999899999999997</v>
      </c>
      <c r="L263" s="761"/>
      <c r="M263" s="2263">
        <f>'Abs21. NPCCHH'!Q884</f>
        <v>0</v>
      </c>
      <c r="N263" s="3657">
        <v>2.2000000000000002</v>
      </c>
      <c r="O263" s="3661"/>
      <c r="P263" s="3661"/>
      <c r="Q263" s="3661"/>
      <c r="R263" s="3661"/>
      <c r="S263" s="3661"/>
      <c r="T263" s="3661"/>
      <c r="U263" s="3661"/>
      <c r="V263" s="3661"/>
      <c r="W263" s="3661"/>
      <c r="X263" s="3661"/>
      <c r="Y263" s="3661"/>
      <c r="Z263" s="3661"/>
      <c r="AA263" s="3661"/>
      <c r="AB263" s="3661"/>
      <c r="AC263" s="3661"/>
      <c r="AD263" s="3661"/>
      <c r="AE263" s="3661"/>
      <c r="AF263" s="3661"/>
      <c r="AG263" s="3661"/>
      <c r="AH263" s="3661"/>
      <c r="AI263" s="3661"/>
      <c r="AJ263" s="3661"/>
      <c r="AK263" s="3661"/>
      <c r="AL263" s="3661"/>
      <c r="AM263" s="3661"/>
      <c r="AN263" s="3661"/>
      <c r="AO263" s="3661"/>
      <c r="AP263" s="3661"/>
      <c r="AQ263" s="3661"/>
      <c r="AR263" s="3661"/>
      <c r="AS263" s="3661"/>
      <c r="AT263" s="3661"/>
      <c r="AU263" s="3661"/>
      <c r="AV263" s="3661"/>
      <c r="AW263" s="3661"/>
      <c r="AX263" s="3609">
        <v>2.2000000000000002</v>
      </c>
      <c r="AY263" s="3609"/>
      <c r="AZ263" s="3609"/>
      <c r="BA263" s="3609"/>
      <c r="BB263" s="3609"/>
      <c r="BC263" s="3609"/>
      <c r="BD263" s="3609"/>
      <c r="BE263" s="3609"/>
      <c r="BF263" s="3609"/>
      <c r="BG263" s="3609"/>
      <c r="BH263" s="3609"/>
      <c r="BI263" s="3609"/>
      <c r="BJ263" s="3609"/>
      <c r="BK263" s="3609"/>
      <c r="BL263" s="3609"/>
      <c r="BM263" s="3609"/>
      <c r="BN263" s="3609"/>
      <c r="BO263" s="3609"/>
      <c r="BP263" s="3609"/>
      <c r="BQ263" s="3609"/>
      <c r="BR263" s="3609"/>
      <c r="BS263" s="3609"/>
      <c r="BT263" s="3609"/>
      <c r="BU263" s="3609"/>
      <c r="BV263" s="3609"/>
      <c r="BW263" s="3609"/>
      <c r="BX263" s="3609"/>
      <c r="BY263" s="3609"/>
      <c r="BZ263" s="3609"/>
      <c r="CA263" s="3609"/>
      <c r="CB263" s="3609"/>
      <c r="CC263" s="3609"/>
      <c r="CD263" s="3609"/>
      <c r="CE263" s="3609"/>
      <c r="CF263" s="3613">
        <f t="shared" si="87"/>
        <v>2.2000000000000002</v>
      </c>
    </row>
    <row r="264" spans="1:84" ht="37.5" customHeight="1">
      <c r="A264" s="1556" t="s">
        <v>1163</v>
      </c>
      <c r="B264" s="1308" t="s">
        <v>764</v>
      </c>
      <c r="C264" s="521" t="s">
        <v>1164</v>
      </c>
      <c r="D264" s="1738" t="s">
        <v>85</v>
      </c>
      <c r="E264" s="1738" t="s">
        <v>85</v>
      </c>
      <c r="F264" s="1734" t="s">
        <v>113</v>
      </c>
      <c r="G264" s="484"/>
      <c r="H264" s="2440">
        <v>2200</v>
      </c>
      <c r="I264" s="298">
        <f t="shared" si="94"/>
        <v>2.1999999999999999E-2</v>
      </c>
      <c r="J264" s="2440">
        <v>125</v>
      </c>
      <c r="K264" s="298">
        <f t="shared" si="95"/>
        <v>2.75</v>
      </c>
      <c r="L264" s="2441" t="s">
        <v>5390</v>
      </c>
      <c r="M264" s="3729">
        <f>'Ab1. RMNCH+A'!Q1242</f>
        <v>0</v>
      </c>
      <c r="N264" s="3639">
        <v>2.25</v>
      </c>
      <c r="O264" s="3672"/>
      <c r="P264" s="3672"/>
      <c r="Q264" s="3672"/>
      <c r="R264" s="3672"/>
      <c r="S264" s="3672"/>
      <c r="T264" s="3672"/>
      <c r="U264" s="3672"/>
      <c r="V264" s="3672"/>
      <c r="W264" s="3672"/>
      <c r="X264" s="3672"/>
      <c r="Y264" s="3672"/>
      <c r="Z264" s="3672"/>
      <c r="AA264" s="3672"/>
      <c r="AB264" s="3672"/>
      <c r="AC264" s="3672"/>
      <c r="AD264" s="3672"/>
      <c r="AE264" s="3672"/>
      <c r="AF264" s="3672"/>
      <c r="AG264" s="3672"/>
      <c r="AH264" s="3672"/>
      <c r="AI264" s="3672"/>
      <c r="AJ264" s="3672"/>
      <c r="AK264" s="3672"/>
      <c r="AL264" s="3672"/>
      <c r="AM264" s="3672"/>
      <c r="AN264" s="3672"/>
      <c r="AO264" s="3672"/>
      <c r="AP264" s="3672"/>
      <c r="AQ264" s="3672"/>
      <c r="AR264" s="3672"/>
      <c r="AS264" s="3672"/>
      <c r="AT264" s="3672"/>
      <c r="AU264" s="3672"/>
      <c r="AV264" s="3672"/>
      <c r="AW264" s="3672"/>
      <c r="AX264" s="3620">
        <v>0.98</v>
      </c>
      <c r="AY264" s="3620">
        <v>0.09</v>
      </c>
      <c r="AZ264" s="3620">
        <v>0.11</v>
      </c>
      <c r="BA264" s="3620">
        <v>0.09</v>
      </c>
      <c r="BB264" s="3620">
        <v>0.19</v>
      </c>
      <c r="BC264" s="3620">
        <v>0.05</v>
      </c>
      <c r="BD264" s="3620">
        <v>0.09</v>
      </c>
      <c r="BE264" s="3620">
        <v>0.03</v>
      </c>
      <c r="BF264" s="3620">
        <v>0.19</v>
      </c>
      <c r="BG264" s="3620">
        <v>0.16</v>
      </c>
      <c r="BH264" s="3620">
        <v>0.09</v>
      </c>
      <c r="BI264" s="3620">
        <v>0.09</v>
      </c>
      <c r="BJ264" s="3620">
        <v>0.09</v>
      </c>
      <c r="BK264" s="3620"/>
      <c r="BL264" s="3620"/>
      <c r="BM264" s="3620"/>
      <c r="BN264" s="3620"/>
      <c r="BO264" s="3620"/>
      <c r="BP264" s="3620"/>
      <c r="BQ264" s="3620"/>
      <c r="BR264" s="3620"/>
      <c r="BS264" s="3620"/>
      <c r="BT264" s="3620"/>
      <c r="BU264" s="3620"/>
      <c r="BV264" s="3620"/>
      <c r="BW264" s="3620"/>
      <c r="BX264" s="3620"/>
      <c r="BY264" s="3620"/>
      <c r="BZ264" s="3620"/>
      <c r="CA264" s="3620"/>
      <c r="CB264" s="3620"/>
      <c r="CC264" s="3620"/>
      <c r="CD264" s="3620"/>
      <c r="CE264" s="3620"/>
      <c r="CF264" s="3715">
        <f t="shared" si="87"/>
        <v>2.25</v>
      </c>
    </row>
    <row r="265" spans="1:84" ht="37.5" customHeight="1">
      <c r="A265" s="1556" t="s">
        <v>2091</v>
      </c>
      <c r="B265" s="1308" t="s">
        <v>830</v>
      </c>
      <c r="C265" s="521" t="s">
        <v>1165</v>
      </c>
      <c r="D265" s="1738" t="s">
        <v>85</v>
      </c>
      <c r="E265" s="1738" t="s">
        <v>85</v>
      </c>
      <c r="F265" s="1734" t="s">
        <v>126</v>
      </c>
      <c r="G265" s="2644">
        <v>1</v>
      </c>
      <c r="H265" s="2504">
        <v>750</v>
      </c>
      <c r="I265" s="298">
        <f t="shared" si="94"/>
        <v>7.4999999999999997E-3</v>
      </c>
      <c r="J265" s="2504">
        <v>1500</v>
      </c>
      <c r="K265" s="298">
        <f t="shared" si="95"/>
        <v>11.25</v>
      </c>
      <c r="L265" s="108" t="s">
        <v>5467</v>
      </c>
      <c r="M265" s="1004">
        <f>'Ab1. RMNCH+A'!Q1325</f>
        <v>0</v>
      </c>
      <c r="N265" s="3639">
        <v>11.25</v>
      </c>
      <c r="O265" s="3672"/>
      <c r="P265" s="3672"/>
      <c r="Q265" s="3672"/>
      <c r="R265" s="3672"/>
      <c r="S265" s="3672"/>
      <c r="T265" s="3672"/>
      <c r="U265" s="3672"/>
      <c r="V265" s="3672"/>
      <c r="W265" s="3672"/>
      <c r="X265" s="3672"/>
      <c r="Y265" s="3672"/>
      <c r="Z265" s="3672"/>
      <c r="AA265" s="3672"/>
      <c r="AB265" s="3672"/>
      <c r="AC265" s="3672"/>
      <c r="AD265" s="3672"/>
      <c r="AE265" s="3672"/>
      <c r="AF265" s="3672"/>
      <c r="AG265" s="3672"/>
      <c r="AH265" s="3672"/>
      <c r="AI265" s="3672"/>
      <c r="AJ265" s="3672"/>
      <c r="AK265" s="3672"/>
      <c r="AL265" s="3672"/>
      <c r="AM265" s="3672"/>
      <c r="AN265" s="3672"/>
      <c r="AO265" s="3672"/>
      <c r="AP265" s="3672"/>
      <c r="AQ265" s="3672"/>
      <c r="AR265" s="3672"/>
      <c r="AS265" s="3672"/>
      <c r="AT265" s="3672"/>
      <c r="AU265" s="3672"/>
      <c r="AV265" s="3672"/>
      <c r="AW265" s="3672"/>
      <c r="AX265" s="3620"/>
      <c r="AY265" s="3620">
        <v>0.5</v>
      </c>
      <c r="AZ265" s="3620">
        <v>0.3</v>
      </c>
      <c r="BA265" s="3620">
        <v>1.5</v>
      </c>
      <c r="BB265" s="3620">
        <v>3</v>
      </c>
      <c r="BC265" s="3620">
        <v>0.1</v>
      </c>
      <c r="BD265" s="3620">
        <v>0.5</v>
      </c>
      <c r="BE265" s="3620">
        <v>0.05</v>
      </c>
      <c r="BF265" s="3620">
        <v>1</v>
      </c>
      <c r="BG265" s="3620">
        <v>3</v>
      </c>
      <c r="BH265" s="3620">
        <v>0.3</v>
      </c>
      <c r="BI265" s="3620">
        <v>0.5</v>
      </c>
      <c r="BJ265" s="3620">
        <v>0.5</v>
      </c>
      <c r="BK265" s="3620"/>
      <c r="BL265" s="3620"/>
      <c r="BM265" s="3620"/>
      <c r="BN265" s="3620"/>
      <c r="BO265" s="3620"/>
      <c r="BP265" s="3620"/>
      <c r="BQ265" s="3620"/>
      <c r="BR265" s="3620"/>
      <c r="BS265" s="3620"/>
      <c r="BT265" s="3620"/>
      <c r="BU265" s="3620"/>
      <c r="BV265" s="3620"/>
      <c r="BW265" s="3620"/>
      <c r="BX265" s="3620"/>
      <c r="BY265" s="3620"/>
      <c r="BZ265" s="3620"/>
      <c r="CA265" s="3620"/>
      <c r="CB265" s="3620"/>
      <c r="CC265" s="3620"/>
      <c r="CD265" s="3620"/>
      <c r="CE265" s="3620"/>
      <c r="CF265" s="3715">
        <f t="shared" si="87"/>
        <v>11.25</v>
      </c>
    </row>
    <row r="266" spans="1:84" ht="37.5" customHeight="1">
      <c r="A266" s="1556" t="s">
        <v>1188</v>
      </c>
      <c r="B266" s="391" t="s">
        <v>1082</v>
      </c>
      <c r="C266" s="391" t="s">
        <v>2269</v>
      </c>
      <c r="D266" s="2254" t="s">
        <v>4219</v>
      </c>
      <c r="E266" s="2254" t="s">
        <v>4525</v>
      </c>
      <c r="F266" s="1734" t="s">
        <v>4525</v>
      </c>
      <c r="G266" s="2371"/>
      <c r="H266" s="2368">
        <v>300000</v>
      </c>
      <c r="I266" s="298">
        <f t="shared" ref="I266" si="96">H266/100000</f>
        <v>3</v>
      </c>
      <c r="J266" s="2368">
        <v>3</v>
      </c>
      <c r="K266" s="298">
        <f t="shared" ref="K266" si="97">I266*J266</f>
        <v>9</v>
      </c>
      <c r="L266" s="2372" t="s">
        <v>5172</v>
      </c>
      <c r="M266" s="2373">
        <f>'Abs11. NTEP'!Q1189</f>
        <v>0</v>
      </c>
      <c r="N266" s="3639">
        <v>9</v>
      </c>
      <c r="O266" s="3672"/>
      <c r="P266" s="3672"/>
      <c r="Q266" s="3672"/>
      <c r="R266" s="3672"/>
      <c r="S266" s="3672"/>
      <c r="T266" s="3672"/>
      <c r="U266" s="3672"/>
      <c r="V266" s="3672"/>
      <c r="W266" s="3672"/>
      <c r="X266" s="3672"/>
      <c r="Y266" s="3672"/>
      <c r="Z266" s="3672"/>
      <c r="AA266" s="3672"/>
      <c r="AB266" s="3672"/>
      <c r="AC266" s="3672"/>
      <c r="AD266" s="3672"/>
      <c r="AE266" s="3672"/>
      <c r="AF266" s="3672"/>
      <c r="AG266" s="3672"/>
      <c r="AH266" s="3672"/>
      <c r="AI266" s="3672"/>
      <c r="AJ266" s="3672"/>
      <c r="AK266" s="3672"/>
      <c r="AL266" s="3672"/>
      <c r="AM266" s="3672"/>
      <c r="AN266" s="3672"/>
      <c r="AO266" s="3672"/>
      <c r="AP266" s="3672"/>
      <c r="AQ266" s="3672"/>
      <c r="AR266" s="3672"/>
      <c r="AS266" s="3672"/>
      <c r="AT266" s="3672"/>
      <c r="AU266" s="3672"/>
      <c r="AV266" s="3672"/>
      <c r="AW266" s="3672"/>
      <c r="AX266" s="3620">
        <v>9</v>
      </c>
      <c r="AY266" s="3620"/>
      <c r="AZ266" s="3620"/>
      <c r="BA266" s="3620"/>
      <c r="BB266" s="3620"/>
      <c r="BC266" s="3620"/>
      <c r="BD266" s="3620"/>
      <c r="BE266" s="3620"/>
      <c r="BF266" s="3620"/>
      <c r="BG266" s="3620"/>
      <c r="BH266" s="3620"/>
      <c r="BI266" s="3620"/>
      <c r="BJ266" s="3620"/>
      <c r="BK266" s="3620"/>
      <c r="BL266" s="3620"/>
      <c r="BM266" s="3620"/>
      <c r="BN266" s="3620"/>
      <c r="BO266" s="3620"/>
      <c r="BP266" s="3620"/>
      <c r="BQ266" s="3620"/>
      <c r="BR266" s="3620"/>
      <c r="BS266" s="3620"/>
      <c r="BT266" s="3620"/>
      <c r="BU266" s="3620"/>
      <c r="BV266" s="3620"/>
      <c r="BW266" s="3620"/>
      <c r="BX266" s="3620"/>
      <c r="BY266" s="3620"/>
      <c r="BZ266" s="3620"/>
      <c r="CA266" s="3620"/>
      <c r="CB266" s="3620"/>
      <c r="CC266" s="3620"/>
      <c r="CD266" s="3620"/>
      <c r="CE266" s="3620"/>
      <c r="CF266" s="3715">
        <f t="shared" si="87"/>
        <v>9</v>
      </c>
    </row>
    <row r="267" spans="1:84" ht="37.5" customHeight="1">
      <c r="A267" s="391" t="s">
        <v>1292</v>
      </c>
      <c r="B267" s="391" t="s">
        <v>1211</v>
      </c>
      <c r="C267" s="391" t="s">
        <v>1212</v>
      </c>
      <c r="D267" s="2254" t="s">
        <v>4219</v>
      </c>
      <c r="E267" s="2254" t="s">
        <v>109</v>
      </c>
      <c r="F267" s="1185" t="s">
        <v>2539</v>
      </c>
      <c r="G267" s="421"/>
      <c r="H267" s="283">
        <v>30000</v>
      </c>
      <c r="I267" s="298">
        <f t="shared" ref="I267" si="98">H267/100000</f>
        <v>0.3</v>
      </c>
      <c r="J267" s="283">
        <v>7</v>
      </c>
      <c r="K267" s="298">
        <f t="shared" ref="K267" si="99">I267*J267</f>
        <v>2.1</v>
      </c>
      <c r="L267" s="289" t="s">
        <v>5456</v>
      </c>
      <c r="M267" s="247">
        <f>'Abs9. NVBDCP'!Q1231</f>
        <v>0</v>
      </c>
      <c r="N267" s="3639">
        <v>2.1</v>
      </c>
      <c r="O267" s="3653"/>
      <c r="P267" s="3653"/>
      <c r="Q267" s="3653"/>
      <c r="R267" s="3653"/>
      <c r="S267" s="3653"/>
      <c r="T267" s="3653"/>
      <c r="U267" s="3653"/>
      <c r="V267" s="3653"/>
      <c r="W267" s="3653"/>
      <c r="X267" s="3653"/>
      <c r="Y267" s="3653"/>
      <c r="Z267" s="3653"/>
      <c r="AA267" s="3653"/>
      <c r="AB267" s="3653"/>
      <c r="AC267" s="3653"/>
      <c r="AD267" s="3653"/>
      <c r="AE267" s="3653"/>
      <c r="AF267" s="3653"/>
      <c r="AG267" s="3653"/>
      <c r="AH267" s="3653"/>
      <c r="AI267" s="3653"/>
      <c r="AJ267" s="3653"/>
      <c r="AK267" s="3653"/>
      <c r="AL267" s="3653"/>
      <c r="AM267" s="3653"/>
      <c r="AN267" s="3653"/>
      <c r="AO267" s="3653"/>
      <c r="AP267" s="3653"/>
      <c r="AQ267" s="3653"/>
      <c r="AR267" s="3653"/>
      <c r="AS267" s="3653"/>
      <c r="AT267" s="3653"/>
      <c r="AU267" s="3653"/>
      <c r="AV267" s="3653"/>
      <c r="AW267" s="3653"/>
      <c r="AX267" s="3595"/>
      <c r="AY267" s="3595"/>
      <c r="AZ267" s="3595"/>
      <c r="BA267" s="3595"/>
      <c r="BB267" s="3595"/>
      <c r="BC267" s="3595"/>
      <c r="BD267" s="3595"/>
      <c r="BE267" s="3595"/>
      <c r="BF267" s="3595"/>
      <c r="BG267" s="3595"/>
      <c r="BH267" s="3595"/>
      <c r="BI267" s="3595">
        <v>0.6</v>
      </c>
      <c r="BJ267" s="3595"/>
      <c r="BK267" s="3595">
        <v>0.3</v>
      </c>
      <c r="BL267" s="3595">
        <v>0.3</v>
      </c>
      <c r="BM267" s="3595"/>
      <c r="BN267" s="3595"/>
      <c r="BO267" s="3595"/>
      <c r="BP267" s="3595"/>
      <c r="BQ267" s="3595"/>
      <c r="BR267" s="3595">
        <v>0.3</v>
      </c>
      <c r="BS267" s="3595"/>
      <c r="BT267" s="3595"/>
      <c r="BU267" s="3595"/>
      <c r="BV267" s="3595">
        <v>0.3</v>
      </c>
      <c r="BW267" s="3595"/>
      <c r="BX267" s="3595"/>
      <c r="BY267" s="3595"/>
      <c r="BZ267" s="3595">
        <v>0.3</v>
      </c>
      <c r="CA267" s="3595"/>
      <c r="CB267" s="3595"/>
      <c r="CC267" s="3595"/>
      <c r="CD267" s="3595"/>
      <c r="CE267" s="3595"/>
      <c r="CF267" s="3715">
        <f t="shared" si="87"/>
        <v>2.1</v>
      </c>
    </row>
    <row r="268" spans="1:84" ht="37.5" customHeight="1">
      <c r="A268" s="391" t="s">
        <v>1216</v>
      </c>
      <c r="B268" s="1480" t="s">
        <v>1217</v>
      </c>
      <c r="C268" s="1480" t="s">
        <v>1218</v>
      </c>
      <c r="D268" s="2457" t="s">
        <v>85</v>
      </c>
      <c r="E268" s="2457" t="s">
        <v>203</v>
      </c>
      <c r="F268" s="1185" t="s">
        <v>203</v>
      </c>
      <c r="G268" s="421"/>
      <c r="H268" s="283">
        <v>100000</v>
      </c>
      <c r="I268" s="298">
        <f t="shared" ref="I268:I270" si="100">H268/100000</f>
        <v>1</v>
      </c>
      <c r="J268" s="283">
        <v>1</v>
      </c>
      <c r="K268" s="298">
        <f t="shared" ref="K268:K270" si="101">I268*J268</f>
        <v>1</v>
      </c>
      <c r="L268" s="289" t="s">
        <v>5209</v>
      </c>
      <c r="M268" s="247">
        <f>'Ab2. NIDDCP'!Q1168</f>
        <v>0</v>
      </c>
      <c r="N268" s="3639">
        <v>1</v>
      </c>
      <c r="O268" s="3653"/>
      <c r="P268" s="3653"/>
      <c r="Q268" s="3653"/>
      <c r="R268" s="3653"/>
      <c r="S268" s="3653"/>
      <c r="T268" s="3653"/>
      <c r="U268" s="3653"/>
      <c r="V268" s="3653"/>
      <c r="W268" s="3653"/>
      <c r="X268" s="3653"/>
      <c r="Y268" s="3653"/>
      <c r="Z268" s="3653"/>
      <c r="AA268" s="3653"/>
      <c r="AB268" s="3653"/>
      <c r="AC268" s="3653"/>
      <c r="AD268" s="3653"/>
      <c r="AE268" s="3653"/>
      <c r="AF268" s="3653"/>
      <c r="AG268" s="3653"/>
      <c r="AH268" s="3653"/>
      <c r="AI268" s="3653"/>
      <c r="AJ268" s="3653"/>
      <c r="AK268" s="3653"/>
      <c r="AL268" s="3653"/>
      <c r="AM268" s="3653"/>
      <c r="AN268" s="3653"/>
      <c r="AO268" s="3653"/>
      <c r="AP268" s="3653"/>
      <c r="AQ268" s="3653"/>
      <c r="AR268" s="3653"/>
      <c r="AS268" s="3653"/>
      <c r="AT268" s="3653"/>
      <c r="AU268" s="3653"/>
      <c r="AV268" s="3653"/>
      <c r="AW268" s="3653"/>
      <c r="AX268" s="3595"/>
      <c r="AY268" s="3595"/>
      <c r="AZ268" s="3595"/>
      <c r="BA268" s="3595"/>
      <c r="BB268" s="3595">
        <v>1</v>
      </c>
      <c r="BC268" s="3595"/>
      <c r="BD268" s="3595"/>
      <c r="BE268" s="3595"/>
      <c r="BF268" s="3595"/>
      <c r="BG268" s="3595"/>
      <c r="BH268" s="3595"/>
      <c r="BI268" s="3595"/>
      <c r="BJ268" s="3595"/>
      <c r="BK268" s="3595"/>
      <c r="BL268" s="3595"/>
      <c r="BM268" s="3595"/>
      <c r="BN268" s="3595"/>
      <c r="BO268" s="3595"/>
      <c r="BP268" s="3595"/>
      <c r="BQ268" s="3595"/>
      <c r="BR268" s="3595"/>
      <c r="BS268" s="3595"/>
      <c r="BT268" s="3595"/>
      <c r="BU268" s="3595"/>
      <c r="BV268" s="3595"/>
      <c r="BW268" s="3595"/>
      <c r="BX268" s="3595"/>
      <c r="BY268" s="3595"/>
      <c r="BZ268" s="3595"/>
      <c r="CA268" s="3595"/>
      <c r="CB268" s="3595"/>
      <c r="CC268" s="3595"/>
      <c r="CD268" s="3595"/>
      <c r="CE268" s="3595"/>
      <c r="CF268" s="3715">
        <f t="shared" si="87"/>
        <v>1</v>
      </c>
    </row>
    <row r="269" spans="1:84" ht="37.5" customHeight="1">
      <c r="A269" s="391" t="s">
        <v>1219</v>
      </c>
      <c r="B269" s="1480" t="s">
        <v>1220</v>
      </c>
      <c r="C269" s="1480" t="s">
        <v>1221</v>
      </c>
      <c r="D269" s="2254" t="s">
        <v>4219</v>
      </c>
      <c r="E269" s="2254" t="s">
        <v>288</v>
      </c>
      <c r="F269" s="1185" t="s">
        <v>288</v>
      </c>
      <c r="G269" s="397">
        <v>6</v>
      </c>
      <c r="H269" s="279">
        <v>200000</v>
      </c>
      <c r="I269" s="298">
        <f t="shared" si="100"/>
        <v>2</v>
      </c>
      <c r="J269" s="279">
        <v>2</v>
      </c>
      <c r="K269" s="298">
        <f t="shared" si="101"/>
        <v>4</v>
      </c>
      <c r="L269" s="380" t="s">
        <v>5450</v>
      </c>
      <c r="M269" s="233">
        <f>'Abs8. IDSP'!Q1174</f>
        <v>0</v>
      </c>
      <c r="N269" s="3639">
        <v>4</v>
      </c>
      <c r="O269" s="3653"/>
      <c r="P269" s="3653"/>
      <c r="Q269" s="3653"/>
      <c r="R269" s="3653"/>
      <c r="S269" s="3653"/>
      <c r="T269" s="3653"/>
      <c r="U269" s="3653"/>
      <c r="V269" s="3653"/>
      <c r="W269" s="3653"/>
      <c r="X269" s="3653"/>
      <c r="Y269" s="3653"/>
      <c r="Z269" s="3653"/>
      <c r="AA269" s="3653"/>
      <c r="AB269" s="3653"/>
      <c r="AC269" s="3653"/>
      <c r="AD269" s="3653"/>
      <c r="AE269" s="3653"/>
      <c r="AF269" s="3653"/>
      <c r="AG269" s="3653"/>
      <c r="AH269" s="3653"/>
      <c r="AI269" s="3653"/>
      <c r="AJ269" s="3653"/>
      <c r="AK269" s="3653"/>
      <c r="AL269" s="3653"/>
      <c r="AM269" s="3653"/>
      <c r="AN269" s="3653"/>
      <c r="AO269" s="3653"/>
      <c r="AP269" s="3653"/>
      <c r="AQ269" s="3653"/>
      <c r="AR269" s="3653"/>
      <c r="AS269" s="3653"/>
      <c r="AT269" s="3653"/>
      <c r="AU269" s="3653"/>
      <c r="AV269" s="3653"/>
      <c r="AW269" s="3653"/>
      <c r="AX269" s="3595"/>
      <c r="AY269" s="3595"/>
      <c r="AZ269" s="3595"/>
      <c r="BA269" s="3595"/>
      <c r="BB269" s="3595"/>
      <c r="BC269" s="3595"/>
      <c r="BD269" s="3595"/>
      <c r="BE269" s="3595"/>
      <c r="BF269" s="3595"/>
      <c r="BG269" s="3595"/>
      <c r="BH269" s="3595"/>
      <c r="BI269" s="3595"/>
      <c r="BJ269" s="3595"/>
      <c r="BK269" s="3595"/>
      <c r="BL269" s="3595"/>
      <c r="BM269" s="3595"/>
      <c r="BN269" s="3595"/>
      <c r="BO269" s="3595"/>
      <c r="BP269" s="3595"/>
      <c r="BQ269" s="3595"/>
      <c r="BR269" s="3595">
        <v>2</v>
      </c>
      <c r="BS269" s="3595"/>
      <c r="BT269" s="3595"/>
      <c r="BU269" s="3595"/>
      <c r="BV269" s="3595">
        <v>2</v>
      </c>
      <c r="BW269" s="3595"/>
      <c r="BX269" s="3595"/>
      <c r="BY269" s="3595"/>
      <c r="BZ269" s="3595"/>
      <c r="CA269" s="3595"/>
      <c r="CB269" s="3595"/>
      <c r="CC269" s="3595"/>
      <c r="CD269" s="3595"/>
      <c r="CE269" s="3595"/>
      <c r="CF269" s="3715">
        <f t="shared" si="87"/>
        <v>4</v>
      </c>
    </row>
    <row r="270" spans="1:84" ht="37.5" customHeight="1">
      <c r="A270" s="391" t="s">
        <v>1222</v>
      </c>
      <c r="B270" s="1480" t="s">
        <v>1223</v>
      </c>
      <c r="C270" s="1480" t="s">
        <v>1224</v>
      </c>
      <c r="D270" s="2254" t="s">
        <v>4219</v>
      </c>
      <c r="E270" s="2254" t="s">
        <v>288</v>
      </c>
      <c r="F270" s="1185" t="s">
        <v>288</v>
      </c>
      <c r="G270" s="421"/>
      <c r="H270" s="283">
        <v>500000</v>
      </c>
      <c r="I270" s="298">
        <f t="shared" si="100"/>
        <v>5</v>
      </c>
      <c r="J270" s="283">
        <v>6</v>
      </c>
      <c r="K270" s="298">
        <f t="shared" si="101"/>
        <v>30</v>
      </c>
      <c r="L270" s="289" t="s">
        <v>5451</v>
      </c>
      <c r="M270" s="233">
        <f>'Abs8. IDSP'!Q1175</f>
        <v>0</v>
      </c>
      <c r="N270" s="3639">
        <v>18</v>
      </c>
      <c r="O270" s="3653"/>
      <c r="P270" s="3653"/>
      <c r="Q270" s="3653"/>
      <c r="R270" s="3653"/>
      <c r="S270" s="3653"/>
      <c r="T270" s="3653"/>
      <c r="U270" s="3653"/>
      <c r="V270" s="3653"/>
      <c r="W270" s="3653"/>
      <c r="X270" s="3653"/>
      <c r="Y270" s="3653"/>
      <c r="Z270" s="3653"/>
      <c r="AA270" s="3653"/>
      <c r="AB270" s="3653"/>
      <c r="AC270" s="3653"/>
      <c r="AD270" s="3653"/>
      <c r="AE270" s="3653"/>
      <c r="AF270" s="3653"/>
      <c r="AG270" s="3653"/>
      <c r="AH270" s="3653"/>
      <c r="AI270" s="3653"/>
      <c r="AJ270" s="3653"/>
      <c r="AK270" s="3653"/>
      <c r="AL270" s="3653"/>
      <c r="AM270" s="3653"/>
      <c r="AN270" s="3653"/>
      <c r="AO270" s="3653"/>
      <c r="AP270" s="3653"/>
      <c r="AQ270" s="3653"/>
      <c r="AR270" s="3653"/>
      <c r="AS270" s="3653"/>
      <c r="AT270" s="3653"/>
      <c r="AU270" s="3653"/>
      <c r="AV270" s="3653"/>
      <c r="AW270" s="3653"/>
      <c r="AX270" s="3595">
        <v>18</v>
      </c>
      <c r="AY270" s="3595"/>
      <c r="AZ270" s="3595"/>
      <c r="BA270" s="3595"/>
      <c r="BB270" s="3595"/>
      <c r="BC270" s="3595"/>
      <c r="BD270" s="3595"/>
      <c r="BE270" s="3595"/>
      <c r="BF270" s="3595"/>
      <c r="BG270" s="3595"/>
      <c r="BH270" s="3595"/>
      <c r="BI270" s="3595"/>
      <c r="BJ270" s="3595"/>
      <c r="BK270" s="3595"/>
      <c r="BL270" s="3595"/>
      <c r="BM270" s="3595"/>
      <c r="BN270" s="3595"/>
      <c r="BO270" s="3595"/>
      <c r="BP270" s="3595"/>
      <c r="BQ270" s="3595"/>
      <c r="BR270" s="3595"/>
      <c r="BS270" s="3595"/>
      <c r="BT270" s="3595"/>
      <c r="BU270" s="3595"/>
      <c r="BV270" s="3595"/>
      <c r="BW270" s="3595"/>
      <c r="BX270" s="3595"/>
      <c r="BY270" s="3595"/>
      <c r="BZ270" s="3595"/>
      <c r="CA270" s="3595"/>
      <c r="CB270" s="3595"/>
      <c r="CC270" s="3595"/>
      <c r="CD270" s="3595"/>
      <c r="CE270" s="3595"/>
      <c r="CF270" s="3715">
        <f t="shared" si="87"/>
        <v>18</v>
      </c>
    </row>
    <row r="271" spans="1:84" ht="37.5" customHeight="1">
      <c r="A271" s="1611" t="s">
        <v>1357</v>
      </c>
      <c r="B271" s="1004" t="s">
        <v>1339</v>
      </c>
      <c r="C271" s="1004" t="s">
        <v>1340</v>
      </c>
      <c r="D271" s="2476" t="s">
        <v>85</v>
      </c>
      <c r="E271" s="2476" t="s">
        <v>65</v>
      </c>
      <c r="F271" s="1170" t="s">
        <v>113</v>
      </c>
      <c r="G271" s="449"/>
      <c r="H271" s="2477">
        <v>5270000</v>
      </c>
      <c r="I271" s="2261">
        <f>H271/100000</f>
        <v>52.7</v>
      </c>
      <c r="J271" s="283">
        <v>1</v>
      </c>
      <c r="K271" s="1612">
        <f>I271*J271</f>
        <v>52.7</v>
      </c>
      <c r="L271" s="2478" t="s">
        <v>5245</v>
      </c>
      <c r="M271" s="2300">
        <f>'Ab1. RMNCH+A'!Q1303</f>
        <v>0</v>
      </c>
      <c r="N271" s="3673">
        <v>52.7</v>
      </c>
      <c r="O271" s="3674"/>
      <c r="P271" s="3674"/>
      <c r="Q271" s="3674"/>
      <c r="R271" s="3674"/>
      <c r="S271" s="3674"/>
      <c r="T271" s="3674"/>
      <c r="U271" s="3674"/>
      <c r="V271" s="3674"/>
      <c r="W271" s="3674"/>
      <c r="X271" s="3674"/>
      <c r="Y271" s="3674"/>
      <c r="Z271" s="3674"/>
      <c r="AA271" s="3674"/>
      <c r="AB271" s="3674"/>
      <c r="AC271" s="3674"/>
      <c r="AD271" s="3674"/>
      <c r="AE271" s="3674"/>
      <c r="AF271" s="3674"/>
      <c r="AG271" s="3674"/>
      <c r="AH271" s="3674"/>
      <c r="AI271" s="3674"/>
      <c r="AJ271" s="3674"/>
      <c r="AK271" s="3674"/>
      <c r="AL271" s="3674"/>
      <c r="AM271" s="3674"/>
      <c r="AN271" s="3674"/>
      <c r="AO271" s="3674"/>
      <c r="AP271" s="3674"/>
      <c r="AQ271" s="3674"/>
      <c r="AR271" s="3674"/>
      <c r="AS271" s="3674"/>
      <c r="AT271" s="3674"/>
      <c r="AU271" s="3674"/>
      <c r="AV271" s="3674"/>
      <c r="AW271" s="3674"/>
      <c r="AX271" s="3621">
        <v>52.7</v>
      </c>
      <c r="AY271" s="3621"/>
      <c r="AZ271" s="3621"/>
      <c r="BA271" s="3621"/>
      <c r="BB271" s="3621"/>
      <c r="BC271" s="3621"/>
      <c r="BD271" s="3621"/>
      <c r="BE271" s="3621"/>
      <c r="BF271" s="3621"/>
      <c r="BG271" s="3621"/>
      <c r="BH271" s="3621"/>
      <c r="BI271" s="3621"/>
      <c r="BJ271" s="3621"/>
      <c r="BK271" s="3621"/>
      <c r="BL271" s="3621"/>
      <c r="BM271" s="3621"/>
      <c r="BN271" s="3621"/>
      <c r="BO271" s="3621"/>
      <c r="BP271" s="3621"/>
      <c r="BQ271" s="3621"/>
      <c r="BR271" s="3621"/>
      <c r="BS271" s="3621"/>
      <c r="BT271" s="3621"/>
      <c r="BU271" s="3621"/>
      <c r="BV271" s="3621"/>
      <c r="BW271" s="3621"/>
      <c r="BX271" s="3621"/>
      <c r="BY271" s="3621"/>
      <c r="BZ271" s="3621"/>
      <c r="CA271" s="3621"/>
      <c r="CB271" s="3621"/>
      <c r="CC271" s="3621"/>
      <c r="CD271" s="3621"/>
      <c r="CE271" s="3621"/>
      <c r="CF271" s="3603">
        <f t="shared" si="87"/>
        <v>52.7</v>
      </c>
    </row>
    <row r="272" spans="1:84" ht="37.5" customHeight="1">
      <c r="A272" s="1611" t="s">
        <v>1363</v>
      </c>
      <c r="B272" s="1004" t="s">
        <v>1346</v>
      </c>
      <c r="C272" s="1004" t="s">
        <v>1340</v>
      </c>
      <c r="D272" s="2476" t="s">
        <v>85</v>
      </c>
      <c r="E272" s="2476" t="s">
        <v>65</v>
      </c>
      <c r="F272" s="1170" t="s">
        <v>126</v>
      </c>
      <c r="G272" s="449"/>
      <c r="H272" s="2477">
        <v>5270000</v>
      </c>
      <c r="I272" s="2261">
        <f>H272/100000</f>
        <v>52.7</v>
      </c>
      <c r="J272" s="283">
        <v>1</v>
      </c>
      <c r="K272" s="1612">
        <f>I272*J272</f>
        <v>52.7</v>
      </c>
      <c r="L272" s="2478" t="s">
        <v>5245</v>
      </c>
      <c r="M272" s="2300">
        <f>'Ab1. RMNCH+A'!Q1386</f>
        <v>0</v>
      </c>
      <c r="N272" s="3673">
        <v>52.7</v>
      </c>
      <c r="O272" s="3674"/>
      <c r="P272" s="3674"/>
      <c r="Q272" s="3674"/>
      <c r="R272" s="3674"/>
      <c r="S272" s="3674"/>
      <c r="T272" s="3674"/>
      <c r="U272" s="3674"/>
      <c r="V272" s="3674"/>
      <c r="W272" s="3674"/>
      <c r="X272" s="3674"/>
      <c r="Y272" s="3674"/>
      <c r="Z272" s="3674"/>
      <c r="AA272" s="3674"/>
      <c r="AB272" s="3674"/>
      <c r="AC272" s="3674"/>
      <c r="AD272" s="3674"/>
      <c r="AE272" s="3674"/>
      <c r="AF272" s="3674"/>
      <c r="AG272" s="3674"/>
      <c r="AH272" s="3674"/>
      <c r="AI272" s="3674"/>
      <c r="AJ272" s="3674"/>
      <c r="AK272" s="3674"/>
      <c r="AL272" s="3674"/>
      <c r="AM272" s="3674"/>
      <c r="AN272" s="3674"/>
      <c r="AO272" s="3674"/>
      <c r="AP272" s="3674"/>
      <c r="AQ272" s="3674"/>
      <c r="AR272" s="3674"/>
      <c r="AS272" s="3674"/>
      <c r="AT272" s="3674"/>
      <c r="AU272" s="3674"/>
      <c r="AV272" s="3674"/>
      <c r="AW272" s="3674"/>
      <c r="AX272" s="3621">
        <v>52.7</v>
      </c>
      <c r="AY272" s="3621"/>
      <c r="AZ272" s="3621"/>
      <c r="BA272" s="3621"/>
      <c r="BB272" s="3621"/>
      <c r="BC272" s="3621"/>
      <c r="BD272" s="3621"/>
      <c r="BE272" s="3621"/>
      <c r="BF272" s="3621"/>
      <c r="BG272" s="3621"/>
      <c r="BH272" s="3621"/>
      <c r="BI272" s="3621"/>
      <c r="BJ272" s="3621"/>
      <c r="BK272" s="3621"/>
      <c r="BL272" s="3621"/>
      <c r="BM272" s="3621"/>
      <c r="BN272" s="3621"/>
      <c r="BO272" s="3621"/>
      <c r="BP272" s="3621"/>
      <c r="BQ272" s="3621"/>
      <c r="BR272" s="3621"/>
      <c r="BS272" s="3621"/>
      <c r="BT272" s="3621"/>
      <c r="BU272" s="3621"/>
      <c r="BV272" s="3621"/>
      <c r="BW272" s="3621"/>
      <c r="BX272" s="3621"/>
      <c r="BY272" s="3621"/>
      <c r="BZ272" s="3621"/>
      <c r="CA272" s="3621"/>
      <c r="CB272" s="3621"/>
      <c r="CC272" s="3621"/>
      <c r="CD272" s="3621"/>
      <c r="CE272" s="3621"/>
      <c r="CF272" s="3603">
        <f t="shared" si="87"/>
        <v>52.7</v>
      </c>
    </row>
    <row r="273" spans="1:84" ht="37.5" customHeight="1">
      <c r="A273" s="1611" t="s">
        <v>1366</v>
      </c>
      <c r="B273" s="1004" t="s">
        <v>1350</v>
      </c>
      <c r="C273" s="1004" t="s">
        <v>1340</v>
      </c>
      <c r="D273" s="2476" t="s">
        <v>85</v>
      </c>
      <c r="E273" s="2476" t="s">
        <v>65</v>
      </c>
      <c r="F273" s="1170" t="s">
        <v>86</v>
      </c>
      <c r="G273" s="2375"/>
      <c r="H273" s="2477">
        <v>5270000</v>
      </c>
      <c r="I273" s="2261">
        <f t="shared" ref="I273:I275" si="102">H273/100000</f>
        <v>52.7</v>
      </c>
      <c r="J273" s="283">
        <v>1</v>
      </c>
      <c r="K273" s="1612">
        <f t="shared" ref="K273:K275" si="103">I273*J273</f>
        <v>52.7</v>
      </c>
      <c r="L273" s="2478" t="s">
        <v>5245</v>
      </c>
      <c r="M273" s="2300">
        <f>'Ab1. RMNCH+A'!Q1481</f>
        <v>0</v>
      </c>
      <c r="N273" s="3673">
        <v>52.7</v>
      </c>
      <c r="O273" s="3674"/>
      <c r="P273" s="3674"/>
      <c r="Q273" s="3674"/>
      <c r="R273" s="3674"/>
      <c r="S273" s="3674"/>
      <c r="T273" s="3674"/>
      <c r="U273" s="3674"/>
      <c r="V273" s="3674"/>
      <c r="W273" s="3674"/>
      <c r="X273" s="3674"/>
      <c r="Y273" s="3674"/>
      <c r="Z273" s="3674"/>
      <c r="AA273" s="3674"/>
      <c r="AB273" s="3674"/>
      <c r="AC273" s="3674"/>
      <c r="AD273" s="3674"/>
      <c r="AE273" s="3674"/>
      <c r="AF273" s="3674"/>
      <c r="AG273" s="3674"/>
      <c r="AH273" s="3674"/>
      <c r="AI273" s="3674"/>
      <c r="AJ273" s="3674"/>
      <c r="AK273" s="3674"/>
      <c r="AL273" s="3674"/>
      <c r="AM273" s="3674"/>
      <c r="AN273" s="3674"/>
      <c r="AO273" s="3674"/>
      <c r="AP273" s="3674"/>
      <c r="AQ273" s="3674"/>
      <c r="AR273" s="3674"/>
      <c r="AS273" s="3674"/>
      <c r="AT273" s="3674"/>
      <c r="AU273" s="3674"/>
      <c r="AV273" s="3674"/>
      <c r="AW273" s="3674"/>
      <c r="AX273" s="3621">
        <v>52.7</v>
      </c>
      <c r="AY273" s="3621"/>
      <c r="AZ273" s="3621"/>
      <c r="BA273" s="3621"/>
      <c r="BB273" s="3621"/>
      <c r="BC273" s="3621"/>
      <c r="BD273" s="3621"/>
      <c r="BE273" s="3621"/>
      <c r="BF273" s="3621"/>
      <c r="BG273" s="3621"/>
      <c r="BH273" s="3621"/>
      <c r="BI273" s="3621"/>
      <c r="BJ273" s="3621"/>
      <c r="BK273" s="3621"/>
      <c r="BL273" s="3621"/>
      <c r="BM273" s="3621"/>
      <c r="BN273" s="3621"/>
      <c r="BO273" s="3621"/>
      <c r="BP273" s="3621"/>
      <c r="BQ273" s="3621"/>
      <c r="BR273" s="3621"/>
      <c r="BS273" s="3621"/>
      <c r="BT273" s="3621"/>
      <c r="BU273" s="3621"/>
      <c r="BV273" s="3621"/>
      <c r="BW273" s="3621"/>
      <c r="BX273" s="3621"/>
      <c r="BY273" s="3621"/>
      <c r="BZ273" s="3621"/>
      <c r="CA273" s="3621"/>
      <c r="CB273" s="3621"/>
      <c r="CC273" s="3621"/>
      <c r="CD273" s="3621"/>
      <c r="CE273" s="3621"/>
      <c r="CF273" s="3603">
        <f t="shared" si="87"/>
        <v>52.7</v>
      </c>
    </row>
    <row r="274" spans="1:84" ht="37.5" customHeight="1">
      <c r="A274" s="1611" t="s">
        <v>2418</v>
      </c>
      <c r="B274" s="1004" t="s">
        <v>1352</v>
      </c>
      <c r="C274" s="1621" t="s">
        <v>2402</v>
      </c>
      <c r="D274" s="2476" t="s">
        <v>85</v>
      </c>
      <c r="E274" s="2476" t="s">
        <v>85</v>
      </c>
      <c r="F274" s="1170" t="s">
        <v>86</v>
      </c>
      <c r="G274" s="2581">
        <v>1</v>
      </c>
      <c r="H274" s="2536">
        <v>3273</v>
      </c>
      <c r="I274" s="2261">
        <f t="shared" si="102"/>
        <v>3.2730000000000002E-2</v>
      </c>
      <c r="J274" s="2536">
        <v>88</v>
      </c>
      <c r="K274" s="1612">
        <f t="shared" si="103"/>
        <v>2.8802400000000001</v>
      </c>
      <c r="L274" s="2582" t="s">
        <v>5473</v>
      </c>
      <c r="M274" s="2300">
        <f>'Ab1. RMNCH+A'!Q1483</f>
        <v>0</v>
      </c>
      <c r="N274" s="3673">
        <v>2.88</v>
      </c>
      <c r="O274" s="3674"/>
      <c r="P274" s="3674"/>
      <c r="Q274" s="3674"/>
      <c r="R274" s="3674"/>
      <c r="S274" s="3674"/>
      <c r="T274" s="3674"/>
      <c r="U274" s="3674"/>
      <c r="V274" s="3674"/>
      <c r="W274" s="3674"/>
      <c r="X274" s="3674"/>
      <c r="Y274" s="3674"/>
      <c r="Z274" s="3674"/>
      <c r="AA274" s="3674"/>
      <c r="AB274" s="3674"/>
      <c r="AC274" s="3674"/>
      <c r="AD274" s="3674"/>
      <c r="AE274" s="3674"/>
      <c r="AF274" s="3674"/>
      <c r="AG274" s="3674"/>
      <c r="AH274" s="3674"/>
      <c r="AI274" s="3674"/>
      <c r="AJ274" s="3674"/>
      <c r="AK274" s="3674"/>
      <c r="AL274" s="3674"/>
      <c r="AM274" s="3674"/>
      <c r="AN274" s="3674"/>
      <c r="AO274" s="3674"/>
      <c r="AP274" s="3674"/>
      <c r="AQ274" s="3674"/>
      <c r="AR274" s="3674"/>
      <c r="AS274" s="3674"/>
      <c r="AT274" s="3674"/>
      <c r="AU274" s="3674"/>
      <c r="AV274" s="3674"/>
      <c r="AW274" s="3674"/>
      <c r="AX274" s="3621">
        <v>1.76</v>
      </c>
      <c r="AY274" s="3621">
        <f>(3000*1+1000*4)/100000</f>
        <v>7.0000000000000007E-2</v>
      </c>
      <c r="AZ274" s="3621">
        <f>(3000*1+1000*7)/100000</f>
        <v>0.1</v>
      </c>
      <c r="BA274" s="3621">
        <f>(3000*1+1000*6)/100000</f>
        <v>0.09</v>
      </c>
      <c r="BB274" s="3621">
        <f>(3000*1+1000*13)/100000</f>
        <v>0.16</v>
      </c>
      <c r="BC274" s="3621">
        <f>(3000*1+1000*3)/100000</f>
        <v>0.06</v>
      </c>
      <c r="BD274" s="3621">
        <f>(3000*1+1000*5)/100000</f>
        <v>0.08</v>
      </c>
      <c r="BE274" s="3621">
        <f>(3000*1+1000*2)/100000</f>
        <v>0.05</v>
      </c>
      <c r="BF274" s="3621">
        <f>(3000*1+1000*11)/100000</f>
        <v>0.14000000000000001</v>
      </c>
      <c r="BG274" s="3621">
        <f>(3000*1+1000*10)/100000</f>
        <v>0.13</v>
      </c>
      <c r="BH274" s="3621">
        <f>(3000*1+1000*5)/100000</f>
        <v>0.08</v>
      </c>
      <c r="BI274" s="3621">
        <f>(3000*1+1000*5)/100000</f>
        <v>0.08</v>
      </c>
      <c r="BJ274" s="3621">
        <f>(3000*1+1000*5)/100000</f>
        <v>0.08</v>
      </c>
      <c r="BK274" s="3621"/>
      <c r="BL274" s="3621"/>
      <c r="BM274" s="3621"/>
      <c r="BN274" s="3621"/>
      <c r="BO274" s="3621"/>
      <c r="BP274" s="3621"/>
      <c r="BQ274" s="3621"/>
      <c r="BR274" s="3621"/>
      <c r="BS274" s="3621"/>
      <c r="BT274" s="3621"/>
      <c r="BU274" s="3621"/>
      <c r="BV274" s="3621"/>
      <c r="BW274" s="3621"/>
      <c r="BX274" s="3621"/>
      <c r="BY274" s="3621"/>
      <c r="BZ274" s="3621"/>
      <c r="CA274" s="3621"/>
      <c r="CB274" s="3621"/>
      <c r="CC274" s="3621"/>
      <c r="CD274" s="3621"/>
      <c r="CE274" s="3621"/>
      <c r="CF274" s="3603">
        <f t="shared" si="87"/>
        <v>2.8800000000000003</v>
      </c>
    </row>
    <row r="275" spans="1:84" ht="37.5" customHeight="1">
      <c r="A275" s="1611" t="s">
        <v>2419</v>
      </c>
      <c r="B275" s="1004" t="s">
        <v>1353</v>
      </c>
      <c r="C275" s="1004" t="s">
        <v>2403</v>
      </c>
      <c r="D275" s="2476" t="s">
        <v>85</v>
      </c>
      <c r="E275" s="2476" t="s">
        <v>85</v>
      </c>
      <c r="F275" s="1170" t="s">
        <v>86</v>
      </c>
      <c r="G275" s="2581">
        <v>1</v>
      </c>
      <c r="H275" s="2536">
        <v>3273</v>
      </c>
      <c r="I275" s="2261">
        <f t="shared" si="102"/>
        <v>3.2730000000000002E-2</v>
      </c>
      <c r="J275" s="2536">
        <v>88</v>
      </c>
      <c r="K275" s="1612">
        <f t="shared" si="103"/>
        <v>2.8802400000000001</v>
      </c>
      <c r="L275" s="2582" t="s">
        <v>5333</v>
      </c>
      <c r="M275" s="2300">
        <f>'Ab1. RMNCH+A'!Q1484</f>
        <v>0</v>
      </c>
      <c r="N275" s="3673">
        <v>2.88</v>
      </c>
      <c r="O275" s="3674"/>
      <c r="P275" s="3674"/>
      <c r="Q275" s="3674"/>
      <c r="R275" s="3674"/>
      <c r="S275" s="3674"/>
      <c r="T275" s="3674"/>
      <c r="U275" s="3674"/>
      <c r="V275" s="3674"/>
      <c r="W275" s="3674"/>
      <c r="X275" s="3674"/>
      <c r="Y275" s="3674"/>
      <c r="Z275" s="3674"/>
      <c r="AA275" s="3674"/>
      <c r="AB275" s="3674"/>
      <c r="AC275" s="3674"/>
      <c r="AD275" s="3674"/>
      <c r="AE275" s="3674"/>
      <c r="AF275" s="3674"/>
      <c r="AG275" s="3674"/>
      <c r="AH275" s="3674"/>
      <c r="AI275" s="3674"/>
      <c r="AJ275" s="3674"/>
      <c r="AK275" s="3674"/>
      <c r="AL275" s="3674"/>
      <c r="AM275" s="3674"/>
      <c r="AN275" s="3674"/>
      <c r="AO275" s="3674"/>
      <c r="AP275" s="3674"/>
      <c r="AQ275" s="3674"/>
      <c r="AR275" s="3674"/>
      <c r="AS275" s="3674"/>
      <c r="AT275" s="3674"/>
      <c r="AU275" s="3674"/>
      <c r="AV275" s="3674"/>
      <c r="AW275" s="3674"/>
      <c r="AX275" s="3621"/>
      <c r="AY275" s="3621">
        <v>0.1</v>
      </c>
      <c r="AZ275" s="3621">
        <v>0.3</v>
      </c>
      <c r="BA275" s="3621">
        <v>0.2</v>
      </c>
      <c r="BB275" s="3621">
        <v>0.5</v>
      </c>
      <c r="BC275" s="3621">
        <v>0.05</v>
      </c>
      <c r="BD275" s="3621">
        <v>0.23</v>
      </c>
      <c r="BE275" s="3621">
        <v>0.05</v>
      </c>
      <c r="BF275" s="3621">
        <v>0.5</v>
      </c>
      <c r="BG275" s="3621">
        <v>0.25</v>
      </c>
      <c r="BH275" s="3621">
        <v>0.25</v>
      </c>
      <c r="BI275" s="3621">
        <v>0.25</v>
      </c>
      <c r="BJ275" s="3621">
        <v>0.2</v>
      </c>
      <c r="BK275" s="3621"/>
      <c r="BL275" s="3621"/>
      <c r="BM275" s="3621"/>
      <c r="BN275" s="3621"/>
      <c r="BO275" s="3621"/>
      <c r="BP275" s="3621"/>
      <c r="BQ275" s="3621"/>
      <c r="BR275" s="3621"/>
      <c r="BS275" s="3621"/>
      <c r="BT275" s="3621"/>
      <c r="BU275" s="3621"/>
      <c r="BV275" s="3621"/>
      <c r="BW275" s="3621"/>
      <c r="BX275" s="3621"/>
      <c r="BY275" s="3621"/>
      <c r="BZ275" s="3621"/>
      <c r="CA275" s="3621"/>
      <c r="CB275" s="3621"/>
      <c r="CC275" s="3621"/>
      <c r="CD275" s="3621"/>
      <c r="CE275" s="3621"/>
      <c r="CF275" s="3603">
        <f t="shared" si="87"/>
        <v>2.8800000000000003</v>
      </c>
    </row>
    <row r="276" spans="1:84" ht="37.5" customHeight="1">
      <c r="A276" s="1611" t="s">
        <v>1369</v>
      </c>
      <c r="B276" s="1004" t="s">
        <v>1358</v>
      </c>
      <c r="C276" s="1004" t="s">
        <v>2412</v>
      </c>
      <c r="D276" s="2476" t="s">
        <v>85</v>
      </c>
      <c r="E276" s="2476" t="s">
        <v>65</v>
      </c>
      <c r="F276" s="1170" t="s">
        <v>188</v>
      </c>
      <c r="G276" s="449"/>
      <c r="H276" s="2477">
        <v>5270000</v>
      </c>
      <c r="I276" s="2261">
        <f t="shared" ref="I276:I282" si="104">H276/100000</f>
        <v>52.7</v>
      </c>
      <c r="J276" s="283">
        <v>1</v>
      </c>
      <c r="K276" s="1612">
        <f t="shared" ref="K276:K282" si="105">I276*J276</f>
        <v>52.7</v>
      </c>
      <c r="L276" s="2478" t="s">
        <v>5245</v>
      </c>
      <c r="M276" s="2300">
        <f>'Ab1. RMNCH+A'!Q1541</f>
        <v>0</v>
      </c>
      <c r="N276" s="3673">
        <v>52.7</v>
      </c>
      <c r="O276" s="3674"/>
      <c r="P276" s="3674"/>
      <c r="Q276" s="3674"/>
      <c r="R276" s="3674"/>
      <c r="S276" s="3674"/>
      <c r="T276" s="3674"/>
      <c r="U276" s="3674"/>
      <c r="V276" s="3674"/>
      <c r="W276" s="3674"/>
      <c r="X276" s="3674"/>
      <c r="Y276" s="3674"/>
      <c r="Z276" s="3674"/>
      <c r="AA276" s="3674"/>
      <c r="AB276" s="3674"/>
      <c r="AC276" s="3674"/>
      <c r="AD276" s="3674"/>
      <c r="AE276" s="3674"/>
      <c r="AF276" s="3674"/>
      <c r="AG276" s="3674"/>
      <c r="AH276" s="3674"/>
      <c r="AI276" s="3674"/>
      <c r="AJ276" s="3674"/>
      <c r="AK276" s="3674"/>
      <c r="AL276" s="3674"/>
      <c r="AM276" s="3674"/>
      <c r="AN276" s="3674"/>
      <c r="AO276" s="3674"/>
      <c r="AP276" s="3674"/>
      <c r="AQ276" s="3674"/>
      <c r="AR276" s="3674"/>
      <c r="AS276" s="3674"/>
      <c r="AT276" s="3674"/>
      <c r="AU276" s="3674"/>
      <c r="AV276" s="3674"/>
      <c r="AW276" s="3674"/>
      <c r="AX276" s="3621">
        <v>52.7</v>
      </c>
      <c r="AY276" s="3621"/>
      <c r="AZ276" s="3621"/>
      <c r="BA276" s="3621"/>
      <c r="BB276" s="3621"/>
      <c r="BC276" s="3621"/>
      <c r="BD276" s="3621"/>
      <c r="BE276" s="3621"/>
      <c r="BF276" s="3621"/>
      <c r="BG276" s="3621"/>
      <c r="BH276" s="3621"/>
      <c r="BI276" s="3621"/>
      <c r="BJ276" s="3621"/>
      <c r="BK276" s="3621"/>
      <c r="BL276" s="3621"/>
      <c r="BM276" s="3621"/>
      <c r="BN276" s="3621"/>
      <c r="BO276" s="3621"/>
      <c r="BP276" s="3621"/>
      <c r="BQ276" s="3621"/>
      <c r="BR276" s="3621"/>
      <c r="BS276" s="3621"/>
      <c r="BT276" s="3621"/>
      <c r="BU276" s="3621"/>
      <c r="BV276" s="3621"/>
      <c r="BW276" s="3621"/>
      <c r="BX276" s="3621"/>
      <c r="BY276" s="3621"/>
      <c r="BZ276" s="3621"/>
      <c r="CA276" s="3621"/>
      <c r="CB276" s="3621"/>
      <c r="CC276" s="3621"/>
      <c r="CD276" s="3621"/>
      <c r="CE276" s="3621"/>
      <c r="CF276" s="3603">
        <f t="shared" si="87"/>
        <v>52.7</v>
      </c>
    </row>
    <row r="277" spans="1:84" ht="37.5" customHeight="1">
      <c r="A277" s="1611" t="s">
        <v>1372</v>
      </c>
      <c r="B277" s="1004"/>
      <c r="C277" s="1004" t="s">
        <v>2397</v>
      </c>
      <c r="D277" s="2476" t="s">
        <v>85</v>
      </c>
      <c r="E277" s="2476" t="s">
        <v>65</v>
      </c>
      <c r="F277" s="1170" t="s">
        <v>200</v>
      </c>
      <c r="G277" s="449">
        <v>1</v>
      </c>
      <c r="H277" s="283">
        <v>2700000</v>
      </c>
      <c r="I277" s="2261">
        <f t="shared" si="104"/>
        <v>27</v>
      </c>
      <c r="J277" s="283">
        <v>1</v>
      </c>
      <c r="K277" s="1612">
        <f t="shared" si="105"/>
        <v>27</v>
      </c>
      <c r="L277" s="3762" t="s">
        <v>5472</v>
      </c>
      <c r="M277" s="2300">
        <f>'Ab1. RMNCH+A'!Q1628</f>
        <v>0</v>
      </c>
      <c r="N277" s="3673">
        <v>27</v>
      </c>
      <c r="O277" s="3674"/>
      <c r="P277" s="3674"/>
      <c r="Q277" s="3674"/>
      <c r="R277" s="3674"/>
      <c r="S277" s="3674"/>
      <c r="T277" s="3674"/>
      <c r="U277" s="3674"/>
      <c r="V277" s="3674"/>
      <c r="W277" s="3674"/>
      <c r="X277" s="3674"/>
      <c r="Y277" s="3674"/>
      <c r="Z277" s="3674"/>
      <c r="AA277" s="3674"/>
      <c r="AB277" s="3674"/>
      <c r="AC277" s="3674"/>
      <c r="AD277" s="3674"/>
      <c r="AE277" s="3674"/>
      <c r="AF277" s="3674"/>
      <c r="AG277" s="3674"/>
      <c r="AH277" s="3674"/>
      <c r="AI277" s="3674"/>
      <c r="AJ277" s="3674"/>
      <c r="AK277" s="3674"/>
      <c r="AL277" s="3674"/>
      <c r="AM277" s="3674"/>
      <c r="AN277" s="3674"/>
      <c r="AO277" s="3674"/>
      <c r="AP277" s="3674"/>
      <c r="AQ277" s="3674"/>
      <c r="AR277" s="3674"/>
      <c r="AS277" s="3674"/>
      <c r="AT277" s="3674"/>
      <c r="AU277" s="3674"/>
      <c r="AV277" s="3674"/>
      <c r="AW277" s="3674"/>
      <c r="AX277" s="3621">
        <v>27</v>
      </c>
      <c r="AY277" s="3621"/>
      <c r="AZ277" s="3621"/>
      <c r="BA277" s="3621"/>
      <c r="BB277" s="3621"/>
      <c r="BC277" s="3621"/>
      <c r="BD277" s="3621"/>
      <c r="BE277" s="3621"/>
      <c r="BF277" s="3621"/>
      <c r="BG277" s="3621"/>
      <c r="BH277" s="3621"/>
      <c r="BI277" s="3621"/>
      <c r="BJ277" s="3621"/>
      <c r="BK277" s="3621"/>
      <c r="BL277" s="3621"/>
      <c r="BM277" s="3621"/>
      <c r="BN277" s="3621"/>
      <c r="BO277" s="3622"/>
      <c r="BP277" s="3622"/>
      <c r="BQ277" s="3622"/>
      <c r="BR277" s="3622"/>
      <c r="BS277" s="3622"/>
      <c r="BT277" s="3622"/>
      <c r="BU277" s="3622"/>
      <c r="BV277" s="3622"/>
      <c r="BW277" s="3622"/>
      <c r="BX277" s="3622"/>
      <c r="BY277" s="3622"/>
      <c r="BZ277" s="3622"/>
      <c r="CA277" s="3622"/>
      <c r="CB277" s="3622"/>
      <c r="CC277" s="3622"/>
      <c r="CD277" s="3622"/>
      <c r="CE277" s="3622"/>
      <c r="CF277" s="3603">
        <f t="shared" si="87"/>
        <v>27</v>
      </c>
    </row>
    <row r="278" spans="1:84" ht="37.5" customHeight="1">
      <c r="A278" s="1611" t="s">
        <v>1379</v>
      </c>
      <c r="B278" s="1004" t="s">
        <v>1364</v>
      </c>
      <c r="C278" s="1004" t="s">
        <v>1365</v>
      </c>
      <c r="D278" s="2476" t="s">
        <v>85</v>
      </c>
      <c r="E278" s="2476" t="s">
        <v>65</v>
      </c>
      <c r="F278" s="1620" t="s">
        <v>1128</v>
      </c>
      <c r="G278" s="449"/>
      <c r="H278" s="2477">
        <v>200000</v>
      </c>
      <c r="I278" s="2261">
        <f t="shared" si="104"/>
        <v>2</v>
      </c>
      <c r="J278" s="283">
        <v>1</v>
      </c>
      <c r="K278" s="1612">
        <f t="shared" si="105"/>
        <v>2</v>
      </c>
      <c r="L278" s="3554"/>
      <c r="M278" s="2300">
        <f>'Ab1. RMNCH+A'!Q1594</f>
        <v>0</v>
      </c>
      <c r="N278" s="3673">
        <v>2</v>
      </c>
      <c r="O278" s="3674"/>
      <c r="P278" s="3674"/>
      <c r="Q278" s="3674"/>
      <c r="R278" s="3674"/>
      <c r="S278" s="3674"/>
      <c r="T278" s="3674"/>
      <c r="U278" s="3674"/>
      <c r="V278" s="3674"/>
      <c r="W278" s="3674"/>
      <c r="X278" s="3674"/>
      <c r="Y278" s="3674"/>
      <c r="Z278" s="3674"/>
      <c r="AA278" s="3674"/>
      <c r="AB278" s="3674"/>
      <c r="AC278" s="3674"/>
      <c r="AD278" s="3674"/>
      <c r="AE278" s="3674"/>
      <c r="AF278" s="3674"/>
      <c r="AG278" s="3674"/>
      <c r="AH278" s="3674"/>
      <c r="AI278" s="3674"/>
      <c r="AJ278" s="3674"/>
      <c r="AK278" s="3674"/>
      <c r="AL278" s="3674"/>
      <c r="AM278" s="3674"/>
      <c r="AN278" s="3674"/>
      <c r="AO278" s="3674"/>
      <c r="AP278" s="3674"/>
      <c r="AQ278" s="3674"/>
      <c r="AR278" s="3674"/>
      <c r="AS278" s="3674"/>
      <c r="AT278" s="3674"/>
      <c r="AU278" s="3674"/>
      <c r="AV278" s="3674"/>
      <c r="AW278" s="3674"/>
      <c r="AX278" s="3621">
        <v>2</v>
      </c>
      <c r="AY278" s="3621"/>
      <c r="AZ278" s="3621"/>
      <c r="BA278" s="3621"/>
      <c r="BB278" s="3621"/>
      <c r="BC278" s="3621"/>
      <c r="BD278" s="3621"/>
      <c r="BE278" s="3621"/>
      <c r="BF278" s="3621"/>
      <c r="BG278" s="3621"/>
      <c r="BH278" s="3621"/>
      <c r="BI278" s="3621"/>
      <c r="BJ278" s="3621"/>
      <c r="BK278" s="3621"/>
      <c r="BL278" s="3621"/>
      <c r="BM278" s="3621"/>
      <c r="BN278" s="3621"/>
      <c r="BO278" s="3621"/>
      <c r="BP278" s="3621"/>
      <c r="BQ278" s="3621"/>
      <c r="BR278" s="3621"/>
      <c r="BS278" s="3621"/>
      <c r="BT278" s="3621"/>
      <c r="BU278" s="3621"/>
      <c r="BV278" s="3621"/>
      <c r="BW278" s="3621"/>
      <c r="BX278" s="3621"/>
      <c r="BY278" s="3621"/>
      <c r="BZ278" s="3621"/>
      <c r="CA278" s="3621"/>
      <c r="CB278" s="3621"/>
      <c r="CC278" s="3621"/>
      <c r="CD278" s="3621"/>
      <c r="CE278" s="3621"/>
      <c r="CF278" s="3716">
        <f t="shared" si="87"/>
        <v>2</v>
      </c>
    </row>
    <row r="279" spans="1:84" ht="37.5" customHeight="1">
      <c r="A279" s="1611" t="s">
        <v>1406</v>
      </c>
      <c r="B279" s="1004" t="s">
        <v>1384</v>
      </c>
      <c r="C279" s="1004" t="s">
        <v>1385</v>
      </c>
      <c r="D279" s="2476" t="s">
        <v>85</v>
      </c>
      <c r="E279" s="2476" t="s">
        <v>65</v>
      </c>
      <c r="F279" s="1170" t="s">
        <v>203</v>
      </c>
      <c r="G279" s="2375"/>
      <c r="H279" s="283">
        <v>41667</v>
      </c>
      <c r="I279" s="2261">
        <f t="shared" si="104"/>
        <v>0.41666999999999998</v>
      </c>
      <c r="J279" s="283">
        <v>12</v>
      </c>
      <c r="K279" s="1612">
        <f t="shared" si="105"/>
        <v>5.0000400000000003</v>
      </c>
      <c r="L279" s="776" t="s">
        <v>5210</v>
      </c>
      <c r="M279" s="2300">
        <f>'Ab2. NIDDCP'!Q1229</f>
        <v>0</v>
      </c>
      <c r="N279" s="3673">
        <v>5</v>
      </c>
      <c r="O279" s="3674"/>
      <c r="P279" s="3674"/>
      <c r="Q279" s="3674"/>
      <c r="R279" s="3674"/>
      <c r="S279" s="3674"/>
      <c r="T279" s="3674"/>
      <c r="U279" s="3674"/>
      <c r="V279" s="3674"/>
      <c r="W279" s="3674"/>
      <c r="X279" s="3674"/>
      <c r="Y279" s="3674"/>
      <c r="Z279" s="3674"/>
      <c r="AA279" s="3674"/>
      <c r="AB279" s="3674"/>
      <c r="AC279" s="3674"/>
      <c r="AD279" s="3674"/>
      <c r="AE279" s="3674"/>
      <c r="AF279" s="3674"/>
      <c r="AG279" s="3674"/>
      <c r="AH279" s="3674"/>
      <c r="AI279" s="3674"/>
      <c r="AJ279" s="3674"/>
      <c r="AK279" s="3674"/>
      <c r="AL279" s="3674"/>
      <c r="AM279" s="3674"/>
      <c r="AN279" s="3674"/>
      <c r="AO279" s="3674"/>
      <c r="AP279" s="3674"/>
      <c r="AQ279" s="3674"/>
      <c r="AR279" s="3674"/>
      <c r="AS279" s="3674"/>
      <c r="AT279" s="3674"/>
      <c r="AU279" s="3674"/>
      <c r="AV279" s="3674"/>
      <c r="AW279" s="3674"/>
      <c r="AX279" s="3621">
        <v>3.88</v>
      </c>
      <c r="AY279" s="3621">
        <f>(3000*1+1000*4)/100000</f>
        <v>7.0000000000000007E-2</v>
      </c>
      <c r="AZ279" s="3621">
        <f>(3000*1+1000*7)/100000</f>
        <v>0.1</v>
      </c>
      <c r="BA279" s="3621">
        <f>(3000*1+1000*6)/100000</f>
        <v>0.09</v>
      </c>
      <c r="BB279" s="3621">
        <f>(3000*1+1000*13)/100000</f>
        <v>0.16</v>
      </c>
      <c r="BC279" s="3621">
        <f>(3000*1+1000*3)/100000</f>
        <v>0.06</v>
      </c>
      <c r="BD279" s="3621">
        <f>(3000*1+1000*5)/100000</f>
        <v>0.08</v>
      </c>
      <c r="BE279" s="3621">
        <f>(3000*1+1000*2)/100000</f>
        <v>0.05</v>
      </c>
      <c r="BF279" s="3621">
        <f>(3000*1+1000*11)/100000</f>
        <v>0.14000000000000001</v>
      </c>
      <c r="BG279" s="3621">
        <f>(3000*1+1000*10)/100000</f>
        <v>0.13</v>
      </c>
      <c r="BH279" s="3621">
        <f>(3000*1+1000*5)/100000</f>
        <v>0.08</v>
      </c>
      <c r="BI279" s="3621">
        <f>(3000*1+1000*5)/100000</f>
        <v>0.08</v>
      </c>
      <c r="BJ279" s="3621">
        <f>(3000*1+1000*5)/100000</f>
        <v>0.08</v>
      </c>
      <c r="BK279" s="3621"/>
      <c r="BL279" s="3621"/>
      <c r="BM279" s="3621"/>
      <c r="BN279" s="3621"/>
      <c r="BO279" s="3621"/>
      <c r="BP279" s="3621"/>
      <c r="BQ279" s="3621"/>
      <c r="BR279" s="3621"/>
      <c r="BS279" s="3621"/>
      <c r="BT279" s="3621"/>
      <c r="BU279" s="3621"/>
      <c r="BV279" s="3621"/>
      <c r="BW279" s="3621"/>
      <c r="BX279" s="3621"/>
      <c r="BY279" s="3621"/>
      <c r="BZ279" s="3621"/>
      <c r="CA279" s="3621"/>
      <c r="CB279" s="3621"/>
      <c r="CC279" s="3621"/>
      <c r="CD279" s="3621"/>
      <c r="CE279" s="3621"/>
      <c r="CF279" s="3603">
        <f t="shared" si="87"/>
        <v>4.9999999999999991</v>
      </c>
    </row>
    <row r="280" spans="1:84" ht="37.5" customHeight="1">
      <c r="A280" s="2629" t="s">
        <v>2437</v>
      </c>
      <c r="B280" s="1087" t="s">
        <v>2031</v>
      </c>
      <c r="C280" s="1004" t="s">
        <v>3755</v>
      </c>
      <c r="D280" s="982" t="s">
        <v>65</v>
      </c>
      <c r="E280" s="982" t="s">
        <v>65</v>
      </c>
      <c r="F280" s="1620" t="s">
        <v>4218</v>
      </c>
      <c r="G280" s="2302">
        <v>1</v>
      </c>
      <c r="H280" s="283">
        <v>3500</v>
      </c>
      <c r="I280" s="2261">
        <f t="shared" si="104"/>
        <v>3.5000000000000003E-2</v>
      </c>
      <c r="J280" s="283">
        <v>2104</v>
      </c>
      <c r="K280" s="1612">
        <f t="shared" si="105"/>
        <v>73.64</v>
      </c>
      <c r="L280" s="2303" t="s">
        <v>5446</v>
      </c>
      <c r="M280" s="2300">
        <f>'Abs6. CPHC'!Q1239</f>
        <v>0</v>
      </c>
      <c r="N280" s="3651">
        <v>73.64</v>
      </c>
      <c r="O280" s="3674"/>
      <c r="P280" s="3674"/>
      <c r="Q280" s="3674"/>
      <c r="R280" s="3674"/>
      <c r="S280" s="3674"/>
      <c r="T280" s="3674"/>
      <c r="U280" s="3674"/>
      <c r="V280" s="3674"/>
      <c r="W280" s="3674"/>
      <c r="X280" s="3674"/>
      <c r="Y280" s="3674"/>
      <c r="Z280" s="3674"/>
      <c r="AA280" s="3674"/>
      <c r="AB280" s="3674"/>
      <c r="AC280" s="3674"/>
      <c r="AD280" s="3674"/>
      <c r="AE280" s="3674"/>
      <c r="AF280" s="3674"/>
      <c r="AG280" s="3674"/>
      <c r="AH280" s="3674"/>
      <c r="AI280" s="3674"/>
      <c r="AJ280" s="3674"/>
      <c r="AK280" s="3674"/>
      <c r="AL280" s="3674"/>
      <c r="AM280" s="3674"/>
      <c r="AN280" s="3674"/>
      <c r="AO280" s="3674"/>
      <c r="AP280" s="3674"/>
      <c r="AQ280" s="3674"/>
      <c r="AR280" s="3674"/>
      <c r="AS280" s="3674"/>
      <c r="AT280" s="3674"/>
      <c r="AU280" s="3674"/>
      <c r="AV280" s="3674"/>
      <c r="AW280" s="3674"/>
      <c r="AX280" s="3621">
        <v>73.64</v>
      </c>
      <c r="AY280" s="3621"/>
      <c r="AZ280" s="3621"/>
      <c r="BA280" s="3621"/>
      <c r="BB280" s="3621"/>
      <c r="BC280" s="3621"/>
      <c r="BD280" s="3621"/>
      <c r="BE280" s="3621"/>
      <c r="BF280" s="3621"/>
      <c r="BG280" s="3621"/>
      <c r="BH280" s="3621"/>
      <c r="BI280" s="3621"/>
      <c r="BJ280" s="3621"/>
      <c r="BK280" s="3621"/>
      <c r="BL280" s="3621"/>
      <c r="BM280" s="3621"/>
      <c r="BN280" s="3621"/>
      <c r="BO280" s="3621"/>
      <c r="BP280" s="3621"/>
      <c r="BQ280" s="3621"/>
      <c r="BR280" s="3621"/>
      <c r="BS280" s="3621"/>
      <c r="BT280" s="3621"/>
      <c r="BU280" s="3621"/>
      <c r="BV280" s="3621"/>
      <c r="BW280" s="3621"/>
      <c r="BX280" s="3621"/>
      <c r="BY280" s="3621"/>
      <c r="BZ280" s="3621"/>
      <c r="CA280" s="3621"/>
      <c r="CB280" s="3621"/>
      <c r="CC280" s="3621"/>
      <c r="CD280" s="3621"/>
      <c r="CE280" s="3621"/>
      <c r="CF280" s="3603">
        <f t="shared" si="87"/>
        <v>73.64</v>
      </c>
    </row>
    <row r="281" spans="1:84" ht="37.5" customHeight="1">
      <c r="A281" s="1611">
        <v>11.3</v>
      </c>
      <c r="B281" s="1004" t="s">
        <v>1431</v>
      </c>
      <c r="C281" s="1004" t="s">
        <v>1432</v>
      </c>
      <c r="D281" s="982" t="s">
        <v>65</v>
      </c>
      <c r="E281" s="982" t="s">
        <v>65</v>
      </c>
      <c r="F281" s="1620" t="s">
        <v>65</v>
      </c>
      <c r="G281" s="2480"/>
      <c r="H281" s="2477">
        <v>5564000</v>
      </c>
      <c r="I281" s="2261">
        <f t="shared" si="104"/>
        <v>55.64</v>
      </c>
      <c r="J281" s="283">
        <v>1</v>
      </c>
      <c r="K281" s="1612">
        <f t="shared" si="105"/>
        <v>55.64</v>
      </c>
      <c r="L281" s="2481" t="s">
        <v>5246</v>
      </c>
      <c r="M281" s="3019" t="s">
        <v>5876</v>
      </c>
      <c r="N281" s="3675">
        <f>10+11+7.92+16.72</f>
        <v>45.64</v>
      </c>
      <c r="O281" s="3676"/>
      <c r="P281" s="3676"/>
      <c r="Q281" s="3676"/>
      <c r="R281" s="3676"/>
      <c r="S281" s="3676"/>
      <c r="T281" s="3676"/>
      <c r="U281" s="3676"/>
      <c r="V281" s="3676"/>
      <c r="W281" s="3676"/>
      <c r="X281" s="3676"/>
      <c r="Y281" s="3676"/>
      <c r="Z281" s="3676"/>
      <c r="AA281" s="3676"/>
      <c r="AB281" s="3676"/>
      <c r="AC281" s="3676"/>
      <c r="AD281" s="3676"/>
      <c r="AE281" s="3676"/>
      <c r="AF281" s="3676"/>
      <c r="AG281" s="3676"/>
      <c r="AH281" s="3676"/>
      <c r="AI281" s="3676"/>
      <c r="AJ281" s="3676"/>
      <c r="AK281" s="3676"/>
      <c r="AL281" s="3676"/>
      <c r="AM281" s="3676"/>
      <c r="AN281" s="3676"/>
      <c r="AO281" s="3676"/>
      <c r="AP281" s="3676"/>
      <c r="AQ281" s="3676"/>
      <c r="AR281" s="3676"/>
      <c r="AS281" s="3676"/>
      <c r="AT281" s="3676"/>
      <c r="AU281" s="3676"/>
      <c r="AV281" s="3676"/>
      <c r="AW281" s="3676"/>
      <c r="AX281" s="3623">
        <v>28.84</v>
      </c>
      <c r="AY281" s="3623">
        <f>+(3000*15+15000*4)/100000</f>
        <v>1.05</v>
      </c>
      <c r="AZ281" s="3623">
        <f>+(3000*15+15000*7)/100000</f>
        <v>1.5</v>
      </c>
      <c r="BA281" s="3623">
        <f>+(3000*15+15000*6)/100000</f>
        <v>1.35</v>
      </c>
      <c r="BB281" s="3623">
        <f>+(3000*15+15000*13)/100000</f>
        <v>2.4</v>
      </c>
      <c r="BC281" s="3623">
        <f>+(3000*15+15000*3)/100000</f>
        <v>0.9</v>
      </c>
      <c r="BD281" s="3623">
        <f>+(3000*15+15000*5)/100000</f>
        <v>1.2</v>
      </c>
      <c r="BE281" s="3623">
        <f>+(3000*15+15000*2)/100000</f>
        <v>0.75</v>
      </c>
      <c r="BF281" s="3623">
        <f>+(3000*15+15000*11)/100000</f>
        <v>2.1</v>
      </c>
      <c r="BG281" s="3623">
        <f>+(3000*15+15000*10)/100000</f>
        <v>1.95</v>
      </c>
      <c r="BH281" s="3623">
        <f>+(3000*15+15000*5)/100000</f>
        <v>1.2</v>
      </c>
      <c r="BI281" s="3623">
        <f>+(3000*15+15000*5)/100000</f>
        <v>1.2</v>
      </c>
      <c r="BJ281" s="3623">
        <f>+(3000*15+15000*5)/100000</f>
        <v>1.2</v>
      </c>
      <c r="BK281" s="3623"/>
      <c r="BL281" s="3623"/>
      <c r="BM281" s="3623"/>
      <c r="BN281" s="3623"/>
      <c r="BO281" s="3623"/>
      <c r="BP281" s="3623"/>
      <c r="BQ281" s="3623"/>
      <c r="BR281" s="3623"/>
      <c r="BS281" s="3623"/>
      <c r="BT281" s="3623"/>
      <c r="BU281" s="3623"/>
      <c r="BV281" s="3623"/>
      <c r="BW281" s="3623"/>
      <c r="BX281" s="3623"/>
      <c r="BY281" s="3623"/>
      <c r="BZ281" s="3623"/>
      <c r="CA281" s="3623"/>
      <c r="CB281" s="3623"/>
      <c r="CC281" s="3623"/>
      <c r="CD281" s="3623"/>
      <c r="CE281" s="3623"/>
      <c r="CF281" s="3603">
        <f t="shared" si="87"/>
        <v>45.640000000000015</v>
      </c>
    </row>
    <row r="282" spans="1:84" ht="37.5" customHeight="1">
      <c r="A282" s="1004" t="s">
        <v>2770</v>
      </c>
      <c r="B282" s="1004" t="s">
        <v>1435</v>
      </c>
      <c r="C282" s="1004" t="s">
        <v>1436</v>
      </c>
      <c r="D282" s="982" t="s">
        <v>65</v>
      </c>
      <c r="E282" s="982" t="s">
        <v>65</v>
      </c>
      <c r="F282" s="1620" t="s">
        <v>65</v>
      </c>
      <c r="G282" s="449"/>
      <c r="H282" s="2477">
        <v>7500000</v>
      </c>
      <c r="I282" s="2261">
        <f t="shared" si="104"/>
        <v>75</v>
      </c>
      <c r="J282" s="283">
        <v>1</v>
      </c>
      <c r="K282" s="1612">
        <f t="shared" si="105"/>
        <v>75</v>
      </c>
      <c r="L282" s="2484" t="s">
        <v>5247</v>
      </c>
      <c r="M282" s="3019" t="s">
        <v>5877</v>
      </c>
      <c r="N282" s="3675">
        <v>75</v>
      </c>
      <c r="O282" s="3677"/>
      <c r="P282" s="3677"/>
      <c r="Q282" s="3677"/>
      <c r="R282" s="3677"/>
      <c r="S282" s="3677"/>
      <c r="T282" s="3677"/>
      <c r="U282" s="3677"/>
      <c r="V282" s="3677"/>
      <c r="W282" s="3677"/>
      <c r="X282" s="3677"/>
      <c r="Y282" s="3677"/>
      <c r="Z282" s="3677"/>
      <c r="AA282" s="3677"/>
      <c r="AB282" s="3677"/>
      <c r="AC282" s="3677"/>
      <c r="AD282" s="3677"/>
      <c r="AE282" s="3677"/>
      <c r="AF282" s="3677"/>
      <c r="AG282" s="3677"/>
      <c r="AH282" s="3677"/>
      <c r="AI282" s="3677"/>
      <c r="AJ282" s="3677"/>
      <c r="AK282" s="3677"/>
      <c r="AL282" s="3677"/>
      <c r="AM282" s="3677"/>
      <c r="AN282" s="3677"/>
      <c r="AO282" s="3677"/>
      <c r="AP282" s="3677"/>
      <c r="AQ282" s="3677"/>
      <c r="AR282" s="3677"/>
      <c r="AS282" s="3677"/>
      <c r="AT282" s="3677"/>
      <c r="AU282" s="3677"/>
      <c r="AV282" s="3677"/>
      <c r="AW282" s="3677"/>
      <c r="AX282" s="3624">
        <v>75</v>
      </c>
      <c r="AY282" s="3624"/>
      <c r="AZ282" s="3624"/>
      <c r="BA282" s="3624"/>
      <c r="BB282" s="3624"/>
      <c r="BC282" s="3624"/>
      <c r="BD282" s="3624"/>
      <c r="BE282" s="3624"/>
      <c r="BF282" s="3624"/>
      <c r="BG282" s="3624"/>
      <c r="BH282" s="3624"/>
      <c r="BI282" s="3624"/>
      <c r="BJ282" s="3624"/>
      <c r="BK282" s="3624"/>
      <c r="BL282" s="3624"/>
      <c r="BM282" s="3624"/>
      <c r="BN282" s="3624"/>
      <c r="BO282" s="3624"/>
      <c r="BP282" s="3624"/>
      <c r="BQ282" s="3624"/>
      <c r="BR282" s="3624"/>
      <c r="BS282" s="3624"/>
      <c r="BT282" s="3624"/>
      <c r="BU282" s="3624"/>
      <c r="BV282" s="3624"/>
      <c r="BW282" s="3624"/>
      <c r="BX282" s="3624"/>
      <c r="BY282" s="3624"/>
      <c r="BZ282" s="3624"/>
      <c r="CA282" s="3624"/>
      <c r="CB282" s="3624"/>
      <c r="CC282" s="3624"/>
      <c r="CD282" s="3624"/>
      <c r="CE282" s="3624"/>
      <c r="CF282" s="3603">
        <f t="shared" si="87"/>
        <v>75</v>
      </c>
    </row>
    <row r="283" spans="1:84" ht="37.5" customHeight="1">
      <c r="A283" s="1611" t="s">
        <v>1410</v>
      </c>
      <c r="B283" s="1004" t="s">
        <v>1388</v>
      </c>
      <c r="C283" s="1004" t="s">
        <v>1389</v>
      </c>
      <c r="D283" s="982" t="s">
        <v>4219</v>
      </c>
      <c r="E283" s="982" t="s">
        <v>65</v>
      </c>
      <c r="F283" s="2636" t="s">
        <v>4714</v>
      </c>
      <c r="G283" s="353"/>
      <c r="H283" s="283">
        <v>25000</v>
      </c>
      <c r="I283" s="2261">
        <f t="shared" ref="I283:I285" si="106">H283/100000</f>
        <v>0.25</v>
      </c>
      <c r="J283" s="283">
        <v>12</v>
      </c>
      <c r="K283" s="1612">
        <f t="shared" ref="K283:K285" si="107">I283*J283</f>
        <v>3</v>
      </c>
      <c r="L283" s="797" t="s">
        <v>5458</v>
      </c>
      <c r="M283" s="2300">
        <f>'Abs9. NVBDCP'!Q1300</f>
        <v>0</v>
      </c>
      <c r="N283" s="3673">
        <v>3</v>
      </c>
      <c r="O283" s="3677"/>
      <c r="P283" s="3677"/>
      <c r="Q283" s="3677"/>
      <c r="R283" s="3677"/>
      <c r="S283" s="3677"/>
      <c r="T283" s="3677"/>
      <c r="U283" s="3677"/>
      <c r="V283" s="3677"/>
      <c r="W283" s="3677"/>
      <c r="X283" s="3677"/>
      <c r="Y283" s="3677"/>
      <c r="Z283" s="3677"/>
      <c r="AA283" s="3677"/>
      <c r="AB283" s="3677"/>
      <c r="AC283" s="3677"/>
      <c r="AD283" s="3677"/>
      <c r="AE283" s="3677"/>
      <c r="AF283" s="3677"/>
      <c r="AG283" s="3677"/>
      <c r="AH283" s="3677"/>
      <c r="AI283" s="3677"/>
      <c r="AJ283" s="3677"/>
      <c r="AK283" s="3677"/>
      <c r="AL283" s="3677"/>
      <c r="AM283" s="3677"/>
      <c r="AN283" s="3677"/>
      <c r="AO283" s="3677"/>
      <c r="AP283" s="3677"/>
      <c r="AQ283" s="3677"/>
      <c r="AR283" s="3677"/>
      <c r="AS283" s="3677"/>
      <c r="AT283" s="3677"/>
      <c r="AU283" s="3677"/>
      <c r="AV283" s="3677"/>
      <c r="AW283" s="3677"/>
      <c r="AX283" s="3624">
        <v>0.93</v>
      </c>
      <c r="AY283" s="3624">
        <v>0.13</v>
      </c>
      <c r="AZ283" s="3624">
        <v>0.19</v>
      </c>
      <c r="BA283" s="3624">
        <v>0.17</v>
      </c>
      <c r="BB283" s="3624">
        <v>0.36</v>
      </c>
      <c r="BC283" s="3624">
        <v>0</v>
      </c>
      <c r="BD283" s="3624">
        <v>0.15</v>
      </c>
      <c r="BE283" s="3624">
        <v>0</v>
      </c>
      <c r="BF283" s="3624">
        <v>0.32</v>
      </c>
      <c r="BG283" s="3624">
        <v>0.3</v>
      </c>
      <c r="BH283" s="3624">
        <v>0.15</v>
      </c>
      <c r="BI283" s="3624">
        <v>0.15</v>
      </c>
      <c r="BJ283" s="3624">
        <v>0.15</v>
      </c>
      <c r="BK283" s="3624"/>
      <c r="BL283" s="3624"/>
      <c r="BM283" s="3624"/>
      <c r="BN283" s="3624"/>
      <c r="BO283" s="3624"/>
      <c r="BP283" s="3624"/>
      <c r="BQ283" s="3624"/>
      <c r="BR283" s="3624"/>
      <c r="BS283" s="3624"/>
      <c r="BT283" s="3624"/>
      <c r="BU283" s="3624"/>
      <c r="BV283" s="3624"/>
      <c r="BW283" s="3624"/>
      <c r="BX283" s="3624"/>
      <c r="BY283" s="3624"/>
      <c r="BZ283" s="3624"/>
      <c r="CA283" s="3624"/>
      <c r="CB283" s="3624"/>
      <c r="CC283" s="3624"/>
      <c r="CD283" s="3624"/>
      <c r="CE283" s="3624"/>
      <c r="CF283" s="3603">
        <f t="shared" si="87"/>
        <v>2.9999999999999991</v>
      </c>
    </row>
    <row r="284" spans="1:84" ht="37.5" customHeight="1">
      <c r="A284" s="1611" t="s">
        <v>1413</v>
      </c>
      <c r="B284" s="1004" t="s">
        <v>1390</v>
      </c>
      <c r="C284" s="1004" t="s">
        <v>1391</v>
      </c>
      <c r="D284" s="982" t="s">
        <v>4219</v>
      </c>
      <c r="E284" s="982" t="s">
        <v>65</v>
      </c>
      <c r="F284" s="2636" t="s">
        <v>4709</v>
      </c>
      <c r="G284" s="353"/>
      <c r="H284" s="283">
        <v>25000</v>
      </c>
      <c r="I284" s="2261">
        <f t="shared" si="106"/>
        <v>0.25</v>
      </c>
      <c r="J284" s="283">
        <v>12</v>
      </c>
      <c r="K284" s="1612">
        <f t="shared" si="107"/>
        <v>3</v>
      </c>
      <c r="L284" s="797" t="s">
        <v>5459</v>
      </c>
      <c r="M284" s="2300">
        <f>'Abs9. NVBDCP'!Q1301</f>
        <v>0</v>
      </c>
      <c r="N284" s="3673">
        <v>3</v>
      </c>
      <c r="O284" s="3677"/>
      <c r="P284" s="3677"/>
      <c r="Q284" s="3677"/>
      <c r="R284" s="3677"/>
      <c r="S284" s="3677"/>
      <c r="T284" s="3677"/>
      <c r="U284" s="3677"/>
      <c r="V284" s="3677"/>
      <c r="W284" s="3677"/>
      <c r="X284" s="3677"/>
      <c r="Y284" s="3677"/>
      <c r="Z284" s="3677"/>
      <c r="AA284" s="3677"/>
      <c r="AB284" s="3677"/>
      <c r="AC284" s="3677"/>
      <c r="AD284" s="3677"/>
      <c r="AE284" s="3677"/>
      <c r="AF284" s="3677"/>
      <c r="AG284" s="3677"/>
      <c r="AH284" s="3677"/>
      <c r="AI284" s="3677"/>
      <c r="AJ284" s="3677"/>
      <c r="AK284" s="3677"/>
      <c r="AL284" s="3677"/>
      <c r="AM284" s="3677"/>
      <c r="AN284" s="3677"/>
      <c r="AO284" s="3677"/>
      <c r="AP284" s="3677"/>
      <c r="AQ284" s="3677"/>
      <c r="AR284" s="3677"/>
      <c r="AS284" s="3677"/>
      <c r="AT284" s="3677"/>
      <c r="AU284" s="3677"/>
      <c r="AV284" s="3677"/>
      <c r="AW284" s="3677"/>
      <c r="AX284" s="3624">
        <v>0.93</v>
      </c>
      <c r="AY284" s="3624">
        <v>0.13</v>
      </c>
      <c r="AZ284" s="3624">
        <v>0.19</v>
      </c>
      <c r="BA284" s="3624">
        <v>0.17</v>
      </c>
      <c r="BB284" s="3624">
        <v>0.36</v>
      </c>
      <c r="BC284" s="3624">
        <v>0</v>
      </c>
      <c r="BD284" s="3624">
        <v>0.15</v>
      </c>
      <c r="BE284" s="3624">
        <v>0</v>
      </c>
      <c r="BF284" s="3624">
        <v>0.32</v>
      </c>
      <c r="BG284" s="3624">
        <v>0.3</v>
      </c>
      <c r="BH284" s="3624">
        <v>0.15</v>
      </c>
      <c r="BI284" s="3624">
        <v>0.15</v>
      </c>
      <c r="BJ284" s="3624">
        <v>0.15</v>
      </c>
      <c r="BK284" s="3624"/>
      <c r="BL284" s="3624"/>
      <c r="BM284" s="3624"/>
      <c r="BN284" s="3624"/>
      <c r="BO284" s="3624"/>
      <c r="BP284" s="3624"/>
      <c r="BQ284" s="3624"/>
      <c r="BR284" s="3624"/>
      <c r="BS284" s="3624"/>
      <c r="BT284" s="3624"/>
      <c r="BU284" s="3624"/>
      <c r="BV284" s="3624"/>
      <c r="BW284" s="3624"/>
      <c r="BX284" s="3624"/>
      <c r="BY284" s="3624"/>
      <c r="BZ284" s="3624"/>
      <c r="CA284" s="3624"/>
      <c r="CB284" s="3624"/>
      <c r="CC284" s="3624"/>
      <c r="CD284" s="3624"/>
      <c r="CE284" s="3624"/>
      <c r="CF284" s="3603">
        <f t="shared" si="87"/>
        <v>2.9999999999999991</v>
      </c>
    </row>
    <row r="285" spans="1:84" ht="37.5" customHeight="1">
      <c r="A285" s="1611" t="s">
        <v>2559</v>
      </c>
      <c r="B285" s="1004"/>
      <c r="C285" s="1004" t="s">
        <v>3727</v>
      </c>
      <c r="D285" s="982" t="s">
        <v>4219</v>
      </c>
      <c r="E285" s="982" t="s">
        <v>65</v>
      </c>
      <c r="F285" s="2636" t="s">
        <v>4714</v>
      </c>
      <c r="G285" s="449">
        <v>12</v>
      </c>
      <c r="H285" s="2545">
        <v>50000</v>
      </c>
      <c r="I285" s="2261">
        <f t="shared" si="106"/>
        <v>0.5</v>
      </c>
      <c r="J285" s="2545">
        <v>12</v>
      </c>
      <c r="K285" s="1612">
        <f t="shared" si="107"/>
        <v>6</v>
      </c>
      <c r="L285" s="778" t="s">
        <v>5460</v>
      </c>
      <c r="M285" s="2300">
        <f>'Abs9. NVBDCP'!Q1306</f>
        <v>0</v>
      </c>
      <c r="N285" s="3673">
        <v>4.8</v>
      </c>
      <c r="O285" s="3677"/>
      <c r="P285" s="3677"/>
      <c r="Q285" s="3677"/>
      <c r="R285" s="3677"/>
      <c r="S285" s="3677"/>
      <c r="T285" s="3677"/>
      <c r="U285" s="3677"/>
      <c r="V285" s="3677"/>
      <c r="W285" s="3677"/>
      <c r="X285" s="3677"/>
      <c r="Y285" s="3677"/>
      <c r="Z285" s="3677"/>
      <c r="AA285" s="3677"/>
      <c r="AB285" s="3677"/>
      <c r="AC285" s="3677"/>
      <c r="AD285" s="3677"/>
      <c r="AE285" s="3677"/>
      <c r="AF285" s="3677"/>
      <c r="AG285" s="3677"/>
      <c r="AH285" s="3677"/>
      <c r="AI285" s="3677"/>
      <c r="AJ285" s="3677"/>
      <c r="AK285" s="3677"/>
      <c r="AL285" s="3677"/>
      <c r="AM285" s="3677"/>
      <c r="AN285" s="3677"/>
      <c r="AO285" s="3677"/>
      <c r="AP285" s="3677"/>
      <c r="AQ285" s="3677"/>
      <c r="AR285" s="3677"/>
      <c r="AS285" s="3677"/>
      <c r="AT285" s="3677"/>
      <c r="AU285" s="3677"/>
      <c r="AV285" s="3677"/>
      <c r="AW285" s="3677"/>
      <c r="AX285" s="3624"/>
      <c r="AY285" s="3624">
        <v>0.6</v>
      </c>
      <c r="AZ285" s="3624">
        <v>0.4</v>
      </c>
      <c r="BA285" s="3624">
        <v>0.4</v>
      </c>
      <c r="BB285" s="3624">
        <v>0.5</v>
      </c>
      <c r="BC285" s="3624">
        <v>0</v>
      </c>
      <c r="BD285" s="3624">
        <v>0.4</v>
      </c>
      <c r="BE285" s="3624">
        <v>0</v>
      </c>
      <c r="BF285" s="3624">
        <v>0.5</v>
      </c>
      <c r="BG285" s="3624">
        <v>0.4</v>
      </c>
      <c r="BH285" s="3624">
        <v>0.5</v>
      </c>
      <c r="BI285" s="3624">
        <v>0.5</v>
      </c>
      <c r="BJ285" s="3624">
        <v>0.6</v>
      </c>
      <c r="BK285" s="3624"/>
      <c r="BL285" s="3624"/>
      <c r="BM285" s="3624"/>
      <c r="BN285" s="3624"/>
      <c r="BO285" s="3624"/>
      <c r="BP285" s="3624"/>
      <c r="BQ285" s="3624"/>
      <c r="BR285" s="3624"/>
      <c r="BS285" s="3624"/>
      <c r="BT285" s="3624"/>
      <c r="BU285" s="3624"/>
      <c r="BV285" s="3624"/>
      <c r="BW285" s="3624"/>
      <c r="BX285" s="3624"/>
      <c r="BY285" s="3624"/>
      <c r="BZ285" s="3624"/>
      <c r="CA285" s="3624"/>
      <c r="CB285" s="3624"/>
      <c r="CC285" s="3624"/>
      <c r="CD285" s="3624"/>
      <c r="CE285" s="3624"/>
      <c r="CF285" s="3603">
        <f t="shared" si="87"/>
        <v>4.7999999999999989</v>
      </c>
    </row>
    <row r="286" spans="1:84" ht="37.5" customHeight="1">
      <c r="A286" s="1611" t="s">
        <v>1417</v>
      </c>
      <c r="B286" s="1004" t="s">
        <v>1402</v>
      </c>
      <c r="C286" s="1004" t="s">
        <v>5135</v>
      </c>
      <c r="D286" s="982" t="s">
        <v>4219</v>
      </c>
      <c r="E286" s="982" t="s">
        <v>65</v>
      </c>
      <c r="F286" s="1620" t="s">
        <v>141</v>
      </c>
      <c r="G286" s="2340">
        <v>0</v>
      </c>
      <c r="H286" s="283">
        <v>98000</v>
      </c>
      <c r="I286" s="2261">
        <f>H286/100000</f>
        <v>0.98</v>
      </c>
      <c r="J286" s="283">
        <v>13</v>
      </c>
      <c r="K286" s="1612">
        <v>8</v>
      </c>
      <c r="L286" s="2376" t="s">
        <v>5205</v>
      </c>
      <c r="M286" s="2300">
        <f>'Abs10. NLEP'!Q1239</f>
        <v>0</v>
      </c>
      <c r="N286" s="3673">
        <v>8</v>
      </c>
      <c r="O286" s="3677"/>
      <c r="P286" s="3677"/>
      <c r="Q286" s="3677"/>
      <c r="R286" s="3677"/>
      <c r="S286" s="3677"/>
      <c r="T286" s="3677"/>
      <c r="U286" s="3677"/>
      <c r="V286" s="3677"/>
      <c r="W286" s="3677"/>
      <c r="X286" s="3677"/>
      <c r="Y286" s="3677"/>
      <c r="Z286" s="3677"/>
      <c r="AA286" s="3677"/>
      <c r="AB286" s="3677"/>
      <c r="AC286" s="3677"/>
      <c r="AD286" s="3677"/>
      <c r="AE286" s="3677"/>
      <c r="AF286" s="3677"/>
      <c r="AG286" s="3677"/>
      <c r="AH286" s="3677"/>
      <c r="AI286" s="3677"/>
      <c r="AJ286" s="3677"/>
      <c r="AK286" s="3677"/>
      <c r="AL286" s="3677"/>
      <c r="AM286" s="3677"/>
      <c r="AN286" s="3677"/>
      <c r="AO286" s="3677"/>
      <c r="AP286" s="3677"/>
      <c r="AQ286" s="3677"/>
      <c r="AR286" s="3677"/>
      <c r="AS286" s="3677"/>
      <c r="AT286" s="3677"/>
      <c r="AU286" s="3677"/>
      <c r="AV286" s="3677"/>
      <c r="AW286" s="3677"/>
      <c r="AX286" s="3624">
        <v>2.5</v>
      </c>
      <c r="AY286" s="3624">
        <v>0.35</v>
      </c>
      <c r="AZ286" s="3624">
        <v>0.5</v>
      </c>
      <c r="BA286" s="3624">
        <v>0.4</v>
      </c>
      <c r="BB286" s="3624">
        <v>1</v>
      </c>
      <c r="BC286" s="3624">
        <v>0.2</v>
      </c>
      <c r="BD286" s="3624">
        <v>0.4</v>
      </c>
      <c r="BE286" s="3624">
        <v>0.2</v>
      </c>
      <c r="BF286" s="3624">
        <v>0.6</v>
      </c>
      <c r="BG286" s="3624">
        <v>0.6</v>
      </c>
      <c r="BH286" s="3624">
        <v>0.35</v>
      </c>
      <c r="BI286" s="3624">
        <v>0.5</v>
      </c>
      <c r="BJ286" s="3624">
        <v>0.4</v>
      </c>
      <c r="BK286" s="3624"/>
      <c r="BL286" s="3624"/>
      <c r="BM286" s="3624"/>
      <c r="BN286" s="3624"/>
      <c r="BO286" s="3624"/>
      <c r="BP286" s="3624"/>
      <c r="BQ286" s="3624"/>
      <c r="BR286" s="3624"/>
      <c r="BS286" s="3624"/>
      <c r="BT286" s="3624"/>
      <c r="BU286" s="3624"/>
      <c r="BV286" s="3624"/>
      <c r="BW286" s="3624"/>
      <c r="BX286" s="3624"/>
      <c r="BY286" s="3624"/>
      <c r="BZ286" s="3624"/>
      <c r="CA286" s="3624"/>
      <c r="CB286" s="3624"/>
      <c r="CC286" s="3624"/>
      <c r="CD286" s="3624"/>
      <c r="CE286" s="3624"/>
      <c r="CF286" s="3603">
        <f t="shared" si="87"/>
        <v>8</v>
      </c>
    </row>
    <row r="287" spans="1:84" ht="37.5" customHeight="1">
      <c r="A287" s="1611" t="s">
        <v>2561</v>
      </c>
      <c r="B287" s="1621" t="s">
        <v>1403</v>
      </c>
      <c r="C287" s="1621" t="s">
        <v>1404</v>
      </c>
      <c r="D287" s="2254" t="s">
        <v>4219</v>
      </c>
      <c r="E287" s="2254" t="s">
        <v>4525</v>
      </c>
      <c r="F287" s="1170" t="s">
        <v>4525</v>
      </c>
      <c r="G287" s="2378">
        <v>1</v>
      </c>
      <c r="H287" s="2366">
        <v>52298</v>
      </c>
      <c r="I287" s="2261">
        <f t="shared" ref="I287:I290" si="108">H287/100000</f>
        <v>0.52298</v>
      </c>
      <c r="J287" s="2366">
        <v>110</v>
      </c>
      <c r="K287" s="1612">
        <f t="shared" ref="K287:K290" si="109">I287*J287</f>
        <v>57.527799999999999</v>
      </c>
      <c r="L287" s="2379" t="s">
        <v>5173</v>
      </c>
      <c r="M287" s="2300">
        <f>'Abs11. NTEP'!Q1251</f>
        <v>0</v>
      </c>
      <c r="N287" s="3673">
        <v>57.53</v>
      </c>
      <c r="O287" s="3677"/>
      <c r="P287" s="3677"/>
      <c r="Q287" s="3677"/>
      <c r="R287" s="3677"/>
      <c r="S287" s="3677"/>
      <c r="T287" s="3677"/>
      <c r="U287" s="3677"/>
      <c r="V287" s="3677"/>
      <c r="W287" s="3677"/>
      <c r="X287" s="3677"/>
      <c r="Y287" s="3677"/>
      <c r="Z287" s="3677"/>
      <c r="AA287" s="3677"/>
      <c r="AB287" s="3677"/>
      <c r="AC287" s="3677"/>
      <c r="AD287" s="3677"/>
      <c r="AE287" s="3677"/>
      <c r="AF287" s="3677"/>
      <c r="AG287" s="3677"/>
      <c r="AH287" s="3677"/>
      <c r="AI287" s="3677"/>
      <c r="AJ287" s="3677"/>
      <c r="AK287" s="3677"/>
      <c r="AL287" s="3677"/>
      <c r="AM287" s="3677"/>
      <c r="AN287" s="3677"/>
      <c r="AO287" s="3677"/>
      <c r="AP287" s="3677"/>
      <c r="AQ287" s="3677"/>
      <c r="AR287" s="3677"/>
      <c r="AS287" s="3677"/>
      <c r="AT287" s="3677"/>
      <c r="AU287" s="3677"/>
      <c r="AV287" s="3677"/>
      <c r="AW287" s="3677"/>
      <c r="AX287" s="3624">
        <v>25.65</v>
      </c>
      <c r="AY287" s="3624">
        <v>1.57</v>
      </c>
      <c r="AZ287" s="3624">
        <v>2.61</v>
      </c>
      <c r="BA287" s="3624">
        <v>1.57</v>
      </c>
      <c r="BB287" s="3624">
        <v>6.27</v>
      </c>
      <c r="BC287" s="3624">
        <v>1.57</v>
      </c>
      <c r="BD287" s="3624">
        <v>2.61</v>
      </c>
      <c r="BE287" s="3624">
        <v>1.05</v>
      </c>
      <c r="BF287" s="3624">
        <v>4.18</v>
      </c>
      <c r="BG287" s="3624">
        <v>4.18</v>
      </c>
      <c r="BH287" s="3624">
        <v>2.09</v>
      </c>
      <c r="BI287" s="3624">
        <v>2.09</v>
      </c>
      <c r="BJ287" s="3624">
        <v>2.09</v>
      </c>
      <c r="BK287" s="3624"/>
      <c r="BL287" s="3624"/>
      <c r="BM287" s="3624"/>
      <c r="BN287" s="3624"/>
      <c r="BO287" s="3624"/>
      <c r="BP287" s="3624"/>
      <c r="BQ287" s="3624"/>
      <c r="BR287" s="3624"/>
      <c r="BS287" s="3624"/>
      <c r="BT287" s="3624"/>
      <c r="BU287" s="3624"/>
      <c r="BV287" s="3624"/>
      <c r="BW287" s="3624"/>
      <c r="BX287" s="3624"/>
      <c r="BY287" s="3624"/>
      <c r="BZ287" s="3624"/>
      <c r="CA287" s="3624"/>
      <c r="CB287" s="3624"/>
      <c r="CC287" s="3624"/>
      <c r="CD287" s="3624"/>
      <c r="CE287" s="3624"/>
      <c r="CF287" s="3603">
        <f t="shared" si="87"/>
        <v>57.53</v>
      </c>
    </row>
    <row r="288" spans="1:84" ht="37.5" customHeight="1">
      <c r="A288" s="1611" t="s">
        <v>2562</v>
      </c>
      <c r="B288" s="1621"/>
      <c r="C288" s="2380" t="s">
        <v>4368</v>
      </c>
      <c r="D288" s="2254" t="s">
        <v>4219</v>
      </c>
      <c r="E288" s="2254" t="s">
        <v>4525</v>
      </c>
      <c r="F288" s="1170" t="s">
        <v>4525</v>
      </c>
      <c r="G288" s="449">
        <v>1</v>
      </c>
      <c r="H288" s="2368">
        <v>150000</v>
      </c>
      <c r="I288" s="2261">
        <f t="shared" si="108"/>
        <v>1.5</v>
      </c>
      <c r="J288" s="283">
        <v>12</v>
      </c>
      <c r="K288" s="1612">
        <f t="shared" si="109"/>
        <v>18</v>
      </c>
      <c r="L288" s="776" t="s">
        <v>5174</v>
      </c>
      <c r="M288" s="2300">
        <f>'Abs11. NTEP'!Q1252</f>
        <v>0</v>
      </c>
      <c r="N288" s="3673">
        <v>18</v>
      </c>
      <c r="O288" s="3677"/>
      <c r="P288" s="3677"/>
      <c r="Q288" s="3677"/>
      <c r="R288" s="3677"/>
      <c r="S288" s="3677"/>
      <c r="T288" s="3677"/>
      <c r="U288" s="3677"/>
      <c r="V288" s="3677"/>
      <c r="W288" s="3677"/>
      <c r="X288" s="3677"/>
      <c r="Y288" s="3677"/>
      <c r="Z288" s="3677"/>
      <c r="AA288" s="3677"/>
      <c r="AB288" s="3677"/>
      <c r="AC288" s="3677"/>
      <c r="AD288" s="3677"/>
      <c r="AE288" s="3677"/>
      <c r="AF288" s="3677"/>
      <c r="AG288" s="3677"/>
      <c r="AH288" s="3677"/>
      <c r="AI288" s="3677"/>
      <c r="AJ288" s="3677"/>
      <c r="AK288" s="3677"/>
      <c r="AL288" s="3677"/>
      <c r="AM288" s="3677"/>
      <c r="AN288" s="3677"/>
      <c r="AO288" s="3677"/>
      <c r="AP288" s="3677"/>
      <c r="AQ288" s="3677"/>
      <c r="AR288" s="3677"/>
      <c r="AS288" s="3677"/>
      <c r="AT288" s="3677"/>
      <c r="AU288" s="3677"/>
      <c r="AV288" s="3677"/>
      <c r="AW288" s="3677"/>
      <c r="AX288" s="3624">
        <v>18</v>
      </c>
      <c r="AY288" s="3624"/>
      <c r="AZ288" s="3624"/>
      <c r="BA288" s="3624"/>
      <c r="BB288" s="3624"/>
      <c r="BC288" s="3624"/>
      <c r="BD288" s="3624"/>
      <c r="BE288" s="3624"/>
      <c r="BF288" s="3624"/>
      <c r="BG288" s="3624"/>
      <c r="BH288" s="3624"/>
      <c r="BI288" s="3624"/>
      <c r="BJ288" s="3624"/>
      <c r="BK288" s="3624"/>
      <c r="BL288" s="3624"/>
      <c r="BM288" s="3624"/>
      <c r="BN288" s="3624"/>
      <c r="BO288" s="3624"/>
      <c r="BP288" s="3624"/>
      <c r="BQ288" s="3624"/>
      <c r="BR288" s="3624"/>
      <c r="BS288" s="3624"/>
      <c r="BT288" s="3624"/>
      <c r="BU288" s="3624"/>
      <c r="BV288" s="3624"/>
      <c r="BW288" s="3624"/>
      <c r="BX288" s="3624"/>
      <c r="BY288" s="3624"/>
      <c r="BZ288" s="3624"/>
      <c r="CA288" s="3624"/>
      <c r="CB288" s="3624"/>
      <c r="CC288" s="3624"/>
      <c r="CD288" s="3624"/>
      <c r="CE288" s="3624"/>
      <c r="CF288" s="3603">
        <f t="shared" si="87"/>
        <v>18</v>
      </c>
    </row>
    <row r="289" spans="1:84" ht="37.5" customHeight="1">
      <c r="A289" s="1611" t="s">
        <v>3764</v>
      </c>
      <c r="B289" s="1611"/>
      <c r="C289" s="1004" t="s">
        <v>4926</v>
      </c>
      <c r="D289" s="982" t="s">
        <v>4219</v>
      </c>
      <c r="E289" s="982" t="s">
        <v>65</v>
      </c>
      <c r="F289" s="1620" t="s">
        <v>3855</v>
      </c>
      <c r="G289" s="2375"/>
      <c r="H289" s="2545">
        <v>38462</v>
      </c>
      <c r="I289" s="2261">
        <f t="shared" si="108"/>
        <v>0.38462000000000002</v>
      </c>
      <c r="J289" s="2545">
        <v>13</v>
      </c>
      <c r="K289" s="1612">
        <f t="shared" si="109"/>
        <v>5.0000600000000004</v>
      </c>
      <c r="L289" s="776" t="s">
        <v>5291</v>
      </c>
      <c r="M289" s="2300">
        <f>'Abs13. NRCP'!Q1222</f>
        <v>0</v>
      </c>
      <c r="N289" s="3673">
        <v>5</v>
      </c>
      <c r="O289" s="3677"/>
      <c r="P289" s="3677"/>
      <c r="Q289" s="3677"/>
      <c r="R289" s="3677"/>
      <c r="S289" s="3677"/>
      <c r="T289" s="3677"/>
      <c r="U289" s="3677"/>
      <c r="V289" s="3677"/>
      <c r="W289" s="3677"/>
      <c r="X289" s="3677"/>
      <c r="Y289" s="3677"/>
      <c r="Z289" s="3677"/>
      <c r="AA289" s="3677"/>
      <c r="AB289" s="3677"/>
      <c r="AC289" s="3677"/>
      <c r="AD289" s="3677"/>
      <c r="AE289" s="3677"/>
      <c r="AF289" s="3677"/>
      <c r="AG289" s="3677"/>
      <c r="AH289" s="3677"/>
      <c r="AI289" s="3677"/>
      <c r="AJ289" s="3677"/>
      <c r="AK289" s="3677"/>
      <c r="AL289" s="3677"/>
      <c r="AM289" s="3677"/>
      <c r="AN289" s="3677"/>
      <c r="AO289" s="3677"/>
      <c r="AP289" s="3677"/>
      <c r="AQ289" s="3677"/>
      <c r="AR289" s="3677"/>
      <c r="AS289" s="3677"/>
      <c r="AT289" s="3677"/>
      <c r="AU289" s="3677"/>
      <c r="AV289" s="3677"/>
      <c r="AW289" s="3677"/>
      <c r="AX289" s="3624">
        <v>0.4</v>
      </c>
      <c r="AY289" s="3624">
        <v>0.5</v>
      </c>
      <c r="AZ289" s="3624">
        <v>0.4</v>
      </c>
      <c r="BA289" s="3624">
        <v>0.4</v>
      </c>
      <c r="BB289" s="3624">
        <v>0.5</v>
      </c>
      <c r="BC289" s="3624">
        <v>0.2</v>
      </c>
      <c r="BD289" s="3624">
        <v>0.3</v>
      </c>
      <c r="BE289" s="3624">
        <v>0.2</v>
      </c>
      <c r="BF289" s="3624">
        <v>0.5</v>
      </c>
      <c r="BG289" s="3624">
        <v>0.5</v>
      </c>
      <c r="BH289" s="3624">
        <v>0.4</v>
      </c>
      <c r="BI289" s="3624">
        <v>0.4</v>
      </c>
      <c r="BJ289" s="3624">
        <v>0.3</v>
      </c>
      <c r="BK289" s="3624"/>
      <c r="BL289" s="3624"/>
      <c r="BM289" s="3624"/>
      <c r="BN289" s="3624"/>
      <c r="BO289" s="3624"/>
      <c r="BP289" s="3624"/>
      <c r="BQ289" s="3624"/>
      <c r="BR289" s="3624"/>
      <c r="BS289" s="3624"/>
      <c r="BT289" s="3624"/>
      <c r="BU289" s="3624"/>
      <c r="BV289" s="3624"/>
      <c r="BW289" s="3624"/>
      <c r="BX289" s="3624"/>
      <c r="BY289" s="3624"/>
      <c r="BZ289" s="3624"/>
      <c r="CA289" s="3624"/>
      <c r="CB289" s="3624"/>
      <c r="CC289" s="3624"/>
      <c r="CD289" s="3624"/>
      <c r="CE289" s="3624"/>
      <c r="CF289" s="3603">
        <f t="shared" si="87"/>
        <v>5.0000000000000009</v>
      </c>
    </row>
    <row r="290" spans="1:84" ht="37.5" customHeight="1">
      <c r="A290" s="1611"/>
      <c r="B290" s="1611"/>
      <c r="C290" s="1004" t="s">
        <v>4964</v>
      </c>
      <c r="D290" s="982" t="s">
        <v>4219</v>
      </c>
      <c r="E290" s="982" t="s">
        <v>65</v>
      </c>
      <c r="F290" s="1075" t="s">
        <v>3223</v>
      </c>
      <c r="G290" s="449">
        <v>12</v>
      </c>
      <c r="H290" s="2520">
        <v>50000</v>
      </c>
      <c r="I290" s="2261">
        <f t="shared" si="108"/>
        <v>0.5</v>
      </c>
      <c r="J290" s="283">
        <v>12</v>
      </c>
      <c r="K290" s="1612">
        <f t="shared" si="109"/>
        <v>6</v>
      </c>
      <c r="L290" s="776" t="s">
        <v>5415</v>
      </c>
      <c r="M290" s="2300">
        <f>'Abs12. NVHCP'!Q1243</f>
        <v>0</v>
      </c>
      <c r="N290" s="3640">
        <v>6</v>
      </c>
      <c r="O290" s="3674"/>
      <c r="P290" s="3674"/>
      <c r="Q290" s="3674"/>
      <c r="R290" s="3674"/>
      <c r="S290" s="3674"/>
      <c r="T290" s="3674"/>
      <c r="U290" s="3674"/>
      <c r="V290" s="3674"/>
      <c r="W290" s="3674"/>
      <c r="X290" s="3674"/>
      <c r="Y290" s="3674"/>
      <c r="Z290" s="3674"/>
      <c r="AA290" s="3674"/>
      <c r="AB290" s="3674"/>
      <c r="AC290" s="3674"/>
      <c r="AD290" s="3674"/>
      <c r="AE290" s="3674"/>
      <c r="AF290" s="3674"/>
      <c r="AG290" s="3674"/>
      <c r="AH290" s="3674"/>
      <c r="AI290" s="3674"/>
      <c r="AJ290" s="3674"/>
      <c r="AK290" s="3674"/>
      <c r="AL290" s="3674"/>
      <c r="AM290" s="3674"/>
      <c r="AN290" s="3674"/>
      <c r="AO290" s="3674"/>
      <c r="AP290" s="3674"/>
      <c r="AQ290" s="3674"/>
      <c r="AR290" s="3674"/>
      <c r="AS290" s="3674"/>
      <c r="AT290" s="3674"/>
      <c r="AU290" s="3674"/>
      <c r="AV290" s="3674"/>
      <c r="AW290" s="3674"/>
      <c r="AX290" s="3621"/>
      <c r="AY290" s="3621">
        <v>0.5</v>
      </c>
      <c r="AZ290" s="3621">
        <v>0.5</v>
      </c>
      <c r="BA290" s="3621">
        <v>0.5</v>
      </c>
      <c r="BB290" s="3621">
        <v>0.5</v>
      </c>
      <c r="BC290" s="3621">
        <v>0.5</v>
      </c>
      <c r="BD290" s="3621">
        <v>0.5</v>
      </c>
      <c r="BE290" s="3621">
        <v>0.5</v>
      </c>
      <c r="BF290" s="3621">
        <v>0.5</v>
      </c>
      <c r="BG290" s="3621">
        <v>0.5</v>
      </c>
      <c r="BH290" s="3621">
        <v>0.5</v>
      </c>
      <c r="BI290" s="3621">
        <v>0.5</v>
      </c>
      <c r="BJ290" s="3621">
        <v>0.5</v>
      </c>
      <c r="BK290" s="3621"/>
      <c r="BL290" s="3621"/>
      <c r="BM290" s="3621"/>
      <c r="BN290" s="3621"/>
      <c r="BO290" s="3621"/>
      <c r="BP290" s="3621"/>
      <c r="BQ290" s="3621"/>
      <c r="BR290" s="3621"/>
      <c r="BS290" s="3621"/>
      <c r="BT290" s="3621"/>
      <c r="BU290" s="3621"/>
      <c r="BV290" s="3621"/>
      <c r="BW290" s="3621"/>
      <c r="BX290" s="3621"/>
      <c r="BY290" s="3621"/>
      <c r="BZ290" s="3621"/>
      <c r="CA290" s="3621"/>
      <c r="CB290" s="3621"/>
      <c r="CC290" s="3621"/>
      <c r="CD290" s="3621"/>
      <c r="CE290" s="3621"/>
      <c r="CF290" s="3603">
        <f t="shared" si="87"/>
        <v>6</v>
      </c>
    </row>
    <row r="291" spans="1:84" ht="37.5" customHeight="1">
      <c r="A291" s="1611" t="s">
        <v>1422</v>
      </c>
      <c r="B291" s="1004" t="s">
        <v>1407</v>
      </c>
      <c r="C291" s="1004" t="s">
        <v>4331</v>
      </c>
      <c r="D291" s="982" t="s">
        <v>80</v>
      </c>
      <c r="E291" s="982" t="s">
        <v>65</v>
      </c>
      <c r="F291" s="1170" t="s">
        <v>81</v>
      </c>
      <c r="G291" s="449"/>
      <c r="H291" s="2477">
        <v>1000000</v>
      </c>
      <c r="I291" s="2261">
        <f>H291/100000</f>
        <v>10</v>
      </c>
      <c r="J291" s="283">
        <v>1</v>
      </c>
      <c r="K291" s="1612">
        <f>I291*J291</f>
        <v>10</v>
      </c>
      <c r="L291" s="2485"/>
      <c r="M291" s="2300">
        <f>'Abs15. NPCB'!Q1238</f>
        <v>0</v>
      </c>
      <c r="N291" s="3673">
        <v>10</v>
      </c>
      <c r="O291" s="3674"/>
      <c r="P291" s="3674"/>
      <c r="Q291" s="3674"/>
      <c r="R291" s="3674"/>
      <c r="S291" s="3674"/>
      <c r="T291" s="3674"/>
      <c r="U291" s="3674"/>
      <c r="V291" s="3674"/>
      <c r="W291" s="3674"/>
      <c r="X291" s="3674"/>
      <c r="Y291" s="3674"/>
      <c r="Z291" s="3674"/>
      <c r="AA291" s="3674"/>
      <c r="AB291" s="3674"/>
      <c r="AC291" s="3674"/>
      <c r="AD291" s="3674"/>
      <c r="AE291" s="3674"/>
      <c r="AF291" s="3674"/>
      <c r="AG291" s="3674"/>
      <c r="AH291" s="3674"/>
      <c r="AI291" s="3674"/>
      <c r="AJ291" s="3674"/>
      <c r="AK291" s="3674"/>
      <c r="AL291" s="3674"/>
      <c r="AM291" s="3674"/>
      <c r="AN291" s="3674"/>
      <c r="AO291" s="3674"/>
      <c r="AP291" s="3674"/>
      <c r="AQ291" s="3674"/>
      <c r="AR291" s="3674"/>
      <c r="AS291" s="3674"/>
      <c r="AT291" s="3674"/>
      <c r="AU291" s="3674"/>
      <c r="AV291" s="3674"/>
      <c r="AW291" s="3674"/>
      <c r="AX291" s="3621">
        <v>2.14</v>
      </c>
      <c r="AY291" s="3621">
        <v>0.44</v>
      </c>
      <c r="AZ291" s="3621">
        <v>0.62</v>
      </c>
      <c r="BA291" s="3621">
        <v>0.56000000000000005</v>
      </c>
      <c r="BB291" s="3621">
        <v>0.98</v>
      </c>
      <c r="BC291" s="3621">
        <v>0.38</v>
      </c>
      <c r="BD291" s="3621">
        <v>0.5</v>
      </c>
      <c r="BE291" s="3621">
        <v>0.32</v>
      </c>
      <c r="BF291" s="3621">
        <v>0.86</v>
      </c>
      <c r="BG291" s="3621">
        <v>0.86</v>
      </c>
      <c r="BH291" s="3621">
        <v>0.5</v>
      </c>
      <c r="BI291" s="3621">
        <v>0.5</v>
      </c>
      <c r="BJ291" s="3621">
        <v>0.44</v>
      </c>
      <c r="BK291" s="3621">
        <v>0.3</v>
      </c>
      <c r="BL291" s="3621">
        <v>0.3</v>
      </c>
      <c r="BM291" s="3621"/>
      <c r="BN291" s="3621"/>
      <c r="BO291" s="3621">
        <v>0.3</v>
      </c>
      <c r="BP291" s="3621"/>
      <c r="BQ291" s="3621"/>
      <c r="BR291" s="3621"/>
      <c r="BS291" s="3621"/>
      <c r="BT291" s="3621"/>
      <c r="BU291" s="3621"/>
      <c r="BV291" s="3621"/>
      <c r="BW291" s="3621"/>
      <c r="BX291" s="3621"/>
      <c r="BY291" s="3621"/>
      <c r="BZ291" s="3621"/>
      <c r="CA291" s="3621"/>
      <c r="CB291" s="3621"/>
      <c r="CC291" s="3621"/>
      <c r="CD291" s="3621"/>
      <c r="CE291" s="3621"/>
      <c r="CF291" s="3603">
        <f t="shared" si="87"/>
        <v>10.000000000000002</v>
      </c>
    </row>
    <row r="292" spans="1:84" ht="37.5" customHeight="1">
      <c r="A292" s="1611" t="s">
        <v>2431</v>
      </c>
      <c r="B292" s="1004" t="s">
        <v>1414</v>
      </c>
      <c r="C292" s="1621" t="s">
        <v>1415</v>
      </c>
      <c r="D292" s="982" t="s">
        <v>80</v>
      </c>
      <c r="E292" s="982" t="s">
        <v>65</v>
      </c>
      <c r="F292" s="1620" t="s">
        <v>145</v>
      </c>
      <c r="G292" s="449"/>
      <c r="H292" s="2477">
        <v>500000</v>
      </c>
      <c r="I292" s="2261">
        <f>H292/100000</f>
        <v>5</v>
      </c>
      <c r="J292" s="283">
        <v>1</v>
      </c>
      <c r="K292" s="1612">
        <f>I292*J292</f>
        <v>5</v>
      </c>
      <c r="L292" s="778" t="s">
        <v>5251</v>
      </c>
      <c r="M292" s="2300">
        <f>'Abs16. NMHP'!Q1233</f>
        <v>0</v>
      </c>
      <c r="N292" s="3673">
        <v>5</v>
      </c>
      <c r="O292" s="3674"/>
      <c r="P292" s="3674"/>
      <c r="Q292" s="3674"/>
      <c r="R292" s="3674"/>
      <c r="S292" s="3674"/>
      <c r="T292" s="3674"/>
      <c r="U292" s="3674"/>
      <c r="V292" s="3674"/>
      <c r="W292" s="3674"/>
      <c r="X292" s="3674"/>
      <c r="Y292" s="3674"/>
      <c r="Z292" s="3674"/>
      <c r="AA292" s="3674"/>
      <c r="AB292" s="3674"/>
      <c r="AC292" s="3674"/>
      <c r="AD292" s="3674"/>
      <c r="AE292" s="3674"/>
      <c r="AF292" s="3674"/>
      <c r="AG292" s="3674"/>
      <c r="AH292" s="3674"/>
      <c r="AI292" s="3674"/>
      <c r="AJ292" s="3674"/>
      <c r="AK292" s="3674"/>
      <c r="AL292" s="3674"/>
      <c r="AM292" s="3674"/>
      <c r="AN292" s="3674"/>
      <c r="AO292" s="3674"/>
      <c r="AP292" s="3674"/>
      <c r="AQ292" s="3674"/>
      <c r="AR292" s="3674"/>
      <c r="AS292" s="3674"/>
      <c r="AT292" s="3674"/>
      <c r="AU292" s="3674"/>
      <c r="AV292" s="3674"/>
      <c r="AW292" s="3674"/>
      <c r="AX292" s="3621">
        <v>2.12</v>
      </c>
      <c r="AY292" s="3621">
        <v>0.17</v>
      </c>
      <c r="AZ292" s="3621">
        <v>0.26</v>
      </c>
      <c r="BA292" s="3621">
        <v>0.23</v>
      </c>
      <c r="BB292" s="3621">
        <v>0.44</v>
      </c>
      <c r="BC292" s="3621">
        <v>0.14000000000000001</v>
      </c>
      <c r="BD292" s="3621">
        <v>0.2</v>
      </c>
      <c r="BE292" s="3621">
        <v>0.11</v>
      </c>
      <c r="BF292" s="3621">
        <v>0.38</v>
      </c>
      <c r="BG292" s="3621">
        <v>0.38</v>
      </c>
      <c r="BH292" s="3621">
        <v>0.2</v>
      </c>
      <c r="BI292" s="3621">
        <v>0.2</v>
      </c>
      <c r="BJ292" s="3621">
        <v>0.17</v>
      </c>
      <c r="BK292" s="3621"/>
      <c r="BL292" s="3621"/>
      <c r="BM292" s="3621"/>
      <c r="BN292" s="3621"/>
      <c r="BO292" s="3621"/>
      <c r="BP292" s="3621"/>
      <c r="BQ292" s="3621"/>
      <c r="BR292" s="3621"/>
      <c r="BS292" s="3621"/>
      <c r="BT292" s="3621"/>
      <c r="BU292" s="3621"/>
      <c r="BV292" s="3621"/>
      <c r="BW292" s="3621"/>
      <c r="BX292" s="3621"/>
      <c r="BY292" s="3621"/>
      <c r="BZ292" s="3621"/>
      <c r="CA292" s="3621"/>
      <c r="CB292" s="3621"/>
      <c r="CC292" s="3621"/>
      <c r="CD292" s="3621"/>
      <c r="CE292" s="3621"/>
      <c r="CF292" s="3603">
        <f t="shared" si="87"/>
        <v>5</v>
      </c>
    </row>
    <row r="293" spans="1:84" ht="37.5" customHeight="1">
      <c r="A293" s="1611" t="s">
        <v>2307</v>
      </c>
      <c r="B293" s="1004" t="s">
        <v>1418</v>
      </c>
      <c r="C293" s="1004" t="s">
        <v>4280</v>
      </c>
      <c r="D293" s="982" t="s">
        <v>80</v>
      </c>
      <c r="E293" s="982" t="s">
        <v>65</v>
      </c>
      <c r="F293" s="1620" t="s">
        <v>394</v>
      </c>
      <c r="G293" s="449"/>
      <c r="H293" s="2510">
        <v>10000</v>
      </c>
      <c r="I293" s="2261">
        <f>H293/100000</f>
        <v>0.1</v>
      </c>
      <c r="J293" s="283">
        <v>12</v>
      </c>
      <c r="K293" s="1612">
        <f>I293*J293</f>
        <v>1.2000000000000002</v>
      </c>
      <c r="L293" s="778" t="s">
        <v>5392</v>
      </c>
      <c r="M293" s="2300">
        <f>'Abs17. NPHCE'!Q1238</f>
        <v>0</v>
      </c>
      <c r="N293" s="3673">
        <v>1.2</v>
      </c>
      <c r="O293" s="3674"/>
      <c r="P293" s="3674"/>
      <c r="Q293" s="3674"/>
      <c r="R293" s="3674"/>
      <c r="S293" s="3674"/>
      <c r="T293" s="3674"/>
      <c r="U293" s="3674"/>
      <c r="V293" s="3674"/>
      <c r="W293" s="3674"/>
      <c r="X293" s="3674"/>
      <c r="Y293" s="3674"/>
      <c r="Z293" s="3674"/>
      <c r="AA293" s="3674"/>
      <c r="AB293" s="3674"/>
      <c r="AC293" s="3674"/>
      <c r="AD293" s="3674"/>
      <c r="AE293" s="3674"/>
      <c r="AF293" s="3674"/>
      <c r="AG293" s="3674"/>
      <c r="AH293" s="3674"/>
      <c r="AI293" s="3674"/>
      <c r="AJ293" s="3674"/>
      <c r="AK293" s="3674"/>
      <c r="AL293" s="3674"/>
      <c r="AM293" s="3674"/>
      <c r="AN293" s="3674"/>
      <c r="AO293" s="3674"/>
      <c r="AP293" s="3674"/>
      <c r="AQ293" s="3674"/>
      <c r="AR293" s="3674"/>
      <c r="AS293" s="3674"/>
      <c r="AT293" s="3674"/>
      <c r="AU293" s="3674"/>
      <c r="AV293" s="3674"/>
      <c r="AW293" s="3674"/>
      <c r="AX293" s="3621">
        <v>1.2</v>
      </c>
      <c r="AY293" s="3621"/>
      <c r="AZ293" s="3621"/>
      <c r="BA293" s="3621"/>
      <c r="BB293" s="3621"/>
      <c r="BC293" s="3621"/>
      <c r="BD293" s="3621"/>
      <c r="BE293" s="3621"/>
      <c r="BF293" s="3621"/>
      <c r="BG293" s="3621"/>
      <c r="BH293" s="3621"/>
      <c r="BI293" s="3621"/>
      <c r="BJ293" s="3621"/>
      <c r="BK293" s="3621"/>
      <c r="BL293" s="3621"/>
      <c r="BM293" s="3621"/>
      <c r="BN293" s="3621"/>
      <c r="BO293" s="3621"/>
      <c r="BP293" s="3621"/>
      <c r="BQ293" s="3621"/>
      <c r="BR293" s="3621"/>
      <c r="BS293" s="3621"/>
      <c r="BT293" s="3621"/>
      <c r="BU293" s="3621"/>
      <c r="BV293" s="3621"/>
      <c r="BW293" s="3621"/>
      <c r="BX293" s="3621"/>
      <c r="BY293" s="3621"/>
      <c r="BZ293" s="3621"/>
      <c r="CA293" s="3621"/>
      <c r="CB293" s="3621"/>
      <c r="CC293" s="3621"/>
      <c r="CD293" s="3621"/>
      <c r="CE293" s="3621"/>
      <c r="CF293" s="3603">
        <f t="shared" si="87"/>
        <v>1.2</v>
      </c>
    </row>
    <row r="294" spans="1:84" ht="37.5" customHeight="1">
      <c r="A294" s="1611" t="s">
        <v>2565</v>
      </c>
      <c r="B294" s="1004"/>
      <c r="C294" s="1004" t="s">
        <v>4281</v>
      </c>
      <c r="D294" s="982" t="s">
        <v>80</v>
      </c>
      <c r="E294" s="982" t="s">
        <v>65</v>
      </c>
      <c r="F294" s="1620" t="s">
        <v>394</v>
      </c>
      <c r="G294" s="449"/>
      <c r="H294" s="2510">
        <v>10000</v>
      </c>
      <c r="I294" s="2261">
        <f>H294/100000</f>
        <v>0.1</v>
      </c>
      <c r="J294" s="283">
        <v>12</v>
      </c>
      <c r="K294" s="1612">
        <f>I294*J294</f>
        <v>1.2000000000000002</v>
      </c>
      <c r="L294" s="778" t="s">
        <v>5393</v>
      </c>
      <c r="M294" s="2300">
        <f>'Abs17. NPHCE'!Q1239</f>
        <v>0</v>
      </c>
      <c r="N294" s="3673">
        <v>1.2</v>
      </c>
      <c r="O294" s="3674"/>
      <c r="P294" s="3674"/>
      <c r="Q294" s="3674"/>
      <c r="R294" s="3674"/>
      <c r="S294" s="3674"/>
      <c r="T294" s="3674"/>
      <c r="U294" s="3674"/>
      <c r="V294" s="3674"/>
      <c r="W294" s="3674"/>
      <c r="X294" s="3674"/>
      <c r="Y294" s="3674"/>
      <c r="Z294" s="3674"/>
      <c r="AA294" s="3674"/>
      <c r="AB294" s="3674"/>
      <c r="AC294" s="3674"/>
      <c r="AD294" s="3674"/>
      <c r="AE294" s="3674"/>
      <c r="AF294" s="3674"/>
      <c r="AG294" s="3674"/>
      <c r="AH294" s="3674"/>
      <c r="AI294" s="3674"/>
      <c r="AJ294" s="3674"/>
      <c r="AK294" s="3674"/>
      <c r="AL294" s="3674"/>
      <c r="AM294" s="3674"/>
      <c r="AN294" s="3674"/>
      <c r="AO294" s="3674"/>
      <c r="AP294" s="3674"/>
      <c r="AQ294" s="3674"/>
      <c r="AR294" s="3674"/>
      <c r="AS294" s="3674"/>
      <c r="AT294" s="3674"/>
      <c r="AU294" s="3674"/>
      <c r="AV294" s="3674"/>
      <c r="AW294" s="3674"/>
      <c r="AX294" s="3621"/>
      <c r="AY294" s="3621">
        <v>0.1</v>
      </c>
      <c r="AZ294" s="3621">
        <v>0.1</v>
      </c>
      <c r="BA294" s="3621">
        <v>0.1</v>
      </c>
      <c r="BB294" s="3621">
        <v>0.1</v>
      </c>
      <c r="BC294" s="3621">
        <v>0.1</v>
      </c>
      <c r="BD294" s="3621">
        <v>0.1</v>
      </c>
      <c r="BE294" s="3621">
        <v>0.1</v>
      </c>
      <c r="BF294" s="3621">
        <v>0.1</v>
      </c>
      <c r="BG294" s="3621">
        <v>0.1</v>
      </c>
      <c r="BH294" s="3621">
        <v>0.1</v>
      </c>
      <c r="BI294" s="3621">
        <v>0.1</v>
      </c>
      <c r="BJ294" s="3621">
        <v>0.1</v>
      </c>
      <c r="BK294" s="3621"/>
      <c r="BL294" s="3621"/>
      <c r="BM294" s="3621"/>
      <c r="BN294" s="3621"/>
      <c r="BO294" s="3621"/>
      <c r="BP294" s="3621"/>
      <c r="BQ294" s="3621"/>
      <c r="BR294" s="3621"/>
      <c r="BS294" s="3621"/>
      <c r="BT294" s="3621"/>
      <c r="BU294" s="3621"/>
      <c r="BV294" s="3621"/>
      <c r="BW294" s="3621"/>
      <c r="BX294" s="3621"/>
      <c r="BY294" s="3621"/>
      <c r="BZ294" s="3621"/>
      <c r="CA294" s="3621"/>
      <c r="CB294" s="3621"/>
      <c r="CC294" s="3621"/>
      <c r="CD294" s="3621"/>
      <c r="CE294" s="3621"/>
      <c r="CF294" s="3603">
        <f t="shared" si="87"/>
        <v>1.2</v>
      </c>
    </row>
    <row r="295" spans="1:84" ht="37.5" customHeight="1">
      <c r="A295" s="1611" t="s">
        <v>2433</v>
      </c>
      <c r="B295" s="1004" t="s">
        <v>1420</v>
      </c>
      <c r="C295" s="1004" t="s">
        <v>3766</v>
      </c>
      <c r="D295" s="2095" t="s">
        <v>80</v>
      </c>
      <c r="E295" s="2095" t="s">
        <v>65</v>
      </c>
      <c r="F295" s="1620" t="s">
        <v>147</v>
      </c>
      <c r="G295" s="449">
        <v>1</v>
      </c>
      <c r="H295" s="243">
        <v>77000</v>
      </c>
      <c r="I295" s="3525">
        <f>H295/100000</f>
        <v>0.77</v>
      </c>
      <c r="J295" s="243">
        <v>13</v>
      </c>
      <c r="K295" s="1612">
        <f>I295*J295</f>
        <v>10.01</v>
      </c>
      <c r="L295" s="776" t="s">
        <v>5395</v>
      </c>
      <c r="M295" s="2300">
        <f>'Abs18. NTCP'!Q1234</f>
        <v>0</v>
      </c>
      <c r="N295" s="3673">
        <v>10.01</v>
      </c>
      <c r="O295" s="3677"/>
      <c r="P295" s="3677"/>
      <c r="Q295" s="3677"/>
      <c r="R295" s="3677"/>
      <c r="S295" s="3677"/>
      <c r="T295" s="3677"/>
      <c r="U295" s="3677"/>
      <c r="V295" s="3677"/>
      <c r="W295" s="3677"/>
      <c r="X295" s="3677"/>
      <c r="Y295" s="3677"/>
      <c r="Z295" s="3677"/>
      <c r="AA295" s="3677"/>
      <c r="AB295" s="3677"/>
      <c r="AC295" s="3677"/>
      <c r="AD295" s="3677"/>
      <c r="AE295" s="3677"/>
      <c r="AF295" s="3677"/>
      <c r="AG295" s="3677"/>
      <c r="AH295" s="3677"/>
      <c r="AI295" s="3677"/>
      <c r="AJ295" s="3677"/>
      <c r="AK295" s="3677"/>
      <c r="AL295" s="3677"/>
      <c r="AM295" s="3677"/>
      <c r="AN295" s="3677"/>
      <c r="AO295" s="3677"/>
      <c r="AP295" s="3677"/>
      <c r="AQ295" s="3677"/>
      <c r="AR295" s="3677"/>
      <c r="AS295" s="3677"/>
      <c r="AT295" s="3677"/>
      <c r="AU295" s="3677"/>
      <c r="AV295" s="3677"/>
      <c r="AW295" s="3677"/>
      <c r="AX295" s="3624">
        <v>1.01</v>
      </c>
      <c r="AY295" s="3624">
        <v>0.75</v>
      </c>
      <c r="AZ295" s="3624">
        <v>0.75</v>
      </c>
      <c r="BA295" s="3624">
        <v>0.75</v>
      </c>
      <c r="BB295" s="3624">
        <v>1</v>
      </c>
      <c r="BC295" s="3624">
        <v>0.5</v>
      </c>
      <c r="BD295" s="3624">
        <v>0.75</v>
      </c>
      <c r="BE295" s="3624">
        <v>0.25</v>
      </c>
      <c r="BF295" s="3624">
        <v>1</v>
      </c>
      <c r="BG295" s="3624">
        <v>1</v>
      </c>
      <c r="BH295" s="3624">
        <v>0.75</v>
      </c>
      <c r="BI295" s="3624">
        <v>0.75</v>
      </c>
      <c r="BJ295" s="3624">
        <v>0.75</v>
      </c>
      <c r="BK295" s="3624"/>
      <c r="BL295" s="3624"/>
      <c r="BM295" s="3624"/>
      <c r="BN295" s="3624"/>
      <c r="BO295" s="3624"/>
      <c r="BP295" s="3624"/>
      <c r="BQ295" s="3624"/>
      <c r="BR295" s="3624"/>
      <c r="BS295" s="3624"/>
      <c r="BT295" s="3624"/>
      <c r="BU295" s="3624"/>
      <c r="BV295" s="3624"/>
      <c r="BW295" s="3624"/>
      <c r="BX295" s="3624"/>
      <c r="BY295" s="3624"/>
      <c r="BZ295" s="3624"/>
      <c r="CA295" s="3624"/>
      <c r="CB295" s="3624"/>
      <c r="CC295" s="3624"/>
      <c r="CD295" s="3624"/>
      <c r="CE295" s="3624"/>
      <c r="CF295" s="3608">
        <f t="shared" si="87"/>
        <v>10.01</v>
      </c>
    </row>
    <row r="296" spans="1:84" ht="37.5" customHeight="1">
      <c r="A296" s="1611" t="s">
        <v>2434</v>
      </c>
      <c r="B296" s="1611" t="s">
        <v>1109</v>
      </c>
      <c r="C296" s="1621" t="s">
        <v>1423</v>
      </c>
      <c r="D296" s="982" t="s">
        <v>80</v>
      </c>
      <c r="E296" s="982" t="s">
        <v>65</v>
      </c>
      <c r="F296" s="1620" t="s">
        <v>410</v>
      </c>
      <c r="G296" s="449"/>
      <c r="H296" s="2510">
        <v>2000000</v>
      </c>
      <c r="I296" s="2261">
        <f t="shared" ref="I296:I298" si="110">H296/100000</f>
        <v>20</v>
      </c>
      <c r="J296" s="2510">
        <v>1</v>
      </c>
      <c r="K296" s="1612">
        <f t="shared" ref="K296:K298" si="111">I296*J296</f>
        <v>20</v>
      </c>
      <c r="L296" s="776" t="s">
        <v>5391</v>
      </c>
      <c r="M296" s="2300">
        <f>'Abs19. NPCDCS'!Q1257</f>
        <v>0</v>
      </c>
      <c r="N296" s="3673">
        <v>20</v>
      </c>
      <c r="O296" s="3674"/>
      <c r="P296" s="3674"/>
      <c r="Q296" s="3674"/>
      <c r="R296" s="3674"/>
      <c r="S296" s="3674"/>
      <c r="T296" s="3674"/>
      <c r="U296" s="3674"/>
      <c r="V296" s="3674"/>
      <c r="W296" s="3674"/>
      <c r="X296" s="3674"/>
      <c r="Y296" s="3674"/>
      <c r="Z296" s="3674"/>
      <c r="AA296" s="3674"/>
      <c r="AB296" s="3674"/>
      <c r="AC296" s="3674"/>
      <c r="AD296" s="3674"/>
      <c r="AE296" s="3674"/>
      <c r="AF296" s="3674"/>
      <c r="AG296" s="3674"/>
      <c r="AH296" s="3674"/>
      <c r="AI296" s="3674"/>
      <c r="AJ296" s="3674"/>
      <c r="AK296" s="3674"/>
      <c r="AL296" s="3674"/>
      <c r="AM296" s="3674"/>
      <c r="AN296" s="3674"/>
      <c r="AO296" s="3674"/>
      <c r="AP296" s="3674"/>
      <c r="AQ296" s="3674"/>
      <c r="AR296" s="3674"/>
      <c r="AS296" s="3674"/>
      <c r="AT296" s="3674"/>
      <c r="AU296" s="3674"/>
      <c r="AV296" s="3674"/>
      <c r="AW296" s="3674"/>
      <c r="AX296" s="3621">
        <v>20</v>
      </c>
      <c r="AY296" s="3621"/>
      <c r="AZ296" s="3621"/>
      <c r="BA296" s="3621"/>
      <c r="BB296" s="3621"/>
      <c r="BC296" s="3621"/>
      <c r="BD296" s="3621"/>
      <c r="BE296" s="3621"/>
      <c r="BF296" s="3621"/>
      <c r="BG296" s="3621"/>
      <c r="BH296" s="3621"/>
      <c r="BI296" s="3621"/>
      <c r="BJ296" s="3621"/>
      <c r="BK296" s="3621"/>
      <c r="BL296" s="3621"/>
      <c r="BM296" s="3621"/>
      <c r="BN296" s="3621"/>
      <c r="BO296" s="3621"/>
      <c r="BP296" s="3621"/>
      <c r="BQ296" s="3621"/>
      <c r="BR296" s="3621"/>
      <c r="BS296" s="3621"/>
      <c r="BT296" s="3621"/>
      <c r="BU296" s="3621"/>
      <c r="BV296" s="3621"/>
      <c r="BW296" s="3621"/>
      <c r="BX296" s="3621"/>
      <c r="BY296" s="3621"/>
      <c r="BZ296" s="3621"/>
      <c r="CA296" s="3621"/>
      <c r="CB296" s="3621"/>
      <c r="CC296" s="3621"/>
      <c r="CD296" s="3621"/>
      <c r="CE296" s="3621"/>
      <c r="CF296" s="3603">
        <f t="shared" si="87"/>
        <v>20</v>
      </c>
    </row>
    <row r="297" spans="1:84" ht="37.5" customHeight="1">
      <c r="A297" s="1611" t="s">
        <v>3765</v>
      </c>
      <c r="B297" s="1611"/>
      <c r="C297" s="1004" t="s">
        <v>4388</v>
      </c>
      <c r="D297" s="982" t="s">
        <v>80</v>
      </c>
      <c r="E297" s="982" t="s">
        <v>65</v>
      </c>
      <c r="F297" s="1620" t="s">
        <v>307</v>
      </c>
      <c r="G297" s="2375"/>
      <c r="H297" s="283">
        <v>41667</v>
      </c>
      <c r="I297" s="2261">
        <f t="shared" si="110"/>
        <v>0.41666999999999998</v>
      </c>
      <c r="J297" s="283">
        <v>12</v>
      </c>
      <c r="K297" s="1612">
        <f t="shared" si="111"/>
        <v>5.0000400000000003</v>
      </c>
      <c r="L297" s="776" t="s">
        <v>5211</v>
      </c>
      <c r="M297" s="2300">
        <f>'Abs24. NOHP'!Q1223</f>
        <v>0</v>
      </c>
      <c r="N297" s="3673">
        <v>5</v>
      </c>
      <c r="O297" s="3674"/>
      <c r="P297" s="3674"/>
      <c r="Q297" s="3674"/>
      <c r="R297" s="3674"/>
      <c r="S297" s="3674"/>
      <c r="T297" s="3674"/>
      <c r="U297" s="3674"/>
      <c r="V297" s="3674"/>
      <c r="W297" s="3674"/>
      <c r="X297" s="3674"/>
      <c r="Y297" s="3674"/>
      <c r="Z297" s="3674"/>
      <c r="AA297" s="3674"/>
      <c r="AB297" s="3674"/>
      <c r="AC297" s="3674"/>
      <c r="AD297" s="3674"/>
      <c r="AE297" s="3674"/>
      <c r="AF297" s="3674"/>
      <c r="AG297" s="3674"/>
      <c r="AH297" s="3674"/>
      <c r="AI297" s="3674"/>
      <c r="AJ297" s="3674"/>
      <c r="AK297" s="3674"/>
      <c r="AL297" s="3674"/>
      <c r="AM297" s="3674"/>
      <c r="AN297" s="3674"/>
      <c r="AO297" s="3674"/>
      <c r="AP297" s="3674"/>
      <c r="AQ297" s="3674"/>
      <c r="AR297" s="3674"/>
      <c r="AS297" s="3674"/>
      <c r="AT297" s="3674"/>
      <c r="AU297" s="3674"/>
      <c r="AV297" s="3674"/>
      <c r="AW297" s="3674"/>
      <c r="AX297" s="3621">
        <v>3.88</v>
      </c>
      <c r="AY297" s="3621">
        <f>(3000*1+1000*4)/100000</f>
        <v>7.0000000000000007E-2</v>
      </c>
      <c r="AZ297" s="3621">
        <f>(3000*1+1000*7)/100000</f>
        <v>0.1</v>
      </c>
      <c r="BA297" s="3621">
        <f>(3000*1+1000*6)/100000</f>
        <v>0.09</v>
      </c>
      <c r="BB297" s="3621">
        <f>(3000*1+1000*13)/100000</f>
        <v>0.16</v>
      </c>
      <c r="BC297" s="3621">
        <f>(3000*1+1000*3)/100000</f>
        <v>0.06</v>
      </c>
      <c r="BD297" s="3621">
        <f>(3000*1+1000*5)/100000</f>
        <v>0.08</v>
      </c>
      <c r="BE297" s="3621">
        <f>(3000*1+1000*2)/100000</f>
        <v>0.05</v>
      </c>
      <c r="BF297" s="3621">
        <f>(3000*1+1000*11)/100000</f>
        <v>0.14000000000000001</v>
      </c>
      <c r="BG297" s="3621">
        <f>(3000*1+1000*10)/100000</f>
        <v>0.13</v>
      </c>
      <c r="BH297" s="3621">
        <f>(3000*1+1000*5)/100000</f>
        <v>0.08</v>
      </c>
      <c r="BI297" s="3621">
        <f>(3000*1+1000*5)/100000</f>
        <v>0.08</v>
      </c>
      <c r="BJ297" s="3621">
        <f>(3000*1+1000*5)/100000</f>
        <v>0.08</v>
      </c>
      <c r="BK297" s="3621"/>
      <c r="BL297" s="3621"/>
      <c r="BM297" s="3621"/>
      <c r="BN297" s="3621"/>
      <c r="BO297" s="3621"/>
      <c r="BP297" s="3621"/>
      <c r="BQ297" s="3621"/>
      <c r="BR297" s="3621"/>
      <c r="BS297" s="3621"/>
      <c r="BT297" s="3621"/>
      <c r="BU297" s="3621"/>
      <c r="BV297" s="3621"/>
      <c r="BW297" s="3621"/>
      <c r="BX297" s="3621"/>
      <c r="BY297" s="3621"/>
      <c r="BZ297" s="3621"/>
      <c r="CA297" s="3621"/>
      <c r="CB297" s="3621"/>
      <c r="CC297" s="3621"/>
      <c r="CD297" s="3621"/>
      <c r="CE297" s="3621"/>
      <c r="CF297" s="3603">
        <f t="shared" si="87"/>
        <v>4.9999999999999991</v>
      </c>
    </row>
    <row r="298" spans="1:84" ht="37.5" customHeight="1">
      <c r="A298" s="1611" t="s">
        <v>3863</v>
      </c>
      <c r="B298" s="1611"/>
      <c r="C298" s="1004" t="s">
        <v>4387</v>
      </c>
      <c r="D298" s="982" t="s">
        <v>80</v>
      </c>
      <c r="E298" s="982" t="s">
        <v>3989</v>
      </c>
      <c r="F298" s="1620" t="s">
        <v>3989</v>
      </c>
      <c r="G298" s="449"/>
      <c r="H298" s="283">
        <v>62692</v>
      </c>
      <c r="I298" s="2261">
        <f t="shared" si="110"/>
        <v>0.62692000000000003</v>
      </c>
      <c r="J298" s="283">
        <v>13</v>
      </c>
      <c r="K298" s="1612">
        <f t="shared" si="111"/>
        <v>8.1499600000000001</v>
      </c>
      <c r="L298" s="776"/>
      <c r="M298" s="2300">
        <f>'Abs21. NPCCHH'!Q1226</f>
        <v>0</v>
      </c>
      <c r="N298" s="3673">
        <v>8.15</v>
      </c>
      <c r="O298" s="3674"/>
      <c r="P298" s="3674"/>
      <c r="Q298" s="3674"/>
      <c r="R298" s="3674"/>
      <c r="S298" s="3674"/>
      <c r="T298" s="3674"/>
      <c r="U298" s="3674"/>
      <c r="V298" s="3674"/>
      <c r="W298" s="3674"/>
      <c r="X298" s="3674"/>
      <c r="Y298" s="3674"/>
      <c r="Z298" s="3674"/>
      <c r="AA298" s="3674"/>
      <c r="AB298" s="3674"/>
      <c r="AC298" s="3674"/>
      <c r="AD298" s="3674"/>
      <c r="AE298" s="3674"/>
      <c r="AF298" s="3674"/>
      <c r="AG298" s="3674"/>
      <c r="AH298" s="3674"/>
      <c r="AI298" s="3674"/>
      <c r="AJ298" s="3674"/>
      <c r="AK298" s="3674"/>
      <c r="AL298" s="3674"/>
      <c r="AM298" s="3674"/>
      <c r="AN298" s="3674"/>
      <c r="AO298" s="3674"/>
      <c r="AP298" s="3674"/>
      <c r="AQ298" s="3674"/>
      <c r="AR298" s="3674"/>
      <c r="AS298" s="3674"/>
      <c r="AT298" s="3674"/>
      <c r="AU298" s="3674"/>
      <c r="AV298" s="3674"/>
      <c r="AW298" s="3674"/>
      <c r="AX298" s="3621">
        <v>1</v>
      </c>
      <c r="AY298" s="3621">
        <v>0.5</v>
      </c>
      <c r="AZ298" s="3621">
        <v>0.5</v>
      </c>
      <c r="BA298" s="3621">
        <v>0.5</v>
      </c>
      <c r="BB298" s="3621">
        <v>1</v>
      </c>
      <c r="BC298" s="3621">
        <v>0.2</v>
      </c>
      <c r="BD298" s="3621">
        <v>0.5</v>
      </c>
      <c r="BE298" s="3621">
        <v>0.2</v>
      </c>
      <c r="BF298" s="3621">
        <v>1</v>
      </c>
      <c r="BG298" s="3621">
        <v>1</v>
      </c>
      <c r="BH298" s="3621">
        <v>0.55000000000000004</v>
      </c>
      <c r="BI298" s="3621">
        <v>0.6</v>
      </c>
      <c r="BJ298" s="3621">
        <v>0.6</v>
      </c>
      <c r="BK298" s="3621"/>
      <c r="BL298" s="3621"/>
      <c r="BM298" s="3621"/>
      <c r="BN298" s="3621"/>
      <c r="BO298" s="3622"/>
      <c r="BP298" s="3622"/>
      <c r="BQ298" s="3622"/>
      <c r="BR298" s="3622"/>
      <c r="BS298" s="3622"/>
      <c r="BT298" s="3622"/>
      <c r="BU298" s="3622"/>
      <c r="BV298" s="3622"/>
      <c r="BW298" s="3622"/>
      <c r="BX298" s="3622"/>
      <c r="BY298" s="3622"/>
      <c r="BZ298" s="3622"/>
      <c r="CA298" s="3622"/>
      <c r="CB298" s="3622"/>
      <c r="CC298" s="3622"/>
      <c r="CD298" s="3622"/>
      <c r="CE298" s="3622"/>
      <c r="CF298" s="3603">
        <f t="shared" si="87"/>
        <v>8.15</v>
      </c>
    </row>
    <row r="299" spans="1:84" ht="37.5" customHeight="1">
      <c r="A299" s="1611" t="s">
        <v>1387</v>
      </c>
      <c r="B299" s="1004"/>
      <c r="C299" s="1004" t="s">
        <v>5115</v>
      </c>
      <c r="D299" s="982" t="s">
        <v>80</v>
      </c>
      <c r="E299" s="982" t="s">
        <v>65</v>
      </c>
      <c r="F299" s="1170" t="s">
        <v>1014</v>
      </c>
      <c r="G299" s="449"/>
      <c r="H299" s="2519">
        <v>10000</v>
      </c>
      <c r="I299" s="2261">
        <f>H299/100000</f>
        <v>0.1</v>
      </c>
      <c r="J299" s="283">
        <v>13</v>
      </c>
      <c r="K299" s="1612">
        <f>I299*J299</f>
        <v>1.3</v>
      </c>
      <c r="L299" s="776" t="s">
        <v>5307</v>
      </c>
      <c r="M299" s="2300">
        <f>'Abs22. NPPCD'!Q1225</f>
        <v>0</v>
      </c>
      <c r="N299" s="3673">
        <v>1.3</v>
      </c>
      <c r="O299" s="3674"/>
      <c r="P299" s="3674"/>
      <c r="Q299" s="3674"/>
      <c r="R299" s="3674"/>
      <c r="S299" s="3674"/>
      <c r="T299" s="3674"/>
      <c r="U299" s="3674"/>
      <c r="V299" s="3674"/>
      <c r="W299" s="3674"/>
      <c r="X299" s="3674"/>
      <c r="Y299" s="3674"/>
      <c r="Z299" s="3674"/>
      <c r="AA299" s="3674"/>
      <c r="AB299" s="3674"/>
      <c r="AC299" s="3674"/>
      <c r="AD299" s="3674"/>
      <c r="AE299" s="3674"/>
      <c r="AF299" s="3674"/>
      <c r="AG299" s="3674"/>
      <c r="AH299" s="3674"/>
      <c r="AI299" s="3674"/>
      <c r="AJ299" s="3674"/>
      <c r="AK299" s="3674"/>
      <c r="AL299" s="3674"/>
      <c r="AM299" s="3674"/>
      <c r="AN299" s="3674"/>
      <c r="AO299" s="3674"/>
      <c r="AP299" s="3674"/>
      <c r="AQ299" s="3674"/>
      <c r="AR299" s="3674"/>
      <c r="AS299" s="3674"/>
      <c r="AT299" s="3674"/>
      <c r="AU299" s="3674"/>
      <c r="AV299" s="3674"/>
      <c r="AW299" s="3674"/>
      <c r="AX299" s="3621">
        <v>1.3</v>
      </c>
      <c r="AY299" s="3621"/>
      <c r="AZ299" s="3621"/>
      <c r="BA299" s="3621"/>
      <c r="BB299" s="3621"/>
      <c r="BC299" s="3621"/>
      <c r="BD299" s="3621"/>
      <c r="BE299" s="3621"/>
      <c r="BF299" s="3621"/>
      <c r="BG299" s="3621"/>
      <c r="BH299" s="3621"/>
      <c r="BI299" s="3621"/>
      <c r="BJ299" s="3621"/>
      <c r="BK299" s="3621"/>
      <c r="BL299" s="3621"/>
      <c r="BM299" s="3621"/>
      <c r="BN299" s="3621"/>
      <c r="BO299" s="3621"/>
      <c r="BP299" s="3621"/>
      <c r="BQ299" s="3621"/>
      <c r="BR299" s="3621"/>
      <c r="BS299" s="3621"/>
      <c r="BT299" s="3621"/>
      <c r="BU299" s="3621"/>
      <c r="BV299" s="3621"/>
      <c r="BW299" s="3621"/>
      <c r="BX299" s="3621"/>
      <c r="BY299" s="3621"/>
      <c r="BZ299" s="3621"/>
      <c r="CA299" s="3621"/>
      <c r="CB299" s="3621"/>
      <c r="CC299" s="3621"/>
      <c r="CD299" s="3621"/>
      <c r="CE299" s="3621"/>
      <c r="CF299" s="3603">
        <f t="shared" si="87"/>
        <v>1.3</v>
      </c>
    </row>
    <row r="300" spans="1:84" ht="37.5" customHeight="1">
      <c r="A300" s="1665" t="s">
        <v>1450</v>
      </c>
      <c r="B300" s="521"/>
      <c r="C300" s="521" t="s">
        <v>3976</v>
      </c>
      <c r="D300" s="1737" t="s">
        <v>85</v>
      </c>
      <c r="E300" s="1737" t="s">
        <v>65</v>
      </c>
      <c r="F300" s="1677" t="s">
        <v>113</v>
      </c>
      <c r="G300" s="457"/>
      <c r="H300" s="2440">
        <v>27446</v>
      </c>
      <c r="I300" s="298">
        <f>H300/100000</f>
        <v>0.27445999999999998</v>
      </c>
      <c r="J300" s="2440">
        <v>12</v>
      </c>
      <c r="K300" s="3038">
        <f>I300*J300</f>
        <v>3.29352</v>
      </c>
      <c r="L300" s="2441" t="s">
        <v>5280</v>
      </c>
      <c r="M300" s="3763">
        <f>'Ab1. RMNCH+A'!Q1412</f>
        <v>0</v>
      </c>
      <c r="N300" s="3679">
        <v>3.29</v>
      </c>
      <c r="O300" s="3678"/>
      <c r="P300" s="3678"/>
      <c r="Q300" s="3678"/>
      <c r="R300" s="3678"/>
      <c r="S300" s="3678"/>
      <c r="T300" s="3678"/>
      <c r="U300" s="3678"/>
      <c r="V300" s="3678"/>
      <c r="W300" s="3678"/>
      <c r="X300" s="3678"/>
      <c r="Y300" s="3678"/>
      <c r="Z300" s="3678"/>
      <c r="AA300" s="3678"/>
      <c r="AB300" s="3678"/>
      <c r="AC300" s="3678"/>
      <c r="AD300" s="3678"/>
      <c r="AE300" s="3678"/>
      <c r="AF300" s="3678"/>
      <c r="AG300" s="3678"/>
      <c r="AH300" s="3678"/>
      <c r="AI300" s="3678"/>
      <c r="AJ300" s="3678"/>
      <c r="AK300" s="3678"/>
      <c r="AL300" s="3678"/>
      <c r="AM300" s="3678"/>
      <c r="AN300" s="3678"/>
      <c r="AO300" s="3678"/>
      <c r="AP300" s="3678"/>
      <c r="AQ300" s="3678"/>
      <c r="AR300" s="3678"/>
      <c r="AS300" s="3678"/>
      <c r="AT300" s="3678"/>
      <c r="AU300" s="3678"/>
      <c r="AV300" s="3678"/>
      <c r="AW300" s="3678"/>
      <c r="AX300" s="3625">
        <v>3.29</v>
      </c>
      <c r="AY300" s="3625"/>
      <c r="AZ300" s="3625"/>
      <c r="BA300" s="3625"/>
      <c r="BB300" s="3625"/>
      <c r="BC300" s="3625"/>
      <c r="BD300" s="3625"/>
      <c r="BE300" s="3625"/>
      <c r="BF300" s="3625"/>
      <c r="BG300" s="3625"/>
      <c r="BH300" s="3625"/>
      <c r="BI300" s="3625"/>
      <c r="BJ300" s="3625"/>
      <c r="BK300" s="3625"/>
      <c r="BL300" s="3625"/>
      <c r="BM300" s="3625"/>
      <c r="BN300" s="3625"/>
      <c r="BO300" s="3625"/>
      <c r="BP300" s="3625"/>
      <c r="BQ300" s="3625"/>
      <c r="BR300" s="3625"/>
      <c r="BS300" s="3625"/>
      <c r="BT300" s="3625"/>
      <c r="BU300" s="3625"/>
      <c r="BV300" s="3625"/>
      <c r="BW300" s="3625"/>
      <c r="BX300" s="3625"/>
      <c r="BY300" s="3625"/>
      <c r="BZ300" s="3625"/>
      <c r="CA300" s="3625"/>
      <c r="CB300" s="3625"/>
      <c r="CC300" s="3625"/>
      <c r="CD300" s="3625"/>
      <c r="CE300" s="3625"/>
      <c r="CF300" s="3603">
        <f t="shared" si="87"/>
        <v>3.29</v>
      </c>
    </row>
    <row r="301" spans="1:84" ht="37.5" customHeight="1">
      <c r="A301" s="1665" t="s">
        <v>1452</v>
      </c>
      <c r="B301" s="521" t="s">
        <v>824</v>
      </c>
      <c r="C301" s="521" t="s">
        <v>3268</v>
      </c>
      <c r="D301" s="1737" t="s">
        <v>85</v>
      </c>
      <c r="E301" s="1737" t="s">
        <v>85</v>
      </c>
      <c r="F301" s="1356" t="s">
        <v>126</v>
      </c>
      <c r="G301" s="2584">
        <v>1</v>
      </c>
      <c r="H301" s="2504">
        <v>450</v>
      </c>
      <c r="I301" s="298">
        <f t="shared" ref="I301:I307" si="112">H301/100000</f>
        <v>4.4999999999999997E-3</v>
      </c>
      <c r="J301" s="2504">
        <v>350</v>
      </c>
      <c r="K301" s="3038">
        <f>I301*J301</f>
        <v>1.575</v>
      </c>
      <c r="L301" s="2585" t="s">
        <v>5380</v>
      </c>
      <c r="M301" s="1268">
        <f>'Ab1. RMNCH+A'!Q1495</f>
        <v>0</v>
      </c>
      <c r="N301" s="3679">
        <v>0.48</v>
      </c>
      <c r="O301" s="3678"/>
      <c r="P301" s="3678"/>
      <c r="Q301" s="3678"/>
      <c r="R301" s="3678"/>
      <c r="S301" s="3678"/>
      <c r="T301" s="3678"/>
      <c r="U301" s="3678"/>
      <c r="V301" s="3678"/>
      <c r="W301" s="3678"/>
      <c r="X301" s="3678"/>
      <c r="Y301" s="3678"/>
      <c r="Z301" s="3678"/>
      <c r="AA301" s="3678"/>
      <c r="AB301" s="3678"/>
      <c r="AC301" s="3678"/>
      <c r="AD301" s="3678"/>
      <c r="AE301" s="3678"/>
      <c r="AF301" s="3678"/>
      <c r="AG301" s="3678"/>
      <c r="AH301" s="3678"/>
      <c r="AI301" s="3678"/>
      <c r="AJ301" s="3678"/>
      <c r="AK301" s="3678"/>
      <c r="AL301" s="3678"/>
      <c r="AM301" s="3678"/>
      <c r="AN301" s="3678"/>
      <c r="AO301" s="3678"/>
      <c r="AP301" s="3678"/>
      <c r="AQ301" s="3678"/>
      <c r="AR301" s="3678"/>
      <c r="AS301" s="3678"/>
      <c r="AT301" s="3678"/>
      <c r="AU301" s="3678"/>
      <c r="AV301" s="3678"/>
      <c r="AW301" s="3678"/>
      <c r="AX301" s="3625">
        <v>0.48</v>
      </c>
      <c r="AY301" s="3625"/>
      <c r="AZ301" s="3625"/>
      <c r="BA301" s="3625"/>
      <c r="BB301" s="3625"/>
      <c r="BC301" s="3625"/>
      <c r="BD301" s="3625"/>
      <c r="BE301" s="3625"/>
      <c r="BF301" s="3625"/>
      <c r="BG301" s="3625"/>
      <c r="BH301" s="3625"/>
      <c r="BI301" s="3625"/>
      <c r="BJ301" s="3625"/>
      <c r="BK301" s="3625"/>
      <c r="BL301" s="3625"/>
      <c r="BM301" s="3625"/>
      <c r="BN301" s="3625"/>
      <c r="BO301" s="3625"/>
      <c r="BP301" s="3625"/>
      <c r="BQ301" s="3625"/>
      <c r="BR301" s="3625"/>
      <c r="BS301" s="3625"/>
      <c r="BT301" s="3625"/>
      <c r="BU301" s="3625"/>
      <c r="BV301" s="3625"/>
      <c r="BW301" s="3625"/>
      <c r="BX301" s="3625"/>
      <c r="BY301" s="3625"/>
      <c r="BZ301" s="3625"/>
      <c r="CA301" s="3625"/>
      <c r="CB301" s="3625"/>
      <c r="CC301" s="3625"/>
      <c r="CD301" s="3625"/>
      <c r="CE301" s="3625"/>
      <c r="CF301" s="3603">
        <f t="shared" si="87"/>
        <v>0.48</v>
      </c>
    </row>
    <row r="302" spans="1:84" ht="37.5" customHeight="1">
      <c r="A302" s="1665" t="s">
        <v>1460</v>
      </c>
      <c r="B302" s="521" t="s">
        <v>1461</v>
      </c>
      <c r="C302" s="521" t="s">
        <v>1462</v>
      </c>
      <c r="D302" s="1737" t="s">
        <v>85</v>
      </c>
      <c r="E302" s="1737" t="s">
        <v>65</v>
      </c>
      <c r="F302" s="1677" t="s">
        <v>126</v>
      </c>
      <c r="G302" s="2584">
        <v>1</v>
      </c>
      <c r="H302" s="2504">
        <v>10</v>
      </c>
      <c r="I302" s="298">
        <f t="shared" si="112"/>
        <v>1E-4</v>
      </c>
      <c r="J302" s="2504">
        <v>300000</v>
      </c>
      <c r="K302" s="3038">
        <f t="shared" ref="K302:K306" si="113">I302*J302</f>
        <v>30</v>
      </c>
      <c r="L302" s="2585" t="s">
        <v>5381</v>
      </c>
      <c r="M302" s="1268">
        <f>'Ab1. RMNCH+A'!Q1500</f>
        <v>0</v>
      </c>
      <c r="N302" s="3679">
        <v>30</v>
      </c>
      <c r="O302" s="3678"/>
      <c r="P302" s="3678"/>
      <c r="Q302" s="3678"/>
      <c r="R302" s="3678"/>
      <c r="S302" s="3678"/>
      <c r="T302" s="3678"/>
      <c r="U302" s="3678"/>
      <c r="V302" s="3678"/>
      <c r="W302" s="3678"/>
      <c r="X302" s="3678"/>
      <c r="Y302" s="3678"/>
      <c r="Z302" s="3678"/>
      <c r="AA302" s="3678"/>
      <c r="AB302" s="3678"/>
      <c r="AC302" s="3678"/>
      <c r="AD302" s="3678"/>
      <c r="AE302" s="3678"/>
      <c r="AF302" s="3678"/>
      <c r="AG302" s="3678"/>
      <c r="AH302" s="3678"/>
      <c r="AI302" s="3678"/>
      <c r="AJ302" s="3678"/>
      <c r="AK302" s="3678"/>
      <c r="AL302" s="3678"/>
      <c r="AM302" s="3678"/>
      <c r="AN302" s="3678"/>
      <c r="AO302" s="3678"/>
      <c r="AP302" s="3678"/>
      <c r="AQ302" s="3678"/>
      <c r="AR302" s="3678"/>
      <c r="AS302" s="3678"/>
      <c r="AT302" s="3678"/>
      <c r="AU302" s="3678"/>
      <c r="AV302" s="3678"/>
      <c r="AW302" s="3678"/>
      <c r="AX302" s="3625">
        <v>30</v>
      </c>
      <c r="AY302" s="3625"/>
      <c r="AZ302" s="3625"/>
      <c r="BA302" s="3625"/>
      <c r="BB302" s="3625"/>
      <c r="BC302" s="3625"/>
      <c r="BD302" s="3625"/>
      <c r="BE302" s="3625"/>
      <c r="BF302" s="3625"/>
      <c r="BG302" s="3625"/>
      <c r="BH302" s="3625"/>
      <c r="BI302" s="3625"/>
      <c r="BJ302" s="3625"/>
      <c r="BK302" s="3625"/>
      <c r="BL302" s="3625"/>
      <c r="BM302" s="3625"/>
      <c r="BN302" s="3625"/>
      <c r="BO302" s="3625"/>
      <c r="BP302" s="3625"/>
      <c r="BQ302" s="3625"/>
      <c r="BR302" s="3625"/>
      <c r="BS302" s="3625"/>
      <c r="BT302" s="3625"/>
      <c r="BU302" s="3625"/>
      <c r="BV302" s="3625"/>
      <c r="BW302" s="3625"/>
      <c r="BX302" s="3625"/>
      <c r="BY302" s="3625"/>
      <c r="BZ302" s="3625"/>
      <c r="CA302" s="3625"/>
      <c r="CB302" s="3625"/>
      <c r="CC302" s="3625"/>
      <c r="CD302" s="3625"/>
      <c r="CE302" s="3625"/>
      <c r="CF302" s="3603">
        <f t="shared" si="87"/>
        <v>30</v>
      </c>
    </row>
    <row r="303" spans="1:84" ht="37.5" customHeight="1">
      <c r="A303" s="1665" t="s">
        <v>1463</v>
      </c>
      <c r="B303" s="521" t="s">
        <v>1464</v>
      </c>
      <c r="C303" s="521" t="s">
        <v>1465</v>
      </c>
      <c r="D303" s="1737" t="s">
        <v>85</v>
      </c>
      <c r="E303" s="1737" t="s">
        <v>65</v>
      </c>
      <c r="F303" s="1677" t="s">
        <v>126</v>
      </c>
      <c r="G303" s="2584">
        <v>1</v>
      </c>
      <c r="H303" s="2504">
        <v>3</v>
      </c>
      <c r="I303" s="298">
        <f t="shared" si="112"/>
        <v>3.0000000000000001E-5</v>
      </c>
      <c r="J303" s="2504">
        <v>200000</v>
      </c>
      <c r="K303" s="3038">
        <f t="shared" si="113"/>
        <v>6</v>
      </c>
      <c r="L303" s="2587" t="s">
        <v>5382</v>
      </c>
      <c r="M303" s="1268">
        <f>'Ab1. RMNCH+A'!Q1501</f>
        <v>0</v>
      </c>
      <c r="N303" s="3679">
        <v>6</v>
      </c>
      <c r="O303" s="3678"/>
      <c r="P303" s="3678"/>
      <c r="Q303" s="3678"/>
      <c r="R303" s="3678"/>
      <c r="S303" s="3678"/>
      <c r="T303" s="3678"/>
      <c r="U303" s="3678"/>
      <c r="V303" s="3678"/>
      <c r="W303" s="3678"/>
      <c r="X303" s="3678"/>
      <c r="Y303" s="3678"/>
      <c r="Z303" s="3678"/>
      <c r="AA303" s="3678"/>
      <c r="AB303" s="3678"/>
      <c r="AC303" s="3678"/>
      <c r="AD303" s="3678"/>
      <c r="AE303" s="3678"/>
      <c r="AF303" s="3678"/>
      <c r="AG303" s="3678"/>
      <c r="AH303" s="3678"/>
      <c r="AI303" s="3678"/>
      <c r="AJ303" s="3678"/>
      <c r="AK303" s="3678"/>
      <c r="AL303" s="3678"/>
      <c r="AM303" s="3678"/>
      <c r="AN303" s="3678"/>
      <c r="AO303" s="3678"/>
      <c r="AP303" s="3678"/>
      <c r="AQ303" s="3678"/>
      <c r="AR303" s="3678"/>
      <c r="AS303" s="3678"/>
      <c r="AT303" s="3678"/>
      <c r="AU303" s="3678"/>
      <c r="AV303" s="3678"/>
      <c r="AW303" s="3678"/>
      <c r="AX303" s="3625">
        <v>6</v>
      </c>
      <c r="AY303" s="3625"/>
      <c r="AZ303" s="3625"/>
      <c r="BA303" s="3625"/>
      <c r="BB303" s="3625"/>
      <c r="BC303" s="3625"/>
      <c r="BD303" s="3625"/>
      <c r="BE303" s="3625"/>
      <c r="BF303" s="3625"/>
      <c r="BG303" s="3625"/>
      <c r="BH303" s="3625"/>
      <c r="BI303" s="3625"/>
      <c r="BJ303" s="3625"/>
      <c r="BK303" s="3625"/>
      <c r="BL303" s="3625"/>
      <c r="BM303" s="3625"/>
      <c r="BN303" s="3625"/>
      <c r="BO303" s="3625"/>
      <c r="BP303" s="3625"/>
      <c r="BQ303" s="3625"/>
      <c r="BR303" s="3625"/>
      <c r="BS303" s="3625"/>
      <c r="BT303" s="3625"/>
      <c r="BU303" s="3625"/>
      <c r="BV303" s="3625"/>
      <c r="BW303" s="3625"/>
      <c r="BX303" s="3625"/>
      <c r="BY303" s="3625"/>
      <c r="BZ303" s="3625"/>
      <c r="CA303" s="3625"/>
      <c r="CB303" s="3625"/>
      <c r="CC303" s="3625"/>
      <c r="CD303" s="3625"/>
      <c r="CE303" s="3625"/>
      <c r="CF303" s="3603">
        <f t="shared" si="87"/>
        <v>6</v>
      </c>
    </row>
    <row r="304" spans="1:84" ht="37.5" customHeight="1">
      <c r="A304" s="1665" t="s">
        <v>1469</v>
      </c>
      <c r="B304" s="521"/>
      <c r="C304" s="521" t="s">
        <v>2379</v>
      </c>
      <c r="D304" s="1737" t="s">
        <v>85</v>
      </c>
      <c r="E304" s="1737" t="s">
        <v>65</v>
      </c>
      <c r="F304" s="1677" t="s">
        <v>126</v>
      </c>
      <c r="G304" s="2584">
        <v>1</v>
      </c>
      <c r="H304" s="2504">
        <v>600</v>
      </c>
      <c r="I304" s="298">
        <f t="shared" si="112"/>
        <v>6.0000000000000001E-3</v>
      </c>
      <c r="J304" s="2504">
        <v>30</v>
      </c>
      <c r="K304" s="3038">
        <f t="shared" si="113"/>
        <v>0.18</v>
      </c>
      <c r="L304" s="2585" t="s">
        <v>5383</v>
      </c>
      <c r="M304" s="1268">
        <f>'Ab1. RMNCH+A'!Q1503</f>
        <v>0</v>
      </c>
      <c r="N304" s="3679">
        <v>0.18</v>
      </c>
      <c r="O304" s="3678"/>
      <c r="P304" s="3678"/>
      <c r="Q304" s="3678"/>
      <c r="R304" s="3678"/>
      <c r="S304" s="3678"/>
      <c r="T304" s="3678"/>
      <c r="U304" s="3678"/>
      <c r="V304" s="3678"/>
      <c r="W304" s="3678"/>
      <c r="X304" s="3678"/>
      <c r="Y304" s="3678"/>
      <c r="Z304" s="3678"/>
      <c r="AA304" s="3678"/>
      <c r="AB304" s="3678"/>
      <c r="AC304" s="3678"/>
      <c r="AD304" s="3678"/>
      <c r="AE304" s="3678"/>
      <c r="AF304" s="3678"/>
      <c r="AG304" s="3678"/>
      <c r="AH304" s="3678"/>
      <c r="AI304" s="3678"/>
      <c r="AJ304" s="3678"/>
      <c r="AK304" s="3678"/>
      <c r="AL304" s="3678"/>
      <c r="AM304" s="3678"/>
      <c r="AN304" s="3678"/>
      <c r="AO304" s="3678"/>
      <c r="AP304" s="3678"/>
      <c r="AQ304" s="3678"/>
      <c r="AR304" s="3678"/>
      <c r="AS304" s="3678"/>
      <c r="AT304" s="3678"/>
      <c r="AU304" s="3678"/>
      <c r="AV304" s="3678"/>
      <c r="AW304" s="3678"/>
      <c r="AX304" s="3625">
        <v>0.18</v>
      </c>
      <c r="AY304" s="3625"/>
      <c r="AZ304" s="3625"/>
      <c r="BA304" s="3625"/>
      <c r="BB304" s="3625"/>
      <c r="BC304" s="3625"/>
      <c r="BD304" s="3625"/>
      <c r="BE304" s="3625"/>
      <c r="BF304" s="3625"/>
      <c r="BG304" s="3625"/>
      <c r="BH304" s="3625"/>
      <c r="BI304" s="3625"/>
      <c r="BJ304" s="3625"/>
      <c r="BK304" s="3625"/>
      <c r="BL304" s="3625"/>
      <c r="BM304" s="3625"/>
      <c r="BN304" s="3625"/>
      <c r="BO304" s="3625"/>
      <c r="BP304" s="3625"/>
      <c r="BQ304" s="3625"/>
      <c r="BR304" s="3625"/>
      <c r="BS304" s="3625"/>
      <c r="BT304" s="3625"/>
      <c r="BU304" s="3625"/>
      <c r="BV304" s="3625"/>
      <c r="BW304" s="3625"/>
      <c r="BX304" s="3625"/>
      <c r="BY304" s="3625"/>
      <c r="BZ304" s="3625"/>
      <c r="CA304" s="3625"/>
      <c r="CB304" s="3625"/>
      <c r="CC304" s="3625"/>
      <c r="CD304" s="3625"/>
      <c r="CE304" s="3625"/>
      <c r="CF304" s="3603">
        <f t="shared" ref="CF304:CF367" si="114">SUM(AX304:CD304)</f>
        <v>0.18</v>
      </c>
    </row>
    <row r="305" spans="1:84" ht="37.5" customHeight="1">
      <c r="A305" s="1665" t="s">
        <v>2375</v>
      </c>
      <c r="B305" s="521"/>
      <c r="C305" s="521" t="s">
        <v>2376</v>
      </c>
      <c r="D305" s="1737" t="s">
        <v>85</v>
      </c>
      <c r="E305" s="1737" t="s">
        <v>65</v>
      </c>
      <c r="F305" s="1677" t="s">
        <v>126</v>
      </c>
      <c r="G305" s="2589">
        <v>1</v>
      </c>
      <c r="H305" s="2504">
        <v>25</v>
      </c>
      <c r="I305" s="298">
        <f t="shared" si="112"/>
        <v>2.5000000000000001E-4</v>
      </c>
      <c r="J305" s="2504">
        <v>40000</v>
      </c>
      <c r="K305" s="3038">
        <f t="shared" si="113"/>
        <v>10</v>
      </c>
      <c r="L305" s="2640" t="s">
        <v>5470</v>
      </c>
      <c r="M305" s="1268">
        <f>'Ab1. RMNCH+A'!Q1504</f>
        <v>0</v>
      </c>
      <c r="N305" s="3679">
        <v>10</v>
      </c>
      <c r="O305" s="3678"/>
      <c r="P305" s="3678"/>
      <c r="Q305" s="3678"/>
      <c r="R305" s="3678"/>
      <c r="S305" s="3678"/>
      <c r="T305" s="3678"/>
      <c r="U305" s="3678"/>
      <c r="V305" s="3678"/>
      <c r="W305" s="3678"/>
      <c r="X305" s="3678"/>
      <c r="Y305" s="3678"/>
      <c r="Z305" s="3678"/>
      <c r="AA305" s="3678"/>
      <c r="AB305" s="3678"/>
      <c r="AC305" s="3678"/>
      <c r="AD305" s="3678"/>
      <c r="AE305" s="3678"/>
      <c r="AF305" s="3678"/>
      <c r="AG305" s="3678"/>
      <c r="AH305" s="3678"/>
      <c r="AI305" s="3678"/>
      <c r="AJ305" s="3678"/>
      <c r="AK305" s="3678"/>
      <c r="AL305" s="3678"/>
      <c r="AM305" s="3678"/>
      <c r="AN305" s="3678"/>
      <c r="AO305" s="3678"/>
      <c r="AP305" s="3678"/>
      <c r="AQ305" s="3678"/>
      <c r="AR305" s="3678"/>
      <c r="AS305" s="3678"/>
      <c r="AT305" s="3678"/>
      <c r="AU305" s="3678"/>
      <c r="AV305" s="3678"/>
      <c r="AW305" s="3678"/>
      <c r="AX305" s="3625">
        <v>10</v>
      </c>
      <c r="AY305" s="3625"/>
      <c r="AZ305" s="3625"/>
      <c r="BA305" s="3625"/>
      <c r="BB305" s="3625"/>
      <c r="BC305" s="3625"/>
      <c r="BD305" s="3625"/>
      <c r="BE305" s="3625"/>
      <c r="BF305" s="3625"/>
      <c r="BG305" s="3625"/>
      <c r="BH305" s="3625"/>
      <c r="BI305" s="3625"/>
      <c r="BJ305" s="3625"/>
      <c r="BK305" s="3625"/>
      <c r="BL305" s="3625"/>
      <c r="BM305" s="3625"/>
      <c r="BN305" s="3625"/>
      <c r="BO305" s="3625"/>
      <c r="BP305" s="3625"/>
      <c r="BQ305" s="3625"/>
      <c r="BR305" s="3625"/>
      <c r="BS305" s="3625"/>
      <c r="BT305" s="3625"/>
      <c r="BU305" s="3625"/>
      <c r="BV305" s="3625"/>
      <c r="BW305" s="3625"/>
      <c r="BX305" s="3625"/>
      <c r="BY305" s="3625"/>
      <c r="BZ305" s="3625"/>
      <c r="CA305" s="3625"/>
      <c r="CB305" s="3625"/>
      <c r="CC305" s="3625"/>
      <c r="CD305" s="3625"/>
      <c r="CE305" s="3625"/>
      <c r="CF305" s="3603">
        <f t="shared" si="114"/>
        <v>10</v>
      </c>
    </row>
    <row r="306" spans="1:84" ht="37.5" customHeight="1">
      <c r="A306" s="1665" t="s">
        <v>2378</v>
      </c>
      <c r="B306" s="521"/>
      <c r="C306" s="521" t="s">
        <v>2389</v>
      </c>
      <c r="D306" s="1737" t="s">
        <v>85</v>
      </c>
      <c r="E306" s="1737" t="s">
        <v>65</v>
      </c>
      <c r="F306" s="1677" t="s">
        <v>126</v>
      </c>
      <c r="G306" s="2584">
        <v>1</v>
      </c>
      <c r="H306" s="2504">
        <v>200</v>
      </c>
      <c r="I306" s="298">
        <f t="shared" si="112"/>
        <v>2E-3</v>
      </c>
      <c r="J306" s="2504">
        <v>8500</v>
      </c>
      <c r="K306" s="3038">
        <f t="shared" si="113"/>
        <v>17</v>
      </c>
      <c r="L306" s="2585" t="s">
        <v>5384</v>
      </c>
      <c r="M306" s="1268">
        <f>'Ab1. RMNCH+A'!Q1505</f>
        <v>0</v>
      </c>
      <c r="N306" s="3679">
        <v>17</v>
      </c>
      <c r="O306" s="3678"/>
      <c r="P306" s="3678"/>
      <c r="Q306" s="3678"/>
      <c r="R306" s="3678"/>
      <c r="S306" s="3678"/>
      <c r="T306" s="3678"/>
      <c r="U306" s="3678"/>
      <c r="V306" s="3678"/>
      <c r="W306" s="3678"/>
      <c r="X306" s="3678"/>
      <c r="Y306" s="3678"/>
      <c r="Z306" s="3678"/>
      <c r="AA306" s="3678"/>
      <c r="AB306" s="3678"/>
      <c r="AC306" s="3678"/>
      <c r="AD306" s="3678"/>
      <c r="AE306" s="3678"/>
      <c r="AF306" s="3678"/>
      <c r="AG306" s="3678"/>
      <c r="AH306" s="3678"/>
      <c r="AI306" s="3678"/>
      <c r="AJ306" s="3678"/>
      <c r="AK306" s="3678"/>
      <c r="AL306" s="3678"/>
      <c r="AM306" s="3678"/>
      <c r="AN306" s="3678"/>
      <c r="AO306" s="3678"/>
      <c r="AP306" s="3678"/>
      <c r="AQ306" s="3678"/>
      <c r="AR306" s="3678"/>
      <c r="AS306" s="3678"/>
      <c r="AT306" s="3678"/>
      <c r="AU306" s="3678"/>
      <c r="AV306" s="3678"/>
      <c r="AW306" s="3678"/>
      <c r="AX306" s="3625">
        <v>17</v>
      </c>
      <c r="AY306" s="3625"/>
      <c r="AZ306" s="3625"/>
      <c r="BA306" s="3625"/>
      <c r="BB306" s="3625"/>
      <c r="BC306" s="3625"/>
      <c r="BD306" s="3625"/>
      <c r="BE306" s="3625"/>
      <c r="BF306" s="3625"/>
      <c r="BG306" s="3625"/>
      <c r="BH306" s="3625"/>
      <c r="BI306" s="3625"/>
      <c r="BJ306" s="3625"/>
      <c r="BK306" s="3625"/>
      <c r="BL306" s="3625"/>
      <c r="BM306" s="3625"/>
      <c r="BN306" s="3625"/>
      <c r="BO306" s="3626"/>
      <c r="BP306" s="3626"/>
      <c r="BQ306" s="3626"/>
      <c r="BR306" s="3626"/>
      <c r="BS306" s="3626"/>
      <c r="BT306" s="3626"/>
      <c r="BU306" s="3626"/>
      <c r="BV306" s="3626"/>
      <c r="BW306" s="3626"/>
      <c r="BX306" s="3626"/>
      <c r="BY306" s="3626"/>
      <c r="BZ306" s="3626"/>
      <c r="CA306" s="3626"/>
      <c r="CB306" s="3626"/>
      <c r="CC306" s="3626"/>
      <c r="CD306" s="3626"/>
      <c r="CE306" s="3626"/>
      <c r="CF306" s="3606">
        <f t="shared" si="114"/>
        <v>17</v>
      </c>
    </row>
    <row r="307" spans="1:84" ht="37.5" customHeight="1">
      <c r="A307" s="1665" t="s">
        <v>2388</v>
      </c>
      <c r="B307" s="521"/>
      <c r="C307" s="583" t="s">
        <v>3270</v>
      </c>
      <c r="D307" s="1737" t="s">
        <v>85</v>
      </c>
      <c r="E307" s="1737" t="s">
        <v>65</v>
      </c>
      <c r="F307" s="2381" t="s">
        <v>126</v>
      </c>
      <c r="G307" s="2382">
        <v>1</v>
      </c>
      <c r="H307" s="2318">
        <v>250</v>
      </c>
      <c r="I307" s="298">
        <f t="shared" si="112"/>
        <v>2.5000000000000001E-3</v>
      </c>
      <c r="J307" s="2318">
        <v>1700</v>
      </c>
      <c r="K307" s="3038">
        <f>I307*J307</f>
        <v>4.25</v>
      </c>
      <c r="L307" s="2383" t="s">
        <v>5150</v>
      </c>
      <c r="M307" s="1268">
        <f>'Ab1. RMNCH+A'!Q1506</f>
        <v>0</v>
      </c>
      <c r="N307" s="3679">
        <v>4.25</v>
      </c>
      <c r="O307" s="3678"/>
      <c r="P307" s="3678"/>
      <c r="Q307" s="3678"/>
      <c r="R307" s="3678"/>
      <c r="S307" s="3678"/>
      <c r="T307" s="3678"/>
      <c r="U307" s="3678"/>
      <c r="V307" s="3678"/>
      <c r="W307" s="3678"/>
      <c r="X307" s="3678"/>
      <c r="Y307" s="3678"/>
      <c r="Z307" s="3678"/>
      <c r="AA307" s="3678"/>
      <c r="AB307" s="3678"/>
      <c r="AC307" s="3678"/>
      <c r="AD307" s="3678"/>
      <c r="AE307" s="3678"/>
      <c r="AF307" s="3678"/>
      <c r="AG307" s="3678"/>
      <c r="AH307" s="3678"/>
      <c r="AI307" s="3678"/>
      <c r="AJ307" s="3678"/>
      <c r="AK307" s="3678"/>
      <c r="AL307" s="3678"/>
      <c r="AM307" s="3678"/>
      <c r="AN307" s="3678"/>
      <c r="AO307" s="3678"/>
      <c r="AP307" s="3678"/>
      <c r="AQ307" s="3678"/>
      <c r="AR307" s="3678"/>
      <c r="AS307" s="3678"/>
      <c r="AT307" s="3678"/>
      <c r="AU307" s="3678"/>
      <c r="AV307" s="3678"/>
      <c r="AW307" s="3678"/>
      <c r="AX307" s="3625">
        <v>4.25</v>
      </c>
      <c r="AY307" s="3625"/>
      <c r="AZ307" s="3625"/>
      <c r="BA307" s="3625"/>
      <c r="BB307" s="3625"/>
      <c r="BC307" s="3625"/>
      <c r="BD307" s="3625"/>
      <c r="BE307" s="3625"/>
      <c r="BF307" s="3625"/>
      <c r="BG307" s="3625"/>
      <c r="BH307" s="3625"/>
      <c r="BI307" s="3625"/>
      <c r="BJ307" s="3625"/>
      <c r="BK307" s="3625"/>
      <c r="BL307" s="3625"/>
      <c r="BM307" s="3625"/>
      <c r="BN307" s="3625"/>
      <c r="BO307" s="3626"/>
      <c r="BP307" s="3626"/>
      <c r="BQ307" s="3626"/>
      <c r="BR307" s="3626"/>
      <c r="BS307" s="3626"/>
      <c r="BT307" s="3626"/>
      <c r="BU307" s="3626"/>
      <c r="BV307" s="3626"/>
      <c r="BW307" s="3626"/>
      <c r="BX307" s="3626"/>
      <c r="BY307" s="3626"/>
      <c r="BZ307" s="3626"/>
      <c r="CA307" s="3626"/>
      <c r="CB307" s="3626"/>
      <c r="CC307" s="3626"/>
      <c r="CD307" s="3626"/>
      <c r="CE307" s="3626"/>
      <c r="CF307" s="3606">
        <f t="shared" si="114"/>
        <v>4.25</v>
      </c>
    </row>
    <row r="308" spans="1:84" ht="37.5" customHeight="1">
      <c r="A308" s="1665" t="s">
        <v>1483</v>
      </c>
      <c r="B308" s="1676" t="s">
        <v>1484</v>
      </c>
      <c r="C308" s="1676" t="s">
        <v>1485</v>
      </c>
      <c r="D308" s="1737" t="s">
        <v>85</v>
      </c>
      <c r="E308" s="1737" t="s">
        <v>85</v>
      </c>
      <c r="F308" s="1356" t="s">
        <v>188</v>
      </c>
      <c r="G308" s="2487"/>
      <c r="H308" s="2477">
        <v>500</v>
      </c>
      <c r="I308" s="298">
        <f t="shared" ref="I308:I309" si="115">H308/100000</f>
        <v>5.0000000000000001E-3</v>
      </c>
      <c r="J308" s="2477">
        <v>2116</v>
      </c>
      <c r="K308" s="3038">
        <f t="shared" ref="K308:K309" si="116">I308*J308</f>
        <v>10.58</v>
      </c>
      <c r="L308" s="2488" t="s">
        <v>5252</v>
      </c>
      <c r="M308" s="1268">
        <f>'Ab1. RMNCH+A'!Q1648</f>
        <v>0</v>
      </c>
      <c r="N308" s="3679">
        <v>10.58</v>
      </c>
      <c r="O308" s="3678"/>
      <c r="P308" s="3678"/>
      <c r="Q308" s="3678"/>
      <c r="R308" s="3678"/>
      <c r="S308" s="3678"/>
      <c r="T308" s="3678"/>
      <c r="U308" s="3678"/>
      <c r="V308" s="3678"/>
      <c r="W308" s="3678"/>
      <c r="X308" s="3678"/>
      <c r="Y308" s="3678"/>
      <c r="Z308" s="3678"/>
      <c r="AA308" s="3678"/>
      <c r="AB308" s="3678"/>
      <c r="AC308" s="3678"/>
      <c r="AD308" s="3678"/>
      <c r="AE308" s="3678"/>
      <c r="AF308" s="3678"/>
      <c r="AG308" s="3678"/>
      <c r="AH308" s="3678"/>
      <c r="AI308" s="3678"/>
      <c r="AJ308" s="3678"/>
      <c r="AK308" s="3678"/>
      <c r="AL308" s="3678"/>
      <c r="AM308" s="3678"/>
      <c r="AN308" s="3678"/>
      <c r="AO308" s="3678"/>
      <c r="AP308" s="3678"/>
      <c r="AQ308" s="3678"/>
      <c r="AR308" s="3678"/>
      <c r="AS308" s="3678"/>
      <c r="AT308" s="3678"/>
      <c r="AU308" s="3678"/>
      <c r="AV308" s="3678"/>
      <c r="AW308" s="3678"/>
      <c r="AX308" s="3625">
        <v>10.58</v>
      </c>
      <c r="AY308" s="3625"/>
      <c r="AZ308" s="3625"/>
      <c r="BA308" s="3625"/>
      <c r="BB308" s="3625"/>
      <c r="BC308" s="3625"/>
      <c r="BD308" s="3625"/>
      <c r="BE308" s="3625"/>
      <c r="BF308" s="3625"/>
      <c r="BG308" s="3625"/>
      <c r="BH308" s="3625"/>
      <c r="BI308" s="3625"/>
      <c r="BJ308" s="3625"/>
      <c r="BK308" s="3625"/>
      <c r="BL308" s="3625"/>
      <c r="BM308" s="3625"/>
      <c r="BN308" s="3625"/>
      <c r="BO308" s="3625"/>
      <c r="BP308" s="3625"/>
      <c r="BQ308" s="3625"/>
      <c r="BR308" s="3625"/>
      <c r="BS308" s="3625"/>
      <c r="BT308" s="3625"/>
      <c r="BU308" s="3625"/>
      <c r="BV308" s="3625"/>
      <c r="BW308" s="3625"/>
      <c r="BX308" s="3625"/>
      <c r="BY308" s="3625"/>
      <c r="BZ308" s="3625"/>
      <c r="CA308" s="3625"/>
      <c r="CB308" s="3625"/>
      <c r="CC308" s="3625"/>
      <c r="CD308" s="3625"/>
      <c r="CE308" s="3625"/>
      <c r="CF308" s="3603">
        <f t="shared" si="114"/>
        <v>10.58</v>
      </c>
    </row>
    <row r="309" spans="1:84" ht="37.5" customHeight="1">
      <c r="A309" s="1665" t="s">
        <v>1490</v>
      </c>
      <c r="B309" s="521"/>
      <c r="C309" s="521" t="s">
        <v>3977</v>
      </c>
      <c r="D309" s="1737" t="s">
        <v>85</v>
      </c>
      <c r="E309" s="1737" t="s">
        <v>65</v>
      </c>
      <c r="F309" s="1677" t="s">
        <v>188</v>
      </c>
      <c r="G309" s="2487"/>
      <c r="H309" s="2477">
        <v>483576</v>
      </c>
      <c r="I309" s="298">
        <f t="shared" si="115"/>
        <v>4.8357599999999996</v>
      </c>
      <c r="J309" s="283">
        <v>1</v>
      </c>
      <c r="K309" s="3038">
        <f t="shared" si="116"/>
        <v>4.8357599999999996</v>
      </c>
      <c r="L309" s="2488" t="s">
        <v>5253</v>
      </c>
      <c r="M309" s="1268">
        <f>'Ab1. RMNCH+A'!Q1651</f>
        <v>0</v>
      </c>
      <c r="N309" s="3679">
        <v>4.84</v>
      </c>
      <c r="O309" s="3678"/>
      <c r="P309" s="3678"/>
      <c r="Q309" s="3678"/>
      <c r="R309" s="3678"/>
      <c r="S309" s="3678"/>
      <c r="T309" s="3678"/>
      <c r="U309" s="3678"/>
      <c r="V309" s="3678"/>
      <c r="W309" s="3678"/>
      <c r="X309" s="3678"/>
      <c r="Y309" s="3678"/>
      <c r="Z309" s="3678"/>
      <c r="AA309" s="3678"/>
      <c r="AB309" s="3678"/>
      <c r="AC309" s="3678"/>
      <c r="AD309" s="3678"/>
      <c r="AE309" s="3678"/>
      <c r="AF309" s="3678"/>
      <c r="AG309" s="3678"/>
      <c r="AH309" s="3678"/>
      <c r="AI309" s="3678"/>
      <c r="AJ309" s="3678"/>
      <c r="AK309" s="3678"/>
      <c r="AL309" s="3678"/>
      <c r="AM309" s="3678"/>
      <c r="AN309" s="3678"/>
      <c r="AO309" s="3678"/>
      <c r="AP309" s="3678"/>
      <c r="AQ309" s="3678"/>
      <c r="AR309" s="3678"/>
      <c r="AS309" s="3678"/>
      <c r="AT309" s="3678"/>
      <c r="AU309" s="3678"/>
      <c r="AV309" s="3678"/>
      <c r="AW309" s="3678"/>
      <c r="AX309" s="3625">
        <v>4.84</v>
      </c>
      <c r="AY309" s="3625"/>
      <c r="AZ309" s="3625"/>
      <c r="BA309" s="3625"/>
      <c r="BB309" s="3625"/>
      <c r="BC309" s="3625"/>
      <c r="BD309" s="3625"/>
      <c r="BE309" s="3625"/>
      <c r="BF309" s="3625"/>
      <c r="BG309" s="3625"/>
      <c r="BH309" s="3625"/>
      <c r="BI309" s="3625"/>
      <c r="BJ309" s="3625"/>
      <c r="BK309" s="3625"/>
      <c r="BL309" s="3625"/>
      <c r="BM309" s="3625"/>
      <c r="BN309" s="3625"/>
      <c r="BO309" s="3625"/>
      <c r="BP309" s="3625"/>
      <c r="BQ309" s="3625"/>
      <c r="BR309" s="3625"/>
      <c r="BS309" s="3625"/>
      <c r="BT309" s="3625"/>
      <c r="BU309" s="3625"/>
      <c r="BV309" s="3625"/>
      <c r="BW309" s="3625"/>
      <c r="BX309" s="3625"/>
      <c r="BY309" s="3625"/>
      <c r="BZ309" s="3625"/>
      <c r="CA309" s="3625"/>
      <c r="CB309" s="3625"/>
      <c r="CC309" s="3625"/>
      <c r="CD309" s="3625"/>
      <c r="CE309" s="3625"/>
      <c r="CF309" s="3603">
        <f t="shared" si="114"/>
        <v>4.84</v>
      </c>
    </row>
    <row r="310" spans="1:84" ht="37.5" customHeight="1">
      <c r="A310" s="1665" t="s">
        <v>1531</v>
      </c>
      <c r="B310" s="521" t="s">
        <v>1532</v>
      </c>
      <c r="C310" s="521" t="s">
        <v>1533</v>
      </c>
      <c r="D310" s="1737" t="s">
        <v>85</v>
      </c>
      <c r="E310" s="1737" t="s">
        <v>65</v>
      </c>
      <c r="F310" s="1677" t="s">
        <v>200</v>
      </c>
      <c r="G310" s="3764">
        <v>1</v>
      </c>
      <c r="H310" s="2520">
        <v>23</v>
      </c>
      <c r="I310" s="298">
        <f>H310/100000</f>
        <v>2.3000000000000001E-4</v>
      </c>
      <c r="J310" s="2520">
        <v>120000</v>
      </c>
      <c r="K310" s="3038">
        <f>I310*J310</f>
        <v>27.6</v>
      </c>
      <c r="L310" s="3765" t="s">
        <v>5407</v>
      </c>
      <c r="M310" s="1268">
        <f>'Ab1. RMNCH+A'!Q1734</f>
        <v>0</v>
      </c>
      <c r="N310" s="3679">
        <v>24</v>
      </c>
      <c r="O310" s="3678"/>
      <c r="P310" s="3678"/>
      <c r="Q310" s="3678"/>
      <c r="R310" s="3678"/>
      <c r="S310" s="3678"/>
      <c r="T310" s="3678"/>
      <c r="U310" s="3678"/>
      <c r="V310" s="3678"/>
      <c r="W310" s="3678"/>
      <c r="X310" s="3678"/>
      <c r="Y310" s="3678"/>
      <c r="Z310" s="3678"/>
      <c r="AA310" s="3678"/>
      <c r="AB310" s="3678"/>
      <c r="AC310" s="3678"/>
      <c r="AD310" s="3678"/>
      <c r="AE310" s="3678"/>
      <c r="AF310" s="3678"/>
      <c r="AG310" s="3678"/>
      <c r="AH310" s="3678"/>
      <c r="AI310" s="3678"/>
      <c r="AJ310" s="3678"/>
      <c r="AK310" s="3678"/>
      <c r="AL310" s="3678"/>
      <c r="AM310" s="3678"/>
      <c r="AN310" s="3678"/>
      <c r="AO310" s="3678"/>
      <c r="AP310" s="3678"/>
      <c r="AQ310" s="3678"/>
      <c r="AR310" s="3678"/>
      <c r="AS310" s="3678"/>
      <c r="AT310" s="3678"/>
      <c r="AU310" s="3678"/>
      <c r="AV310" s="3678"/>
      <c r="AW310" s="3678"/>
      <c r="AX310" s="3625">
        <v>24</v>
      </c>
      <c r="AY310" s="3625"/>
      <c r="AZ310" s="3625"/>
      <c r="BA310" s="3625"/>
      <c r="BB310" s="3625"/>
      <c r="BC310" s="3625"/>
      <c r="BD310" s="3625"/>
      <c r="BE310" s="3625"/>
      <c r="BF310" s="3625"/>
      <c r="BG310" s="3625"/>
      <c r="BH310" s="3625"/>
      <c r="BI310" s="3625"/>
      <c r="BJ310" s="3625"/>
      <c r="BK310" s="3625"/>
      <c r="BL310" s="3625"/>
      <c r="BM310" s="3625"/>
      <c r="BN310" s="3625"/>
      <c r="BO310" s="3627"/>
      <c r="BP310" s="3627"/>
      <c r="BQ310" s="3627"/>
      <c r="BR310" s="3627"/>
      <c r="BS310" s="3627"/>
      <c r="BT310" s="3627"/>
      <c r="BU310" s="3627"/>
      <c r="BV310" s="3627"/>
      <c r="BW310" s="3627"/>
      <c r="BX310" s="3627"/>
      <c r="BY310" s="3627"/>
      <c r="BZ310" s="3627"/>
      <c r="CA310" s="3627"/>
      <c r="CB310" s="3627"/>
      <c r="CC310" s="3627"/>
      <c r="CD310" s="3627"/>
      <c r="CE310" s="3627"/>
      <c r="CF310" s="3628">
        <f t="shared" si="114"/>
        <v>24</v>
      </c>
    </row>
    <row r="311" spans="1:84" ht="37.5" customHeight="1">
      <c r="A311" s="1665" t="s">
        <v>1513</v>
      </c>
      <c r="B311" s="521" t="s">
        <v>238</v>
      </c>
      <c r="C311" s="521" t="s">
        <v>1514</v>
      </c>
      <c r="D311" s="982" t="s">
        <v>65</v>
      </c>
      <c r="E311" s="982" t="s">
        <v>65</v>
      </c>
      <c r="F311" s="2384" t="s">
        <v>4723</v>
      </c>
      <c r="G311" s="2382">
        <v>1</v>
      </c>
      <c r="H311" s="2318">
        <v>100</v>
      </c>
      <c r="I311" s="298">
        <f>H311/100000</f>
        <v>1E-3</v>
      </c>
      <c r="J311" s="2318">
        <v>9000</v>
      </c>
      <c r="K311" s="3038">
        <f>I311*J311</f>
        <v>9</v>
      </c>
      <c r="L311" s="2389" t="s">
        <v>5146</v>
      </c>
      <c r="M311" s="1268">
        <f>'Ab3. ASHA'!Q1411</f>
        <v>0</v>
      </c>
      <c r="N311" s="3679">
        <v>9</v>
      </c>
      <c r="O311" s="3678"/>
      <c r="P311" s="3678"/>
      <c r="Q311" s="3678"/>
      <c r="R311" s="3678"/>
      <c r="S311" s="3678"/>
      <c r="T311" s="3678"/>
      <c r="U311" s="3678"/>
      <c r="V311" s="3678"/>
      <c r="W311" s="3678"/>
      <c r="X311" s="3678"/>
      <c r="Y311" s="3678"/>
      <c r="Z311" s="3678"/>
      <c r="AA311" s="3678"/>
      <c r="AB311" s="3678"/>
      <c r="AC311" s="3678"/>
      <c r="AD311" s="3678"/>
      <c r="AE311" s="3678"/>
      <c r="AF311" s="3678"/>
      <c r="AG311" s="3678"/>
      <c r="AH311" s="3678"/>
      <c r="AI311" s="3678"/>
      <c r="AJ311" s="3678"/>
      <c r="AK311" s="3678"/>
      <c r="AL311" s="3678"/>
      <c r="AM311" s="3678"/>
      <c r="AN311" s="3678"/>
      <c r="AO311" s="3678"/>
      <c r="AP311" s="3678"/>
      <c r="AQ311" s="3678"/>
      <c r="AR311" s="3678"/>
      <c r="AS311" s="3678"/>
      <c r="AT311" s="3678"/>
      <c r="AU311" s="3678"/>
      <c r="AV311" s="3678"/>
      <c r="AW311" s="3678"/>
      <c r="AX311" s="3625">
        <v>9</v>
      </c>
      <c r="AY311" s="3625"/>
      <c r="AZ311" s="3625"/>
      <c r="BA311" s="3625"/>
      <c r="BB311" s="3625"/>
      <c r="BC311" s="3625"/>
      <c r="BD311" s="3625"/>
      <c r="BE311" s="3625"/>
      <c r="BF311" s="3625"/>
      <c r="BG311" s="3625"/>
      <c r="BH311" s="3625"/>
      <c r="BI311" s="3625"/>
      <c r="BJ311" s="3625"/>
      <c r="BK311" s="3625"/>
      <c r="BL311" s="3625"/>
      <c r="BM311" s="3625"/>
      <c r="BN311" s="3625"/>
      <c r="BO311" s="3625"/>
      <c r="BP311" s="3625"/>
      <c r="BQ311" s="3625"/>
      <c r="BR311" s="3625"/>
      <c r="BS311" s="3625"/>
      <c r="BT311" s="3625"/>
      <c r="BU311" s="3625"/>
      <c r="BV311" s="3625"/>
      <c r="BW311" s="3625"/>
      <c r="BX311" s="3625"/>
      <c r="BY311" s="3625"/>
      <c r="BZ311" s="3625"/>
      <c r="CA311" s="3625"/>
      <c r="CB311" s="3625"/>
      <c r="CC311" s="3625"/>
      <c r="CD311" s="3625"/>
      <c r="CE311" s="3625"/>
      <c r="CF311" s="3603">
        <f t="shared" si="114"/>
        <v>9</v>
      </c>
    </row>
    <row r="312" spans="1:84" ht="37.5" customHeight="1">
      <c r="A312" s="1665" t="s">
        <v>1515</v>
      </c>
      <c r="B312" s="521"/>
      <c r="C312" s="521" t="s">
        <v>2444</v>
      </c>
      <c r="D312" s="982" t="s">
        <v>65</v>
      </c>
      <c r="E312" s="982" t="s">
        <v>65</v>
      </c>
      <c r="F312" s="2384" t="s">
        <v>4723</v>
      </c>
      <c r="G312" s="2390">
        <v>1</v>
      </c>
      <c r="H312" s="2318">
        <v>300</v>
      </c>
      <c r="I312" s="298">
        <f>H312/100000</f>
        <v>3.0000000000000001E-3</v>
      </c>
      <c r="J312" s="2318">
        <v>8415</v>
      </c>
      <c r="K312" s="3038">
        <f>I312*J312</f>
        <v>25.245000000000001</v>
      </c>
      <c r="L312" s="2383" t="s">
        <v>5147</v>
      </c>
      <c r="M312" s="1268">
        <f>'Ab3. ASHA'!Q1412</f>
        <v>0</v>
      </c>
      <c r="N312" s="3679">
        <v>16.829999999999998</v>
      </c>
      <c r="O312" s="3678"/>
      <c r="P312" s="3678"/>
      <c r="Q312" s="3678"/>
      <c r="R312" s="3678"/>
      <c r="S312" s="3678"/>
      <c r="T312" s="3678"/>
      <c r="U312" s="3678"/>
      <c r="V312" s="3678"/>
      <c r="W312" s="3678"/>
      <c r="X312" s="3678"/>
      <c r="Y312" s="3678"/>
      <c r="Z312" s="3678"/>
      <c r="AA312" s="3678"/>
      <c r="AB312" s="3678"/>
      <c r="AC312" s="3678"/>
      <c r="AD312" s="3678"/>
      <c r="AE312" s="3678"/>
      <c r="AF312" s="3678"/>
      <c r="AG312" s="3678"/>
      <c r="AH312" s="3678"/>
      <c r="AI312" s="3678"/>
      <c r="AJ312" s="3678"/>
      <c r="AK312" s="3678"/>
      <c r="AL312" s="3678"/>
      <c r="AM312" s="3678"/>
      <c r="AN312" s="3678"/>
      <c r="AO312" s="3678"/>
      <c r="AP312" s="3678"/>
      <c r="AQ312" s="3678"/>
      <c r="AR312" s="3678"/>
      <c r="AS312" s="3678"/>
      <c r="AT312" s="3678"/>
      <c r="AU312" s="3678"/>
      <c r="AV312" s="3678"/>
      <c r="AW312" s="3678"/>
      <c r="AX312" s="3625">
        <v>16.829999999999998</v>
      </c>
      <c r="AY312" s="3625"/>
      <c r="AZ312" s="3625"/>
      <c r="BA312" s="3625"/>
      <c r="BB312" s="3625"/>
      <c r="BC312" s="3625"/>
      <c r="BD312" s="3625"/>
      <c r="BE312" s="3625"/>
      <c r="BF312" s="3625"/>
      <c r="BG312" s="3625"/>
      <c r="BH312" s="3625"/>
      <c r="BI312" s="3625"/>
      <c r="BJ312" s="3625"/>
      <c r="BK312" s="3625"/>
      <c r="BL312" s="3625"/>
      <c r="BM312" s="3625"/>
      <c r="BN312" s="3625"/>
      <c r="BO312" s="3625"/>
      <c r="BP312" s="3625"/>
      <c r="BQ312" s="3625"/>
      <c r="BR312" s="3625"/>
      <c r="BS312" s="3625"/>
      <c r="BT312" s="3625"/>
      <c r="BU312" s="3625"/>
      <c r="BV312" s="3625"/>
      <c r="BW312" s="3625"/>
      <c r="BX312" s="3625"/>
      <c r="BY312" s="3625"/>
      <c r="BZ312" s="3625"/>
      <c r="CA312" s="3625"/>
      <c r="CB312" s="3625"/>
      <c r="CC312" s="3625"/>
      <c r="CD312" s="3625"/>
      <c r="CE312" s="3625"/>
      <c r="CF312" s="3603">
        <f t="shared" si="114"/>
        <v>16.829999999999998</v>
      </c>
    </row>
    <row r="313" spans="1:84" ht="37.5" customHeight="1">
      <c r="A313" s="586" t="s">
        <v>1565</v>
      </c>
      <c r="B313" s="536"/>
      <c r="C313" s="536" t="s">
        <v>3757</v>
      </c>
      <c r="D313" s="982" t="s">
        <v>65</v>
      </c>
      <c r="E313" s="982" t="s">
        <v>65</v>
      </c>
      <c r="F313" s="1356" t="s">
        <v>4218</v>
      </c>
      <c r="G313" s="2304">
        <v>1</v>
      </c>
      <c r="H313" s="283">
        <v>1250</v>
      </c>
      <c r="I313" s="298">
        <f t="shared" ref="I313" si="117">H313/100000</f>
        <v>1.2500000000000001E-2</v>
      </c>
      <c r="J313" s="283">
        <v>800</v>
      </c>
      <c r="K313" s="3038">
        <f t="shared" ref="K313" si="118">I313*J313</f>
        <v>10</v>
      </c>
      <c r="L313" s="2305" t="s">
        <v>5153</v>
      </c>
      <c r="M313" s="1268">
        <f>'Abs6. CPHC'!Q1344</f>
        <v>0</v>
      </c>
      <c r="N313" s="3657">
        <v>10</v>
      </c>
      <c r="O313" s="3678"/>
      <c r="P313" s="3678"/>
      <c r="Q313" s="3678"/>
      <c r="R313" s="3678"/>
      <c r="S313" s="3678"/>
      <c r="T313" s="3678"/>
      <c r="U313" s="3678"/>
      <c r="V313" s="3678"/>
      <c r="W313" s="3678"/>
      <c r="X313" s="3678"/>
      <c r="Y313" s="3678"/>
      <c r="Z313" s="3678"/>
      <c r="AA313" s="3678"/>
      <c r="AB313" s="3678"/>
      <c r="AC313" s="3678"/>
      <c r="AD313" s="3678"/>
      <c r="AE313" s="3678"/>
      <c r="AF313" s="3678"/>
      <c r="AG313" s="3678"/>
      <c r="AH313" s="3678"/>
      <c r="AI313" s="3678"/>
      <c r="AJ313" s="3678"/>
      <c r="AK313" s="3678"/>
      <c r="AL313" s="3678"/>
      <c r="AM313" s="3678"/>
      <c r="AN313" s="3678"/>
      <c r="AO313" s="3678"/>
      <c r="AP313" s="3678"/>
      <c r="AQ313" s="3678"/>
      <c r="AR313" s="3678"/>
      <c r="AS313" s="3678"/>
      <c r="AT313" s="3678"/>
      <c r="AU313" s="3678"/>
      <c r="AV313" s="3678"/>
      <c r="AW313" s="3678"/>
      <c r="AX313" s="3625">
        <v>10</v>
      </c>
      <c r="AY313" s="3625"/>
      <c r="AZ313" s="3625"/>
      <c r="BA313" s="3625"/>
      <c r="BB313" s="3625"/>
      <c r="BC313" s="3625"/>
      <c r="BD313" s="3625"/>
      <c r="BE313" s="3625"/>
      <c r="BF313" s="3625"/>
      <c r="BG313" s="3625"/>
      <c r="BH313" s="3625"/>
      <c r="BI313" s="3625"/>
      <c r="BJ313" s="3625"/>
      <c r="BK313" s="3625"/>
      <c r="BL313" s="3625"/>
      <c r="BM313" s="3625"/>
      <c r="BN313" s="3625"/>
      <c r="BO313" s="3625"/>
      <c r="BP313" s="3625"/>
      <c r="BQ313" s="3625"/>
      <c r="BR313" s="3625"/>
      <c r="BS313" s="3625"/>
      <c r="BT313" s="3625"/>
      <c r="BU313" s="3625"/>
      <c r="BV313" s="3625"/>
      <c r="BW313" s="3625"/>
      <c r="BX313" s="3625"/>
      <c r="BY313" s="3625"/>
      <c r="BZ313" s="3625"/>
      <c r="CA313" s="3625"/>
      <c r="CB313" s="3625"/>
      <c r="CC313" s="3625"/>
      <c r="CD313" s="3625"/>
      <c r="CE313" s="3625"/>
      <c r="CF313" s="3603">
        <f t="shared" si="114"/>
        <v>10</v>
      </c>
    </row>
    <row r="314" spans="1:84" ht="37.5" customHeight="1">
      <c r="A314" s="1665" t="s">
        <v>1548</v>
      </c>
      <c r="B314" s="1673" t="s">
        <v>1403</v>
      </c>
      <c r="C314" s="1673" t="s">
        <v>1549</v>
      </c>
      <c r="D314" s="2254" t="s">
        <v>4219</v>
      </c>
      <c r="E314" s="2254" t="s">
        <v>4525</v>
      </c>
      <c r="F314" s="1677" t="s">
        <v>4525</v>
      </c>
      <c r="G314" s="2392">
        <v>12</v>
      </c>
      <c r="H314" s="2368">
        <v>2965</v>
      </c>
      <c r="I314" s="298">
        <f t="shared" ref="I314:I315" si="119">H314/100000</f>
        <v>2.9649999999999999E-2</v>
      </c>
      <c r="J314" s="2368">
        <v>230</v>
      </c>
      <c r="K314" s="3038">
        <f t="shared" ref="K314:K315" si="120">I314*J314</f>
        <v>6.8194999999999997</v>
      </c>
      <c r="L314" s="2393" t="s">
        <v>5175</v>
      </c>
      <c r="M314" s="1268">
        <f>'Abs11. NTEP'!Q1358</f>
        <v>0</v>
      </c>
      <c r="N314" s="3679">
        <v>6.82</v>
      </c>
      <c r="O314" s="3678"/>
      <c r="P314" s="3678"/>
      <c r="Q314" s="3678"/>
      <c r="R314" s="3678"/>
      <c r="S314" s="3678"/>
      <c r="T314" s="3678"/>
      <c r="U314" s="3678"/>
      <c r="V314" s="3678"/>
      <c r="W314" s="3678"/>
      <c r="X314" s="3678"/>
      <c r="Y314" s="3678"/>
      <c r="Z314" s="3678"/>
      <c r="AA314" s="3678"/>
      <c r="AB314" s="3678"/>
      <c r="AC314" s="3678"/>
      <c r="AD314" s="3678"/>
      <c r="AE314" s="3678"/>
      <c r="AF314" s="3678"/>
      <c r="AG314" s="3678"/>
      <c r="AH314" s="3678"/>
      <c r="AI314" s="3678"/>
      <c r="AJ314" s="3678"/>
      <c r="AK314" s="3678"/>
      <c r="AL314" s="3678"/>
      <c r="AM314" s="3678"/>
      <c r="AN314" s="3678"/>
      <c r="AO314" s="3678"/>
      <c r="AP314" s="3678"/>
      <c r="AQ314" s="3678"/>
      <c r="AR314" s="3678"/>
      <c r="AS314" s="3678"/>
      <c r="AT314" s="3678"/>
      <c r="AU314" s="3678"/>
      <c r="AV314" s="3678"/>
      <c r="AW314" s="3678"/>
      <c r="AX314" s="3625">
        <v>0.36</v>
      </c>
      <c r="AY314" s="3625">
        <v>0.37</v>
      </c>
      <c r="AZ314" s="3625">
        <v>0.46</v>
      </c>
      <c r="BA314" s="3625">
        <v>0.78</v>
      </c>
      <c r="BB314" s="3625">
        <v>0.81</v>
      </c>
      <c r="BC314" s="3625">
        <v>0.31</v>
      </c>
      <c r="BD314" s="3625">
        <v>0.6</v>
      </c>
      <c r="BE314" s="3625">
        <v>0.31</v>
      </c>
      <c r="BF314" s="3625">
        <v>0.78</v>
      </c>
      <c r="BG314" s="3625">
        <v>0.87</v>
      </c>
      <c r="BH314" s="3625">
        <v>0.4</v>
      </c>
      <c r="BI314" s="3625">
        <v>0.4</v>
      </c>
      <c r="BJ314" s="3625">
        <v>0.37</v>
      </c>
      <c r="BK314" s="3625"/>
      <c r="BL314" s="3625"/>
      <c r="BM314" s="3625"/>
      <c r="BN314" s="3625"/>
      <c r="BO314" s="3625"/>
      <c r="BP314" s="3625"/>
      <c r="BQ314" s="3625"/>
      <c r="BR314" s="3625"/>
      <c r="BS314" s="3625"/>
      <c r="BT314" s="3625"/>
      <c r="BU314" s="3625"/>
      <c r="BV314" s="3625"/>
      <c r="BW314" s="3625"/>
      <c r="BX314" s="3625"/>
      <c r="BY314" s="3625"/>
      <c r="BZ314" s="3625"/>
      <c r="CA314" s="3625"/>
      <c r="CB314" s="3625"/>
      <c r="CC314" s="3625"/>
      <c r="CD314" s="3625"/>
      <c r="CE314" s="3625"/>
      <c r="CF314" s="3603">
        <f t="shared" si="114"/>
        <v>6.8200000000000012</v>
      </c>
    </row>
    <row r="315" spans="1:84" ht="37.5" customHeight="1">
      <c r="A315" s="1665" t="s">
        <v>1550</v>
      </c>
      <c r="B315" s="1673" t="s">
        <v>1551</v>
      </c>
      <c r="C315" s="1673" t="s">
        <v>25</v>
      </c>
      <c r="D315" s="2254" t="s">
        <v>4219</v>
      </c>
      <c r="E315" s="2254" t="s">
        <v>4525</v>
      </c>
      <c r="F315" s="1677" t="s">
        <v>4525</v>
      </c>
      <c r="G315" s="2392">
        <v>12</v>
      </c>
      <c r="H315" s="2368">
        <v>4418</v>
      </c>
      <c r="I315" s="298">
        <f t="shared" si="119"/>
        <v>4.4179999999999997E-2</v>
      </c>
      <c r="J315" s="2368">
        <v>425</v>
      </c>
      <c r="K315" s="3038">
        <f t="shared" si="120"/>
        <v>18.776499999999999</v>
      </c>
      <c r="L315" s="2393" t="s">
        <v>5176</v>
      </c>
      <c r="M315" s="1268">
        <f>'Abs11. NTEP'!Q1359</f>
        <v>0</v>
      </c>
      <c r="N315" s="3679">
        <v>18.78</v>
      </c>
      <c r="O315" s="3678"/>
      <c r="P315" s="3678"/>
      <c r="Q315" s="3678"/>
      <c r="R315" s="3678"/>
      <c r="S315" s="3678"/>
      <c r="T315" s="3678"/>
      <c r="U315" s="3678"/>
      <c r="V315" s="3678"/>
      <c r="W315" s="3678"/>
      <c r="X315" s="3678"/>
      <c r="Y315" s="3678"/>
      <c r="Z315" s="3678"/>
      <c r="AA315" s="3678"/>
      <c r="AB315" s="3678"/>
      <c r="AC315" s="3678"/>
      <c r="AD315" s="3678"/>
      <c r="AE315" s="3678"/>
      <c r="AF315" s="3678"/>
      <c r="AG315" s="3678"/>
      <c r="AH315" s="3678"/>
      <c r="AI315" s="3678"/>
      <c r="AJ315" s="3678"/>
      <c r="AK315" s="3678"/>
      <c r="AL315" s="3678"/>
      <c r="AM315" s="3678"/>
      <c r="AN315" s="3678"/>
      <c r="AO315" s="3678"/>
      <c r="AP315" s="3678"/>
      <c r="AQ315" s="3678"/>
      <c r="AR315" s="3678"/>
      <c r="AS315" s="3678"/>
      <c r="AT315" s="3678"/>
      <c r="AU315" s="3678"/>
      <c r="AV315" s="3678"/>
      <c r="AW315" s="3678"/>
      <c r="AX315" s="3625">
        <v>11</v>
      </c>
      <c r="AY315" s="3625">
        <v>0.44</v>
      </c>
      <c r="AZ315" s="3625">
        <v>0.5</v>
      </c>
      <c r="BA315" s="3625">
        <v>0.7</v>
      </c>
      <c r="BB315" s="3625">
        <v>0.9</v>
      </c>
      <c r="BC315" s="3625">
        <v>0.3</v>
      </c>
      <c r="BD315" s="3625">
        <v>0.5</v>
      </c>
      <c r="BE315" s="3625">
        <v>0.2</v>
      </c>
      <c r="BF315" s="3625">
        <v>0.9</v>
      </c>
      <c r="BG315" s="3625">
        <v>0.9</v>
      </c>
      <c r="BH315" s="3625">
        <v>0.53</v>
      </c>
      <c r="BI315" s="3625">
        <v>0.53</v>
      </c>
      <c r="BJ315" s="3625">
        <v>0.48</v>
      </c>
      <c r="BK315" s="3625"/>
      <c r="BL315" s="3625"/>
      <c r="BM315" s="3625"/>
      <c r="BN315" s="3625"/>
      <c r="BO315" s="3625"/>
      <c r="BP315" s="3625"/>
      <c r="BQ315" s="3625"/>
      <c r="BR315" s="3625"/>
      <c r="BS315" s="3625"/>
      <c r="BT315" s="3625"/>
      <c r="BU315" s="3625"/>
      <c r="BV315" s="3625"/>
      <c r="BW315" s="3625"/>
      <c r="BX315" s="3625"/>
      <c r="BY315" s="3625"/>
      <c r="BZ315" s="3625"/>
      <c r="CA315" s="3625">
        <v>0.9</v>
      </c>
      <c r="CB315" s="3625"/>
      <c r="CC315" s="3625"/>
      <c r="CD315" s="3625"/>
      <c r="CE315" s="3625"/>
      <c r="CF315" s="3603">
        <f t="shared" si="114"/>
        <v>18.78</v>
      </c>
    </row>
    <row r="316" spans="1:84" ht="37.5" customHeight="1">
      <c r="A316" s="1665" t="s">
        <v>1561</v>
      </c>
      <c r="B316" s="1680" t="s">
        <v>1562</v>
      </c>
      <c r="C316" s="1673" t="s">
        <v>1563</v>
      </c>
      <c r="D316" s="2264" t="s">
        <v>80</v>
      </c>
      <c r="E316" s="2264" t="s">
        <v>410</v>
      </c>
      <c r="F316" s="1677" t="s">
        <v>410</v>
      </c>
      <c r="G316" s="2593"/>
      <c r="H316" s="2519">
        <v>1000000</v>
      </c>
      <c r="I316" s="298">
        <f t="shared" ref="I316:I318" si="121">H316/100000</f>
        <v>10</v>
      </c>
      <c r="J316" s="283">
        <v>1</v>
      </c>
      <c r="K316" s="3038">
        <f t="shared" ref="K316:K318" si="122">I316*J316</f>
        <v>10</v>
      </c>
      <c r="L316" s="2594" t="s">
        <v>5308</v>
      </c>
      <c r="M316" s="1268">
        <f>'Abs19. NPCDCS'!Q1366</f>
        <v>0</v>
      </c>
      <c r="N316" s="3679">
        <v>10</v>
      </c>
      <c r="O316" s="3678"/>
      <c r="P316" s="3678"/>
      <c r="Q316" s="3678"/>
      <c r="R316" s="3678"/>
      <c r="S316" s="3678"/>
      <c r="T316" s="3678"/>
      <c r="U316" s="3678"/>
      <c r="V316" s="3678"/>
      <c r="W316" s="3678"/>
      <c r="X316" s="3678"/>
      <c r="Y316" s="3678"/>
      <c r="Z316" s="3678"/>
      <c r="AA316" s="3678"/>
      <c r="AB316" s="3678"/>
      <c r="AC316" s="3678"/>
      <c r="AD316" s="3678"/>
      <c r="AE316" s="3678"/>
      <c r="AF316" s="3678"/>
      <c r="AG316" s="3678"/>
      <c r="AH316" s="3678"/>
      <c r="AI316" s="3678"/>
      <c r="AJ316" s="3678"/>
      <c r="AK316" s="3678"/>
      <c r="AL316" s="3678"/>
      <c r="AM316" s="3678"/>
      <c r="AN316" s="3678"/>
      <c r="AO316" s="3678"/>
      <c r="AP316" s="3678"/>
      <c r="AQ316" s="3678"/>
      <c r="AR316" s="3678"/>
      <c r="AS316" s="3678"/>
      <c r="AT316" s="3678"/>
      <c r="AU316" s="3678"/>
      <c r="AV316" s="3678"/>
      <c r="AW316" s="3678"/>
      <c r="AX316" s="3625">
        <v>10</v>
      </c>
      <c r="AY316" s="3625"/>
      <c r="AZ316" s="3625"/>
      <c r="BA316" s="3625"/>
      <c r="BB316" s="3625"/>
      <c r="BC316" s="3625"/>
      <c r="BD316" s="3625"/>
      <c r="BE316" s="3625"/>
      <c r="BF316" s="3625"/>
      <c r="BG316" s="3625"/>
      <c r="BH316" s="3625"/>
      <c r="BI316" s="3625"/>
      <c r="BJ316" s="3625"/>
      <c r="BK316" s="3625"/>
      <c r="BL316" s="3625"/>
      <c r="BM316" s="3625"/>
      <c r="BN316" s="3625"/>
      <c r="BO316" s="3625"/>
      <c r="BP316" s="3625"/>
      <c r="BQ316" s="3625"/>
      <c r="BR316" s="3625"/>
      <c r="BS316" s="3625"/>
      <c r="BT316" s="3625"/>
      <c r="BU316" s="3625"/>
      <c r="BV316" s="3625"/>
      <c r="BW316" s="3625"/>
      <c r="BX316" s="3625"/>
      <c r="BY316" s="3625"/>
      <c r="BZ316" s="3625"/>
      <c r="CA316" s="3625"/>
      <c r="CB316" s="3625"/>
      <c r="CC316" s="3625"/>
      <c r="CD316" s="3625"/>
      <c r="CE316" s="3625"/>
      <c r="CF316" s="3603">
        <f t="shared" si="114"/>
        <v>10</v>
      </c>
    </row>
    <row r="317" spans="1:84" ht="37.5" customHeight="1">
      <c r="A317" s="1665" t="s">
        <v>1564</v>
      </c>
      <c r="B317" s="1680"/>
      <c r="C317" s="1628" t="s">
        <v>2458</v>
      </c>
      <c r="D317" s="2264" t="s">
        <v>80</v>
      </c>
      <c r="E317" s="2264" t="s">
        <v>65</v>
      </c>
      <c r="F317" s="1677" t="s">
        <v>410</v>
      </c>
      <c r="G317" s="2595"/>
      <c r="H317" s="2519">
        <v>1000000</v>
      </c>
      <c r="I317" s="298">
        <f t="shared" si="121"/>
        <v>10</v>
      </c>
      <c r="J317" s="283">
        <v>1</v>
      </c>
      <c r="K317" s="3038">
        <f t="shared" si="122"/>
        <v>10</v>
      </c>
      <c r="L317" s="2596" t="s">
        <v>5309</v>
      </c>
      <c r="M317" s="1268">
        <f>'Abs19. NPCDCS'!Q1367</f>
        <v>0</v>
      </c>
      <c r="N317" s="3679">
        <v>10</v>
      </c>
      <c r="O317" s="3678"/>
      <c r="P317" s="3678"/>
      <c r="Q317" s="3678"/>
      <c r="R317" s="3678"/>
      <c r="S317" s="3678"/>
      <c r="T317" s="3678"/>
      <c r="U317" s="3678"/>
      <c r="V317" s="3678"/>
      <c r="W317" s="3678"/>
      <c r="X317" s="3678"/>
      <c r="Y317" s="3678"/>
      <c r="Z317" s="3678"/>
      <c r="AA317" s="3678"/>
      <c r="AB317" s="3678"/>
      <c r="AC317" s="3678"/>
      <c r="AD317" s="3678"/>
      <c r="AE317" s="3678"/>
      <c r="AF317" s="3678"/>
      <c r="AG317" s="3678"/>
      <c r="AH317" s="3678"/>
      <c r="AI317" s="3678"/>
      <c r="AJ317" s="3678"/>
      <c r="AK317" s="3678"/>
      <c r="AL317" s="3678"/>
      <c r="AM317" s="3678"/>
      <c r="AN317" s="3678"/>
      <c r="AO317" s="3678"/>
      <c r="AP317" s="3678"/>
      <c r="AQ317" s="3678"/>
      <c r="AR317" s="3678"/>
      <c r="AS317" s="3678"/>
      <c r="AT317" s="3678"/>
      <c r="AU317" s="3678"/>
      <c r="AV317" s="3678"/>
      <c r="AW317" s="3678"/>
      <c r="AX317" s="3625">
        <v>10</v>
      </c>
      <c r="AY317" s="3625"/>
      <c r="AZ317" s="3625"/>
      <c r="BA317" s="3625"/>
      <c r="BB317" s="3625"/>
      <c r="BC317" s="3625"/>
      <c r="BD317" s="3625"/>
      <c r="BE317" s="3625"/>
      <c r="BF317" s="3625"/>
      <c r="BG317" s="3625"/>
      <c r="BH317" s="3625"/>
      <c r="BI317" s="3625"/>
      <c r="BJ317" s="3625"/>
      <c r="BK317" s="3625"/>
      <c r="BL317" s="3625"/>
      <c r="BM317" s="3625"/>
      <c r="BN317" s="3625"/>
      <c r="BO317" s="3625"/>
      <c r="BP317" s="3625"/>
      <c r="BQ317" s="3625"/>
      <c r="BR317" s="3625"/>
      <c r="BS317" s="3625"/>
      <c r="BT317" s="3625"/>
      <c r="BU317" s="3625"/>
      <c r="BV317" s="3625"/>
      <c r="BW317" s="3625"/>
      <c r="BX317" s="3625"/>
      <c r="BY317" s="3625"/>
      <c r="BZ317" s="3625"/>
      <c r="CA317" s="3625"/>
      <c r="CB317" s="3625"/>
      <c r="CC317" s="3625"/>
      <c r="CD317" s="3625"/>
      <c r="CE317" s="3625"/>
      <c r="CF317" s="3603">
        <f t="shared" si="114"/>
        <v>10</v>
      </c>
    </row>
    <row r="318" spans="1:84" ht="37.5" customHeight="1">
      <c r="A318" s="1665" t="s">
        <v>3864</v>
      </c>
      <c r="B318" s="1665"/>
      <c r="C318" s="1676" t="s">
        <v>3999</v>
      </c>
      <c r="D318" s="2264" t="s">
        <v>80</v>
      </c>
      <c r="E318" s="2264" t="s">
        <v>3989</v>
      </c>
      <c r="F318" s="1677" t="s">
        <v>3989</v>
      </c>
      <c r="G318" s="457"/>
      <c r="H318" s="283">
        <v>630</v>
      </c>
      <c r="I318" s="298">
        <f t="shared" si="121"/>
        <v>6.3E-3</v>
      </c>
      <c r="J318" s="283">
        <v>50</v>
      </c>
      <c r="K318" s="3038">
        <f t="shared" si="122"/>
        <v>0.315</v>
      </c>
      <c r="L318" s="2638" t="s">
        <v>5462</v>
      </c>
      <c r="M318" s="1268">
        <f>'Abs21. NPCCHH'!Q1331</f>
        <v>0</v>
      </c>
      <c r="N318" s="3679">
        <v>0.32</v>
      </c>
      <c r="O318" s="3678"/>
      <c r="P318" s="3678"/>
      <c r="Q318" s="3678"/>
      <c r="R318" s="3678"/>
      <c r="S318" s="3678"/>
      <c r="T318" s="3678"/>
      <c r="U318" s="3678"/>
      <c r="V318" s="3678"/>
      <c r="W318" s="3678"/>
      <c r="X318" s="3678"/>
      <c r="Y318" s="3678"/>
      <c r="Z318" s="3678"/>
      <c r="AA318" s="3678"/>
      <c r="AB318" s="3678"/>
      <c r="AC318" s="3678"/>
      <c r="AD318" s="3678"/>
      <c r="AE318" s="3678"/>
      <c r="AF318" s="3678"/>
      <c r="AG318" s="3678"/>
      <c r="AH318" s="3678"/>
      <c r="AI318" s="3678"/>
      <c r="AJ318" s="3678"/>
      <c r="AK318" s="3678"/>
      <c r="AL318" s="3678"/>
      <c r="AM318" s="3678"/>
      <c r="AN318" s="3678"/>
      <c r="AO318" s="3678"/>
      <c r="AP318" s="3678"/>
      <c r="AQ318" s="3678"/>
      <c r="AR318" s="3678"/>
      <c r="AS318" s="3678"/>
      <c r="AT318" s="3678"/>
      <c r="AU318" s="3678"/>
      <c r="AV318" s="3678"/>
      <c r="AW318" s="3678"/>
      <c r="AX318" s="3625">
        <v>0.32</v>
      </c>
      <c r="AY318" s="3625"/>
      <c r="AZ318" s="3625"/>
      <c r="BA318" s="3625"/>
      <c r="BB318" s="3625"/>
      <c r="BC318" s="3625"/>
      <c r="BD318" s="3625"/>
      <c r="BE318" s="3625"/>
      <c r="BF318" s="3625"/>
      <c r="BG318" s="3625"/>
      <c r="BH318" s="3625"/>
      <c r="BI318" s="3625"/>
      <c r="BJ318" s="3625"/>
      <c r="BK318" s="3625"/>
      <c r="BL318" s="3625"/>
      <c r="BM318" s="3625"/>
      <c r="BN318" s="3625"/>
      <c r="BO318" s="3625"/>
      <c r="BP318" s="3625"/>
      <c r="BQ318" s="3625"/>
      <c r="BR318" s="3625"/>
      <c r="BS318" s="3625"/>
      <c r="BT318" s="3625"/>
      <c r="BU318" s="3625"/>
      <c r="BV318" s="3625"/>
      <c r="BW318" s="3625"/>
      <c r="BX318" s="3625"/>
      <c r="BY318" s="3625"/>
      <c r="BZ318" s="3625"/>
      <c r="CA318" s="3625"/>
      <c r="CB318" s="3625"/>
      <c r="CC318" s="3625"/>
      <c r="CD318" s="3625"/>
      <c r="CE318" s="3625"/>
      <c r="CF318" s="3603">
        <f t="shared" si="114"/>
        <v>0.32</v>
      </c>
    </row>
    <row r="319" spans="1:84" ht="37.5" customHeight="1">
      <c r="A319" s="473" t="s">
        <v>3896</v>
      </c>
      <c r="B319" s="521"/>
      <c r="C319" s="521" t="s">
        <v>3891</v>
      </c>
      <c r="D319" s="982" t="s">
        <v>65</v>
      </c>
      <c r="E319" s="982" t="s">
        <v>65</v>
      </c>
      <c r="F319" s="1075" t="s">
        <v>3769</v>
      </c>
      <c r="G319" s="273"/>
      <c r="H319" s="2469">
        <v>50000</v>
      </c>
      <c r="I319" s="298">
        <f t="shared" ref="I319:I324" si="123">H319/100000</f>
        <v>0.5</v>
      </c>
      <c r="J319" s="2469">
        <v>15</v>
      </c>
      <c r="K319" s="298">
        <f t="shared" ref="K319" si="124">I319*J319</f>
        <v>7.5</v>
      </c>
      <c r="L319" s="2470" t="s">
        <v>5216</v>
      </c>
      <c r="M319" s="2831" t="s">
        <v>5773</v>
      </c>
      <c r="N319" s="3680">
        <v>7.5</v>
      </c>
      <c r="O319" s="3681"/>
      <c r="P319" s="3661"/>
      <c r="Q319" s="3661"/>
      <c r="R319" s="3661"/>
      <c r="S319" s="3661"/>
      <c r="T319" s="3661"/>
      <c r="U319" s="3661"/>
      <c r="V319" s="3661"/>
      <c r="W319" s="3661"/>
      <c r="X319" s="3661"/>
      <c r="Y319" s="3661"/>
      <c r="Z319" s="3661"/>
      <c r="AA319" s="3661"/>
      <c r="AB319" s="3661"/>
      <c r="AC319" s="3661"/>
      <c r="AD319" s="3661"/>
      <c r="AE319" s="3661"/>
      <c r="AF319" s="3661"/>
      <c r="AG319" s="3661"/>
      <c r="AH319" s="3661"/>
      <c r="AI319" s="3661"/>
      <c r="AJ319" s="3661"/>
      <c r="AK319" s="3661"/>
      <c r="AL319" s="3661"/>
      <c r="AM319" s="3661"/>
      <c r="AN319" s="3661"/>
      <c r="AO319" s="3661"/>
      <c r="AP319" s="3661"/>
      <c r="AQ319" s="3661"/>
      <c r="AR319" s="3661"/>
      <c r="AS319" s="3661"/>
      <c r="AT319" s="3661"/>
      <c r="AU319" s="3661"/>
      <c r="AV319" s="3661"/>
      <c r="AW319" s="3661"/>
      <c r="AX319" s="3609"/>
      <c r="AY319" s="3609">
        <v>0.5</v>
      </c>
      <c r="AZ319" s="3609">
        <v>0.5</v>
      </c>
      <c r="BA319" s="3609">
        <v>1</v>
      </c>
      <c r="BB319" s="3609">
        <v>1</v>
      </c>
      <c r="BC319" s="3609">
        <v>0</v>
      </c>
      <c r="BD319" s="3609">
        <v>0.5</v>
      </c>
      <c r="BE319" s="3609">
        <v>0</v>
      </c>
      <c r="BF319" s="3609">
        <v>1</v>
      </c>
      <c r="BG319" s="3609">
        <v>0</v>
      </c>
      <c r="BH319" s="3609">
        <v>0.5</v>
      </c>
      <c r="BI319" s="3609">
        <v>0.5</v>
      </c>
      <c r="BJ319" s="3609">
        <v>1</v>
      </c>
      <c r="BK319" s="3609"/>
      <c r="BL319" s="3609"/>
      <c r="BM319" s="3609"/>
      <c r="BN319" s="3609"/>
      <c r="BO319" s="3609"/>
      <c r="BP319" s="3609"/>
      <c r="BQ319" s="3609"/>
      <c r="BR319" s="3609"/>
      <c r="BS319" s="3609"/>
      <c r="BT319" s="3609"/>
      <c r="BU319" s="3609"/>
      <c r="BV319" s="3609"/>
      <c r="BW319" s="3609"/>
      <c r="BX319" s="3609">
        <v>0.5</v>
      </c>
      <c r="BY319" s="3609">
        <v>0.5</v>
      </c>
      <c r="BZ319" s="3609"/>
      <c r="CA319" s="3609"/>
      <c r="CB319" s="3609"/>
      <c r="CC319" s="3609"/>
      <c r="CD319" s="3609"/>
      <c r="CE319" s="3609"/>
      <c r="CF319" s="3609">
        <f t="shared" si="114"/>
        <v>7.5</v>
      </c>
    </row>
    <row r="320" spans="1:84" ht="37.5" customHeight="1">
      <c r="A320" s="473" t="s">
        <v>1238</v>
      </c>
      <c r="B320" s="521" t="s">
        <v>1239</v>
      </c>
      <c r="C320" s="521" t="s">
        <v>3901</v>
      </c>
      <c r="D320" s="982" t="s">
        <v>65</v>
      </c>
      <c r="E320" s="982" t="s">
        <v>65</v>
      </c>
      <c r="F320" s="1075" t="s">
        <v>3769</v>
      </c>
      <c r="G320" s="273"/>
      <c r="H320" s="283">
        <v>500</v>
      </c>
      <c r="I320" s="298">
        <f t="shared" si="123"/>
        <v>5.0000000000000001E-3</v>
      </c>
      <c r="J320" s="2469">
        <v>240</v>
      </c>
      <c r="K320" s="298">
        <f>I320*J320</f>
        <v>1.2</v>
      </c>
      <c r="L320" s="2491" t="s">
        <v>5218</v>
      </c>
      <c r="M320" s="2831" t="s">
        <v>5758</v>
      </c>
      <c r="N320" s="3680">
        <v>1.2</v>
      </c>
      <c r="O320" s="3661"/>
      <c r="P320" s="3661"/>
      <c r="Q320" s="3661"/>
      <c r="R320" s="3661"/>
      <c r="S320" s="3661"/>
      <c r="T320" s="3661"/>
      <c r="U320" s="3661"/>
      <c r="V320" s="3661"/>
      <c r="W320" s="3661"/>
      <c r="X320" s="3661"/>
      <c r="Y320" s="3661"/>
      <c r="Z320" s="3661"/>
      <c r="AA320" s="3661"/>
      <c r="AB320" s="3661"/>
      <c r="AC320" s="3661"/>
      <c r="AD320" s="3661"/>
      <c r="AE320" s="3661"/>
      <c r="AF320" s="3661"/>
      <c r="AG320" s="3661"/>
      <c r="AH320" s="3661"/>
      <c r="AI320" s="3661"/>
      <c r="AJ320" s="3661"/>
      <c r="AK320" s="3661"/>
      <c r="AL320" s="3661"/>
      <c r="AM320" s="3661"/>
      <c r="AN320" s="3661"/>
      <c r="AO320" s="3661"/>
      <c r="AP320" s="3661"/>
      <c r="AQ320" s="3661"/>
      <c r="AR320" s="3661"/>
      <c r="AS320" s="3661"/>
      <c r="AT320" s="3661"/>
      <c r="AU320" s="3661"/>
      <c r="AV320" s="3661"/>
      <c r="AW320" s="3661"/>
      <c r="AX320" s="3609">
        <v>0.2</v>
      </c>
      <c r="AY320" s="3609">
        <v>0.1</v>
      </c>
      <c r="AZ320" s="3609">
        <v>0.1</v>
      </c>
      <c r="BA320" s="3609">
        <v>0.1</v>
      </c>
      <c r="BB320" s="3609">
        <v>0.1</v>
      </c>
      <c r="BC320" s="3609">
        <v>0</v>
      </c>
      <c r="BD320" s="3609">
        <v>0.1</v>
      </c>
      <c r="BE320" s="3609">
        <v>0</v>
      </c>
      <c r="BF320" s="3609">
        <v>0.1</v>
      </c>
      <c r="BG320" s="3609">
        <v>0.1</v>
      </c>
      <c r="BH320" s="3609">
        <v>0.1</v>
      </c>
      <c r="BI320" s="3609">
        <v>0.1</v>
      </c>
      <c r="BJ320" s="3609">
        <v>0.1</v>
      </c>
      <c r="BK320" s="3609"/>
      <c r="BL320" s="3609"/>
      <c r="BM320" s="3609"/>
      <c r="BN320" s="3609"/>
      <c r="BO320" s="3609"/>
      <c r="BP320" s="3609"/>
      <c r="BQ320" s="3609"/>
      <c r="BR320" s="3609"/>
      <c r="BS320" s="3609"/>
      <c r="BT320" s="3609"/>
      <c r="BU320" s="3609"/>
      <c r="BV320" s="3609"/>
      <c r="BW320" s="3609"/>
      <c r="BX320" s="3609"/>
      <c r="BY320" s="3609"/>
      <c r="BZ320" s="3609"/>
      <c r="CA320" s="3609"/>
      <c r="CB320" s="3609"/>
      <c r="CC320" s="3609"/>
      <c r="CD320" s="3609"/>
      <c r="CE320" s="3609"/>
      <c r="CF320" s="3609">
        <f t="shared" si="114"/>
        <v>1.2</v>
      </c>
    </row>
    <row r="321" spans="1:84" ht="37.5" customHeight="1">
      <c r="A321" s="473" t="s">
        <v>1240</v>
      </c>
      <c r="B321" s="521"/>
      <c r="C321" s="521" t="s">
        <v>3902</v>
      </c>
      <c r="D321" s="982" t="s">
        <v>65</v>
      </c>
      <c r="E321" s="982" t="s">
        <v>65</v>
      </c>
      <c r="F321" s="1075" t="s">
        <v>3769</v>
      </c>
      <c r="G321" s="273"/>
      <c r="H321" s="2469">
        <v>102500</v>
      </c>
      <c r="I321" s="298">
        <f t="shared" si="123"/>
        <v>1.0249999999999999</v>
      </c>
      <c r="J321" s="283">
        <v>12</v>
      </c>
      <c r="K321" s="298">
        <f>I321*J321</f>
        <v>12.299999999999999</v>
      </c>
      <c r="L321" s="2502" t="s">
        <v>5299</v>
      </c>
      <c r="M321" s="2831" t="s">
        <v>5759</v>
      </c>
      <c r="N321" s="3680">
        <v>12.3</v>
      </c>
      <c r="O321" s="3661"/>
      <c r="P321" s="3661"/>
      <c r="Q321" s="3661"/>
      <c r="R321" s="3661"/>
      <c r="S321" s="3661"/>
      <c r="T321" s="3661"/>
      <c r="U321" s="3661"/>
      <c r="V321" s="3661"/>
      <c r="W321" s="3661"/>
      <c r="X321" s="3661"/>
      <c r="Y321" s="3661"/>
      <c r="Z321" s="3661"/>
      <c r="AA321" s="3661"/>
      <c r="AB321" s="3661"/>
      <c r="AC321" s="3661"/>
      <c r="AD321" s="3661"/>
      <c r="AE321" s="3661"/>
      <c r="AF321" s="3661"/>
      <c r="AG321" s="3661"/>
      <c r="AH321" s="3661"/>
      <c r="AI321" s="3661"/>
      <c r="AJ321" s="3661"/>
      <c r="AK321" s="3661"/>
      <c r="AL321" s="3661"/>
      <c r="AM321" s="3661"/>
      <c r="AN321" s="3661"/>
      <c r="AO321" s="3661"/>
      <c r="AP321" s="3661"/>
      <c r="AQ321" s="3661"/>
      <c r="AR321" s="3661"/>
      <c r="AS321" s="3661"/>
      <c r="AT321" s="3661"/>
      <c r="AU321" s="3661"/>
      <c r="AV321" s="3661"/>
      <c r="AW321" s="3661"/>
      <c r="AX321" s="3609">
        <v>12.3</v>
      </c>
      <c r="AY321" s="3609"/>
      <c r="AZ321" s="3609"/>
      <c r="BA321" s="3609"/>
      <c r="BB321" s="3609"/>
      <c r="BC321" s="3609"/>
      <c r="BD321" s="3609"/>
      <c r="BE321" s="3609"/>
      <c r="BF321" s="3609"/>
      <c r="BG321" s="3609"/>
      <c r="BH321" s="3609"/>
      <c r="BI321" s="3609"/>
      <c r="BJ321" s="3609"/>
      <c r="BK321" s="3609"/>
      <c r="BL321" s="3609"/>
      <c r="BM321" s="3609"/>
      <c r="BN321" s="3609"/>
      <c r="BO321" s="3609"/>
      <c r="BP321" s="3609"/>
      <c r="BQ321" s="3609"/>
      <c r="BR321" s="3609"/>
      <c r="BS321" s="3609"/>
      <c r="BT321" s="3609"/>
      <c r="BU321" s="3609"/>
      <c r="BV321" s="3609"/>
      <c r="BW321" s="3609"/>
      <c r="BX321" s="3609"/>
      <c r="BY321" s="3609"/>
      <c r="BZ321" s="3609"/>
      <c r="CA321" s="3609"/>
      <c r="CB321" s="3609"/>
      <c r="CC321" s="3609"/>
      <c r="CD321" s="3609"/>
      <c r="CE321" s="3609"/>
      <c r="CF321" s="3609">
        <f t="shared" si="114"/>
        <v>12.3</v>
      </c>
    </row>
    <row r="322" spans="1:84" ht="37.5" customHeight="1">
      <c r="A322" s="473" t="s">
        <v>2572</v>
      </c>
      <c r="B322" s="521"/>
      <c r="C322" s="521" t="s">
        <v>3903</v>
      </c>
      <c r="D322" s="982" t="s">
        <v>65</v>
      </c>
      <c r="E322" s="982" t="s">
        <v>65</v>
      </c>
      <c r="F322" s="1075" t="s">
        <v>3769</v>
      </c>
      <c r="G322" s="273"/>
      <c r="H322" s="2469">
        <v>68823.53</v>
      </c>
      <c r="I322" s="298">
        <f t="shared" si="123"/>
        <v>0.68823529999999999</v>
      </c>
      <c r="J322" s="283">
        <v>17</v>
      </c>
      <c r="K322" s="298">
        <f>I322*J322</f>
        <v>11.7000001</v>
      </c>
      <c r="L322" s="2490" t="s">
        <v>5300</v>
      </c>
      <c r="M322" s="2831" t="s">
        <v>5760</v>
      </c>
      <c r="N322" s="3680">
        <v>11.7</v>
      </c>
      <c r="O322" s="3661"/>
      <c r="P322" s="3661"/>
      <c r="Q322" s="3661"/>
      <c r="R322" s="3661"/>
      <c r="S322" s="3661"/>
      <c r="T322" s="3661"/>
      <c r="U322" s="3661"/>
      <c r="V322" s="3661"/>
      <c r="W322" s="3661"/>
      <c r="X322" s="3661"/>
      <c r="Y322" s="3661"/>
      <c r="Z322" s="3661"/>
      <c r="AA322" s="3661"/>
      <c r="AB322" s="3661"/>
      <c r="AC322" s="3661"/>
      <c r="AD322" s="3661"/>
      <c r="AE322" s="3661"/>
      <c r="AF322" s="3661"/>
      <c r="AG322" s="3661"/>
      <c r="AH322" s="3661"/>
      <c r="AI322" s="3661"/>
      <c r="AJ322" s="3661"/>
      <c r="AK322" s="3661"/>
      <c r="AL322" s="3661"/>
      <c r="AM322" s="3661"/>
      <c r="AN322" s="3661"/>
      <c r="AO322" s="3661"/>
      <c r="AP322" s="3661"/>
      <c r="AQ322" s="3661"/>
      <c r="AR322" s="3661"/>
      <c r="AS322" s="3661"/>
      <c r="AT322" s="3661"/>
      <c r="AU322" s="3661"/>
      <c r="AV322" s="3661"/>
      <c r="AW322" s="3661"/>
      <c r="AX322" s="3609">
        <v>11.7</v>
      </c>
      <c r="AY322" s="3609"/>
      <c r="AZ322" s="3609"/>
      <c r="BA322" s="3609"/>
      <c r="BB322" s="3609"/>
      <c r="BC322" s="3609"/>
      <c r="BD322" s="3609"/>
      <c r="BE322" s="3609"/>
      <c r="BF322" s="3609"/>
      <c r="BG322" s="3609"/>
      <c r="BH322" s="3609"/>
      <c r="BI322" s="3609"/>
      <c r="BJ322" s="3609"/>
      <c r="BK322" s="3609"/>
      <c r="BL322" s="3609"/>
      <c r="BM322" s="3609"/>
      <c r="BN322" s="3609"/>
      <c r="BO322" s="3609"/>
      <c r="BP322" s="3609"/>
      <c r="BQ322" s="3609"/>
      <c r="BR322" s="3609"/>
      <c r="BS322" s="3609"/>
      <c r="BT322" s="3609"/>
      <c r="BU322" s="3609"/>
      <c r="BV322" s="3609"/>
      <c r="BW322" s="3609"/>
      <c r="BX322" s="3609"/>
      <c r="BY322" s="3609"/>
      <c r="BZ322" s="3609"/>
      <c r="CA322" s="3609"/>
      <c r="CB322" s="3609"/>
      <c r="CC322" s="3609"/>
      <c r="CD322" s="3609"/>
      <c r="CE322" s="3609"/>
      <c r="CF322" s="3609">
        <f t="shared" si="114"/>
        <v>11.7</v>
      </c>
    </row>
    <row r="323" spans="1:84" ht="37.5" customHeight="1">
      <c r="A323" s="473" t="s">
        <v>3905</v>
      </c>
      <c r="B323" s="521" t="s">
        <v>1148</v>
      </c>
      <c r="C323" s="521" t="s">
        <v>3904</v>
      </c>
      <c r="D323" s="982" t="s">
        <v>65</v>
      </c>
      <c r="E323" s="982" t="s">
        <v>65</v>
      </c>
      <c r="F323" s="1075" t="s">
        <v>3769</v>
      </c>
      <c r="G323" s="472"/>
      <c r="H323" s="2469">
        <v>10000</v>
      </c>
      <c r="I323" s="298">
        <f t="shared" si="123"/>
        <v>0.1</v>
      </c>
      <c r="J323" s="283">
        <v>298</v>
      </c>
      <c r="K323" s="298">
        <f>I323*J323</f>
        <v>29.8</v>
      </c>
      <c r="L323" s="2490" t="s">
        <v>5301</v>
      </c>
      <c r="M323" s="2831" t="s">
        <v>5761</v>
      </c>
      <c r="N323" s="3680">
        <v>29.8</v>
      </c>
      <c r="O323" s="3661"/>
      <c r="P323" s="3661"/>
      <c r="Q323" s="3661"/>
      <c r="R323" s="3661"/>
      <c r="S323" s="3661"/>
      <c r="T323" s="3661"/>
      <c r="U323" s="3661"/>
      <c r="V323" s="3661"/>
      <c r="W323" s="3661"/>
      <c r="X323" s="3661"/>
      <c r="Y323" s="3661"/>
      <c r="Z323" s="3661"/>
      <c r="AA323" s="3661"/>
      <c r="AB323" s="3661"/>
      <c r="AC323" s="3661"/>
      <c r="AD323" s="3661"/>
      <c r="AE323" s="3661"/>
      <c r="AF323" s="3661"/>
      <c r="AG323" s="3661"/>
      <c r="AH323" s="3661"/>
      <c r="AI323" s="3661"/>
      <c r="AJ323" s="3661"/>
      <c r="AK323" s="3661"/>
      <c r="AL323" s="3661"/>
      <c r="AM323" s="3661"/>
      <c r="AN323" s="3661"/>
      <c r="AO323" s="3661"/>
      <c r="AP323" s="3661"/>
      <c r="AQ323" s="3661"/>
      <c r="AR323" s="3661"/>
      <c r="AS323" s="3661"/>
      <c r="AT323" s="3661"/>
      <c r="AU323" s="3661"/>
      <c r="AV323" s="3661"/>
      <c r="AW323" s="3661"/>
      <c r="AX323" s="3609">
        <v>29.8</v>
      </c>
      <c r="AY323" s="3609"/>
      <c r="AZ323" s="3609"/>
      <c r="BA323" s="3609"/>
      <c r="BB323" s="3609"/>
      <c r="BC323" s="3609"/>
      <c r="BD323" s="3609"/>
      <c r="BE323" s="3609"/>
      <c r="BF323" s="3609"/>
      <c r="BG323" s="3609"/>
      <c r="BH323" s="3609"/>
      <c r="BI323" s="3609"/>
      <c r="BJ323" s="3609"/>
      <c r="BK323" s="3609"/>
      <c r="BL323" s="3609"/>
      <c r="BM323" s="3609"/>
      <c r="BN323" s="3609"/>
      <c r="BO323" s="3609"/>
      <c r="BP323" s="3609"/>
      <c r="BQ323" s="3609"/>
      <c r="BR323" s="3609"/>
      <c r="BS323" s="3609"/>
      <c r="BT323" s="3609"/>
      <c r="BU323" s="3609"/>
      <c r="BV323" s="3609"/>
      <c r="BW323" s="3609"/>
      <c r="BX323" s="3609"/>
      <c r="BY323" s="3609"/>
      <c r="BZ323" s="3609"/>
      <c r="CA323" s="3609"/>
      <c r="CB323" s="3609"/>
      <c r="CC323" s="3609"/>
      <c r="CD323" s="3609"/>
      <c r="CE323" s="3609"/>
      <c r="CF323" s="3609">
        <f t="shared" si="114"/>
        <v>29.8</v>
      </c>
    </row>
    <row r="324" spans="1:84" ht="37.5" customHeight="1">
      <c r="A324" s="473" t="s">
        <v>3906</v>
      </c>
      <c r="B324" s="521"/>
      <c r="C324" s="521" t="s">
        <v>1304</v>
      </c>
      <c r="D324" s="982" t="s">
        <v>65</v>
      </c>
      <c r="E324" s="982" t="s">
        <v>65</v>
      </c>
      <c r="F324" s="1075" t="s">
        <v>3769</v>
      </c>
      <c r="G324" s="273"/>
      <c r="H324" s="2440">
        <v>616667</v>
      </c>
      <c r="I324" s="298">
        <f t="shared" si="123"/>
        <v>6.1666699999999999</v>
      </c>
      <c r="J324" s="283">
        <v>12</v>
      </c>
      <c r="K324" s="298">
        <f>I324*J324</f>
        <v>74.000039999999998</v>
      </c>
      <c r="L324" s="2441" t="s">
        <v>5281</v>
      </c>
      <c r="M324" s="2831" t="s">
        <v>5762</v>
      </c>
      <c r="N324" s="3680">
        <v>12</v>
      </c>
      <c r="O324" s="3661"/>
      <c r="P324" s="3661"/>
      <c r="Q324" s="3661"/>
      <c r="R324" s="3661"/>
      <c r="S324" s="3661"/>
      <c r="T324" s="3661"/>
      <c r="U324" s="3661"/>
      <c r="V324" s="3661"/>
      <c r="W324" s="3661"/>
      <c r="X324" s="3661"/>
      <c r="Y324" s="3661"/>
      <c r="Z324" s="3661"/>
      <c r="AA324" s="3661"/>
      <c r="AB324" s="3661"/>
      <c r="AC324" s="3661"/>
      <c r="AD324" s="3661"/>
      <c r="AE324" s="3661"/>
      <c r="AF324" s="3661"/>
      <c r="AG324" s="3661"/>
      <c r="AH324" s="3661"/>
      <c r="AI324" s="3661"/>
      <c r="AJ324" s="3661"/>
      <c r="AK324" s="3661"/>
      <c r="AL324" s="3661"/>
      <c r="AM324" s="3661"/>
      <c r="AN324" s="3661"/>
      <c r="AO324" s="3661"/>
      <c r="AP324" s="3661"/>
      <c r="AQ324" s="3661"/>
      <c r="AR324" s="3661"/>
      <c r="AS324" s="3661"/>
      <c r="AT324" s="3661"/>
      <c r="AU324" s="3661"/>
      <c r="AV324" s="3661"/>
      <c r="AW324" s="3661"/>
      <c r="AX324" s="3609"/>
      <c r="AY324" s="3609"/>
      <c r="AZ324" s="3609"/>
      <c r="BA324" s="3609"/>
      <c r="BB324" s="3609"/>
      <c r="BC324" s="3609">
        <v>6</v>
      </c>
      <c r="BD324" s="3609"/>
      <c r="BE324" s="3609"/>
      <c r="BF324" s="3609"/>
      <c r="BG324" s="3609"/>
      <c r="BH324" s="3609"/>
      <c r="BI324" s="3609"/>
      <c r="BJ324" s="3609"/>
      <c r="BK324" s="3609"/>
      <c r="BL324" s="3609"/>
      <c r="BM324" s="3609">
        <v>3</v>
      </c>
      <c r="BN324" s="3609"/>
      <c r="BO324" s="3609"/>
      <c r="BP324" s="3609"/>
      <c r="BQ324" s="3609"/>
      <c r="BR324" s="3609"/>
      <c r="BS324" s="3609"/>
      <c r="BT324" s="3609"/>
      <c r="BU324" s="3609">
        <v>3</v>
      </c>
      <c r="BV324" s="3609"/>
      <c r="BW324" s="3609"/>
      <c r="BX324" s="3609"/>
      <c r="BY324" s="3609"/>
      <c r="BZ324" s="3609"/>
      <c r="CA324" s="3609"/>
      <c r="CB324" s="3609"/>
      <c r="CC324" s="3609"/>
      <c r="CD324" s="3609"/>
      <c r="CE324" s="3609"/>
      <c r="CF324" s="3609">
        <f t="shared" si="114"/>
        <v>12</v>
      </c>
    </row>
    <row r="325" spans="1:84" ht="37.5" customHeight="1">
      <c r="A325" s="473" t="s">
        <v>1241</v>
      </c>
      <c r="B325" s="521" t="s">
        <v>1242</v>
      </c>
      <c r="C325" s="521" t="s">
        <v>1243</v>
      </c>
      <c r="D325" s="982" t="s">
        <v>65</v>
      </c>
      <c r="E325" s="982" t="s">
        <v>65</v>
      </c>
      <c r="F325" s="1075" t="s">
        <v>3769</v>
      </c>
      <c r="G325" s="273"/>
      <c r="H325" s="2469">
        <v>3740.88</v>
      </c>
      <c r="I325" s="298">
        <f>H325/100000</f>
        <v>3.7408799999999999E-2</v>
      </c>
      <c r="J325" s="2469">
        <v>1316</v>
      </c>
      <c r="K325" s="298">
        <f t="shared" ref="K325:K328" si="125">I325*J325</f>
        <v>49.2299808</v>
      </c>
      <c r="L325" s="2614" t="s">
        <v>5425</v>
      </c>
      <c r="M325" s="296" t="s">
        <v>5763</v>
      </c>
      <c r="N325" s="3680">
        <v>49.23</v>
      </c>
      <c r="O325" s="3661"/>
      <c r="P325" s="3661"/>
      <c r="Q325" s="3661"/>
      <c r="R325" s="3661"/>
      <c r="S325" s="3661"/>
      <c r="T325" s="3661"/>
      <c r="U325" s="3661"/>
      <c r="V325" s="3661"/>
      <c r="W325" s="3661"/>
      <c r="X325" s="3661"/>
      <c r="Y325" s="3661"/>
      <c r="Z325" s="3661"/>
      <c r="AA325" s="3661"/>
      <c r="AB325" s="3661"/>
      <c r="AC325" s="3661"/>
      <c r="AD325" s="3661"/>
      <c r="AE325" s="3661"/>
      <c r="AF325" s="3661"/>
      <c r="AG325" s="3661"/>
      <c r="AH325" s="3661"/>
      <c r="AI325" s="3661"/>
      <c r="AJ325" s="3661"/>
      <c r="AK325" s="3661"/>
      <c r="AL325" s="3661"/>
      <c r="AM325" s="3661"/>
      <c r="AN325" s="3661"/>
      <c r="AO325" s="3661"/>
      <c r="AP325" s="3661"/>
      <c r="AQ325" s="3661"/>
      <c r="AR325" s="3661"/>
      <c r="AS325" s="3661"/>
      <c r="AT325" s="3661"/>
      <c r="AU325" s="3661"/>
      <c r="AV325" s="3661"/>
      <c r="AW325" s="3661"/>
      <c r="AX325" s="3609">
        <v>27.36</v>
      </c>
      <c r="AY325" s="3609">
        <v>1.53</v>
      </c>
      <c r="AZ325" s="3609">
        <v>1.58</v>
      </c>
      <c r="BA325" s="3609">
        <v>1.18</v>
      </c>
      <c r="BB325" s="3609">
        <v>3.57</v>
      </c>
      <c r="BC325" s="3609">
        <v>0.89</v>
      </c>
      <c r="BD325" s="3609">
        <v>1.42</v>
      </c>
      <c r="BE325" s="3609">
        <v>0.23</v>
      </c>
      <c r="BF325" s="3609">
        <v>4.4400000000000004</v>
      </c>
      <c r="BG325" s="3609">
        <v>2.99</v>
      </c>
      <c r="BH325" s="3609">
        <v>1.33</v>
      </c>
      <c r="BI325" s="3609">
        <v>1.51</v>
      </c>
      <c r="BJ325" s="3609">
        <v>1.2</v>
      </c>
      <c r="BK325" s="3609"/>
      <c r="BL325" s="3609"/>
      <c r="BM325" s="3609"/>
      <c r="BN325" s="3609"/>
      <c r="BO325" s="3609"/>
      <c r="BP325" s="3609"/>
      <c r="BQ325" s="3609"/>
      <c r="BR325" s="3609"/>
      <c r="BS325" s="3609"/>
      <c r="BT325" s="3609"/>
      <c r="BU325" s="3609"/>
      <c r="BV325" s="3609"/>
      <c r="BW325" s="3609"/>
      <c r="BX325" s="3609"/>
      <c r="BY325" s="3609"/>
      <c r="BZ325" s="3609"/>
      <c r="CA325" s="3609"/>
      <c r="CB325" s="3609"/>
      <c r="CC325" s="3609"/>
      <c r="CD325" s="3609"/>
      <c r="CE325" s="3609"/>
      <c r="CF325" s="3609">
        <f t="shared" si="114"/>
        <v>49.23</v>
      </c>
    </row>
    <row r="326" spans="1:84" ht="37.5" customHeight="1">
      <c r="A326" s="473" t="s">
        <v>1244</v>
      </c>
      <c r="B326" s="521" t="s">
        <v>1245</v>
      </c>
      <c r="C326" s="521" t="s">
        <v>1246</v>
      </c>
      <c r="D326" s="982" t="s">
        <v>65</v>
      </c>
      <c r="E326" s="982" t="s">
        <v>65</v>
      </c>
      <c r="F326" s="1075" t="s">
        <v>3769</v>
      </c>
      <c r="G326" s="273"/>
      <c r="H326" s="2469">
        <v>128032.79</v>
      </c>
      <c r="I326" s="298">
        <f>H326/100000</f>
        <v>1.2803278999999999</v>
      </c>
      <c r="J326" s="2469">
        <v>122</v>
      </c>
      <c r="K326" s="298">
        <f t="shared" si="125"/>
        <v>156.20000379999999</v>
      </c>
      <c r="L326" s="2491" t="s">
        <v>5219</v>
      </c>
      <c r="M326" s="296" t="s">
        <v>5764</v>
      </c>
      <c r="N326" s="3680">
        <v>156.19999999999999</v>
      </c>
      <c r="O326" s="3661"/>
      <c r="P326" s="3661"/>
      <c r="Q326" s="3661"/>
      <c r="R326" s="3661"/>
      <c r="S326" s="3661"/>
      <c r="T326" s="3661"/>
      <c r="U326" s="3661"/>
      <c r="V326" s="3661"/>
      <c r="W326" s="3661"/>
      <c r="X326" s="3661"/>
      <c r="Y326" s="3661"/>
      <c r="Z326" s="3661"/>
      <c r="AA326" s="3661"/>
      <c r="AB326" s="3661"/>
      <c r="AC326" s="3661"/>
      <c r="AD326" s="3661"/>
      <c r="AE326" s="3661"/>
      <c r="AF326" s="3661"/>
      <c r="AG326" s="3661"/>
      <c r="AH326" s="3661"/>
      <c r="AI326" s="3661"/>
      <c r="AJ326" s="3661"/>
      <c r="AK326" s="3661"/>
      <c r="AL326" s="3661"/>
      <c r="AM326" s="3661"/>
      <c r="AN326" s="3661"/>
      <c r="AO326" s="3661"/>
      <c r="AP326" s="3661"/>
      <c r="AQ326" s="3661"/>
      <c r="AR326" s="3661"/>
      <c r="AS326" s="3661"/>
      <c r="AT326" s="3661"/>
      <c r="AU326" s="3661"/>
      <c r="AV326" s="3661"/>
      <c r="AW326" s="3661"/>
      <c r="AX326" s="3609">
        <v>156.19999999999999</v>
      </c>
      <c r="AY326" s="3609"/>
      <c r="AZ326" s="3609"/>
      <c r="BA326" s="3609"/>
      <c r="BB326" s="3609"/>
      <c r="BC326" s="3609"/>
      <c r="BD326" s="3609"/>
      <c r="BE326" s="3609"/>
      <c r="BF326" s="3609"/>
      <c r="BG326" s="3609"/>
      <c r="BH326" s="3609"/>
      <c r="BI326" s="3609"/>
      <c r="BJ326" s="3609"/>
      <c r="BK326" s="3609"/>
      <c r="BL326" s="3609"/>
      <c r="BM326" s="3609"/>
      <c r="BN326" s="3609"/>
      <c r="BO326" s="3609"/>
      <c r="BP326" s="3609"/>
      <c r="BQ326" s="3609"/>
      <c r="BR326" s="3609"/>
      <c r="BS326" s="3609"/>
      <c r="BT326" s="3609"/>
      <c r="BU326" s="3609"/>
      <c r="BV326" s="3609"/>
      <c r="BW326" s="3609"/>
      <c r="BX326" s="3609"/>
      <c r="BY326" s="3609"/>
      <c r="BZ326" s="3609"/>
      <c r="CA326" s="3609"/>
      <c r="CB326" s="3609"/>
      <c r="CC326" s="3609"/>
      <c r="CD326" s="3609"/>
      <c r="CE326" s="3609"/>
      <c r="CF326" s="3609">
        <f t="shared" si="114"/>
        <v>156.19999999999999</v>
      </c>
    </row>
    <row r="327" spans="1:84" ht="37.5" customHeight="1">
      <c r="A327" s="473" t="s">
        <v>3907</v>
      </c>
      <c r="B327" s="521"/>
      <c r="C327" s="1556" t="s">
        <v>3911</v>
      </c>
      <c r="D327" s="982" t="s">
        <v>65</v>
      </c>
      <c r="E327" s="982" t="s">
        <v>65</v>
      </c>
      <c r="F327" s="1075" t="s">
        <v>3769</v>
      </c>
      <c r="G327" s="472"/>
      <c r="H327" s="2469">
        <v>10000</v>
      </c>
      <c r="I327" s="298">
        <f t="shared" ref="I327:I328" si="126">H327/100000</f>
        <v>0.1</v>
      </c>
      <c r="J327" s="2469">
        <v>80</v>
      </c>
      <c r="K327" s="298">
        <f>I327*J327</f>
        <v>8</v>
      </c>
      <c r="L327" s="2491" t="s">
        <v>5220</v>
      </c>
      <c r="M327" s="2831" t="s">
        <v>5765</v>
      </c>
      <c r="N327" s="3680">
        <v>8</v>
      </c>
      <c r="O327" s="3661"/>
      <c r="P327" s="3661"/>
      <c r="Q327" s="3661"/>
      <c r="R327" s="3661"/>
      <c r="S327" s="3661"/>
      <c r="T327" s="3661"/>
      <c r="U327" s="3661"/>
      <c r="V327" s="3661"/>
      <c r="W327" s="3661"/>
      <c r="X327" s="3661"/>
      <c r="Y327" s="3661"/>
      <c r="Z327" s="3661"/>
      <c r="AA327" s="3661"/>
      <c r="AB327" s="3661"/>
      <c r="AC327" s="3661"/>
      <c r="AD327" s="3661"/>
      <c r="AE327" s="3661"/>
      <c r="AF327" s="3661"/>
      <c r="AG327" s="3661"/>
      <c r="AH327" s="3661"/>
      <c r="AI327" s="3661"/>
      <c r="AJ327" s="3661"/>
      <c r="AK327" s="3661"/>
      <c r="AL327" s="3661"/>
      <c r="AM327" s="3661"/>
      <c r="AN327" s="3661"/>
      <c r="AO327" s="3661"/>
      <c r="AP327" s="3661"/>
      <c r="AQ327" s="3661"/>
      <c r="AR327" s="3661"/>
      <c r="AS327" s="3661"/>
      <c r="AT327" s="3661"/>
      <c r="AU327" s="3661"/>
      <c r="AV327" s="3661"/>
      <c r="AW327" s="3661"/>
      <c r="AX327" s="3609">
        <v>8</v>
      </c>
      <c r="AY327" s="3609"/>
      <c r="AZ327" s="3609"/>
      <c r="BA327" s="3609"/>
      <c r="BB327" s="3609"/>
      <c r="BC327" s="3609"/>
      <c r="BD327" s="3609"/>
      <c r="BE327" s="3609"/>
      <c r="BF327" s="3609"/>
      <c r="BG327" s="3609"/>
      <c r="BH327" s="3609"/>
      <c r="BI327" s="3609"/>
      <c r="BJ327" s="3609"/>
      <c r="BK327" s="3609"/>
      <c r="BL327" s="3609"/>
      <c r="BM327" s="3609"/>
      <c r="BN327" s="3609"/>
      <c r="BO327" s="3609"/>
      <c r="BP327" s="3609"/>
      <c r="BQ327" s="3609"/>
      <c r="BR327" s="3609"/>
      <c r="BS327" s="3609"/>
      <c r="BT327" s="3609"/>
      <c r="BU327" s="3609"/>
      <c r="BV327" s="3609"/>
      <c r="BW327" s="3609"/>
      <c r="BX327" s="3609"/>
      <c r="BY327" s="3609"/>
      <c r="BZ327" s="3609"/>
      <c r="CA327" s="3609"/>
      <c r="CB327" s="3609"/>
      <c r="CC327" s="3609"/>
      <c r="CD327" s="3609"/>
      <c r="CE327" s="3609"/>
      <c r="CF327" s="3609">
        <f t="shared" si="114"/>
        <v>8</v>
      </c>
    </row>
    <row r="328" spans="1:84" ht="37.5" customHeight="1">
      <c r="A328" s="473" t="s">
        <v>1250</v>
      </c>
      <c r="B328" s="521" t="s">
        <v>1251</v>
      </c>
      <c r="C328" s="1480" t="s">
        <v>1252</v>
      </c>
      <c r="D328" s="982" t="s">
        <v>65</v>
      </c>
      <c r="E328" s="982" t="s">
        <v>65</v>
      </c>
      <c r="F328" s="1075" t="s">
        <v>3769</v>
      </c>
      <c r="G328" s="472"/>
      <c r="H328" s="2469">
        <v>200000</v>
      </c>
      <c r="I328" s="298">
        <f t="shared" si="126"/>
        <v>2</v>
      </c>
      <c r="J328" s="283">
        <v>1</v>
      </c>
      <c r="K328" s="298">
        <f t="shared" si="125"/>
        <v>2</v>
      </c>
      <c r="L328" s="2491" t="s">
        <v>5221</v>
      </c>
      <c r="M328" s="2832" t="s">
        <v>5766</v>
      </c>
      <c r="N328" s="3682">
        <v>2</v>
      </c>
      <c r="O328" s="3661"/>
      <c r="P328" s="3661"/>
      <c r="Q328" s="3661"/>
      <c r="R328" s="3661"/>
      <c r="S328" s="3661"/>
      <c r="T328" s="3661"/>
      <c r="U328" s="3661"/>
      <c r="V328" s="3661"/>
      <c r="W328" s="3661"/>
      <c r="X328" s="3661"/>
      <c r="Y328" s="3661"/>
      <c r="Z328" s="3661"/>
      <c r="AA328" s="3661"/>
      <c r="AB328" s="3661"/>
      <c r="AC328" s="3661"/>
      <c r="AD328" s="3661"/>
      <c r="AE328" s="3661"/>
      <c r="AF328" s="3661"/>
      <c r="AG328" s="3661"/>
      <c r="AH328" s="3661"/>
      <c r="AI328" s="3661"/>
      <c r="AJ328" s="3661"/>
      <c r="AK328" s="3661"/>
      <c r="AL328" s="3661"/>
      <c r="AM328" s="3661"/>
      <c r="AN328" s="3661"/>
      <c r="AO328" s="3661"/>
      <c r="AP328" s="3661"/>
      <c r="AQ328" s="3661"/>
      <c r="AR328" s="3661"/>
      <c r="AS328" s="3661"/>
      <c r="AT328" s="3661"/>
      <c r="AU328" s="3661"/>
      <c r="AV328" s="3661"/>
      <c r="AW328" s="3661"/>
      <c r="AX328" s="3609">
        <v>2</v>
      </c>
      <c r="AY328" s="3609"/>
      <c r="AZ328" s="3609"/>
      <c r="BA328" s="3609"/>
      <c r="BB328" s="3609"/>
      <c r="BC328" s="3609"/>
      <c r="BD328" s="3609"/>
      <c r="BE328" s="3609"/>
      <c r="BF328" s="3609"/>
      <c r="BG328" s="3609"/>
      <c r="BH328" s="3609"/>
      <c r="BI328" s="3609"/>
      <c r="BJ328" s="3609"/>
      <c r="BK328" s="3609"/>
      <c r="BL328" s="3609"/>
      <c r="BM328" s="3609"/>
      <c r="BN328" s="3609"/>
      <c r="BO328" s="3609"/>
      <c r="BP328" s="3609"/>
      <c r="BQ328" s="3609"/>
      <c r="BR328" s="3609"/>
      <c r="BS328" s="3609"/>
      <c r="BT328" s="3609"/>
      <c r="BU328" s="3609"/>
      <c r="BV328" s="3609"/>
      <c r="BW328" s="3609"/>
      <c r="BX328" s="3609"/>
      <c r="BY328" s="3609"/>
      <c r="BZ328" s="3609"/>
      <c r="CA328" s="3609"/>
      <c r="CB328" s="3609"/>
      <c r="CC328" s="3609"/>
      <c r="CD328" s="3609"/>
      <c r="CE328" s="3609"/>
      <c r="CF328" s="3609">
        <f t="shared" si="114"/>
        <v>2</v>
      </c>
    </row>
    <row r="329" spans="1:84" ht="37.5" customHeight="1">
      <c r="A329" s="391" t="s">
        <v>1269</v>
      </c>
      <c r="B329" s="521" t="s">
        <v>1267</v>
      </c>
      <c r="C329" s="1075" t="s">
        <v>1268</v>
      </c>
      <c r="D329" s="3226" t="s">
        <v>65</v>
      </c>
      <c r="E329" s="3226" t="s">
        <v>65</v>
      </c>
      <c r="F329" s="3227" t="s">
        <v>5093</v>
      </c>
      <c r="G329" s="3230">
        <v>1</v>
      </c>
      <c r="H329" s="3231">
        <v>9800000</v>
      </c>
      <c r="I329" s="3232">
        <f>H329/100000</f>
        <v>98</v>
      </c>
      <c r="J329" s="3200">
        <v>1</v>
      </c>
      <c r="K329" s="3232">
        <f t="shared" ref="K329:K336" si="127">I329*J329</f>
        <v>98</v>
      </c>
      <c r="L329" s="3233" t="s">
        <v>5310</v>
      </c>
      <c r="M329" s="3135">
        <f>'Ab4. HMIS-MCTS'!Q1466</f>
        <v>0</v>
      </c>
      <c r="N329" s="3683">
        <v>95.97</v>
      </c>
      <c r="O329" s="3661"/>
      <c r="P329" s="3661"/>
      <c r="Q329" s="3661"/>
      <c r="R329" s="3661"/>
      <c r="S329" s="3661"/>
      <c r="T329" s="3661"/>
      <c r="U329" s="3661"/>
      <c r="V329" s="3661"/>
      <c r="W329" s="3661"/>
      <c r="X329" s="3661"/>
      <c r="Y329" s="3661"/>
      <c r="Z329" s="3661"/>
      <c r="AA329" s="3661"/>
      <c r="AB329" s="3661"/>
      <c r="AC329" s="3661"/>
      <c r="AD329" s="3661"/>
      <c r="AE329" s="3661"/>
      <c r="AF329" s="3661"/>
      <c r="AG329" s="3661"/>
      <c r="AH329" s="3661"/>
      <c r="AI329" s="3661"/>
      <c r="AJ329" s="3661"/>
      <c r="AK329" s="3661"/>
      <c r="AL329" s="3661"/>
      <c r="AM329" s="3661"/>
      <c r="AN329" s="3661"/>
      <c r="AO329" s="3661"/>
      <c r="AP329" s="3661"/>
      <c r="AQ329" s="3661"/>
      <c r="AR329" s="3661"/>
      <c r="AS329" s="3661"/>
      <c r="AT329" s="3661"/>
      <c r="AU329" s="3661"/>
      <c r="AV329" s="3661"/>
      <c r="AW329" s="3661"/>
      <c r="AX329" s="3609">
        <v>95.97</v>
      </c>
      <c r="AY329" s="3609"/>
      <c r="AZ329" s="3609"/>
      <c r="BA329" s="3609"/>
      <c r="BB329" s="3609"/>
      <c r="BC329" s="3609"/>
      <c r="BD329" s="3609"/>
      <c r="BE329" s="3609"/>
      <c r="BF329" s="3609"/>
      <c r="BG329" s="3609"/>
      <c r="BH329" s="3609"/>
      <c r="BI329" s="3609"/>
      <c r="BJ329" s="3609"/>
      <c r="BK329" s="3609"/>
      <c r="BL329" s="3609"/>
      <c r="BM329" s="3609"/>
      <c r="BN329" s="3609"/>
      <c r="BO329" s="3609"/>
      <c r="BP329" s="3609"/>
      <c r="BQ329" s="3609"/>
      <c r="BR329" s="3609"/>
      <c r="BS329" s="3609"/>
      <c r="BT329" s="3609"/>
      <c r="BU329" s="3609"/>
      <c r="BV329" s="3609"/>
      <c r="BW329" s="3609"/>
      <c r="BX329" s="3609"/>
      <c r="BY329" s="3609"/>
      <c r="BZ329" s="3609"/>
      <c r="CA329" s="3609"/>
      <c r="CB329" s="3609"/>
      <c r="CC329" s="3609"/>
      <c r="CD329" s="3609"/>
      <c r="CE329" s="3609"/>
      <c r="CF329" s="3610">
        <f t="shared" si="114"/>
        <v>95.97</v>
      </c>
    </row>
    <row r="330" spans="1:84" ht="37.5" customHeight="1">
      <c r="A330" s="391" t="s">
        <v>4000</v>
      </c>
      <c r="B330" s="521" t="s">
        <v>1270</v>
      </c>
      <c r="C330" s="521" t="s">
        <v>1271</v>
      </c>
      <c r="D330" s="1075" t="s">
        <v>85</v>
      </c>
      <c r="E330" s="3707" t="s">
        <v>200</v>
      </c>
      <c r="F330" s="1075" t="s">
        <v>200</v>
      </c>
      <c r="G330" s="2598">
        <v>0</v>
      </c>
      <c r="H330" s="2520">
        <v>200</v>
      </c>
      <c r="I330" s="298">
        <f t="shared" ref="I330:I333" si="128">H330/100000</f>
        <v>2E-3</v>
      </c>
      <c r="J330" s="283">
        <v>2500</v>
      </c>
      <c r="K330" s="298">
        <f t="shared" si="127"/>
        <v>5</v>
      </c>
      <c r="L330" s="2611" t="s">
        <v>5420</v>
      </c>
      <c r="M330" s="3135">
        <f>'Ab1. RMNCH+A'!Q1873</f>
        <v>0</v>
      </c>
      <c r="N330" s="3683">
        <v>5</v>
      </c>
      <c r="O330" s="3661"/>
      <c r="P330" s="3661"/>
      <c r="Q330" s="3661"/>
      <c r="R330" s="3661"/>
      <c r="S330" s="3661"/>
      <c r="T330" s="3661"/>
      <c r="U330" s="3661"/>
      <c r="V330" s="3661"/>
      <c r="W330" s="3661"/>
      <c r="X330" s="3661"/>
      <c r="Y330" s="3661"/>
      <c r="Z330" s="3661"/>
      <c r="AA330" s="3661"/>
      <c r="AB330" s="3661"/>
      <c r="AC330" s="3661"/>
      <c r="AD330" s="3661"/>
      <c r="AE330" s="3661"/>
      <c r="AF330" s="3661"/>
      <c r="AG330" s="3661"/>
      <c r="AH330" s="3661"/>
      <c r="AI330" s="3661"/>
      <c r="AJ330" s="3661"/>
      <c r="AK330" s="3661"/>
      <c r="AL330" s="3661"/>
      <c r="AM330" s="3661"/>
      <c r="AN330" s="3661"/>
      <c r="AO330" s="3661"/>
      <c r="AP330" s="3661"/>
      <c r="AQ330" s="3661"/>
      <c r="AR330" s="3661"/>
      <c r="AS330" s="3661"/>
      <c r="AT330" s="3661"/>
      <c r="AU330" s="3661"/>
      <c r="AV330" s="3661"/>
      <c r="AW330" s="3661"/>
      <c r="AX330" s="3609"/>
      <c r="AY330" s="3609">
        <v>0.15</v>
      </c>
      <c r="AZ330" s="3609">
        <v>0.75</v>
      </c>
      <c r="BA330" s="3609">
        <v>0.15</v>
      </c>
      <c r="BB330" s="3609">
        <v>0.25</v>
      </c>
      <c r="BC330" s="3609">
        <v>0.65</v>
      </c>
      <c r="BD330" s="3609">
        <v>0.25</v>
      </c>
      <c r="BE330" s="3609">
        <v>0.25</v>
      </c>
      <c r="BF330" s="3609">
        <v>0.75</v>
      </c>
      <c r="BG330" s="3609">
        <v>0.8</v>
      </c>
      <c r="BH330" s="3609">
        <v>0.65</v>
      </c>
      <c r="BI330" s="3609">
        <v>0.2</v>
      </c>
      <c r="BJ330" s="3609">
        <v>0.15</v>
      </c>
      <c r="BK330" s="3609"/>
      <c r="BL330" s="3609"/>
      <c r="BM330" s="3609"/>
      <c r="BN330" s="3609"/>
      <c r="BO330" s="3609"/>
      <c r="BP330" s="3609"/>
      <c r="BQ330" s="3609"/>
      <c r="BR330" s="3609"/>
      <c r="BS330" s="3609"/>
      <c r="BT330" s="3609"/>
      <c r="BU330" s="3609"/>
      <c r="BV330" s="3609"/>
      <c r="BW330" s="3609"/>
      <c r="BX330" s="3609"/>
      <c r="BY330" s="3609"/>
      <c r="BZ330" s="3609"/>
      <c r="CA330" s="3609"/>
      <c r="CB330" s="3609"/>
      <c r="CC330" s="3609"/>
      <c r="CD330" s="3609"/>
      <c r="CE330" s="3609"/>
      <c r="CF330" s="3610">
        <f t="shared" si="114"/>
        <v>5.0000000000000009</v>
      </c>
    </row>
    <row r="331" spans="1:84" ht="37.5" customHeight="1">
      <c r="A331" s="391" t="s">
        <v>1278</v>
      </c>
      <c r="B331" s="521" t="s">
        <v>1273</v>
      </c>
      <c r="C331" s="521" t="s">
        <v>1274</v>
      </c>
      <c r="D331" s="1075" t="s">
        <v>85</v>
      </c>
      <c r="E331" s="3707" t="s">
        <v>200</v>
      </c>
      <c r="F331" s="1075" t="s">
        <v>200</v>
      </c>
      <c r="G331" s="2598">
        <v>1</v>
      </c>
      <c r="H331" s="2520">
        <v>90</v>
      </c>
      <c r="I331" s="298">
        <f t="shared" si="128"/>
        <v>8.9999999999999998E-4</v>
      </c>
      <c r="J331" s="283">
        <v>8500</v>
      </c>
      <c r="K331" s="298">
        <f t="shared" si="127"/>
        <v>7.6499999999999995</v>
      </c>
      <c r="L331" s="2611" t="s">
        <v>5421</v>
      </c>
      <c r="M331" s="3135">
        <f>'Ab1. RMNCH+A'!Q1875</f>
        <v>0</v>
      </c>
      <c r="N331" s="3683">
        <v>7.65</v>
      </c>
      <c r="O331" s="3661"/>
      <c r="P331" s="3661"/>
      <c r="Q331" s="3661"/>
      <c r="R331" s="3661"/>
      <c r="S331" s="3661"/>
      <c r="T331" s="3661"/>
      <c r="U331" s="3661"/>
      <c r="V331" s="3661"/>
      <c r="W331" s="3661"/>
      <c r="X331" s="3661"/>
      <c r="Y331" s="3661"/>
      <c r="Z331" s="3661"/>
      <c r="AA331" s="3661"/>
      <c r="AB331" s="3661"/>
      <c r="AC331" s="3661"/>
      <c r="AD331" s="3661"/>
      <c r="AE331" s="3661"/>
      <c r="AF331" s="3661"/>
      <c r="AG331" s="3661"/>
      <c r="AH331" s="3661"/>
      <c r="AI331" s="3661"/>
      <c r="AJ331" s="3661"/>
      <c r="AK331" s="3661"/>
      <c r="AL331" s="3661"/>
      <c r="AM331" s="3661"/>
      <c r="AN331" s="3661"/>
      <c r="AO331" s="3661"/>
      <c r="AP331" s="3661"/>
      <c r="AQ331" s="3661"/>
      <c r="AR331" s="3661"/>
      <c r="AS331" s="3661"/>
      <c r="AT331" s="3661"/>
      <c r="AU331" s="3661"/>
      <c r="AV331" s="3661"/>
      <c r="AW331" s="3661"/>
      <c r="AX331" s="3609"/>
      <c r="AY331" s="3609">
        <v>0.49</v>
      </c>
      <c r="AZ331" s="3609">
        <v>0.62</v>
      </c>
      <c r="BA331" s="3609">
        <v>0.51</v>
      </c>
      <c r="BB331" s="3609">
        <v>1.38</v>
      </c>
      <c r="BC331" s="3609">
        <v>0.12</v>
      </c>
      <c r="BD331" s="3609">
        <v>0.51</v>
      </c>
      <c r="BE331" s="3609">
        <v>0.03</v>
      </c>
      <c r="BF331" s="3609">
        <v>0.99</v>
      </c>
      <c r="BG331" s="3609">
        <v>1.19</v>
      </c>
      <c r="BH331" s="3609">
        <v>0.56000000000000005</v>
      </c>
      <c r="BI331" s="3609">
        <v>0.63</v>
      </c>
      <c r="BJ331" s="3609">
        <v>0.62</v>
      </c>
      <c r="BK331" s="3609"/>
      <c r="BL331" s="3609"/>
      <c r="BM331" s="3609"/>
      <c r="BN331" s="3609"/>
      <c r="BO331" s="3609"/>
      <c r="BP331" s="3609"/>
      <c r="BQ331" s="3609"/>
      <c r="BR331" s="3609"/>
      <c r="BS331" s="3609"/>
      <c r="BT331" s="3609"/>
      <c r="BU331" s="3609"/>
      <c r="BV331" s="3609"/>
      <c r="BW331" s="3609"/>
      <c r="BX331" s="3609"/>
      <c r="BY331" s="3609"/>
      <c r="BZ331" s="3609"/>
      <c r="CA331" s="3609"/>
      <c r="CB331" s="3609"/>
      <c r="CC331" s="3609"/>
      <c r="CD331" s="3609"/>
      <c r="CE331" s="3609"/>
      <c r="CF331" s="3610">
        <f t="shared" si="114"/>
        <v>7.65</v>
      </c>
    </row>
    <row r="332" spans="1:84" ht="37.5" customHeight="1">
      <c r="A332" s="391" t="s">
        <v>1281</v>
      </c>
      <c r="B332" s="521" t="s">
        <v>1276</v>
      </c>
      <c r="C332" s="521" t="s">
        <v>1277</v>
      </c>
      <c r="D332" s="1075" t="s">
        <v>85</v>
      </c>
      <c r="E332" s="3707" t="s">
        <v>200</v>
      </c>
      <c r="F332" s="1075" t="s">
        <v>200</v>
      </c>
      <c r="G332" s="2598">
        <v>1</v>
      </c>
      <c r="H332" s="2520">
        <v>200000</v>
      </c>
      <c r="I332" s="298">
        <f t="shared" si="128"/>
        <v>2</v>
      </c>
      <c r="J332" s="283">
        <v>12</v>
      </c>
      <c r="K332" s="298">
        <f t="shared" si="127"/>
        <v>24</v>
      </c>
      <c r="L332" s="2611" t="s">
        <v>5422</v>
      </c>
      <c r="M332" s="3135">
        <f>'Ab1. RMNCH+A'!Q1876</f>
        <v>0</v>
      </c>
      <c r="N332" s="3683">
        <v>24</v>
      </c>
      <c r="O332" s="3661"/>
      <c r="P332" s="3661"/>
      <c r="Q332" s="3661"/>
      <c r="R332" s="3661"/>
      <c r="S332" s="3661"/>
      <c r="T332" s="3661"/>
      <c r="U332" s="3661"/>
      <c r="V332" s="3661"/>
      <c r="W332" s="3661"/>
      <c r="X332" s="3661"/>
      <c r="Y332" s="3661"/>
      <c r="Z332" s="3661"/>
      <c r="AA332" s="3661"/>
      <c r="AB332" s="3661"/>
      <c r="AC332" s="3661"/>
      <c r="AD332" s="3661"/>
      <c r="AE332" s="3661"/>
      <c r="AF332" s="3661"/>
      <c r="AG332" s="3661"/>
      <c r="AH332" s="3661"/>
      <c r="AI332" s="3661"/>
      <c r="AJ332" s="3661"/>
      <c r="AK332" s="3661"/>
      <c r="AL332" s="3661"/>
      <c r="AM332" s="3661"/>
      <c r="AN332" s="3661"/>
      <c r="AO332" s="3661"/>
      <c r="AP332" s="3661"/>
      <c r="AQ332" s="3661"/>
      <c r="AR332" s="3661"/>
      <c r="AS332" s="3661"/>
      <c r="AT332" s="3661"/>
      <c r="AU332" s="3661"/>
      <c r="AV332" s="3661"/>
      <c r="AW332" s="3661"/>
      <c r="AX332" s="3609"/>
      <c r="AY332" s="3609">
        <v>2</v>
      </c>
      <c r="AZ332" s="3609">
        <v>2</v>
      </c>
      <c r="BA332" s="3609">
        <v>2</v>
      </c>
      <c r="BB332" s="3609">
        <v>2</v>
      </c>
      <c r="BC332" s="3609">
        <v>2</v>
      </c>
      <c r="BD332" s="3609">
        <v>2</v>
      </c>
      <c r="BE332" s="3609">
        <v>2</v>
      </c>
      <c r="BF332" s="3609">
        <v>2</v>
      </c>
      <c r="BG332" s="3609">
        <v>2</v>
      </c>
      <c r="BH332" s="3609">
        <v>2</v>
      </c>
      <c r="BI332" s="3609">
        <v>2</v>
      </c>
      <c r="BJ332" s="3609">
        <v>2</v>
      </c>
      <c r="BK332" s="3609"/>
      <c r="BL332" s="3609"/>
      <c r="BM332" s="3609"/>
      <c r="BN332" s="3609"/>
      <c r="BO332" s="3609"/>
      <c r="BP332" s="3609"/>
      <c r="BQ332" s="3609"/>
      <c r="BR332" s="3609"/>
      <c r="BS332" s="3609"/>
      <c r="BT332" s="3609"/>
      <c r="BU332" s="3609"/>
      <c r="BV332" s="3609"/>
      <c r="BW332" s="3609"/>
      <c r="BX332" s="3609"/>
      <c r="BY332" s="3609"/>
      <c r="BZ332" s="3609"/>
      <c r="CA332" s="3609"/>
      <c r="CB332" s="3609"/>
      <c r="CC332" s="3609"/>
      <c r="CD332" s="3609"/>
      <c r="CE332" s="3609"/>
      <c r="CF332" s="3610">
        <f t="shared" si="114"/>
        <v>24</v>
      </c>
    </row>
    <row r="333" spans="1:84" ht="37.5" customHeight="1">
      <c r="A333" s="391" t="s">
        <v>1285</v>
      </c>
      <c r="B333" s="521" t="s">
        <v>1282</v>
      </c>
      <c r="C333" s="521" t="s">
        <v>4012</v>
      </c>
      <c r="D333" s="1075" t="s">
        <v>85</v>
      </c>
      <c r="E333" s="3707" t="s">
        <v>200</v>
      </c>
      <c r="F333" s="1075" t="s">
        <v>200</v>
      </c>
      <c r="G333" s="472"/>
      <c r="H333" s="283">
        <v>5231000</v>
      </c>
      <c r="I333" s="298">
        <f t="shared" si="128"/>
        <v>52.31</v>
      </c>
      <c r="J333" s="283">
        <v>1</v>
      </c>
      <c r="K333" s="298">
        <f t="shared" si="127"/>
        <v>52.31</v>
      </c>
      <c r="L333" s="3766"/>
      <c r="M333" s="3767">
        <f>'Ab1. RMNCH+A'!Q1878</f>
        <v>0</v>
      </c>
      <c r="N333" s="3683">
        <v>35.200000000000003</v>
      </c>
      <c r="O333" s="3661">
        <v>2.6</v>
      </c>
      <c r="P333" s="3661"/>
      <c r="Q333" s="3661"/>
      <c r="R333" s="3661"/>
      <c r="S333" s="3661"/>
      <c r="T333" s="3661"/>
      <c r="U333" s="3661"/>
      <c r="V333" s="3661"/>
      <c r="W333" s="3661"/>
      <c r="X333" s="3661"/>
      <c r="Y333" s="3661"/>
      <c r="Z333" s="3661"/>
      <c r="AA333" s="3661"/>
      <c r="AB333" s="3661"/>
      <c r="AC333" s="3661"/>
      <c r="AD333" s="3661"/>
      <c r="AE333" s="3661"/>
      <c r="AF333" s="3661"/>
      <c r="AG333" s="3661"/>
      <c r="AH333" s="3661"/>
      <c r="AI333" s="3661"/>
      <c r="AJ333" s="3661"/>
      <c r="AK333" s="3661"/>
      <c r="AL333" s="3661"/>
      <c r="AM333" s="3661"/>
      <c r="AN333" s="3661"/>
      <c r="AO333" s="3661"/>
      <c r="AP333" s="3661"/>
      <c r="AQ333" s="3661"/>
      <c r="AR333" s="3661"/>
      <c r="AS333" s="3661"/>
      <c r="AT333" s="3661"/>
      <c r="AU333" s="3661"/>
      <c r="AV333" s="3661"/>
      <c r="AW333" s="3661"/>
      <c r="AX333" s="3609">
        <v>35.200000000000003</v>
      </c>
      <c r="AY333" s="3609"/>
      <c r="AZ333" s="3609"/>
      <c r="BA333" s="3609"/>
      <c r="BB333" s="3609"/>
      <c r="BC333" s="3609"/>
      <c r="BD333" s="3609"/>
      <c r="BE333" s="3609"/>
      <c r="BF333" s="3609"/>
      <c r="BG333" s="3609"/>
      <c r="BH333" s="3609"/>
      <c r="BI333" s="3609"/>
      <c r="BJ333" s="3609"/>
      <c r="BK333" s="3609"/>
      <c r="BL333" s="3609"/>
      <c r="BM333" s="3609"/>
      <c r="BN333" s="3609"/>
      <c r="BO333" s="3629"/>
      <c r="BP333" s="3629"/>
      <c r="BQ333" s="3629"/>
      <c r="BR333" s="3629"/>
      <c r="BS333" s="3629"/>
      <c r="BT333" s="3629"/>
      <c r="BU333" s="3629"/>
      <c r="BV333" s="3629"/>
      <c r="BW333" s="3629"/>
      <c r="BX333" s="3629"/>
      <c r="BY333" s="3629"/>
      <c r="BZ333" s="3629"/>
      <c r="CA333" s="3629"/>
      <c r="CB333" s="3629"/>
      <c r="CC333" s="3629"/>
      <c r="CD333" s="3629"/>
      <c r="CE333" s="3629"/>
      <c r="CF333" s="3629">
        <f t="shared" si="114"/>
        <v>35.200000000000003</v>
      </c>
    </row>
    <row r="334" spans="1:84" ht="37.5" customHeight="1">
      <c r="A334" s="391" t="s">
        <v>2404</v>
      </c>
      <c r="B334" s="521" t="s">
        <v>1289</v>
      </c>
      <c r="C334" s="521" t="s">
        <v>3770</v>
      </c>
      <c r="D334" s="2254" t="s">
        <v>4219</v>
      </c>
      <c r="E334" s="2254" t="s">
        <v>4525</v>
      </c>
      <c r="F334" s="1356" t="s">
        <v>4525</v>
      </c>
      <c r="G334" s="2395">
        <v>1</v>
      </c>
      <c r="H334" s="2368">
        <v>5000</v>
      </c>
      <c r="I334" s="298">
        <f>H334/100000</f>
        <v>0.05</v>
      </c>
      <c r="J334" s="2368">
        <v>74</v>
      </c>
      <c r="K334" s="298">
        <f t="shared" si="127"/>
        <v>3.7</v>
      </c>
      <c r="L334" s="2397" t="s">
        <v>5177</v>
      </c>
      <c r="M334" s="1703">
        <f>'Abs11. NTEP'!Q1496</f>
        <v>0</v>
      </c>
      <c r="N334" s="3232">
        <v>3.7</v>
      </c>
      <c r="O334" s="3661"/>
      <c r="P334" s="3661"/>
      <c r="Q334" s="3661"/>
      <c r="R334" s="3661"/>
      <c r="S334" s="3661"/>
      <c r="T334" s="3661"/>
      <c r="U334" s="3661"/>
      <c r="V334" s="3661"/>
      <c r="W334" s="3661"/>
      <c r="X334" s="3661"/>
      <c r="Y334" s="3661"/>
      <c r="Z334" s="3661"/>
      <c r="AA334" s="3661"/>
      <c r="AB334" s="3661"/>
      <c r="AC334" s="3661"/>
      <c r="AD334" s="3661"/>
      <c r="AE334" s="3661"/>
      <c r="AF334" s="3661"/>
      <c r="AG334" s="3661"/>
      <c r="AH334" s="3661"/>
      <c r="AI334" s="3661"/>
      <c r="AJ334" s="3661"/>
      <c r="AK334" s="3661"/>
      <c r="AL334" s="3661"/>
      <c r="AM334" s="3661"/>
      <c r="AN334" s="3661"/>
      <c r="AO334" s="3661"/>
      <c r="AP334" s="3661"/>
      <c r="AQ334" s="3661"/>
      <c r="AR334" s="3661"/>
      <c r="AS334" s="3661"/>
      <c r="AT334" s="3661"/>
      <c r="AU334" s="3661"/>
      <c r="AV334" s="3661"/>
      <c r="AW334" s="3661"/>
      <c r="AX334" s="3609"/>
      <c r="AY334" s="3609"/>
      <c r="AZ334" s="3609"/>
      <c r="BA334" s="3609"/>
      <c r="BB334" s="3609"/>
      <c r="BC334" s="3609"/>
      <c r="BD334" s="3609"/>
      <c r="BE334" s="3609"/>
      <c r="BF334" s="3609"/>
      <c r="BG334" s="3609"/>
      <c r="BH334" s="3609"/>
      <c r="BI334" s="3609"/>
      <c r="BJ334" s="3609"/>
      <c r="BK334" s="3609"/>
      <c r="BL334" s="3609"/>
      <c r="BM334" s="3609"/>
      <c r="BN334" s="3609"/>
      <c r="BO334" s="3609"/>
      <c r="BP334" s="3609"/>
      <c r="BQ334" s="3609"/>
      <c r="BR334" s="3609"/>
      <c r="BS334" s="3609"/>
      <c r="BT334" s="3609"/>
      <c r="BU334" s="3609"/>
      <c r="BV334" s="3609"/>
      <c r="BW334" s="3609"/>
      <c r="BX334" s="3609"/>
      <c r="BY334" s="3609"/>
      <c r="BZ334" s="3609"/>
      <c r="CA334" s="3609">
        <v>3.7</v>
      </c>
      <c r="CB334" s="3609"/>
      <c r="CC334" s="3609"/>
      <c r="CD334" s="3609"/>
      <c r="CE334" s="3609"/>
      <c r="CF334" s="3610">
        <f t="shared" si="114"/>
        <v>3.7</v>
      </c>
    </row>
    <row r="335" spans="1:84" ht="37.5" customHeight="1">
      <c r="A335" s="391" t="s">
        <v>2578</v>
      </c>
      <c r="B335" s="1697" t="s">
        <v>2224</v>
      </c>
      <c r="C335" s="1697" t="s">
        <v>2271</v>
      </c>
      <c r="D335" s="2254" t="s">
        <v>4219</v>
      </c>
      <c r="E335" s="2254" t="s">
        <v>4525</v>
      </c>
      <c r="F335" s="1356" t="s">
        <v>4525</v>
      </c>
      <c r="G335" s="2395">
        <v>1</v>
      </c>
      <c r="H335" s="2368">
        <v>100000</v>
      </c>
      <c r="I335" s="298">
        <f>H335/100000</f>
        <v>1</v>
      </c>
      <c r="J335" s="2368">
        <v>2</v>
      </c>
      <c r="K335" s="298">
        <f t="shared" si="127"/>
        <v>2</v>
      </c>
      <c r="L335" s="2399" t="s">
        <v>5178</v>
      </c>
      <c r="M335" s="1703">
        <f>'Abs11. NTEP'!Q1497</f>
        <v>0</v>
      </c>
      <c r="N335" s="3232">
        <v>2</v>
      </c>
      <c r="O335" s="3661"/>
      <c r="P335" s="3661"/>
      <c r="Q335" s="3661"/>
      <c r="R335" s="3661"/>
      <c r="S335" s="3661"/>
      <c r="T335" s="3661"/>
      <c r="U335" s="3661"/>
      <c r="V335" s="3661"/>
      <c r="W335" s="3661"/>
      <c r="X335" s="3661"/>
      <c r="Y335" s="3661"/>
      <c r="Z335" s="3661"/>
      <c r="AA335" s="3661"/>
      <c r="AB335" s="3661"/>
      <c r="AC335" s="3661"/>
      <c r="AD335" s="3661"/>
      <c r="AE335" s="3661"/>
      <c r="AF335" s="3661"/>
      <c r="AG335" s="3661"/>
      <c r="AH335" s="3661"/>
      <c r="AI335" s="3661"/>
      <c r="AJ335" s="3661"/>
      <c r="AK335" s="3661"/>
      <c r="AL335" s="3661"/>
      <c r="AM335" s="3661"/>
      <c r="AN335" s="3661"/>
      <c r="AO335" s="3661"/>
      <c r="AP335" s="3661"/>
      <c r="AQ335" s="3661"/>
      <c r="AR335" s="3661"/>
      <c r="AS335" s="3661"/>
      <c r="AT335" s="3661"/>
      <c r="AU335" s="3661"/>
      <c r="AV335" s="3661"/>
      <c r="AW335" s="3661"/>
      <c r="AX335" s="3609"/>
      <c r="AY335" s="3609"/>
      <c r="AZ335" s="3609"/>
      <c r="BA335" s="3609"/>
      <c r="BB335" s="3609"/>
      <c r="BC335" s="3609"/>
      <c r="BD335" s="3609"/>
      <c r="BE335" s="3609"/>
      <c r="BF335" s="3609"/>
      <c r="BG335" s="3609"/>
      <c r="BH335" s="3609"/>
      <c r="BI335" s="3609"/>
      <c r="BJ335" s="3609"/>
      <c r="BK335" s="3609"/>
      <c r="BL335" s="3609"/>
      <c r="BM335" s="3609"/>
      <c r="BN335" s="3609"/>
      <c r="BO335" s="3609"/>
      <c r="BP335" s="3609"/>
      <c r="BQ335" s="3609"/>
      <c r="BR335" s="3609"/>
      <c r="BS335" s="3609"/>
      <c r="BT335" s="3609"/>
      <c r="BU335" s="3609"/>
      <c r="BV335" s="3609"/>
      <c r="BW335" s="3609"/>
      <c r="BX335" s="3609"/>
      <c r="BY335" s="3609"/>
      <c r="BZ335" s="3609"/>
      <c r="CA335" s="3609">
        <v>2</v>
      </c>
      <c r="CB335" s="3609"/>
      <c r="CC335" s="3609"/>
      <c r="CD335" s="3609"/>
      <c r="CE335" s="3609"/>
      <c r="CF335" s="3610">
        <f t="shared" si="114"/>
        <v>2</v>
      </c>
    </row>
    <row r="336" spans="1:84" ht="37.5" customHeight="1">
      <c r="A336" s="391" t="s">
        <v>2579</v>
      </c>
      <c r="B336" s="1697"/>
      <c r="C336" s="1697" t="s">
        <v>4271</v>
      </c>
      <c r="D336" s="2254" t="s">
        <v>4219</v>
      </c>
      <c r="E336" s="2254" t="s">
        <v>3223</v>
      </c>
      <c r="F336" s="1356" t="s">
        <v>3223</v>
      </c>
      <c r="G336" s="352"/>
      <c r="H336" s="283">
        <v>2000</v>
      </c>
      <c r="I336" s="298">
        <f>H336/100000</f>
        <v>0.02</v>
      </c>
      <c r="J336" s="283">
        <v>60</v>
      </c>
      <c r="K336" s="298">
        <f t="shared" si="127"/>
        <v>1.2</v>
      </c>
      <c r="L336" s="2633" t="s">
        <v>5453</v>
      </c>
      <c r="M336" s="1703">
        <f>'Abs12. NVHCP'!Q1484</f>
        <v>0</v>
      </c>
      <c r="N336" s="3232">
        <v>1.2</v>
      </c>
      <c r="O336" s="3661"/>
      <c r="P336" s="3661"/>
      <c r="Q336" s="3661"/>
      <c r="R336" s="3661"/>
      <c r="S336" s="3661"/>
      <c r="T336" s="3661"/>
      <c r="U336" s="3661"/>
      <c r="V336" s="3661"/>
      <c r="W336" s="3661"/>
      <c r="X336" s="3661"/>
      <c r="Y336" s="3661"/>
      <c r="Z336" s="3661"/>
      <c r="AA336" s="3661"/>
      <c r="AB336" s="3661"/>
      <c r="AC336" s="3661"/>
      <c r="AD336" s="3661"/>
      <c r="AE336" s="3661"/>
      <c r="AF336" s="3661"/>
      <c r="AG336" s="3661"/>
      <c r="AH336" s="3661"/>
      <c r="AI336" s="3661"/>
      <c r="AJ336" s="3661"/>
      <c r="AK336" s="3661"/>
      <c r="AL336" s="3661"/>
      <c r="AM336" s="3661"/>
      <c r="AN336" s="3661"/>
      <c r="AO336" s="3661"/>
      <c r="AP336" s="3661"/>
      <c r="AQ336" s="3661"/>
      <c r="AR336" s="3661"/>
      <c r="AS336" s="3661"/>
      <c r="AT336" s="3661"/>
      <c r="AU336" s="3661"/>
      <c r="AV336" s="3661"/>
      <c r="AW336" s="3661"/>
      <c r="AX336" s="3609"/>
      <c r="AY336" s="3609">
        <v>0.12</v>
      </c>
      <c r="AZ336" s="3609">
        <v>0.12</v>
      </c>
      <c r="BA336" s="3609">
        <v>0.12</v>
      </c>
      <c r="BB336" s="3609">
        <v>0.12</v>
      </c>
      <c r="BC336" s="3609">
        <v>0</v>
      </c>
      <c r="BD336" s="3609">
        <v>0.12</v>
      </c>
      <c r="BE336" s="3609">
        <v>0</v>
      </c>
      <c r="BF336" s="3609">
        <v>0.12</v>
      </c>
      <c r="BG336" s="3609">
        <v>0.12</v>
      </c>
      <c r="BH336" s="3609">
        <v>0.12</v>
      </c>
      <c r="BI336" s="3609">
        <v>0.12</v>
      </c>
      <c r="BJ336" s="3609">
        <v>0.12</v>
      </c>
      <c r="BK336" s="3609"/>
      <c r="BL336" s="3609"/>
      <c r="BM336" s="3609"/>
      <c r="BN336" s="3609"/>
      <c r="BO336" s="3609"/>
      <c r="BP336" s="3609"/>
      <c r="BQ336" s="3609"/>
      <c r="BR336" s="3609"/>
      <c r="BS336" s="3609"/>
      <c r="BT336" s="3609"/>
      <c r="BU336" s="3609"/>
      <c r="BV336" s="3609"/>
      <c r="BW336" s="3609"/>
      <c r="BX336" s="3609"/>
      <c r="BY336" s="3609"/>
      <c r="BZ336" s="3609"/>
      <c r="CA336" s="3609"/>
      <c r="CB336" s="3609"/>
      <c r="CC336" s="3609"/>
      <c r="CD336" s="3609"/>
      <c r="CE336" s="3609"/>
      <c r="CF336" s="3610">
        <f t="shared" si="114"/>
        <v>1.2000000000000002</v>
      </c>
    </row>
    <row r="337" spans="1:84" ht="37.5" customHeight="1">
      <c r="A337" s="1719" t="s">
        <v>4836</v>
      </c>
      <c r="B337" s="521" t="s">
        <v>2334</v>
      </c>
      <c r="C337" s="586" t="s">
        <v>4838</v>
      </c>
      <c r="D337" s="982" t="s">
        <v>65</v>
      </c>
      <c r="E337" s="982" t="s">
        <v>65</v>
      </c>
      <c r="F337" s="1734" t="s">
        <v>65</v>
      </c>
      <c r="G337" s="674"/>
      <c r="H337" s="2477">
        <v>2646000</v>
      </c>
      <c r="I337" s="298">
        <f t="shared" ref="I337" si="129">H337/100000</f>
        <v>26.46</v>
      </c>
      <c r="J337" s="283">
        <v>1</v>
      </c>
      <c r="K337" s="298">
        <f t="shared" ref="K337" si="130">I337*J337</f>
        <v>26.46</v>
      </c>
      <c r="L337" s="2495"/>
      <c r="M337" s="3768"/>
      <c r="N337" s="3769">
        <f>((1*60000*12)+(3*40000*12)+(4*7500*12))/100000+1.26</f>
        <v>26.46</v>
      </c>
      <c r="O337" s="3684">
        <v>26.46</v>
      </c>
      <c r="P337" s="3684"/>
      <c r="Q337" s="3684"/>
      <c r="R337" s="3684"/>
      <c r="S337" s="3684"/>
      <c r="T337" s="3684"/>
      <c r="U337" s="3684"/>
      <c r="V337" s="3684"/>
      <c r="W337" s="3684"/>
      <c r="X337" s="3684"/>
      <c r="Y337" s="3684"/>
      <c r="Z337" s="3684"/>
      <c r="AA337" s="3684"/>
      <c r="AB337" s="3684"/>
      <c r="AC337" s="3684"/>
      <c r="AD337" s="3684"/>
      <c r="AE337" s="3684"/>
      <c r="AF337" s="3684"/>
      <c r="AG337" s="3684"/>
      <c r="AH337" s="3684"/>
      <c r="AI337" s="3684"/>
      <c r="AJ337" s="3684"/>
      <c r="AK337" s="3684"/>
      <c r="AL337" s="3684"/>
      <c r="AM337" s="3684"/>
      <c r="AN337" s="3684"/>
      <c r="AO337" s="3684"/>
      <c r="AP337" s="3684"/>
      <c r="AQ337" s="3684"/>
      <c r="AR337" s="3684"/>
      <c r="AS337" s="3684"/>
      <c r="AT337" s="3684"/>
      <c r="AU337" s="3684"/>
      <c r="AV337" s="3684"/>
      <c r="AW337" s="3684"/>
      <c r="AX337" s="3630">
        <v>26.46</v>
      </c>
      <c r="AY337" s="3630"/>
      <c r="AZ337" s="3630"/>
      <c r="BA337" s="3630"/>
      <c r="BB337" s="3630"/>
      <c r="BC337" s="3630"/>
      <c r="BD337" s="3630"/>
      <c r="BE337" s="3630"/>
      <c r="BF337" s="3630"/>
      <c r="BG337" s="3630"/>
      <c r="BH337" s="3630"/>
      <c r="BI337" s="3630"/>
      <c r="BJ337" s="3630"/>
      <c r="BK337" s="3630"/>
      <c r="BL337" s="3630"/>
      <c r="BM337" s="3630"/>
      <c r="BN337" s="3630"/>
      <c r="BO337" s="3583"/>
      <c r="BP337" s="3583"/>
      <c r="BQ337" s="3583"/>
      <c r="BR337" s="3583"/>
      <c r="BS337" s="3583"/>
      <c r="BT337" s="3583"/>
      <c r="BU337" s="3583"/>
      <c r="BV337" s="3583"/>
      <c r="BW337" s="3583"/>
      <c r="BX337" s="3583"/>
      <c r="BY337" s="3583"/>
      <c r="BZ337" s="3583"/>
      <c r="CA337" s="3583"/>
      <c r="CB337" s="3583"/>
      <c r="CC337" s="3583"/>
      <c r="CD337" s="3583"/>
      <c r="CE337" s="3583"/>
      <c r="CF337" s="3583">
        <f t="shared" si="114"/>
        <v>26.46</v>
      </c>
    </row>
    <row r="338" spans="1:84" ht="37.5" customHeight="1">
      <c r="A338" s="2400" t="s">
        <v>4852</v>
      </c>
      <c r="B338" s="1719" t="s">
        <v>3771</v>
      </c>
      <c r="C338" s="1729" t="s">
        <v>5096</v>
      </c>
      <c r="D338" s="2254" t="s">
        <v>4219</v>
      </c>
      <c r="E338" s="2254" t="s">
        <v>4525</v>
      </c>
      <c r="F338" s="1356" t="s">
        <v>4525</v>
      </c>
      <c r="G338" s="2405">
        <v>1</v>
      </c>
      <c r="H338" s="2368">
        <v>43000</v>
      </c>
      <c r="I338" s="298">
        <f>H338/100000</f>
        <v>0.43</v>
      </c>
      <c r="J338" s="2368">
        <v>20</v>
      </c>
      <c r="K338" s="298">
        <f>I338*J338</f>
        <v>8.6</v>
      </c>
      <c r="L338" s="2406" t="s">
        <v>5179</v>
      </c>
      <c r="M338" s="3236">
        <f>'Abs11. NTEP'!Q1526</f>
        <v>0</v>
      </c>
      <c r="N338" s="3683">
        <v>8.6</v>
      </c>
      <c r="O338" s="3684"/>
      <c r="P338" s="3684"/>
      <c r="Q338" s="3684"/>
      <c r="R338" s="3684"/>
      <c r="S338" s="3684"/>
      <c r="T338" s="3684"/>
      <c r="U338" s="3684"/>
      <c r="V338" s="3684"/>
      <c r="W338" s="3684"/>
      <c r="X338" s="3684"/>
      <c r="Y338" s="3684"/>
      <c r="Z338" s="3684"/>
      <c r="AA338" s="3684"/>
      <c r="AB338" s="3684"/>
      <c r="AC338" s="3684"/>
      <c r="AD338" s="3684"/>
      <c r="AE338" s="3684"/>
      <c r="AF338" s="3684"/>
      <c r="AG338" s="3684"/>
      <c r="AH338" s="3684"/>
      <c r="AI338" s="3684"/>
      <c r="AJ338" s="3684"/>
      <c r="AK338" s="3684"/>
      <c r="AL338" s="3684"/>
      <c r="AM338" s="3684"/>
      <c r="AN338" s="3684"/>
      <c r="AO338" s="3684"/>
      <c r="AP338" s="3684"/>
      <c r="AQ338" s="3684"/>
      <c r="AR338" s="3684"/>
      <c r="AS338" s="3684"/>
      <c r="AT338" s="3684"/>
      <c r="AU338" s="3684"/>
      <c r="AV338" s="3684"/>
      <c r="AW338" s="3684"/>
      <c r="AX338" s="3630"/>
      <c r="AY338" s="3630">
        <v>0.2</v>
      </c>
      <c r="AZ338" s="3630">
        <v>0.2</v>
      </c>
      <c r="BA338" s="3630">
        <v>0.2</v>
      </c>
      <c r="BB338" s="3630">
        <v>3.1</v>
      </c>
      <c r="BC338" s="3630">
        <v>0</v>
      </c>
      <c r="BD338" s="3630">
        <v>0.4</v>
      </c>
      <c r="BE338" s="3630">
        <v>0</v>
      </c>
      <c r="BF338" s="3630">
        <v>0.6</v>
      </c>
      <c r="BG338" s="3630">
        <v>0.8</v>
      </c>
      <c r="BH338" s="3630">
        <v>0.2</v>
      </c>
      <c r="BI338" s="3630">
        <v>2.7</v>
      </c>
      <c r="BJ338" s="3630">
        <v>0.2</v>
      </c>
      <c r="BK338" s="3630"/>
      <c r="BL338" s="3630"/>
      <c r="BM338" s="3630"/>
      <c r="BN338" s="3630"/>
      <c r="BO338" s="3630"/>
      <c r="BP338" s="3630"/>
      <c r="BQ338" s="3630"/>
      <c r="BR338" s="3630"/>
      <c r="BS338" s="3630"/>
      <c r="BT338" s="3630"/>
      <c r="BU338" s="3630"/>
      <c r="BV338" s="3630"/>
      <c r="BW338" s="3630"/>
      <c r="BX338" s="3630"/>
      <c r="BY338" s="3630"/>
      <c r="BZ338" s="3630"/>
      <c r="CA338" s="3630"/>
      <c r="CB338" s="3630"/>
      <c r="CC338" s="3630"/>
      <c r="CD338" s="3630"/>
      <c r="CE338" s="3630"/>
      <c r="CF338" s="3583">
        <f t="shared" si="114"/>
        <v>8.6</v>
      </c>
    </row>
    <row r="339" spans="1:84" ht="37.5" customHeight="1">
      <c r="A339" s="3139" t="s">
        <v>5095</v>
      </c>
      <c r="B339" s="1310" t="s">
        <v>4850</v>
      </c>
      <c r="C339" s="1031" t="s">
        <v>3928</v>
      </c>
      <c r="D339" s="2254" t="s">
        <v>4219</v>
      </c>
      <c r="E339" s="2254" t="s">
        <v>4525</v>
      </c>
      <c r="F339" s="1356" t="s">
        <v>4525</v>
      </c>
      <c r="G339" s="2407">
        <v>1</v>
      </c>
      <c r="H339" s="2368">
        <v>1000</v>
      </c>
      <c r="I339" s="298">
        <f>H339/100000</f>
        <v>0.01</v>
      </c>
      <c r="J339" s="2368">
        <v>1200</v>
      </c>
      <c r="K339" s="298">
        <f>I339*J339</f>
        <v>12</v>
      </c>
      <c r="L339" s="2406" t="s">
        <v>5180</v>
      </c>
      <c r="M339" s="1310">
        <f>'Abs11. NTEP'!Q1528</f>
        <v>0</v>
      </c>
      <c r="N339" s="3683">
        <v>12</v>
      </c>
      <c r="O339" s="3684"/>
      <c r="P339" s="3684"/>
      <c r="Q339" s="3684"/>
      <c r="R339" s="3684"/>
      <c r="S339" s="3684"/>
      <c r="T339" s="3684"/>
      <c r="U339" s="3684"/>
      <c r="V339" s="3684"/>
      <c r="W339" s="3684"/>
      <c r="X339" s="3684"/>
      <c r="Y339" s="3684"/>
      <c r="Z339" s="3684"/>
      <c r="AA339" s="3684"/>
      <c r="AB339" s="3684"/>
      <c r="AC339" s="3684"/>
      <c r="AD339" s="3684"/>
      <c r="AE339" s="3684"/>
      <c r="AF339" s="3684"/>
      <c r="AG339" s="3684"/>
      <c r="AH339" s="3684"/>
      <c r="AI339" s="3684"/>
      <c r="AJ339" s="3684"/>
      <c r="AK339" s="3684"/>
      <c r="AL339" s="3684"/>
      <c r="AM339" s="3684"/>
      <c r="AN339" s="3684"/>
      <c r="AO339" s="3684"/>
      <c r="AP339" s="3684"/>
      <c r="AQ339" s="3684"/>
      <c r="AR339" s="3684"/>
      <c r="AS339" s="3684"/>
      <c r="AT339" s="3684"/>
      <c r="AU339" s="3684"/>
      <c r="AV339" s="3684"/>
      <c r="AW339" s="3684"/>
      <c r="AX339" s="3630"/>
      <c r="AY339" s="3630">
        <v>0.45</v>
      </c>
      <c r="AZ339" s="3630">
        <v>0.5</v>
      </c>
      <c r="BA339" s="3630">
        <v>0.7</v>
      </c>
      <c r="BB339" s="3630">
        <v>1.25</v>
      </c>
      <c r="BC339" s="3630">
        <v>0.05</v>
      </c>
      <c r="BD339" s="3630">
        <v>0.7</v>
      </c>
      <c r="BE339" s="3630">
        <v>0</v>
      </c>
      <c r="BF339" s="3630">
        <v>1.25</v>
      </c>
      <c r="BG339" s="3630">
        <v>1.3</v>
      </c>
      <c r="BH339" s="3630">
        <v>1.5</v>
      </c>
      <c r="BI339" s="3630">
        <v>2.2999999999999998</v>
      </c>
      <c r="BJ339" s="3630">
        <v>2</v>
      </c>
      <c r="BK339" s="3630"/>
      <c r="BL339" s="3630"/>
      <c r="BM339" s="3630"/>
      <c r="BN339" s="3630"/>
      <c r="BO339" s="3630"/>
      <c r="BP339" s="3630"/>
      <c r="BQ339" s="3630"/>
      <c r="BR339" s="3630"/>
      <c r="BS339" s="3630"/>
      <c r="BT339" s="3630"/>
      <c r="BU339" s="3630"/>
      <c r="BV339" s="3630"/>
      <c r="BW339" s="3630"/>
      <c r="BX339" s="3630"/>
      <c r="BY339" s="3630"/>
      <c r="BZ339" s="3630"/>
      <c r="CA339" s="3630"/>
      <c r="CB339" s="3630"/>
      <c r="CC339" s="3630"/>
      <c r="CD339" s="3630"/>
      <c r="CE339" s="3630"/>
      <c r="CF339" s="3583">
        <f t="shared" si="114"/>
        <v>12</v>
      </c>
    </row>
    <row r="340" spans="1:84" ht="37.5" customHeight="1">
      <c r="A340" s="1719" t="s">
        <v>1316</v>
      </c>
      <c r="B340" s="1310" t="s">
        <v>4861</v>
      </c>
      <c r="C340" s="1310" t="s">
        <v>4332</v>
      </c>
      <c r="D340" s="2264" t="s">
        <v>80</v>
      </c>
      <c r="E340" s="2264" t="s">
        <v>81</v>
      </c>
      <c r="F340" s="1734" t="s">
        <v>81</v>
      </c>
      <c r="G340" s="2363"/>
      <c r="H340" s="2477">
        <v>2000</v>
      </c>
      <c r="I340" s="298">
        <f>H340/100000</f>
        <v>0.02</v>
      </c>
      <c r="J340" s="2477">
        <v>4000</v>
      </c>
      <c r="K340" s="298">
        <f>I340*J340</f>
        <v>80</v>
      </c>
      <c r="L340" s="676"/>
      <c r="M340" s="1719">
        <f>'Abs15. NPCB'!Q1507</f>
        <v>0</v>
      </c>
      <c r="N340" s="3683">
        <v>80</v>
      </c>
      <c r="O340" s="3684"/>
      <c r="P340" s="3684"/>
      <c r="Q340" s="3684"/>
      <c r="R340" s="3684"/>
      <c r="S340" s="3684"/>
      <c r="T340" s="3684"/>
      <c r="U340" s="3684"/>
      <c r="V340" s="3684"/>
      <c r="W340" s="3684"/>
      <c r="X340" s="3684"/>
      <c r="Y340" s="3684"/>
      <c r="Z340" s="3684"/>
      <c r="AA340" s="3684"/>
      <c r="AB340" s="3684"/>
      <c r="AC340" s="3684"/>
      <c r="AD340" s="3684"/>
      <c r="AE340" s="3684"/>
      <c r="AF340" s="3684"/>
      <c r="AG340" s="3684"/>
      <c r="AH340" s="3684"/>
      <c r="AI340" s="3684"/>
      <c r="AJ340" s="3684"/>
      <c r="AK340" s="3684"/>
      <c r="AL340" s="3684"/>
      <c r="AM340" s="3684"/>
      <c r="AN340" s="3684"/>
      <c r="AO340" s="3684"/>
      <c r="AP340" s="3684"/>
      <c r="AQ340" s="3684"/>
      <c r="AR340" s="3684"/>
      <c r="AS340" s="3684"/>
      <c r="AT340" s="3684"/>
      <c r="AU340" s="3684"/>
      <c r="AV340" s="3684"/>
      <c r="AW340" s="3684"/>
      <c r="AX340" s="3630">
        <v>52.5</v>
      </c>
      <c r="AY340" s="3630"/>
      <c r="AZ340" s="3630"/>
      <c r="BA340" s="3630"/>
      <c r="BB340" s="3630"/>
      <c r="BC340" s="3630"/>
      <c r="BD340" s="3630"/>
      <c r="BE340" s="3630"/>
      <c r="BF340" s="3630"/>
      <c r="BG340" s="3630">
        <v>2.5</v>
      </c>
      <c r="BH340" s="3630"/>
      <c r="BI340" s="3630">
        <v>5</v>
      </c>
      <c r="BJ340" s="3630">
        <v>20</v>
      </c>
      <c r="BK340" s="3630"/>
      <c r="BL340" s="3630"/>
      <c r="BM340" s="3630"/>
      <c r="BN340" s="3630"/>
      <c r="BO340" s="3630"/>
      <c r="BP340" s="3630"/>
      <c r="BQ340" s="3630"/>
      <c r="BR340" s="3630"/>
      <c r="BS340" s="3630"/>
      <c r="BT340" s="3630"/>
      <c r="BU340" s="3630"/>
      <c r="BV340" s="3630"/>
      <c r="BW340" s="3630"/>
      <c r="BX340" s="3630"/>
      <c r="BY340" s="3630"/>
      <c r="BZ340" s="3630"/>
      <c r="CA340" s="3630"/>
      <c r="CB340" s="3630"/>
      <c r="CC340" s="3630"/>
      <c r="CD340" s="3630"/>
      <c r="CE340" s="3630"/>
      <c r="CF340" s="3583">
        <f t="shared" si="114"/>
        <v>80</v>
      </c>
    </row>
    <row r="341" spans="1:84" ht="37.5" customHeight="1">
      <c r="A341" s="1743" t="s">
        <v>4883</v>
      </c>
      <c r="B341" s="586" t="s">
        <v>4870</v>
      </c>
      <c r="C341" s="586" t="s">
        <v>1333</v>
      </c>
      <c r="D341" s="982" t="s">
        <v>65</v>
      </c>
      <c r="E341" s="982" t="s">
        <v>65</v>
      </c>
      <c r="F341" s="1734" t="s">
        <v>4668</v>
      </c>
      <c r="G341" s="2599">
        <v>1</v>
      </c>
      <c r="H341" s="2519">
        <v>1250</v>
      </c>
      <c r="I341" s="298">
        <f t="shared" ref="I341" si="131">H341/100000</f>
        <v>1.2500000000000001E-2</v>
      </c>
      <c r="J341" s="2519">
        <v>12000</v>
      </c>
      <c r="K341" s="298">
        <f t="shared" ref="K341" si="132">I341*J341</f>
        <v>150</v>
      </c>
      <c r="L341" s="2600"/>
      <c r="M341" s="1310">
        <f>'Abs20. PMNDP'!Q1497</f>
        <v>0</v>
      </c>
      <c r="N341" s="3683">
        <v>150</v>
      </c>
      <c r="O341" s="3684"/>
      <c r="P341" s="3684"/>
      <c r="Q341" s="3684"/>
      <c r="R341" s="3684"/>
      <c r="S341" s="3684"/>
      <c r="T341" s="3684"/>
      <c r="U341" s="3684"/>
      <c r="V341" s="3684"/>
      <c r="W341" s="3684"/>
      <c r="X341" s="3684"/>
      <c r="Y341" s="3684"/>
      <c r="Z341" s="3684"/>
      <c r="AA341" s="3684"/>
      <c r="AB341" s="3684"/>
      <c r="AC341" s="3684"/>
      <c r="AD341" s="3684"/>
      <c r="AE341" s="3684"/>
      <c r="AF341" s="3684"/>
      <c r="AG341" s="3684"/>
      <c r="AH341" s="3684"/>
      <c r="AI341" s="3684"/>
      <c r="AJ341" s="3684"/>
      <c r="AK341" s="3684"/>
      <c r="AL341" s="3684"/>
      <c r="AM341" s="3684"/>
      <c r="AN341" s="3684"/>
      <c r="AO341" s="3684"/>
      <c r="AP341" s="3684"/>
      <c r="AQ341" s="3684"/>
      <c r="AR341" s="3684"/>
      <c r="AS341" s="3684"/>
      <c r="AT341" s="3684"/>
      <c r="AU341" s="3684"/>
      <c r="AV341" s="3684"/>
      <c r="AW341" s="3684"/>
      <c r="AX341" s="3630">
        <v>100</v>
      </c>
      <c r="AY341" s="3630"/>
      <c r="AZ341" s="3630"/>
      <c r="BA341" s="3630"/>
      <c r="BB341" s="3630">
        <v>3</v>
      </c>
      <c r="BC341" s="3630"/>
      <c r="BD341" s="3630"/>
      <c r="BE341" s="3630"/>
      <c r="BF341" s="3630">
        <v>3</v>
      </c>
      <c r="BG341" s="3630"/>
      <c r="BH341" s="3630">
        <v>3</v>
      </c>
      <c r="BI341" s="3630"/>
      <c r="BJ341" s="3630"/>
      <c r="BK341" s="3630"/>
      <c r="BL341" s="3630"/>
      <c r="BM341" s="3630">
        <v>3</v>
      </c>
      <c r="BN341" s="3630">
        <v>3</v>
      </c>
      <c r="BO341" s="3630">
        <v>3</v>
      </c>
      <c r="BP341" s="3630">
        <v>3</v>
      </c>
      <c r="BQ341" s="3630"/>
      <c r="BR341" s="3630">
        <v>3</v>
      </c>
      <c r="BS341" s="3630">
        <v>5</v>
      </c>
      <c r="BT341" s="3630">
        <v>3</v>
      </c>
      <c r="BU341" s="3630">
        <v>3</v>
      </c>
      <c r="BV341" s="3630">
        <v>5</v>
      </c>
      <c r="BW341" s="3630">
        <v>4</v>
      </c>
      <c r="BX341" s="3630"/>
      <c r="BY341" s="3630"/>
      <c r="BZ341" s="3630">
        <v>3</v>
      </c>
      <c r="CA341" s="3630"/>
      <c r="CB341" s="3630">
        <v>3</v>
      </c>
      <c r="CC341" s="3630"/>
      <c r="CD341" s="3630"/>
      <c r="CE341" s="3630"/>
      <c r="CF341" s="3583">
        <f t="shared" si="114"/>
        <v>150</v>
      </c>
    </row>
    <row r="342" spans="1:84" ht="37.5" customHeight="1">
      <c r="A342" s="679" t="s">
        <v>3415</v>
      </c>
      <c r="B342" s="537" t="s">
        <v>2826</v>
      </c>
      <c r="C342" s="3574" t="s">
        <v>2827</v>
      </c>
      <c r="D342" s="2409" t="s">
        <v>65</v>
      </c>
      <c r="E342" s="2409" t="s">
        <v>65</v>
      </c>
      <c r="F342" s="2409"/>
      <c r="G342" s="2413">
        <v>1</v>
      </c>
      <c r="H342" s="2368">
        <v>3974000</v>
      </c>
      <c r="I342" s="2261">
        <f>H342/100000</f>
        <v>39.74</v>
      </c>
      <c r="J342" s="2368">
        <v>1</v>
      </c>
      <c r="K342" s="681">
        <f>I342*J342</f>
        <v>39.74</v>
      </c>
      <c r="L342" s="2414" t="s">
        <v>5190</v>
      </c>
      <c r="M342" s="684">
        <f>'Ab4. HMIS-MCTS'!Q1536</f>
        <v>0</v>
      </c>
      <c r="N342" s="3232">
        <v>31.9</v>
      </c>
      <c r="O342" s="3770">
        <f>K342-N342</f>
        <v>7.8400000000000034</v>
      </c>
      <c r="P342" s="3685"/>
      <c r="Q342" s="3685"/>
      <c r="R342" s="3685"/>
      <c r="S342" s="3685"/>
      <c r="T342" s="3685"/>
      <c r="U342" s="3685"/>
      <c r="V342" s="3685"/>
      <c r="W342" s="3685"/>
      <c r="X342" s="3685"/>
      <c r="Y342" s="3685"/>
      <c r="Z342" s="3685"/>
      <c r="AA342" s="3685"/>
      <c r="AB342" s="3685"/>
      <c r="AC342" s="3685"/>
      <c r="AD342" s="3685"/>
      <c r="AE342" s="3685"/>
      <c r="AF342" s="3685"/>
      <c r="AG342" s="3685"/>
      <c r="AH342" s="3685"/>
      <c r="AI342" s="3685"/>
      <c r="AJ342" s="3685"/>
      <c r="AK342" s="3685"/>
      <c r="AL342" s="3685"/>
      <c r="AM342" s="3685"/>
      <c r="AN342" s="3685"/>
      <c r="AO342" s="3685"/>
      <c r="AP342" s="3685"/>
      <c r="AQ342" s="3685"/>
      <c r="AR342" s="3685"/>
      <c r="AS342" s="3685"/>
      <c r="AT342" s="3685"/>
      <c r="AU342" s="3685"/>
      <c r="AV342" s="3685"/>
      <c r="AW342" s="3685"/>
      <c r="AX342" s="3584">
        <v>10.45</v>
      </c>
      <c r="AY342" s="3584">
        <v>1.27</v>
      </c>
      <c r="AZ342" s="3584">
        <v>1.81</v>
      </c>
      <c r="BA342" s="3584">
        <v>1.69</v>
      </c>
      <c r="BB342" s="3584">
        <v>3.16</v>
      </c>
      <c r="BC342" s="3584">
        <v>1.1499999999999999</v>
      </c>
      <c r="BD342" s="3584">
        <v>1.48</v>
      </c>
      <c r="BE342" s="3584">
        <v>0.94</v>
      </c>
      <c r="BF342" s="3584">
        <v>2.65</v>
      </c>
      <c r="BG342" s="3584">
        <v>2.44</v>
      </c>
      <c r="BH342" s="3584">
        <v>1.48</v>
      </c>
      <c r="BI342" s="3584">
        <v>1.48</v>
      </c>
      <c r="BJ342" s="3584">
        <v>1.48</v>
      </c>
      <c r="BK342" s="3584"/>
      <c r="BL342" s="3584">
        <v>0.21</v>
      </c>
      <c r="BM342" s="3584"/>
      <c r="BN342" s="3584"/>
      <c r="BO342" s="3584"/>
      <c r="BP342" s="3584"/>
      <c r="BQ342" s="3584">
        <v>0.21</v>
      </c>
      <c r="BR342" s="3584"/>
      <c r="BS342" s="3584"/>
      <c r="BT342" s="3584"/>
      <c r="BU342" s="3584"/>
      <c r="BV342" s="3584"/>
      <c r="BW342" s="3584"/>
      <c r="BX342" s="3584"/>
      <c r="BY342" s="3584"/>
      <c r="BZ342" s="3584"/>
      <c r="CA342" s="3584"/>
      <c r="CB342" s="3584"/>
      <c r="CC342" s="3584"/>
      <c r="CD342" s="3584"/>
      <c r="CE342" s="3584"/>
      <c r="CF342" s="3583">
        <f t="shared" si="114"/>
        <v>31.900000000000002</v>
      </c>
    </row>
    <row r="343" spans="1:84" ht="37.5" customHeight="1" thickBot="1">
      <c r="A343" s="679" t="s">
        <v>3460</v>
      </c>
      <c r="B343" s="537" t="s">
        <v>2830</v>
      </c>
      <c r="C343" s="3575" t="s">
        <v>2831</v>
      </c>
      <c r="D343" s="2409" t="s">
        <v>65</v>
      </c>
      <c r="E343" s="2409" t="s">
        <v>65</v>
      </c>
      <c r="F343" s="2409"/>
      <c r="G343" s="2410"/>
      <c r="H343" s="2415">
        <v>26576340</v>
      </c>
      <c r="I343" s="2261">
        <f>H343/100000</f>
        <v>265.76339999999999</v>
      </c>
      <c r="J343" s="283">
        <v>1</v>
      </c>
      <c r="K343" s="681">
        <f>I343*J343</f>
        <v>265.76339999999999</v>
      </c>
      <c r="L343" s="2416" t="s">
        <v>5196</v>
      </c>
      <c r="M343" s="3771">
        <f>'Ab4. HMIS-MCTS'!Q1538</f>
        <v>0</v>
      </c>
      <c r="N343" s="3772">
        <v>265.76</v>
      </c>
      <c r="O343" s="3770">
        <f t="shared" ref="O343:O344" si="133">K343-N343</f>
        <v>3.3999999999991815E-3</v>
      </c>
      <c r="P343" s="3685"/>
      <c r="Q343" s="3685"/>
      <c r="R343" s="3685"/>
      <c r="S343" s="3685"/>
      <c r="T343" s="3685"/>
      <c r="U343" s="3685"/>
      <c r="V343" s="3685"/>
      <c r="W343" s="3685"/>
      <c r="X343" s="3685"/>
      <c r="Y343" s="3685"/>
      <c r="Z343" s="3685"/>
      <c r="AA343" s="3685"/>
      <c r="AB343" s="3685"/>
      <c r="AC343" s="3685"/>
      <c r="AD343" s="3685"/>
      <c r="AE343" s="3685"/>
      <c r="AF343" s="3685"/>
      <c r="AG343" s="3685"/>
      <c r="AH343" s="3685"/>
      <c r="AI343" s="3685"/>
      <c r="AJ343" s="3685"/>
      <c r="AK343" s="3685"/>
      <c r="AL343" s="3685"/>
      <c r="AM343" s="3685"/>
      <c r="AN343" s="3685"/>
      <c r="AO343" s="3685"/>
      <c r="AP343" s="3685"/>
      <c r="AQ343" s="3685"/>
      <c r="AR343" s="3685"/>
      <c r="AS343" s="3685"/>
      <c r="AT343" s="3685"/>
      <c r="AU343" s="3685"/>
      <c r="AV343" s="3685"/>
      <c r="AW343" s="3685"/>
      <c r="AX343" s="3584">
        <v>265.76</v>
      </c>
      <c r="AY343" s="3584"/>
      <c r="AZ343" s="3584"/>
      <c r="BA343" s="3584"/>
      <c r="BB343" s="3584"/>
      <c r="BC343" s="3584"/>
      <c r="BD343" s="3584"/>
      <c r="BE343" s="3584"/>
      <c r="BF343" s="3584"/>
      <c r="BG343" s="3584"/>
      <c r="BH343" s="3584"/>
      <c r="BI343" s="3584"/>
      <c r="BJ343" s="3584"/>
      <c r="BK343" s="3584"/>
      <c r="BL343" s="3584"/>
      <c r="BM343" s="3584"/>
      <c r="BN343" s="3584"/>
      <c r="BO343" s="3584"/>
      <c r="BP343" s="3584"/>
      <c r="BQ343" s="3584"/>
      <c r="BR343" s="3584"/>
      <c r="BS343" s="3584"/>
      <c r="BT343" s="3584"/>
      <c r="BU343" s="3584"/>
      <c r="BV343" s="3584"/>
      <c r="BW343" s="3584"/>
      <c r="BX343" s="3584"/>
      <c r="BY343" s="3584"/>
      <c r="BZ343" s="3584"/>
      <c r="CA343" s="3584"/>
      <c r="CB343" s="3584"/>
      <c r="CC343" s="3584"/>
      <c r="CD343" s="3584"/>
      <c r="CE343" s="3584"/>
      <c r="CF343" s="3583">
        <f t="shared" si="114"/>
        <v>265.76</v>
      </c>
    </row>
    <row r="344" spans="1:84" ht="37.5" customHeight="1" thickBot="1">
      <c r="A344" s="586" t="s">
        <v>3466</v>
      </c>
      <c r="B344" s="521" t="s">
        <v>2306</v>
      </c>
      <c r="C344" s="521" t="s">
        <v>2137</v>
      </c>
      <c r="D344" s="3773" t="s">
        <v>85</v>
      </c>
      <c r="E344" s="3773" t="s">
        <v>85</v>
      </c>
      <c r="F344" s="537"/>
      <c r="G344" s="2420"/>
      <c r="H344" s="283">
        <v>2108066</v>
      </c>
      <c r="I344" s="2261">
        <f>H344/100000</f>
        <v>21.080660000000002</v>
      </c>
      <c r="J344" s="283">
        <v>15</v>
      </c>
      <c r="K344" s="681">
        <f>I344*J344</f>
        <v>316.2099</v>
      </c>
      <c r="L344" s="683"/>
      <c r="M344" s="3145" t="s">
        <v>5945</v>
      </c>
      <c r="N344" s="3638">
        <v>316.2099</v>
      </c>
      <c r="O344" s="3770">
        <f t="shared" si="133"/>
        <v>0</v>
      </c>
      <c r="P344" s="3685"/>
      <c r="Q344" s="3685"/>
      <c r="R344" s="3685"/>
      <c r="S344" s="3685"/>
      <c r="T344" s="3685"/>
      <c r="U344" s="3685"/>
      <c r="V344" s="3685"/>
      <c r="W344" s="3685"/>
      <c r="X344" s="3685"/>
      <c r="Y344" s="3685"/>
      <c r="Z344" s="3685"/>
      <c r="AA344" s="3685"/>
      <c r="AB344" s="3685"/>
      <c r="AC344" s="3685"/>
      <c r="AD344" s="3685"/>
      <c r="AE344" s="3685"/>
      <c r="AF344" s="3685"/>
      <c r="AG344" s="3685"/>
      <c r="AH344" s="3685"/>
      <c r="AI344" s="3685"/>
      <c r="AJ344" s="3685"/>
      <c r="AK344" s="3685"/>
      <c r="AL344" s="3685"/>
      <c r="AM344" s="3685"/>
      <c r="AN344" s="3685"/>
      <c r="AO344" s="3685"/>
      <c r="AP344" s="3685"/>
      <c r="AQ344" s="3685"/>
      <c r="AR344" s="3685"/>
      <c r="AS344" s="3685"/>
      <c r="AT344" s="3685"/>
      <c r="AU344" s="3685"/>
      <c r="AV344" s="3685"/>
      <c r="AW344" s="3685"/>
      <c r="AX344" s="3584">
        <v>316.20999999999998</v>
      </c>
      <c r="AY344" s="3584"/>
      <c r="AZ344" s="3584"/>
      <c r="BA344" s="3584"/>
      <c r="BB344" s="3584"/>
      <c r="BC344" s="3584"/>
      <c r="BD344" s="3584"/>
      <c r="BE344" s="3584"/>
      <c r="BF344" s="3584"/>
      <c r="BG344" s="3584"/>
      <c r="BH344" s="3584"/>
      <c r="BI344" s="3584"/>
      <c r="BJ344" s="3584"/>
      <c r="BK344" s="3584"/>
      <c r="BL344" s="3584"/>
      <c r="BM344" s="3584"/>
      <c r="BN344" s="3584"/>
      <c r="BO344" s="3582"/>
      <c r="BP344" s="3582"/>
      <c r="BQ344" s="3582"/>
      <c r="BR344" s="3582"/>
      <c r="BS344" s="3582"/>
      <c r="BT344" s="3582"/>
      <c r="BU344" s="3582"/>
      <c r="BV344" s="3582"/>
      <c r="BW344" s="3582"/>
      <c r="BX344" s="3582"/>
      <c r="BY344" s="3582"/>
      <c r="BZ344" s="3582"/>
      <c r="CA344" s="3582"/>
      <c r="CB344" s="3582"/>
      <c r="CC344" s="3582"/>
      <c r="CD344" s="3582"/>
      <c r="CE344" s="3582"/>
      <c r="CF344" s="3583">
        <f t="shared" si="114"/>
        <v>316.20999999999998</v>
      </c>
    </row>
    <row r="345" spans="1:84" ht="37.5" customHeight="1">
      <c r="A345" s="679" t="s">
        <v>3593</v>
      </c>
      <c r="B345" s="521"/>
      <c r="C345" s="521" t="s">
        <v>2129</v>
      </c>
      <c r="D345" s="3832" t="s">
        <v>85</v>
      </c>
      <c r="E345" s="3832" t="s">
        <v>85</v>
      </c>
      <c r="F345" s="3774"/>
      <c r="G345" s="3834"/>
      <c r="H345" s="3802">
        <v>209239</v>
      </c>
      <c r="I345" s="3838">
        <f>H345/100000</f>
        <v>2.09239</v>
      </c>
      <c r="J345" s="3802">
        <v>313</v>
      </c>
      <c r="K345" s="3840">
        <f>I345*J345</f>
        <v>654.91806999999994</v>
      </c>
      <c r="L345" s="683"/>
      <c r="M345" s="2282" t="s">
        <v>5946</v>
      </c>
      <c r="N345" s="3836">
        <v>654.91999999999996</v>
      </c>
      <c r="O345" s="3770">
        <f t="shared" ref="O345" si="134">K345-N345</f>
        <v>-1.9300000000157524E-3</v>
      </c>
      <c r="P345" s="3685"/>
      <c r="Q345" s="3685"/>
      <c r="R345" s="3685"/>
      <c r="S345" s="3685"/>
      <c r="T345" s="3685"/>
      <c r="U345" s="3685"/>
      <c r="V345" s="3685"/>
      <c r="W345" s="3685"/>
      <c r="X345" s="3685"/>
      <c r="Y345" s="3685"/>
      <c r="Z345" s="3685"/>
      <c r="AA345" s="3685"/>
      <c r="AB345" s="3685"/>
      <c r="AC345" s="3685"/>
      <c r="AD345" s="3685"/>
      <c r="AE345" s="3685"/>
      <c r="AF345" s="3685"/>
      <c r="AG345" s="3685"/>
      <c r="AH345" s="3685"/>
      <c r="AI345" s="3685"/>
      <c r="AJ345" s="3685"/>
      <c r="AK345" s="3685"/>
      <c r="AL345" s="3685"/>
      <c r="AM345" s="3685"/>
      <c r="AN345" s="3685"/>
      <c r="AO345" s="3685"/>
      <c r="AP345" s="3685"/>
      <c r="AQ345" s="3685"/>
      <c r="AR345" s="3685"/>
      <c r="AS345" s="3685"/>
      <c r="AT345" s="3685"/>
      <c r="AU345" s="3685"/>
      <c r="AV345" s="3685"/>
      <c r="AW345" s="3685"/>
      <c r="AX345" s="3584">
        <v>171.53</v>
      </c>
      <c r="AY345" s="3584"/>
      <c r="AZ345" s="3584"/>
      <c r="BA345" s="3584"/>
      <c r="BB345" s="3584"/>
      <c r="BC345" s="3584"/>
      <c r="BD345" s="3584"/>
      <c r="BE345" s="3584"/>
      <c r="BF345" s="3584"/>
      <c r="BG345" s="3584"/>
      <c r="BH345" s="3584"/>
      <c r="BI345" s="3584"/>
      <c r="BJ345" s="3584"/>
      <c r="BK345" s="3584"/>
      <c r="BL345" s="3584"/>
      <c r="BM345" s="3584"/>
      <c r="BN345" s="3584"/>
      <c r="BO345" s="3582"/>
      <c r="BP345" s="3582"/>
      <c r="BQ345" s="3582"/>
      <c r="BR345" s="3582"/>
      <c r="BS345" s="3582"/>
      <c r="BT345" s="3582"/>
      <c r="BU345" s="3582"/>
      <c r="BV345" s="3582"/>
      <c r="BW345" s="3582"/>
      <c r="BX345" s="3582"/>
      <c r="BY345" s="3582"/>
      <c r="BZ345" s="3582"/>
      <c r="CA345" s="3582"/>
      <c r="CB345" s="3582"/>
      <c r="CC345" s="3582"/>
      <c r="CD345" s="3582"/>
      <c r="CE345" s="3582"/>
      <c r="CF345" s="3583">
        <f t="shared" si="114"/>
        <v>171.53</v>
      </c>
    </row>
    <row r="346" spans="1:84" ht="37.5" customHeight="1">
      <c r="A346" s="679" t="s">
        <v>3602</v>
      </c>
      <c r="B346" s="521"/>
      <c r="C346" s="521" t="s">
        <v>2140</v>
      </c>
      <c r="D346" s="3833"/>
      <c r="E346" s="3833"/>
      <c r="F346" s="3774"/>
      <c r="G346" s="3835"/>
      <c r="H346" s="3803"/>
      <c r="I346" s="3839"/>
      <c r="J346" s="3803"/>
      <c r="K346" s="3841"/>
      <c r="L346" s="683"/>
      <c r="M346" s="3125" t="s">
        <v>5952</v>
      </c>
      <c r="N346" s="3837"/>
      <c r="O346" s="3685"/>
      <c r="P346" s="3685"/>
      <c r="Q346" s="3685"/>
      <c r="R346" s="3685"/>
      <c r="S346" s="3685"/>
      <c r="T346" s="3685"/>
      <c r="U346" s="3685"/>
      <c r="V346" s="3685"/>
      <c r="W346" s="3685"/>
      <c r="X346" s="3685"/>
      <c r="Y346" s="3685"/>
      <c r="Z346" s="3685"/>
      <c r="AA346" s="3685"/>
      <c r="AB346" s="3685"/>
      <c r="AC346" s="3685"/>
      <c r="AD346" s="3685"/>
      <c r="AE346" s="3685"/>
      <c r="AF346" s="3685"/>
      <c r="AG346" s="3685"/>
      <c r="AH346" s="3685"/>
      <c r="AI346" s="3685"/>
      <c r="AJ346" s="3685"/>
      <c r="AK346" s="3685"/>
      <c r="AL346" s="3685"/>
      <c r="AM346" s="3685"/>
      <c r="AN346" s="3685"/>
      <c r="AO346" s="3685"/>
      <c r="AP346" s="3685"/>
      <c r="AQ346" s="3685"/>
      <c r="AR346" s="3685"/>
      <c r="AS346" s="3685"/>
      <c r="AT346" s="3685"/>
      <c r="AU346" s="3685"/>
      <c r="AV346" s="3685"/>
      <c r="AW346" s="3685"/>
      <c r="AX346" s="3584">
        <v>103.94</v>
      </c>
      <c r="AY346" s="3584">
        <f>+(1*22281*12+1*16950*12+2*22030*12+7*12500*12+2*12500*12)*105%/100000</f>
        <v>24.669665999999999</v>
      </c>
      <c r="AZ346" s="3584">
        <f>+(1*22261*12+1*14391*12+12*12500*12+1*12500*12)*105%/100000</f>
        <v>25.093152000000003</v>
      </c>
      <c r="BA346" s="3584">
        <f>+(1*22291*12+2*22252*12+1*15188*12+13*12500*12+1*12500*12)*105%/100000</f>
        <v>32.379858000000006</v>
      </c>
      <c r="BB346" s="3584">
        <f>+(1*20252*12+1*20895*12+27*12500*12+3*12500*12)*105%/100000</f>
        <v>52.434522000000001</v>
      </c>
      <c r="BC346" s="3584">
        <f>+(1*15191*12+1*18795*12+1*21107*12+7*12500*12+2*12500*12)*105%/100000</f>
        <v>21.116718000000002</v>
      </c>
      <c r="BD346" s="3584">
        <f>+(1*21200*12+2*20959*12+1*17141*12+1*11793*12+11*12500*12+2*12500*12)*105%/100000</f>
        <v>32.073551999999999</v>
      </c>
      <c r="BE346" s="3584">
        <f>+(1*23034*12+2*12254*12+1*15191*12+5*12500*12+1*12500*12)*105%/100000</f>
        <v>17.354358000000001</v>
      </c>
      <c r="BF346" s="3584">
        <f>+(2*22252*12+1*15191*12+23*12500*12+2*12500*12)*105%/100000</f>
        <v>46.896569999999997</v>
      </c>
      <c r="BG346" s="3584">
        <f>+(2*22252*12+1*15191*12+1*21355*12+19*12500*12+2*12500*12)*105%/100000</f>
        <v>43.287300000000002</v>
      </c>
      <c r="BH346" s="3584">
        <f>+(1*22515*12+1*21749*12+1*15191*12+11*12500*12+2*12500*12)*105%/100000</f>
        <v>27.966329999999999</v>
      </c>
      <c r="BI346" s="3584">
        <f>+(1*21144*12+1*22505*12+1*20252*12+1*15190*12+11*12500*12+2*12500*12)*105%/100000</f>
        <v>30.440466000000001</v>
      </c>
      <c r="BJ346" s="3584">
        <f>+(3*22253*12+9*12500*12+2*12500*12)*105%/100000</f>
        <v>25.736633999999999</v>
      </c>
      <c r="BK346" s="3584"/>
      <c r="BL346" s="3584"/>
      <c r="BM346" s="3584"/>
      <c r="BN346" s="3584"/>
      <c r="BO346" s="3582"/>
      <c r="BP346" s="3582"/>
      <c r="BQ346" s="3582"/>
      <c r="BR346" s="3582"/>
      <c r="BS346" s="3582"/>
      <c r="BT346" s="3582"/>
      <c r="BU346" s="3582"/>
      <c r="BV346" s="3582"/>
      <c r="BW346" s="3582"/>
      <c r="BX346" s="3582"/>
      <c r="BY346" s="3582"/>
      <c r="BZ346" s="3582"/>
      <c r="CA346" s="3582"/>
      <c r="CB346" s="3582"/>
      <c r="CC346" s="3582"/>
      <c r="CD346" s="3582"/>
      <c r="CE346" s="3582"/>
      <c r="CF346" s="3583">
        <f t="shared" si="114"/>
        <v>483.38912600000003</v>
      </c>
    </row>
    <row r="347" spans="1:84" ht="37.5" customHeight="1">
      <c r="A347" s="679" t="s">
        <v>3605</v>
      </c>
      <c r="B347" s="521"/>
      <c r="C347" s="521" t="s">
        <v>2129</v>
      </c>
      <c r="D347" s="3775" t="s">
        <v>85</v>
      </c>
      <c r="E347" s="3775" t="s">
        <v>85</v>
      </c>
      <c r="F347" s="3774"/>
      <c r="G347" s="3726"/>
      <c r="H347" s="3720">
        <v>220500</v>
      </c>
      <c r="I347" s="3727">
        <f>H347/100000</f>
        <v>2.2050000000000001</v>
      </c>
      <c r="J347" s="3720">
        <v>20</v>
      </c>
      <c r="K347" s="3728">
        <f>I347*J347</f>
        <v>44.1</v>
      </c>
      <c r="L347" s="2618"/>
      <c r="M347" s="2282"/>
      <c r="N347" s="3641">
        <v>24.9</v>
      </c>
      <c r="O347" s="3770">
        <f t="shared" ref="O347" si="135">K347-N347</f>
        <v>19.200000000000003</v>
      </c>
      <c r="P347" s="3685"/>
      <c r="Q347" s="3685"/>
      <c r="R347" s="3685"/>
      <c r="S347" s="3685"/>
      <c r="T347" s="3685"/>
      <c r="U347" s="3685"/>
      <c r="V347" s="3685"/>
      <c r="W347" s="3685"/>
      <c r="X347" s="3685"/>
      <c r="Y347" s="3685"/>
      <c r="Z347" s="3685"/>
      <c r="AA347" s="3685"/>
      <c r="AB347" s="3685"/>
      <c r="AC347" s="3685"/>
      <c r="AD347" s="3685"/>
      <c r="AE347" s="3685"/>
      <c r="AF347" s="3685"/>
      <c r="AG347" s="3685"/>
      <c r="AH347" s="3685"/>
      <c r="AI347" s="3685"/>
      <c r="AJ347" s="3685"/>
      <c r="AK347" s="3685"/>
      <c r="AL347" s="3685"/>
      <c r="AM347" s="3685"/>
      <c r="AN347" s="3685"/>
      <c r="AO347" s="3685"/>
      <c r="AP347" s="3685"/>
      <c r="AQ347" s="3685"/>
      <c r="AR347" s="3685"/>
      <c r="AS347" s="3685"/>
      <c r="AT347" s="3685"/>
      <c r="AU347" s="3685"/>
      <c r="AV347" s="3685"/>
      <c r="AW347" s="3685"/>
      <c r="AX347" s="3584">
        <v>24.9</v>
      </c>
      <c r="AY347" s="3584"/>
      <c r="AZ347" s="3584"/>
      <c r="BA347" s="3584"/>
      <c r="BB347" s="3584"/>
      <c r="BC347" s="3584"/>
      <c r="BD347" s="3584"/>
      <c r="BE347" s="3584"/>
      <c r="BF347" s="3584"/>
      <c r="BG347" s="3584"/>
      <c r="BH347" s="3584"/>
      <c r="BI347" s="3584"/>
      <c r="BJ347" s="3584"/>
      <c r="BK347" s="3584"/>
      <c r="BL347" s="3584"/>
      <c r="BM347" s="3584"/>
      <c r="BN347" s="3584"/>
      <c r="BO347" s="3584"/>
      <c r="BP347" s="3584"/>
      <c r="BQ347" s="3584"/>
      <c r="BR347" s="3584"/>
      <c r="BS347" s="3584"/>
      <c r="BT347" s="3584"/>
      <c r="BU347" s="3584"/>
      <c r="BV347" s="3584"/>
      <c r="BW347" s="3584"/>
      <c r="BX347" s="3584"/>
      <c r="BY347" s="3584"/>
      <c r="BZ347" s="3584"/>
      <c r="CA347" s="3584"/>
      <c r="CB347" s="3584"/>
      <c r="CC347" s="3584"/>
      <c r="CD347" s="3584"/>
      <c r="CE347" s="3584"/>
      <c r="CF347" s="3583">
        <f t="shared" si="114"/>
        <v>24.9</v>
      </c>
    </row>
    <row r="348" spans="1:84" ht="37.5" customHeight="1">
      <c r="A348" s="679" t="s">
        <v>3616</v>
      </c>
      <c r="B348" s="521"/>
      <c r="C348" s="521" t="s">
        <v>2129</v>
      </c>
      <c r="D348" s="3775" t="s">
        <v>85</v>
      </c>
      <c r="E348" s="3775" t="s">
        <v>85</v>
      </c>
      <c r="F348" s="3774"/>
      <c r="G348" s="3726"/>
      <c r="H348" s="3720">
        <v>332000</v>
      </c>
      <c r="I348" s="3727">
        <f>H348/100000</f>
        <v>3.32</v>
      </c>
      <c r="J348" s="3720">
        <v>2</v>
      </c>
      <c r="K348" s="3728">
        <f>I348*J348</f>
        <v>6.64</v>
      </c>
      <c r="L348" s="683"/>
      <c r="M348" s="3776"/>
      <c r="N348" s="3576">
        <v>6.64</v>
      </c>
      <c r="O348" s="3770">
        <f t="shared" ref="O348" si="136">K348-N348</f>
        <v>0</v>
      </c>
      <c r="P348" s="3685"/>
      <c r="Q348" s="3685"/>
      <c r="R348" s="3685"/>
      <c r="S348" s="3685"/>
      <c r="T348" s="3685"/>
      <c r="U348" s="3685"/>
      <c r="V348" s="3685"/>
      <c r="W348" s="3685"/>
      <c r="X348" s="3685"/>
      <c r="Y348" s="3685"/>
      <c r="Z348" s="3685"/>
      <c r="AA348" s="3685"/>
      <c r="AB348" s="3685"/>
      <c r="AC348" s="3685"/>
      <c r="AD348" s="3685"/>
      <c r="AE348" s="3685"/>
      <c r="AF348" s="3685"/>
      <c r="AG348" s="3685"/>
      <c r="AH348" s="3685"/>
      <c r="AI348" s="3685"/>
      <c r="AJ348" s="3685"/>
      <c r="AK348" s="3685"/>
      <c r="AL348" s="3685"/>
      <c r="AM348" s="3685"/>
      <c r="AN348" s="3685"/>
      <c r="AO348" s="3685"/>
      <c r="AP348" s="3685"/>
      <c r="AQ348" s="3685"/>
      <c r="AR348" s="3685"/>
      <c r="AS348" s="3685"/>
      <c r="AT348" s="3685"/>
      <c r="AU348" s="3685"/>
      <c r="AV348" s="3685"/>
      <c r="AW348" s="3685"/>
      <c r="AX348" s="3584">
        <v>6.64</v>
      </c>
      <c r="AY348" s="3584"/>
      <c r="AZ348" s="3584"/>
      <c r="BA348" s="3584"/>
      <c r="BB348" s="3584"/>
      <c r="BC348" s="3584"/>
      <c r="BD348" s="3584"/>
      <c r="BE348" s="3584"/>
      <c r="BF348" s="3584"/>
      <c r="BG348" s="3584"/>
      <c r="BH348" s="3584"/>
      <c r="BI348" s="3584"/>
      <c r="BJ348" s="3584"/>
      <c r="BK348" s="3584"/>
      <c r="BL348" s="3584"/>
      <c r="BM348" s="3584"/>
      <c r="BN348" s="3584"/>
      <c r="BO348" s="3582"/>
      <c r="BP348" s="3582"/>
      <c r="BQ348" s="3582"/>
      <c r="BR348" s="3582"/>
      <c r="BS348" s="3582"/>
      <c r="BT348" s="3582"/>
      <c r="BU348" s="3582"/>
      <c r="BV348" s="3582"/>
      <c r="BW348" s="3582"/>
      <c r="BX348" s="3582"/>
      <c r="BY348" s="3582"/>
      <c r="BZ348" s="3582"/>
      <c r="CA348" s="3582"/>
      <c r="CB348" s="3582"/>
      <c r="CC348" s="3582"/>
      <c r="CD348" s="3582"/>
      <c r="CE348" s="3582"/>
      <c r="CF348" s="3583">
        <f t="shared" si="114"/>
        <v>6.64</v>
      </c>
    </row>
    <row r="349" spans="1:84" ht="37.5" customHeight="1">
      <c r="A349" s="679" t="s">
        <v>3627</v>
      </c>
      <c r="B349" s="521"/>
      <c r="C349" s="521" t="s">
        <v>2129</v>
      </c>
      <c r="D349" s="3832" t="s">
        <v>85</v>
      </c>
      <c r="E349" s="3832" t="s">
        <v>85</v>
      </c>
      <c r="F349" s="3774"/>
      <c r="G349" s="3834"/>
      <c r="H349" s="3802">
        <v>318228</v>
      </c>
      <c r="I349" s="3838">
        <f>H349/100000</f>
        <v>3.18228</v>
      </c>
      <c r="J349" s="3802">
        <v>92</v>
      </c>
      <c r="K349" s="3842">
        <f>I349*J349</f>
        <v>292.76976000000002</v>
      </c>
      <c r="L349" s="683"/>
      <c r="M349" s="3777" t="s">
        <v>5823</v>
      </c>
      <c r="N349" s="3836">
        <v>292.77</v>
      </c>
      <c r="O349" s="3770">
        <f t="shared" ref="O349" si="137">K349-N349</f>
        <v>-2.3999999996249244E-4</v>
      </c>
      <c r="P349" s="3685"/>
      <c r="Q349" s="3685"/>
      <c r="R349" s="3685"/>
      <c r="S349" s="3685"/>
      <c r="T349" s="3685"/>
      <c r="U349" s="3685"/>
      <c r="V349" s="3685"/>
      <c r="W349" s="3685"/>
      <c r="X349" s="3685"/>
      <c r="Y349" s="3685"/>
      <c r="Z349" s="3685"/>
      <c r="AA349" s="3685"/>
      <c r="AB349" s="3685"/>
      <c r="AC349" s="3685"/>
      <c r="AD349" s="3685"/>
      <c r="AE349" s="3685"/>
      <c r="AF349" s="3685"/>
      <c r="AG349" s="3685"/>
      <c r="AH349" s="3685"/>
      <c r="AI349" s="3685"/>
      <c r="AJ349" s="3685"/>
      <c r="AK349" s="3685"/>
      <c r="AL349" s="3685"/>
      <c r="AM349" s="3685"/>
      <c r="AN349" s="3685"/>
      <c r="AO349" s="3685"/>
      <c r="AP349" s="3685"/>
      <c r="AQ349" s="3685"/>
      <c r="AR349" s="3685"/>
      <c r="AS349" s="3685"/>
      <c r="AT349" s="3685"/>
      <c r="AU349" s="3685"/>
      <c r="AV349" s="3685"/>
      <c r="AW349" s="3685"/>
      <c r="AX349" s="3584">
        <v>15.07</v>
      </c>
      <c r="AY349" s="3584"/>
      <c r="AZ349" s="3584"/>
      <c r="BA349" s="3584"/>
      <c r="BB349" s="3584"/>
      <c r="BC349" s="3584"/>
      <c r="BD349" s="3584"/>
      <c r="BE349" s="3584"/>
      <c r="BF349" s="3584"/>
      <c r="BG349" s="3584"/>
      <c r="BH349" s="3584"/>
      <c r="BI349" s="3584"/>
      <c r="BJ349" s="3584"/>
      <c r="BK349" s="3584"/>
      <c r="BL349" s="3584"/>
      <c r="BM349" s="3584"/>
      <c r="BN349" s="3584"/>
      <c r="BO349" s="3582"/>
      <c r="BP349" s="3582"/>
      <c r="BQ349" s="3582"/>
      <c r="BR349" s="3582"/>
      <c r="BS349" s="3582"/>
      <c r="BT349" s="3582"/>
      <c r="BU349" s="3582"/>
      <c r="BV349" s="3582"/>
      <c r="BW349" s="3582"/>
      <c r="BX349" s="3582"/>
      <c r="BY349" s="3582"/>
      <c r="BZ349" s="3582"/>
      <c r="CA349" s="3582"/>
      <c r="CB349" s="3582"/>
      <c r="CC349" s="3582"/>
      <c r="CD349" s="3582"/>
      <c r="CE349" s="3582"/>
      <c r="CF349" s="3583">
        <f t="shared" si="114"/>
        <v>15.07</v>
      </c>
    </row>
    <row r="350" spans="1:84" ht="37.5" customHeight="1">
      <c r="A350" s="679" t="s">
        <v>3628</v>
      </c>
      <c r="B350" s="521"/>
      <c r="C350" s="521" t="s">
        <v>2835</v>
      </c>
      <c r="D350" s="3833"/>
      <c r="E350" s="3833"/>
      <c r="F350" s="3774"/>
      <c r="G350" s="3835"/>
      <c r="H350" s="3803"/>
      <c r="I350" s="3839"/>
      <c r="J350" s="3803"/>
      <c r="K350" s="3843"/>
      <c r="L350" s="683"/>
      <c r="M350" s="3777" t="s">
        <v>5824</v>
      </c>
      <c r="N350" s="3837"/>
      <c r="O350" s="3685"/>
      <c r="P350" s="3685"/>
      <c r="Q350" s="3685"/>
      <c r="R350" s="3685"/>
      <c r="S350" s="3685"/>
      <c r="T350" s="3685"/>
      <c r="U350" s="3685"/>
      <c r="V350" s="3685"/>
      <c r="W350" s="3685"/>
      <c r="X350" s="3685"/>
      <c r="Y350" s="3685"/>
      <c r="Z350" s="3685"/>
      <c r="AA350" s="3685"/>
      <c r="AB350" s="3685"/>
      <c r="AC350" s="3685"/>
      <c r="AD350" s="3685"/>
      <c r="AE350" s="3685"/>
      <c r="AF350" s="3685"/>
      <c r="AG350" s="3685"/>
      <c r="AH350" s="3685"/>
      <c r="AI350" s="3685"/>
      <c r="AJ350" s="3685"/>
      <c r="AK350" s="3685"/>
      <c r="AL350" s="3685"/>
      <c r="AM350" s="3685"/>
      <c r="AN350" s="3685"/>
      <c r="AO350" s="3685"/>
      <c r="AP350" s="3685"/>
      <c r="AQ350" s="3685"/>
      <c r="AR350" s="3685"/>
      <c r="AS350" s="3685"/>
      <c r="AT350" s="3685"/>
      <c r="AU350" s="3685"/>
      <c r="AV350" s="3685"/>
      <c r="AW350" s="3685"/>
      <c r="AX350" s="3584">
        <v>20.99</v>
      </c>
      <c r="AY350" s="3584">
        <f>+(1*51683*12+1*40000*12)*105%/100000</f>
        <v>11.552058000000001</v>
      </c>
      <c r="AZ350" s="3584">
        <f>+(1*51682*12+1*40000*12)*105%/100000</f>
        <v>11.551931999999999</v>
      </c>
      <c r="BA350" s="3584">
        <f>+(1*51682*12+1*40000*12)*105%/100000</f>
        <v>11.551931999999999</v>
      </c>
      <c r="BB350" s="3584">
        <f>+(1*51682*12+1*40000*12)*105%/100000</f>
        <v>11.551931999999999</v>
      </c>
      <c r="BC350" s="3584">
        <f>+(1*51682*12+1*40000*12)*105%/100000</f>
        <v>11.551931999999999</v>
      </c>
      <c r="BD350" s="3584">
        <f>+(1*40000*12)*105%/100000</f>
        <v>5.04</v>
      </c>
      <c r="BE350" s="3584">
        <v>0</v>
      </c>
      <c r="BF350" s="3584">
        <f>+(1*51682*12+1*40000*12)*105%/100000</f>
        <v>11.551931999999999</v>
      </c>
      <c r="BG350" s="3584">
        <f>+(1*51682*12+1*40000*12)*105%/100000</f>
        <v>11.551931999999999</v>
      </c>
      <c r="BH350" s="3584">
        <f>+(1*51682*12+1*40000*12)*105%/100000</f>
        <v>11.551931999999999</v>
      </c>
      <c r="BI350" s="3584">
        <f>+(1*51682*12+1*40000*12)*105%/100000</f>
        <v>11.551931999999999</v>
      </c>
      <c r="BJ350" s="3584">
        <f>+(1*51682*12)*105%/100000</f>
        <v>6.5119320000000007</v>
      </c>
      <c r="BK350" s="3584"/>
      <c r="BL350" s="3584"/>
      <c r="BM350" s="3584"/>
      <c r="BN350" s="3584"/>
      <c r="BO350" s="3582"/>
      <c r="BP350" s="3582"/>
      <c r="BQ350" s="3582"/>
      <c r="BR350" s="3582"/>
      <c r="BS350" s="3582"/>
      <c r="BT350" s="3582"/>
      <c r="BU350" s="3582"/>
      <c r="BV350" s="3582"/>
      <c r="BW350" s="3582"/>
      <c r="BX350" s="3582"/>
      <c r="BY350" s="3582"/>
      <c r="BZ350" s="3582"/>
      <c r="CA350" s="3582"/>
      <c r="CB350" s="3582"/>
      <c r="CC350" s="3582"/>
      <c r="CD350" s="3582"/>
      <c r="CE350" s="3582"/>
      <c r="CF350" s="3583">
        <f t="shared" si="114"/>
        <v>136.50944599999997</v>
      </c>
    </row>
    <row r="351" spans="1:84" ht="37.5" customHeight="1">
      <c r="A351" s="679" t="s">
        <v>3629</v>
      </c>
      <c r="B351" s="521"/>
      <c r="C351" s="521" t="s">
        <v>2131</v>
      </c>
      <c r="D351" s="3833"/>
      <c r="E351" s="3833"/>
      <c r="F351" s="3774"/>
      <c r="G351" s="3835"/>
      <c r="H351" s="3803"/>
      <c r="I351" s="3839"/>
      <c r="J351" s="3803"/>
      <c r="K351" s="3843"/>
      <c r="L351" s="683"/>
      <c r="M351" s="3777" t="s">
        <v>5824</v>
      </c>
      <c r="N351" s="3837"/>
      <c r="O351" s="3685"/>
      <c r="P351" s="3685"/>
      <c r="Q351" s="3685"/>
      <c r="R351" s="3685"/>
      <c r="S351" s="3685"/>
      <c r="T351" s="3685"/>
      <c r="U351" s="3685"/>
      <c r="V351" s="3685"/>
      <c r="W351" s="3685"/>
      <c r="X351" s="3685"/>
      <c r="Y351" s="3685"/>
      <c r="Z351" s="3685"/>
      <c r="AA351" s="3685"/>
      <c r="AB351" s="3685"/>
      <c r="AC351" s="3685"/>
      <c r="AD351" s="3685"/>
      <c r="AE351" s="3685"/>
      <c r="AF351" s="3685"/>
      <c r="AG351" s="3685"/>
      <c r="AH351" s="3685"/>
      <c r="AI351" s="3685"/>
      <c r="AJ351" s="3685"/>
      <c r="AK351" s="3685"/>
      <c r="AL351" s="3685"/>
      <c r="AM351" s="3685"/>
      <c r="AN351" s="3685"/>
      <c r="AO351" s="3685"/>
      <c r="AP351" s="3685"/>
      <c r="AQ351" s="3685"/>
      <c r="AR351" s="3685"/>
      <c r="AS351" s="3685"/>
      <c r="AT351" s="3685"/>
      <c r="AU351" s="3685"/>
      <c r="AV351" s="3685"/>
      <c r="AW351" s="3685"/>
      <c r="AX351" s="3584">
        <v>6.08</v>
      </c>
      <c r="AY351" s="3584">
        <v>0</v>
      </c>
      <c r="AZ351" s="3584">
        <f>+(1*14245*12)*105%/100000</f>
        <v>1.79487</v>
      </c>
      <c r="BA351" s="3584">
        <f>+(1*14245*12)*105%/100000</f>
        <v>1.79487</v>
      </c>
      <c r="BB351" s="3584">
        <f>+(1*14245*12)*105%/100000</f>
        <v>1.79487</v>
      </c>
      <c r="BC351" s="3584">
        <f>+(1*14245*12)*105%/100000</f>
        <v>1.79487</v>
      </c>
      <c r="BD351" s="3584">
        <f>+(1*12000*12)*105%/100000</f>
        <v>1.512</v>
      </c>
      <c r="BE351" s="3584">
        <v>0</v>
      </c>
      <c r="BF351" s="3584">
        <f>+(1*14245*12)*105%/100000</f>
        <v>1.79487</v>
      </c>
      <c r="BG351" s="3584">
        <f>+(1*14245*12)*105%/100000</f>
        <v>1.79487</v>
      </c>
      <c r="BH351" s="3584">
        <f>+(1*14245*12)*105%/100000</f>
        <v>1.79487</v>
      </c>
      <c r="BI351" s="3584">
        <f>+(1*14245*12)*105%/100000</f>
        <v>1.79487</v>
      </c>
      <c r="BJ351" s="3584">
        <f>+(1*14245*12)*105%/100000</f>
        <v>1.79487</v>
      </c>
      <c r="BK351" s="3584"/>
      <c r="BL351" s="3584"/>
      <c r="BM351" s="3584"/>
      <c r="BN351" s="3584"/>
      <c r="BO351" s="3582"/>
      <c r="BP351" s="3582"/>
      <c r="BQ351" s="3582"/>
      <c r="BR351" s="3582"/>
      <c r="BS351" s="3582"/>
      <c r="BT351" s="3582"/>
      <c r="BU351" s="3582"/>
      <c r="BV351" s="3582"/>
      <c r="BW351" s="3582"/>
      <c r="BX351" s="3582"/>
      <c r="BY351" s="3582"/>
      <c r="BZ351" s="3582"/>
      <c r="CA351" s="3582"/>
      <c r="CB351" s="3582"/>
      <c r="CC351" s="3582"/>
      <c r="CD351" s="3582"/>
      <c r="CE351" s="3582"/>
      <c r="CF351" s="3583">
        <f t="shared" si="114"/>
        <v>23.745829999999998</v>
      </c>
    </row>
    <row r="352" spans="1:84" ht="37.5" customHeight="1">
      <c r="A352" s="679" t="s">
        <v>3630</v>
      </c>
      <c r="B352" s="521"/>
      <c r="C352" s="521" t="s">
        <v>2132</v>
      </c>
      <c r="D352" s="3833"/>
      <c r="E352" s="3833"/>
      <c r="F352" s="3774"/>
      <c r="G352" s="3835"/>
      <c r="H352" s="3803"/>
      <c r="I352" s="3839"/>
      <c r="J352" s="3803"/>
      <c r="K352" s="3843"/>
      <c r="L352" s="683"/>
      <c r="M352" s="3127" t="s">
        <v>5825</v>
      </c>
      <c r="N352" s="3837"/>
      <c r="O352" s="3685"/>
      <c r="P352" s="3685"/>
      <c r="Q352" s="3685"/>
      <c r="R352" s="3685"/>
      <c r="S352" s="3685"/>
      <c r="T352" s="3685"/>
      <c r="U352" s="3685"/>
      <c r="V352" s="3685"/>
      <c r="W352" s="3685"/>
      <c r="X352" s="3685"/>
      <c r="Y352" s="3685"/>
      <c r="Z352" s="3685"/>
      <c r="AA352" s="3685"/>
      <c r="AB352" s="3685"/>
      <c r="AC352" s="3685"/>
      <c r="AD352" s="3685"/>
      <c r="AE352" s="3685"/>
      <c r="AF352" s="3685"/>
      <c r="AG352" s="3685"/>
      <c r="AH352" s="3685"/>
      <c r="AI352" s="3685"/>
      <c r="AJ352" s="3685"/>
      <c r="AK352" s="3685"/>
      <c r="AL352" s="3685"/>
      <c r="AM352" s="3685"/>
      <c r="AN352" s="3685"/>
      <c r="AO352" s="3685"/>
      <c r="AP352" s="3685"/>
      <c r="AQ352" s="3685"/>
      <c r="AR352" s="3685"/>
      <c r="AS352" s="3685"/>
      <c r="AT352" s="3685"/>
      <c r="AU352" s="3685"/>
      <c r="AV352" s="3685"/>
      <c r="AW352" s="3685"/>
      <c r="AX352" s="3584">
        <v>7.51</v>
      </c>
      <c r="AY352" s="3584">
        <f>+(1*14245*12)*105%/100000</f>
        <v>1.79487</v>
      </c>
      <c r="AZ352" s="3584">
        <f>+(1*25161*12+1*14245*12)*105%/100000</f>
        <v>4.9651560000000003</v>
      </c>
      <c r="BA352" s="3584">
        <f>+(1*13991*12+1*14245*12)*105%/100000</f>
        <v>3.5577360000000002</v>
      </c>
      <c r="BB352" s="3584">
        <f>+(1*22701*12+1*14245*12)*105%/100000</f>
        <v>4.6551960000000001</v>
      </c>
      <c r="BC352" s="3584">
        <f>+(1*14245*12)*105%/100000</f>
        <v>1.79487</v>
      </c>
      <c r="BD352" s="3584">
        <f>+(1*14245*12)*105%/100000</f>
        <v>1.79487</v>
      </c>
      <c r="BE352" s="3584">
        <v>0</v>
      </c>
      <c r="BF352" s="3584">
        <f>+(1*24006*12+1*14245*12)*105%/100000</f>
        <v>4.8196260000000004</v>
      </c>
      <c r="BG352" s="3584">
        <f>+(1*24699*12+1*14245*12)*105%/100000</f>
        <v>4.9069440000000002</v>
      </c>
      <c r="BH352" s="3584">
        <f>+(1*14245*12)*105%/100000</f>
        <v>1.79487</v>
      </c>
      <c r="BI352" s="3584">
        <f>+(1*23437*12+1*14245*12)*105%/100000</f>
        <v>4.7479320000000005</v>
      </c>
      <c r="BJ352" s="3584">
        <f>+(1*20495*12+1*14245*12)*105%/100000</f>
        <v>4.3772399999999996</v>
      </c>
      <c r="BK352" s="3584"/>
      <c r="BL352" s="3584"/>
      <c r="BM352" s="3584"/>
      <c r="BN352" s="3584"/>
      <c r="BO352" s="3582"/>
      <c r="BP352" s="3582"/>
      <c r="BQ352" s="3582"/>
      <c r="BR352" s="3582"/>
      <c r="BS352" s="3582"/>
      <c r="BT352" s="3582"/>
      <c r="BU352" s="3582"/>
      <c r="BV352" s="3582"/>
      <c r="BW352" s="3582"/>
      <c r="BX352" s="3582"/>
      <c r="BY352" s="3582"/>
      <c r="BZ352" s="3582"/>
      <c r="CA352" s="3582"/>
      <c r="CB352" s="3582"/>
      <c r="CC352" s="3582"/>
      <c r="CD352" s="3582"/>
      <c r="CE352" s="3582"/>
      <c r="CF352" s="3583">
        <f t="shared" si="114"/>
        <v>46.71931</v>
      </c>
    </row>
    <row r="353" spans="1:84" ht="37.5" customHeight="1">
      <c r="A353" s="679" t="s">
        <v>3633</v>
      </c>
      <c r="B353" s="536"/>
      <c r="C353" s="521" t="s">
        <v>2136</v>
      </c>
      <c r="D353" s="3833"/>
      <c r="E353" s="3833"/>
      <c r="F353" s="3774"/>
      <c r="G353" s="3835"/>
      <c r="H353" s="3803"/>
      <c r="I353" s="3839"/>
      <c r="J353" s="3803"/>
      <c r="K353" s="3843"/>
      <c r="L353" s="683"/>
      <c r="M353" s="3127" t="s">
        <v>5824</v>
      </c>
      <c r="N353" s="3844"/>
      <c r="O353" s="3685"/>
      <c r="P353" s="3685"/>
      <c r="Q353" s="3685"/>
      <c r="R353" s="3685"/>
      <c r="S353" s="3685"/>
      <c r="T353" s="3685"/>
      <c r="U353" s="3685"/>
      <c r="V353" s="3685"/>
      <c r="W353" s="3685"/>
      <c r="X353" s="3685"/>
      <c r="Y353" s="3685"/>
      <c r="Z353" s="3685"/>
      <c r="AA353" s="3685"/>
      <c r="AB353" s="3685"/>
      <c r="AC353" s="3685"/>
      <c r="AD353" s="3685"/>
      <c r="AE353" s="3685"/>
      <c r="AF353" s="3685"/>
      <c r="AG353" s="3685"/>
      <c r="AH353" s="3685"/>
      <c r="AI353" s="3685"/>
      <c r="AJ353" s="3685"/>
      <c r="AK353" s="3685"/>
      <c r="AL353" s="3685"/>
      <c r="AM353" s="3685"/>
      <c r="AN353" s="3685"/>
      <c r="AO353" s="3685"/>
      <c r="AP353" s="3685"/>
      <c r="AQ353" s="3685"/>
      <c r="AR353" s="3685"/>
      <c r="AS353" s="3685"/>
      <c r="AT353" s="3685"/>
      <c r="AU353" s="3685"/>
      <c r="AV353" s="3685"/>
      <c r="AW353" s="3685"/>
      <c r="AX353" s="3584">
        <v>4.9800000000000004</v>
      </c>
      <c r="AY353" s="3584">
        <f>+(1*25201*12+1*11000*12)*105%/100000</f>
        <v>4.5613260000000002</v>
      </c>
      <c r="AZ353" s="3584">
        <f>+(1*25170*12+1*23426*12)*105%/100000</f>
        <v>6.1230959999999994</v>
      </c>
      <c r="BA353" s="3584">
        <f>+(1*24179*12+1*24179*12)*105%/100000</f>
        <v>6.0931080000000009</v>
      </c>
      <c r="BB353" s="3584">
        <f>+(1*25223*12+1*23725*12)*105%/100000</f>
        <v>6.1674480000000003</v>
      </c>
      <c r="BC353" s="3584">
        <f>+(1*16572*12+1*11000*12)*105%/100000</f>
        <v>3.474072</v>
      </c>
      <c r="BD353" s="3584">
        <f>+(1*25265*12+1*23455*12)*105%/100000</f>
        <v>6.1387200000000002</v>
      </c>
      <c r="BE353" s="3584">
        <f>+(1*25515*12)*105%/100000</f>
        <v>3.21489</v>
      </c>
      <c r="BF353" s="3584">
        <f>+(1*25155*12+1*23433*12)*105%/100000</f>
        <v>6.1220880000000006</v>
      </c>
      <c r="BG353" s="3584">
        <f>+(1*24441*12+1*18967*12)*105%/100000</f>
        <v>5.4694080000000005</v>
      </c>
      <c r="BH353" s="3584">
        <f>+(1*25200*12+1*23425*12)*105%/100000</f>
        <v>6.1267500000000004</v>
      </c>
      <c r="BI353" s="3584">
        <f>+(1*25482*12+1*23426*12)*105%/100000</f>
        <v>6.1624080000000001</v>
      </c>
      <c r="BJ353" s="3584">
        <f>+(1*24905*12+1*23426*12)*105%/100000</f>
        <v>6.0897059999999996</v>
      </c>
      <c r="BK353" s="3584"/>
      <c r="BL353" s="3584"/>
      <c r="BM353" s="3584"/>
      <c r="BN353" s="3584"/>
      <c r="BO353" s="3582"/>
      <c r="BP353" s="3582"/>
      <c r="BQ353" s="3582"/>
      <c r="BR353" s="3582"/>
      <c r="BS353" s="3582"/>
      <c r="BT353" s="3582"/>
      <c r="BU353" s="3582"/>
      <c r="BV353" s="3582"/>
      <c r="BW353" s="3582"/>
      <c r="BX353" s="3582"/>
      <c r="BY353" s="3582"/>
      <c r="BZ353" s="3582"/>
      <c r="CA353" s="3582"/>
      <c r="CB353" s="3582"/>
      <c r="CC353" s="3582"/>
      <c r="CD353" s="3582"/>
      <c r="CE353" s="3582"/>
      <c r="CF353" s="3583">
        <f t="shared" si="114"/>
        <v>70.723019999999991</v>
      </c>
    </row>
    <row r="354" spans="1:84" ht="37.5" customHeight="1">
      <c r="A354" s="3778" t="s">
        <v>3638</v>
      </c>
      <c r="B354" s="521"/>
      <c r="C354" s="3779" t="s">
        <v>5988</v>
      </c>
      <c r="D354" s="3832" t="s">
        <v>85</v>
      </c>
      <c r="E354" s="3832" t="s">
        <v>85</v>
      </c>
      <c r="F354" s="3774"/>
      <c r="G354" s="3845"/>
      <c r="H354" s="3802">
        <v>240884</v>
      </c>
      <c r="I354" s="3838">
        <f>H354/100000</f>
        <v>2.4088400000000001</v>
      </c>
      <c r="J354" s="3802">
        <v>52</v>
      </c>
      <c r="K354" s="3842">
        <f>I354*J354</f>
        <v>125.25968</v>
      </c>
      <c r="L354" s="683"/>
      <c r="M354" s="3780" t="s">
        <v>5944</v>
      </c>
      <c r="N354" s="3847">
        <v>144.46</v>
      </c>
      <c r="O354" s="3770">
        <f t="shared" ref="O354" si="138">K354-N354</f>
        <v>-19.200320000000005</v>
      </c>
      <c r="P354" s="3685"/>
      <c r="Q354" s="3685"/>
      <c r="R354" s="3685"/>
      <c r="S354" s="3685"/>
      <c r="T354" s="3685"/>
      <c r="U354" s="3685"/>
      <c r="V354" s="3685"/>
      <c r="W354" s="3685"/>
      <c r="X354" s="3685"/>
      <c r="Y354" s="3685"/>
      <c r="Z354" s="3685"/>
      <c r="AA354" s="3685"/>
      <c r="AB354" s="3685"/>
      <c r="AC354" s="3685"/>
      <c r="AD354" s="3685"/>
      <c r="AE354" s="3685"/>
      <c r="AF354" s="3685"/>
      <c r="AG354" s="3685"/>
      <c r="AH354" s="3685"/>
      <c r="AI354" s="3685"/>
      <c r="AJ354" s="3685"/>
      <c r="AK354" s="3685"/>
      <c r="AL354" s="3685"/>
      <c r="AM354" s="3685"/>
      <c r="AN354" s="3685"/>
      <c r="AO354" s="3685"/>
      <c r="AP354" s="3685"/>
      <c r="AQ354" s="3685"/>
      <c r="AR354" s="3685"/>
      <c r="AS354" s="3685"/>
      <c r="AT354" s="3685"/>
      <c r="AU354" s="3685"/>
      <c r="AV354" s="3685"/>
      <c r="AW354" s="3685"/>
      <c r="AX354" s="3584">
        <v>19.2</v>
      </c>
      <c r="AY354" s="3584"/>
      <c r="AZ354" s="3584"/>
      <c r="BA354" s="3584"/>
      <c r="BB354" s="3584"/>
      <c r="BC354" s="3584"/>
      <c r="BD354" s="3584"/>
      <c r="BE354" s="3584"/>
      <c r="BF354" s="3584"/>
      <c r="BG354" s="3584"/>
      <c r="BH354" s="3584"/>
      <c r="BI354" s="3584"/>
      <c r="BJ354" s="3584"/>
      <c r="BK354" s="3584"/>
      <c r="BL354" s="3584"/>
      <c r="BM354" s="3584"/>
      <c r="BN354" s="3584"/>
      <c r="BO354" s="3582"/>
      <c r="BP354" s="3582"/>
      <c r="BQ354" s="3582"/>
      <c r="BR354" s="3582"/>
      <c r="BS354" s="3582"/>
      <c r="BT354" s="3582"/>
      <c r="BU354" s="3582"/>
      <c r="BV354" s="3582"/>
      <c r="BW354" s="3582"/>
      <c r="BX354" s="3582"/>
      <c r="BY354" s="3582"/>
      <c r="BZ354" s="3582"/>
      <c r="CA354" s="3582"/>
      <c r="CB354" s="3582"/>
      <c r="CC354" s="3582"/>
      <c r="CD354" s="3582"/>
      <c r="CE354" s="3582"/>
      <c r="CF354" s="3583">
        <f t="shared" si="114"/>
        <v>19.2</v>
      </c>
    </row>
    <row r="355" spans="1:84" ht="37.5" customHeight="1">
      <c r="A355" s="679" t="s">
        <v>3641</v>
      </c>
      <c r="B355" s="521"/>
      <c r="C355" s="521" t="s">
        <v>2132</v>
      </c>
      <c r="D355" s="3833"/>
      <c r="E355" s="3833"/>
      <c r="F355" s="3774"/>
      <c r="G355" s="3846"/>
      <c r="H355" s="3803"/>
      <c r="I355" s="3839"/>
      <c r="J355" s="3803"/>
      <c r="K355" s="3843"/>
      <c r="L355" s="683"/>
      <c r="M355" s="3127" t="s">
        <v>5826</v>
      </c>
      <c r="N355" s="3848"/>
      <c r="O355" s="3685"/>
      <c r="P355" s="3685"/>
      <c r="Q355" s="3685"/>
      <c r="R355" s="3685"/>
      <c r="S355" s="3685"/>
      <c r="T355" s="3685"/>
      <c r="U355" s="3685"/>
      <c r="V355" s="3685"/>
      <c r="W355" s="3685"/>
      <c r="X355" s="3685"/>
      <c r="Y355" s="3685"/>
      <c r="Z355" s="3685"/>
      <c r="AA355" s="3685"/>
      <c r="AB355" s="3685"/>
      <c r="AC355" s="3685"/>
      <c r="AD355" s="3685"/>
      <c r="AE355" s="3685"/>
      <c r="AF355" s="3685"/>
      <c r="AG355" s="3685"/>
      <c r="AH355" s="3685"/>
      <c r="AI355" s="3685"/>
      <c r="AJ355" s="3685"/>
      <c r="AK355" s="3685"/>
      <c r="AL355" s="3685"/>
      <c r="AM355" s="3685"/>
      <c r="AN355" s="3685"/>
      <c r="AO355" s="3685"/>
      <c r="AP355" s="3685"/>
      <c r="AQ355" s="3685"/>
      <c r="AR355" s="3685"/>
      <c r="AS355" s="3685"/>
      <c r="AT355" s="3685"/>
      <c r="AU355" s="3685"/>
      <c r="AV355" s="3685"/>
      <c r="AW355" s="3685"/>
      <c r="AX355" s="3584">
        <v>5.07</v>
      </c>
      <c r="AY355" s="3584"/>
      <c r="AZ355" s="3584">
        <v>2.35</v>
      </c>
      <c r="BA355" s="3584">
        <v>2.35</v>
      </c>
      <c r="BB355" s="3584">
        <v>2.35</v>
      </c>
      <c r="BC355" s="3584">
        <v>0</v>
      </c>
      <c r="BD355" s="3584">
        <v>2.35</v>
      </c>
      <c r="BE355" s="3584">
        <v>0</v>
      </c>
      <c r="BF355" s="3584">
        <v>2.35</v>
      </c>
      <c r="BG355" s="3584">
        <v>2.35</v>
      </c>
      <c r="BH355" s="3584">
        <v>2.35</v>
      </c>
      <c r="BI355" s="3584">
        <v>2.35</v>
      </c>
      <c r="BJ355" s="3584">
        <v>2.35</v>
      </c>
      <c r="BK355" s="3584"/>
      <c r="BL355" s="3584"/>
      <c r="BM355" s="3584"/>
      <c r="BN355" s="3584"/>
      <c r="BO355" s="3582"/>
      <c r="BP355" s="3582"/>
      <c r="BQ355" s="3582"/>
      <c r="BR355" s="3582"/>
      <c r="BS355" s="3582"/>
      <c r="BT355" s="3582"/>
      <c r="BU355" s="3582"/>
      <c r="BV355" s="3582"/>
      <c r="BW355" s="3582"/>
      <c r="BX355" s="3582"/>
      <c r="BY355" s="3582"/>
      <c r="BZ355" s="3582"/>
      <c r="CA355" s="3582"/>
      <c r="CB355" s="3582"/>
      <c r="CC355" s="3582"/>
      <c r="CD355" s="3582"/>
      <c r="CE355" s="3582"/>
      <c r="CF355" s="3583">
        <f t="shared" si="114"/>
        <v>26.220000000000006</v>
      </c>
    </row>
    <row r="356" spans="1:84" ht="37.5" customHeight="1">
      <c r="A356" s="679" t="s">
        <v>3642</v>
      </c>
      <c r="B356" s="521"/>
      <c r="C356" s="529" t="s">
        <v>2133</v>
      </c>
      <c r="D356" s="3833"/>
      <c r="E356" s="3833"/>
      <c r="F356" s="3774"/>
      <c r="G356" s="3846"/>
      <c r="H356" s="3803"/>
      <c r="I356" s="3839"/>
      <c r="J356" s="3803"/>
      <c r="K356" s="3843"/>
      <c r="L356" s="683"/>
      <c r="M356" s="2282"/>
      <c r="N356" s="3848"/>
      <c r="O356" s="3685"/>
      <c r="P356" s="3685"/>
      <c r="Q356" s="3685"/>
      <c r="R356" s="3685"/>
      <c r="S356" s="3685"/>
      <c r="T356" s="3685"/>
      <c r="U356" s="3685"/>
      <c r="V356" s="3685"/>
      <c r="W356" s="3685"/>
      <c r="X356" s="3685"/>
      <c r="Y356" s="3685"/>
      <c r="Z356" s="3685"/>
      <c r="AA356" s="3685"/>
      <c r="AB356" s="3685"/>
      <c r="AC356" s="3685"/>
      <c r="AD356" s="3685"/>
      <c r="AE356" s="3685"/>
      <c r="AF356" s="3685"/>
      <c r="AG356" s="3685"/>
      <c r="AH356" s="3685"/>
      <c r="AI356" s="3685"/>
      <c r="AJ356" s="3685"/>
      <c r="AK356" s="3685"/>
      <c r="AL356" s="3685"/>
      <c r="AM356" s="3685"/>
      <c r="AN356" s="3685"/>
      <c r="AO356" s="3685"/>
      <c r="AP356" s="3685"/>
      <c r="AQ356" s="3685"/>
      <c r="AR356" s="3685"/>
      <c r="AS356" s="3685"/>
      <c r="AT356" s="3685"/>
      <c r="AU356" s="3685"/>
      <c r="AV356" s="3685"/>
      <c r="AW356" s="3685"/>
      <c r="AX356" s="3584"/>
      <c r="AY356" s="3584"/>
      <c r="AZ356" s="3584"/>
      <c r="BA356" s="3584"/>
      <c r="BB356" s="3584"/>
      <c r="BC356" s="3584"/>
      <c r="BD356" s="3584"/>
      <c r="BE356" s="3584"/>
      <c r="BF356" s="3584"/>
      <c r="BG356" s="3584"/>
      <c r="BH356" s="3584"/>
      <c r="BI356" s="3584"/>
      <c r="BJ356" s="3584"/>
      <c r="BK356" s="3584"/>
      <c r="BL356" s="3584"/>
      <c r="BM356" s="3584"/>
      <c r="BN356" s="3584"/>
      <c r="BO356" s="3582"/>
      <c r="BP356" s="3582"/>
      <c r="BQ356" s="3582"/>
      <c r="BR356" s="3582"/>
      <c r="BS356" s="3582"/>
      <c r="BT356" s="3582"/>
      <c r="BU356" s="3582"/>
      <c r="BV356" s="3582"/>
      <c r="BW356" s="3582"/>
      <c r="BX356" s="3582"/>
      <c r="BY356" s="3582"/>
      <c r="BZ356" s="3582"/>
      <c r="CA356" s="3582"/>
      <c r="CB356" s="3582"/>
      <c r="CC356" s="3582"/>
      <c r="CD356" s="3582"/>
      <c r="CE356" s="3582"/>
      <c r="CF356" s="3583">
        <f t="shared" si="114"/>
        <v>0</v>
      </c>
    </row>
    <row r="357" spans="1:84" ht="37.5" customHeight="1">
      <c r="A357" s="679" t="s">
        <v>3643</v>
      </c>
      <c r="B357" s="521"/>
      <c r="C357" s="521" t="s">
        <v>2135</v>
      </c>
      <c r="D357" s="3833"/>
      <c r="E357" s="3833"/>
      <c r="F357" s="3774"/>
      <c r="G357" s="3846"/>
      <c r="H357" s="3803"/>
      <c r="I357" s="3839"/>
      <c r="J357" s="3803"/>
      <c r="K357" s="3843"/>
      <c r="L357" s="683"/>
      <c r="M357" s="3781" t="s">
        <v>5827</v>
      </c>
      <c r="N357" s="3848"/>
      <c r="O357" s="3685"/>
      <c r="P357" s="3685"/>
      <c r="Q357" s="3685"/>
      <c r="R357" s="3685"/>
      <c r="S357" s="3685"/>
      <c r="T357" s="3685"/>
      <c r="U357" s="3685"/>
      <c r="V357" s="3685"/>
      <c r="W357" s="3685"/>
      <c r="X357" s="3685"/>
      <c r="Y357" s="3685"/>
      <c r="Z357" s="3685"/>
      <c r="AA357" s="3685"/>
      <c r="AB357" s="3685"/>
      <c r="AC357" s="3685"/>
      <c r="AD357" s="3685"/>
      <c r="AE357" s="3685"/>
      <c r="AF357" s="3685"/>
      <c r="AG357" s="3685"/>
      <c r="AH357" s="3685"/>
      <c r="AI357" s="3685"/>
      <c r="AJ357" s="3685"/>
      <c r="AK357" s="3685"/>
      <c r="AL357" s="3685"/>
      <c r="AM357" s="3685"/>
      <c r="AN357" s="3685"/>
      <c r="AO357" s="3685"/>
      <c r="AP357" s="3685"/>
      <c r="AQ357" s="3685"/>
      <c r="AR357" s="3685"/>
      <c r="AS357" s="3685"/>
      <c r="AT357" s="3685"/>
      <c r="AU357" s="3685"/>
      <c r="AV357" s="3685"/>
      <c r="AW357" s="3685"/>
      <c r="AX357" s="3584">
        <v>8.74</v>
      </c>
      <c r="AY357" s="3584">
        <f>+(1*27609*12+1*22473*12)*105%/100000</f>
        <v>6.3103320000000007</v>
      </c>
      <c r="AZ357" s="3584">
        <f>+(1*22473*12)*105%/100000</f>
        <v>2.8315980000000001</v>
      </c>
      <c r="BA357" s="3584">
        <f>+(1*27607*12+1*22473*12)*105%/100000</f>
        <v>6.3100800000000001</v>
      </c>
      <c r="BB357" s="3584">
        <f>+(1*15153*12+1*27609*12+1*22473*12)*105%/100000</f>
        <v>8.2196099999999994</v>
      </c>
      <c r="BC357" s="3584">
        <f>+(1*27609*12+1*22473*12)*105%/100000</f>
        <v>6.3103320000000007</v>
      </c>
      <c r="BD357" s="3584">
        <f>+(1*27609*12+1*22473*12)*105%/100000</f>
        <v>6.3103320000000007</v>
      </c>
      <c r="BE357" s="3584">
        <f>+(1*27609*12+1*22473*12)*105%/100000</f>
        <v>6.3103320000000007</v>
      </c>
      <c r="BF357" s="3584">
        <f>+(1*27609*12+1*22473*12)*105%/100000</f>
        <v>6.3103320000000007</v>
      </c>
      <c r="BG357" s="3584">
        <f>+(1*24875*12+1*22473*12)*105%/100000</f>
        <v>5.9658480000000003</v>
      </c>
      <c r="BH357" s="3584">
        <f>+(1*27608*12+1*22473*12)*105%/100000</f>
        <v>6.310206</v>
      </c>
      <c r="BI357" s="3584">
        <f>+(1*27608*12+1*22473*12)*105%/100000</f>
        <v>6.310206</v>
      </c>
      <c r="BJ357" s="3584">
        <f>+(1*27607*12+1*22473*12)*105%/100000</f>
        <v>6.3100800000000001</v>
      </c>
      <c r="BK357" s="3584"/>
      <c r="BL357" s="3584"/>
      <c r="BM357" s="3584"/>
      <c r="BN357" s="3584"/>
      <c r="BO357" s="3582"/>
      <c r="BP357" s="3582"/>
      <c r="BQ357" s="3582"/>
      <c r="BR357" s="3582"/>
      <c r="BS357" s="3582"/>
      <c r="BT357" s="3582"/>
      <c r="BU357" s="3582"/>
      <c r="BV357" s="3582"/>
      <c r="BW357" s="3582"/>
      <c r="BX357" s="3582"/>
      <c r="BY357" s="3582"/>
      <c r="BZ357" s="3582"/>
      <c r="CA357" s="3582"/>
      <c r="CB357" s="3582"/>
      <c r="CC357" s="3582"/>
      <c r="CD357" s="3582"/>
      <c r="CE357" s="3582"/>
      <c r="CF357" s="3583">
        <f t="shared" si="114"/>
        <v>82.549288000000004</v>
      </c>
    </row>
    <row r="358" spans="1:84" ht="37.5" customHeight="1">
      <c r="A358" s="679" t="s">
        <v>3644</v>
      </c>
      <c r="B358" s="521"/>
      <c r="C358" s="521" t="s">
        <v>2136</v>
      </c>
      <c r="D358" s="3833"/>
      <c r="E358" s="3833"/>
      <c r="F358" s="3774"/>
      <c r="G358" s="3846"/>
      <c r="H358" s="3803"/>
      <c r="I358" s="3839"/>
      <c r="J358" s="3803"/>
      <c r="K358" s="3843"/>
      <c r="L358" s="683"/>
      <c r="M358" s="3127" t="s">
        <v>5823</v>
      </c>
      <c r="N358" s="3848"/>
      <c r="O358" s="3685"/>
      <c r="P358" s="3685"/>
      <c r="Q358" s="3685"/>
      <c r="R358" s="3685"/>
      <c r="S358" s="3685"/>
      <c r="T358" s="3685"/>
      <c r="U358" s="3685"/>
      <c r="V358" s="3685"/>
      <c r="W358" s="3685"/>
      <c r="X358" s="3685"/>
      <c r="Y358" s="3685"/>
      <c r="Z358" s="3685"/>
      <c r="AA358" s="3685"/>
      <c r="AB358" s="3685"/>
      <c r="AC358" s="3685"/>
      <c r="AD358" s="3685"/>
      <c r="AE358" s="3685"/>
      <c r="AF358" s="3685"/>
      <c r="AG358" s="3685"/>
      <c r="AH358" s="3685"/>
      <c r="AI358" s="3685"/>
      <c r="AJ358" s="3685"/>
      <c r="AK358" s="3685"/>
      <c r="AL358" s="3685"/>
      <c r="AM358" s="3685"/>
      <c r="AN358" s="3685"/>
      <c r="AO358" s="3685"/>
      <c r="AP358" s="3685"/>
      <c r="AQ358" s="3685"/>
      <c r="AR358" s="3685"/>
      <c r="AS358" s="3685"/>
      <c r="AT358" s="3685"/>
      <c r="AU358" s="3685"/>
      <c r="AV358" s="3685"/>
      <c r="AW358" s="3685"/>
      <c r="AX358" s="3584">
        <v>-0.37</v>
      </c>
      <c r="AY358" s="3584">
        <f>+(1*11000*12)*105%/100000</f>
        <v>1.3859999999999999</v>
      </c>
      <c r="AZ358" s="3584">
        <f>+(1*24441*12)*105%/100000</f>
        <v>3.0795660000000002</v>
      </c>
      <c r="BA358" s="3584">
        <f>+(1*18967*12)*105%/100000</f>
        <v>2.3898420000000002</v>
      </c>
      <c r="BB358" s="3584">
        <f>+(1*11000*12)*105%/100000</f>
        <v>1.3859999999999999</v>
      </c>
      <c r="BC358" s="3584">
        <v>0</v>
      </c>
      <c r="BD358" s="3584">
        <f>+(1*11000*12)*105%/100000</f>
        <v>1.3859999999999999</v>
      </c>
      <c r="BE358" s="3584">
        <v>0</v>
      </c>
      <c r="BF358" s="3584">
        <v>0</v>
      </c>
      <c r="BG358" s="3584">
        <f>+(1*24473*12)*105%/100000</f>
        <v>3.0835979999999998</v>
      </c>
      <c r="BH358" s="3584">
        <f>+(1*11000*12)*105%/100000</f>
        <v>1.3859999999999999</v>
      </c>
      <c r="BI358" s="3584">
        <f>+(1*11000*12)*105%/100000</f>
        <v>1.3859999999999999</v>
      </c>
      <c r="BJ358" s="3584">
        <f>+(1*11000*12)*105%/100000</f>
        <v>1.3859999999999999</v>
      </c>
      <c r="BK358" s="3584"/>
      <c r="BL358" s="3584"/>
      <c r="BM358" s="3584"/>
      <c r="BN358" s="3584"/>
      <c r="BO358" s="3582"/>
      <c r="BP358" s="3582"/>
      <c r="BQ358" s="3582"/>
      <c r="BR358" s="3582"/>
      <c r="BS358" s="3582"/>
      <c r="BT358" s="3582"/>
      <c r="BU358" s="3582"/>
      <c r="BV358" s="3582"/>
      <c r="BW358" s="3582"/>
      <c r="BX358" s="3582"/>
      <c r="BY358" s="3582"/>
      <c r="BZ358" s="3582"/>
      <c r="CA358" s="3582"/>
      <c r="CB358" s="3582"/>
      <c r="CC358" s="3582"/>
      <c r="CD358" s="3582"/>
      <c r="CE358" s="3582"/>
      <c r="CF358" s="3583">
        <f t="shared" si="114"/>
        <v>16.499005999999998</v>
      </c>
    </row>
    <row r="359" spans="1:84" ht="37.5" customHeight="1">
      <c r="A359" s="679" t="s">
        <v>3652</v>
      </c>
      <c r="B359" s="521"/>
      <c r="C359" s="521" t="s">
        <v>2132</v>
      </c>
      <c r="D359" s="3833"/>
      <c r="E359" s="3851" t="s">
        <v>85</v>
      </c>
      <c r="F359" s="3774"/>
      <c r="G359" s="3846"/>
      <c r="H359" s="3803"/>
      <c r="I359" s="3839"/>
      <c r="J359" s="3803"/>
      <c r="K359" s="3843"/>
      <c r="L359" s="683"/>
      <c r="M359" s="3127" t="s">
        <v>5828</v>
      </c>
      <c r="N359" s="3848">
        <v>6.89</v>
      </c>
      <c r="O359" s="3685"/>
      <c r="P359" s="3685"/>
      <c r="Q359" s="3685"/>
      <c r="R359" s="3685"/>
      <c r="S359" s="3685"/>
      <c r="T359" s="3685"/>
      <c r="U359" s="3685"/>
      <c r="V359" s="3685"/>
      <c r="W359" s="3685"/>
      <c r="X359" s="3685"/>
      <c r="Y359" s="3685"/>
      <c r="Z359" s="3685"/>
      <c r="AA359" s="3685"/>
      <c r="AB359" s="3685"/>
      <c r="AC359" s="3685"/>
      <c r="AD359" s="3685"/>
      <c r="AE359" s="3685"/>
      <c r="AF359" s="3685"/>
      <c r="AG359" s="3685"/>
      <c r="AH359" s="3685"/>
      <c r="AI359" s="3685"/>
      <c r="AJ359" s="3685"/>
      <c r="AK359" s="3685"/>
      <c r="AL359" s="3685"/>
      <c r="AM359" s="3685"/>
      <c r="AN359" s="3685"/>
      <c r="AO359" s="3685"/>
      <c r="AP359" s="3685"/>
      <c r="AQ359" s="3685"/>
      <c r="AR359" s="3685"/>
      <c r="AS359" s="3685"/>
      <c r="AT359" s="3685"/>
      <c r="AU359" s="3685"/>
      <c r="AV359" s="3685"/>
      <c r="AW359" s="3685"/>
      <c r="AX359" s="3584"/>
      <c r="AY359" s="3584"/>
      <c r="AZ359" s="3584"/>
      <c r="BA359" s="3584"/>
      <c r="BB359" s="3584"/>
      <c r="BC359" s="3584">
        <v>2.89</v>
      </c>
      <c r="BD359" s="3584"/>
      <c r="BE359" s="3584"/>
      <c r="BF359" s="3584"/>
      <c r="BG359" s="3584"/>
      <c r="BH359" s="3584"/>
      <c r="BI359" s="3584"/>
      <c r="BJ359" s="3584"/>
      <c r="BK359" s="3584"/>
      <c r="BL359" s="3584"/>
      <c r="BM359" s="3584"/>
      <c r="BN359" s="3584"/>
      <c r="BO359" s="3582"/>
      <c r="BP359" s="3582"/>
      <c r="BQ359" s="3582"/>
      <c r="BR359" s="3582"/>
      <c r="BS359" s="3582"/>
      <c r="BT359" s="3582"/>
      <c r="BU359" s="3582"/>
      <c r="BV359" s="3582"/>
      <c r="BW359" s="3582"/>
      <c r="BX359" s="3582"/>
      <c r="BY359" s="3582"/>
      <c r="BZ359" s="3582"/>
      <c r="CA359" s="3582"/>
      <c r="CB359" s="3582"/>
      <c r="CC359" s="3582"/>
      <c r="CD359" s="3582"/>
      <c r="CE359" s="3582"/>
      <c r="CF359" s="3583">
        <f t="shared" si="114"/>
        <v>2.89</v>
      </c>
    </row>
    <row r="360" spans="1:84" ht="37.5" customHeight="1">
      <c r="A360" s="679" t="s">
        <v>3655</v>
      </c>
      <c r="B360" s="521"/>
      <c r="C360" s="521" t="s">
        <v>2136</v>
      </c>
      <c r="D360" s="3833"/>
      <c r="E360" s="3833"/>
      <c r="F360" s="3774"/>
      <c r="G360" s="3846"/>
      <c r="H360" s="3803"/>
      <c r="I360" s="3839"/>
      <c r="J360" s="3803"/>
      <c r="K360" s="3843"/>
      <c r="L360" s="683"/>
      <c r="M360" s="3127" t="s">
        <v>5828</v>
      </c>
      <c r="N360" s="3848"/>
      <c r="O360" s="3685"/>
      <c r="P360" s="3685"/>
      <c r="Q360" s="3685"/>
      <c r="R360" s="3685"/>
      <c r="S360" s="3685"/>
      <c r="T360" s="3685"/>
      <c r="U360" s="3685"/>
      <c r="V360" s="3685"/>
      <c r="W360" s="3685"/>
      <c r="X360" s="3685"/>
      <c r="Y360" s="3685"/>
      <c r="Z360" s="3685"/>
      <c r="AA360" s="3685"/>
      <c r="AB360" s="3685"/>
      <c r="AC360" s="3685"/>
      <c r="AD360" s="3685"/>
      <c r="AE360" s="3685"/>
      <c r="AF360" s="3685"/>
      <c r="AG360" s="3685"/>
      <c r="AH360" s="3685"/>
      <c r="AI360" s="3685"/>
      <c r="AJ360" s="3685"/>
      <c r="AK360" s="3685"/>
      <c r="AL360" s="3685"/>
      <c r="AM360" s="3685"/>
      <c r="AN360" s="3685"/>
      <c r="AO360" s="3685"/>
      <c r="AP360" s="3685"/>
      <c r="AQ360" s="3685"/>
      <c r="AR360" s="3685"/>
      <c r="AS360" s="3685"/>
      <c r="AT360" s="3685"/>
      <c r="AU360" s="3685"/>
      <c r="AV360" s="3685"/>
      <c r="AW360" s="3685"/>
      <c r="AX360" s="3584">
        <v>4</v>
      </c>
      <c r="AY360" s="3584"/>
      <c r="AZ360" s="3584"/>
      <c r="BA360" s="3584"/>
      <c r="BB360" s="3584"/>
      <c r="BC360" s="3584"/>
      <c r="BD360" s="3584"/>
      <c r="BE360" s="3584"/>
      <c r="BF360" s="3584"/>
      <c r="BG360" s="3584"/>
      <c r="BH360" s="3584"/>
      <c r="BI360" s="3584"/>
      <c r="BJ360" s="3584"/>
      <c r="BK360" s="3584"/>
      <c r="BL360" s="3584"/>
      <c r="BM360" s="3584"/>
      <c r="BN360" s="3584"/>
      <c r="BO360" s="3582"/>
      <c r="BP360" s="3582"/>
      <c r="BQ360" s="3582"/>
      <c r="BR360" s="3582"/>
      <c r="BS360" s="3582"/>
      <c r="BT360" s="3582"/>
      <c r="BU360" s="3582"/>
      <c r="BV360" s="3582"/>
      <c r="BW360" s="3582"/>
      <c r="BX360" s="3582"/>
      <c r="BY360" s="3582"/>
      <c r="BZ360" s="3582"/>
      <c r="CA360" s="3582"/>
      <c r="CB360" s="3582"/>
      <c r="CC360" s="3582"/>
      <c r="CD360" s="3582"/>
      <c r="CE360" s="3582"/>
      <c r="CF360" s="3583">
        <f t="shared" si="114"/>
        <v>4</v>
      </c>
    </row>
    <row r="361" spans="1:84" ht="37.5" customHeight="1">
      <c r="A361" s="679" t="s">
        <v>3660</v>
      </c>
      <c r="B361" s="521"/>
      <c r="C361" s="521" t="s">
        <v>2142</v>
      </c>
      <c r="D361" s="3832" t="s">
        <v>85</v>
      </c>
      <c r="E361" s="3832" t="s">
        <v>85</v>
      </c>
      <c r="F361" s="3774"/>
      <c r="G361" s="3845"/>
      <c r="H361" s="3802">
        <v>235449</v>
      </c>
      <c r="I361" s="3838">
        <f>H361/100000</f>
        <v>2.3544900000000002</v>
      </c>
      <c r="J361" s="3802">
        <v>167</v>
      </c>
      <c r="K361" s="3842">
        <f>I361*J361</f>
        <v>393.19983000000002</v>
      </c>
      <c r="L361" s="683"/>
      <c r="M361" s="3127" t="s">
        <v>5829</v>
      </c>
      <c r="N361" s="3847">
        <v>393.2</v>
      </c>
      <c r="O361" s="3770">
        <f t="shared" ref="O361" si="139">K361-N361</f>
        <v>-1.6999999996869519E-4</v>
      </c>
      <c r="P361" s="3685"/>
      <c r="Q361" s="3685"/>
      <c r="R361" s="3685"/>
      <c r="S361" s="3685"/>
      <c r="T361" s="3685"/>
      <c r="U361" s="3685"/>
      <c r="V361" s="3685"/>
      <c r="W361" s="3685"/>
      <c r="X361" s="3685"/>
      <c r="Y361" s="3685"/>
      <c r="Z361" s="3685"/>
      <c r="AA361" s="3685"/>
      <c r="AB361" s="3685"/>
      <c r="AC361" s="3685"/>
      <c r="AD361" s="3685"/>
      <c r="AE361" s="3685"/>
      <c r="AF361" s="3685"/>
      <c r="AG361" s="3685"/>
      <c r="AH361" s="3685"/>
      <c r="AI361" s="3685"/>
      <c r="AJ361" s="3685"/>
      <c r="AK361" s="3685"/>
      <c r="AL361" s="3685"/>
      <c r="AM361" s="3685"/>
      <c r="AN361" s="3685"/>
      <c r="AO361" s="3685"/>
      <c r="AP361" s="3685"/>
      <c r="AQ361" s="3685"/>
      <c r="AR361" s="3685"/>
      <c r="AS361" s="3685"/>
      <c r="AT361" s="3685"/>
      <c r="AU361" s="3685"/>
      <c r="AV361" s="3685"/>
      <c r="AW361" s="3685"/>
      <c r="AX361" s="3584">
        <v>34.69</v>
      </c>
      <c r="AY361" s="3584">
        <f>+(1*27436*12+1*27721*12+2*12500*12)*105%/100000</f>
        <v>10.099782000000001</v>
      </c>
      <c r="AZ361" s="3584">
        <f>+(1*27709*12+5*12500*12)*105%/100000</f>
        <v>11.366334000000002</v>
      </c>
      <c r="BA361" s="3584">
        <f>+(5*12500*12)*105%/100000</f>
        <v>7.875</v>
      </c>
      <c r="BB361" s="3584">
        <f>+(2*27724*12+13*12500*12)*105%/100000</f>
        <v>27.461448000000004</v>
      </c>
      <c r="BC361" s="3584">
        <f>+(2*12500*12)*105%/100000</f>
        <v>3.15</v>
      </c>
      <c r="BD361" s="3584">
        <f>+(1*27768*12+2*12500*12)*105%/100000</f>
        <v>6.6487680000000005</v>
      </c>
      <c r="BE361" s="3584">
        <f>+(1*28625*12)*105%/100000</f>
        <v>3.6067499999999999</v>
      </c>
      <c r="BF361" s="3584">
        <f>+(1*26973*12+1*25785*12+1*18470*12+8*12500*12)*105%/100000</f>
        <v>21.574728000000004</v>
      </c>
      <c r="BG361" s="3584">
        <f>+(2*27724*12+4*12500*12)*105%/100000</f>
        <v>13.286448</v>
      </c>
      <c r="BH361" s="3584">
        <f>+(1*27724*12+5*12500*12)*105%/100000</f>
        <v>11.368224000000001</v>
      </c>
      <c r="BI361" s="3584">
        <f>+(2*27721*12+4*12500*12)*105%/100000</f>
        <v>13.285691999999999</v>
      </c>
      <c r="BJ361" s="3584">
        <f>+(4*12500*12)*105%/100000</f>
        <v>6.3</v>
      </c>
      <c r="BK361" s="3584"/>
      <c r="BL361" s="3584"/>
      <c r="BM361" s="3584"/>
      <c r="BN361" s="3584"/>
      <c r="BO361" s="3582"/>
      <c r="BP361" s="3582"/>
      <c r="BQ361" s="3582"/>
      <c r="BR361" s="3582"/>
      <c r="BS361" s="3582"/>
      <c r="BT361" s="3582"/>
      <c r="BU361" s="3582"/>
      <c r="BV361" s="3582"/>
      <c r="BW361" s="3582"/>
      <c r="BX361" s="3582"/>
      <c r="BY361" s="3582"/>
      <c r="BZ361" s="3582"/>
      <c r="CA361" s="3582"/>
      <c r="CB361" s="3582"/>
      <c r="CC361" s="3582"/>
      <c r="CD361" s="3582"/>
      <c r="CE361" s="3582"/>
      <c r="CF361" s="3583">
        <f t="shared" si="114"/>
        <v>170.71317400000004</v>
      </c>
    </row>
    <row r="362" spans="1:84" ht="37.5" customHeight="1">
      <c r="A362" s="679" t="s">
        <v>3666</v>
      </c>
      <c r="B362" s="521"/>
      <c r="C362" s="521" t="s">
        <v>2136</v>
      </c>
      <c r="D362" s="3833"/>
      <c r="E362" s="3833"/>
      <c r="F362" s="3774"/>
      <c r="G362" s="3846"/>
      <c r="H362" s="3803"/>
      <c r="I362" s="3839"/>
      <c r="J362" s="3803"/>
      <c r="K362" s="3843"/>
      <c r="L362" s="683"/>
      <c r="M362" s="3127" t="s">
        <v>5830</v>
      </c>
      <c r="N362" s="3853"/>
      <c r="O362" s="3685"/>
      <c r="P362" s="3685"/>
      <c r="Q362" s="3685"/>
      <c r="R362" s="3685"/>
      <c r="S362" s="3685"/>
      <c r="T362" s="3685"/>
      <c r="U362" s="3685"/>
      <c r="V362" s="3685"/>
      <c r="W362" s="3685"/>
      <c r="X362" s="3685"/>
      <c r="Y362" s="3685"/>
      <c r="Z362" s="3685"/>
      <c r="AA362" s="3685"/>
      <c r="AB362" s="3685"/>
      <c r="AC362" s="3685"/>
      <c r="AD362" s="3685"/>
      <c r="AE362" s="3685"/>
      <c r="AF362" s="3685"/>
      <c r="AG362" s="3685"/>
      <c r="AH362" s="3685"/>
      <c r="AI362" s="3685"/>
      <c r="AJ362" s="3685"/>
      <c r="AK362" s="3685"/>
      <c r="AL362" s="3685"/>
      <c r="AM362" s="3685"/>
      <c r="AN362" s="3685"/>
      <c r="AO362" s="3685"/>
      <c r="AP362" s="3685"/>
      <c r="AQ362" s="3685"/>
      <c r="AR362" s="3685"/>
      <c r="AS362" s="3685"/>
      <c r="AT362" s="3685"/>
      <c r="AU362" s="3685"/>
      <c r="AV362" s="3685"/>
      <c r="AW362" s="3685"/>
      <c r="AX362" s="3584">
        <v>27.96</v>
      </c>
      <c r="AY362" s="3584">
        <f>+(1*24441*12+1*24904*12+1*22950*12)*105%/100000</f>
        <v>9.1091700000000007</v>
      </c>
      <c r="AZ362" s="3584">
        <f>+(1*24529*12+1*20867*12+1*24440*12+1*24414*12+1*13642*12+1*24442*12+1*24413*12)*105%/100000</f>
        <v>19.750122000000001</v>
      </c>
      <c r="BA362" s="3584">
        <f>+(1*25481*12+1*23430*12+3*24179*12+1*16036*12)*105%/100000</f>
        <v>17.322984000000002</v>
      </c>
      <c r="BB362" s="3584">
        <f>+(7*24441*12+1*23671*12+1*23925*12+2*11000*12+1*12942*12+1*11000*10)*105%/100000</f>
        <v>33.111750000000001</v>
      </c>
      <c r="BC362" s="3584">
        <f>+(1*16572*12+1*24409*12+1*24412*12)*105%/100000</f>
        <v>8.2395180000000003</v>
      </c>
      <c r="BD362" s="3584">
        <f>+(1*24204*12+2*23926*12+1*24411*12+1*16035*12)*105%/100000</f>
        <v>14.175252</v>
      </c>
      <c r="BE362" s="3584">
        <f>+(1*16035*12+1*23701*12)*105%/100000</f>
        <v>5.0067360000000001</v>
      </c>
      <c r="BF362" s="3584">
        <f>+(1*24656*12+1*16036*12+2*11000*12+1*23926*12+1*16035*12+3*24411*12+1*23917*12+1*24434*12)*105%/100000</f>
        <v>28.253862000000002</v>
      </c>
      <c r="BG362" s="3584">
        <f>+(5*24179*12+1*24967*12+1*24180*12+1*23642*12+1*23918*12)*105%/100000</f>
        <v>27.417852000000003</v>
      </c>
      <c r="BH362" s="3584">
        <f>+(1*24470*12+1*16036*12+1*16572*12+1*11000*12)*105%/100000</f>
        <v>8.5778280000000002</v>
      </c>
      <c r="BI362" s="3584">
        <f>+(4*24441*12+1*12327*12)*105%/100000</f>
        <v>13.871466000000002</v>
      </c>
      <c r="BJ362" s="3584">
        <f>+(1*24408*12+1*23671*12+2*14415*12)*105%/100000</f>
        <v>9.6905339999999995</v>
      </c>
      <c r="BK362" s="3584"/>
      <c r="BL362" s="3584"/>
      <c r="BM362" s="3584"/>
      <c r="BN362" s="3584"/>
      <c r="BO362" s="3582"/>
      <c r="BP362" s="3582"/>
      <c r="BQ362" s="3582"/>
      <c r="BR362" s="3582"/>
      <c r="BS362" s="3582"/>
      <c r="BT362" s="3582"/>
      <c r="BU362" s="3582"/>
      <c r="BV362" s="3582"/>
      <c r="BW362" s="3582"/>
      <c r="BX362" s="3582"/>
      <c r="BY362" s="3582"/>
      <c r="BZ362" s="3582"/>
      <c r="CA362" s="3582"/>
      <c r="CB362" s="3582"/>
      <c r="CC362" s="3582"/>
      <c r="CD362" s="3582"/>
      <c r="CE362" s="3582"/>
      <c r="CF362" s="3583">
        <f t="shared" si="114"/>
        <v>222.48707400000001</v>
      </c>
    </row>
    <row r="363" spans="1:84" ht="37.5" customHeight="1">
      <c r="A363" s="679" t="s">
        <v>3677</v>
      </c>
      <c r="B363" s="521"/>
      <c r="C363" s="521" t="s">
        <v>2135</v>
      </c>
      <c r="D363" s="3833"/>
      <c r="E363" s="3851" t="s">
        <v>85</v>
      </c>
      <c r="F363" s="3774"/>
      <c r="G363" s="3846"/>
      <c r="H363" s="3852"/>
      <c r="I363" s="3839"/>
      <c r="J363" s="3852"/>
      <c r="K363" s="3843"/>
      <c r="L363" s="2418"/>
      <c r="M363" s="3127" t="s">
        <v>5929</v>
      </c>
      <c r="N363" s="3849">
        <v>438.55</v>
      </c>
      <c r="O363" s="3685"/>
      <c r="P363" s="3685"/>
      <c r="Q363" s="3685"/>
      <c r="R363" s="3685"/>
      <c r="S363" s="3685"/>
      <c r="T363" s="3685"/>
      <c r="U363" s="3685"/>
      <c r="V363" s="3685"/>
      <c r="W363" s="3685"/>
      <c r="X363" s="3685"/>
      <c r="Y363" s="3685"/>
      <c r="Z363" s="3685"/>
      <c r="AA363" s="3685"/>
      <c r="AB363" s="3685"/>
      <c r="AC363" s="3685"/>
      <c r="AD363" s="3685"/>
      <c r="AE363" s="3685"/>
      <c r="AF363" s="3685"/>
      <c r="AG363" s="3685"/>
      <c r="AH363" s="3685"/>
      <c r="AI363" s="3685"/>
      <c r="AJ363" s="3685"/>
      <c r="AK363" s="3685"/>
      <c r="AL363" s="3685"/>
      <c r="AM363" s="3685"/>
      <c r="AN363" s="3685"/>
      <c r="AO363" s="3685"/>
      <c r="AP363" s="3685"/>
      <c r="AQ363" s="3685"/>
      <c r="AR363" s="3685"/>
      <c r="AS363" s="3685"/>
      <c r="AT363" s="3685"/>
      <c r="AU363" s="3685"/>
      <c r="AV363" s="3685"/>
      <c r="AW363" s="3685"/>
      <c r="AX363" s="3584">
        <v>61.2</v>
      </c>
      <c r="AY363" s="3584">
        <f>+(4*22473*12+1*11500*12)*105%/100000</f>
        <v>12.775392</v>
      </c>
      <c r="AZ363" s="3584">
        <f>+(4*22473*12+2*18257*12+1*17302*12+1*15000*12+1*11500*12)*105%/100000</f>
        <v>21.446208000000002</v>
      </c>
      <c r="BA363" s="3584">
        <f>+(3*22471*12+2*21417*12+1*18257*12+1*21418*12+1*17302*12+1*11500*12)*105%/100000</f>
        <v>22.519223999999998</v>
      </c>
      <c r="BB363" s="3584">
        <f>+(12*22472*12+1*23022*12+3*21418*12+2*18256*12+1*15000*12+2*11500*12)*105%/100000</f>
        <v>54.362952</v>
      </c>
      <c r="BC363" s="3584">
        <f>+(1*22473*12+2*16433*12)*105%/100000</f>
        <v>6.9727139999999999</v>
      </c>
      <c r="BD363" s="3584">
        <f>+(5*24304*12+1*18256*12+1*15000*12+1*23781*12+1*11500*12)*105%/100000</f>
        <v>23.947182000000002</v>
      </c>
      <c r="BE363" s="3584">
        <f>+(1*23575*12+1*20262*12)*105%/100000</f>
        <v>5.5234620000000003</v>
      </c>
      <c r="BF363" s="3584">
        <f>+(11*22473*12+1*21316*12+2*18256*12+1*22525*12+1*15000*12+1*11500*12)*105%/100000</f>
        <v>44.611056000000005</v>
      </c>
      <c r="BG363" s="3584">
        <f>+(6*22472*12+4*19259*12+4*15000*12+2*11500*12)*105%/100000</f>
        <v>37.153368</v>
      </c>
      <c r="BH363" s="3584">
        <f>+(7*22472*12+1*18257*12+1*11500*12)*105%/100000</f>
        <v>23.569686000000001</v>
      </c>
      <c r="BI363" s="3584">
        <f>+(4*22473*12+1*17300*12+1*15000*12+1*24304*12+3*11500*12)*105%/100000</f>
        <v>22.805496000000002</v>
      </c>
      <c r="BJ363" s="3584">
        <f>+(5*22472*12+1*11500*12)*105%/100000</f>
        <v>15.60636</v>
      </c>
      <c r="BK363" s="3584"/>
      <c r="BL363" s="3584"/>
      <c r="BM363" s="3584"/>
      <c r="BN363" s="3584"/>
      <c r="BO363" s="3584"/>
      <c r="BP363" s="3584"/>
      <c r="BQ363" s="3584"/>
      <c r="BR363" s="3584"/>
      <c r="BS363" s="3584"/>
      <c r="BT363" s="3584"/>
      <c r="BU363" s="3584"/>
      <c r="BV363" s="3584"/>
      <c r="BW363" s="3584"/>
      <c r="BX363" s="3584"/>
      <c r="BY363" s="3584"/>
      <c r="BZ363" s="3584"/>
      <c r="CA363" s="3584"/>
      <c r="CB363" s="3584"/>
      <c r="CC363" s="3584"/>
      <c r="CD363" s="3584"/>
      <c r="CE363" s="3584"/>
      <c r="CF363" s="3583">
        <f t="shared" si="114"/>
        <v>352.49309999999997</v>
      </c>
    </row>
    <row r="364" spans="1:84" ht="37.5" customHeight="1" thickBot="1">
      <c r="A364" s="679" t="s">
        <v>3681</v>
      </c>
      <c r="B364" s="521"/>
      <c r="C364" s="3697" t="s">
        <v>5999</v>
      </c>
      <c r="D364" s="3833"/>
      <c r="E364" s="3833"/>
      <c r="F364" s="3774"/>
      <c r="G364" s="3846"/>
      <c r="H364" s="3852"/>
      <c r="I364" s="3839"/>
      <c r="J364" s="3852"/>
      <c r="K364" s="3843"/>
      <c r="L364" s="3782" t="s">
        <v>5429</v>
      </c>
      <c r="M364" s="2943" t="s">
        <v>5831</v>
      </c>
      <c r="N364" s="3850"/>
      <c r="O364" s="3685"/>
      <c r="P364" s="3685"/>
      <c r="Q364" s="3685"/>
      <c r="R364" s="3685"/>
      <c r="S364" s="3685"/>
      <c r="T364" s="3685"/>
      <c r="U364" s="3685"/>
      <c r="V364" s="3685"/>
      <c r="W364" s="3685"/>
      <c r="X364" s="3685"/>
      <c r="Y364" s="3685"/>
      <c r="Z364" s="3685"/>
      <c r="AA364" s="3685"/>
      <c r="AB364" s="3685"/>
      <c r="AC364" s="3685"/>
      <c r="AD364" s="3685"/>
      <c r="AE364" s="3685"/>
      <c r="AF364" s="3685"/>
      <c r="AG364" s="3685"/>
      <c r="AH364" s="3685"/>
      <c r="AI364" s="3685"/>
      <c r="AJ364" s="3685"/>
      <c r="AK364" s="3685"/>
      <c r="AL364" s="3685"/>
      <c r="AM364" s="3685"/>
      <c r="AN364" s="3685"/>
      <c r="AO364" s="3685"/>
      <c r="AP364" s="3685"/>
      <c r="AQ364" s="3685"/>
      <c r="AR364" s="3685"/>
      <c r="AS364" s="3685"/>
      <c r="AT364" s="3685"/>
      <c r="AU364" s="3685"/>
      <c r="AV364" s="3685"/>
      <c r="AW364" s="3685"/>
      <c r="AX364" s="3584">
        <v>23.52</v>
      </c>
      <c r="AY364" s="3584">
        <f>+(2*14382*12+1*14345*12)*105%/100000</f>
        <v>5.4317340000000005</v>
      </c>
      <c r="AZ364" s="3584">
        <f>+(4*14382*12)*105%/100000</f>
        <v>7.2485280000000003</v>
      </c>
      <c r="BA364" s="3584">
        <f>+(3*14382*12)*105%/100000</f>
        <v>5.4363959999999993</v>
      </c>
      <c r="BB364" s="3584">
        <f>+(2*13679*12+1*11766*12)*105%/100000</f>
        <v>4.9296240000000004</v>
      </c>
      <c r="BC364" s="3584">
        <f>+(1*10696*12+1*14382*12)*105%/100000</f>
        <v>3.1598280000000001</v>
      </c>
      <c r="BD364" s="3584">
        <f>+(1*11766*12+2*15372*12)*105%/100000</f>
        <v>5.3562599999999998</v>
      </c>
      <c r="BE364" s="3584">
        <f>+(1*14345*12)*105%/100000</f>
        <v>1.8074699999999999</v>
      </c>
      <c r="BF364" s="3584">
        <f>+(3*14382*12)*105%/100000</f>
        <v>5.4363959999999993</v>
      </c>
      <c r="BG364" s="3584">
        <f>+(1*13673*12+3*14382*12+3*11793*12)*105%/100000</f>
        <v>11.616948000000001</v>
      </c>
      <c r="BH364" s="3584">
        <f>+(1*14245*12)*105%/100000</f>
        <v>1.79487</v>
      </c>
      <c r="BI364" s="3584">
        <f>+(2*14381*12+1*12656*12+2*8700*12)*105%/100000</f>
        <v>7.4110680000000002</v>
      </c>
      <c r="BJ364" s="3584">
        <f>+(1*14372*12+1*8700*12)*105%/100000</f>
        <v>2.9070720000000003</v>
      </c>
      <c r="BK364" s="3584"/>
      <c r="BL364" s="3584"/>
      <c r="BM364" s="3584"/>
      <c r="BN364" s="3584"/>
      <c r="BO364" s="3582"/>
      <c r="BP364" s="3582"/>
      <c r="BQ364" s="3582"/>
      <c r="BR364" s="3582"/>
      <c r="BS364" s="3582"/>
      <c r="BT364" s="3582"/>
      <c r="BU364" s="3582"/>
      <c r="BV364" s="3582"/>
      <c r="BW364" s="3582"/>
      <c r="BX364" s="3582"/>
      <c r="BY364" s="3582"/>
      <c r="BZ364" s="3582"/>
      <c r="CA364" s="3582"/>
      <c r="CB364" s="3582"/>
      <c r="CC364" s="3582"/>
      <c r="CD364" s="3582"/>
      <c r="CE364" s="3582"/>
      <c r="CF364" s="3583">
        <f t="shared" si="114"/>
        <v>86.056194000000005</v>
      </c>
    </row>
    <row r="365" spans="1:84" ht="37.5" customHeight="1" thickBot="1">
      <c r="A365" s="2276" t="s">
        <v>3696</v>
      </c>
      <c r="B365" s="2277"/>
      <c r="C365" s="2277" t="s">
        <v>713</v>
      </c>
      <c r="D365" s="2277"/>
      <c r="E365" s="2277" t="s">
        <v>85</v>
      </c>
      <c r="F365" s="2277"/>
      <c r="G365" s="2278"/>
      <c r="H365" s="2279">
        <v>5347000</v>
      </c>
      <c r="I365" s="2280">
        <f>H365/100000</f>
        <v>53.47</v>
      </c>
      <c r="J365" s="2279">
        <v>1</v>
      </c>
      <c r="K365" s="2281">
        <f>I365*J365</f>
        <v>53.47</v>
      </c>
      <c r="L365" s="2282"/>
      <c r="M365" s="3783" t="s">
        <v>5798</v>
      </c>
      <c r="N365" s="3784">
        <v>53.47</v>
      </c>
      <c r="O365" s="3770">
        <f t="shared" ref="O365" si="140">K365-N365</f>
        <v>0</v>
      </c>
      <c r="P365" s="3685"/>
      <c r="Q365" s="3685"/>
      <c r="R365" s="3685"/>
      <c r="S365" s="3685"/>
      <c r="T365" s="3685"/>
      <c r="U365" s="3685"/>
      <c r="V365" s="3685"/>
      <c r="W365" s="3685"/>
      <c r="X365" s="3685"/>
      <c r="Y365" s="3685"/>
      <c r="Z365" s="3685"/>
      <c r="AA365" s="3685"/>
      <c r="AB365" s="3685"/>
      <c r="AC365" s="3685"/>
      <c r="AD365" s="3685"/>
      <c r="AE365" s="3685"/>
      <c r="AF365" s="3685"/>
      <c r="AG365" s="3685"/>
      <c r="AH365" s="3685"/>
      <c r="AI365" s="3685"/>
      <c r="AJ365" s="3685"/>
      <c r="AK365" s="3685"/>
      <c r="AL365" s="3685"/>
      <c r="AM365" s="3685"/>
      <c r="AN365" s="3685"/>
      <c r="AO365" s="3685"/>
      <c r="AP365" s="3685"/>
      <c r="AQ365" s="3685"/>
      <c r="AR365" s="3685"/>
      <c r="AS365" s="3685"/>
      <c r="AT365" s="3685"/>
      <c r="AU365" s="3685"/>
      <c r="AV365" s="3685"/>
      <c r="AW365" s="3685"/>
      <c r="AX365" s="3584">
        <v>53.47</v>
      </c>
      <c r="AY365" s="3584"/>
      <c r="AZ365" s="3584"/>
      <c r="BA365" s="3584"/>
      <c r="BB365" s="3584"/>
      <c r="BC365" s="3584"/>
      <c r="BD365" s="3584"/>
      <c r="BE365" s="3584"/>
      <c r="BF365" s="3584"/>
      <c r="BG365" s="3584"/>
      <c r="BH365" s="3584"/>
      <c r="BI365" s="3584"/>
      <c r="BJ365" s="3584"/>
      <c r="BK365" s="3584"/>
      <c r="BL365" s="3584"/>
      <c r="BM365" s="3584"/>
      <c r="BN365" s="3584"/>
      <c r="BO365" s="3582"/>
      <c r="BP365" s="3582"/>
      <c r="BQ365" s="3582"/>
      <c r="BR365" s="3582"/>
      <c r="BS365" s="3582"/>
      <c r="BT365" s="3582"/>
      <c r="BU365" s="3582"/>
      <c r="BV365" s="3582"/>
      <c r="BW365" s="3582"/>
      <c r="BX365" s="3582"/>
      <c r="BY365" s="3582"/>
      <c r="BZ365" s="3582"/>
      <c r="CA365" s="3582"/>
      <c r="CB365" s="3582"/>
      <c r="CC365" s="3582"/>
      <c r="CD365" s="3582"/>
      <c r="CE365" s="3582"/>
      <c r="CF365" s="3583">
        <f t="shared" si="114"/>
        <v>53.47</v>
      </c>
    </row>
    <row r="366" spans="1:84" ht="37.5" customHeight="1">
      <c r="A366" s="548" t="s">
        <v>3283</v>
      </c>
      <c r="B366" s="548" t="s">
        <v>3284</v>
      </c>
      <c r="C366" s="558" t="s">
        <v>2152</v>
      </c>
      <c r="D366" s="2601" t="s">
        <v>85</v>
      </c>
      <c r="E366" s="2601" t="s">
        <v>85</v>
      </c>
      <c r="F366" s="609" t="s">
        <v>3568</v>
      </c>
      <c r="G366" s="2602">
        <v>1</v>
      </c>
      <c r="H366" s="2504">
        <v>1000</v>
      </c>
      <c r="I366" s="569">
        <f t="shared" ref="I366:I368" si="141">H366/100000</f>
        <v>0.01</v>
      </c>
      <c r="J366" s="283">
        <v>100</v>
      </c>
      <c r="K366" s="2951">
        <f t="shared" ref="K366:K368" si="142">I366*J366</f>
        <v>1</v>
      </c>
      <c r="L366" s="2603" t="s">
        <v>5386</v>
      </c>
      <c r="M366" s="2263">
        <f>'Ab1. RMNCH+A'!Q2102</f>
        <v>0</v>
      </c>
      <c r="N366" s="3679">
        <v>1</v>
      </c>
      <c r="O366" s="3688">
        <f t="shared" ref="O366:O396" si="143">K366-N366</f>
        <v>0</v>
      </c>
      <c r="P366" s="3686"/>
      <c r="Q366" s="3686"/>
      <c r="R366" s="3686"/>
      <c r="S366" s="3686"/>
      <c r="T366" s="3686"/>
      <c r="U366" s="3686"/>
      <c r="V366" s="3686"/>
      <c r="W366" s="3686"/>
      <c r="X366" s="3686"/>
      <c r="Y366" s="3686"/>
      <c r="Z366" s="3686"/>
      <c r="AA366" s="3686"/>
      <c r="AB366" s="3686"/>
      <c r="AC366" s="3686"/>
      <c r="AD366" s="3686"/>
      <c r="AE366" s="3686"/>
      <c r="AF366" s="3686"/>
      <c r="AG366" s="3686"/>
      <c r="AH366" s="3686"/>
      <c r="AI366" s="3686"/>
      <c r="AJ366" s="3686"/>
      <c r="AK366" s="3686"/>
      <c r="AL366" s="3686"/>
      <c r="AM366" s="3686"/>
      <c r="AN366" s="3686"/>
      <c r="AO366" s="3686"/>
      <c r="AP366" s="3686"/>
      <c r="AQ366" s="3686"/>
      <c r="AR366" s="3686"/>
      <c r="AS366" s="3686"/>
      <c r="AT366" s="3686"/>
      <c r="AU366" s="3686"/>
      <c r="AV366" s="3686"/>
      <c r="AW366" s="3686"/>
      <c r="AX366" s="3631">
        <v>0.26</v>
      </c>
      <c r="AY366" s="3631">
        <v>0.03</v>
      </c>
      <c r="AZ366" s="3631">
        <v>7.0000000000000007E-2</v>
      </c>
      <c r="BA366" s="3631">
        <v>0.06</v>
      </c>
      <c r="BB366" s="3631">
        <v>0.13</v>
      </c>
      <c r="BC366" s="3631">
        <v>0.03</v>
      </c>
      <c r="BD366" s="3631">
        <v>0.05</v>
      </c>
      <c r="BE366" s="3631">
        <v>0.02</v>
      </c>
      <c r="BF366" s="3631">
        <v>0.11</v>
      </c>
      <c r="BG366" s="3631">
        <v>0.09</v>
      </c>
      <c r="BH366" s="3631">
        <v>0.05</v>
      </c>
      <c r="BI366" s="3631">
        <v>0.05</v>
      </c>
      <c r="BJ366" s="3631">
        <v>0.05</v>
      </c>
      <c r="BK366" s="3631"/>
      <c r="BL366" s="3631"/>
      <c r="BM366" s="3631"/>
      <c r="BN366" s="3631"/>
      <c r="BO366" s="3631"/>
      <c r="BP366" s="3631"/>
      <c r="BQ366" s="3631"/>
      <c r="BR366" s="3631"/>
      <c r="BS366" s="3631"/>
      <c r="BT366" s="3631"/>
      <c r="BU366" s="3631"/>
      <c r="BV366" s="3631"/>
      <c r="BW366" s="3631"/>
      <c r="BX366" s="3631"/>
      <c r="BY366" s="3631"/>
      <c r="BZ366" s="3631"/>
      <c r="CA366" s="3631"/>
      <c r="CB366" s="3631"/>
      <c r="CC366" s="3631"/>
      <c r="CD366" s="3631"/>
      <c r="CE366" s="3631"/>
      <c r="CF366" s="3632">
        <f t="shared" si="114"/>
        <v>1.0000000000000002</v>
      </c>
    </row>
    <row r="367" spans="1:84" ht="37.5" customHeight="1">
      <c r="A367" s="3463" t="s">
        <v>3287</v>
      </c>
      <c r="B367" s="3463" t="s">
        <v>3288</v>
      </c>
      <c r="C367" s="3562" t="s">
        <v>3981</v>
      </c>
      <c r="D367" s="3563" t="s">
        <v>85</v>
      </c>
      <c r="E367" s="3563" t="s">
        <v>200</v>
      </c>
      <c r="F367" s="3465" t="s">
        <v>3570</v>
      </c>
      <c r="G367" s="3466">
        <v>1</v>
      </c>
      <c r="H367" s="243">
        <v>100</v>
      </c>
      <c r="I367" s="962">
        <f t="shared" si="141"/>
        <v>1E-3</v>
      </c>
      <c r="J367" s="243">
        <v>2083</v>
      </c>
      <c r="K367" s="3467">
        <f t="shared" si="142"/>
        <v>2.0830000000000002</v>
      </c>
      <c r="L367" s="3468" t="s">
        <v>5410</v>
      </c>
      <c r="M367" s="2257">
        <f>'Ab1. RMNCH+A'!Q2104</f>
        <v>0</v>
      </c>
      <c r="N367" s="3640">
        <v>2.08</v>
      </c>
      <c r="O367" s="3687">
        <f t="shared" si="143"/>
        <v>3.0000000000001137E-3</v>
      </c>
      <c r="P367" s="3537"/>
      <c r="Q367" s="3537"/>
      <c r="R367" s="3537"/>
      <c r="S367" s="3537"/>
      <c r="T367" s="3537"/>
      <c r="U367" s="3537"/>
      <c r="V367" s="3537"/>
      <c r="W367" s="3537"/>
      <c r="X367" s="3537"/>
      <c r="Y367" s="3537"/>
      <c r="Z367" s="3537"/>
      <c r="AA367" s="3537"/>
      <c r="AB367" s="3537"/>
      <c r="AC367" s="3537"/>
      <c r="AD367" s="3537"/>
      <c r="AE367" s="3537"/>
      <c r="AF367" s="3537"/>
      <c r="AG367" s="3537"/>
      <c r="AH367" s="3537"/>
      <c r="AI367" s="3537"/>
      <c r="AJ367" s="3537"/>
      <c r="AK367" s="3537"/>
      <c r="AL367" s="3537"/>
      <c r="AM367" s="3537"/>
      <c r="AN367" s="3537"/>
      <c r="AO367" s="3537"/>
      <c r="AP367" s="3537"/>
      <c r="AQ367" s="3537"/>
      <c r="AR367" s="3537"/>
      <c r="AS367" s="3537"/>
      <c r="AT367" s="3537"/>
      <c r="AU367" s="3537"/>
      <c r="AV367" s="3537"/>
      <c r="AW367" s="3537"/>
      <c r="AX367" s="3538"/>
      <c r="AY367" s="3538">
        <f>98.62*120/100000</f>
        <v>0.11834400000000002</v>
      </c>
      <c r="AZ367" s="3538">
        <f>98.62*177/100000</f>
        <v>0.17455740000000003</v>
      </c>
      <c r="BA367" s="3538">
        <f>98.62*150/100000</f>
        <v>0.14793000000000001</v>
      </c>
      <c r="BB367" s="3538">
        <f>98.62*440/100000</f>
        <v>0.43392800000000004</v>
      </c>
      <c r="BC367" s="3538">
        <f>98.62*35/100000</f>
        <v>3.4517000000000006E-2</v>
      </c>
      <c r="BD367" s="3538">
        <f>98.62*103/100000</f>
        <v>0.1015786</v>
      </c>
      <c r="BE367" s="3538">
        <f>98.62*37/100000</f>
        <v>3.6489399999999998E-2</v>
      </c>
      <c r="BF367" s="3538">
        <f>98.62*332/100000</f>
        <v>0.3274184</v>
      </c>
      <c r="BG367" s="3538">
        <f>98.62*253/100000</f>
        <v>0.2495086</v>
      </c>
      <c r="BH367" s="3538">
        <f>98.62*149/100000</f>
        <v>0.14694380000000001</v>
      </c>
      <c r="BI367" s="3538">
        <f>98.62*177/100000</f>
        <v>0.17455740000000003</v>
      </c>
      <c r="BJ367" s="3538">
        <f>98.62*136/100000</f>
        <v>0.1341232</v>
      </c>
      <c r="BK367" s="3538"/>
      <c r="BL367" s="3538"/>
      <c r="BM367" s="3538"/>
      <c r="BN367" s="3538"/>
      <c r="BO367" s="3538"/>
      <c r="BP367" s="3538"/>
      <c r="BQ367" s="3538"/>
      <c r="BR367" s="3538"/>
      <c r="BS367" s="3538"/>
      <c r="BT367" s="3538"/>
      <c r="BU367" s="3538"/>
      <c r="BV367" s="3538"/>
      <c r="BW367" s="3538"/>
      <c r="BX367" s="3538"/>
      <c r="BY367" s="3538"/>
      <c r="BZ367" s="3538"/>
      <c r="CA367" s="3538"/>
      <c r="CB367" s="3538"/>
      <c r="CC367" s="3538"/>
      <c r="CD367" s="3538"/>
      <c r="CE367" s="3538"/>
      <c r="CF367" s="3538">
        <f t="shared" si="114"/>
        <v>2.0798958000000001</v>
      </c>
    </row>
    <row r="368" spans="1:84" ht="37.5" customHeight="1">
      <c r="A368" s="3463" t="s">
        <v>3289</v>
      </c>
      <c r="B368" s="3463" t="s">
        <v>3290</v>
      </c>
      <c r="C368" s="3562" t="s">
        <v>2154</v>
      </c>
      <c r="D368" s="3563" t="s">
        <v>85</v>
      </c>
      <c r="E368" s="3563" t="s">
        <v>200</v>
      </c>
      <c r="F368" s="3465" t="s">
        <v>3570</v>
      </c>
      <c r="G368" s="3466">
        <v>1</v>
      </c>
      <c r="H368" s="243">
        <v>1200</v>
      </c>
      <c r="I368" s="962">
        <f t="shared" si="141"/>
        <v>1.2E-2</v>
      </c>
      <c r="J368" s="243">
        <v>83</v>
      </c>
      <c r="K368" s="3467">
        <f t="shared" si="142"/>
        <v>0.996</v>
      </c>
      <c r="L368" s="3468" t="s">
        <v>5411</v>
      </c>
      <c r="M368" s="2257">
        <f>'Ab1. RMNCH+A'!Q2105</f>
        <v>0</v>
      </c>
      <c r="N368" s="3640">
        <v>1</v>
      </c>
      <c r="O368" s="3687">
        <f t="shared" si="143"/>
        <v>-4.0000000000000036E-3</v>
      </c>
      <c r="P368" s="3537"/>
      <c r="Q368" s="3537"/>
      <c r="R368" s="3537"/>
      <c r="S368" s="3537"/>
      <c r="T368" s="3537"/>
      <c r="U368" s="3537"/>
      <c r="V368" s="3537"/>
      <c r="W368" s="3537"/>
      <c r="X368" s="3537"/>
      <c r="Y368" s="3537"/>
      <c r="Z368" s="3537"/>
      <c r="AA368" s="3537"/>
      <c r="AB368" s="3537"/>
      <c r="AC368" s="3537"/>
      <c r="AD368" s="3537"/>
      <c r="AE368" s="3537"/>
      <c r="AF368" s="3537"/>
      <c r="AG368" s="3537"/>
      <c r="AH368" s="3537"/>
      <c r="AI368" s="3537"/>
      <c r="AJ368" s="3537"/>
      <c r="AK368" s="3537"/>
      <c r="AL368" s="3537"/>
      <c r="AM368" s="3537"/>
      <c r="AN368" s="3537"/>
      <c r="AO368" s="3537"/>
      <c r="AP368" s="3537"/>
      <c r="AQ368" s="3537"/>
      <c r="AR368" s="3537"/>
      <c r="AS368" s="3537"/>
      <c r="AT368" s="3537"/>
      <c r="AU368" s="3537"/>
      <c r="AV368" s="3537"/>
      <c r="AW368" s="3537"/>
      <c r="AX368" s="3538"/>
      <c r="AY368" s="3538">
        <f>1315.78*4/100000</f>
        <v>5.2631199999999996E-2</v>
      </c>
      <c r="AZ368" s="3538">
        <f>1315.78*7/100000</f>
        <v>9.2104599999999995E-2</v>
      </c>
      <c r="BA368" s="3538">
        <f>1315.78*6/100000</f>
        <v>7.8946799999999998E-2</v>
      </c>
      <c r="BB368" s="3538">
        <f>1315.78*13/100000</f>
        <v>0.17105139999999999</v>
      </c>
      <c r="BC368" s="3538">
        <f>1315.78*3/100000</f>
        <v>3.9473399999999999E-2</v>
      </c>
      <c r="BD368" s="3538">
        <f>1315.78*5/100000</f>
        <v>6.5789E-2</v>
      </c>
      <c r="BE368" s="3538">
        <f>1315.78*2/100000</f>
        <v>2.6315599999999998E-2</v>
      </c>
      <c r="BF368" s="3538">
        <f>1315.78*11/100000</f>
        <v>0.1447358</v>
      </c>
      <c r="BG368" s="3538">
        <f>1315.78*10/100000</f>
        <v>0.131578</v>
      </c>
      <c r="BH368" s="3538">
        <f>1315.78*5/100000</f>
        <v>6.5789E-2</v>
      </c>
      <c r="BI368" s="3538">
        <f>1315.78*5/100000</f>
        <v>6.5789E-2</v>
      </c>
      <c r="BJ368" s="3538">
        <f>1315.78*5/100000</f>
        <v>6.5789E-2</v>
      </c>
      <c r="BK368" s="3538"/>
      <c r="BL368" s="3538"/>
      <c r="BM368" s="3538"/>
      <c r="BN368" s="3538"/>
      <c r="BO368" s="3538"/>
      <c r="BP368" s="3538"/>
      <c r="BQ368" s="3538"/>
      <c r="BR368" s="3538"/>
      <c r="BS368" s="3538"/>
      <c r="BT368" s="3538"/>
      <c r="BU368" s="3538"/>
      <c r="BV368" s="3538"/>
      <c r="BW368" s="3538"/>
      <c r="BX368" s="3538"/>
      <c r="BY368" s="3538"/>
      <c r="BZ368" s="3538"/>
      <c r="CA368" s="3538"/>
      <c r="CB368" s="3538"/>
      <c r="CC368" s="3538"/>
      <c r="CD368" s="3538"/>
      <c r="CE368" s="3538"/>
      <c r="CF368" s="3538">
        <f t="shared" ref="CF368:CF423" si="144">SUM(AX368:CD368)</f>
        <v>0.9999927999999999</v>
      </c>
    </row>
    <row r="369" spans="1:84" ht="37.5" customHeight="1">
      <c r="A369" s="548" t="s">
        <v>3303</v>
      </c>
      <c r="B369" s="548" t="s">
        <v>3304</v>
      </c>
      <c r="C369" s="558" t="s">
        <v>2406</v>
      </c>
      <c r="D369" s="2601" t="s">
        <v>85</v>
      </c>
      <c r="E369" s="2601" t="s">
        <v>85</v>
      </c>
      <c r="F369" s="609" t="s">
        <v>3573</v>
      </c>
      <c r="G369" s="3555">
        <v>1</v>
      </c>
      <c r="H369" s="2536">
        <v>5000</v>
      </c>
      <c r="I369" s="569">
        <f t="shared" ref="I369:I373" si="145">H369/100000</f>
        <v>0.05</v>
      </c>
      <c r="J369" s="2536">
        <v>48</v>
      </c>
      <c r="K369" s="2951">
        <f t="shared" ref="K369:K373" si="146">I369*J369</f>
        <v>2.4000000000000004</v>
      </c>
      <c r="L369" s="3556" t="s">
        <v>5334</v>
      </c>
      <c r="M369" s="2263">
        <f>'Ab1. RMNCH+A'!Q2109</f>
        <v>0</v>
      </c>
      <c r="N369" s="3657">
        <v>2.4</v>
      </c>
      <c r="O369" s="3688">
        <f t="shared" si="143"/>
        <v>0</v>
      </c>
      <c r="P369" s="3686"/>
      <c r="Q369" s="3686"/>
      <c r="R369" s="3686"/>
      <c r="S369" s="3686"/>
      <c r="T369" s="3686"/>
      <c r="U369" s="3686"/>
      <c r="V369" s="3686"/>
      <c r="W369" s="3686"/>
      <c r="X369" s="3686"/>
      <c r="Y369" s="3686"/>
      <c r="Z369" s="3686"/>
      <c r="AA369" s="3686"/>
      <c r="AB369" s="3686"/>
      <c r="AC369" s="3686"/>
      <c r="AD369" s="3686"/>
      <c r="AE369" s="3686"/>
      <c r="AF369" s="3686"/>
      <c r="AG369" s="3686"/>
      <c r="AH369" s="3686"/>
      <c r="AI369" s="3686"/>
      <c r="AJ369" s="3686"/>
      <c r="AK369" s="3686"/>
      <c r="AL369" s="3686"/>
      <c r="AM369" s="3686"/>
      <c r="AN369" s="3686"/>
      <c r="AO369" s="3686"/>
      <c r="AP369" s="3686"/>
      <c r="AQ369" s="3686"/>
      <c r="AR369" s="3686"/>
      <c r="AS369" s="3686"/>
      <c r="AT369" s="3686"/>
      <c r="AU369" s="3686"/>
      <c r="AV369" s="3686"/>
      <c r="AW369" s="3686"/>
      <c r="AX369" s="3631">
        <v>0.2</v>
      </c>
      <c r="AY369" s="3631">
        <v>0.2</v>
      </c>
      <c r="AZ369" s="3631">
        <v>0.2</v>
      </c>
      <c r="BA369" s="3631">
        <v>0.2</v>
      </c>
      <c r="BB369" s="3631">
        <v>0.2</v>
      </c>
      <c r="BC369" s="3631">
        <v>0.1</v>
      </c>
      <c r="BD369" s="3631">
        <v>0.2</v>
      </c>
      <c r="BE369" s="3631">
        <v>0.1</v>
      </c>
      <c r="BF369" s="3631">
        <v>0.2</v>
      </c>
      <c r="BG369" s="3631">
        <v>0.2</v>
      </c>
      <c r="BH369" s="3631">
        <v>0.2</v>
      </c>
      <c r="BI369" s="3631">
        <v>0.2</v>
      </c>
      <c r="BJ369" s="3631">
        <v>0.2</v>
      </c>
      <c r="BK369" s="3631"/>
      <c r="BL369" s="3631"/>
      <c r="BM369" s="3631"/>
      <c r="BN369" s="3631"/>
      <c r="BO369" s="3631"/>
      <c r="BP369" s="3631"/>
      <c r="BQ369" s="3631"/>
      <c r="BR369" s="3631"/>
      <c r="BS369" s="3631"/>
      <c r="BT369" s="3631"/>
      <c r="BU369" s="3631"/>
      <c r="BV369" s="3631"/>
      <c r="BW369" s="3631"/>
      <c r="BX369" s="3631"/>
      <c r="BY369" s="3631"/>
      <c r="BZ369" s="3631"/>
      <c r="CA369" s="3631"/>
      <c r="CB369" s="3631"/>
      <c r="CC369" s="3631"/>
      <c r="CD369" s="3631"/>
      <c r="CE369" s="3631"/>
      <c r="CF369" s="3631">
        <f t="shared" si="144"/>
        <v>2.4000000000000004</v>
      </c>
    </row>
    <row r="370" spans="1:84" ht="37.5" customHeight="1">
      <c r="A370" s="548" t="s">
        <v>3305</v>
      </c>
      <c r="B370" s="548" t="s">
        <v>3306</v>
      </c>
      <c r="C370" s="558" t="s">
        <v>2407</v>
      </c>
      <c r="D370" s="2601" t="s">
        <v>85</v>
      </c>
      <c r="E370" s="2601" t="s">
        <v>85</v>
      </c>
      <c r="F370" s="609" t="s">
        <v>3573</v>
      </c>
      <c r="G370" s="3555">
        <v>1</v>
      </c>
      <c r="H370" s="2536">
        <v>10000</v>
      </c>
      <c r="I370" s="569">
        <f t="shared" si="145"/>
        <v>0.1</v>
      </c>
      <c r="J370" s="2536">
        <v>2</v>
      </c>
      <c r="K370" s="2951">
        <f t="shared" si="146"/>
        <v>0.2</v>
      </c>
      <c r="L370" s="3558" t="s">
        <v>5335</v>
      </c>
      <c r="M370" s="2263">
        <f>'Ab1. RMNCH+A'!Q2110</f>
        <v>0</v>
      </c>
      <c r="N370" s="3657">
        <v>0.2</v>
      </c>
      <c r="O370" s="3688">
        <f t="shared" si="143"/>
        <v>0</v>
      </c>
      <c r="P370" s="3686"/>
      <c r="Q370" s="3686"/>
      <c r="R370" s="3686"/>
      <c r="S370" s="3686"/>
      <c r="T370" s="3686"/>
      <c r="U370" s="3686"/>
      <c r="V370" s="3686"/>
      <c r="W370" s="3686"/>
      <c r="X370" s="3686"/>
      <c r="Y370" s="3686"/>
      <c r="Z370" s="3686"/>
      <c r="AA370" s="3686"/>
      <c r="AB370" s="3686"/>
      <c r="AC370" s="3686"/>
      <c r="AD370" s="3686"/>
      <c r="AE370" s="3686"/>
      <c r="AF370" s="3686"/>
      <c r="AG370" s="3686"/>
      <c r="AH370" s="3686"/>
      <c r="AI370" s="3686"/>
      <c r="AJ370" s="3686"/>
      <c r="AK370" s="3686"/>
      <c r="AL370" s="3686"/>
      <c r="AM370" s="3686"/>
      <c r="AN370" s="3686"/>
      <c r="AO370" s="3686"/>
      <c r="AP370" s="3686"/>
      <c r="AQ370" s="3686"/>
      <c r="AR370" s="3686"/>
      <c r="AS370" s="3686"/>
      <c r="AT370" s="3686"/>
      <c r="AU370" s="3686"/>
      <c r="AV370" s="3686"/>
      <c r="AW370" s="3686"/>
      <c r="AX370" s="3631">
        <v>0.2</v>
      </c>
      <c r="AY370" s="3631"/>
      <c r="AZ370" s="3631"/>
      <c r="BA370" s="3631"/>
      <c r="BB370" s="3631"/>
      <c r="BC370" s="3631"/>
      <c r="BD370" s="3631"/>
      <c r="BE370" s="3631"/>
      <c r="BF370" s="3631"/>
      <c r="BG370" s="3631"/>
      <c r="BH370" s="3631"/>
      <c r="BI370" s="3631"/>
      <c r="BJ370" s="3631"/>
      <c r="BK370" s="3631"/>
      <c r="BL370" s="3631"/>
      <c r="BM370" s="3631"/>
      <c r="BN370" s="3631"/>
      <c r="BO370" s="3631"/>
      <c r="BP370" s="3631"/>
      <c r="BQ370" s="3631"/>
      <c r="BR370" s="3631"/>
      <c r="BS370" s="3631"/>
      <c r="BT370" s="3631"/>
      <c r="BU370" s="3631"/>
      <c r="BV370" s="3631"/>
      <c r="BW370" s="3631"/>
      <c r="BX370" s="3631"/>
      <c r="BY370" s="3631"/>
      <c r="BZ370" s="3631"/>
      <c r="CA370" s="3631"/>
      <c r="CB370" s="3631"/>
      <c r="CC370" s="3631"/>
      <c r="CD370" s="3631"/>
      <c r="CE370" s="3631"/>
      <c r="CF370" s="3631">
        <f t="shared" si="144"/>
        <v>0.2</v>
      </c>
    </row>
    <row r="371" spans="1:84" ht="37.5" customHeight="1">
      <c r="A371" s="3463" t="s">
        <v>3325</v>
      </c>
      <c r="B371" s="3463" t="s">
        <v>3326</v>
      </c>
      <c r="C371" s="3562" t="s">
        <v>2167</v>
      </c>
      <c r="D371" s="3563" t="s">
        <v>85</v>
      </c>
      <c r="E371" s="3563" t="s">
        <v>200</v>
      </c>
      <c r="F371" s="3465" t="s">
        <v>3570</v>
      </c>
      <c r="G371" s="3466">
        <v>1</v>
      </c>
      <c r="H371" s="243">
        <v>75</v>
      </c>
      <c r="I371" s="962">
        <f t="shared" si="145"/>
        <v>7.5000000000000002E-4</v>
      </c>
      <c r="J371" s="243">
        <v>288</v>
      </c>
      <c r="K371" s="3467">
        <f t="shared" si="146"/>
        <v>0.216</v>
      </c>
      <c r="L371" s="3468" t="s">
        <v>5412</v>
      </c>
      <c r="M371" s="2257">
        <f>'Ab1. RMNCH+A'!Q2115</f>
        <v>0</v>
      </c>
      <c r="N371" s="3640">
        <v>0.22</v>
      </c>
      <c r="O371" s="3687">
        <f t="shared" si="143"/>
        <v>-4.0000000000000036E-3</v>
      </c>
      <c r="P371" s="3537"/>
      <c r="Q371" s="3537"/>
      <c r="R371" s="3537"/>
      <c r="S371" s="3537"/>
      <c r="T371" s="3537"/>
      <c r="U371" s="3537"/>
      <c r="V371" s="3537"/>
      <c r="W371" s="3537"/>
      <c r="X371" s="3537"/>
      <c r="Y371" s="3537"/>
      <c r="Z371" s="3537"/>
      <c r="AA371" s="3537"/>
      <c r="AB371" s="3537"/>
      <c r="AC371" s="3537"/>
      <c r="AD371" s="3537"/>
      <c r="AE371" s="3537"/>
      <c r="AF371" s="3537"/>
      <c r="AG371" s="3537"/>
      <c r="AH371" s="3537"/>
      <c r="AI371" s="3537"/>
      <c r="AJ371" s="3537"/>
      <c r="AK371" s="3537"/>
      <c r="AL371" s="3537"/>
      <c r="AM371" s="3537"/>
      <c r="AN371" s="3537"/>
      <c r="AO371" s="3537"/>
      <c r="AP371" s="3537"/>
      <c r="AQ371" s="3537"/>
      <c r="AR371" s="3537"/>
      <c r="AS371" s="3537"/>
      <c r="AT371" s="3537"/>
      <c r="AU371" s="3537"/>
      <c r="AV371" s="3537"/>
      <c r="AW371" s="3537"/>
      <c r="AX371" s="3538"/>
      <c r="AY371" s="3538">
        <f>76.38*3.78*4/100000</f>
        <v>1.1548655999999999E-2</v>
      </c>
      <c r="AZ371" s="3538">
        <f>76.38*3.78*7/100000</f>
        <v>2.0210147999999997E-2</v>
      </c>
      <c r="BA371" s="3538">
        <f>76.38*3.78*6/100000</f>
        <v>1.7322983999999996E-2</v>
      </c>
      <c r="BB371" s="3538">
        <f>76.38*3.78*13/100000</f>
        <v>3.7533131999999997E-2</v>
      </c>
      <c r="BC371" s="3538">
        <f>76.38*3.78*3/100000</f>
        <v>8.6614919999999981E-3</v>
      </c>
      <c r="BD371" s="3538">
        <f>76.38*3.78*5/100000</f>
        <v>1.4435819999999999E-2</v>
      </c>
      <c r="BE371" s="3538">
        <f>76.38*3.78*2/100000</f>
        <v>5.7743279999999996E-3</v>
      </c>
      <c r="BF371" s="3538">
        <f>76.38*3.78*11/100000</f>
        <v>3.1758803999999995E-2</v>
      </c>
      <c r="BG371" s="3538">
        <f>76.38*3.78*10/100000</f>
        <v>2.8871639999999997E-2</v>
      </c>
      <c r="BH371" s="3538">
        <f>76.38*3.78*5/100000</f>
        <v>1.4435819999999999E-2</v>
      </c>
      <c r="BI371" s="3538">
        <f>76.38*3.78*5/100000</f>
        <v>1.4435819999999999E-2</v>
      </c>
      <c r="BJ371" s="3538">
        <f>76.38*3.78*5/100000</f>
        <v>1.4435819999999999E-2</v>
      </c>
      <c r="BK371" s="3538"/>
      <c r="BL371" s="3538"/>
      <c r="BM371" s="3538"/>
      <c r="BN371" s="3538"/>
      <c r="BO371" s="3538"/>
      <c r="BP371" s="3538"/>
      <c r="BQ371" s="3538"/>
      <c r="BR371" s="3538"/>
      <c r="BS371" s="3538"/>
      <c r="BT371" s="3538"/>
      <c r="BU371" s="3538"/>
      <c r="BV371" s="3538"/>
      <c r="BW371" s="3538"/>
      <c r="BX371" s="3538"/>
      <c r="BY371" s="3538"/>
      <c r="BZ371" s="3538"/>
      <c r="CA371" s="3538"/>
      <c r="CB371" s="3538"/>
      <c r="CC371" s="3538"/>
      <c r="CD371" s="3538"/>
      <c r="CE371" s="3538"/>
      <c r="CF371" s="3538">
        <f t="shared" si="144"/>
        <v>0.21942446399999993</v>
      </c>
    </row>
    <row r="372" spans="1:84" ht="37.5" customHeight="1">
      <c r="A372" s="3463"/>
      <c r="B372" s="3463" t="s">
        <v>3336</v>
      </c>
      <c r="C372" s="3464" t="s">
        <v>2172</v>
      </c>
      <c r="D372" s="2254" t="s">
        <v>4219</v>
      </c>
      <c r="E372" s="2254" t="s">
        <v>4525</v>
      </c>
      <c r="F372" s="3465" t="s">
        <v>4524</v>
      </c>
      <c r="G372" s="3466">
        <v>1</v>
      </c>
      <c r="H372" s="243">
        <v>76000</v>
      </c>
      <c r="I372" s="962">
        <f t="shared" si="145"/>
        <v>0.76</v>
      </c>
      <c r="J372" s="243">
        <v>7</v>
      </c>
      <c r="K372" s="3467">
        <f t="shared" si="146"/>
        <v>5.32</v>
      </c>
      <c r="L372" s="3468"/>
      <c r="M372" s="2257">
        <f>'Abs11. NTEP'!Q1709</f>
        <v>0</v>
      </c>
      <c r="N372" s="3642">
        <v>5.32</v>
      </c>
      <c r="O372" s="3687">
        <f t="shared" si="143"/>
        <v>0</v>
      </c>
      <c r="P372" s="3537"/>
      <c r="Q372" s="3537"/>
      <c r="R372" s="3537"/>
      <c r="S372" s="3537"/>
      <c r="T372" s="3537"/>
      <c r="U372" s="3537"/>
      <c r="V372" s="3537"/>
      <c r="W372" s="3537"/>
      <c r="X372" s="3537"/>
      <c r="Y372" s="3537"/>
      <c r="Z372" s="3537"/>
      <c r="AA372" s="3537"/>
      <c r="AB372" s="3537"/>
      <c r="AC372" s="3537"/>
      <c r="AD372" s="3537"/>
      <c r="AE372" s="3537"/>
      <c r="AF372" s="3537"/>
      <c r="AG372" s="3537"/>
      <c r="AH372" s="3537"/>
      <c r="AI372" s="3537"/>
      <c r="AJ372" s="3537"/>
      <c r="AK372" s="3537"/>
      <c r="AL372" s="3537"/>
      <c r="AM372" s="3537"/>
      <c r="AN372" s="3537"/>
      <c r="AO372" s="3537"/>
      <c r="AP372" s="3537"/>
      <c r="AQ372" s="3537"/>
      <c r="AR372" s="3537"/>
      <c r="AS372" s="3537"/>
      <c r="AT372" s="3537"/>
      <c r="AU372" s="3537"/>
      <c r="AV372" s="3537"/>
      <c r="AW372" s="3537"/>
      <c r="AX372" s="3538">
        <v>5.32</v>
      </c>
      <c r="AY372" s="3538"/>
      <c r="AZ372" s="3538"/>
      <c r="BA372" s="3538"/>
      <c r="BB372" s="3538"/>
      <c r="BC372" s="3538"/>
      <c r="BD372" s="3538"/>
      <c r="BE372" s="3538"/>
      <c r="BF372" s="3538"/>
      <c r="BG372" s="3538"/>
      <c r="BH372" s="3538"/>
      <c r="BI372" s="3538"/>
      <c r="BJ372" s="3538"/>
      <c r="BK372" s="3538"/>
      <c r="BL372" s="3538"/>
      <c r="BM372" s="3538"/>
      <c r="BN372" s="3538"/>
      <c r="BO372" s="3538"/>
      <c r="BP372" s="3538"/>
      <c r="BQ372" s="3538"/>
      <c r="BR372" s="3538"/>
      <c r="BS372" s="3538"/>
      <c r="BT372" s="3538"/>
      <c r="BU372" s="3538"/>
      <c r="BV372" s="3538"/>
      <c r="BW372" s="3538"/>
      <c r="BX372" s="3538"/>
      <c r="BY372" s="3538"/>
      <c r="BZ372" s="3538"/>
      <c r="CA372" s="3538"/>
      <c r="CB372" s="3538"/>
      <c r="CC372" s="3538"/>
      <c r="CD372" s="3538"/>
      <c r="CE372" s="3538"/>
      <c r="CF372" s="3539">
        <f t="shared" si="144"/>
        <v>5.32</v>
      </c>
    </row>
    <row r="373" spans="1:84" ht="37.5" customHeight="1">
      <c r="A373" s="548" t="s">
        <v>3718</v>
      </c>
      <c r="B373" s="548"/>
      <c r="C373" s="558" t="s">
        <v>3871</v>
      </c>
      <c r="D373" s="2264" t="s">
        <v>80</v>
      </c>
      <c r="E373" s="2264" t="s">
        <v>3989</v>
      </c>
      <c r="F373" s="609" t="s">
        <v>4362</v>
      </c>
      <c r="G373" s="560"/>
      <c r="H373" s="283">
        <v>16923</v>
      </c>
      <c r="I373" s="569">
        <f t="shared" si="145"/>
        <v>0.16922999999999999</v>
      </c>
      <c r="J373" s="283">
        <v>13</v>
      </c>
      <c r="K373" s="2951">
        <f t="shared" si="146"/>
        <v>2.1999899999999997</v>
      </c>
      <c r="L373" s="735" t="s">
        <v>5431</v>
      </c>
      <c r="M373" s="2263">
        <f>'Abs21. NPCCHH'!Q1672</f>
        <v>0</v>
      </c>
      <c r="N373" s="3679">
        <v>2.2000000000000002</v>
      </c>
      <c r="O373" s="3688">
        <f t="shared" si="143"/>
        <v>-1.0000000000509601E-5</v>
      </c>
      <c r="P373" s="3686"/>
      <c r="Q373" s="3686"/>
      <c r="R373" s="3686"/>
      <c r="S373" s="3686"/>
      <c r="T373" s="3686"/>
      <c r="U373" s="3686"/>
      <c r="V373" s="3686"/>
      <c r="W373" s="3686"/>
      <c r="X373" s="3686"/>
      <c r="Y373" s="3686"/>
      <c r="Z373" s="3686"/>
      <c r="AA373" s="3686"/>
      <c r="AB373" s="3686"/>
      <c r="AC373" s="3686"/>
      <c r="AD373" s="3686"/>
      <c r="AE373" s="3686"/>
      <c r="AF373" s="3686"/>
      <c r="AG373" s="3686"/>
      <c r="AH373" s="3686"/>
      <c r="AI373" s="3686"/>
      <c r="AJ373" s="3686"/>
      <c r="AK373" s="3686"/>
      <c r="AL373" s="3686"/>
      <c r="AM373" s="3686"/>
      <c r="AN373" s="3686"/>
      <c r="AO373" s="3686"/>
      <c r="AP373" s="3686"/>
      <c r="AQ373" s="3686"/>
      <c r="AR373" s="3686"/>
      <c r="AS373" s="3686"/>
      <c r="AT373" s="3686"/>
      <c r="AU373" s="3686"/>
      <c r="AV373" s="3686"/>
      <c r="AW373" s="3686"/>
      <c r="AX373" s="3631">
        <v>2.2000000000000002</v>
      </c>
      <c r="AY373" s="3631"/>
      <c r="AZ373" s="3631"/>
      <c r="BA373" s="3631"/>
      <c r="BB373" s="3631"/>
      <c r="BC373" s="3631"/>
      <c r="BD373" s="3631"/>
      <c r="BE373" s="3631"/>
      <c r="BF373" s="3631"/>
      <c r="BG373" s="3631"/>
      <c r="BH373" s="3631"/>
      <c r="BI373" s="3631"/>
      <c r="BJ373" s="3631"/>
      <c r="BK373" s="3631"/>
      <c r="BL373" s="3631"/>
      <c r="BM373" s="3631"/>
      <c r="BN373" s="3631"/>
      <c r="BO373" s="3632"/>
      <c r="BP373" s="3632"/>
      <c r="BQ373" s="3632"/>
      <c r="BR373" s="3632"/>
      <c r="BS373" s="3632"/>
      <c r="BT373" s="3632"/>
      <c r="BU373" s="3632"/>
      <c r="BV373" s="3632"/>
      <c r="BW373" s="3632"/>
      <c r="BX373" s="3632"/>
      <c r="BY373" s="3632"/>
      <c r="BZ373" s="3632"/>
      <c r="CA373" s="3632"/>
      <c r="CB373" s="3632"/>
      <c r="CC373" s="3632"/>
      <c r="CD373" s="3632"/>
      <c r="CE373" s="3632"/>
      <c r="CF373" s="3632">
        <f t="shared" si="144"/>
        <v>2.2000000000000002</v>
      </c>
    </row>
    <row r="374" spans="1:84" ht="37.5" customHeight="1">
      <c r="A374" s="548" t="s">
        <v>3363</v>
      </c>
      <c r="B374" s="548" t="s">
        <v>3365</v>
      </c>
      <c r="C374" s="564" t="s">
        <v>2181</v>
      </c>
      <c r="D374" s="2254" t="s">
        <v>4219</v>
      </c>
      <c r="E374" s="2254" t="s">
        <v>4525</v>
      </c>
      <c r="F374" s="609" t="s">
        <v>4524</v>
      </c>
      <c r="G374" s="2421">
        <v>1</v>
      </c>
      <c r="H374" s="2368">
        <v>87045</v>
      </c>
      <c r="I374" s="569">
        <f t="shared" ref="I374" si="147">H374/100000</f>
        <v>0.87044999999999995</v>
      </c>
      <c r="J374" s="283">
        <v>54</v>
      </c>
      <c r="K374" s="2951">
        <f t="shared" ref="K374" si="148">I374*J374</f>
        <v>47.004300000000001</v>
      </c>
      <c r="L374" s="2422" t="s">
        <v>5181</v>
      </c>
      <c r="M374" s="2263">
        <f>'Abs11. NTEP'!Q1710</f>
        <v>0</v>
      </c>
      <c r="N374" s="3657">
        <v>47</v>
      </c>
      <c r="O374" s="3688">
        <f t="shared" si="143"/>
        <v>4.3000000000006366E-3</v>
      </c>
      <c r="P374" s="3686"/>
      <c r="Q374" s="3686"/>
      <c r="R374" s="3686"/>
      <c r="S374" s="3686"/>
      <c r="T374" s="3686"/>
      <c r="U374" s="3686"/>
      <c r="V374" s="3686"/>
      <c r="W374" s="3686"/>
      <c r="X374" s="3686"/>
      <c r="Y374" s="3686"/>
      <c r="Z374" s="3686"/>
      <c r="AA374" s="3686"/>
      <c r="AB374" s="3686"/>
      <c r="AC374" s="3686"/>
      <c r="AD374" s="3686"/>
      <c r="AE374" s="3686"/>
      <c r="AF374" s="3686"/>
      <c r="AG374" s="3686"/>
      <c r="AH374" s="3686"/>
      <c r="AI374" s="3686"/>
      <c r="AJ374" s="3686"/>
      <c r="AK374" s="3686"/>
      <c r="AL374" s="3686"/>
      <c r="AM374" s="3686"/>
      <c r="AN374" s="3686"/>
      <c r="AO374" s="3686"/>
      <c r="AP374" s="3686"/>
      <c r="AQ374" s="3686"/>
      <c r="AR374" s="3686"/>
      <c r="AS374" s="3686"/>
      <c r="AT374" s="3686"/>
      <c r="AU374" s="3686"/>
      <c r="AV374" s="3686"/>
      <c r="AW374" s="3686"/>
      <c r="AX374" s="3631">
        <v>10</v>
      </c>
      <c r="AY374" s="3631">
        <v>1.05</v>
      </c>
      <c r="AZ374" s="3631">
        <v>1.24</v>
      </c>
      <c r="BA374" s="3631">
        <v>1.24</v>
      </c>
      <c r="BB374" s="3631">
        <v>6.84</v>
      </c>
      <c r="BC374" s="3631">
        <v>0.89</v>
      </c>
      <c r="BD374" s="3631">
        <v>2.4300000000000002</v>
      </c>
      <c r="BE374" s="3631">
        <v>4.95</v>
      </c>
      <c r="BF374" s="3631">
        <v>3.68</v>
      </c>
      <c r="BG374" s="3631">
        <v>3.89</v>
      </c>
      <c r="BH374" s="3631">
        <v>2.68</v>
      </c>
      <c r="BI374" s="3631">
        <v>3.68</v>
      </c>
      <c r="BJ374" s="3631">
        <v>1.98</v>
      </c>
      <c r="BK374" s="3631"/>
      <c r="BL374" s="3631"/>
      <c r="BM374" s="3631"/>
      <c r="BN374" s="3631"/>
      <c r="BO374" s="3631"/>
      <c r="BP374" s="3631"/>
      <c r="BQ374" s="3631"/>
      <c r="BR374" s="3631"/>
      <c r="BS374" s="3631"/>
      <c r="BT374" s="3631"/>
      <c r="BU374" s="3631"/>
      <c r="BV374" s="3631"/>
      <c r="BW374" s="3631"/>
      <c r="BX374" s="3631"/>
      <c r="BY374" s="3631"/>
      <c r="BZ374" s="3631"/>
      <c r="CA374" s="3631">
        <v>2.4500000000000002</v>
      </c>
      <c r="CB374" s="3631"/>
      <c r="CC374" s="3631"/>
      <c r="CD374" s="3631"/>
      <c r="CE374" s="3631"/>
      <c r="CF374" s="3632">
        <f t="shared" si="144"/>
        <v>47</v>
      </c>
    </row>
    <row r="375" spans="1:84" ht="37.5" customHeight="1">
      <c r="A375" s="548" t="s">
        <v>3371</v>
      </c>
      <c r="B375" s="548" t="s">
        <v>3372</v>
      </c>
      <c r="C375" s="558" t="s">
        <v>2185</v>
      </c>
      <c r="D375" s="982" t="s">
        <v>85</v>
      </c>
      <c r="E375" s="982" t="s">
        <v>85</v>
      </c>
      <c r="F375" s="609" t="s">
        <v>3582</v>
      </c>
      <c r="G375" s="560"/>
      <c r="H375" s="283">
        <v>2000000</v>
      </c>
      <c r="I375" s="569">
        <f t="shared" ref="I375:I378" si="149">H375/100000</f>
        <v>20</v>
      </c>
      <c r="J375" s="283">
        <v>1</v>
      </c>
      <c r="K375" s="2951">
        <f t="shared" ref="K375:K378" si="150">I375*J375</f>
        <v>20</v>
      </c>
      <c r="L375" s="735"/>
      <c r="M375" s="3785" t="s">
        <v>5942</v>
      </c>
      <c r="N375" s="3689">
        <v>20</v>
      </c>
      <c r="O375" s="3688">
        <f t="shared" si="143"/>
        <v>0</v>
      </c>
      <c r="P375" s="3686"/>
      <c r="Q375" s="3686"/>
      <c r="R375" s="3686"/>
      <c r="S375" s="3686"/>
      <c r="T375" s="3686"/>
      <c r="U375" s="3686"/>
      <c r="V375" s="3686"/>
      <c r="W375" s="3686"/>
      <c r="X375" s="3686"/>
      <c r="Y375" s="3686"/>
      <c r="Z375" s="3686"/>
      <c r="AA375" s="3686"/>
      <c r="AB375" s="3686"/>
      <c r="AC375" s="3686"/>
      <c r="AD375" s="3686"/>
      <c r="AE375" s="3686"/>
      <c r="AF375" s="3686"/>
      <c r="AG375" s="3686"/>
      <c r="AH375" s="3686"/>
      <c r="AI375" s="3686"/>
      <c r="AJ375" s="3686"/>
      <c r="AK375" s="3686"/>
      <c r="AL375" s="3686"/>
      <c r="AM375" s="3686"/>
      <c r="AN375" s="3686"/>
      <c r="AO375" s="3686"/>
      <c r="AP375" s="3686"/>
      <c r="AQ375" s="3686"/>
      <c r="AR375" s="3686"/>
      <c r="AS375" s="3686"/>
      <c r="AT375" s="3686"/>
      <c r="AU375" s="3686"/>
      <c r="AV375" s="3686"/>
      <c r="AW375" s="3686"/>
      <c r="AX375" s="3631">
        <v>20</v>
      </c>
      <c r="AY375" s="3631"/>
      <c r="AZ375" s="3631"/>
      <c r="BA375" s="3631"/>
      <c r="BB375" s="3631"/>
      <c r="BC375" s="3631"/>
      <c r="BD375" s="3631"/>
      <c r="BE375" s="3631"/>
      <c r="BF375" s="3631"/>
      <c r="BG375" s="3631"/>
      <c r="BH375" s="3631"/>
      <c r="BI375" s="3631"/>
      <c r="BJ375" s="3631"/>
      <c r="BK375" s="3631"/>
      <c r="BL375" s="3631"/>
      <c r="BM375" s="3631"/>
      <c r="BN375" s="3631"/>
      <c r="BO375" s="3632"/>
      <c r="BP375" s="3632"/>
      <c r="BQ375" s="3632"/>
      <c r="BR375" s="3632"/>
      <c r="BS375" s="3632"/>
      <c r="BT375" s="3632"/>
      <c r="BU375" s="3632"/>
      <c r="BV375" s="3632"/>
      <c r="BW375" s="3632"/>
      <c r="BX375" s="3632"/>
      <c r="BY375" s="3632"/>
      <c r="BZ375" s="3632"/>
      <c r="CA375" s="3632"/>
      <c r="CB375" s="3632"/>
      <c r="CC375" s="3632"/>
      <c r="CD375" s="3632"/>
      <c r="CE375" s="3632"/>
      <c r="CF375" s="3632">
        <f t="shared" si="144"/>
        <v>20</v>
      </c>
    </row>
    <row r="376" spans="1:84" ht="37.5" customHeight="1">
      <c r="A376" s="548" t="s">
        <v>3379</v>
      </c>
      <c r="B376" s="548" t="s">
        <v>3380</v>
      </c>
      <c r="C376" s="558" t="s">
        <v>4226</v>
      </c>
      <c r="D376" s="2604" t="s">
        <v>85</v>
      </c>
      <c r="E376" s="2604" t="s">
        <v>85</v>
      </c>
      <c r="F376" s="609" t="s">
        <v>4227</v>
      </c>
      <c r="G376" s="3560">
        <v>1</v>
      </c>
      <c r="H376" s="2520">
        <v>360000</v>
      </c>
      <c r="I376" s="569">
        <f t="shared" si="149"/>
        <v>3.6</v>
      </c>
      <c r="J376" s="283">
        <v>1</v>
      </c>
      <c r="K376" s="2951">
        <f t="shared" si="150"/>
        <v>3.6</v>
      </c>
      <c r="L376" s="3561" t="s">
        <v>5413</v>
      </c>
      <c r="M376" s="2263">
        <f>'Ab1. RMNCH+A'!Q2118</f>
        <v>0</v>
      </c>
      <c r="N376" s="3679">
        <v>3.6</v>
      </c>
      <c r="O376" s="3688">
        <f t="shared" si="143"/>
        <v>0</v>
      </c>
      <c r="P376" s="3686"/>
      <c r="Q376" s="3686"/>
      <c r="R376" s="3686"/>
      <c r="S376" s="3686"/>
      <c r="T376" s="3686"/>
      <c r="U376" s="3686"/>
      <c r="V376" s="3686"/>
      <c r="W376" s="3686"/>
      <c r="X376" s="3686"/>
      <c r="Y376" s="3686"/>
      <c r="Z376" s="3686"/>
      <c r="AA376" s="3686"/>
      <c r="AB376" s="3686"/>
      <c r="AC376" s="3686"/>
      <c r="AD376" s="3686"/>
      <c r="AE376" s="3686"/>
      <c r="AF376" s="3686"/>
      <c r="AG376" s="3686"/>
      <c r="AH376" s="3686"/>
      <c r="AI376" s="3686"/>
      <c r="AJ376" s="3686"/>
      <c r="AK376" s="3686"/>
      <c r="AL376" s="3686"/>
      <c r="AM376" s="3686"/>
      <c r="AN376" s="3686"/>
      <c r="AO376" s="3686"/>
      <c r="AP376" s="3686"/>
      <c r="AQ376" s="3686"/>
      <c r="AR376" s="3686"/>
      <c r="AS376" s="3686"/>
      <c r="AT376" s="3686"/>
      <c r="AU376" s="3686"/>
      <c r="AV376" s="3686"/>
      <c r="AW376" s="3686"/>
      <c r="AX376" s="3631">
        <v>3.6</v>
      </c>
      <c r="AY376" s="3631"/>
      <c r="AZ376" s="3631"/>
      <c r="BA376" s="3631"/>
      <c r="BB376" s="3631"/>
      <c r="BC376" s="3631"/>
      <c r="BD376" s="3631"/>
      <c r="BE376" s="3631"/>
      <c r="BF376" s="3631"/>
      <c r="BG376" s="3631"/>
      <c r="BH376" s="3631"/>
      <c r="BI376" s="3631"/>
      <c r="BJ376" s="3631"/>
      <c r="BK376" s="3631"/>
      <c r="BL376" s="3631"/>
      <c r="BM376" s="3631"/>
      <c r="BN376" s="3631"/>
      <c r="BO376" s="3631"/>
      <c r="BP376" s="3631"/>
      <c r="BQ376" s="3631"/>
      <c r="BR376" s="3631"/>
      <c r="BS376" s="3631"/>
      <c r="BT376" s="3631"/>
      <c r="BU376" s="3631"/>
      <c r="BV376" s="3631"/>
      <c r="BW376" s="3631"/>
      <c r="BX376" s="3631"/>
      <c r="BY376" s="3631"/>
      <c r="BZ376" s="3631"/>
      <c r="CA376" s="3631"/>
      <c r="CB376" s="3631"/>
      <c r="CC376" s="3631"/>
      <c r="CD376" s="3631"/>
      <c r="CE376" s="3631"/>
      <c r="CF376" s="3631">
        <f t="shared" si="144"/>
        <v>3.6</v>
      </c>
    </row>
    <row r="377" spans="1:84" ht="37.5" customHeight="1">
      <c r="A377" s="548" t="s">
        <v>3395</v>
      </c>
      <c r="B377" s="548" t="s">
        <v>3396</v>
      </c>
      <c r="C377" s="558" t="s">
        <v>2195</v>
      </c>
      <c r="D377" s="2254" t="s">
        <v>4219</v>
      </c>
      <c r="E377" s="2254" t="s">
        <v>4525</v>
      </c>
      <c r="F377" s="609" t="s">
        <v>4524</v>
      </c>
      <c r="G377" s="2421">
        <v>105</v>
      </c>
      <c r="H377" s="2368">
        <v>26982</v>
      </c>
      <c r="I377" s="569">
        <f t="shared" si="149"/>
        <v>0.26982</v>
      </c>
      <c r="J377" s="2368">
        <v>169</v>
      </c>
      <c r="K377" s="2951">
        <f t="shared" si="150"/>
        <v>45.599580000000003</v>
      </c>
      <c r="L377" s="2422" t="s">
        <v>5182</v>
      </c>
      <c r="M377" s="2263">
        <f>'Abs11. NTEP'!Q1711</f>
        <v>0</v>
      </c>
      <c r="N377" s="3657">
        <v>45.6</v>
      </c>
      <c r="O377" s="3688">
        <f t="shared" si="143"/>
        <v>-4.1999999999831061E-4</v>
      </c>
      <c r="P377" s="3686"/>
      <c r="Q377" s="3686"/>
      <c r="R377" s="3686"/>
      <c r="S377" s="3686"/>
      <c r="T377" s="3686"/>
      <c r="U377" s="3686"/>
      <c r="V377" s="3686"/>
      <c r="W377" s="3686"/>
      <c r="X377" s="3686"/>
      <c r="Y377" s="3686"/>
      <c r="Z377" s="3686"/>
      <c r="AA377" s="3686"/>
      <c r="AB377" s="3686"/>
      <c r="AC377" s="3686"/>
      <c r="AD377" s="3686"/>
      <c r="AE377" s="3686"/>
      <c r="AF377" s="3686"/>
      <c r="AG377" s="3686"/>
      <c r="AH377" s="3686"/>
      <c r="AI377" s="3686"/>
      <c r="AJ377" s="3686"/>
      <c r="AK377" s="3686"/>
      <c r="AL377" s="3686"/>
      <c r="AM377" s="3686"/>
      <c r="AN377" s="3686"/>
      <c r="AO377" s="3686"/>
      <c r="AP377" s="3686"/>
      <c r="AQ377" s="3686"/>
      <c r="AR377" s="3686"/>
      <c r="AS377" s="3686"/>
      <c r="AT377" s="3686"/>
      <c r="AU377" s="3686"/>
      <c r="AV377" s="3686"/>
      <c r="AW377" s="3686"/>
      <c r="AX377" s="3631">
        <v>1.59</v>
      </c>
      <c r="AY377" s="3631">
        <v>2.37</v>
      </c>
      <c r="AZ377" s="3631">
        <v>3.28</v>
      </c>
      <c r="BA377" s="3631">
        <v>3.28</v>
      </c>
      <c r="BB377" s="3631">
        <v>6.44</v>
      </c>
      <c r="BC377" s="3631">
        <v>1.71</v>
      </c>
      <c r="BD377" s="3631">
        <v>3.28</v>
      </c>
      <c r="BE377" s="3631">
        <v>1.71</v>
      </c>
      <c r="BF377" s="3631">
        <v>5.65</v>
      </c>
      <c r="BG377" s="3631">
        <v>5.65</v>
      </c>
      <c r="BH377" s="3631">
        <v>3.28</v>
      </c>
      <c r="BI377" s="3631">
        <v>3.28</v>
      </c>
      <c r="BJ377" s="3631">
        <v>2.5</v>
      </c>
      <c r="BK377" s="3631"/>
      <c r="BL377" s="3631"/>
      <c r="BM377" s="3631"/>
      <c r="BN377" s="3631"/>
      <c r="BO377" s="3631"/>
      <c r="BP377" s="3631"/>
      <c r="BQ377" s="3631"/>
      <c r="BR377" s="3631"/>
      <c r="BS377" s="3631"/>
      <c r="BT377" s="3631"/>
      <c r="BU377" s="3631"/>
      <c r="BV377" s="3631"/>
      <c r="BW377" s="3631"/>
      <c r="BX377" s="3631"/>
      <c r="BY377" s="3631"/>
      <c r="BZ377" s="3631"/>
      <c r="CA377" s="3631">
        <v>1.58</v>
      </c>
      <c r="CB377" s="3631"/>
      <c r="CC377" s="3631"/>
      <c r="CD377" s="3631"/>
      <c r="CE377" s="3631"/>
      <c r="CF377" s="3632">
        <f t="shared" si="144"/>
        <v>45.6</v>
      </c>
    </row>
    <row r="378" spans="1:84" ht="37.5" customHeight="1">
      <c r="A378" s="3463" t="s">
        <v>3397</v>
      </c>
      <c r="B378" s="3463" t="s">
        <v>3398</v>
      </c>
      <c r="C378" s="3562" t="s">
        <v>1290</v>
      </c>
      <c r="D378" s="2254" t="s">
        <v>4219</v>
      </c>
      <c r="E378" s="2254" t="s">
        <v>4525</v>
      </c>
      <c r="F378" s="3465" t="s">
        <v>4524</v>
      </c>
      <c r="G378" s="3466">
        <v>0</v>
      </c>
      <c r="H378" s="962">
        <v>257143</v>
      </c>
      <c r="I378" s="962">
        <f t="shared" si="149"/>
        <v>2.5714299999999999</v>
      </c>
      <c r="J378" s="243">
        <v>21</v>
      </c>
      <c r="K378" s="3467">
        <f t="shared" si="150"/>
        <v>54.000029999999995</v>
      </c>
      <c r="L378" s="3786"/>
      <c r="M378" s="2257">
        <f>'Abs11. NTEP'!Q1712</f>
        <v>0</v>
      </c>
      <c r="N378" s="3642">
        <v>54</v>
      </c>
      <c r="O378" s="3687">
        <f t="shared" si="143"/>
        <v>2.9999999995311555E-5</v>
      </c>
      <c r="P378" s="3537"/>
      <c r="Q378" s="3537"/>
      <c r="R378" s="3537"/>
      <c r="S378" s="3537"/>
      <c r="T378" s="3537"/>
      <c r="U378" s="3537"/>
      <c r="V378" s="3537"/>
      <c r="W378" s="3537"/>
      <c r="X378" s="3537"/>
      <c r="Y378" s="3537"/>
      <c r="Z378" s="3537"/>
      <c r="AA378" s="3537"/>
      <c r="AB378" s="3537"/>
      <c r="AC378" s="3537"/>
      <c r="AD378" s="3537"/>
      <c r="AE378" s="3537"/>
      <c r="AF378" s="3537"/>
      <c r="AG378" s="3537"/>
      <c r="AH378" s="3537"/>
      <c r="AI378" s="3537"/>
      <c r="AJ378" s="3537"/>
      <c r="AK378" s="3537"/>
      <c r="AL378" s="3537"/>
      <c r="AM378" s="3537"/>
      <c r="AN378" s="3537"/>
      <c r="AO378" s="3537"/>
      <c r="AP378" s="3537"/>
      <c r="AQ378" s="3537"/>
      <c r="AR378" s="3537"/>
      <c r="AS378" s="3537"/>
      <c r="AT378" s="3537"/>
      <c r="AU378" s="3537"/>
      <c r="AV378" s="3537"/>
      <c r="AW378" s="3537"/>
      <c r="AX378" s="3538">
        <v>12.96</v>
      </c>
      <c r="AY378" s="3538">
        <v>0.12</v>
      </c>
      <c r="AZ378" s="3538">
        <v>7.32</v>
      </c>
      <c r="BA378" s="3538">
        <v>0.12</v>
      </c>
      <c r="BB378" s="3538">
        <v>7.32</v>
      </c>
      <c r="BC378" s="3538">
        <v>3.72</v>
      </c>
      <c r="BD378" s="3538">
        <v>3.72</v>
      </c>
      <c r="BE378" s="3538">
        <v>0.12</v>
      </c>
      <c r="BF378" s="3538">
        <v>7.32</v>
      </c>
      <c r="BG378" s="3538">
        <v>3.72</v>
      </c>
      <c r="BH378" s="3538">
        <v>3.72</v>
      </c>
      <c r="BI378" s="3538">
        <v>0.12</v>
      </c>
      <c r="BJ378" s="3538">
        <v>3.72</v>
      </c>
      <c r="BK378" s="3538"/>
      <c r="BL378" s="3538"/>
      <c r="BM378" s="3538"/>
      <c r="BN378" s="3538"/>
      <c r="BO378" s="3633"/>
      <c r="BP378" s="3633"/>
      <c r="BQ378" s="3633"/>
      <c r="BR378" s="3633"/>
      <c r="BS378" s="3633"/>
      <c r="BT378" s="3633"/>
      <c r="BU378" s="3633"/>
      <c r="BV378" s="3633"/>
      <c r="BW378" s="3633"/>
      <c r="BX378" s="3633"/>
      <c r="BY378" s="3633"/>
      <c r="BZ378" s="3633"/>
      <c r="CA378" s="3633"/>
      <c r="CB378" s="3633"/>
      <c r="CC378" s="3633"/>
      <c r="CD378" s="3633"/>
      <c r="CE378" s="3633"/>
      <c r="CF378" s="3633">
        <f t="shared" si="144"/>
        <v>53.999999999999993</v>
      </c>
    </row>
    <row r="379" spans="1:84" ht="37.5" customHeight="1">
      <c r="A379" s="548" t="s">
        <v>4476</v>
      </c>
      <c r="B379" s="548" t="s">
        <v>3407</v>
      </c>
      <c r="C379" s="576" t="s">
        <v>302</v>
      </c>
      <c r="D379" s="982" t="s">
        <v>85</v>
      </c>
      <c r="E379" s="982" t="s">
        <v>85</v>
      </c>
      <c r="F379" s="609" t="s">
        <v>3238</v>
      </c>
      <c r="G379" s="560"/>
      <c r="H379" s="283">
        <v>15000000</v>
      </c>
      <c r="I379" s="569">
        <f>H379/100000</f>
        <v>150</v>
      </c>
      <c r="J379" s="283">
        <v>1</v>
      </c>
      <c r="K379" s="2951">
        <f>I379*J379</f>
        <v>150</v>
      </c>
      <c r="L379" s="735"/>
      <c r="M379" s="3785" t="s">
        <v>5942</v>
      </c>
      <c r="N379" s="3689">
        <v>150</v>
      </c>
      <c r="O379" s="3688">
        <f t="shared" si="143"/>
        <v>0</v>
      </c>
      <c r="P379" s="3686"/>
      <c r="Q379" s="3686"/>
      <c r="R379" s="3686"/>
      <c r="S379" s="3686"/>
      <c r="T379" s="3686"/>
      <c r="U379" s="3686"/>
      <c r="V379" s="3686"/>
      <c r="W379" s="3686"/>
      <c r="X379" s="3686"/>
      <c r="Y379" s="3686"/>
      <c r="Z379" s="3686"/>
      <c r="AA379" s="3686"/>
      <c r="AB379" s="3686"/>
      <c r="AC379" s="3686"/>
      <c r="AD379" s="3686"/>
      <c r="AE379" s="3686"/>
      <c r="AF379" s="3686"/>
      <c r="AG379" s="3686"/>
      <c r="AH379" s="3686"/>
      <c r="AI379" s="3686"/>
      <c r="AJ379" s="3686"/>
      <c r="AK379" s="3686"/>
      <c r="AL379" s="3686"/>
      <c r="AM379" s="3686"/>
      <c r="AN379" s="3686"/>
      <c r="AO379" s="3686"/>
      <c r="AP379" s="3686"/>
      <c r="AQ379" s="3686"/>
      <c r="AR379" s="3686"/>
      <c r="AS379" s="3686"/>
      <c r="AT379" s="3686"/>
      <c r="AU379" s="3686"/>
      <c r="AV379" s="3686"/>
      <c r="AW379" s="3686"/>
      <c r="AX379" s="3631">
        <v>150</v>
      </c>
      <c r="AY379" s="3631"/>
      <c r="AZ379" s="3631"/>
      <c r="BA379" s="3631"/>
      <c r="BB379" s="3631"/>
      <c r="BC379" s="3631"/>
      <c r="BD379" s="3631"/>
      <c r="BE379" s="3631"/>
      <c r="BF379" s="3631"/>
      <c r="BG379" s="3631"/>
      <c r="BH379" s="3631"/>
      <c r="BI379" s="3631"/>
      <c r="BJ379" s="3631"/>
      <c r="BK379" s="3631"/>
      <c r="BL379" s="3631"/>
      <c r="BM379" s="3631"/>
      <c r="BN379" s="3631"/>
      <c r="BO379" s="3632"/>
      <c r="BP379" s="3632"/>
      <c r="BQ379" s="3632"/>
      <c r="BR379" s="3632"/>
      <c r="BS379" s="3632"/>
      <c r="BT379" s="3632"/>
      <c r="BU379" s="3632"/>
      <c r="BV379" s="3632"/>
      <c r="BW379" s="3632"/>
      <c r="BX379" s="3632"/>
      <c r="BY379" s="3632"/>
      <c r="BZ379" s="3632"/>
      <c r="CA379" s="3632"/>
      <c r="CB379" s="3632"/>
      <c r="CC379" s="3632"/>
      <c r="CD379" s="3632"/>
      <c r="CE379" s="3632"/>
      <c r="CF379" s="3632">
        <f t="shared" si="144"/>
        <v>150</v>
      </c>
    </row>
    <row r="380" spans="1:84" ht="37.5" customHeight="1">
      <c r="A380" s="548" t="s">
        <v>3416</v>
      </c>
      <c r="B380" s="548" t="s">
        <v>3417</v>
      </c>
      <c r="C380" s="558" t="s">
        <v>2201</v>
      </c>
      <c r="D380" s="2604" t="s">
        <v>85</v>
      </c>
      <c r="E380" s="2604" t="s">
        <v>85</v>
      </c>
      <c r="F380" s="609" t="s">
        <v>3573</v>
      </c>
      <c r="G380" s="3787">
        <v>1</v>
      </c>
      <c r="H380" s="2536">
        <v>48000</v>
      </c>
      <c r="I380" s="569">
        <f t="shared" ref="I380:I387" si="151">H380/100000</f>
        <v>0.48</v>
      </c>
      <c r="J380" s="2536">
        <v>1</v>
      </c>
      <c r="K380" s="2951">
        <f t="shared" ref="K380:K387" si="152">I380*J380</f>
        <v>0.48</v>
      </c>
      <c r="L380" s="3556" t="s">
        <v>5336</v>
      </c>
      <c r="M380" s="2263">
        <f>'Ab1. RMNCH+A'!Q2120</f>
        <v>0</v>
      </c>
      <c r="N380" s="3788">
        <v>0.48</v>
      </c>
      <c r="O380" s="3688">
        <f t="shared" si="143"/>
        <v>0</v>
      </c>
      <c r="P380" s="3686"/>
      <c r="Q380" s="3686"/>
      <c r="R380" s="3686"/>
      <c r="S380" s="3686"/>
      <c r="T380" s="3686"/>
      <c r="U380" s="3686"/>
      <c r="V380" s="3686"/>
      <c r="W380" s="3686"/>
      <c r="X380" s="3686"/>
      <c r="Y380" s="3686"/>
      <c r="Z380" s="3686"/>
      <c r="AA380" s="3686"/>
      <c r="AB380" s="3686"/>
      <c r="AC380" s="3686"/>
      <c r="AD380" s="3686"/>
      <c r="AE380" s="3686"/>
      <c r="AF380" s="3686"/>
      <c r="AG380" s="3686"/>
      <c r="AH380" s="3686"/>
      <c r="AI380" s="3686"/>
      <c r="AJ380" s="3686"/>
      <c r="AK380" s="3686"/>
      <c r="AL380" s="3686"/>
      <c r="AM380" s="3686"/>
      <c r="AN380" s="3686"/>
      <c r="AO380" s="3686"/>
      <c r="AP380" s="3686"/>
      <c r="AQ380" s="3686"/>
      <c r="AR380" s="3686"/>
      <c r="AS380" s="3686"/>
      <c r="AT380" s="3686"/>
      <c r="AU380" s="3686"/>
      <c r="AV380" s="3686"/>
      <c r="AW380" s="3686"/>
      <c r="AX380" s="3631">
        <v>0.48</v>
      </c>
      <c r="AY380" s="3631"/>
      <c r="AZ380" s="3631"/>
      <c r="BA380" s="3631"/>
      <c r="BB380" s="3631"/>
      <c r="BC380" s="3631"/>
      <c r="BD380" s="3631"/>
      <c r="BE380" s="3631"/>
      <c r="BF380" s="3631"/>
      <c r="BG380" s="3631"/>
      <c r="BH380" s="3631"/>
      <c r="BI380" s="3631"/>
      <c r="BJ380" s="3631"/>
      <c r="BK380" s="3631"/>
      <c r="BL380" s="3631"/>
      <c r="BM380" s="3631"/>
      <c r="BN380" s="3631"/>
      <c r="BO380" s="3634"/>
      <c r="BP380" s="3634"/>
      <c r="BQ380" s="3634"/>
      <c r="BR380" s="3634"/>
      <c r="BS380" s="3634"/>
      <c r="BT380" s="3634"/>
      <c r="BU380" s="3634"/>
      <c r="BV380" s="3634"/>
      <c r="BW380" s="3634"/>
      <c r="BX380" s="3634"/>
      <c r="BY380" s="3634"/>
      <c r="BZ380" s="3634"/>
      <c r="CA380" s="3634"/>
      <c r="CB380" s="3634"/>
      <c r="CC380" s="3634"/>
      <c r="CD380" s="3634"/>
      <c r="CE380" s="3634"/>
      <c r="CF380" s="3634">
        <f t="shared" si="144"/>
        <v>0.48</v>
      </c>
    </row>
    <row r="381" spans="1:84" ht="37.5" customHeight="1">
      <c r="A381" s="548" t="s">
        <v>3418</v>
      </c>
      <c r="B381" s="548" t="s">
        <v>3419</v>
      </c>
      <c r="C381" s="558" t="s">
        <v>3982</v>
      </c>
      <c r="D381" s="2604" t="s">
        <v>85</v>
      </c>
      <c r="E381" s="2604" t="s">
        <v>85</v>
      </c>
      <c r="F381" s="609" t="s">
        <v>3573</v>
      </c>
      <c r="G381" s="3787">
        <v>1</v>
      </c>
      <c r="H381" s="2536">
        <v>24000</v>
      </c>
      <c r="I381" s="569">
        <f t="shared" si="151"/>
        <v>0.24</v>
      </c>
      <c r="J381" s="2536">
        <v>1</v>
      </c>
      <c r="K381" s="2951">
        <f t="shared" si="152"/>
        <v>0.24</v>
      </c>
      <c r="L381" s="3556" t="s">
        <v>5337</v>
      </c>
      <c r="M381" s="2263">
        <f>'Ab1. RMNCH+A'!Q2121</f>
        <v>0</v>
      </c>
      <c r="N381" s="3788">
        <v>0.24</v>
      </c>
      <c r="O381" s="3688">
        <f t="shared" si="143"/>
        <v>0</v>
      </c>
      <c r="P381" s="3686"/>
      <c r="Q381" s="3686"/>
      <c r="R381" s="3686"/>
      <c r="S381" s="3686"/>
      <c r="T381" s="3686"/>
      <c r="U381" s="3686"/>
      <c r="V381" s="3686"/>
      <c r="W381" s="3686"/>
      <c r="X381" s="3686"/>
      <c r="Y381" s="3686"/>
      <c r="Z381" s="3686"/>
      <c r="AA381" s="3686"/>
      <c r="AB381" s="3686"/>
      <c r="AC381" s="3686"/>
      <c r="AD381" s="3686"/>
      <c r="AE381" s="3686"/>
      <c r="AF381" s="3686"/>
      <c r="AG381" s="3686"/>
      <c r="AH381" s="3686"/>
      <c r="AI381" s="3686"/>
      <c r="AJ381" s="3686"/>
      <c r="AK381" s="3686"/>
      <c r="AL381" s="3686"/>
      <c r="AM381" s="3686"/>
      <c r="AN381" s="3686"/>
      <c r="AO381" s="3686"/>
      <c r="AP381" s="3686"/>
      <c r="AQ381" s="3686"/>
      <c r="AR381" s="3686"/>
      <c r="AS381" s="3686"/>
      <c r="AT381" s="3686"/>
      <c r="AU381" s="3686"/>
      <c r="AV381" s="3686"/>
      <c r="AW381" s="3686"/>
      <c r="AX381" s="3631">
        <v>0.24</v>
      </c>
      <c r="AY381" s="3631"/>
      <c r="AZ381" s="3631"/>
      <c r="BA381" s="3631"/>
      <c r="BB381" s="3631"/>
      <c r="BC381" s="3631"/>
      <c r="BD381" s="3631"/>
      <c r="BE381" s="3631"/>
      <c r="BF381" s="3631"/>
      <c r="BG381" s="3631"/>
      <c r="BH381" s="3631"/>
      <c r="BI381" s="3631"/>
      <c r="BJ381" s="3631"/>
      <c r="BK381" s="3631"/>
      <c r="BL381" s="3631"/>
      <c r="BM381" s="3631"/>
      <c r="BN381" s="3631"/>
      <c r="BO381" s="3634"/>
      <c r="BP381" s="3634"/>
      <c r="BQ381" s="3634"/>
      <c r="BR381" s="3634"/>
      <c r="BS381" s="3634"/>
      <c r="BT381" s="3634"/>
      <c r="BU381" s="3634"/>
      <c r="BV381" s="3634"/>
      <c r="BW381" s="3634"/>
      <c r="BX381" s="3634"/>
      <c r="BY381" s="3634"/>
      <c r="BZ381" s="3634"/>
      <c r="CA381" s="3634"/>
      <c r="CB381" s="3634"/>
      <c r="CC381" s="3634"/>
      <c r="CD381" s="3634"/>
      <c r="CE381" s="3634"/>
      <c r="CF381" s="3634">
        <f t="shared" si="144"/>
        <v>0.24</v>
      </c>
    </row>
    <row r="382" spans="1:84" ht="37.5" customHeight="1">
      <c r="A382" s="548" t="s">
        <v>3420</v>
      </c>
      <c r="B382" s="548" t="s">
        <v>3421</v>
      </c>
      <c r="C382" s="558" t="s">
        <v>4232</v>
      </c>
      <c r="D382" s="982" t="s">
        <v>85</v>
      </c>
      <c r="E382" s="982" t="s">
        <v>85</v>
      </c>
      <c r="F382" s="584" t="s">
        <v>3582</v>
      </c>
      <c r="G382" s="560"/>
      <c r="H382" s="283">
        <v>400000</v>
      </c>
      <c r="I382" s="569">
        <f t="shared" si="151"/>
        <v>4</v>
      </c>
      <c r="J382" s="283">
        <v>12</v>
      </c>
      <c r="K382" s="2951">
        <f t="shared" si="152"/>
        <v>48</v>
      </c>
      <c r="L382" s="735"/>
      <c r="M382" s="3785" t="s">
        <v>5942</v>
      </c>
      <c r="N382" s="3689">
        <v>48</v>
      </c>
      <c r="O382" s="3688">
        <f t="shared" si="143"/>
        <v>0</v>
      </c>
      <c r="P382" s="3686"/>
      <c r="Q382" s="3686"/>
      <c r="R382" s="3686"/>
      <c r="S382" s="3686"/>
      <c r="T382" s="3686"/>
      <c r="U382" s="3686"/>
      <c r="V382" s="3686"/>
      <c r="W382" s="3686"/>
      <c r="X382" s="3686"/>
      <c r="Y382" s="3686"/>
      <c r="Z382" s="3686"/>
      <c r="AA382" s="3686"/>
      <c r="AB382" s="3686"/>
      <c r="AC382" s="3686"/>
      <c r="AD382" s="3686"/>
      <c r="AE382" s="3686"/>
      <c r="AF382" s="3686"/>
      <c r="AG382" s="3686"/>
      <c r="AH382" s="3686"/>
      <c r="AI382" s="3686"/>
      <c r="AJ382" s="3686"/>
      <c r="AK382" s="3686"/>
      <c r="AL382" s="3686"/>
      <c r="AM382" s="3686"/>
      <c r="AN382" s="3686"/>
      <c r="AO382" s="3686"/>
      <c r="AP382" s="3686"/>
      <c r="AQ382" s="3686"/>
      <c r="AR382" s="3686"/>
      <c r="AS382" s="3686"/>
      <c r="AT382" s="3686"/>
      <c r="AU382" s="3686"/>
      <c r="AV382" s="3686"/>
      <c r="AW382" s="3686"/>
      <c r="AX382" s="3631">
        <v>11</v>
      </c>
      <c r="AY382" s="3631">
        <v>3</v>
      </c>
      <c r="AZ382" s="3631">
        <v>3</v>
      </c>
      <c r="BA382" s="3631">
        <v>3</v>
      </c>
      <c r="BB382" s="3631">
        <v>4</v>
      </c>
      <c r="BC382" s="3631">
        <v>2</v>
      </c>
      <c r="BD382" s="3631">
        <v>3</v>
      </c>
      <c r="BE382" s="3631">
        <v>2</v>
      </c>
      <c r="BF382" s="3631">
        <v>4</v>
      </c>
      <c r="BG382" s="3631">
        <v>4</v>
      </c>
      <c r="BH382" s="3631">
        <v>3</v>
      </c>
      <c r="BI382" s="3631">
        <v>3</v>
      </c>
      <c r="BJ382" s="3631">
        <v>3</v>
      </c>
      <c r="BK382" s="3631"/>
      <c r="BL382" s="3631"/>
      <c r="BM382" s="3631"/>
      <c r="BN382" s="3631"/>
      <c r="BO382" s="3632"/>
      <c r="BP382" s="3632"/>
      <c r="BQ382" s="3632"/>
      <c r="BR382" s="3632"/>
      <c r="BS382" s="3632"/>
      <c r="BT382" s="3632"/>
      <c r="BU382" s="3632"/>
      <c r="BV382" s="3632"/>
      <c r="BW382" s="3632"/>
      <c r="BX382" s="3632"/>
      <c r="BY382" s="3632"/>
      <c r="BZ382" s="3632"/>
      <c r="CA382" s="3632"/>
      <c r="CB382" s="3632"/>
      <c r="CC382" s="3632"/>
      <c r="CD382" s="3632"/>
      <c r="CE382" s="3632"/>
      <c r="CF382" s="3632">
        <f t="shared" si="144"/>
        <v>48</v>
      </c>
    </row>
    <row r="383" spans="1:84" ht="37.5" customHeight="1">
      <c r="A383" s="548" t="s">
        <v>3428</v>
      </c>
      <c r="B383" s="548" t="s">
        <v>3429</v>
      </c>
      <c r="C383" s="558" t="s">
        <v>2203</v>
      </c>
      <c r="D383" s="2604" t="s">
        <v>85</v>
      </c>
      <c r="E383" s="2604" t="s">
        <v>200</v>
      </c>
      <c r="F383" s="609" t="s">
        <v>3570</v>
      </c>
      <c r="G383" s="3560">
        <v>1</v>
      </c>
      <c r="H383" s="2520">
        <v>205000</v>
      </c>
      <c r="I383" s="569">
        <f t="shared" si="151"/>
        <v>2.0499999999999998</v>
      </c>
      <c r="J383" s="283">
        <v>12</v>
      </c>
      <c r="K383" s="2951">
        <f t="shared" si="152"/>
        <v>24.599999999999998</v>
      </c>
      <c r="L383" s="3561" t="s">
        <v>5414</v>
      </c>
      <c r="M383" s="2263">
        <f>'Ab1. RMNCH+A'!Q2122</f>
        <v>0</v>
      </c>
      <c r="N383" s="3788">
        <v>24.6</v>
      </c>
      <c r="O383" s="3688">
        <f t="shared" si="143"/>
        <v>0</v>
      </c>
      <c r="P383" s="3686"/>
      <c r="Q383" s="3686"/>
      <c r="R383" s="3686"/>
      <c r="S383" s="3686"/>
      <c r="T383" s="3686"/>
      <c r="U383" s="3686"/>
      <c r="V383" s="3686"/>
      <c r="W383" s="3686"/>
      <c r="X383" s="3686"/>
      <c r="Y383" s="3686"/>
      <c r="Z383" s="3686"/>
      <c r="AA383" s="3686"/>
      <c r="AB383" s="3686"/>
      <c r="AC383" s="3686"/>
      <c r="AD383" s="3686"/>
      <c r="AE383" s="3686"/>
      <c r="AF383" s="3686"/>
      <c r="AG383" s="3686"/>
      <c r="AH383" s="3686"/>
      <c r="AI383" s="3686"/>
      <c r="AJ383" s="3686"/>
      <c r="AK383" s="3686"/>
      <c r="AL383" s="3686"/>
      <c r="AM383" s="3686"/>
      <c r="AN383" s="3686"/>
      <c r="AO383" s="3686"/>
      <c r="AP383" s="3686"/>
      <c r="AQ383" s="3686"/>
      <c r="AR383" s="3686"/>
      <c r="AS383" s="3686"/>
      <c r="AT383" s="3686"/>
      <c r="AU383" s="3686"/>
      <c r="AV383" s="3686"/>
      <c r="AW383" s="3686"/>
      <c r="AX383" s="3631">
        <v>24.6</v>
      </c>
      <c r="AY383" s="3631"/>
      <c r="AZ383" s="3631"/>
      <c r="BA383" s="3631"/>
      <c r="BB383" s="3631"/>
      <c r="BC383" s="3631"/>
      <c r="BD383" s="3631"/>
      <c r="BE383" s="3631"/>
      <c r="BF383" s="3631"/>
      <c r="BG383" s="3631"/>
      <c r="BH383" s="3631"/>
      <c r="BI383" s="3631"/>
      <c r="BJ383" s="3631"/>
      <c r="BK383" s="3631"/>
      <c r="BL383" s="3631"/>
      <c r="BM383" s="3631"/>
      <c r="BN383" s="3631"/>
      <c r="BO383" s="3634"/>
      <c r="BP383" s="3634"/>
      <c r="BQ383" s="3634"/>
      <c r="BR383" s="3634"/>
      <c r="BS383" s="3634"/>
      <c r="BT383" s="3634"/>
      <c r="BU383" s="3634"/>
      <c r="BV383" s="3634"/>
      <c r="BW383" s="3634"/>
      <c r="BX383" s="3634"/>
      <c r="BY383" s="3634"/>
      <c r="BZ383" s="3634"/>
      <c r="CA383" s="3634"/>
      <c r="CB383" s="3634"/>
      <c r="CC383" s="3634"/>
      <c r="CD383" s="3634"/>
      <c r="CE383" s="3634"/>
      <c r="CF383" s="3634">
        <f t="shared" si="144"/>
        <v>24.6</v>
      </c>
    </row>
    <row r="384" spans="1:84" ht="37.5" customHeight="1">
      <c r="A384" s="548" t="s">
        <v>3430</v>
      </c>
      <c r="B384" s="548" t="s">
        <v>3431</v>
      </c>
      <c r="C384" s="558" t="s">
        <v>2204</v>
      </c>
      <c r="D384" s="2254" t="s">
        <v>4219</v>
      </c>
      <c r="E384" s="2254" t="s">
        <v>288</v>
      </c>
      <c r="F384" s="609" t="s">
        <v>3576</v>
      </c>
      <c r="G384" s="2605">
        <v>12</v>
      </c>
      <c r="H384" s="2545">
        <v>100000</v>
      </c>
      <c r="I384" s="569">
        <f t="shared" si="151"/>
        <v>1</v>
      </c>
      <c r="J384" s="2545">
        <v>12</v>
      </c>
      <c r="K384" s="2951">
        <f t="shared" si="152"/>
        <v>12</v>
      </c>
      <c r="L384" s="735"/>
      <c r="M384" s="2263">
        <f>'Abs8. IDSP'!Q1684</f>
        <v>0</v>
      </c>
      <c r="N384" s="3679">
        <v>12</v>
      </c>
      <c r="O384" s="3688">
        <f t="shared" si="143"/>
        <v>0</v>
      </c>
      <c r="P384" s="3686"/>
      <c r="Q384" s="3686"/>
      <c r="R384" s="3686"/>
      <c r="S384" s="3686"/>
      <c r="T384" s="3686"/>
      <c r="U384" s="3686"/>
      <c r="V384" s="3686"/>
      <c r="W384" s="3686"/>
      <c r="X384" s="3686"/>
      <c r="Y384" s="3686"/>
      <c r="Z384" s="3686"/>
      <c r="AA384" s="3686"/>
      <c r="AB384" s="3686"/>
      <c r="AC384" s="3686"/>
      <c r="AD384" s="3686"/>
      <c r="AE384" s="3686"/>
      <c r="AF384" s="3686"/>
      <c r="AG384" s="3686"/>
      <c r="AH384" s="3686"/>
      <c r="AI384" s="3686"/>
      <c r="AJ384" s="3686"/>
      <c r="AK384" s="3686"/>
      <c r="AL384" s="3686"/>
      <c r="AM384" s="3686"/>
      <c r="AN384" s="3686"/>
      <c r="AO384" s="3686"/>
      <c r="AP384" s="3686"/>
      <c r="AQ384" s="3686"/>
      <c r="AR384" s="3686"/>
      <c r="AS384" s="3686"/>
      <c r="AT384" s="3686"/>
      <c r="AU384" s="3686"/>
      <c r="AV384" s="3686"/>
      <c r="AW384" s="3686"/>
      <c r="AX384" s="3631">
        <v>2</v>
      </c>
      <c r="AY384" s="3631">
        <v>0.5</v>
      </c>
      <c r="AZ384" s="3631">
        <v>0.5</v>
      </c>
      <c r="BA384" s="3631">
        <v>0.5</v>
      </c>
      <c r="BB384" s="3631">
        <v>2</v>
      </c>
      <c r="BC384" s="3631">
        <v>0.3</v>
      </c>
      <c r="BD384" s="3631">
        <v>0.5</v>
      </c>
      <c r="BE384" s="3631">
        <v>0.2</v>
      </c>
      <c r="BF384" s="3631">
        <v>2</v>
      </c>
      <c r="BG384" s="3631">
        <v>2</v>
      </c>
      <c r="BH384" s="3631">
        <v>0.5</v>
      </c>
      <c r="BI384" s="3631">
        <v>0.5</v>
      </c>
      <c r="BJ384" s="3631">
        <v>0.5</v>
      </c>
      <c r="BK384" s="3631"/>
      <c r="BL384" s="3631"/>
      <c r="BM384" s="3631"/>
      <c r="BN384" s="3631"/>
      <c r="BO384" s="3631"/>
      <c r="BP384" s="3631"/>
      <c r="BQ384" s="3631"/>
      <c r="BR384" s="3631"/>
      <c r="BS384" s="3631"/>
      <c r="BT384" s="3631"/>
      <c r="BU384" s="3631"/>
      <c r="BV384" s="3631"/>
      <c r="BW384" s="3631"/>
      <c r="BX384" s="3631"/>
      <c r="BY384" s="3631"/>
      <c r="BZ384" s="3631"/>
      <c r="CA384" s="3631"/>
      <c r="CB384" s="3631"/>
      <c r="CC384" s="3631"/>
      <c r="CD384" s="3631"/>
      <c r="CE384" s="3631"/>
      <c r="CF384" s="3632">
        <f t="shared" si="144"/>
        <v>12</v>
      </c>
    </row>
    <row r="385" spans="1:84" ht="37.5" customHeight="1">
      <c r="A385" s="548" t="s">
        <v>3432</v>
      </c>
      <c r="B385" s="548" t="s">
        <v>3433</v>
      </c>
      <c r="C385" s="558" t="s">
        <v>2190</v>
      </c>
      <c r="D385" s="2254" t="s">
        <v>4219</v>
      </c>
      <c r="E385" s="2254" t="s">
        <v>109</v>
      </c>
      <c r="F385" s="609" t="s">
        <v>4715</v>
      </c>
      <c r="G385" s="2605">
        <v>12</v>
      </c>
      <c r="H385" s="2545">
        <v>50000</v>
      </c>
      <c r="I385" s="569">
        <f t="shared" si="151"/>
        <v>0.5</v>
      </c>
      <c r="J385" s="283">
        <v>12</v>
      </c>
      <c r="K385" s="2951">
        <f t="shared" si="152"/>
        <v>6</v>
      </c>
      <c r="L385" s="735"/>
      <c r="M385" s="2263">
        <f>'Abs9. NVBDCP'!Q1776</f>
        <v>0</v>
      </c>
      <c r="N385" s="3657">
        <v>6</v>
      </c>
      <c r="O385" s="3688">
        <f t="shared" si="143"/>
        <v>0</v>
      </c>
      <c r="P385" s="3686"/>
      <c r="Q385" s="3686"/>
      <c r="R385" s="3686"/>
      <c r="S385" s="3686"/>
      <c r="T385" s="3686"/>
      <c r="U385" s="3686"/>
      <c r="V385" s="3686"/>
      <c r="W385" s="3686"/>
      <c r="X385" s="3686"/>
      <c r="Y385" s="3686"/>
      <c r="Z385" s="3686"/>
      <c r="AA385" s="3686"/>
      <c r="AB385" s="3686"/>
      <c r="AC385" s="3686"/>
      <c r="AD385" s="3686"/>
      <c r="AE385" s="3686"/>
      <c r="AF385" s="3686"/>
      <c r="AG385" s="3686"/>
      <c r="AH385" s="3686"/>
      <c r="AI385" s="3686"/>
      <c r="AJ385" s="3686"/>
      <c r="AK385" s="3686"/>
      <c r="AL385" s="3686"/>
      <c r="AM385" s="3686"/>
      <c r="AN385" s="3686"/>
      <c r="AO385" s="3686"/>
      <c r="AP385" s="3686"/>
      <c r="AQ385" s="3686"/>
      <c r="AR385" s="3686"/>
      <c r="AS385" s="3686"/>
      <c r="AT385" s="3686"/>
      <c r="AU385" s="3686"/>
      <c r="AV385" s="3686"/>
      <c r="AW385" s="3686"/>
      <c r="AX385" s="3631"/>
      <c r="AY385" s="3631">
        <v>0.7</v>
      </c>
      <c r="AZ385" s="3631">
        <v>0.5</v>
      </c>
      <c r="BA385" s="3631">
        <v>0.5</v>
      </c>
      <c r="BB385" s="3631">
        <v>0.7</v>
      </c>
      <c r="BC385" s="3631">
        <v>0</v>
      </c>
      <c r="BD385" s="3631">
        <v>0.5</v>
      </c>
      <c r="BE385" s="3631">
        <v>0</v>
      </c>
      <c r="BF385" s="3631">
        <v>0.5</v>
      </c>
      <c r="BG385" s="3631">
        <v>0.5</v>
      </c>
      <c r="BH385" s="3631">
        <v>0.7</v>
      </c>
      <c r="BI385" s="3631">
        <v>0.7</v>
      </c>
      <c r="BJ385" s="3631">
        <v>0.7</v>
      </c>
      <c r="BK385" s="3631"/>
      <c r="BL385" s="3631"/>
      <c r="BM385" s="3631"/>
      <c r="BN385" s="3631"/>
      <c r="BO385" s="3631"/>
      <c r="BP385" s="3631"/>
      <c r="BQ385" s="3631"/>
      <c r="BR385" s="3631"/>
      <c r="BS385" s="3631"/>
      <c r="BT385" s="3631"/>
      <c r="BU385" s="3631"/>
      <c r="BV385" s="3631"/>
      <c r="BW385" s="3631"/>
      <c r="BX385" s="3631"/>
      <c r="BY385" s="3631"/>
      <c r="BZ385" s="3631"/>
      <c r="CA385" s="3631"/>
      <c r="CB385" s="3631"/>
      <c r="CC385" s="3631"/>
      <c r="CD385" s="3631"/>
      <c r="CE385" s="3631"/>
      <c r="CF385" s="3632">
        <f t="shared" si="144"/>
        <v>6</v>
      </c>
    </row>
    <row r="386" spans="1:84" ht="37.5" customHeight="1">
      <c r="A386" s="548" t="s">
        <v>3440</v>
      </c>
      <c r="B386" s="548" t="s">
        <v>3441</v>
      </c>
      <c r="C386" s="558" t="s">
        <v>2208</v>
      </c>
      <c r="D386" s="2264" t="s">
        <v>80</v>
      </c>
      <c r="E386" s="2264" t="s">
        <v>145</v>
      </c>
      <c r="F386" s="609" t="s">
        <v>3571</v>
      </c>
      <c r="G386" s="560"/>
      <c r="H386" s="283"/>
      <c r="I386" s="569">
        <f t="shared" si="151"/>
        <v>0</v>
      </c>
      <c r="J386" s="283"/>
      <c r="K386" s="2951">
        <f t="shared" si="152"/>
        <v>0</v>
      </c>
      <c r="L386" s="735"/>
      <c r="M386" s="2263">
        <f>'Abs16. NMHP'!Q1683</f>
        <v>0</v>
      </c>
      <c r="N386" s="3657">
        <v>2.88</v>
      </c>
      <c r="O386" s="3688">
        <f t="shared" si="143"/>
        <v>-2.88</v>
      </c>
      <c r="P386" s="3686"/>
      <c r="Q386" s="3686"/>
      <c r="R386" s="3686"/>
      <c r="S386" s="3686"/>
      <c r="T386" s="3686"/>
      <c r="U386" s="3686"/>
      <c r="V386" s="3686"/>
      <c r="W386" s="3686"/>
      <c r="X386" s="3686"/>
      <c r="Y386" s="3686"/>
      <c r="Z386" s="3686"/>
      <c r="AA386" s="3686"/>
      <c r="AB386" s="3686"/>
      <c r="AC386" s="3686"/>
      <c r="AD386" s="3686"/>
      <c r="AE386" s="3686"/>
      <c r="AF386" s="3686"/>
      <c r="AG386" s="3686"/>
      <c r="AH386" s="3686"/>
      <c r="AI386" s="3686"/>
      <c r="AJ386" s="3686"/>
      <c r="AK386" s="3686"/>
      <c r="AL386" s="3686"/>
      <c r="AM386" s="3686"/>
      <c r="AN386" s="3686"/>
      <c r="AO386" s="3686"/>
      <c r="AP386" s="3686"/>
      <c r="AQ386" s="3686"/>
      <c r="AR386" s="3686"/>
      <c r="AS386" s="3686"/>
      <c r="AT386" s="3686"/>
      <c r="AU386" s="3686"/>
      <c r="AV386" s="3686"/>
      <c r="AW386" s="3686"/>
      <c r="AX386" s="3631">
        <v>2.88</v>
      </c>
      <c r="AY386" s="3631"/>
      <c r="AZ386" s="3631"/>
      <c r="BA386" s="3631"/>
      <c r="BB386" s="3631"/>
      <c r="BC386" s="3631"/>
      <c r="BD386" s="3631"/>
      <c r="BE386" s="3631"/>
      <c r="BF386" s="3631"/>
      <c r="BG386" s="3631"/>
      <c r="BH386" s="3631"/>
      <c r="BI386" s="3631"/>
      <c r="BJ386" s="3631"/>
      <c r="BK386" s="3631"/>
      <c r="BL386" s="3631"/>
      <c r="BM386" s="3631"/>
      <c r="BN386" s="3631"/>
      <c r="BO386" s="3634"/>
      <c r="BP386" s="3634"/>
      <c r="BQ386" s="3634"/>
      <c r="BR386" s="3634"/>
      <c r="BS386" s="3634"/>
      <c r="BT386" s="3634"/>
      <c r="BU386" s="3634"/>
      <c r="BV386" s="3634"/>
      <c r="BW386" s="3634"/>
      <c r="BX386" s="3634"/>
      <c r="BY386" s="3634"/>
      <c r="BZ386" s="3634"/>
      <c r="CA386" s="3634"/>
      <c r="CB386" s="3634"/>
      <c r="CC386" s="3634"/>
      <c r="CD386" s="3634"/>
      <c r="CE386" s="3634"/>
      <c r="CF386" s="3634">
        <f t="shared" si="144"/>
        <v>2.88</v>
      </c>
    </row>
    <row r="387" spans="1:84" ht="37.5" customHeight="1">
      <c r="A387" s="548" t="s">
        <v>4477</v>
      </c>
      <c r="B387" s="548" t="s">
        <v>3446</v>
      </c>
      <c r="C387" s="576" t="s">
        <v>302</v>
      </c>
      <c r="D387" s="982" t="s">
        <v>85</v>
      </c>
      <c r="E387" s="982" t="s">
        <v>85</v>
      </c>
      <c r="F387" s="609" t="s">
        <v>3238</v>
      </c>
      <c r="G387" s="560"/>
      <c r="H387" s="283">
        <v>333333</v>
      </c>
      <c r="I387" s="569">
        <f t="shared" si="151"/>
        <v>3.3333300000000001</v>
      </c>
      <c r="J387" s="283">
        <v>12</v>
      </c>
      <c r="K387" s="2951">
        <f t="shared" si="152"/>
        <v>39.999960000000002</v>
      </c>
      <c r="L387" s="735"/>
      <c r="M387" s="3785" t="s">
        <v>5942</v>
      </c>
      <c r="N387" s="3689">
        <v>39.999960000000002</v>
      </c>
      <c r="O387" s="3688">
        <f t="shared" si="143"/>
        <v>0</v>
      </c>
      <c r="P387" s="3686"/>
      <c r="Q387" s="3686"/>
      <c r="R387" s="3686"/>
      <c r="S387" s="3686"/>
      <c r="T387" s="3686"/>
      <c r="U387" s="3686"/>
      <c r="V387" s="3686"/>
      <c r="W387" s="3686"/>
      <c r="X387" s="3686"/>
      <c r="Y387" s="3686"/>
      <c r="Z387" s="3686"/>
      <c r="AA387" s="3686"/>
      <c r="AB387" s="3686"/>
      <c r="AC387" s="3686"/>
      <c r="AD387" s="3686"/>
      <c r="AE387" s="3686"/>
      <c r="AF387" s="3686"/>
      <c r="AG387" s="3686"/>
      <c r="AH387" s="3686"/>
      <c r="AI387" s="3686"/>
      <c r="AJ387" s="3686"/>
      <c r="AK387" s="3686"/>
      <c r="AL387" s="3686"/>
      <c r="AM387" s="3686"/>
      <c r="AN387" s="3686"/>
      <c r="AO387" s="3686"/>
      <c r="AP387" s="3686"/>
      <c r="AQ387" s="3686"/>
      <c r="AR387" s="3686"/>
      <c r="AS387" s="3686"/>
      <c r="AT387" s="3686"/>
      <c r="AU387" s="3686"/>
      <c r="AV387" s="3686"/>
      <c r="AW387" s="3686"/>
      <c r="AX387" s="3631">
        <v>3</v>
      </c>
      <c r="AY387" s="3631">
        <v>3</v>
      </c>
      <c r="AZ387" s="3631">
        <v>3</v>
      </c>
      <c r="BA387" s="3631">
        <v>3</v>
      </c>
      <c r="BB387" s="3631">
        <v>4</v>
      </c>
      <c r="BC387" s="3631">
        <v>2</v>
      </c>
      <c r="BD387" s="3631">
        <v>3</v>
      </c>
      <c r="BE387" s="3631">
        <v>2</v>
      </c>
      <c r="BF387" s="3631">
        <v>4</v>
      </c>
      <c r="BG387" s="3631">
        <v>4</v>
      </c>
      <c r="BH387" s="3631">
        <v>3</v>
      </c>
      <c r="BI387" s="3631">
        <v>3</v>
      </c>
      <c r="BJ387" s="3631">
        <v>3</v>
      </c>
      <c r="BK387" s="3631"/>
      <c r="BL387" s="3631"/>
      <c r="BM387" s="3631"/>
      <c r="BN387" s="3631"/>
      <c r="BO387" s="3632"/>
      <c r="BP387" s="3632"/>
      <c r="BQ387" s="3632"/>
      <c r="BR387" s="3632"/>
      <c r="BS387" s="3632"/>
      <c r="BT387" s="3632"/>
      <c r="BU387" s="3632"/>
      <c r="BV387" s="3632"/>
      <c r="BW387" s="3632"/>
      <c r="BX387" s="3632"/>
      <c r="BY387" s="3632"/>
      <c r="BZ387" s="3632"/>
      <c r="CA387" s="3632"/>
      <c r="CB387" s="3632"/>
      <c r="CC387" s="3632"/>
      <c r="CD387" s="3632"/>
      <c r="CE387" s="3632"/>
      <c r="CF387" s="3632">
        <f t="shared" si="144"/>
        <v>40</v>
      </c>
    </row>
    <row r="388" spans="1:84" ht="37.5" customHeight="1">
      <c r="A388" s="548" t="s">
        <v>3453</v>
      </c>
      <c r="B388" s="548" t="s">
        <v>3454</v>
      </c>
      <c r="C388" s="558" t="s">
        <v>2212</v>
      </c>
      <c r="D388" s="982" t="s">
        <v>85</v>
      </c>
      <c r="E388" s="982" t="s">
        <v>85</v>
      </c>
      <c r="F388" s="584" t="s">
        <v>3582</v>
      </c>
      <c r="G388" s="577"/>
      <c r="H388" s="283">
        <v>50000</v>
      </c>
      <c r="I388" s="569">
        <f>H388/100000</f>
        <v>0.5</v>
      </c>
      <c r="J388" s="283">
        <v>76</v>
      </c>
      <c r="K388" s="2951">
        <f>I388*J388</f>
        <v>38</v>
      </c>
      <c r="L388" s="735"/>
      <c r="M388" s="3785" t="s">
        <v>5942</v>
      </c>
      <c r="N388" s="3669">
        <v>38</v>
      </c>
      <c r="O388" s="3688">
        <f t="shared" si="143"/>
        <v>0</v>
      </c>
      <c r="P388" s="3686"/>
      <c r="Q388" s="3686"/>
      <c r="R388" s="3686"/>
      <c r="S388" s="3686"/>
      <c r="T388" s="3686"/>
      <c r="U388" s="3686"/>
      <c r="V388" s="3686"/>
      <c r="W388" s="3686"/>
      <c r="X388" s="3686"/>
      <c r="Y388" s="3686"/>
      <c r="Z388" s="3686"/>
      <c r="AA388" s="3686"/>
      <c r="AB388" s="3686"/>
      <c r="AC388" s="3686"/>
      <c r="AD388" s="3686"/>
      <c r="AE388" s="3686"/>
      <c r="AF388" s="3686"/>
      <c r="AG388" s="3686"/>
      <c r="AH388" s="3686"/>
      <c r="AI388" s="3686"/>
      <c r="AJ388" s="3686"/>
      <c r="AK388" s="3686"/>
      <c r="AL388" s="3686"/>
      <c r="AM388" s="3686"/>
      <c r="AN388" s="3686"/>
      <c r="AO388" s="3686"/>
      <c r="AP388" s="3686"/>
      <c r="AQ388" s="3686"/>
      <c r="AR388" s="3686"/>
      <c r="AS388" s="3686"/>
      <c r="AT388" s="3686"/>
      <c r="AU388" s="3686"/>
      <c r="AV388" s="3686"/>
      <c r="AW388" s="3686"/>
      <c r="AX388" s="3631"/>
      <c r="AY388" s="3631">
        <f>0.5*4</f>
        <v>2</v>
      </c>
      <c r="AZ388" s="3631">
        <f>0.5*7</f>
        <v>3.5</v>
      </c>
      <c r="BA388" s="3631">
        <f>0.5*6</f>
        <v>3</v>
      </c>
      <c r="BB388" s="3631">
        <f>0.5*13</f>
        <v>6.5</v>
      </c>
      <c r="BC388" s="3631">
        <f>0.5*3</f>
        <v>1.5</v>
      </c>
      <c r="BD388" s="3631">
        <f>0.5*5</f>
        <v>2.5</v>
      </c>
      <c r="BE388" s="3631">
        <f>0.5*2</f>
        <v>1</v>
      </c>
      <c r="BF388" s="3631">
        <f>0.5*11</f>
        <v>5.5</v>
      </c>
      <c r="BG388" s="3631">
        <f>0.5*10</f>
        <v>5</v>
      </c>
      <c r="BH388" s="3631">
        <f>0.5*5</f>
        <v>2.5</v>
      </c>
      <c r="BI388" s="3631">
        <f>0.5*5</f>
        <v>2.5</v>
      </c>
      <c r="BJ388" s="3631">
        <f>0.5*5</f>
        <v>2.5</v>
      </c>
      <c r="BK388" s="3631"/>
      <c r="BL388" s="3631"/>
      <c r="BM388" s="3631"/>
      <c r="BN388" s="3631"/>
      <c r="BO388" s="3632"/>
      <c r="BP388" s="3632"/>
      <c r="BQ388" s="3632"/>
      <c r="BR388" s="3632"/>
      <c r="BS388" s="3632"/>
      <c r="BT388" s="3632"/>
      <c r="BU388" s="3632"/>
      <c r="BV388" s="3632"/>
      <c r="BW388" s="3632"/>
      <c r="BX388" s="3632"/>
      <c r="BY388" s="3632"/>
      <c r="BZ388" s="3632"/>
      <c r="CA388" s="3632"/>
      <c r="CB388" s="3632"/>
      <c r="CC388" s="3632"/>
      <c r="CD388" s="3632"/>
      <c r="CE388" s="3632"/>
      <c r="CF388" s="3632">
        <f t="shared" si="144"/>
        <v>38</v>
      </c>
    </row>
    <row r="389" spans="1:84" ht="37.5" customHeight="1">
      <c r="A389" s="548" t="s">
        <v>3457</v>
      </c>
      <c r="B389" s="548" t="s">
        <v>3458</v>
      </c>
      <c r="C389" s="576" t="s">
        <v>302</v>
      </c>
      <c r="D389" s="982" t="s">
        <v>85</v>
      </c>
      <c r="E389" s="982" t="s">
        <v>85</v>
      </c>
      <c r="F389" s="609" t="s">
        <v>3238</v>
      </c>
      <c r="G389" s="577"/>
      <c r="H389" s="283">
        <v>75000</v>
      </c>
      <c r="I389" s="569">
        <f>H389/100000</f>
        <v>0.75</v>
      </c>
      <c r="J389" s="283">
        <v>76</v>
      </c>
      <c r="K389" s="2951">
        <f>I389*J389</f>
        <v>57</v>
      </c>
      <c r="L389" s="735"/>
      <c r="M389" s="3785" t="s">
        <v>5942</v>
      </c>
      <c r="N389" s="3669">
        <v>57</v>
      </c>
      <c r="O389" s="3688">
        <f t="shared" si="143"/>
        <v>0</v>
      </c>
      <c r="P389" s="3686"/>
      <c r="Q389" s="3686"/>
      <c r="R389" s="3686"/>
      <c r="S389" s="3686"/>
      <c r="T389" s="3686"/>
      <c r="U389" s="3686"/>
      <c r="V389" s="3686"/>
      <c r="W389" s="3686"/>
      <c r="X389" s="3686"/>
      <c r="Y389" s="3686"/>
      <c r="Z389" s="3686"/>
      <c r="AA389" s="3686"/>
      <c r="AB389" s="3686"/>
      <c r="AC389" s="3686"/>
      <c r="AD389" s="3686"/>
      <c r="AE389" s="3686"/>
      <c r="AF389" s="3686"/>
      <c r="AG389" s="3686"/>
      <c r="AH389" s="3686"/>
      <c r="AI389" s="3686"/>
      <c r="AJ389" s="3686"/>
      <c r="AK389" s="3686"/>
      <c r="AL389" s="3686"/>
      <c r="AM389" s="3686"/>
      <c r="AN389" s="3686"/>
      <c r="AO389" s="3686"/>
      <c r="AP389" s="3686"/>
      <c r="AQ389" s="3686"/>
      <c r="AR389" s="3686"/>
      <c r="AS389" s="3686"/>
      <c r="AT389" s="3686"/>
      <c r="AU389" s="3686"/>
      <c r="AV389" s="3686"/>
      <c r="AW389" s="3686"/>
      <c r="AX389" s="3631"/>
      <c r="AY389" s="3631">
        <f>0.75*4</f>
        <v>3</v>
      </c>
      <c r="AZ389" s="3631">
        <f>0.75*7</f>
        <v>5.25</v>
      </c>
      <c r="BA389" s="3631">
        <f>0.75*6</f>
        <v>4.5</v>
      </c>
      <c r="BB389" s="3631">
        <f>0.75*13</f>
        <v>9.75</v>
      </c>
      <c r="BC389" s="3631">
        <f>0.75*3</f>
        <v>2.25</v>
      </c>
      <c r="BD389" s="3631">
        <f>0.75*5</f>
        <v>3.75</v>
      </c>
      <c r="BE389" s="3631">
        <f>0.75*2</f>
        <v>1.5</v>
      </c>
      <c r="BF389" s="3631">
        <f>0.75*11</f>
        <v>8.25</v>
      </c>
      <c r="BG389" s="3631">
        <f>0.75*10</f>
        <v>7.5</v>
      </c>
      <c r="BH389" s="3631">
        <f>0.75*5</f>
        <v>3.75</v>
      </c>
      <c r="BI389" s="3631">
        <f>0.75*5</f>
        <v>3.75</v>
      </c>
      <c r="BJ389" s="3631">
        <f>0.75*5</f>
        <v>3.75</v>
      </c>
      <c r="BK389" s="3631"/>
      <c r="BL389" s="3631"/>
      <c r="BM389" s="3631"/>
      <c r="BN389" s="3631"/>
      <c r="BO389" s="3632"/>
      <c r="BP389" s="3632"/>
      <c r="BQ389" s="3632"/>
      <c r="BR389" s="3632"/>
      <c r="BS389" s="3632"/>
      <c r="BT389" s="3632"/>
      <c r="BU389" s="3632"/>
      <c r="BV389" s="3632"/>
      <c r="BW389" s="3632"/>
      <c r="BX389" s="3632"/>
      <c r="BY389" s="3632"/>
      <c r="BZ389" s="3632"/>
      <c r="CA389" s="3632"/>
      <c r="CB389" s="3632"/>
      <c r="CC389" s="3632"/>
      <c r="CD389" s="3632"/>
      <c r="CE389" s="3632"/>
      <c r="CF389" s="3632">
        <f t="shared" si="144"/>
        <v>57</v>
      </c>
    </row>
    <row r="390" spans="1:84" ht="37.5" customHeight="1">
      <c r="A390" s="3529" t="s">
        <v>3483</v>
      </c>
      <c r="B390" s="3529" t="s">
        <v>3484</v>
      </c>
      <c r="C390" s="3528" t="s">
        <v>2225</v>
      </c>
      <c r="D390" s="3194" t="s">
        <v>4219</v>
      </c>
      <c r="E390" s="3194" t="s">
        <v>4525</v>
      </c>
      <c r="F390" s="3530" t="s">
        <v>4524</v>
      </c>
      <c r="G390" s="3531">
        <v>93</v>
      </c>
      <c r="H390" s="3532">
        <v>78831</v>
      </c>
      <c r="I390" s="3327">
        <f t="shared" ref="I390" si="153">H390/100000</f>
        <v>0.78830999999999996</v>
      </c>
      <c r="J390" s="3532">
        <v>58</v>
      </c>
      <c r="K390" s="3533">
        <f t="shared" ref="K390" si="154">I390*J390</f>
        <v>45.721979999999995</v>
      </c>
      <c r="L390" s="3534" t="s">
        <v>5992</v>
      </c>
      <c r="M390" s="3188">
        <f>'Abs11. NTEP'!Q1714</f>
        <v>0</v>
      </c>
      <c r="N390" s="3642">
        <v>45.72</v>
      </c>
      <c r="O390" s="3687">
        <f t="shared" si="143"/>
        <v>1.979999999996096E-3</v>
      </c>
      <c r="P390" s="3537"/>
      <c r="Q390" s="3537"/>
      <c r="R390" s="3537"/>
      <c r="S390" s="3537"/>
      <c r="T390" s="3537"/>
      <c r="U390" s="3537"/>
      <c r="V390" s="3537"/>
      <c r="W390" s="3537"/>
      <c r="X390" s="3537"/>
      <c r="Y390" s="3537"/>
      <c r="Z390" s="3537"/>
      <c r="AA390" s="3537"/>
      <c r="AB390" s="3537"/>
      <c r="AC390" s="3537"/>
      <c r="AD390" s="3537"/>
      <c r="AE390" s="3537"/>
      <c r="AF390" s="3537"/>
      <c r="AG390" s="3537"/>
      <c r="AH390" s="3537"/>
      <c r="AI390" s="3537"/>
      <c r="AJ390" s="3537"/>
      <c r="AK390" s="3537"/>
      <c r="AL390" s="3537"/>
      <c r="AM390" s="3537"/>
      <c r="AN390" s="3537"/>
      <c r="AO390" s="3537"/>
      <c r="AP390" s="3537"/>
      <c r="AQ390" s="3537"/>
      <c r="AR390" s="3537"/>
      <c r="AS390" s="3537"/>
      <c r="AT390" s="3537"/>
      <c r="AU390" s="3537"/>
      <c r="AV390" s="3537"/>
      <c r="AW390" s="3537"/>
      <c r="AX390" s="3538">
        <v>3.16</v>
      </c>
      <c r="AY390" s="3538">
        <v>2.36</v>
      </c>
      <c r="AZ390" s="3538">
        <v>3.15</v>
      </c>
      <c r="BA390" s="3538">
        <v>3.15</v>
      </c>
      <c r="BB390" s="3538">
        <v>6.31</v>
      </c>
      <c r="BC390" s="3538">
        <v>1.58</v>
      </c>
      <c r="BD390" s="3538">
        <v>3.15</v>
      </c>
      <c r="BE390" s="3538">
        <v>1.58</v>
      </c>
      <c r="BF390" s="3538">
        <v>5.52</v>
      </c>
      <c r="BG390" s="3538">
        <v>5.52</v>
      </c>
      <c r="BH390" s="3538">
        <v>3.15</v>
      </c>
      <c r="BI390" s="3538">
        <v>3.15</v>
      </c>
      <c r="BJ390" s="3538">
        <v>2.36</v>
      </c>
      <c r="BK390" s="3538"/>
      <c r="BL390" s="3538"/>
      <c r="BM390" s="3538"/>
      <c r="BN390" s="3538"/>
      <c r="BO390" s="3538"/>
      <c r="BP390" s="3538"/>
      <c r="BQ390" s="3538"/>
      <c r="BR390" s="3538"/>
      <c r="BS390" s="3538"/>
      <c r="BT390" s="3538"/>
      <c r="BU390" s="3538"/>
      <c r="BV390" s="3538"/>
      <c r="BW390" s="3538"/>
      <c r="BX390" s="3538"/>
      <c r="BY390" s="3538"/>
      <c r="BZ390" s="3538"/>
      <c r="CA390" s="3538">
        <v>1.58</v>
      </c>
      <c r="CB390" s="3538"/>
      <c r="CC390" s="3538"/>
      <c r="CD390" s="3538"/>
      <c r="CE390" s="3538"/>
      <c r="CF390" s="3539">
        <f t="shared" si="144"/>
        <v>45.719999999999992</v>
      </c>
    </row>
    <row r="391" spans="1:84" ht="37.5" customHeight="1">
      <c r="A391" s="548" t="s">
        <v>3494</v>
      </c>
      <c r="B391" s="548" t="s">
        <v>3495</v>
      </c>
      <c r="C391" s="558" t="s">
        <v>2229</v>
      </c>
      <c r="D391" s="982" t="s">
        <v>65</v>
      </c>
      <c r="E391" s="982" t="s">
        <v>65</v>
      </c>
      <c r="F391" s="609" t="s">
        <v>3584</v>
      </c>
      <c r="G391" s="560"/>
      <c r="H391" s="2469">
        <v>10000</v>
      </c>
      <c r="I391" s="569">
        <f t="shared" ref="I391:I392" si="155">H391/100000</f>
        <v>0.1</v>
      </c>
      <c r="J391" s="283">
        <v>12</v>
      </c>
      <c r="K391" s="2951">
        <f t="shared" ref="K391:K392" si="156">I391*J391</f>
        <v>1.2000000000000002</v>
      </c>
      <c r="L391" s="2497" t="s">
        <v>5223</v>
      </c>
      <c r="M391" s="2315" t="s">
        <v>5769</v>
      </c>
      <c r="N391" s="3689">
        <v>1.2000000000000002</v>
      </c>
      <c r="O391" s="3688">
        <f t="shared" si="143"/>
        <v>0</v>
      </c>
      <c r="P391" s="3686"/>
      <c r="Q391" s="3686"/>
      <c r="R391" s="3686"/>
      <c r="S391" s="3686"/>
      <c r="T391" s="3686"/>
      <c r="U391" s="3686"/>
      <c r="V391" s="3686"/>
      <c r="W391" s="3686"/>
      <c r="X391" s="3686"/>
      <c r="Y391" s="3686"/>
      <c r="Z391" s="3686"/>
      <c r="AA391" s="3686"/>
      <c r="AB391" s="3686"/>
      <c r="AC391" s="3686"/>
      <c r="AD391" s="3686"/>
      <c r="AE391" s="3686"/>
      <c r="AF391" s="3686"/>
      <c r="AG391" s="3686"/>
      <c r="AH391" s="3686"/>
      <c r="AI391" s="3686"/>
      <c r="AJ391" s="3686"/>
      <c r="AK391" s="3686"/>
      <c r="AL391" s="3686"/>
      <c r="AM391" s="3686"/>
      <c r="AN391" s="3686"/>
      <c r="AO391" s="3686"/>
      <c r="AP391" s="3686"/>
      <c r="AQ391" s="3686"/>
      <c r="AR391" s="3686"/>
      <c r="AS391" s="3686"/>
      <c r="AT391" s="3686"/>
      <c r="AU391" s="3686"/>
      <c r="AV391" s="3686"/>
      <c r="AW391" s="3686"/>
      <c r="AX391" s="3631"/>
      <c r="AY391" s="3631">
        <v>0.1</v>
      </c>
      <c r="AZ391" s="3631">
        <v>0.1</v>
      </c>
      <c r="BA391" s="3631">
        <v>0.1</v>
      </c>
      <c r="BB391" s="3631">
        <v>0.1</v>
      </c>
      <c r="BC391" s="3631">
        <v>0.1</v>
      </c>
      <c r="BD391" s="3631">
        <v>0.1</v>
      </c>
      <c r="BE391" s="3631">
        <v>0.1</v>
      </c>
      <c r="BF391" s="3631">
        <v>0.1</v>
      </c>
      <c r="BG391" s="3631">
        <v>0.1</v>
      </c>
      <c r="BH391" s="3631">
        <v>0.1</v>
      </c>
      <c r="BI391" s="3631">
        <v>0.1</v>
      </c>
      <c r="BJ391" s="3631">
        <v>0.1</v>
      </c>
      <c r="BK391" s="3631"/>
      <c r="BL391" s="3631"/>
      <c r="BM391" s="3631"/>
      <c r="BN391" s="3631"/>
      <c r="BO391" s="3631"/>
      <c r="BP391" s="3631"/>
      <c r="BQ391" s="3631"/>
      <c r="BR391" s="3631"/>
      <c r="BS391" s="3631"/>
      <c r="BT391" s="3631"/>
      <c r="BU391" s="3631"/>
      <c r="BV391" s="3631"/>
      <c r="BW391" s="3631"/>
      <c r="BX391" s="3631"/>
      <c r="BY391" s="3631"/>
      <c r="BZ391" s="3631"/>
      <c r="CA391" s="3631"/>
      <c r="CB391" s="3631"/>
      <c r="CC391" s="3631"/>
      <c r="CD391" s="3631"/>
      <c r="CE391" s="3631"/>
      <c r="CF391" s="3632">
        <f t="shared" si="144"/>
        <v>1.2</v>
      </c>
    </row>
    <row r="392" spans="1:84" ht="37.5" customHeight="1">
      <c r="A392" s="548" t="s">
        <v>3504</v>
      </c>
      <c r="B392" s="548" t="s">
        <v>3505</v>
      </c>
      <c r="C392" s="558" t="s">
        <v>2233</v>
      </c>
      <c r="D392" s="2264" t="s">
        <v>80</v>
      </c>
      <c r="E392" s="2264" t="s">
        <v>145</v>
      </c>
      <c r="F392" s="609" t="s">
        <v>3571</v>
      </c>
      <c r="G392" s="560"/>
      <c r="H392" s="2477">
        <v>24000</v>
      </c>
      <c r="I392" s="569">
        <f t="shared" si="155"/>
        <v>0.24</v>
      </c>
      <c r="J392" s="283">
        <v>12</v>
      </c>
      <c r="K392" s="2951">
        <f t="shared" si="156"/>
        <v>2.88</v>
      </c>
      <c r="L392" s="739" t="s">
        <v>5255</v>
      </c>
      <c r="M392" s="2263">
        <f>'Abs16. NMHP'!Q1684</f>
        <v>0</v>
      </c>
      <c r="N392" s="3657">
        <v>1.2</v>
      </c>
      <c r="O392" s="3688">
        <f t="shared" si="143"/>
        <v>1.68</v>
      </c>
      <c r="P392" s="3686"/>
      <c r="Q392" s="3686"/>
      <c r="R392" s="3686"/>
      <c r="S392" s="3686"/>
      <c r="T392" s="3686"/>
      <c r="U392" s="3686"/>
      <c r="V392" s="3686"/>
      <c r="W392" s="3686"/>
      <c r="X392" s="3686"/>
      <c r="Y392" s="3686"/>
      <c r="Z392" s="3686"/>
      <c r="AA392" s="3686"/>
      <c r="AB392" s="3686"/>
      <c r="AC392" s="3686"/>
      <c r="AD392" s="3686"/>
      <c r="AE392" s="3686"/>
      <c r="AF392" s="3686"/>
      <c r="AG392" s="3686"/>
      <c r="AH392" s="3686"/>
      <c r="AI392" s="3686"/>
      <c r="AJ392" s="3686"/>
      <c r="AK392" s="3686"/>
      <c r="AL392" s="3686"/>
      <c r="AM392" s="3686"/>
      <c r="AN392" s="3686"/>
      <c r="AO392" s="3686"/>
      <c r="AP392" s="3686"/>
      <c r="AQ392" s="3686"/>
      <c r="AR392" s="3686"/>
      <c r="AS392" s="3686"/>
      <c r="AT392" s="3686"/>
      <c r="AU392" s="3686"/>
      <c r="AV392" s="3686"/>
      <c r="AW392" s="3686"/>
      <c r="AX392" s="3631">
        <v>1.2</v>
      </c>
      <c r="AY392" s="3631"/>
      <c r="AZ392" s="3631"/>
      <c r="BA392" s="3631"/>
      <c r="BB392" s="3631"/>
      <c r="BC392" s="3631"/>
      <c r="BD392" s="3631"/>
      <c r="BE392" s="3631"/>
      <c r="BF392" s="3631"/>
      <c r="BG392" s="3631"/>
      <c r="BH392" s="3631"/>
      <c r="BI392" s="3631"/>
      <c r="BJ392" s="3631"/>
      <c r="BK392" s="3631"/>
      <c r="BL392" s="3631"/>
      <c r="BM392" s="3631"/>
      <c r="BN392" s="3631"/>
      <c r="BO392" s="3634"/>
      <c r="BP392" s="3634"/>
      <c r="BQ392" s="3634"/>
      <c r="BR392" s="3634"/>
      <c r="BS392" s="3634"/>
      <c r="BT392" s="3634"/>
      <c r="BU392" s="3634"/>
      <c r="BV392" s="3634"/>
      <c r="BW392" s="3634"/>
      <c r="BX392" s="3634"/>
      <c r="BY392" s="3634"/>
      <c r="BZ392" s="3634"/>
      <c r="CA392" s="3634"/>
      <c r="CB392" s="3634"/>
      <c r="CC392" s="3634"/>
      <c r="CD392" s="3634"/>
      <c r="CE392" s="3634"/>
      <c r="CF392" s="3634">
        <f t="shared" si="144"/>
        <v>1.2</v>
      </c>
    </row>
    <row r="393" spans="1:84" ht="37.5" customHeight="1">
      <c r="A393" s="548" t="s">
        <v>3514</v>
      </c>
      <c r="B393" s="548" t="s">
        <v>3515</v>
      </c>
      <c r="C393" s="558" t="s">
        <v>2237</v>
      </c>
      <c r="D393" s="2604" t="s">
        <v>85</v>
      </c>
      <c r="E393" s="2604" t="s">
        <v>85</v>
      </c>
      <c r="F393" s="609" t="s">
        <v>3241</v>
      </c>
      <c r="G393" s="2606">
        <v>1</v>
      </c>
      <c r="H393" s="2504">
        <v>25538</v>
      </c>
      <c r="I393" s="569">
        <f>H393/100000</f>
        <v>0.25538</v>
      </c>
      <c r="J393" s="283">
        <v>26</v>
      </c>
      <c r="K393" s="2951">
        <f>I393*J393</f>
        <v>6.6398799999999998</v>
      </c>
      <c r="L393" s="2683" t="s">
        <v>5498</v>
      </c>
      <c r="M393" s="2263">
        <f>'Ab1. RMNCH+A'!Q2126</f>
        <v>0</v>
      </c>
      <c r="N393" s="3657">
        <v>6</v>
      </c>
      <c r="O393" s="3688">
        <f t="shared" si="143"/>
        <v>0.63987999999999978</v>
      </c>
      <c r="P393" s="3686"/>
      <c r="Q393" s="3686"/>
      <c r="R393" s="3686"/>
      <c r="S393" s="3686"/>
      <c r="T393" s="3686"/>
      <c r="U393" s="3686"/>
      <c r="V393" s="3686"/>
      <c r="W393" s="3686"/>
      <c r="X393" s="3686"/>
      <c r="Y393" s="3686"/>
      <c r="Z393" s="3686"/>
      <c r="AA393" s="3686"/>
      <c r="AB393" s="3686"/>
      <c r="AC393" s="3686"/>
      <c r="AD393" s="3686"/>
      <c r="AE393" s="3686"/>
      <c r="AF393" s="3686"/>
      <c r="AG393" s="3686"/>
      <c r="AH393" s="3686"/>
      <c r="AI393" s="3686"/>
      <c r="AJ393" s="3686"/>
      <c r="AK393" s="3686"/>
      <c r="AL393" s="3686"/>
      <c r="AM393" s="3686"/>
      <c r="AN393" s="3686"/>
      <c r="AO393" s="3686"/>
      <c r="AP393" s="3686"/>
      <c r="AQ393" s="3686"/>
      <c r="AR393" s="3686"/>
      <c r="AS393" s="3686"/>
      <c r="AT393" s="3686"/>
      <c r="AU393" s="3686"/>
      <c r="AV393" s="3686"/>
      <c r="AW393" s="3686"/>
      <c r="AX393" s="3631">
        <v>1.2</v>
      </c>
      <c r="AY393" s="3631"/>
      <c r="AZ393" s="3631"/>
      <c r="BA393" s="3631"/>
      <c r="BB393" s="3631"/>
      <c r="BC393" s="3631"/>
      <c r="BD393" s="3631"/>
      <c r="BE393" s="3631"/>
      <c r="BF393" s="3631">
        <v>0.3</v>
      </c>
      <c r="BG393" s="3631"/>
      <c r="BH393" s="3631">
        <v>0.3</v>
      </c>
      <c r="BI393" s="3631"/>
      <c r="BJ393" s="3631"/>
      <c r="BK393" s="3631">
        <v>0.3</v>
      </c>
      <c r="BL393" s="3631">
        <v>0.3</v>
      </c>
      <c r="BM393" s="3631">
        <v>0.3</v>
      </c>
      <c r="BN393" s="3631">
        <v>0.3</v>
      </c>
      <c r="BO393" s="3631">
        <v>0.3</v>
      </c>
      <c r="BP393" s="3631">
        <v>0.3</v>
      </c>
      <c r="BQ393" s="3631">
        <v>0.3</v>
      </c>
      <c r="BR393" s="3631">
        <v>0.3</v>
      </c>
      <c r="BS393" s="3631"/>
      <c r="BT393" s="3631">
        <v>0.3</v>
      </c>
      <c r="BU393" s="3631">
        <v>0.3</v>
      </c>
      <c r="BV393" s="3631">
        <v>0.3</v>
      </c>
      <c r="BW393" s="3631"/>
      <c r="BX393" s="3631">
        <v>0.3</v>
      </c>
      <c r="BY393" s="3631"/>
      <c r="BZ393" s="3631">
        <v>0.3</v>
      </c>
      <c r="CA393" s="3631"/>
      <c r="CB393" s="3631">
        <v>0.3</v>
      </c>
      <c r="CC393" s="3631"/>
      <c r="CD393" s="3631"/>
      <c r="CE393" s="3631"/>
      <c r="CF393" s="3632">
        <f t="shared" si="144"/>
        <v>5.9999999999999982</v>
      </c>
    </row>
    <row r="394" spans="1:84" ht="37.5" customHeight="1">
      <c r="A394" s="548" t="s">
        <v>3544</v>
      </c>
      <c r="B394" s="548" t="s">
        <v>3545</v>
      </c>
      <c r="C394" s="558" t="s">
        <v>2254</v>
      </c>
      <c r="D394" s="982" t="s">
        <v>85</v>
      </c>
      <c r="E394" s="982" t="s">
        <v>85</v>
      </c>
      <c r="F394" s="584" t="s">
        <v>3582</v>
      </c>
      <c r="G394" s="560"/>
      <c r="H394" s="283">
        <v>200000</v>
      </c>
      <c r="I394" s="569">
        <f t="shared" ref="I394:I396" si="157">H394/100000</f>
        <v>2</v>
      </c>
      <c r="J394" s="283">
        <v>1</v>
      </c>
      <c r="K394" s="2951">
        <f t="shared" ref="K394:K396" si="158">I394*J394</f>
        <v>2</v>
      </c>
      <c r="L394" s="735"/>
      <c r="M394" s="3785" t="s">
        <v>5942</v>
      </c>
      <c r="N394" s="3689">
        <v>2</v>
      </c>
      <c r="O394" s="3688">
        <f t="shared" si="143"/>
        <v>0</v>
      </c>
      <c r="P394" s="3686"/>
      <c r="Q394" s="3686"/>
      <c r="R394" s="3686"/>
      <c r="S394" s="3686"/>
      <c r="T394" s="3686"/>
      <c r="U394" s="3686"/>
      <c r="V394" s="3686"/>
      <c r="W394" s="3686"/>
      <c r="X394" s="3686"/>
      <c r="Y394" s="3686"/>
      <c r="Z394" s="3686"/>
      <c r="AA394" s="3686"/>
      <c r="AB394" s="3686"/>
      <c r="AC394" s="3686"/>
      <c r="AD394" s="3686"/>
      <c r="AE394" s="3686"/>
      <c r="AF394" s="3686"/>
      <c r="AG394" s="3686"/>
      <c r="AH394" s="3686"/>
      <c r="AI394" s="3686"/>
      <c r="AJ394" s="3686"/>
      <c r="AK394" s="3686"/>
      <c r="AL394" s="3686"/>
      <c r="AM394" s="3686"/>
      <c r="AN394" s="3686"/>
      <c r="AO394" s="3686"/>
      <c r="AP394" s="3686"/>
      <c r="AQ394" s="3686"/>
      <c r="AR394" s="3686"/>
      <c r="AS394" s="3686"/>
      <c r="AT394" s="3686"/>
      <c r="AU394" s="3686"/>
      <c r="AV394" s="3686"/>
      <c r="AW394" s="3686"/>
      <c r="AX394" s="3631">
        <v>2</v>
      </c>
      <c r="AY394" s="3631"/>
      <c r="AZ394" s="3631"/>
      <c r="BA394" s="3631"/>
      <c r="BB394" s="3631"/>
      <c r="BC394" s="3631"/>
      <c r="BD394" s="3631"/>
      <c r="BE394" s="3631"/>
      <c r="BF394" s="3631"/>
      <c r="BG394" s="3631"/>
      <c r="BH394" s="3631"/>
      <c r="BI394" s="3631"/>
      <c r="BJ394" s="3631"/>
      <c r="BK394" s="3631"/>
      <c r="BL394" s="3631"/>
      <c r="BM394" s="3631"/>
      <c r="BN394" s="3631"/>
      <c r="BO394" s="3632"/>
      <c r="BP394" s="3632"/>
      <c r="BQ394" s="3632"/>
      <c r="BR394" s="3632"/>
      <c r="BS394" s="3632"/>
      <c r="BT394" s="3632"/>
      <c r="BU394" s="3632"/>
      <c r="BV394" s="3632"/>
      <c r="BW394" s="3632"/>
      <c r="BX394" s="3632"/>
      <c r="BY394" s="3632"/>
      <c r="BZ394" s="3632"/>
      <c r="CA394" s="3632"/>
      <c r="CB394" s="3632"/>
      <c r="CC394" s="3632"/>
      <c r="CD394" s="3632"/>
      <c r="CE394" s="3632"/>
      <c r="CF394" s="3632">
        <f t="shared" si="144"/>
        <v>2</v>
      </c>
    </row>
    <row r="395" spans="1:84" ht="37.5" customHeight="1">
      <c r="A395" s="548" t="s">
        <v>3546</v>
      </c>
      <c r="B395" s="548" t="s">
        <v>3547</v>
      </c>
      <c r="C395" s="558" t="s">
        <v>2255</v>
      </c>
      <c r="D395" s="982" t="s">
        <v>85</v>
      </c>
      <c r="E395" s="982" t="s">
        <v>85</v>
      </c>
      <c r="F395" s="584" t="s">
        <v>3582</v>
      </c>
      <c r="G395" s="560"/>
      <c r="H395" s="283">
        <v>153846</v>
      </c>
      <c r="I395" s="569">
        <f t="shared" si="157"/>
        <v>1.5384599999999999</v>
      </c>
      <c r="J395" s="283">
        <v>13</v>
      </c>
      <c r="K395" s="2951">
        <f t="shared" si="158"/>
        <v>19.999980000000001</v>
      </c>
      <c r="L395" s="735"/>
      <c r="M395" s="3785" t="s">
        <v>5942</v>
      </c>
      <c r="N395" s="3689">
        <v>19.999980000000001</v>
      </c>
      <c r="O395" s="3688">
        <f t="shared" si="143"/>
        <v>0</v>
      </c>
      <c r="P395" s="3686"/>
      <c r="Q395" s="3686"/>
      <c r="R395" s="3686"/>
      <c r="S395" s="3686"/>
      <c r="T395" s="3686"/>
      <c r="U395" s="3686"/>
      <c r="V395" s="3686"/>
      <c r="W395" s="3686"/>
      <c r="X395" s="3686"/>
      <c r="Y395" s="3686"/>
      <c r="Z395" s="3686"/>
      <c r="AA395" s="3686"/>
      <c r="AB395" s="3686"/>
      <c r="AC395" s="3686"/>
      <c r="AD395" s="3686"/>
      <c r="AE395" s="3686"/>
      <c r="AF395" s="3686"/>
      <c r="AG395" s="3686"/>
      <c r="AH395" s="3686"/>
      <c r="AI395" s="3686"/>
      <c r="AJ395" s="3686"/>
      <c r="AK395" s="3686"/>
      <c r="AL395" s="3686"/>
      <c r="AM395" s="3686"/>
      <c r="AN395" s="3686"/>
      <c r="AO395" s="3686"/>
      <c r="AP395" s="3686"/>
      <c r="AQ395" s="3686"/>
      <c r="AR395" s="3686"/>
      <c r="AS395" s="3686"/>
      <c r="AT395" s="3686"/>
      <c r="AU395" s="3686"/>
      <c r="AV395" s="3686"/>
      <c r="AW395" s="3686"/>
      <c r="AX395" s="3631">
        <v>20</v>
      </c>
      <c r="AY395" s="3631"/>
      <c r="AZ395" s="3631"/>
      <c r="BA395" s="3631"/>
      <c r="BB395" s="3631"/>
      <c r="BC395" s="3631"/>
      <c r="BD395" s="3631"/>
      <c r="BE395" s="3631"/>
      <c r="BF395" s="3631"/>
      <c r="BG395" s="3631"/>
      <c r="BH395" s="3631"/>
      <c r="BI395" s="3631"/>
      <c r="BJ395" s="3631"/>
      <c r="BK395" s="3631"/>
      <c r="BL395" s="3631"/>
      <c r="BM395" s="3631"/>
      <c r="BN395" s="3631"/>
      <c r="BO395" s="3632"/>
      <c r="BP395" s="3632"/>
      <c r="BQ395" s="3632"/>
      <c r="BR395" s="3632"/>
      <c r="BS395" s="3632"/>
      <c r="BT395" s="3632"/>
      <c r="BU395" s="3632"/>
      <c r="BV395" s="3632"/>
      <c r="BW395" s="3632"/>
      <c r="BX395" s="3632"/>
      <c r="BY395" s="3632"/>
      <c r="BZ395" s="3632"/>
      <c r="CA395" s="3632"/>
      <c r="CB395" s="3632"/>
      <c r="CC395" s="3632"/>
      <c r="CD395" s="3632"/>
      <c r="CE395" s="3632"/>
      <c r="CF395" s="3632">
        <f t="shared" si="144"/>
        <v>20</v>
      </c>
    </row>
    <row r="396" spans="1:84" ht="37.5" customHeight="1">
      <c r="A396" s="548" t="s">
        <v>3554</v>
      </c>
      <c r="B396" s="548" t="s">
        <v>3553</v>
      </c>
      <c r="C396" s="586" t="s">
        <v>2244</v>
      </c>
      <c r="D396" s="2254" t="s">
        <v>4219</v>
      </c>
      <c r="E396" s="2254" t="s">
        <v>109</v>
      </c>
      <c r="F396" s="609" t="s">
        <v>4715</v>
      </c>
      <c r="G396" s="560"/>
      <c r="H396" s="2545">
        <v>54545</v>
      </c>
      <c r="I396" s="569">
        <f t="shared" si="157"/>
        <v>0.54544999999999999</v>
      </c>
      <c r="J396" s="2545">
        <v>11</v>
      </c>
      <c r="K396" s="2951">
        <f t="shared" si="158"/>
        <v>5.9999500000000001</v>
      </c>
      <c r="L396" s="735" t="s">
        <v>5292</v>
      </c>
      <c r="M396" s="2263">
        <f>'Abs9. NVBDCP'!Q1786</f>
        <v>0</v>
      </c>
      <c r="N396" s="3657">
        <v>6</v>
      </c>
      <c r="O396" s="3688">
        <f t="shared" si="143"/>
        <v>-4.9999999999883471E-5</v>
      </c>
      <c r="P396" s="3686"/>
      <c r="Q396" s="3686"/>
      <c r="R396" s="3686"/>
      <c r="S396" s="3686"/>
      <c r="T396" s="3686"/>
      <c r="U396" s="3686"/>
      <c r="V396" s="3686"/>
      <c r="W396" s="3686"/>
      <c r="X396" s="3686"/>
      <c r="Y396" s="3686"/>
      <c r="Z396" s="3686"/>
      <c r="AA396" s="3686"/>
      <c r="AB396" s="3686"/>
      <c r="AC396" s="3686"/>
      <c r="AD396" s="3686"/>
      <c r="AE396" s="3686"/>
      <c r="AF396" s="3686"/>
      <c r="AG396" s="3686"/>
      <c r="AH396" s="3686"/>
      <c r="AI396" s="3686"/>
      <c r="AJ396" s="3686"/>
      <c r="AK396" s="3686"/>
      <c r="AL396" s="3686"/>
      <c r="AM396" s="3686"/>
      <c r="AN396" s="3686"/>
      <c r="AO396" s="3686"/>
      <c r="AP396" s="3686"/>
      <c r="AQ396" s="3686"/>
      <c r="AR396" s="3686"/>
      <c r="AS396" s="3686"/>
      <c r="AT396" s="3686"/>
      <c r="AU396" s="3686"/>
      <c r="AV396" s="3686"/>
      <c r="AW396" s="3686"/>
      <c r="AX396" s="3631">
        <v>1</v>
      </c>
      <c r="AY396" s="3631">
        <v>0.5</v>
      </c>
      <c r="AZ396" s="3631">
        <v>0.5</v>
      </c>
      <c r="BA396" s="3631">
        <v>0.5</v>
      </c>
      <c r="BB396" s="3631">
        <v>0.5</v>
      </c>
      <c r="BC396" s="3631">
        <v>0</v>
      </c>
      <c r="BD396" s="3631">
        <v>0.5</v>
      </c>
      <c r="BE396" s="3631">
        <v>0</v>
      </c>
      <c r="BF396" s="3631">
        <v>0.5</v>
      </c>
      <c r="BG396" s="3631">
        <v>0.5</v>
      </c>
      <c r="BH396" s="3631">
        <v>0.5</v>
      </c>
      <c r="BI396" s="3631">
        <v>0.5</v>
      </c>
      <c r="BJ396" s="3631">
        <v>0.5</v>
      </c>
      <c r="BK396" s="3631"/>
      <c r="BL396" s="3631"/>
      <c r="BM396" s="3631"/>
      <c r="BN396" s="3631"/>
      <c r="BO396" s="3631"/>
      <c r="BP396" s="3631"/>
      <c r="BQ396" s="3631"/>
      <c r="BR396" s="3631"/>
      <c r="BS396" s="3631"/>
      <c r="BT396" s="3631"/>
      <c r="BU396" s="3631"/>
      <c r="BV396" s="3631"/>
      <c r="BW396" s="3631"/>
      <c r="BX396" s="3631"/>
      <c r="BY396" s="3631"/>
      <c r="BZ396" s="3631"/>
      <c r="CA396" s="3631"/>
      <c r="CB396" s="3631"/>
      <c r="CC396" s="3631"/>
      <c r="CD396" s="3631"/>
      <c r="CE396" s="3631"/>
      <c r="CF396" s="3632">
        <f t="shared" si="144"/>
        <v>6</v>
      </c>
    </row>
    <row r="397" spans="1:84" ht="37.5" customHeight="1">
      <c r="A397" s="107" t="s">
        <v>3858</v>
      </c>
      <c r="B397" s="521"/>
      <c r="C397" s="521" t="s">
        <v>3862</v>
      </c>
      <c r="D397" s="982" t="s">
        <v>65</v>
      </c>
      <c r="E397" s="982" t="s">
        <v>65</v>
      </c>
      <c r="F397" s="2306" t="s">
        <v>4218</v>
      </c>
      <c r="G397" s="2665">
        <v>1</v>
      </c>
      <c r="H397" s="283">
        <v>360000</v>
      </c>
      <c r="I397" s="2261">
        <f t="shared" ref="I397:I401" si="159">H397/100000</f>
        <v>3.6</v>
      </c>
      <c r="J397" s="283">
        <v>3</v>
      </c>
      <c r="K397" s="212">
        <f t="shared" ref="K397:K401" si="160">J397*I397</f>
        <v>10.8</v>
      </c>
      <c r="L397" s="2303" t="s">
        <v>5154</v>
      </c>
      <c r="M397" s="107">
        <f>'Abs6. CPHC'!Q1860</f>
        <v>0</v>
      </c>
      <c r="N397" s="3639">
        <v>10.8</v>
      </c>
      <c r="O397" s="3690"/>
      <c r="P397" s="3690"/>
      <c r="Q397" s="3690"/>
      <c r="R397" s="3690"/>
      <c r="S397" s="3690"/>
      <c r="T397" s="3690"/>
      <c r="U397" s="3690"/>
      <c r="V397" s="3690"/>
      <c r="W397" s="3690"/>
      <c r="X397" s="3690"/>
      <c r="Y397" s="3690"/>
      <c r="Z397" s="3690"/>
      <c r="AA397" s="3690"/>
      <c r="AB397" s="3690"/>
      <c r="AC397" s="3690"/>
      <c r="AD397" s="3690"/>
      <c r="AE397" s="3690"/>
      <c r="AF397" s="3690"/>
      <c r="AG397" s="3690"/>
      <c r="AH397" s="3690"/>
      <c r="AI397" s="3690"/>
      <c r="AJ397" s="3690"/>
      <c r="AK397" s="3690"/>
      <c r="AL397" s="3690"/>
      <c r="AM397" s="3690"/>
      <c r="AN397" s="3690"/>
      <c r="AO397" s="3690"/>
      <c r="AP397" s="3690"/>
      <c r="AQ397" s="3690"/>
      <c r="AR397" s="3690"/>
      <c r="AS397" s="3690"/>
      <c r="AT397" s="3690"/>
      <c r="AU397" s="3690"/>
      <c r="AV397" s="3690"/>
      <c r="AW397" s="3690"/>
      <c r="AX397" s="3332">
        <v>2.16</v>
      </c>
      <c r="AY397" s="3332"/>
      <c r="AZ397" s="3332"/>
      <c r="BA397" s="3332"/>
      <c r="BB397" s="3332"/>
      <c r="BC397" s="3332"/>
      <c r="BD397" s="3332"/>
      <c r="BE397" s="3332"/>
      <c r="BF397" s="3332"/>
      <c r="BG397" s="3332"/>
      <c r="BH397" s="3332"/>
      <c r="BI397" s="3332"/>
      <c r="BJ397" s="3332"/>
      <c r="BK397" s="3332">
        <v>2.16</v>
      </c>
      <c r="BL397" s="3332">
        <v>2.16</v>
      </c>
      <c r="BM397" s="3332"/>
      <c r="BN397" s="3332">
        <v>2.16</v>
      </c>
      <c r="BO397" s="3332">
        <v>2.16</v>
      </c>
      <c r="BP397" s="3332"/>
      <c r="BQ397" s="3332"/>
      <c r="BR397" s="3332"/>
      <c r="BS397" s="3332"/>
      <c r="BT397" s="3332"/>
      <c r="BU397" s="3332"/>
      <c r="BV397" s="3332"/>
      <c r="BW397" s="3332"/>
      <c r="BX397" s="3332"/>
      <c r="BY397" s="3332"/>
      <c r="BZ397" s="3332"/>
      <c r="CA397" s="3332"/>
      <c r="CB397" s="3332"/>
      <c r="CC397" s="3332"/>
      <c r="CD397" s="3332"/>
      <c r="CE397" s="3332"/>
      <c r="CF397" s="3599">
        <f t="shared" si="144"/>
        <v>10.8</v>
      </c>
    </row>
    <row r="398" spans="1:84" ht="28.5" customHeight="1">
      <c r="A398" s="107" t="s">
        <v>3859</v>
      </c>
      <c r="B398" s="521"/>
      <c r="C398" s="521" t="s">
        <v>3861</v>
      </c>
      <c r="D398" s="982" t="s">
        <v>65</v>
      </c>
      <c r="E398" s="982" t="s">
        <v>65</v>
      </c>
      <c r="F398" s="2306" t="s">
        <v>4218</v>
      </c>
      <c r="G398" s="2665" t="s">
        <v>5194</v>
      </c>
      <c r="H398" s="2368">
        <f>33330*12</f>
        <v>399960</v>
      </c>
      <c r="I398" s="2261">
        <f t="shared" si="159"/>
        <v>3.9996</v>
      </c>
      <c r="J398" s="283">
        <v>75</v>
      </c>
      <c r="K398" s="212">
        <f t="shared" si="160"/>
        <v>299.97000000000003</v>
      </c>
      <c r="L398" s="3308" t="s">
        <v>5195</v>
      </c>
      <c r="M398" s="107">
        <f>'Abs6. CPHC'!Q1861</f>
        <v>0</v>
      </c>
      <c r="N398" s="3639">
        <v>299.97000000000003</v>
      </c>
      <c r="O398" s="3690"/>
      <c r="P398" s="3690"/>
      <c r="Q398" s="3690"/>
      <c r="R398" s="3690"/>
      <c r="S398" s="3690"/>
      <c r="T398" s="3690"/>
      <c r="U398" s="3690"/>
      <c r="V398" s="3690"/>
      <c r="W398" s="3690"/>
      <c r="X398" s="3690"/>
      <c r="Y398" s="3690"/>
      <c r="Z398" s="3690"/>
      <c r="AA398" s="3690"/>
      <c r="AB398" s="3690"/>
      <c r="AC398" s="3690"/>
      <c r="AD398" s="3690"/>
      <c r="AE398" s="3690"/>
      <c r="AF398" s="3690"/>
      <c r="AG398" s="3690"/>
      <c r="AH398" s="3690"/>
      <c r="AI398" s="3690"/>
      <c r="AJ398" s="3690"/>
      <c r="AK398" s="3690"/>
      <c r="AL398" s="3690"/>
      <c r="AM398" s="3690"/>
      <c r="AN398" s="3690"/>
      <c r="AO398" s="3690"/>
      <c r="AP398" s="3690"/>
      <c r="AQ398" s="3690"/>
      <c r="AR398" s="3690"/>
      <c r="AS398" s="3690"/>
      <c r="AT398" s="3690"/>
      <c r="AU398" s="3690"/>
      <c r="AV398" s="3690"/>
      <c r="AW398" s="3690"/>
      <c r="AX398" s="3332">
        <v>299.97000000000003</v>
      </c>
      <c r="AY398" s="3332"/>
      <c r="AZ398" s="3332"/>
      <c r="BA398" s="3332"/>
      <c r="BB398" s="3332"/>
      <c r="BC398" s="3332"/>
      <c r="BD398" s="3332"/>
      <c r="BE398" s="3332"/>
      <c r="BF398" s="3332"/>
      <c r="BG398" s="3332"/>
      <c r="BH398" s="3332"/>
      <c r="BI398" s="3332"/>
      <c r="BJ398" s="3332"/>
      <c r="BK398" s="3332"/>
      <c r="BL398" s="3332"/>
      <c r="BM398" s="3332"/>
      <c r="BN398" s="3332"/>
      <c r="BO398" s="3332"/>
      <c r="BP398" s="3332"/>
      <c r="BQ398" s="3332"/>
      <c r="BR398" s="3332"/>
      <c r="BS398" s="3332"/>
      <c r="BT398" s="3332"/>
      <c r="BU398" s="3332"/>
      <c r="BV398" s="3332"/>
      <c r="BW398" s="3332"/>
      <c r="BX398" s="3332"/>
      <c r="BY398" s="3332"/>
      <c r="BZ398" s="3332"/>
      <c r="CA398" s="3332"/>
      <c r="CB398" s="3332"/>
      <c r="CC398" s="3332"/>
      <c r="CD398" s="3332"/>
      <c r="CE398" s="3332"/>
      <c r="CF398" s="3599">
        <f t="shared" si="144"/>
        <v>299.97000000000003</v>
      </c>
    </row>
    <row r="399" spans="1:84" ht="37.5" customHeight="1">
      <c r="A399" s="888">
        <v>17.3</v>
      </c>
      <c r="B399" s="536"/>
      <c r="C399" s="536" t="s">
        <v>3986</v>
      </c>
      <c r="D399" s="982" t="s">
        <v>65</v>
      </c>
      <c r="E399" s="982" t="s">
        <v>65</v>
      </c>
      <c r="F399" s="1356" t="s">
        <v>2293</v>
      </c>
      <c r="G399" s="2395" t="s">
        <v>5191</v>
      </c>
      <c r="H399" s="2368">
        <f>150*12</f>
        <v>1800</v>
      </c>
      <c r="I399" s="2261">
        <f t="shared" si="159"/>
        <v>1.7999999999999999E-2</v>
      </c>
      <c r="J399" s="2368">
        <v>1990</v>
      </c>
      <c r="K399" s="212">
        <f t="shared" si="160"/>
        <v>35.82</v>
      </c>
      <c r="L399" s="108" t="s">
        <v>5192</v>
      </c>
      <c r="M399" s="586">
        <f>'Ab4. HMIS-MCTS'!Q1852</f>
        <v>0</v>
      </c>
      <c r="N399" s="3232">
        <v>35.82</v>
      </c>
      <c r="O399" s="3656"/>
      <c r="P399" s="3656"/>
      <c r="Q399" s="3656"/>
      <c r="R399" s="3656"/>
      <c r="S399" s="3656"/>
      <c r="T399" s="3656"/>
      <c r="U399" s="3656"/>
      <c r="V399" s="3656"/>
      <c r="W399" s="3656"/>
      <c r="X399" s="3656"/>
      <c r="Y399" s="3656"/>
      <c r="Z399" s="3656"/>
      <c r="AA399" s="3656"/>
      <c r="AB399" s="3656"/>
      <c r="AC399" s="3656"/>
      <c r="AD399" s="3656"/>
      <c r="AE399" s="3656"/>
      <c r="AF399" s="3656"/>
      <c r="AG399" s="3656"/>
      <c r="AH399" s="3656"/>
      <c r="AI399" s="3656"/>
      <c r="AJ399" s="3656"/>
      <c r="AK399" s="3656"/>
      <c r="AL399" s="3656"/>
      <c r="AM399" s="3656"/>
      <c r="AN399" s="3656"/>
      <c r="AO399" s="3656"/>
      <c r="AP399" s="3656"/>
      <c r="AQ399" s="3656"/>
      <c r="AR399" s="3656"/>
      <c r="AS399" s="3656"/>
      <c r="AT399" s="3656"/>
      <c r="AU399" s="3656"/>
      <c r="AV399" s="3656"/>
      <c r="AW399" s="3656"/>
      <c r="AX399" s="3600">
        <v>0</v>
      </c>
      <c r="AY399" s="3600">
        <v>2.12</v>
      </c>
      <c r="AZ399" s="3600">
        <v>2.78</v>
      </c>
      <c r="BA399" s="3600">
        <v>2.48</v>
      </c>
      <c r="BB399" s="3600">
        <v>7.69</v>
      </c>
      <c r="BC399" s="3600">
        <v>0.63</v>
      </c>
      <c r="BD399" s="3600">
        <v>1.91</v>
      </c>
      <c r="BE399" s="3600">
        <v>0.72</v>
      </c>
      <c r="BF399" s="3600">
        <v>5.62</v>
      </c>
      <c r="BG399" s="3600">
        <v>4.18</v>
      </c>
      <c r="BH399" s="3600">
        <v>2.31</v>
      </c>
      <c r="BI399" s="3600">
        <v>3.05</v>
      </c>
      <c r="BJ399" s="3600">
        <v>2.33</v>
      </c>
      <c r="BK399" s="3600"/>
      <c r="BL399" s="3600"/>
      <c r="BM399" s="3600"/>
      <c r="BN399" s="3600"/>
      <c r="BO399" s="3600"/>
      <c r="BP399" s="3600"/>
      <c r="BQ399" s="3600"/>
      <c r="BR399" s="3600"/>
      <c r="BS399" s="3600"/>
      <c r="BT399" s="3600"/>
      <c r="BU399" s="3600"/>
      <c r="BV399" s="3600"/>
      <c r="BW399" s="3600"/>
      <c r="BX399" s="3600"/>
      <c r="BY399" s="3600"/>
      <c r="BZ399" s="3600"/>
      <c r="CA399" s="3600"/>
      <c r="CB399" s="3600"/>
      <c r="CC399" s="3600"/>
      <c r="CD399" s="3600"/>
      <c r="CE399" s="3600"/>
      <c r="CF399" s="3599">
        <f t="shared" si="144"/>
        <v>35.819999999999993</v>
      </c>
    </row>
    <row r="400" spans="1:84" ht="37.5" customHeight="1">
      <c r="A400" s="888">
        <v>17.600000000000001</v>
      </c>
      <c r="B400" s="536" t="s">
        <v>2242</v>
      </c>
      <c r="C400" s="536" t="s">
        <v>2243</v>
      </c>
      <c r="D400" s="982" t="s">
        <v>65</v>
      </c>
      <c r="E400" s="982" t="s">
        <v>65</v>
      </c>
      <c r="F400" s="1356" t="s">
        <v>4823</v>
      </c>
      <c r="G400" s="2395">
        <v>1</v>
      </c>
      <c r="H400" s="2368">
        <v>3582000</v>
      </c>
      <c r="I400" s="2261">
        <f t="shared" si="159"/>
        <v>35.82</v>
      </c>
      <c r="J400" s="283">
        <v>1</v>
      </c>
      <c r="K400" s="298">
        <f t="shared" si="160"/>
        <v>35.82</v>
      </c>
      <c r="L400" s="81" t="s">
        <v>5193</v>
      </c>
      <c r="M400" s="586">
        <f>'Ab4. HMIS-MCTS'!Q1852</f>
        <v>0</v>
      </c>
      <c r="N400" s="3232">
        <v>35.82</v>
      </c>
      <c r="O400" s="3656"/>
      <c r="P400" s="3656"/>
      <c r="Q400" s="3656"/>
      <c r="R400" s="3656"/>
      <c r="S400" s="3656"/>
      <c r="T400" s="3656"/>
      <c r="U400" s="3656"/>
      <c r="V400" s="3656"/>
      <c r="W400" s="3656"/>
      <c r="X400" s="3656"/>
      <c r="Y400" s="3656"/>
      <c r="Z400" s="3656"/>
      <c r="AA400" s="3656"/>
      <c r="AB400" s="3656"/>
      <c r="AC400" s="3656"/>
      <c r="AD400" s="3656"/>
      <c r="AE400" s="3656"/>
      <c r="AF400" s="3656"/>
      <c r="AG400" s="3656"/>
      <c r="AH400" s="3656"/>
      <c r="AI400" s="3656"/>
      <c r="AJ400" s="3656"/>
      <c r="AK400" s="3656"/>
      <c r="AL400" s="3656"/>
      <c r="AM400" s="3656"/>
      <c r="AN400" s="3656"/>
      <c r="AO400" s="3656"/>
      <c r="AP400" s="3656"/>
      <c r="AQ400" s="3656"/>
      <c r="AR400" s="3656"/>
      <c r="AS400" s="3656"/>
      <c r="AT400" s="3656"/>
      <c r="AU400" s="3656"/>
      <c r="AV400" s="3656"/>
      <c r="AW400" s="3656"/>
      <c r="AX400" s="3600">
        <v>35.82</v>
      </c>
      <c r="AY400" s="3600"/>
      <c r="AZ400" s="3600"/>
      <c r="BA400" s="3600"/>
      <c r="BB400" s="3600"/>
      <c r="BC400" s="3600"/>
      <c r="BD400" s="3600"/>
      <c r="BE400" s="3600"/>
      <c r="BF400" s="3600"/>
      <c r="BG400" s="3600"/>
      <c r="BH400" s="3600"/>
      <c r="BI400" s="3600"/>
      <c r="BJ400" s="3600"/>
      <c r="BK400" s="3600"/>
      <c r="BL400" s="3600"/>
      <c r="BM400" s="3600"/>
      <c r="BN400" s="3600"/>
      <c r="BO400" s="3600"/>
      <c r="BP400" s="3600"/>
      <c r="BQ400" s="3600"/>
      <c r="BR400" s="3600"/>
      <c r="BS400" s="3600"/>
      <c r="BT400" s="3600"/>
      <c r="BU400" s="3600"/>
      <c r="BV400" s="3600"/>
      <c r="BW400" s="3600"/>
      <c r="BX400" s="3600"/>
      <c r="BY400" s="3600"/>
      <c r="BZ400" s="3600"/>
      <c r="CA400" s="3600"/>
      <c r="CB400" s="3600"/>
      <c r="CC400" s="3600"/>
      <c r="CD400" s="3600"/>
      <c r="CE400" s="3600"/>
      <c r="CF400" s="3599">
        <f t="shared" si="144"/>
        <v>35.82</v>
      </c>
    </row>
    <row r="401" spans="1:85" ht="37.5" customHeight="1">
      <c r="A401" s="888">
        <v>17.8</v>
      </c>
      <c r="B401" s="536"/>
      <c r="C401" s="536" t="s">
        <v>2781</v>
      </c>
      <c r="D401" s="982" t="s">
        <v>65</v>
      </c>
      <c r="E401" s="982" t="s">
        <v>65</v>
      </c>
      <c r="F401" s="1356" t="s">
        <v>2293</v>
      </c>
      <c r="G401" s="2426">
        <v>1</v>
      </c>
      <c r="H401" s="2318">
        <v>1800</v>
      </c>
      <c r="I401" s="2261">
        <f t="shared" si="159"/>
        <v>1.7999999999999999E-2</v>
      </c>
      <c r="J401" s="2318">
        <v>8066</v>
      </c>
      <c r="K401" s="298">
        <f t="shared" si="160"/>
        <v>145.18799999999999</v>
      </c>
      <c r="L401" s="2427" t="s">
        <v>5148</v>
      </c>
      <c r="M401" s="586">
        <f>'Ab4. HMIS-MCTS'!Q1853</f>
        <v>0</v>
      </c>
      <c r="N401" s="3232">
        <v>145.19</v>
      </c>
      <c r="O401" s="3656"/>
      <c r="P401" s="3656"/>
      <c r="Q401" s="3656"/>
      <c r="R401" s="3656"/>
      <c r="S401" s="3656"/>
      <c r="T401" s="3656"/>
      <c r="U401" s="3656"/>
      <c r="V401" s="3656"/>
      <c r="W401" s="3656"/>
      <c r="X401" s="3656"/>
      <c r="Y401" s="3656"/>
      <c r="Z401" s="3656"/>
      <c r="AA401" s="3656"/>
      <c r="AB401" s="3656"/>
      <c r="AC401" s="3656"/>
      <c r="AD401" s="3656"/>
      <c r="AE401" s="3656"/>
      <c r="AF401" s="3656"/>
      <c r="AG401" s="3656"/>
      <c r="AH401" s="3656"/>
      <c r="AI401" s="3656"/>
      <c r="AJ401" s="3656"/>
      <c r="AK401" s="3656"/>
      <c r="AL401" s="3656"/>
      <c r="AM401" s="3656"/>
      <c r="AN401" s="3656"/>
      <c r="AO401" s="3656"/>
      <c r="AP401" s="3656"/>
      <c r="AQ401" s="3656"/>
      <c r="AR401" s="3656"/>
      <c r="AS401" s="3656"/>
      <c r="AT401" s="3656"/>
      <c r="AU401" s="3656"/>
      <c r="AV401" s="3656"/>
      <c r="AW401" s="3656"/>
      <c r="AX401" s="3600">
        <v>1.85</v>
      </c>
      <c r="AY401" s="3600">
        <v>8.98</v>
      </c>
      <c r="AZ401" s="3600">
        <v>10.82</v>
      </c>
      <c r="BA401" s="3600">
        <v>9.61</v>
      </c>
      <c r="BB401" s="3600">
        <v>32.76</v>
      </c>
      <c r="BC401" s="3600">
        <v>1.93</v>
      </c>
      <c r="BD401" s="3600">
        <v>8.91</v>
      </c>
      <c r="BE401" s="3600">
        <v>0.86</v>
      </c>
      <c r="BF401" s="3600">
        <v>22.5</v>
      </c>
      <c r="BG401" s="3600">
        <v>14</v>
      </c>
      <c r="BH401" s="3600">
        <v>11.03</v>
      </c>
      <c r="BI401" s="3600">
        <v>11.03</v>
      </c>
      <c r="BJ401" s="3600">
        <v>10.91</v>
      </c>
      <c r="BK401" s="3600"/>
      <c r="BL401" s="3600"/>
      <c r="BM401" s="3600"/>
      <c r="BN401" s="3600"/>
      <c r="BO401" s="3600"/>
      <c r="BP401" s="3600"/>
      <c r="BQ401" s="3600"/>
      <c r="BR401" s="3600"/>
      <c r="BS401" s="3600"/>
      <c r="BT401" s="3600"/>
      <c r="BU401" s="3600"/>
      <c r="BV401" s="3600"/>
      <c r="BW401" s="3600"/>
      <c r="BX401" s="3600"/>
      <c r="BY401" s="3600"/>
      <c r="BZ401" s="3600"/>
      <c r="CA401" s="3600"/>
      <c r="CB401" s="3600"/>
      <c r="CC401" s="3600"/>
      <c r="CD401" s="3600"/>
      <c r="CE401" s="3600"/>
      <c r="CF401" s="3599">
        <f t="shared" si="144"/>
        <v>145.19</v>
      </c>
    </row>
    <row r="402" spans="1:85" ht="37.5" customHeight="1">
      <c r="A402" s="2428" t="s">
        <v>4497</v>
      </c>
      <c r="B402" s="1992"/>
      <c r="C402" s="353" t="s">
        <v>5486</v>
      </c>
      <c r="D402" s="2654" t="s">
        <v>65</v>
      </c>
      <c r="E402" s="2654" t="s">
        <v>65</v>
      </c>
      <c r="F402" s="1992"/>
      <c r="G402" s="353">
        <v>1</v>
      </c>
      <c r="H402" s="283">
        <v>1668333</v>
      </c>
      <c r="I402" s="298">
        <f t="shared" ref="I402:I403" si="161">H402/100000</f>
        <v>16.683330000000002</v>
      </c>
      <c r="J402" s="283">
        <v>3</v>
      </c>
      <c r="K402" s="2430">
        <f>I402*J402</f>
        <v>50.049990000000008</v>
      </c>
      <c r="L402" s="108" t="s">
        <v>5487</v>
      </c>
      <c r="M402" s="108" t="s">
        <v>5879</v>
      </c>
      <c r="N402" s="3691">
        <v>50.05</v>
      </c>
      <c r="O402" s="3692"/>
      <c r="P402" s="3692"/>
      <c r="Q402" s="3692"/>
      <c r="R402" s="3692"/>
      <c r="S402" s="3692"/>
      <c r="T402" s="3692"/>
      <c r="U402" s="3692"/>
      <c r="V402" s="3692"/>
      <c r="W402" s="3692"/>
      <c r="X402" s="3692"/>
      <c r="Y402" s="3692"/>
      <c r="Z402" s="3692"/>
      <c r="AA402" s="3692"/>
      <c r="AB402" s="3692"/>
      <c r="AC402" s="3692"/>
      <c r="AD402" s="3692"/>
      <c r="AE402" s="3692"/>
      <c r="AF402" s="3692"/>
      <c r="AG402" s="3692"/>
      <c r="AH402" s="3692"/>
      <c r="AI402" s="3692"/>
      <c r="AJ402" s="3692"/>
      <c r="AK402" s="3692"/>
      <c r="AL402" s="3692"/>
      <c r="AM402" s="3692"/>
      <c r="AN402" s="3692"/>
      <c r="AO402" s="3692"/>
      <c r="AP402" s="3692"/>
      <c r="AQ402" s="3692"/>
      <c r="AR402" s="3692"/>
      <c r="AS402" s="3692"/>
      <c r="AT402" s="3692"/>
      <c r="AU402" s="3692"/>
      <c r="AV402" s="3692"/>
      <c r="AW402" s="3692"/>
      <c r="AX402" s="3635">
        <v>50.05</v>
      </c>
      <c r="AY402" s="3635"/>
      <c r="AZ402" s="3635"/>
      <c r="BA402" s="3635"/>
      <c r="BB402" s="3635"/>
      <c r="BC402" s="3635"/>
      <c r="BD402" s="3635"/>
      <c r="BE402" s="3635"/>
      <c r="BF402" s="3635"/>
      <c r="BG402" s="3635"/>
      <c r="BH402" s="3635"/>
      <c r="BI402" s="3635"/>
      <c r="BJ402" s="3635"/>
      <c r="BK402" s="3635"/>
      <c r="BL402" s="3635"/>
      <c r="BM402" s="3635"/>
      <c r="BN402" s="3635"/>
      <c r="BO402" s="3635"/>
      <c r="BP402" s="3635"/>
      <c r="BQ402" s="3635"/>
      <c r="BR402" s="3635"/>
      <c r="BS402" s="3635"/>
      <c r="BT402" s="3635"/>
      <c r="BU402" s="3635"/>
      <c r="BV402" s="3635"/>
      <c r="BW402" s="3635"/>
      <c r="BX402" s="3635"/>
      <c r="BY402" s="3635"/>
      <c r="BZ402" s="3635"/>
      <c r="CA402" s="3635"/>
      <c r="CB402" s="3635"/>
      <c r="CC402" s="3635"/>
      <c r="CD402" s="3635"/>
      <c r="CE402" s="3635"/>
      <c r="CF402" s="3636">
        <f t="shared" si="144"/>
        <v>50.05</v>
      </c>
    </row>
    <row r="403" spans="1:85" ht="37.5" customHeight="1">
      <c r="A403" s="2428" t="s">
        <v>4506</v>
      </c>
      <c r="B403" s="1992"/>
      <c r="C403" s="1992" t="s">
        <v>5183</v>
      </c>
      <c r="D403" s="2429" t="s">
        <v>4219</v>
      </c>
      <c r="E403" s="2429" t="s">
        <v>4525</v>
      </c>
      <c r="F403" s="1992"/>
      <c r="G403" s="1992"/>
      <c r="H403" s="2368">
        <v>500000</v>
      </c>
      <c r="I403" s="298">
        <f t="shared" si="161"/>
        <v>5</v>
      </c>
      <c r="J403" s="283">
        <v>1</v>
      </c>
      <c r="K403" s="2430">
        <f>I403*J403</f>
        <v>5</v>
      </c>
      <c r="L403" s="108" t="s">
        <v>5184</v>
      </c>
      <c r="M403" s="108" t="s">
        <v>5880</v>
      </c>
      <c r="N403" s="3693">
        <v>5</v>
      </c>
      <c r="O403" s="3692"/>
      <c r="P403" s="3692"/>
      <c r="Q403" s="3692"/>
      <c r="R403" s="3692"/>
      <c r="S403" s="3692"/>
      <c r="T403" s="3692"/>
      <c r="U403" s="3692"/>
      <c r="V403" s="3692"/>
      <c r="W403" s="3692"/>
      <c r="X403" s="3692"/>
      <c r="Y403" s="3692"/>
      <c r="Z403" s="3692"/>
      <c r="AA403" s="3692"/>
      <c r="AB403" s="3692"/>
      <c r="AC403" s="3692"/>
      <c r="AD403" s="3692"/>
      <c r="AE403" s="3692"/>
      <c r="AF403" s="3692"/>
      <c r="AG403" s="3692"/>
      <c r="AH403" s="3692"/>
      <c r="AI403" s="3692"/>
      <c r="AJ403" s="3692"/>
      <c r="AK403" s="3692"/>
      <c r="AL403" s="3692"/>
      <c r="AM403" s="3692"/>
      <c r="AN403" s="3692"/>
      <c r="AO403" s="3692"/>
      <c r="AP403" s="3692"/>
      <c r="AQ403" s="3692"/>
      <c r="AR403" s="3692"/>
      <c r="AS403" s="3692"/>
      <c r="AT403" s="3692"/>
      <c r="AU403" s="3692"/>
      <c r="AV403" s="3692"/>
      <c r="AW403" s="3692"/>
      <c r="AX403" s="3635">
        <v>5</v>
      </c>
      <c r="AY403" s="3635"/>
      <c r="AZ403" s="3635"/>
      <c r="BA403" s="3635"/>
      <c r="BB403" s="3635"/>
      <c r="BC403" s="3635"/>
      <c r="BD403" s="3635"/>
      <c r="BE403" s="3635"/>
      <c r="BF403" s="3635"/>
      <c r="BG403" s="3635"/>
      <c r="BH403" s="3635"/>
      <c r="BI403" s="3635"/>
      <c r="BJ403" s="3635"/>
      <c r="BK403" s="3635"/>
      <c r="BL403" s="3635"/>
      <c r="BM403" s="3635"/>
      <c r="BN403" s="3635"/>
      <c r="BO403" s="3635"/>
      <c r="BP403" s="3635"/>
      <c r="BQ403" s="3635"/>
      <c r="BR403" s="3635"/>
      <c r="BS403" s="3635"/>
      <c r="BT403" s="3635"/>
      <c r="BU403" s="3635"/>
      <c r="BV403" s="3635"/>
      <c r="BW403" s="3635"/>
      <c r="BX403" s="3635"/>
      <c r="BY403" s="3635"/>
      <c r="BZ403" s="3635"/>
      <c r="CA403" s="3635"/>
      <c r="CB403" s="3635"/>
      <c r="CC403" s="3635"/>
      <c r="CD403" s="3635"/>
      <c r="CE403" s="3635"/>
      <c r="CF403" s="3636">
        <f t="shared" si="144"/>
        <v>5</v>
      </c>
    </row>
    <row r="404" spans="1:85" ht="37.5" customHeight="1">
      <c r="A404" s="2428" t="s">
        <v>4509</v>
      </c>
      <c r="B404" s="1992"/>
      <c r="C404" s="1992" t="s">
        <v>5464</v>
      </c>
      <c r="D404" s="2499" t="s">
        <v>65</v>
      </c>
      <c r="E404" s="2499" t="s">
        <v>65</v>
      </c>
      <c r="F404" s="1992"/>
      <c r="G404" s="1992">
        <v>1</v>
      </c>
      <c r="H404" s="2650">
        <v>880000</v>
      </c>
      <c r="I404" s="298">
        <f>H404/100000</f>
        <v>8.8000000000000007</v>
      </c>
      <c r="J404" s="283">
        <v>3</v>
      </c>
      <c r="K404" s="2430">
        <f>I404*J404</f>
        <v>26.400000000000002</v>
      </c>
      <c r="L404" s="2653" t="s">
        <v>5305</v>
      </c>
      <c r="M404" s="2431"/>
      <c r="N404" s="3694">
        <v>6.54</v>
      </c>
      <c r="O404" s="3692"/>
      <c r="P404" s="3692"/>
      <c r="Q404" s="3692"/>
      <c r="R404" s="3692"/>
      <c r="S404" s="3692"/>
      <c r="T404" s="3692"/>
      <c r="U404" s="3692"/>
      <c r="V404" s="3692"/>
      <c r="W404" s="3692"/>
      <c r="X404" s="3692"/>
      <c r="Y404" s="3692"/>
      <c r="Z404" s="3692"/>
      <c r="AA404" s="3692"/>
      <c r="AB404" s="3692"/>
      <c r="AC404" s="3692"/>
      <c r="AD404" s="3692"/>
      <c r="AE404" s="3692"/>
      <c r="AF404" s="3692"/>
      <c r="AG404" s="3692"/>
      <c r="AH404" s="3692"/>
      <c r="AI404" s="3692"/>
      <c r="AJ404" s="3692"/>
      <c r="AK404" s="3692"/>
      <c r="AL404" s="3692"/>
      <c r="AM404" s="3692"/>
      <c r="AN404" s="3692"/>
      <c r="AO404" s="3692"/>
      <c r="AP404" s="3692"/>
      <c r="AQ404" s="3692"/>
      <c r="AR404" s="3692"/>
      <c r="AS404" s="3692"/>
      <c r="AT404" s="3692"/>
      <c r="AU404" s="3692"/>
      <c r="AV404" s="3692"/>
      <c r="AW404" s="3692"/>
      <c r="AX404" s="3635">
        <v>6.54</v>
      </c>
      <c r="AY404" s="3635"/>
      <c r="AZ404" s="3635"/>
      <c r="BA404" s="3635"/>
      <c r="BB404" s="3635"/>
      <c r="BC404" s="3635"/>
      <c r="BD404" s="3635"/>
      <c r="BE404" s="3635"/>
      <c r="BF404" s="3635"/>
      <c r="BG404" s="3635"/>
      <c r="BH404" s="3635"/>
      <c r="BI404" s="3635"/>
      <c r="BJ404" s="3635"/>
      <c r="BK404" s="3635"/>
      <c r="BL404" s="3635"/>
      <c r="BM404" s="3635"/>
      <c r="BN404" s="3635"/>
      <c r="BO404" s="3635"/>
      <c r="BP404" s="3635"/>
      <c r="BQ404" s="3635"/>
      <c r="BR404" s="3635"/>
      <c r="BS404" s="3635"/>
      <c r="BT404" s="3635"/>
      <c r="BU404" s="3635"/>
      <c r="BV404" s="3635"/>
      <c r="BW404" s="3635"/>
      <c r="BX404" s="3635"/>
      <c r="BY404" s="3635"/>
      <c r="BZ404" s="3635"/>
      <c r="CA404" s="3635"/>
      <c r="CB404" s="3635"/>
      <c r="CC404" s="3635"/>
      <c r="CD404" s="3635"/>
      <c r="CE404" s="3635"/>
      <c r="CF404" s="3636">
        <f t="shared" si="144"/>
        <v>6.54</v>
      </c>
    </row>
    <row r="405" spans="1:85" ht="23.25" customHeight="1">
      <c r="A405" s="2012"/>
      <c r="B405" s="2012"/>
      <c r="C405" s="2012"/>
      <c r="D405" s="869"/>
      <c r="E405" s="869"/>
      <c r="F405" s="869"/>
      <c r="G405" s="869"/>
      <c r="H405" s="869"/>
      <c r="I405" s="2011"/>
      <c r="J405" s="869"/>
      <c r="K405" s="3789"/>
      <c r="L405" s="2012"/>
      <c r="M405" s="2012"/>
      <c r="N405" s="3790">
        <f>SUM(N4:N404)+147.75</f>
        <v>46631.244219999986</v>
      </c>
      <c r="O405" s="3331"/>
      <c r="P405" s="3331"/>
      <c r="Q405" s="3331"/>
      <c r="R405" s="3331"/>
      <c r="S405" s="3331"/>
      <c r="T405" s="3331"/>
      <c r="U405" s="3331"/>
      <c r="V405" s="3331"/>
      <c r="W405" s="3331"/>
      <c r="X405" s="3331"/>
      <c r="Y405" s="3331"/>
      <c r="Z405" s="3331"/>
      <c r="AA405" s="3331"/>
      <c r="AB405" s="3331"/>
      <c r="AC405" s="3331"/>
      <c r="AD405" s="3331"/>
      <c r="AE405" s="3331"/>
      <c r="AF405" s="3331"/>
      <c r="AG405" s="3331"/>
      <c r="AH405" s="3331"/>
      <c r="AI405" s="3331"/>
      <c r="AJ405" s="3331"/>
      <c r="AK405" s="3331"/>
      <c r="AL405" s="3331"/>
      <c r="AM405" s="3331"/>
      <c r="AN405" s="3331"/>
      <c r="AO405" s="3331"/>
      <c r="AP405" s="3331"/>
      <c r="AQ405" s="3331"/>
      <c r="AR405" s="3331"/>
      <c r="AS405" s="3331"/>
      <c r="AT405" s="3331"/>
      <c r="AU405" s="3331"/>
      <c r="AV405" s="3331"/>
      <c r="AW405" s="3331"/>
      <c r="AX405" s="3790">
        <f>SUM(AX4:AX404)+102.34</f>
        <v>28452.250000000011</v>
      </c>
      <c r="AY405" s="3790">
        <f>SUM(AY4:AY404)</f>
        <v>793.81971385600025</v>
      </c>
      <c r="AZ405" s="3790">
        <f t="shared" ref="AZ405:CD405" si="162">SUM(AZ4:AZ404)</f>
        <v>1234.5593501479993</v>
      </c>
      <c r="BA405" s="3790">
        <f t="shared" si="162"/>
        <v>954.51054178400011</v>
      </c>
      <c r="BB405" s="3790">
        <f>SUM(BB4:BB404)+8.51</f>
        <v>2884.1987885319991</v>
      </c>
      <c r="BC405" s="3790">
        <f t="shared" si="162"/>
        <v>519.62991789199987</v>
      </c>
      <c r="BD405" s="3790">
        <f t="shared" si="162"/>
        <v>959.40842342000019</v>
      </c>
      <c r="BE405" s="3790">
        <f t="shared" si="162"/>
        <v>329.69145332800008</v>
      </c>
      <c r="BF405" s="3790">
        <f t="shared" si="162"/>
        <v>2617.5864870040009</v>
      </c>
      <c r="BG405" s="3790">
        <f>SUM(BG4:BG404)+23.67</f>
        <v>1831.26672024</v>
      </c>
      <c r="BH405" s="3790">
        <f t="shared" si="162"/>
        <v>1126.5153166199998</v>
      </c>
      <c r="BI405" s="3790">
        <f>SUM(BI4:BI404)+13.23</f>
        <v>1146.2536742199998</v>
      </c>
      <c r="BJ405" s="3790">
        <f t="shared" si="162"/>
        <v>919.79093602000012</v>
      </c>
      <c r="BK405" s="3790">
        <f t="shared" si="162"/>
        <v>202.86000000000004</v>
      </c>
      <c r="BL405" s="3790">
        <f t="shared" si="162"/>
        <v>430.82000000000005</v>
      </c>
      <c r="BM405" s="3790">
        <f t="shared" si="162"/>
        <v>173.29</v>
      </c>
      <c r="BN405" s="3790">
        <f t="shared" si="162"/>
        <v>193.71999999999997</v>
      </c>
      <c r="BO405" s="3695">
        <f t="shared" si="162"/>
        <v>103.9</v>
      </c>
      <c r="BP405" s="3695">
        <f t="shared" si="162"/>
        <v>131.75</v>
      </c>
      <c r="BQ405" s="3695">
        <f t="shared" si="162"/>
        <v>223.49</v>
      </c>
      <c r="BR405" s="3695">
        <f t="shared" si="162"/>
        <v>117.88999999999999</v>
      </c>
      <c r="BS405" s="3695">
        <f t="shared" si="162"/>
        <v>61.150000000000006</v>
      </c>
      <c r="BT405" s="3695">
        <f t="shared" si="162"/>
        <v>88.910000000000011</v>
      </c>
      <c r="BU405" s="3695">
        <f t="shared" si="162"/>
        <v>132.89000000000001</v>
      </c>
      <c r="BV405" s="3695">
        <f t="shared" si="162"/>
        <v>182.78000000000003</v>
      </c>
      <c r="BW405" s="3695">
        <f t="shared" si="162"/>
        <v>51.489999999999995</v>
      </c>
      <c r="BX405" s="3695">
        <f t="shared" si="162"/>
        <v>110.54999999999998</v>
      </c>
      <c r="BY405" s="3695">
        <f t="shared" si="162"/>
        <v>56.94</v>
      </c>
      <c r="BZ405" s="3695">
        <f t="shared" si="162"/>
        <v>101.28000000000002</v>
      </c>
      <c r="CA405" s="3695">
        <f t="shared" si="162"/>
        <v>290.25999999999993</v>
      </c>
      <c r="CB405" s="3695">
        <f t="shared" si="162"/>
        <v>133.91</v>
      </c>
      <c r="CC405" s="3695">
        <f t="shared" si="162"/>
        <v>54.410000000000004</v>
      </c>
      <c r="CD405" s="3695">
        <f t="shared" si="162"/>
        <v>19.47</v>
      </c>
      <c r="CE405" s="3695"/>
      <c r="CF405" s="3711">
        <f t="shared" si="144"/>
        <v>46631.24132306403</v>
      </c>
      <c r="CG405" s="3183">
        <f t="shared" ref="CG405:CG423" si="163">+N405-CF405</f>
        <v>2.8969359555048868E-3</v>
      </c>
    </row>
    <row r="406" spans="1:85" ht="27" customHeight="1">
      <c r="A406" s="107"/>
      <c r="B406" s="107"/>
      <c r="C406" s="2012"/>
      <c r="D406" s="900"/>
      <c r="E406" s="888" t="s">
        <v>85</v>
      </c>
      <c r="F406" s="900"/>
      <c r="G406" s="900"/>
      <c r="H406" s="900"/>
      <c r="I406" s="962"/>
      <c r="J406" s="900"/>
      <c r="K406" s="3505"/>
      <c r="L406" s="107"/>
      <c r="M406" s="107"/>
      <c r="N406" s="3639">
        <f>+N4+N5+N6+N7+N8+N9+N10+N11+N12+N17+N18+N19+N20+N21+N22+N23+N24+N25+N26+N28+N29+N30+N31+N32+N33+N36+N37+N42+N45+N46+N47+N50+N51+N52+N60+N87+N107+N108+N124+N125+N154+N199+N200+N201+N204+N205+N206+N207+N208+N209+N210+N211+N212+N213+N214+N215+N216+N217+N218+N219+N220+N221+N222+N223+N224+N225+N226+N227+N228+N229+N230+N231+N232+N233+N234+N235+N236+N237+N238+N241+N264+N265+N274+N275+N301+N308+N344+N345+N347+N348+N349+N354+N359+N361+N363+N365+N366+N369+N370+N375+N376+N379+N380+N381+N382+N387+N388+N389+N393+N394+N395</f>
        <v>6414.4718400000002</v>
      </c>
      <c r="O406" s="3735"/>
      <c r="P406" s="3735"/>
      <c r="Q406" s="3735"/>
      <c r="R406" s="3735"/>
      <c r="S406" s="3735"/>
      <c r="T406" s="3735"/>
      <c r="U406" s="3735"/>
      <c r="V406" s="3735"/>
      <c r="W406" s="3735"/>
      <c r="X406" s="3735"/>
      <c r="Y406" s="3735"/>
      <c r="Z406" s="3735"/>
      <c r="AA406" s="3735"/>
      <c r="AB406" s="3735"/>
      <c r="AC406" s="3735"/>
      <c r="AD406" s="3735"/>
      <c r="AE406" s="3735"/>
      <c r="AF406" s="3735"/>
      <c r="AG406" s="3735"/>
      <c r="AH406" s="3735"/>
      <c r="AI406" s="3735"/>
      <c r="AJ406" s="3735"/>
      <c r="AK406" s="3735"/>
      <c r="AL406" s="3735"/>
      <c r="AM406" s="3735"/>
      <c r="AN406" s="3735"/>
      <c r="AO406" s="3735"/>
      <c r="AP406" s="3735"/>
      <c r="AQ406" s="3735"/>
      <c r="AR406" s="3735"/>
      <c r="AS406" s="3735"/>
      <c r="AT406" s="3735"/>
      <c r="AU406" s="3735"/>
      <c r="AV406" s="3735"/>
      <c r="AW406" s="3735"/>
      <c r="AX406" s="3639">
        <f>+AX4+AX5+AX6+AX7+AX8+AX9+AX10+AX11+AX12+AX17+AX18+AX19+AX20+AX21+AX22+AX23+AX24+AX25+AX26+AX28+AX29+AX30+AX31+AX32+AX33+AX36+AX37+AX42+AX45+AX46+AX47+AX50+AX51+AX52+AX60+AX87+AX107+AX108+AX124+AX125+AX154+AX199+AX200+AX201+AX204+AX205+AX206+AX207+AX208+AX209+AX210+AX211+AX212+AX213+AX214+AX215+AX216+AX217+AX218+AX219+AX220+AX221+AX222+AX223+AX224+AX225+AX226+AX227+AX228+AX229+AX230+AX231+AX232+AX233+AX234+AX235+AX236+AX237+AX238+AX241+AX264+AX265+AX274+AX275+AX301+AX308+AX344+AX345+AX346+AX347+AX348+AX349+AX350+AX351+AX352+AX353+AX354+AX355+AX356+AX357+AX358+AX359+AX360+AX361+AX362+AX363+AX364+AX365+AX366+AX369+AX370+AX375+AX376+AX379+AX380+AX381+AX382+AX387+AX388+AX389+AX393+AX394+AX395</f>
        <v>2685.2799999999988</v>
      </c>
      <c r="AY406" s="3639">
        <f t="shared" ref="AY406:CD406" si="164">+AY4+AY5+AY6+AY7+AY8+AY9+AY10+AY11+AY12+AY17+AY18+AY19+AY20+AY21+AY22+AY23+AY24+AY25+AY26+AY28+AY29+AY30+AY31+AY32+AY33+AY36+AY37+AY42+AY45+AY46+AY47+AY50+AY51+AY52+AY60+AY87+AY107+AY108+AY124+AY125+AY154+AY199+AY200+AY201+AY204+AY205+AY206+AY207+AY208+AY209+AY210+AY211+AY212+AY213+AY214+AY215+AY216+AY217+AY218+AY219+AY220+AY221+AY222+AY223+AY224+AY225+AY226+AY227+AY228+AY229+AY230+AY231+AY232+AY233+AY234+AY235+AY236+AY237+AY238+AY241+AY264+AY265+AY274+AY275+AY301+AY308+AY344+AY345+AY346+AY347+AY348+AY349+AY350+AY351+AY352+AY353+AY354+AY355+AY356+AY357+AY358+AY359+AY360+AY361+AY362+AY363+AY364+AY365+AY366+AY369+AY370+AY375+AY376+AY379+AY380+AY381+AY382+AY387+AY388+AY389+AY393+AY394+AY395</f>
        <v>164.50032999999999</v>
      </c>
      <c r="AZ406" s="3639">
        <f t="shared" si="164"/>
        <v>244.73056199999999</v>
      </c>
      <c r="BA406" s="3639">
        <f t="shared" si="164"/>
        <v>224.80103</v>
      </c>
      <c r="BB406" s="3639">
        <f t="shared" si="164"/>
        <v>516.75535200000002</v>
      </c>
      <c r="BC406" s="3639">
        <f t="shared" si="164"/>
        <v>105.16485400000002</v>
      </c>
      <c r="BD406" s="3639">
        <f t="shared" si="164"/>
        <v>196.27293599999999</v>
      </c>
      <c r="BE406" s="3639">
        <f t="shared" si="164"/>
        <v>63.873998000000014</v>
      </c>
      <c r="BF406" s="3639">
        <f t="shared" si="164"/>
        <v>431.48146000000014</v>
      </c>
      <c r="BG406" s="3639">
        <f t="shared" si="164"/>
        <v>314.88451599999996</v>
      </c>
      <c r="BH406" s="3639">
        <f t="shared" si="164"/>
        <v>262.091566</v>
      </c>
      <c r="BI406" s="3639">
        <f t="shared" si="164"/>
        <v>272.91753600000004</v>
      </c>
      <c r="BJ406" s="3639">
        <f t="shared" si="164"/>
        <v>187.56042799999997</v>
      </c>
      <c r="BK406" s="3639">
        <f t="shared" si="164"/>
        <v>7.2</v>
      </c>
      <c r="BL406" s="3639">
        <f t="shared" si="164"/>
        <v>114.77999999999999</v>
      </c>
      <c r="BM406" s="3639">
        <f t="shared" si="164"/>
        <v>48.04</v>
      </c>
      <c r="BN406" s="3639">
        <f t="shared" si="164"/>
        <v>59.55</v>
      </c>
      <c r="BO406" s="3647">
        <f t="shared" si="164"/>
        <v>9.89</v>
      </c>
      <c r="BP406" s="3647">
        <f t="shared" si="164"/>
        <v>36.04</v>
      </c>
      <c r="BQ406" s="3647">
        <f t="shared" si="164"/>
        <v>100.74999999999999</v>
      </c>
      <c r="BR406" s="3647">
        <f t="shared" si="164"/>
        <v>32.96</v>
      </c>
      <c r="BS406" s="3647">
        <f t="shared" si="164"/>
        <v>7.2099999999999991</v>
      </c>
      <c r="BT406" s="3647">
        <f t="shared" si="164"/>
        <v>27.38</v>
      </c>
      <c r="BU406" s="3647">
        <f t="shared" si="164"/>
        <v>51.179999999999993</v>
      </c>
      <c r="BV406" s="3647">
        <f t="shared" si="164"/>
        <v>72.679999999999993</v>
      </c>
      <c r="BW406" s="3647">
        <f t="shared" si="164"/>
        <v>3.7600000000000002</v>
      </c>
      <c r="BX406" s="3647">
        <f t="shared" si="164"/>
        <v>42.4</v>
      </c>
      <c r="BY406" s="3647">
        <f t="shared" si="164"/>
        <v>12.139999999999999</v>
      </c>
      <c r="BZ406" s="3647">
        <f t="shared" si="164"/>
        <v>32.450000000000003</v>
      </c>
      <c r="CA406" s="3647">
        <f t="shared" si="164"/>
        <v>0</v>
      </c>
      <c r="CB406" s="3647">
        <f t="shared" si="164"/>
        <v>52.650000000000006</v>
      </c>
      <c r="CC406" s="3647">
        <f t="shared" si="164"/>
        <v>33.1</v>
      </c>
      <c r="CD406" s="3647">
        <f t="shared" si="164"/>
        <v>0</v>
      </c>
      <c r="CE406" s="3731"/>
      <c r="CF406" s="3711">
        <f t="shared" si="144"/>
        <v>6414.4745679999996</v>
      </c>
      <c r="CG406" s="3183">
        <f t="shared" si="163"/>
        <v>-2.727999999478925E-3</v>
      </c>
    </row>
    <row r="407" spans="1:85" ht="21.75" customHeight="1">
      <c r="A407" s="107"/>
      <c r="B407" s="107"/>
      <c r="C407" s="2012"/>
      <c r="D407" s="900"/>
      <c r="E407" s="888" t="s">
        <v>200</v>
      </c>
      <c r="F407" s="900"/>
      <c r="G407" s="900"/>
      <c r="H407" s="900"/>
      <c r="I407" s="962"/>
      <c r="J407" s="900"/>
      <c r="K407" s="3505"/>
      <c r="L407" s="107"/>
      <c r="M407" s="107"/>
      <c r="N407" s="3639">
        <f>+N43+N53+N54+N69+N239+N330+N331+N332+N333+N367+N368+N371+N383</f>
        <v>433.88</v>
      </c>
      <c r="O407" s="3735"/>
      <c r="P407" s="3735"/>
      <c r="Q407" s="3735"/>
      <c r="R407" s="3735"/>
      <c r="S407" s="3735"/>
      <c r="T407" s="3735"/>
      <c r="U407" s="3735"/>
      <c r="V407" s="3735"/>
      <c r="W407" s="3735"/>
      <c r="X407" s="3735"/>
      <c r="Y407" s="3735"/>
      <c r="Z407" s="3735"/>
      <c r="AA407" s="3735"/>
      <c r="AB407" s="3735"/>
      <c r="AC407" s="3735"/>
      <c r="AD407" s="3735"/>
      <c r="AE407" s="3735"/>
      <c r="AF407" s="3735"/>
      <c r="AG407" s="3735"/>
      <c r="AH407" s="3735"/>
      <c r="AI407" s="3735"/>
      <c r="AJ407" s="3735"/>
      <c r="AK407" s="3735"/>
      <c r="AL407" s="3735"/>
      <c r="AM407" s="3735"/>
      <c r="AN407" s="3735"/>
      <c r="AO407" s="3735"/>
      <c r="AP407" s="3735"/>
      <c r="AQ407" s="3735"/>
      <c r="AR407" s="3735"/>
      <c r="AS407" s="3735"/>
      <c r="AT407" s="3735"/>
      <c r="AU407" s="3735"/>
      <c r="AV407" s="3735"/>
      <c r="AW407" s="3735"/>
      <c r="AX407" s="3639">
        <f t="shared" ref="AX407:BI407" si="165">+AX43+AX53+AX54+AX69+AX239+AX330+AX331+AX332+AX333+AX367+AX368+AX371+AX383</f>
        <v>63.570000000000007</v>
      </c>
      <c r="AY407" s="3639">
        <f t="shared" si="165"/>
        <v>22.922523855999998</v>
      </c>
      <c r="AZ407" s="3639">
        <f t="shared" si="165"/>
        <v>30.126872148</v>
      </c>
      <c r="BA407" s="3639">
        <f t="shared" si="165"/>
        <v>23.954199784</v>
      </c>
      <c r="BB407" s="3639">
        <f t="shared" si="165"/>
        <v>68.222512531999982</v>
      </c>
      <c r="BC407" s="3639">
        <f t="shared" si="165"/>
        <v>9.1726518919999993</v>
      </c>
      <c r="BD407" s="3639">
        <f t="shared" si="165"/>
        <v>22.701803420000001</v>
      </c>
      <c r="BE407" s="3639">
        <f t="shared" si="165"/>
        <v>6.3485793280000005</v>
      </c>
      <c r="BF407" s="3639">
        <f t="shared" si="165"/>
        <v>48.633913003999993</v>
      </c>
      <c r="BG407" s="3639">
        <f t="shared" si="165"/>
        <v>43.379958239999993</v>
      </c>
      <c r="BH407" s="3639">
        <f t="shared" si="165"/>
        <v>31.487168619999995</v>
      </c>
      <c r="BI407" s="3639">
        <f t="shared" si="165"/>
        <v>35.844782220000013</v>
      </c>
      <c r="BJ407" s="3639">
        <f t="shared" ref="BJ407:CD407" si="166">+BJ43+BJ53+BJ54+BJ69+BJ239+BJ330+BJ331+BJ332+BJ333+BJ367+BJ368+BJ371+BJ383</f>
        <v>27.514348019999996</v>
      </c>
      <c r="BK407" s="3639">
        <f t="shared" si="166"/>
        <v>0</v>
      </c>
      <c r="BL407" s="3639">
        <f t="shared" si="166"/>
        <v>0</v>
      </c>
      <c r="BM407" s="3639">
        <f t="shared" si="166"/>
        <v>0</v>
      </c>
      <c r="BN407" s="3639">
        <f t="shared" si="166"/>
        <v>0</v>
      </c>
      <c r="BO407" s="3647">
        <f t="shared" si="166"/>
        <v>0</v>
      </c>
      <c r="BP407" s="3647">
        <f t="shared" si="166"/>
        <v>0</v>
      </c>
      <c r="BQ407" s="3647">
        <f t="shared" si="166"/>
        <v>0</v>
      </c>
      <c r="BR407" s="3647">
        <f t="shared" si="166"/>
        <v>0</v>
      </c>
      <c r="BS407" s="3647">
        <f t="shared" si="166"/>
        <v>0</v>
      </c>
      <c r="BT407" s="3647">
        <f t="shared" si="166"/>
        <v>0</v>
      </c>
      <c r="BU407" s="3647">
        <f t="shared" si="166"/>
        <v>0</v>
      </c>
      <c r="BV407" s="3647">
        <f t="shared" si="166"/>
        <v>0</v>
      </c>
      <c r="BW407" s="3647">
        <f t="shared" si="166"/>
        <v>0</v>
      </c>
      <c r="BX407" s="3647">
        <f t="shared" si="166"/>
        <v>0</v>
      </c>
      <c r="BY407" s="3647">
        <f t="shared" si="166"/>
        <v>0</v>
      </c>
      <c r="BZ407" s="3647">
        <f t="shared" si="166"/>
        <v>0</v>
      </c>
      <c r="CA407" s="3647">
        <f t="shared" si="166"/>
        <v>0</v>
      </c>
      <c r="CB407" s="3647">
        <f t="shared" si="166"/>
        <v>0</v>
      </c>
      <c r="CC407" s="3647">
        <f t="shared" si="166"/>
        <v>0</v>
      </c>
      <c r="CD407" s="3647">
        <f t="shared" si="166"/>
        <v>0</v>
      </c>
      <c r="CE407" s="3731"/>
      <c r="CF407" s="3711">
        <f t="shared" si="144"/>
        <v>433.87931306399997</v>
      </c>
      <c r="CG407" s="3183">
        <f t="shared" si="163"/>
        <v>6.8693600002234234E-4</v>
      </c>
    </row>
    <row r="408" spans="1:85" ht="23.25" customHeight="1">
      <c r="A408" s="107"/>
      <c r="B408" s="107"/>
      <c r="C408" s="2012"/>
      <c r="D408" s="900"/>
      <c r="E408" s="888" t="s">
        <v>6000</v>
      </c>
      <c r="F408" s="900"/>
      <c r="G408" s="900"/>
      <c r="H408" s="900"/>
      <c r="I408" s="962"/>
      <c r="J408" s="900"/>
      <c r="K408" s="3505"/>
      <c r="L408" s="107"/>
      <c r="M408" s="107"/>
      <c r="N408" s="3639">
        <f>+N49</f>
        <v>108.35</v>
      </c>
      <c r="O408" s="3735"/>
      <c r="P408" s="3735"/>
      <c r="Q408" s="3735"/>
      <c r="R408" s="3735"/>
      <c r="S408" s="3735"/>
      <c r="T408" s="3735"/>
      <c r="U408" s="3735"/>
      <c r="V408" s="3735"/>
      <c r="W408" s="3735"/>
      <c r="X408" s="3735"/>
      <c r="Y408" s="3735"/>
      <c r="Z408" s="3735"/>
      <c r="AA408" s="3735"/>
      <c r="AB408" s="3735"/>
      <c r="AC408" s="3735"/>
      <c r="AD408" s="3735"/>
      <c r="AE408" s="3735"/>
      <c r="AF408" s="3735"/>
      <c r="AG408" s="3735"/>
      <c r="AH408" s="3735"/>
      <c r="AI408" s="3735"/>
      <c r="AJ408" s="3735"/>
      <c r="AK408" s="3735"/>
      <c r="AL408" s="3735"/>
      <c r="AM408" s="3735"/>
      <c r="AN408" s="3735"/>
      <c r="AO408" s="3735"/>
      <c r="AP408" s="3735"/>
      <c r="AQ408" s="3735"/>
      <c r="AR408" s="3735"/>
      <c r="AS408" s="3735"/>
      <c r="AT408" s="3735"/>
      <c r="AU408" s="3735"/>
      <c r="AV408" s="3735"/>
      <c r="AW408" s="3735"/>
      <c r="AX408" s="3639">
        <f t="shared" ref="AX408:BI408" si="167">+AX49</f>
        <v>108.35</v>
      </c>
      <c r="AY408" s="3639">
        <f t="shared" si="167"/>
        <v>0</v>
      </c>
      <c r="AZ408" s="3639">
        <f t="shared" si="167"/>
        <v>0</v>
      </c>
      <c r="BA408" s="3639">
        <f t="shared" si="167"/>
        <v>0</v>
      </c>
      <c r="BB408" s="3639">
        <f t="shared" si="167"/>
        <v>0</v>
      </c>
      <c r="BC408" s="3639">
        <f t="shared" si="167"/>
        <v>0</v>
      </c>
      <c r="BD408" s="3639">
        <f t="shared" si="167"/>
        <v>0</v>
      </c>
      <c r="BE408" s="3639">
        <f t="shared" si="167"/>
        <v>0</v>
      </c>
      <c r="BF408" s="3639">
        <f t="shared" si="167"/>
        <v>0</v>
      </c>
      <c r="BG408" s="3639">
        <f t="shared" si="167"/>
        <v>0</v>
      </c>
      <c r="BH408" s="3639">
        <f t="shared" si="167"/>
        <v>0</v>
      </c>
      <c r="BI408" s="3639">
        <f t="shared" si="167"/>
        <v>0</v>
      </c>
      <c r="BJ408" s="3639">
        <f t="shared" ref="BJ408:CD408" si="168">+BJ49</f>
        <v>0</v>
      </c>
      <c r="BK408" s="3639">
        <f t="shared" si="168"/>
        <v>0</v>
      </c>
      <c r="BL408" s="3639">
        <f t="shared" si="168"/>
        <v>0</v>
      </c>
      <c r="BM408" s="3639">
        <f t="shared" si="168"/>
        <v>0</v>
      </c>
      <c r="BN408" s="3639">
        <f t="shared" si="168"/>
        <v>0</v>
      </c>
      <c r="BO408" s="3647">
        <f t="shared" si="168"/>
        <v>0</v>
      </c>
      <c r="BP408" s="3647">
        <f t="shared" si="168"/>
        <v>0</v>
      </c>
      <c r="BQ408" s="3647">
        <f t="shared" si="168"/>
        <v>0</v>
      </c>
      <c r="BR408" s="3647">
        <f t="shared" si="168"/>
        <v>0</v>
      </c>
      <c r="BS408" s="3647">
        <f t="shared" si="168"/>
        <v>0</v>
      </c>
      <c r="BT408" s="3647">
        <f t="shared" si="168"/>
        <v>0</v>
      </c>
      <c r="BU408" s="3647">
        <f t="shared" si="168"/>
        <v>0</v>
      </c>
      <c r="BV408" s="3647">
        <f t="shared" si="168"/>
        <v>0</v>
      </c>
      <c r="BW408" s="3647">
        <f t="shared" si="168"/>
        <v>0</v>
      </c>
      <c r="BX408" s="3647">
        <f t="shared" si="168"/>
        <v>0</v>
      </c>
      <c r="BY408" s="3647">
        <f t="shared" si="168"/>
        <v>0</v>
      </c>
      <c r="BZ408" s="3647">
        <f t="shared" si="168"/>
        <v>0</v>
      </c>
      <c r="CA408" s="3647">
        <f t="shared" si="168"/>
        <v>0</v>
      </c>
      <c r="CB408" s="3647">
        <f t="shared" si="168"/>
        <v>0</v>
      </c>
      <c r="CC408" s="3647">
        <f t="shared" si="168"/>
        <v>0</v>
      </c>
      <c r="CD408" s="3647">
        <f t="shared" si="168"/>
        <v>0</v>
      </c>
      <c r="CE408" s="3731"/>
      <c r="CF408" s="3711">
        <f t="shared" si="144"/>
        <v>108.35</v>
      </c>
      <c r="CG408" s="3183">
        <f t="shared" si="163"/>
        <v>0</v>
      </c>
    </row>
    <row r="409" spans="1:85" ht="19.5" customHeight="1">
      <c r="A409" s="107"/>
      <c r="B409" s="107"/>
      <c r="C409" s="2012"/>
      <c r="D409" s="900"/>
      <c r="E409" s="888" t="s">
        <v>203</v>
      </c>
      <c r="F409" s="900"/>
      <c r="G409" s="900"/>
      <c r="H409" s="900"/>
      <c r="I409" s="962"/>
      <c r="J409" s="900"/>
      <c r="K409" s="3505"/>
      <c r="L409" s="107"/>
      <c r="M409" s="107"/>
      <c r="N409" s="3639">
        <f>+N73+N137+N268</f>
        <v>43.78</v>
      </c>
      <c r="O409" s="3735"/>
      <c r="P409" s="3735"/>
      <c r="Q409" s="3735"/>
      <c r="R409" s="3735"/>
      <c r="S409" s="3735"/>
      <c r="T409" s="3735"/>
      <c r="U409" s="3735"/>
      <c r="V409" s="3735"/>
      <c r="W409" s="3735"/>
      <c r="X409" s="3735"/>
      <c r="Y409" s="3735"/>
      <c r="Z409" s="3735"/>
      <c r="AA409" s="3735"/>
      <c r="AB409" s="3735"/>
      <c r="AC409" s="3735"/>
      <c r="AD409" s="3735"/>
      <c r="AE409" s="3735"/>
      <c r="AF409" s="3735"/>
      <c r="AG409" s="3735"/>
      <c r="AH409" s="3735"/>
      <c r="AI409" s="3735"/>
      <c r="AJ409" s="3735"/>
      <c r="AK409" s="3735"/>
      <c r="AL409" s="3735"/>
      <c r="AM409" s="3735"/>
      <c r="AN409" s="3735"/>
      <c r="AO409" s="3735"/>
      <c r="AP409" s="3735"/>
      <c r="AQ409" s="3735"/>
      <c r="AR409" s="3735"/>
      <c r="AS409" s="3735"/>
      <c r="AT409" s="3735"/>
      <c r="AU409" s="3735"/>
      <c r="AV409" s="3735"/>
      <c r="AW409" s="3735"/>
      <c r="AX409" s="3639">
        <f t="shared" ref="AX409:BI409" si="169">+AX73+AX137+AX268</f>
        <v>19.350000000000001</v>
      </c>
      <c r="AY409" s="3639">
        <f t="shared" si="169"/>
        <v>1.5</v>
      </c>
      <c r="AZ409" s="3639">
        <f t="shared" si="169"/>
        <v>1.8</v>
      </c>
      <c r="BA409" s="3639">
        <f t="shared" si="169"/>
        <v>1.6</v>
      </c>
      <c r="BB409" s="3639">
        <f t="shared" si="169"/>
        <v>6.46</v>
      </c>
      <c r="BC409" s="3639">
        <f t="shared" si="169"/>
        <v>0</v>
      </c>
      <c r="BD409" s="3639">
        <f t="shared" si="169"/>
        <v>1.48</v>
      </c>
      <c r="BE409" s="3639">
        <f t="shared" si="169"/>
        <v>0</v>
      </c>
      <c r="BF409" s="3639">
        <f t="shared" si="169"/>
        <v>3.75</v>
      </c>
      <c r="BG409" s="3639">
        <f t="shared" si="169"/>
        <v>2.34</v>
      </c>
      <c r="BH409" s="3639">
        <f t="shared" si="169"/>
        <v>1.84</v>
      </c>
      <c r="BI409" s="3639">
        <f t="shared" si="169"/>
        <v>1.84</v>
      </c>
      <c r="BJ409" s="3639">
        <f t="shared" ref="BJ409:CD409" si="170">+BJ73+BJ137+BJ268</f>
        <v>1.82</v>
      </c>
      <c r="BK409" s="3639">
        <f t="shared" si="170"/>
        <v>0</v>
      </c>
      <c r="BL409" s="3639">
        <f t="shared" si="170"/>
        <v>0</v>
      </c>
      <c r="BM409" s="3639">
        <f t="shared" si="170"/>
        <v>0</v>
      </c>
      <c r="BN409" s="3639">
        <f t="shared" si="170"/>
        <v>0</v>
      </c>
      <c r="BO409" s="3647">
        <f t="shared" si="170"/>
        <v>0</v>
      </c>
      <c r="BP409" s="3647">
        <f t="shared" si="170"/>
        <v>0</v>
      </c>
      <c r="BQ409" s="3647">
        <f t="shared" si="170"/>
        <v>0</v>
      </c>
      <c r="BR409" s="3647">
        <f t="shared" si="170"/>
        <v>0</v>
      </c>
      <c r="BS409" s="3647">
        <f t="shared" si="170"/>
        <v>0</v>
      </c>
      <c r="BT409" s="3647">
        <f t="shared" si="170"/>
        <v>0</v>
      </c>
      <c r="BU409" s="3647">
        <f t="shared" si="170"/>
        <v>0</v>
      </c>
      <c r="BV409" s="3647">
        <f t="shared" si="170"/>
        <v>0</v>
      </c>
      <c r="BW409" s="3647">
        <f t="shared" si="170"/>
        <v>0</v>
      </c>
      <c r="BX409" s="3647">
        <f t="shared" si="170"/>
        <v>0</v>
      </c>
      <c r="BY409" s="3647">
        <f t="shared" si="170"/>
        <v>0</v>
      </c>
      <c r="BZ409" s="3647">
        <f t="shared" si="170"/>
        <v>0</v>
      </c>
      <c r="CA409" s="3647">
        <f t="shared" si="170"/>
        <v>0</v>
      </c>
      <c r="CB409" s="3647">
        <f t="shared" si="170"/>
        <v>0</v>
      </c>
      <c r="CC409" s="3647">
        <f t="shared" si="170"/>
        <v>0</v>
      </c>
      <c r="CD409" s="3647">
        <f t="shared" si="170"/>
        <v>0</v>
      </c>
      <c r="CE409" s="3731"/>
      <c r="CF409" s="3711">
        <f t="shared" si="144"/>
        <v>43.780000000000008</v>
      </c>
      <c r="CG409" s="3183">
        <f t="shared" si="163"/>
        <v>0</v>
      </c>
    </row>
    <row r="410" spans="1:85" ht="22.5" customHeight="1">
      <c r="A410" s="107"/>
      <c r="B410" s="107"/>
      <c r="C410" s="2012"/>
      <c r="D410" s="900"/>
      <c r="E410" s="888" t="s">
        <v>65</v>
      </c>
      <c r="F410" s="900"/>
      <c r="G410" s="900"/>
      <c r="H410" s="900"/>
      <c r="I410" s="962"/>
      <c r="J410" s="900"/>
      <c r="K410" s="3505"/>
      <c r="L410" s="107"/>
      <c r="M410" s="107"/>
      <c r="N410" s="3639">
        <f>+N15+N16+N44+N48+N61+N62+N63+N64+N65+N66+N67+N68+N70+N71+N72+N78+N79+N80+N81+N82+N83+N84+N85+N86+N94+N95+N96+N97+N98+N99+N100+N101+N102+N103+N104+N105+N106+N109+N112+N113+N114+N115+N116+N117+N118+N119+N120+N121+N122+N123+N131+N133+N134+N135+N136+N138+N139+N140+N141+N148+N149+N150+N151+N152+N155+N156+N159+N164+N165+N168+N172+N173+N176+N177+N179+N180+N181+N182+N183+N191+N192+N193+N194+N195+N196+N197+N198+N202+N203+N240+N242+N243+N244+N245+N246+N247+N248+N262+N271+N272+N273+N276+N277+N278+N279+N280+N281+N282+N283+N284+N285+N286+N289+N290+N291+N292+N293+N294+N295+N296+N297+N299+N300+N302+N303+N304+N305+N306+N307+N309+N310+N311+N312+N313+N317+N319+N320+N321+N322+N323+N324+N325+N326+N327+N328+N329+N337+N341+N342+N343+N391+N397+N398+N399+N400+N401+N402+N404</f>
        <v>37575.20238000001</v>
      </c>
      <c r="O410" s="3735"/>
      <c r="P410" s="3735"/>
      <c r="Q410" s="3735"/>
      <c r="R410" s="3735"/>
      <c r="S410" s="3735"/>
      <c r="T410" s="3735"/>
      <c r="U410" s="3735"/>
      <c r="V410" s="3735"/>
      <c r="W410" s="3735"/>
      <c r="X410" s="3735"/>
      <c r="Y410" s="3735"/>
      <c r="Z410" s="3735"/>
      <c r="AA410" s="3735"/>
      <c r="AB410" s="3735"/>
      <c r="AC410" s="3735"/>
      <c r="AD410" s="3735"/>
      <c r="AE410" s="3735"/>
      <c r="AF410" s="3735"/>
      <c r="AG410" s="3735"/>
      <c r="AH410" s="3735"/>
      <c r="AI410" s="3735"/>
      <c r="AJ410" s="3735"/>
      <c r="AK410" s="3735"/>
      <c r="AL410" s="3735"/>
      <c r="AM410" s="3735"/>
      <c r="AN410" s="3735"/>
      <c r="AO410" s="3735"/>
      <c r="AP410" s="3735"/>
      <c r="AQ410" s="3735"/>
      <c r="AR410" s="3735"/>
      <c r="AS410" s="3735"/>
      <c r="AT410" s="3735"/>
      <c r="AU410" s="3735"/>
      <c r="AV410" s="3735"/>
      <c r="AW410" s="3735"/>
      <c r="AX410" s="3639">
        <f>+AX15+AX16+AX44+AX48+AX61+AX62+AX63+AX64+AX65+AX66+AX67+AX68+AX70+AX71+AX72+AX78+AX79+AX80+AX81+AX82+AX83+AX84+AX85+AX86+AX94+AX95+AX96+AX97+AX98+AX99+AX100+AX101+AX102+AX103+AX104+AX105+AX106+AX109+AX112+AX113+AX114+AX115+AX116+AX117+AX118+AX119+AX120+AX121+AX122+AX123+AX131+AX133+AX134+AX135+AX136+AX138+AX139+AX140+AX141+AX148+AX149+AX150+AX151+AX152+AX155+AX156+AX159+AX160+AX161+AX162+AX163+AX164+AX165++AX166+AX167+AX168+AX169+AX170+AX171+AX172+AX173+AX174+AX175+AX176+AX177+AX178+AX179+AX180+AX181+AX182+AX183++AX184+AX185+AX186+AX187+AX188+AX189+AX190+AX191+AX192+AX193+AX194+AX195+AX196+AX197+AX198+AX202+AX203+AX240+AX242+AX243+AX244+AX245+AX246+AX247+AX248+AX262+AX271+AX272+AX273+AX276+AX277+AX278+AX279+AX280+AX281+AX282+AX283+AX284+AX285+AX286+AX289+AX290+AX291+AX292+AX293+AX294+AX295+AX296+AX297+AX299+AX300+AX302+AX303+AX304+AX305+AX306+AX307+AX309+AX310+AX311+AX312+AX313+AX317+AX319+AX320+AX321+AX322+AX323+AX324+AX325+AX326+AX327+AX328+AX329+AX337+AX341+AX342+AX343+AX391+AX397+AX398+AX399+AX400+AX401+AX402+AX404</f>
        <v>25065.810000000009</v>
      </c>
      <c r="AY410" s="3639">
        <f t="shared" ref="AY410:CD410" si="171">+AY15+AY16+AY44+AY48+AY61+AY62+AY63+AY64+AY65+AY66+AY67+AY68+AY70+AY71+AY72+AY78+AY79+AY80+AY81+AY82+AY83+AY84+AY85+AY86+AY94+AY95+AY96+AY97+AY98+AY99+AY100+AY101+AY102+AY103+AY104+AY105+AY106+AY109+AY112+AY113+AY114+AY115+AY116+AY117+AY118+AY119+AY120+AY121+AY122+AY123+AY131+AY133+AY134+AY135+AY136+AY138+AY139+AY140+AY141+AY148+AY149+AY150+AY151+AY152+AY155+AY156+AY159+AY160+AY161+AY162+AY163+AY164+AY165++AY166+AY167+AY168+AY169+AY170+AY171+AY172+AY173+AY174+AY175+AY176+AY177+AY178+AY179+AY180+AY181+AY182+AY183++AY184+AY185+AY186+AY187+AY188+AY189+AY190+AY191+AY192+AY193+AY194+AY195+AY196+AY197+AY198+AY202+AY203+AY240+AY242+AY243+AY244+AY245+AY246+AY247+AY248+AY262+AY271+AY272+AY273+AY276+AY277+AY278+AY279+AY280+AY281+AY282+AY283+AY284+AY285+AY286+AY289+AY290+AY291+AY292+AY293+AY294+AY295+AY296+AY297+AY299+AY300+AY302+AY303+AY304+AY305+AY306+AY307+AY309+AY310+AY311+AY312+AY313+AY317+AY319+AY320+AY321+AY322+AY323+AY324+AY325+AY326+AY327+AY328+AY329+AY337+AY341+AY342+AY343+AY391+AY397+AY398+AY399+AY400+AY401+AY402+AY404</f>
        <v>558.47686000000022</v>
      </c>
      <c r="AZ410" s="3639">
        <f t="shared" si="171"/>
        <v>890.52191600000037</v>
      </c>
      <c r="BA410" s="3639">
        <f t="shared" si="171"/>
        <v>648.50531200000012</v>
      </c>
      <c r="BB410" s="3639">
        <f t="shared" si="171"/>
        <v>2085.8809240000001</v>
      </c>
      <c r="BC410" s="3639">
        <f t="shared" si="171"/>
        <v>377.93241199999994</v>
      </c>
      <c r="BD410" s="3639">
        <f t="shared" si="171"/>
        <v>658.23368400000004</v>
      </c>
      <c r="BE410" s="3639">
        <f t="shared" si="171"/>
        <v>238.17887599999997</v>
      </c>
      <c r="BF410" s="3639">
        <f t="shared" si="171"/>
        <v>1991.6611139999995</v>
      </c>
      <c r="BG410" s="3639">
        <f t="shared" si="171"/>
        <v>1279.752246</v>
      </c>
      <c r="BH410" s="3639">
        <f t="shared" si="171"/>
        <v>743.2765820000003</v>
      </c>
      <c r="BI410" s="3639">
        <f t="shared" si="171"/>
        <v>714.90135599999996</v>
      </c>
      <c r="BJ410" s="3639">
        <f t="shared" si="171"/>
        <v>620.55616000000009</v>
      </c>
      <c r="BK410" s="3639">
        <f t="shared" si="171"/>
        <v>187.06</v>
      </c>
      <c r="BL410" s="3639">
        <f t="shared" si="171"/>
        <v>253.09</v>
      </c>
      <c r="BM410" s="3639">
        <f t="shared" si="171"/>
        <v>122.55</v>
      </c>
      <c r="BN410" s="3639">
        <f t="shared" si="171"/>
        <v>131.47</v>
      </c>
      <c r="BO410" s="3647">
        <f t="shared" si="171"/>
        <v>94.009999999999991</v>
      </c>
      <c r="BP410" s="3647">
        <f t="shared" si="171"/>
        <v>93.009999999999991</v>
      </c>
      <c r="BQ410" s="3647">
        <f t="shared" si="171"/>
        <v>122.74</v>
      </c>
      <c r="BR410" s="3647">
        <f t="shared" si="171"/>
        <v>77.63000000000001</v>
      </c>
      <c r="BS410" s="3647">
        <f t="shared" si="171"/>
        <v>48.24</v>
      </c>
      <c r="BT410" s="3647">
        <f t="shared" si="171"/>
        <v>58.03</v>
      </c>
      <c r="BU410" s="3647">
        <f t="shared" si="171"/>
        <v>77.510000000000005</v>
      </c>
      <c r="BV410" s="3647">
        <f t="shared" si="171"/>
        <v>99.8</v>
      </c>
      <c r="BW410" s="3647">
        <f t="shared" si="171"/>
        <v>45.03</v>
      </c>
      <c r="BX410" s="3647">
        <f t="shared" si="171"/>
        <v>64.650000000000006</v>
      </c>
      <c r="BY410" s="3647">
        <f t="shared" si="171"/>
        <v>44.8</v>
      </c>
      <c r="BZ410" s="3647">
        <f t="shared" si="171"/>
        <v>64.03</v>
      </c>
      <c r="CA410" s="3647">
        <f t="shared" si="171"/>
        <v>10.199999999999999</v>
      </c>
      <c r="CB410" s="3647">
        <f t="shared" si="171"/>
        <v>76.06</v>
      </c>
      <c r="CC410" s="3647">
        <f t="shared" si="171"/>
        <v>15.8</v>
      </c>
      <c r="CD410" s="3647">
        <f t="shared" si="171"/>
        <v>15.8</v>
      </c>
      <c r="CE410" s="3731"/>
      <c r="CF410" s="3711">
        <f t="shared" si="144"/>
        <v>37575.197442000012</v>
      </c>
      <c r="CG410" s="3183">
        <f t="shared" si="163"/>
        <v>4.9379999982193112E-3</v>
      </c>
    </row>
    <row r="411" spans="1:85" ht="17.25" customHeight="1">
      <c r="A411" s="107"/>
      <c r="B411" s="107"/>
      <c r="C411" s="2012"/>
      <c r="D411" s="900"/>
      <c r="E411" s="888" t="s">
        <v>288</v>
      </c>
      <c r="F411" s="900"/>
      <c r="G411" s="900"/>
      <c r="H411" s="900"/>
      <c r="I411" s="962"/>
      <c r="J411" s="900"/>
      <c r="K411" s="3505"/>
      <c r="L411" s="107"/>
      <c r="M411" s="107"/>
      <c r="N411" s="3639">
        <f>+N249+N250+N251+N269+N270+N384</f>
        <v>43.85</v>
      </c>
      <c r="O411" s="3735"/>
      <c r="P411" s="3735"/>
      <c r="Q411" s="3735"/>
      <c r="R411" s="3735"/>
      <c r="S411" s="3735"/>
      <c r="T411" s="3735"/>
      <c r="U411" s="3735"/>
      <c r="V411" s="3735"/>
      <c r="W411" s="3735"/>
      <c r="X411" s="3735"/>
      <c r="Y411" s="3735"/>
      <c r="Z411" s="3735"/>
      <c r="AA411" s="3735"/>
      <c r="AB411" s="3735"/>
      <c r="AC411" s="3735"/>
      <c r="AD411" s="3735"/>
      <c r="AE411" s="3735"/>
      <c r="AF411" s="3735"/>
      <c r="AG411" s="3735"/>
      <c r="AH411" s="3735"/>
      <c r="AI411" s="3735"/>
      <c r="AJ411" s="3735"/>
      <c r="AK411" s="3735"/>
      <c r="AL411" s="3735"/>
      <c r="AM411" s="3735"/>
      <c r="AN411" s="3735"/>
      <c r="AO411" s="3735"/>
      <c r="AP411" s="3735"/>
      <c r="AQ411" s="3735"/>
      <c r="AR411" s="3735"/>
      <c r="AS411" s="3735"/>
      <c r="AT411" s="3735"/>
      <c r="AU411" s="3735"/>
      <c r="AV411" s="3735"/>
      <c r="AW411" s="3735"/>
      <c r="AX411" s="3639">
        <f t="shared" ref="AX411:BI411" si="172">+AX249+AX250+AX251+AX269+AX270+AX384</f>
        <v>20</v>
      </c>
      <c r="AY411" s="3639">
        <f t="shared" si="172"/>
        <v>1</v>
      </c>
      <c r="AZ411" s="3639">
        <f t="shared" si="172"/>
        <v>0.92999999999999994</v>
      </c>
      <c r="BA411" s="3639">
        <f t="shared" si="172"/>
        <v>1.8</v>
      </c>
      <c r="BB411" s="3639">
        <f t="shared" si="172"/>
        <v>3.6</v>
      </c>
      <c r="BC411" s="3639">
        <f t="shared" si="172"/>
        <v>0.90000000000000013</v>
      </c>
      <c r="BD411" s="3639">
        <f t="shared" si="172"/>
        <v>0.8</v>
      </c>
      <c r="BE411" s="3639">
        <f t="shared" si="172"/>
        <v>0.4</v>
      </c>
      <c r="BF411" s="3639">
        <f t="shared" si="172"/>
        <v>3.4</v>
      </c>
      <c r="BG411" s="3639">
        <f t="shared" si="172"/>
        <v>3.2</v>
      </c>
      <c r="BH411" s="3639">
        <f t="shared" si="172"/>
        <v>1.36</v>
      </c>
      <c r="BI411" s="3639">
        <f t="shared" si="172"/>
        <v>1.46</v>
      </c>
      <c r="BJ411" s="3639">
        <f t="shared" ref="BJ411:CD411" si="173">+BJ249+BJ250+BJ251+BJ269+BJ270+BJ384</f>
        <v>1</v>
      </c>
      <c r="BK411" s="3639">
        <f t="shared" si="173"/>
        <v>0</v>
      </c>
      <c r="BL411" s="3639">
        <f t="shared" si="173"/>
        <v>0</v>
      </c>
      <c r="BM411" s="3639">
        <f t="shared" si="173"/>
        <v>0</v>
      </c>
      <c r="BN411" s="3639">
        <f t="shared" si="173"/>
        <v>0</v>
      </c>
      <c r="BO411" s="3647">
        <f t="shared" si="173"/>
        <v>0</v>
      </c>
      <c r="BP411" s="3647">
        <f t="shared" si="173"/>
        <v>0</v>
      </c>
      <c r="BQ411" s="3647">
        <f t="shared" si="173"/>
        <v>0</v>
      </c>
      <c r="BR411" s="3647">
        <f t="shared" si="173"/>
        <v>2</v>
      </c>
      <c r="BS411" s="3647">
        <f t="shared" si="173"/>
        <v>0</v>
      </c>
      <c r="BT411" s="3647">
        <f t="shared" si="173"/>
        <v>0</v>
      </c>
      <c r="BU411" s="3647">
        <f t="shared" si="173"/>
        <v>0</v>
      </c>
      <c r="BV411" s="3647">
        <f t="shared" si="173"/>
        <v>2</v>
      </c>
      <c r="BW411" s="3647">
        <f t="shared" si="173"/>
        <v>0</v>
      </c>
      <c r="BX411" s="3647">
        <f t="shared" si="173"/>
        <v>0</v>
      </c>
      <c r="BY411" s="3647">
        <f t="shared" si="173"/>
        <v>0</v>
      </c>
      <c r="BZ411" s="3647">
        <f t="shared" si="173"/>
        <v>0</v>
      </c>
      <c r="CA411" s="3647">
        <f t="shared" si="173"/>
        <v>0</v>
      </c>
      <c r="CB411" s="3647">
        <f t="shared" si="173"/>
        <v>0</v>
      </c>
      <c r="CC411" s="3647">
        <f t="shared" si="173"/>
        <v>0</v>
      </c>
      <c r="CD411" s="3647">
        <f t="shared" si="173"/>
        <v>0</v>
      </c>
      <c r="CE411" s="3731"/>
      <c r="CF411" s="3711">
        <f t="shared" si="144"/>
        <v>43.85</v>
      </c>
      <c r="CG411" s="3183">
        <f t="shared" si="163"/>
        <v>0</v>
      </c>
    </row>
    <row r="412" spans="1:85" ht="24.75" customHeight="1">
      <c r="A412" s="107"/>
      <c r="B412" s="107"/>
      <c r="C412" s="2012"/>
      <c r="D412" s="900"/>
      <c r="E412" s="888" t="s">
        <v>109</v>
      </c>
      <c r="F412" s="900"/>
      <c r="G412" s="900"/>
      <c r="H412" s="900"/>
      <c r="I412" s="962"/>
      <c r="J412" s="900"/>
      <c r="K412" s="3505"/>
      <c r="L412" s="107"/>
      <c r="M412" s="107"/>
      <c r="N412" s="3639">
        <f>+N74+N88+N142+N143+N252+N267+N385+N396</f>
        <v>27.509999999999998</v>
      </c>
      <c r="O412" s="3735"/>
      <c r="P412" s="3735"/>
      <c r="Q412" s="3735"/>
      <c r="R412" s="3735"/>
      <c r="S412" s="3735"/>
      <c r="T412" s="3735"/>
      <c r="U412" s="3735"/>
      <c r="V412" s="3735"/>
      <c r="W412" s="3735"/>
      <c r="X412" s="3735"/>
      <c r="Y412" s="3735"/>
      <c r="Z412" s="3735"/>
      <c r="AA412" s="3735"/>
      <c r="AB412" s="3735"/>
      <c r="AC412" s="3735"/>
      <c r="AD412" s="3735"/>
      <c r="AE412" s="3735"/>
      <c r="AF412" s="3735"/>
      <c r="AG412" s="3735"/>
      <c r="AH412" s="3735"/>
      <c r="AI412" s="3735"/>
      <c r="AJ412" s="3735"/>
      <c r="AK412" s="3735"/>
      <c r="AL412" s="3735"/>
      <c r="AM412" s="3735"/>
      <c r="AN412" s="3735"/>
      <c r="AO412" s="3735"/>
      <c r="AP412" s="3735"/>
      <c r="AQ412" s="3735"/>
      <c r="AR412" s="3735"/>
      <c r="AS412" s="3735"/>
      <c r="AT412" s="3735"/>
      <c r="AU412" s="3735"/>
      <c r="AV412" s="3735"/>
      <c r="AW412" s="3735"/>
      <c r="AX412" s="3639">
        <f t="shared" ref="AX412:BI412" si="174">+AX74+AX88+AX142+AX143+AX252+AX267+AX385+AX396</f>
        <v>3.31</v>
      </c>
      <c r="AY412" s="3639">
        <f t="shared" si="174"/>
        <v>2.25</v>
      </c>
      <c r="AZ412" s="3639">
        <f t="shared" si="174"/>
        <v>1.52</v>
      </c>
      <c r="BA412" s="3639">
        <f t="shared" si="174"/>
        <v>2.0499999999999998</v>
      </c>
      <c r="BB412" s="3639">
        <f t="shared" si="174"/>
        <v>2.38</v>
      </c>
      <c r="BC412" s="3639">
        <f t="shared" si="174"/>
        <v>0</v>
      </c>
      <c r="BD412" s="3639">
        <f t="shared" si="174"/>
        <v>1.92</v>
      </c>
      <c r="BE412" s="3639">
        <f t="shared" si="174"/>
        <v>0</v>
      </c>
      <c r="BF412" s="3639">
        <f t="shared" si="174"/>
        <v>1.58</v>
      </c>
      <c r="BG412" s="3639">
        <f t="shared" si="174"/>
        <v>1.52</v>
      </c>
      <c r="BH412" s="3639">
        <f t="shared" si="174"/>
        <v>2.2599999999999998</v>
      </c>
      <c r="BI412" s="3639">
        <f t="shared" si="174"/>
        <v>3.46</v>
      </c>
      <c r="BJ412" s="3639">
        <f t="shared" ref="BJ412:CD412" si="175">+BJ74+BJ88+BJ142+BJ143+BJ252+BJ267+BJ385+BJ396</f>
        <v>2.2599999999999998</v>
      </c>
      <c r="BK412" s="3639">
        <f t="shared" si="175"/>
        <v>0.6</v>
      </c>
      <c r="BL412" s="3639">
        <f t="shared" si="175"/>
        <v>0.6</v>
      </c>
      <c r="BM412" s="3639">
        <f t="shared" si="175"/>
        <v>0</v>
      </c>
      <c r="BN412" s="3639">
        <f t="shared" si="175"/>
        <v>0</v>
      </c>
      <c r="BO412" s="3647">
        <f t="shared" si="175"/>
        <v>0</v>
      </c>
      <c r="BP412" s="3647">
        <f t="shared" si="175"/>
        <v>0</v>
      </c>
      <c r="BQ412" s="3647">
        <f t="shared" si="175"/>
        <v>0</v>
      </c>
      <c r="BR412" s="3647">
        <f t="shared" si="175"/>
        <v>0.6</v>
      </c>
      <c r="BS412" s="3647">
        <f t="shared" si="175"/>
        <v>0</v>
      </c>
      <c r="BT412" s="3647">
        <f t="shared" si="175"/>
        <v>0</v>
      </c>
      <c r="BU412" s="3647">
        <f t="shared" si="175"/>
        <v>0</v>
      </c>
      <c r="BV412" s="3647">
        <f t="shared" si="175"/>
        <v>0.6</v>
      </c>
      <c r="BW412" s="3647">
        <f t="shared" si="175"/>
        <v>0</v>
      </c>
      <c r="BX412" s="3647">
        <f t="shared" si="175"/>
        <v>0</v>
      </c>
      <c r="BY412" s="3647">
        <f t="shared" si="175"/>
        <v>0</v>
      </c>
      <c r="BZ412" s="3647">
        <f t="shared" si="175"/>
        <v>0.6</v>
      </c>
      <c r="CA412" s="3647">
        <f t="shared" si="175"/>
        <v>0</v>
      </c>
      <c r="CB412" s="3647">
        <f t="shared" si="175"/>
        <v>0</v>
      </c>
      <c r="CC412" s="3647">
        <f t="shared" si="175"/>
        <v>0</v>
      </c>
      <c r="CD412" s="3647">
        <f t="shared" si="175"/>
        <v>0</v>
      </c>
      <c r="CE412" s="3731"/>
      <c r="CF412" s="3711">
        <f t="shared" si="144"/>
        <v>27.510000000000005</v>
      </c>
      <c r="CG412" s="3183">
        <f t="shared" si="163"/>
        <v>0</v>
      </c>
    </row>
    <row r="413" spans="1:85" ht="24" customHeight="1">
      <c r="A413" s="107"/>
      <c r="B413" s="107"/>
      <c r="C413" s="2012"/>
      <c r="D413" s="900"/>
      <c r="E413" s="888" t="s">
        <v>141</v>
      </c>
      <c r="F413" s="900"/>
      <c r="G413" s="900"/>
      <c r="H413" s="900"/>
      <c r="I413" s="962"/>
      <c r="J413" s="900"/>
      <c r="K413" s="3505"/>
      <c r="L413" s="107"/>
      <c r="M413" s="107"/>
      <c r="N413" s="3639">
        <f>+N13+N75+N76+N77+N126+N127+N253</f>
        <v>15.620000000000001</v>
      </c>
      <c r="O413" s="3735"/>
      <c r="P413" s="3735"/>
      <c r="Q413" s="3735"/>
      <c r="R413" s="3735"/>
      <c r="S413" s="3735"/>
      <c r="T413" s="3735"/>
      <c r="U413" s="3735"/>
      <c r="V413" s="3735"/>
      <c r="W413" s="3735"/>
      <c r="X413" s="3735"/>
      <c r="Y413" s="3735"/>
      <c r="Z413" s="3735"/>
      <c r="AA413" s="3735"/>
      <c r="AB413" s="3735"/>
      <c r="AC413" s="3735"/>
      <c r="AD413" s="3735"/>
      <c r="AE413" s="3735"/>
      <c r="AF413" s="3735"/>
      <c r="AG413" s="3735"/>
      <c r="AH413" s="3735"/>
      <c r="AI413" s="3735"/>
      <c r="AJ413" s="3735"/>
      <c r="AK413" s="3735"/>
      <c r="AL413" s="3735"/>
      <c r="AM413" s="3735"/>
      <c r="AN413" s="3735"/>
      <c r="AO413" s="3735"/>
      <c r="AP413" s="3735"/>
      <c r="AQ413" s="3735"/>
      <c r="AR413" s="3735"/>
      <c r="AS413" s="3735"/>
      <c r="AT413" s="3735"/>
      <c r="AU413" s="3735"/>
      <c r="AV413" s="3735"/>
      <c r="AW413" s="3735"/>
      <c r="AX413" s="3639">
        <f t="shared" ref="AX413:BI413" si="176">+AX13+AX75+AX76+AX77+AX126+AX127+AX253</f>
        <v>2.78</v>
      </c>
      <c r="AY413" s="3639">
        <f t="shared" si="176"/>
        <v>0.72</v>
      </c>
      <c r="AZ413" s="3639">
        <f t="shared" si="176"/>
        <v>1.51</v>
      </c>
      <c r="BA413" s="3639">
        <f t="shared" si="176"/>
        <v>0.77</v>
      </c>
      <c r="BB413" s="3639">
        <f t="shared" si="176"/>
        <v>2.17</v>
      </c>
      <c r="BC413" s="3639">
        <f t="shared" si="176"/>
        <v>0.57000000000000006</v>
      </c>
      <c r="BD413" s="3639">
        <f t="shared" si="176"/>
        <v>0.77</v>
      </c>
      <c r="BE413" s="3639">
        <f t="shared" si="176"/>
        <v>0.35</v>
      </c>
      <c r="BF413" s="3639">
        <f t="shared" si="176"/>
        <v>1.34</v>
      </c>
      <c r="BG413" s="3639">
        <f t="shared" si="176"/>
        <v>1.34</v>
      </c>
      <c r="BH413" s="3639">
        <f t="shared" si="176"/>
        <v>1.3900000000000001</v>
      </c>
      <c r="BI413" s="3639">
        <f t="shared" si="176"/>
        <v>1.1499999999999999</v>
      </c>
      <c r="BJ413" s="3639">
        <f t="shared" ref="BJ413:CD413" si="177">+BJ13+BJ75+BJ76+BJ77+BJ126+BJ127+BJ253</f>
        <v>0.76</v>
      </c>
      <c r="BK413" s="3639">
        <f t="shared" si="177"/>
        <v>0</v>
      </c>
      <c r="BL413" s="3639">
        <f t="shared" si="177"/>
        <v>0</v>
      </c>
      <c r="BM413" s="3639">
        <f t="shared" si="177"/>
        <v>0</v>
      </c>
      <c r="BN413" s="3639">
        <f t="shared" si="177"/>
        <v>0</v>
      </c>
      <c r="BO413" s="3647">
        <f t="shared" si="177"/>
        <v>0</v>
      </c>
      <c r="BP413" s="3647">
        <f t="shared" si="177"/>
        <v>0</v>
      </c>
      <c r="BQ413" s="3647">
        <f t="shared" si="177"/>
        <v>0</v>
      </c>
      <c r="BR413" s="3647">
        <f t="shared" si="177"/>
        <v>0</v>
      </c>
      <c r="BS413" s="3647">
        <f t="shared" si="177"/>
        <v>0</v>
      </c>
      <c r="BT413" s="3647">
        <f t="shared" si="177"/>
        <v>0</v>
      </c>
      <c r="BU413" s="3647">
        <f t="shared" si="177"/>
        <v>0</v>
      </c>
      <c r="BV413" s="3647">
        <f t="shared" si="177"/>
        <v>0</v>
      </c>
      <c r="BW413" s="3647">
        <f t="shared" si="177"/>
        <v>0</v>
      </c>
      <c r="BX413" s="3647">
        <f t="shared" si="177"/>
        <v>0</v>
      </c>
      <c r="BY413" s="3647">
        <f t="shared" si="177"/>
        <v>0</v>
      </c>
      <c r="BZ413" s="3647">
        <f t="shared" si="177"/>
        <v>0</v>
      </c>
      <c r="CA413" s="3647">
        <f t="shared" si="177"/>
        <v>0</v>
      </c>
      <c r="CB413" s="3647">
        <f t="shared" si="177"/>
        <v>0</v>
      </c>
      <c r="CC413" s="3647">
        <f t="shared" si="177"/>
        <v>0</v>
      </c>
      <c r="CD413" s="3647">
        <f t="shared" si="177"/>
        <v>0</v>
      </c>
      <c r="CE413" s="3731"/>
      <c r="CF413" s="3711">
        <f t="shared" si="144"/>
        <v>15.62</v>
      </c>
      <c r="CG413" s="3183">
        <f t="shared" si="163"/>
        <v>0</v>
      </c>
    </row>
    <row r="414" spans="1:85" ht="18.75" customHeight="1">
      <c r="A414" s="107"/>
      <c r="B414" s="107"/>
      <c r="C414" s="2012"/>
      <c r="D414" s="900"/>
      <c r="E414" s="888" t="s">
        <v>4525</v>
      </c>
      <c r="F414" s="900"/>
      <c r="G414" s="900"/>
      <c r="H414" s="900"/>
      <c r="I414" s="962"/>
      <c r="J414" s="900"/>
      <c r="K414" s="3505"/>
      <c r="L414" s="107"/>
      <c r="M414" s="107"/>
      <c r="N414" s="3639">
        <f>+N14+N27+N35+N89+N90+N91+N92+N93+N110+N128+N132+N144+N145+N153+N157+N158+N254+N255+N266+N287+N288+N314+N315+N334+N335+N338+N339+N372+N374+N377+N378+N390+N403</f>
        <v>1478.0799999999997</v>
      </c>
      <c r="O414" s="3735"/>
      <c r="P414" s="3735"/>
      <c r="Q414" s="3735"/>
      <c r="R414" s="3735"/>
      <c r="S414" s="3735"/>
      <c r="T414" s="3735"/>
      <c r="U414" s="3735"/>
      <c r="V414" s="3735"/>
      <c r="W414" s="3735"/>
      <c r="X414" s="3735"/>
      <c r="Y414" s="3735"/>
      <c r="Z414" s="3735"/>
      <c r="AA414" s="3735"/>
      <c r="AB414" s="3735"/>
      <c r="AC414" s="3735"/>
      <c r="AD414" s="3735"/>
      <c r="AE414" s="3735"/>
      <c r="AF414" s="3735"/>
      <c r="AG414" s="3735"/>
      <c r="AH414" s="3735"/>
      <c r="AI414" s="3735"/>
      <c r="AJ414" s="3735"/>
      <c r="AK414" s="3735"/>
      <c r="AL414" s="3735"/>
      <c r="AM414" s="3735"/>
      <c r="AN414" s="3735"/>
      <c r="AO414" s="3735"/>
      <c r="AP414" s="3735"/>
      <c r="AQ414" s="3735"/>
      <c r="AR414" s="3735"/>
      <c r="AS414" s="3735"/>
      <c r="AT414" s="3735"/>
      <c r="AU414" s="3735"/>
      <c r="AV414" s="3735"/>
      <c r="AW414" s="3735"/>
      <c r="AX414" s="3639">
        <f t="shared" ref="AX414:BI414" si="178">+AX14+AX27+AX35+AX89+AX90+AX91+AX92+AX93+AX110+AX128+AX132+AX144+AX145+AX153+AX157+AX158+AX254+AX255+AX266+AX287+AX288+AX314+AX315+AX334+AX335+AX338+AX339+AX372+AX374+AX377+AX378+AX390+AX403</f>
        <v>187.85</v>
      </c>
      <c r="AY414" s="3639">
        <f t="shared" si="178"/>
        <v>38.53</v>
      </c>
      <c r="AZ414" s="3639">
        <f t="shared" si="178"/>
        <v>59.45</v>
      </c>
      <c r="BA414" s="3639">
        <f t="shared" si="178"/>
        <v>47.060000000000009</v>
      </c>
      <c r="BB414" s="3639">
        <f t="shared" si="178"/>
        <v>184.29999999999998</v>
      </c>
      <c r="BC414" s="3639">
        <f t="shared" si="178"/>
        <v>20.29</v>
      </c>
      <c r="BD414" s="3639">
        <f t="shared" si="178"/>
        <v>73.260000000000019</v>
      </c>
      <c r="BE414" s="3639">
        <f t="shared" si="178"/>
        <v>18.190000000000005</v>
      </c>
      <c r="BF414" s="3639">
        <f t="shared" si="178"/>
        <v>129.82000000000002</v>
      </c>
      <c r="BG414" s="3639">
        <f t="shared" si="178"/>
        <v>152.76000000000005</v>
      </c>
      <c r="BH414" s="3639">
        <f t="shared" si="178"/>
        <v>75.290000000000006</v>
      </c>
      <c r="BI414" s="3639">
        <f t="shared" si="178"/>
        <v>92.38000000000001</v>
      </c>
      <c r="BJ414" s="3639">
        <f t="shared" ref="BJ414:CD414" si="179">+BJ14+BJ27+BJ35+BJ89+BJ90+BJ91+BJ92+BJ93+BJ110+BJ128+BJ132+BJ144+BJ145+BJ153+BJ157+BJ158+BJ254+BJ255+BJ266+BJ287+BJ288+BJ314+BJ315+BJ334+BJ335+BJ338+BJ339+BJ372+BJ374+BJ377+BJ378+BJ390+BJ403</f>
        <v>54.300000000000004</v>
      </c>
      <c r="BK414" s="3639">
        <f t="shared" si="179"/>
        <v>0</v>
      </c>
      <c r="BL414" s="3639">
        <f t="shared" si="179"/>
        <v>55.36</v>
      </c>
      <c r="BM414" s="3639">
        <f t="shared" si="179"/>
        <v>0</v>
      </c>
      <c r="BN414" s="3639">
        <f t="shared" si="179"/>
        <v>0</v>
      </c>
      <c r="BO414" s="3647">
        <f t="shared" si="179"/>
        <v>0</v>
      </c>
      <c r="BP414" s="3647">
        <f t="shared" si="179"/>
        <v>0</v>
      </c>
      <c r="BQ414" s="3647">
        <f t="shared" si="179"/>
        <v>0</v>
      </c>
      <c r="BR414" s="3647">
        <f t="shared" si="179"/>
        <v>0</v>
      </c>
      <c r="BS414" s="3647">
        <f t="shared" si="179"/>
        <v>0</v>
      </c>
      <c r="BT414" s="3647">
        <f t="shared" si="179"/>
        <v>0</v>
      </c>
      <c r="BU414" s="3647">
        <f t="shared" si="179"/>
        <v>0</v>
      </c>
      <c r="BV414" s="3647">
        <f t="shared" si="179"/>
        <v>0</v>
      </c>
      <c r="BW414" s="3647">
        <f t="shared" si="179"/>
        <v>0</v>
      </c>
      <c r="BX414" s="3647">
        <f t="shared" si="179"/>
        <v>0</v>
      </c>
      <c r="BY414" s="3647">
        <f t="shared" si="179"/>
        <v>0</v>
      </c>
      <c r="BZ414" s="3647">
        <f t="shared" si="179"/>
        <v>0</v>
      </c>
      <c r="CA414" s="3647">
        <f t="shared" si="179"/>
        <v>280.05999999999995</v>
      </c>
      <c r="CB414" s="3647">
        <f t="shared" si="179"/>
        <v>0</v>
      </c>
      <c r="CC414" s="3647">
        <f t="shared" si="179"/>
        <v>5.51</v>
      </c>
      <c r="CD414" s="3647">
        <f t="shared" si="179"/>
        <v>3.67</v>
      </c>
      <c r="CE414" s="3731"/>
      <c r="CF414" s="3711">
        <f t="shared" si="144"/>
        <v>1478.08</v>
      </c>
      <c r="CG414" s="3183">
        <f t="shared" si="163"/>
        <v>0</v>
      </c>
    </row>
    <row r="415" spans="1:85" ht="21" customHeight="1">
      <c r="A415" s="107"/>
      <c r="B415" s="107"/>
      <c r="C415" s="2012"/>
      <c r="D415" s="900"/>
      <c r="E415" s="888" t="s">
        <v>3223</v>
      </c>
      <c r="F415" s="900"/>
      <c r="G415" s="900"/>
      <c r="H415" s="900"/>
      <c r="I415" s="962"/>
      <c r="J415" s="900"/>
      <c r="K415" s="3505"/>
      <c r="L415" s="107"/>
      <c r="M415" s="107"/>
      <c r="N415" s="3639">
        <f>+N38+N39+N40+N41+N146+N147+N336</f>
        <v>53.38000000000001</v>
      </c>
      <c r="O415" s="3735"/>
      <c r="P415" s="3735"/>
      <c r="Q415" s="3735"/>
      <c r="R415" s="3735"/>
      <c r="S415" s="3735"/>
      <c r="T415" s="3735"/>
      <c r="U415" s="3735"/>
      <c r="V415" s="3735"/>
      <c r="W415" s="3735"/>
      <c r="X415" s="3735"/>
      <c r="Y415" s="3735"/>
      <c r="Z415" s="3735"/>
      <c r="AA415" s="3735"/>
      <c r="AB415" s="3735"/>
      <c r="AC415" s="3735"/>
      <c r="AD415" s="3735"/>
      <c r="AE415" s="3735"/>
      <c r="AF415" s="3735"/>
      <c r="AG415" s="3735"/>
      <c r="AH415" s="3735"/>
      <c r="AI415" s="3735"/>
      <c r="AJ415" s="3735"/>
      <c r="AK415" s="3735"/>
      <c r="AL415" s="3735"/>
      <c r="AM415" s="3735"/>
      <c r="AN415" s="3735"/>
      <c r="AO415" s="3735"/>
      <c r="AP415" s="3735"/>
      <c r="AQ415" s="3735"/>
      <c r="AR415" s="3735"/>
      <c r="AS415" s="3735"/>
      <c r="AT415" s="3735"/>
      <c r="AU415" s="3735"/>
      <c r="AV415" s="3735"/>
      <c r="AW415" s="3735"/>
      <c r="AX415" s="3639">
        <f t="shared" ref="AX415:BI415" si="180">+AX38+AX39+AX40+AX41+AX146+AX147+AX336</f>
        <v>17.78</v>
      </c>
      <c r="AY415" s="3639">
        <f t="shared" si="180"/>
        <v>0.12</v>
      </c>
      <c r="AZ415" s="3639">
        <f t="shared" si="180"/>
        <v>0.12</v>
      </c>
      <c r="BA415" s="3639">
        <f t="shared" si="180"/>
        <v>0.12</v>
      </c>
      <c r="BB415" s="3639">
        <f t="shared" si="180"/>
        <v>0.12</v>
      </c>
      <c r="BC415" s="3639">
        <f t="shared" si="180"/>
        <v>0.7</v>
      </c>
      <c r="BD415" s="3639">
        <f t="shared" si="180"/>
        <v>0.12</v>
      </c>
      <c r="BE415" s="3639">
        <f t="shared" si="180"/>
        <v>0.7</v>
      </c>
      <c r="BF415" s="3639">
        <f t="shared" si="180"/>
        <v>0.12</v>
      </c>
      <c r="BG415" s="3639">
        <f t="shared" si="180"/>
        <v>0.12</v>
      </c>
      <c r="BH415" s="3639">
        <f t="shared" si="180"/>
        <v>0.12</v>
      </c>
      <c r="BI415" s="3639">
        <f t="shared" si="180"/>
        <v>0.12</v>
      </c>
      <c r="BJ415" s="3639">
        <f t="shared" ref="BJ415:CD415" si="181">+BJ38+BJ39+BJ40+BJ41+BJ146+BJ147+BJ336</f>
        <v>0.12</v>
      </c>
      <c r="BK415" s="3639">
        <f t="shared" si="181"/>
        <v>6</v>
      </c>
      <c r="BL415" s="3639">
        <f t="shared" si="181"/>
        <v>6</v>
      </c>
      <c r="BM415" s="3639">
        <f t="shared" si="181"/>
        <v>2.2000000000000002</v>
      </c>
      <c r="BN415" s="3639">
        <f t="shared" si="181"/>
        <v>2.2000000000000002</v>
      </c>
      <c r="BO415" s="3647">
        <f t="shared" si="181"/>
        <v>0</v>
      </c>
      <c r="BP415" s="3647">
        <f t="shared" si="181"/>
        <v>2.2000000000000002</v>
      </c>
      <c r="BQ415" s="3647">
        <f t="shared" si="181"/>
        <v>0</v>
      </c>
      <c r="BR415" s="3647">
        <f t="shared" si="181"/>
        <v>1.2</v>
      </c>
      <c r="BS415" s="3647">
        <f t="shared" si="181"/>
        <v>2.2000000000000002</v>
      </c>
      <c r="BT415" s="3647">
        <f t="shared" si="181"/>
        <v>0</v>
      </c>
      <c r="BU415" s="3647">
        <f t="shared" si="181"/>
        <v>1.2</v>
      </c>
      <c r="BV415" s="3647">
        <f t="shared" si="181"/>
        <v>4.2</v>
      </c>
      <c r="BW415" s="3647">
        <f t="shared" si="181"/>
        <v>2.2000000000000002</v>
      </c>
      <c r="BX415" s="3647">
        <f t="shared" si="181"/>
        <v>0</v>
      </c>
      <c r="BY415" s="3647">
        <f t="shared" si="181"/>
        <v>0</v>
      </c>
      <c r="BZ415" s="3647">
        <f t="shared" si="181"/>
        <v>1.2</v>
      </c>
      <c r="CA415" s="3647">
        <f t="shared" si="181"/>
        <v>0</v>
      </c>
      <c r="CB415" s="3647">
        <f t="shared" si="181"/>
        <v>2.2000000000000002</v>
      </c>
      <c r="CC415" s="3647">
        <f t="shared" si="181"/>
        <v>0</v>
      </c>
      <c r="CD415" s="3647">
        <f t="shared" si="181"/>
        <v>0</v>
      </c>
      <c r="CE415" s="3731"/>
      <c r="CF415" s="3711">
        <f t="shared" si="144"/>
        <v>53.380000000000038</v>
      </c>
      <c r="CG415" s="3183">
        <f t="shared" si="163"/>
        <v>0</v>
      </c>
    </row>
    <row r="416" spans="1:85" ht="19.5" customHeight="1">
      <c r="A416" s="107"/>
      <c r="B416" s="107"/>
      <c r="C416" s="2012"/>
      <c r="D416" s="900"/>
      <c r="E416" s="888" t="s">
        <v>81</v>
      </c>
      <c r="F416" s="900"/>
      <c r="G416" s="900"/>
      <c r="H416" s="900"/>
      <c r="I416" s="962"/>
      <c r="J416" s="900"/>
      <c r="K416" s="3505"/>
      <c r="L416" s="107"/>
      <c r="M416" s="107"/>
      <c r="N416" s="3639">
        <f>+N56+N57+N58+N340</f>
        <v>125.99000000000001</v>
      </c>
      <c r="O416" s="3735"/>
      <c r="P416" s="3735"/>
      <c r="Q416" s="3735"/>
      <c r="R416" s="3735"/>
      <c r="S416" s="3735"/>
      <c r="T416" s="3735"/>
      <c r="U416" s="3735"/>
      <c r="V416" s="3735"/>
      <c r="W416" s="3735"/>
      <c r="X416" s="3735"/>
      <c r="Y416" s="3735"/>
      <c r="Z416" s="3735"/>
      <c r="AA416" s="3735"/>
      <c r="AB416" s="3735"/>
      <c r="AC416" s="3735"/>
      <c r="AD416" s="3735"/>
      <c r="AE416" s="3735"/>
      <c r="AF416" s="3735"/>
      <c r="AG416" s="3735"/>
      <c r="AH416" s="3735"/>
      <c r="AI416" s="3735"/>
      <c r="AJ416" s="3735"/>
      <c r="AK416" s="3735"/>
      <c r="AL416" s="3735"/>
      <c r="AM416" s="3735"/>
      <c r="AN416" s="3735"/>
      <c r="AO416" s="3735"/>
      <c r="AP416" s="3735"/>
      <c r="AQ416" s="3735"/>
      <c r="AR416" s="3735"/>
      <c r="AS416" s="3735"/>
      <c r="AT416" s="3735"/>
      <c r="AU416" s="3735"/>
      <c r="AV416" s="3735"/>
      <c r="AW416" s="3735"/>
      <c r="AX416" s="3639">
        <f t="shared" ref="AX416:BI416" si="182">+AX56+AX57+AX58+AX340</f>
        <v>95.5</v>
      </c>
      <c r="AY416" s="3639">
        <f t="shared" si="182"/>
        <v>0</v>
      </c>
      <c r="AZ416" s="3639">
        <f t="shared" si="182"/>
        <v>0</v>
      </c>
      <c r="BA416" s="3639">
        <f t="shared" si="182"/>
        <v>0</v>
      </c>
      <c r="BB416" s="3639">
        <f t="shared" si="182"/>
        <v>0</v>
      </c>
      <c r="BC416" s="3639">
        <f t="shared" si="182"/>
        <v>0</v>
      </c>
      <c r="BD416" s="3639">
        <f t="shared" si="182"/>
        <v>0</v>
      </c>
      <c r="BE416" s="3639">
        <f t="shared" si="182"/>
        <v>0</v>
      </c>
      <c r="BF416" s="3639">
        <f t="shared" si="182"/>
        <v>0</v>
      </c>
      <c r="BG416" s="3639">
        <f t="shared" si="182"/>
        <v>2.5</v>
      </c>
      <c r="BH416" s="3639">
        <f t="shared" si="182"/>
        <v>0</v>
      </c>
      <c r="BI416" s="3639">
        <f t="shared" si="182"/>
        <v>5</v>
      </c>
      <c r="BJ416" s="3639">
        <f t="shared" ref="BJ416:CD416" si="183">+BJ56+BJ57+BJ58+BJ340</f>
        <v>20</v>
      </c>
      <c r="BK416" s="3639">
        <f t="shared" si="183"/>
        <v>2</v>
      </c>
      <c r="BL416" s="3639">
        <f t="shared" si="183"/>
        <v>0.99</v>
      </c>
      <c r="BM416" s="3639">
        <f t="shared" si="183"/>
        <v>0</v>
      </c>
      <c r="BN416" s="3639">
        <f t="shared" si="183"/>
        <v>0</v>
      </c>
      <c r="BO416" s="3647">
        <f t="shared" si="183"/>
        <v>0</v>
      </c>
      <c r="BP416" s="3647">
        <f t="shared" si="183"/>
        <v>0</v>
      </c>
      <c r="BQ416" s="3647">
        <f t="shared" si="183"/>
        <v>0</v>
      </c>
      <c r="BR416" s="3647">
        <f t="shared" si="183"/>
        <v>0</v>
      </c>
      <c r="BS416" s="3647">
        <f t="shared" si="183"/>
        <v>0</v>
      </c>
      <c r="BT416" s="3647">
        <f t="shared" si="183"/>
        <v>0</v>
      </c>
      <c r="BU416" s="3647">
        <f t="shared" si="183"/>
        <v>0</v>
      </c>
      <c r="BV416" s="3647">
        <f t="shared" si="183"/>
        <v>0</v>
      </c>
      <c r="BW416" s="3647">
        <f t="shared" si="183"/>
        <v>0</v>
      </c>
      <c r="BX416" s="3647">
        <f t="shared" si="183"/>
        <v>0</v>
      </c>
      <c r="BY416" s="3647">
        <f t="shared" si="183"/>
        <v>0</v>
      </c>
      <c r="BZ416" s="3647">
        <f t="shared" si="183"/>
        <v>0</v>
      </c>
      <c r="CA416" s="3647">
        <f t="shared" si="183"/>
        <v>0</v>
      </c>
      <c r="CB416" s="3647">
        <f t="shared" si="183"/>
        <v>0</v>
      </c>
      <c r="CC416" s="3647">
        <f t="shared" si="183"/>
        <v>0</v>
      </c>
      <c r="CD416" s="3647">
        <f t="shared" si="183"/>
        <v>0</v>
      </c>
      <c r="CE416" s="3731"/>
      <c r="CF416" s="3711">
        <f t="shared" si="144"/>
        <v>125.99</v>
      </c>
      <c r="CG416" s="3183">
        <f t="shared" si="163"/>
        <v>0</v>
      </c>
    </row>
    <row r="417" spans="1:85" ht="20.25" customHeight="1">
      <c r="A417" s="107"/>
      <c r="B417" s="107"/>
      <c r="C417" s="2012"/>
      <c r="D417" s="900"/>
      <c r="E417" s="888" t="s">
        <v>145</v>
      </c>
      <c r="F417" s="900"/>
      <c r="G417" s="900"/>
      <c r="H417" s="900"/>
      <c r="I417" s="962"/>
      <c r="J417" s="900"/>
      <c r="K417" s="3505"/>
      <c r="L417" s="107"/>
      <c r="M417" s="107"/>
      <c r="N417" s="3639">
        <f>+N55+N256+N386+N392</f>
        <v>27.509999999999998</v>
      </c>
      <c r="O417" s="3735"/>
      <c r="P417" s="3735"/>
      <c r="Q417" s="3735"/>
      <c r="R417" s="3735"/>
      <c r="S417" s="3735"/>
      <c r="T417" s="3735"/>
      <c r="U417" s="3735"/>
      <c r="V417" s="3735"/>
      <c r="W417" s="3735"/>
      <c r="X417" s="3735"/>
      <c r="Y417" s="3735"/>
      <c r="Z417" s="3735"/>
      <c r="AA417" s="3735"/>
      <c r="AB417" s="3735"/>
      <c r="AC417" s="3735"/>
      <c r="AD417" s="3735"/>
      <c r="AE417" s="3735"/>
      <c r="AF417" s="3735"/>
      <c r="AG417" s="3735"/>
      <c r="AH417" s="3735"/>
      <c r="AI417" s="3735"/>
      <c r="AJ417" s="3735"/>
      <c r="AK417" s="3735"/>
      <c r="AL417" s="3735"/>
      <c r="AM417" s="3735"/>
      <c r="AN417" s="3735"/>
      <c r="AO417" s="3735"/>
      <c r="AP417" s="3735"/>
      <c r="AQ417" s="3735"/>
      <c r="AR417" s="3735"/>
      <c r="AS417" s="3735"/>
      <c r="AT417" s="3735"/>
      <c r="AU417" s="3735"/>
      <c r="AV417" s="3735"/>
      <c r="AW417" s="3735"/>
      <c r="AX417" s="3639">
        <f t="shared" ref="AX417:BI417" si="184">+AX55+AX256+AX386+AX392</f>
        <v>25.11</v>
      </c>
      <c r="AY417" s="3639">
        <f t="shared" si="184"/>
        <v>0.15</v>
      </c>
      <c r="AZ417" s="3639">
        <f t="shared" si="184"/>
        <v>0.2</v>
      </c>
      <c r="BA417" s="3639">
        <f t="shared" si="184"/>
        <v>0.2</v>
      </c>
      <c r="BB417" s="3639">
        <f t="shared" si="184"/>
        <v>0.3</v>
      </c>
      <c r="BC417" s="3639">
        <f t="shared" si="184"/>
        <v>0.1</v>
      </c>
      <c r="BD417" s="3639">
        <f t="shared" si="184"/>
        <v>0.2</v>
      </c>
      <c r="BE417" s="3639">
        <f t="shared" si="184"/>
        <v>0.1</v>
      </c>
      <c r="BF417" s="3639">
        <f t="shared" si="184"/>
        <v>0.3</v>
      </c>
      <c r="BG417" s="3639">
        <f t="shared" si="184"/>
        <v>0.3</v>
      </c>
      <c r="BH417" s="3639">
        <f t="shared" si="184"/>
        <v>0.2</v>
      </c>
      <c r="BI417" s="3639">
        <f t="shared" si="184"/>
        <v>0.2</v>
      </c>
      <c r="BJ417" s="3639">
        <f t="shared" ref="BJ417:CD417" si="185">+BJ55+BJ256+BJ386+BJ392</f>
        <v>0.15</v>
      </c>
      <c r="BK417" s="3639">
        <f t="shared" si="185"/>
        <v>0</v>
      </c>
      <c r="BL417" s="3639">
        <f t="shared" si="185"/>
        <v>0</v>
      </c>
      <c r="BM417" s="3639">
        <f t="shared" si="185"/>
        <v>0</v>
      </c>
      <c r="BN417" s="3639">
        <f t="shared" si="185"/>
        <v>0</v>
      </c>
      <c r="BO417" s="3647">
        <f t="shared" si="185"/>
        <v>0</v>
      </c>
      <c r="BP417" s="3647">
        <f t="shared" si="185"/>
        <v>0</v>
      </c>
      <c r="BQ417" s="3647">
        <f t="shared" si="185"/>
        <v>0</v>
      </c>
      <c r="BR417" s="3647">
        <f t="shared" si="185"/>
        <v>0</v>
      </c>
      <c r="BS417" s="3647">
        <f t="shared" si="185"/>
        <v>0</v>
      </c>
      <c r="BT417" s="3647">
        <f t="shared" si="185"/>
        <v>0</v>
      </c>
      <c r="BU417" s="3647">
        <f t="shared" si="185"/>
        <v>0</v>
      </c>
      <c r="BV417" s="3647">
        <f t="shared" si="185"/>
        <v>0</v>
      </c>
      <c r="BW417" s="3647">
        <f t="shared" si="185"/>
        <v>0</v>
      </c>
      <c r="BX417" s="3647">
        <f t="shared" si="185"/>
        <v>0</v>
      </c>
      <c r="BY417" s="3647">
        <f t="shared" si="185"/>
        <v>0</v>
      </c>
      <c r="BZ417" s="3647">
        <f t="shared" si="185"/>
        <v>0</v>
      </c>
      <c r="CA417" s="3647">
        <f t="shared" si="185"/>
        <v>0</v>
      </c>
      <c r="CB417" s="3647">
        <f t="shared" si="185"/>
        <v>0</v>
      </c>
      <c r="CC417" s="3647">
        <f t="shared" si="185"/>
        <v>0</v>
      </c>
      <c r="CD417" s="3647">
        <f t="shared" si="185"/>
        <v>0</v>
      </c>
      <c r="CE417" s="3731"/>
      <c r="CF417" s="3711">
        <f t="shared" si="144"/>
        <v>27.509999999999998</v>
      </c>
      <c r="CG417" s="3183">
        <f t="shared" si="163"/>
        <v>0</v>
      </c>
    </row>
    <row r="418" spans="1:85" ht="21" customHeight="1">
      <c r="A418" s="107"/>
      <c r="B418" s="107"/>
      <c r="C418" s="2012"/>
      <c r="D418" s="900"/>
      <c r="E418" s="888" t="s">
        <v>394</v>
      </c>
      <c r="F418" s="900"/>
      <c r="G418" s="900"/>
      <c r="H418" s="900"/>
      <c r="I418" s="962"/>
      <c r="J418" s="900"/>
      <c r="K418" s="3505"/>
      <c r="L418" s="107"/>
      <c r="M418" s="107"/>
      <c r="N418" s="3639">
        <f>+N257+N258</f>
        <v>7</v>
      </c>
      <c r="O418" s="3735"/>
      <c r="P418" s="3735"/>
      <c r="Q418" s="3735"/>
      <c r="R418" s="3735"/>
      <c r="S418" s="3735"/>
      <c r="T418" s="3735"/>
      <c r="U418" s="3735"/>
      <c r="V418" s="3735"/>
      <c r="W418" s="3735"/>
      <c r="X418" s="3735"/>
      <c r="Y418" s="3735"/>
      <c r="Z418" s="3735"/>
      <c r="AA418" s="3735"/>
      <c r="AB418" s="3735"/>
      <c r="AC418" s="3735"/>
      <c r="AD418" s="3735"/>
      <c r="AE418" s="3735"/>
      <c r="AF418" s="3735"/>
      <c r="AG418" s="3735"/>
      <c r="AH418" s="3735"/>
      <c r="AI418" s="3735"/>
      <c r="AJ418" s="3735"/>
      <c r="AK418" s="3735"/>
      <c r="AL418" s="3735"/>
      <c r="AM418" s="3735"/>
      <c r="AN418" s="3735"/>
      <c r="AO418" s="3735"/>
      <c r="AP418" s="3735"/>
      <c r="AQ418" s="3735"/>
      <c r="AR418" s="3735"/>
      <c r="AS418" s="3735"/>
      <c r="AT418" s="3735"/>
      <c r="AU418" s="3735"/>
      <c r="AV418" s="3735"/>
      <c r="AW418" s="3735"/>
      <c r="AX418" s="3639">
        <f t="shared" ref="AX418:BI418" si="186">+AX257+AX258</f>
        <v>7</v>
      </c>
      <c r="AY418" s="3639">
        <f t="shared" si="186"/>
        <v>0</v>
      </c>
      <c r="AZ418" s="3639">
        <f t="shared" si="186"/>
        <v>0</v>
      </c>
      <c r="BA418" s="3639">
        <f t="shared" si="186"/>
        <v>0</v>
      </c>
      <c r="BB418" s="3639">
        <f t="shared" si="186"/>
        <v>0</v>
      </c>
      <c r="BC418" s="3639">
        <f t="shared" si="186"/>
        <v>0</v>
      </c>
      <c r="BD418" s="3639">
        <f t="shared" si="186"/>
        <v>0</v>
      </c>
      <c r="BE418" s="3639">
        <f t="shared" si="186"/>
        <v>0</v>
      </c>
      <c r="BF418" s="3639">
        <f t="shared" si="186"/>
        <v>0</v>
      </c>
      <c r="BG418" s="3639">
        <f t="shared" si="186"/>
        <v>0</v>
      </c>
      <c r="BH418" s="3639">
        <f t="shared" si="186"/>
        <v>0</v>
      </c>
      <c r="BI418" s="3639">
        <f t="shared" si="186"/>
        <v>0</v>
      </c>
      <c r="BJ418" s="3639">
        <f t="shared" ref="BJ418:CD418" si="187">+BJ257+BJ258</f>
        <v>0</v>
      </c>
      <c r="BK418" s="3639">
        <f t="shared" si="187"/>
        <v>0</v>
      </c>
      <c r="BL418" s="3639">
        <f t="shared" si="187"/>
        <v>0</v>
      </c>
      <c r="BM418" s="3639">
        <f t="shared" si="187"/>
        <v>0</v>
      </c>
      <c r="BN418" s="3639">
        <f t="shared" si="187"/>
        <v>0</v>
      </c>
      <c r="BO418" s="3647">
        <f t="shared" si="187"/>
        <v>0</v>
      </c>
      <c r="BP418" s="3647">
        <f t="shared" si="187"/>
        <v>0</v>
      </c>
      <c r="BQ418" s="3647">
        <f t="shared" si="187"/>
        <v>0</v>
      </c>
      <c r="BR418" s="3647">
        <f t="shared" si="187"/>
        <v>0</v>
      </c>
      <c r="BS418" s="3647">
        <f t="shared" si="187"/>
        <v>0</v>
      </c>
      <c r="BT418" s="3647">
        <f t="shared" si="187"/>
        <v>0</v>
      </c>
      <c r="BU418" s="3647">
        <f t="shared" si="187"/>
        <v>0</v>
      </c>
      <c r="BV418" s="3647">
        <f t="shared" si="187"/>
        <v>0</v>
      </c>
      <c r="BW418" s="3647">
        <f t="shared" si="187"/>
        <v>0</v>
      </c>
      <c r="BX418" s="3647">
        <f t="shared" si="187"/>
        <v>0</v>
      </c>
      <c r="BY418" s="3647">
        <f t="shared" si="187"/>
        <v>0</v>
      </c>
      <c r="BZ418" s="3647">
        <f t="shared" si="187"/>
        <v>0</v>
      </c>
      <c r="CA418" s="3647">
        <f t="shared" si="187"/>
        <v>0</v>
      </c>
      <c r="CB418" s="3647">
        <f t="shared" si="187"/>
        <v>0</v>
      </c>
      <c r="CC418" s="3647">
        <f t="shared" si="187"/>
        <v>0</v>
      </c>
      <c r="CD418" s="3647">
        <f t="shared" si="187"/>
        <v>0</v>
      </c>
      <c r="CE418" s="3731"/>
      <c r="CF418" s="3711">
        <f t="shared" si="144"/>
        <v>7</v>
      </c>
      <c r="CG418" s="3183">
        <f t="shared" si="163"/>
        <v>0</v>
      </c>
    </row>
    <row r="419" spans="1:85" ht="21" customHeight="1">
      <c r="A419" s="107"/>
      <c r="B419" s="107"/>
      <c r="C419" s="2012"/>
      <c r="D419" s="900"/>
      <c r="E419" s="888" t="s">
        <v>147</v>
      </c>
      <c r="F419" s="900"/>
      <c r="G419" s="900"/>
      <c r="H419" s="900"/>
      <c r="I419" s="962"/>
      <c r="J419" s="900"/>
      <c r="K419" s="3505"/>
      <c r="L419" s="107"/>
      <c r="M419" s="107"/>
      <c r="N419" s="3639">
        <f>+N59+N259+N260</f>
        <v>40</v>
      </c>
      <c r="O419" s="3735"/>
      <c r="P419" s="3735"/>
      <c r="Q419" s="3735"/>
      <c r="R419" s="3735"/>
      <c r="S419" s="3735"/>
      <c r="T419" s="3735"/>
      <c r="U419" s="3735"/>
      <c r="V419" s="3735"/>
      <c r="W419" s="3735"/>
      <c r="X419" s="3735"/>
      <c r="Y419" s="3735"/>
      <c r="Z419" s="3735"/>
      <c r="AA419" s="3735"/>
      <c r="AB419" s="3735"/>
      <c r="AC419" s="3735"/>
      <c r="AD419" s="3735"/>
      <c r="AE419" s="3735"/>
      <c r="AF419" s="3735"/>
      <c r="AG419" s="3735"/>
      <c r="AH419" s="3735"/>
      <c r="AI419" s="3735"/>
      <c r="AJ419" s="3735"/>
      <c r="AK419" s="3735"/>
      <c r="AL419" s="3735"/>
      <c r="AM419" s="3735"/>
      <c r="AN419" s="3735"/>
      <c r="AO419" s="3735"/>
      <c r="AP419" s="3735"/>
      <c r="AQ419" s="3735"/>
      <c r="AR419" s="3735"/>
      <c r="AS419" s="3735"/>
      <c r="AT419" s="3735"/>
      <c r="AU419" s="3735"/>
      <c r="AV419" s="3735"/>
      <c r="AW419" s="3735"/>
      <c r="AX419" s="3639">
        <f t="shared" ref="AX419:BI419" si="188">+AX59+AX259+AX260</f>
        <v>11.5</v>
      </c>
      <c r="AY419" s="3639">
        <f t="shared" si="188"/>
        <v>2.4</v>
      </c>
      <c r="AZ419" s="3639">
        <f t="shared" si="188"/>
        <v>2.4</v>
      </c>
      <c r="BA419" s="3639">
        <f t="shared" si="188"/>
        <v>2.4</v>
      </c>
      <c r="BB419" s="3639">
        <f t="shared" si="188"/>
        <v>3.5</v>
      </c>
      <c r="BC419" s="3639">
        <f t="shared" si="188"/>
        <v>0.6</v>
      </c>
      <c r="BD419" s="3639">
        <f t="shared" si="188"/>
        <v>2.4</v>
      </c>
      <c r="BE419" s="3639">
        <f t="shared" si="188"/>
        <v>0.6</v>
      </c>
      <c r="BF419" s="3639">
        <f t="shared" si="188"/>
        <v>3.5</v>
      </c>
      <c r="BG419" s="3639">
        <f t="shared" si="188"/>
        <v>3.5</v>
      </c>
      <c r="BH419" s="3639">
        <f t="shared" si="188"/>
        <v>2.4</v>
      </c>
      <c r="BI419" s="3639">
        <f t="shared" si="188"/>
        <v>2.4</v>
      </c>
      <c r="BJ419" s="3639">
        <f t="shared" ref="BJ419:CD419" si="189">+BJ59+BJ259+BJ260</f>
        <v>2.4</v>
      </c>
      <c r="BK419" s="3639">
        <f t="shared" si="189"/>
        <v>0</v>
      </c>
      <c r="BL419" s="3639">
        <f t="shared" si="189"/>
        <v>0</v>
      </c>
      <c r="BM419" s="3639">
        <f t="shared" si="189"/>
        <v>0</v>
      </c>
      <c r="BN419" s="3639">
        <f t="shared" si="189"/>
        <v>0</v>
      </c>
      <c r="BO419" s="3647">
        <f t="shared" si="189"/>
        <v>0</v>
      </c>
      <c r="BP419" s="3647">
        <f t="shared" si="189"/>
        <v>0</v>
      </c>
      <c r="BQ419" s="3647">
        <f t="shared" si="189"/>
        <v>0</v>
      </c>
      <c r="BR419" s="3647">
        <f t="shared" si="189"/>
        <v>0</v>
      </c>
      <c r="BS419" s="3647">
        <f t="shared" si="189"/>
        <v>0</v>
      </c>
      <c r="BT419" s="3647">
        <f t="shared" si="189"/>
        <v>0</v>
      </c>
      <c r="BU419" s="3647">
        <f t="shared" si="189"/>
        <v>0</v>
      </c>
      <c r="BV419" s="3647">
        <f t="shared" si="189"/>
        <v>0</v>
      </c>
      <c r="BW419" s="3647">
        <f t="shared" si="189"/>
        <v>0</v>
      </c>
      <c r="BX419" s="3647">
        <f t="shared" si="189"/>
        <v>0</v>
      </c>
      <c r="BY419" s="3647">
        <f t="shared" si="189"/>
        <v>0</v>
      </c>
      <c r="BZ419" s="3647">
        <f t="shared" si="189"/>
        <v>0</v>
      </c>
      <c r="CA419" s="3647">
        <f t="shared" si="189"/>
        <v>0</v>
      </c>
      <c r="CB419" s="3647">
        <f t="shared" si="189"/>
        <v>0</v>
      </c>
      <c r="CC419" s="3647">
        <f t="shared" si="189"/>
        <v>0</v>
      </c>
      <c r="CD419" s="3647">
        <f t="shared" si="189"/>
        <v>0</v>
      </c>
      <c r="CE419" s="3731"/>
      <c r="CF419" s="3711">
        <f t="shared" si="144"/>
        <v>39.999999999999993</v>
      </c>
      <c r="CG419" s="3183">
        <f t="shared" si="163"/>
        <v>0</v>
      </c>
    </row>
    <row r="420" spans="1:85" ht="21.75" customHeight="1">
      <c r="A420" s="107"/>
      <c r="B420" s="107"/>
      <c r="C420" s="2012"/>
      <c r="D420" s="900"/>
      <c r="E420" s="888" t="s">
        <v>410</v>
      </c>
      <c r="F420" s="900"/>
      <c r="G420" s="900"/>
      <c r="H420" s="900"/>
      <c r="I420" s="962"/>
      <c r="J420" s="900"/>
      <c r="K420" s="3505"/>
      <c r="L420" s="107"/>
      <c r="M420" s="107"/>
      <c r="N420" s="3639">
        <f>+N34+N111+N129+N130+N261+N316</f>
        <v>76</v>
      </c>
      <c r="O420" s="3735"/>
      <c r="P420" s="3735"/>
      <c r="Q420" s="3735"/>
      <c r="R420" s="3735"/>
      <c r="S420" s="3735"/>
      <c r="T420" s="3735"/>
      <c r="U420" s="3735"/>
      <c r="V420" s="3735"/>
      <c r="W420" s="3735"/>
      <c r="X420" s="3735"/>
      <c r="Y420" s="3735"/>
      <c r="Z420" s="3735"/>
      <c r="AA420" s="3735"/>
      <c r="AB420" s="3735"/>
      <c r="AC420" s="3735"/>
      <c r="AD420" s="3735"/>
      <c r="AE420" s="3735"/>
      <c r="AF420" s="3735"/>
      <c r="AG420" s="3735"/>
      <c r="AH420" s="3735"/>
      <c r="AI420" s="3735"/>
      <c r="AJ420" s="3735"/>
      <c r="AK420" s="3735"/>
      <c r="AL420" s="3735"/>
      <c r="AM420" s="3735"/>
      <c r="AN420" s="3735"/>
      <c r="AO420" s="3735"/>
      <c r="AP420" s="3735"/>
      <c r="AQ420" s="3735"/>
      <c r="AR420" s="3735"/>
      <c r="AS420" s="3735"/>
      <c r="AT420" s="3735"/>
      <c r="AU420" s="3735"/>
      <c r="AV420" s="3735"/>
      <c r="AW420" s="3735"/>
      <c r="AX420" s="3639">
        <f t="shared" ref="AX420:BI420" si="190">+AX34+AX111+AX129+AX130+AX261+AX316</f>
        <v>31</v>
      </c>
      <c r="AY420" s="3639">
        <f t="shared" si="190"/>
        <v>0.75</v>
      </c>
      <c r="AZ420" s="3639">
        <f t="shared" si="190"/>
        <v>0.75</v>
      </c>
      <c r="BA420" s="3639">
        <f t="shared" si="190"/>
        <v>0.75</v>
      </c>
      <c r="BB420" s="3639">
        <f t="shared" si="190"/>
        <v>1</v>
      </c>
      <c r="BC420" s="3639">
        <f t="shared" si="190"/>
        <v>4</v>
      </c>
      <c r="BD420" s="3639">
        <f t="shared" si="190"/>
        <v>0.75</v>
      </c>
      <c r="BE420" s="3639">
        <f t="shared" si="190"/>
        <v>0.75</v>
      </c>
      <c r="BF420" s="3639">
        <f t="shared" si="190"/>
        <v>1</v>
      </c>
      <c r="BG420" s="3639">
        <f t="shared" si="190"/>
        <v>1</v>
      </c>
      <c r="BH420" s="3639">
        <f t="shared" si="190"/>
        <v>4.25</v>
      </c>
      <c r="BI420" s="3639">
        <f t="shared" si="190"/>
        <v>0.75</v>
      </c>
      <c r="BJ420" s="3639">
        <f t="shared" ref="BJ420:CD420" si="191">+BJ34+BJ111+BJ129+BJ130+BJ261+BJ316</f>
        <v>0.75</v>
      </c>
      <c r="BK420" s="3639">
        <f t="shared" si="191"/>
        <v>0</v>
      </c>
      <c r="BL420" s="3639">
        <f t="shared" si="191"/>
        <v>0</v>
      </c>
      <c r="BM420" s="3639">
        <f t="shared" si="191"/>
        <v>0.5</v>
      </c>
      <c r="BN420" s="3639">
        <f t="shared" si="191"/>
        <v>0.5</v>
      </c>
      <c r="BO420" s="3647">
        <f t="shared" si="191"/>
        <v>0</v>
      </c>
      <c r="BP420" s="3647">
        <f t="shared" si="191"/>
        <v>0.5</v>
      </c>
      <c r="BQ420" s="3647">
        <f t="shared" si="191"/>
        <v>0</v>
      </c>
      <c r="BR420" s="3647">
        <f t="shared" si="191"/>
        <v>3.5</v>
      </c>
      <c r="BS420" s="3647">
        <f t="shared" si="191"/>
        <v>3.5</v>
      </c>
      <c r="BT420" s="3647">
        <f t="shared" si="191"/>
        <v>3.5</v>
      </c>
      <c r="BU420" s="3647">
        <f t="shared" si="191"/>
        <v>3</v>
      </c>
      <c r="BV420" s="3647">
        <f t="shared" si="191"/>
        <v>3.5</v>
      </c>
      <c r="BW420" s="3647">
        <f t="shared" si="191"/>
        <v>0.5</v>
      </c>
      <c r="BX420" s="3647">
        <f t="shared" si="191"/>
        <v>3.5</v>
      </c>
      <c r="BY420" s="3647">
        <f t="shared" si="191"/>
        <v>0</v>
      </c>
      <c r="BZ420" s="3647">
        <f t="shared" si="191"/>
        <v>3</v>
      </c>
      <c r="CA420" s="3647">
        <f t="shared" si="191"/>
        <v>0</v>
      </c>
      <c r="CB420" s="3647">
        <f t="shared" si="191"/>
        <v>3</v>
      </c>
      <c r="CC420" s="3647">
        <f t="shared" si="191"/>
        <v>0</v>
      </c>
      <c r="CD420" s="3647">
        <f t="shared" si="191"/>
        <v>0</v>
      </c>
      <c r="CE420" s="3731"/>
      <c r="CF420" s="3711">
        <f t="shared" si="144"/>
        <v>76</v>
      </c>
      <c r="CG420" s="3183">
        <f t="shared" si="163"/>
        <v>0</v>
      </c>
    </row>
    <row r="421" spans="1:85" ht="21.75" customHeight="1">
      <c r="A421" s="107"/>
      <c r="B421" s="107"/>
      <c r="C421" s="2012"/>
      <c r="D421" s="900"/>
      <c r="E421" s="888" t="s">
        <v>3989</v>
      </c>
      <c r="F421" s="900"/>
      <c r="G421" s="900"/>
      <c r="H421" s="900"/>
      <c r="I421" s="962"/>
      <c r="J421" s="900"/>
      <c r="K421" s="3505"/>
      <c r="L421" s="107"/>
      <c r="M421" s="107"/>
      <c r="N421" s="3639">
        <f>+N263+N298+N318+N373</f>
        <v>12.870000000000001</v>
      </c>
      <c r="O421" s="3735"/>
      <c r="P421" s="3735"/>
      <c r="Q421" s="3735"/>
      <c r="R421" s="3735"/>
      <c r="S421" s="3735"/>
      <c r="T421" s="3735"/>
      <c r="U421" s="3735"/>
      <c r="V421" s="3735"/>
      <c r="W421" s="3735"/>
      <c r="X421" s="3735"/>
      <c r="Y421" s="3735"/>
      <c r="Z421" s="3735"/>
      <c r="AA421" s="3735"/>
      <c r="AB421" s="3735"/>
      <c r="AC421" s="3735"/>
      <c r="AD421" s="3735"/>
      <c r="AE421" s="3735"/>
      <c r="AF421" s="3735"/>
      <c r="AG421" s="3735"/>
      <c r="AH421" s="3735"/>
      <c r="AI421" s="3735"/>
      <c r="AJ421" s="3735"/>
      <c r="AK421" s="3735"/>
      <c r="AL421" s="3735"/>
      <c r="AM421" s="3735"/>
      <c r="AN421" s="3735"/>
      <c r="AO421" s="3735"/>
      <c r="AP421" s="3735"/>
      <c r="AQ421" s="3735"/>
      <c r="AR421" s="3735"/>
      <c r="AS421" s="3735"/>
      <c r="AT421" s="3735"/>
      <c r="AU421" s="3735"/>
      <c r="AV421" s="3735"/>
      <c r="AW421" s="3735"/>
      <c r="AX421" s="3639">
        <f t="shared" ref="AX421:BI421" si="192">+AX263+AX298+AX318+AX373</f>
        <v>5.7200000000000006</v>
      </c>
      <c r="AY421" s="3639">
        <f t="shared" si="192"/>
        <v>0.5</v>
      </c>
      <c r="AZ421" s="3639">
        <f t="shared" si="192"/>
        <v>0.5</v>
      </c>
      <c r="BA421" s="3639">
        <f t="shared" si="192"/>
        <v>0.5</v>
      </c>
      <c r="BB421" s="3639">
        <f t="shared" si="192"/>
        <v>1</v>
      </c>
      <c r="BC421" s="3639">
        <f t="shared" si="192"/>
        <v>0.2</v>
      </c>
      <c r="BD421" s="3639">
        <f t="shared" si="192"/>
        <v>0.5</v>
      </c>
      <c r="BE421" s="3639">
        <f t="shared" si="192"/>
        <v>0.2</v>
      </c>
      <c r="BF421" s="3639">
        <f t="shared" si="192"/>
        <v>1</v>
      </c>
      <c r="BG421" s="3639">
        <f t="shared" si="192"/>
        <v>1</v>
      </c>
      <c r="BH421" s="3639">
        <f t="shared" si="192"/>
        <v>0.55000000000000004</v>
      </c>
      <c r="BI421" s="3639">
        <f t="shared" si="192"/>
        <v>0.6</v>
      </c>
      <c r="BJ421" s="3639">
        <f t="shared" ref="BJ421:CD421" si="193">+BJ263+BJ298+BJ318+BJ373</f>
        <v>0.6</v>
      </c>
      <c r="BK421" s="3639">
        <f t="shared" si="193"/>
        <v>0</v>
      </c>
      <c r="BL421" s="3639">
        <f t="shared" si="193"/>
        <v>0</v>
      </c>
      <c r="BM421" s="3639">
        <f t="shared" si="193"/>
        <v>0</v>
      </c>
      <c r="BN421" s="3639">
        <f t="shared" si="193"/>
        <v>0</v>
      </c>
      <c r="BO421" s="3647">
        <f t="shared" si="193"/>
        <v>0</v>
      </c>
      <c r="BP421" s="3647">
        <f t="shared" si="193"/>
        <v>0</v>
      </c>
      <c r="BQ421" s="3647">
        <f t="shared" si="193"/>
        <v>0</v>
      </c>
      <c r="BR421" s="3647">
        <f t="shared" si="193"/>
        <v>0</v>
      </c>
      <c r="BS421" s="3647">
        <f t="shared" si="193"/>
        <v>0</v>
      </c>
      <c r="BT421" s="3647">
        <f t="shared" si="193"/>
        <v>0</v>
      </c>
      <c r="BU421" s="3647">
        <f t="shared" si="193"/>
        <v>0</v>
      </c>
      <c r="BV421" s="3647">
        <f t="shared" si="193"/>
        <v>0</v>
      </c>
      <c r="BW421" s="3647">
        <f t="shared" si="193"/>
        <v>0</v>
      </c>
      <c r="BX421" s="3647">
        <f t="shared" si="193"/>
        <v>0</v>
      </c>
      <c r="BY421" s="3647">
        <f t="shared" si="193"/>
        <v>0</v>
      </c>
      <c r="BZ421" s="3647">
        <f t="shared" si="193"/>
        <v>0</v>
      </c>
      <c r="CA421" s="3647">
        <f t="shared" si="193"/>
        <v>0</v>
      </c>
      <c r="CB421" s="3647">
        <f t="shared" si="193"/>
        <v>0</v>
      </c>
      <c r="CC421" s="3647">
        <f t="shared" si="193"/>
        <v>0</v>
      </c>
      <c r="CD421" s="3647">
        <f t="shared" si="193"/>
        <v>0</v>
      </c>
      <c r="CE421" s="3731"/>
      <c r="CF421" s="3711">
        <f t="shared" si="144"/>
        <v>12.87</v>
      </c>
      <c r="CG421" s="3183">
        <f t="shared" si="163"/>
        <v>0</v>
      </c>
    </row>
    <row r="422" spans="1:85" ht="21.75" customHeight="1">
      <c r="A422" s="107"/>
      <c r="B422" s="107"/>
      <c r="C422" s="2012"/>
      <c r="D422" s="900"/>
      <c r="E422" s="888" t="s">
        <v>3204</v>
      </c>
      <c r="F422" s="900"/>
      <c r="G422" s="900"/>
      <c r="H422" s="900"/>
      <c r="I422" s="962"/>
      <c r="J422" s="900"/>
      <c r="K422" s="3505"/>
      <c r="L422" s="107"/>
      <c r="M422" s="107"/>
      <c r="N422" s="3639">
        <f>+'NUHM-Non Metro Abst'!Q275</f>
        <v>147.75</v>
      </c>
      <c r="O422" s="3735"/>
      <c r="P422" s="3735"/>
      <c r="Q422" s="3735"/>
      <c r="R422" s="3735"/>
      <c r="S422" s="3735"/>
      <c r="T422" s="3735"/>
      <c r="U422" s="3735"/>
      <c r="V422" s="3735"/>
      <c r="W422" s="3735"/>
      <c r="X422" s="3735"/>
      <c r="Y422" s="3735"/>
      <c r="Z422" s="3735"/>
      <c r="AA422" s="3735"/>
      <c r="AB422" s="3735"/>
      <c r="AC422" s="3735"/>
      <c r="AD422" s="3735"/>
      <c r="AE422" s="3735"/>
      <c r="AF422" s="3735"/>
      <c r="AG422" s="3735"/>
      <c r="AH422" s="3735"/>
      <c r="AI422" s="3735"/>
      <c r="AJ422" s="3735"/>
      <c r="AK422" s="3735"/>
      <c r="AL422" s="3735"/>
      <c r="AM422" s="3735"/>
      <c r="AN422" s="3735"/>
      <c r="AO422" s="3735"/>
      <c r="AP422" s="3735"/>
      <c r="AQ422" s="3735"/>
      <c r="AR422" s="3735"/>
      <c r="AS422" s="3735"/>
      <c r="AT422" s="3735"/>
      <c r="AU422" s="3735"/>
      <c r="AV422" s="3735"/>
      <c r="AW422" s="3735"/>
      <c r="AX422" s="3639">
        <f>+'NUHM-Non Metro Abst'!R275</f>
        <v>102.34</v>
      </c>
      <c r="AY422" s="3639"/>
      <c r="AZ422" s="3639"/>
      <c r="BA422" s="3639"/>
      <c r="BB422" s="3639">
        <f>+'NUHM-Non Metro Abst'!S275</f>
        <v>8.51</v>
      </c>
      <c r="BC422" s="3639"/>
      <c r="BD422" s="3639"/>
      <c r="BE422" s="3639"/>
      <c r="BF422" s="3639"/>
      <c r="BG422" s="3639">
        <f>+'NUHM-Non Metro Abst'!T275</f>
        <v>23.67</v>
      </c>
      <c r="BH422" s="3639"/>
      <c r="BI422" s="3639">
        <f>+'NUHM-Non Metro Abst'!U275</f>
        <v>13.23</v>
      </c>
      <c r="BJ422" s="3639"/>
      <c r="BK422" s="3639"/>
      <c r="BL422" s="3639"/>
      <c r="BM422" s="3639"/>
      <c r="BN422" s="3639"/>
      <c r="BO422" s="3647"/>
      <c r="BP422" s="3647"/>
      <c r="BQ422" s="3647"/>
      <c r="BR422" s="3647"/>
      <c r="BS422" s="3647"/>
      <c r="BT422" s="3647"/>
      <c r="BU422" s="3647"/>
      <c r="BV422" s="3647"/>
      <c r="BW422" s="3647"/>
      <c r="BX422" s="3647"/>
      <c r="BY422" s="3647"/>
      <c r="BZ422" s="3647"/>
      <c r="CA422" s="3647"/>
      <c r="CB422" s="3647"/>
      <c r="CC422" s="3647"/>
      <c r="CD422" s="3647"/>
      <c r="CE422" s="3731"/>
      <c r="CF422" s="3711">
        <f t="shared" si="144"/>
        <v>147.75</v>
      </c>
      <c r="CG422" s="3183">
        <f t="shared" si="163"/>
        <v>0</v>
      </c>
    </row>
    <row r="423" spans="1:85" ht="21.75" customHeight="1">
      <c r="A423" s="3579"/>
      <c r="B423" s="3579"/>
      <c r="D423" s="3578"/>
      <c r="E423" s="890" t="s">
        <v>4534</v>
      </c>
      <c r="F423" s="3578"/>
      <c r="G423" s="3578"/>
      <c r="H423" s="3578"/>
      <c r="I423" s="162"/>
      <c r="J423" s="3578"/>
      <c r="K423" s="2822"/>
      <c r="L423" s="3579"/>
      <c r="M423" s="3579"/>
      <c r="N423" s="3709">
        <f>+N406+N407+N408+N409+N410+N411+N412+N413+N414+N415+N416+N417+N418+N419+N420+N421+N422</f>
        <v>46631.244220000015</v>
      </c>
      <c r="O423" s="3708"/>
      <c r="P423" s="3708"/>
      <c r="Q423" s="3708"/>
      <c r="R423" s="3708"/>
      <c r="S423" s="3708"/>
      <c r="T423" s="3708"/>
      <c r="U423" s="3708"/>
      <c r="V423" s="3708"/>
      <c r="W423" s="3708"/>
      <c r="X423" s="3708"/>
      <c r="Y423" s="3708"/>
      <c r="Z423" s="3708"/>
      <c r="AA423" s="3708"/>
      <c r="AB423" s="3708"/>
      <c r="AC423" s="3708"/>
      <c r="AD423" s="3708"/>
      <c r="AE423" s="3708"/>
      <c r="AF423" s="3708"/>
      <c r="AG423" s="3708"/>
      <c r="AH423" s="3708"/>
      <c r="AI423" s="3708"/>
      <c r="AJ423" s="3708"/>
      <c r="AK423" s="3708"/>
      <c r="AL423" s="3708"/>
      <c r="AM423" s="3708"/>
      <c r="AN423" s="3708"/>
      <c r="AO423" s="3708"/>
      <c r="AP423" s="3708"/>
      <c r="AQ423" s="3708"/>
      <c r="AR423" s="3708"/>
      <c r="AS423" s="3708"/>
      <c r="AT423" s="3708"/>
      <c r="AU423" s="3708"/>
      <c r="AV423" s="3708"/>
      <c r="AW423" s="3708"/>
      <c r="AX423" s="3647">
        <f>+AX406+AX407+AX408+AX409+AX410+AX411+AX412+AX413+AX414+AX415+AX416+AX417+AX418+AX419+AX420+AX421+AX422</f>
        <v>28452.250000000007</v>
      </c>
      <c r="AY423" s="3647">
        <f t="shared" ref="AY423:CD423" si="194">+AY406+AY407+AY408+AY409+AY410+AY411+AY412+AY413+AY414+AY415+AY416+AY417+AY418+AY419+AY420+AY421+AY422</f>
        <v>793.81971385600013</v>
      </c>
      <c r="AZ423" s="3647">
        <f t="shared" si="194"/>
        <v>1234.5593501480005</v>
      </c>
      <c r="BA423" s="3647">
        <f t="shared" si="194"/>
        <v>954.51054178400011</v>
      </c>
      <c r="BB423" s="3647">
        <f t="shared" si="194"/>
        <v>2884.1987885320009</v>
      </c>
      <c r="BC423" s="3647">
        <f t="shared" si="194"/>
        <v>519.62991789200009</v>
      </c>
      <c r="BD423" s="3647">
        <f t="shared" si="194"/>
        <v>959.40842341999996</v>
      </c>
      <c r="BE423" s="3647">
        <f t="shared" si="194"/>
        <v>329.69145332800002</v>
      </c>
      <c r="BF423" s="3647">
        <f t="shared" si="194"/>
        <v>2617.586487004</v>
      </c>
      <c r="BG423" s="3647">
        <f t="shared" si="194"/>
        <v>1831.2667202399998</v>
      </c>
      <c r="BH423" s="3647">
        <f t="shared" si="194"/>
        <v>1126.5153166200002</v>
      </c>
      <c r="BI423" s="3647">
        <f t="shared" si="194"/>
        <v>1146.2536742200002</v>
      </c>
      <c r="BJ423" s="3647">
        <f t="shared" si="194"/>
        <v>919.79093602</v>
      </c>
      <c r="BK423" s="3647">
        <f t="shared" si="194"/>
        <v>202.85999999999999</v>
      </c>
      <c r="BL423" s="3647">
        <f t="shared" si="194"/>
        <v>430.82000000000005</v>
      </c>
      <c r="BM423" s="3647">
        <f t="shared" si="194"/>
        <v>173.29</v>
      </c>
      <c r="BN423" s="3647">
        <f t="shared" si="194"/>
        <v>193.71999999999997</v>
      </c>
      <c r="BO423" s="3647">
        <f t="shared" si="194"/>
        <v>103.89999999999999</v>
      </c>
      <c r="BP423" s="3647">
        <f t="shared" si="194"/>
        <v>131.74999999999997</v>
      </c>
      <c r="BQ423" s="3647">
        <f t="shared" si="194"/>
        <v>223.48999999999998</v>
      </c>
      <c r="BR423" s="3647">
        <f t="shared" si="194"/>
        <v>117.89</v>
      </c>
      <c r="BS423" s="3647">
        <f t="shared" si="194"/>
        <v>61.150000000000006</v>
      </c>
      <c r="BT423" s="3647">
        <f t="shared" si="194"/>
        <v>88.91</v>
      </c>
      <c r="BU423" s="3647">
        <f t="shared" si="194"/>
        <v>132.88999999999999</v>
      </c>
      <c r="BV423" s="3647">
        <f t="shared" si="194"/>
        <v>182.77999999999997</v>
      </c>
      <c r="BW423" s="3647">
        <f t="shared" si="194"/>
        <v>51.49</v>
      </c>
      <c r="BX423" s="3647">
        <f t="shared" si="194"/>
        <v>110.55000000000001</v>
      </c>
      <c r="BY423" s="3647">
        <f t="shared" si="194"/>
        <v>56.94</v>
      </c>
      <c r="BZ423" s="3647">
        <f t="shared" si="194"/>
        <v>101.28</v>
      </c>
      <c r="CA423" s="3647">
        <f t="shared" si="194"/>
        <v>290.25999999999993</v>
      </c>
      <c r="CB423" s="3647">
        <f t="shared" si="194"/>
        <v>133.91</v>
      </c>
      <c r="CC423" s="3647">
        <f t="shared" si="194"/>
        <v>54.410000000000004</v>
      </c>
      <c r="CD423" s="3647">
        <f t="shared" si="194"/>
        <v>19.47</v>
      </c>
      <c r="CE423" s="3731"/>
      <c r="CF423" s="3711">
        <f t="shared" si="144"/>
        <v>46631.241323064023</v>
      </c>
      <c r="CG423" s="3183">
        <f t="shared" si="163"/>
        <v>2.8969359918846749E-3</v>
      </c>
    </row>
    <row r="424" spans="1:85" ht="37.5" customHeight="1">
      <c r="N424" s="3695">
        <f>+N405-N423</f>
        <v>0</v>
      </c>
      <c r="AX424" s="3695">
        <f>+AX405-AX423</f>
        <v>0</v>
      </c>
      <c r="AY424" s="3695">
        <f t="shared" ref="AY424:CF424" si="195">+AY405-AY423</f>
        <v>0</v>
      </c>
      <c r="AZ424" s="3695">
        <f t="shared" si="195"/>
        <v>0</v>
      </c>
      <c r="BA424" s="3695">
        <f t="shared" si="195"/>
        <v>0</v>
      </c>
      <c r="BB424" s="3695">
        <f t="shared" si="195"/>
        <v>0</v>
      </c>
      <c r="BC424" s="3695">
        <f t="shared" si="195"/>
        <v>0</v>
      </c>
      <c r="BD424" s="3695">
        <f t="shared" si="195"/>
        <v>0</v>
      </c>
      <c r="BE424" s="3695">
        <f t="shared" si="195"/>
        <v>0</v>
      </c>
      <c r="BF424" s="3695">
        <f t="shared" si="195"/>
        <v>0</v>
      </c>
      <c r="BG424" s="3695">
        <f t="shared" si="195"/>
        <v>0</v>
      </c>
      <c r="BH424" s="3695">
        <f t="shared" si="195"/>
        <v>0</v>
      </c>
      <c r="BI424" s="3695">
        <f t="shared" si="195"/>
        <v>0</v>
      </c>
      <c r="BJ424" s="3695">
        <f t="shared" si="195"/>
        <v>0</v>
      </c>
      <c r="BK424" s="3695">
        <f t="shared" si="195"/>
        <v>0</v>
      </c>
      <c r="BL424" s="3695">
        <f t="shared" si="195"/>
        <v>0</v>
      </c>
      <c r="BM424" s="3695">
        <f t="shared" si="195"/>
        <v>0</v>
      </c>
      <c r="BN424" s="3695">
        <f t="shared" si="195"/>
        <v>0</v>
      </c>
      <c r="BO424" s="3695">
        <f t="shared" si="195"/>
        <v>0</v>
      </c>
      <c r="BP424" s="3695">
        <f t="shared" si="195"/>
        <v>0</v>
      </c>
      <c r="BQ424" s="3695">
        <f t="shared" si="195"/>
        <v>0</v>
      </c>
      <c r="BR424" s="3695">
        <f t="shared" si="195"/>
        <v>0</v>
      </c>
      <c r="BS424" s="3695">
        <f t="shared" si="195"/>
        <v>0</v>
      </c>
      <c r="BT424" s="3695">
        <f t="shared" si="195"/>
        <v>0</v>
      </c>
      <c r="BU424" s="3695">
        <f t="shared" si="195"/>
        <v>0</v>
      </c>
      <c r="BV424" s="3695">
        <f t="shared" si="195"/>
        <v>0</v>
      </c>
      <c r="BW424" s="3695">
        <f t="shared" si="195"/>
        <v>0</v>
      </c>
      <c r="BX424" s="3695">
        <f t="shared" si="195"/>
        <v>0</v>
      </c>
      <c r="BY424" s="3695">
        <f t="shared" si="195"/>
        <v>0</v>
      </c>
      <c r="BZ424" s="3695">
        <f t="shared" si="195"/>
        <v>0</v>
      </c>
      <c r="CA424" s="3695">
        <f t="shared" si="195"/>
        <v>0</v>
      </c>
      <c r="CB424" s="3695">
        <f t="shared" si="195"/>
        <v>0</v>
      </c>
      <c r="CC424" s="3695">
        <f t="shared" si="195"/>
        <v>0</v>
      </c>
      <c r="CD424" s="3695">
        <f t="shared" si="195"/>
        <v>0</v>
      </c>
      <c r="CE424" s="3695"/>
      <c r="CF424" s="3717">
        <f t="shared" si="195"/>
        <v>0</v>
      </c>
    </row>
  </sheetData>
  <sheetProtection password="CC49" sheet="1" objects="1" scenarios="1"/>
  <protectedRanges>
    <protectedRange password="FD7E" sqref="J366" name="Range2_2"/>
    <protectedRange password="FD7E" sqref="G366:H366" name="Range1_1_1"/>
    <protectedRange password="FD7E" sqref="G367:H368" name="Range1_2_1"/>
    <protectedRange password="FD7E" sqref="J367:J368" name="Range2_1_1"/>
  </protectedRanges>
  <autoFilter ref="E1:E424"/>
  <mergeCells count="98">
    <mergeCell ref="H361:H362"/>
    <mergeCell ref="I361:I362"/>
    <mergeCell ref="J361:J362"/>
    <mergeCell ref="K361:K362"/>
    <mergeCell ref="N361:N362"/>
    <mergeCell ref="K354:K358"/>
    <mergeCell ref="N354:N358"/>
    <mergeCell ref="K363:K364"/>
    <mergeCell ref="N363:N364"/>
    <mergeCell ref="D363:D364"/>
    <mergeCell ref="G363:G364"/>
    <mergeCell ref="E359:E360"/>
    <mergeCell ref="E361:E362"/>
    <mergeCell ref="E363:E364"/>
    <mergeCell ref="K359:K360"/>
    <mergeCell ref="N359:N360"/>
    <mergeCell ref="D361:D362"/>
    <mergeCell ref="G361:G362"/>
    <mergeCell ref="H363:H364"/>
    <mergeCell ref="I363:I364"/>
    <mergeCell ref="J363:J364"/>
    <mergeCell ref="D354:D358"/>
    <mergeCell ref="G354:G358"/>
    <mergeCell ref="H359:H360"/>
    <mergeCell ref="I359:I360"/>
    <mergeCell ref="J359:J360"/>
    <mergeCell ref="D359:D360"/>
    <mergeCell ref="G359:G360"/>
    <mergeCell ref="E354:E358"/>
    <mergeCell ref="H354:H358"/>
    <mergeCell ref="I354:I358"/>
    <mergeCell ref="J354:J358"/>
    <mergeCell ref="D349:D353"/>
    <mergeCell ref="G349:G353"/>
    <mergeCell ref="E349:E353"/>
    <mergeCell ref="D345:D346"/>
    <mergeCell ref="N345:N346"/>
    <mergeCell ref="G345:G346"/>
    <mergeCell ref="H345:H346"/>
    <mergeCell ref="I345:I346"/>
    <mergeCell ref="J345:J346"/>
    <mergeCell ref="K345:K346"/>
    <mergeCell ref="E345:E346"/>
    <mergeCell ref="H349:H353"/>
    <mergeCell ref="I349:I353"/>
    <mergeCell ref="J349:J353"/>
    <mergeCell ref="K349:K353"/>
    <mergeCell ref="N349:N353"/>
    <mergeCell ref="J183:J190"/>
    <mergeCell ref="K183:K190"/>
    <mergeCell ref="N183:N190"/>
    <mergeCell ref="G183:G190"/>
    <mergeCell ref="H183:H190"/>
    <mergeCell ref="I183:I190"/>
    <mergeCell ref="J177:J178"/>
    <mergeCell ref="K177:K178"/>
    <mergeCell ref="N177:N178"/>
    <mergeCell ref="G177:G178"/>
    <mergeCell ref="H177:H178"/>
    <mergeCell ref="I177:I178"/>
    <mergeCell ref="J173:J175"/>
    <mergeCell ref="K173:K175"/>
    <mergeCell ref="N173:N175"/>
    <mergeCell ref="G173:G175"/>
    <mergeCell ref="H173:H175"/>
    <mergeCell ref="I173:I175"/>
    <mergeCell ref="H165:H167"/>
    <mergeCell ref="I165:I167"/>
    <mergeCell ref="J165:J167"/>
    <mergeCell ref="K165:K167"/>
    <mergeCell ref="N165:N167"/>
    <mergeCell ref="G159:G163"/>
    <mergeCell ref="H159:H163"/>
    <mergeCell ref="I159:I163"/>
    <mergeCell ref="N168:N171"/>
    <mergeCell ref="AL1:AW1"/>
    <mergeCell ref="L18:L20"/>
    <mergeCell ref="G168:G171"/>
    <mergeCell ref="H168:H171"/>
    <mergeCell ref="I168:I171"/>
    <mergeCell ref="J168:J171"/>
    <mergeCell ref="K168:K171"/>
    <mergeCell ref="L168:L171"/>
    <mergeCell ref="J159:J163"/>
    <mergeCell ref="K159:K163"/>
    <mergeCell ref="N159:N163"/>
    <mergeCell ref="G165:G167"/>
    <mergeCell ref="A1:C1"/>
    <mergeCell ref="G1:J1"/>
    <mergeCell ref="K1:AD1"/>
    <mergeCell ref="AE1:AK1"/>
    <mergeCell ref="G2:L2"/>
    <mergeCell ref="M2:N2"/>
    <mergeCell ref="A2:A3"/>
    <mergeCell ref="B2:B3"/>
    <mergeCell ref="C2:C3"/>
    <mergeCell ref="D2:D3"/>
    <mergeCell ref="F2:F3"/>
  </mergeCells>
  <pageMargins left="0.7" right="0.7" top="0.75" bottom="0.75" header="0.3" footer="0.3"/>
</worksheet>
</file>

<file path=xl/worksheets/sheet10.xml><?xml version="1.0" encoding="utf-8"?>
<worksheet xmlns="http://schemas.openxmlformats.org/spreadsheetml/2006/main" xmlns:r="http://schemas.openxmlformats.org/officeDocument/2006/relationships">
  <sheetPr codeName="Sheet5">
    <tabColor rgb="FF00B050"/>
  </sheetPr>
  <dimension ref="A1:CI32"/>
  <sheetViews>
    <sheetView zoomScale="70" zoomScaleNormal="70" workbookViewId="0">
      <pane xSplit="5" ySplit="7" topLeftCell="P16" activePane="bottomRight" state="frozen"/>
      <selection activeCell="A2" sqref="A2:A4"/>
      <selection pane="topRight" activeCell="A2" sqref="A2:A4"/>
      <selection pane="bottomLeft" activeCell="A2" sqref="A2:A4"/>
      <selection pane="bottomRight" activeCell="CJ1" sqref="CJ1:CL1048576"/>
    </sheetView>
  </sheetViews>
  <sheetFormatPr defaultColWidth="9.140625" defaultRowHeight="15"/>
  <cols>
    <col min="1" max="1" width="10.5703125" style="1410" bestFit="1" customWidth="1"/>
    <col min="2" max="2" width="18.28515625" style="1380" customWidth="1"/>
    <col min="3" max="3" width="52" style="1196" bestFit="1" customWidth="1"/>
    <col min="4" max="4" width="10.42578125" style="1130" customWidth="1"/>
    <col min="5" max="5" width="13" style="1130" customWidth="1"/>
    <col min="6" max="6" width="14.140625" style="1411" hidden="1" customWidth="1"/>
    <col min="7" max="7" width="20" style="1411" hidden="1" customWidth="1"/>
    <col min="8" max="10" width="14.140625" style="1411" hidden="1" customWidth="1"/>
    <col min="11" max="11" width="10.85546875" style="1378" hidden="1" customWidth="1"/>
    <col min="12" max="12" width="12" style="1378" hidden="1" customWidth="1"/>
    <col min="13" max="13" width="13" style="1378" hidden="1" customWidth="1"/>
    <col min="14" max="14" width="12.42578125" style="1378" hidden="1" customWidth="1"/>
    <col min="15" max="15" width="12.140625" style="1378" hidden="1" customWidth="1"/>
    <col min="16" max="16" width="42.5703125" style="1410" customWidth="1"/>
    <col min="17" max="17" width="39.42578125" style="1410" customWidth="1"/>
    <col min="18" max="18" width="14.140625" style="1378" customWidth="1"/>
    <col min="19" max="19" width="14" style="1378" hidden="1" customWidth="1"/>
    <col min="20" max="37" width="0" style="1378" hidden="1" customWidth="1"/>
    <col min="38" max="38" width="12.5703125" style="1378" hidden="1" customWidth="1"/>
    <col min="39" max="53" width="0" style="1378" hidden="1" customWidth="1"/>
    <col min="54" max="54" width="9.140625" style="1378"/>
    <col min="55" max="55" width="13.5703125" style="1378" bestFit="1" customWidth="1"/>
    <col min="56" max="56" width="11.7109375" style="1378" bestFit="1" customWidth="1"/>
    <col min="57" max="57" width="14.28515625" style="1378" bestFit="1" customWidth="1"/>
    <col min="58" max="58" width="11.7109375" style="1378" bestFit="1" customWidth="1"/>
    <col min="59" max="59" width="12.140625" style="1378" bestFit="1" customWidth="1"/>
    <col min="60" max="60" width="9.140625" style="1378"/>
    <col min="61" max="61" width="11.42578125" style="1378" bestFit="1" customWidth="1"/>
    <col min="62" max="62" width="9.140625" style="1378"/>
    <col min="63" max="63" width="10.5703125" style="1378" bestFit="1" customWidth="1"/>
    <col min="64" max="64" width="12.5703125" style="1378" bestFit="1" customWidth="1"/>
    <col min="65" max="65" width="10" style="1378" bestFit="1" customWidth="1"/>
    <col min="66" max="67" width="9.140625" style="1378"/>
    <col min="68" max="68" width="10.28515625" style="1378" bestFit="1" customWidth="1"/>
    <col min="69" max="69" width="13" style="1378" bestFit="1" customWidth="1"/>
    <col min="70" max="70" width="14.28515625" style="1378" bestFit="1" customWidth="1"/>
    <col min="71" max="73" width="9.140625" style="1378"/>
    <col min="74" max="74" width="12" style="1378" bestFit="1" customWidth="1"/>
    <col min="75" max="78" width="9.140625" style="1378"/>
    <col min="79" max="79" width="10.7109375" style="1378" bestFit="1" customWidth="1"/>
    <col min="80" max="80" width="12" style="1378" bestFit="1" customWidth="1"/>
    <col min="81" max="81" width="10.140625" style="1378" bestFit="1" customWidth="1"/>
    <col min="82" max="82" width="10" style="1378" bestFit="1" customWidth="1"/>
    <col min="83" max="16384" width="9.140625" style="1378"/>
  </cols>
  <sheetData>
    <row r="1" spans="1:87" ht="12.6" customHeight="1">
      <c r="A1" s="3869" t="s">
        <v>395</v>
      </c>
      <c r="B1" s="3870"/>
      <c r="C1" s="3871"/>
      <c r="D1" s="1222"/>
      <c r="E1" s="3858" t="s">
        <v>4534</v>
      </c>
      <c r="F1" s="3909" t="s">
        <v>4532</v>
      </c>
      <c r="G1" s="3910"/>
      <c r="H1" s="3910"/>
      <c r="I1" s="3910"/>
      <c r="J1" s="3910"/>
      <c r="K1" s="3910"/>
      <c r="L1" s="3910"/>
      <c r="M1" s="3910"/>
      <c r="N1" s="3911"/>
      <c r="O1" s="3793" t="s">
        <v>65</v>
      </c>
      <c r="P1" s="3794"/>
      <c r="Q1" s="3794"/>
      <c r="R1" s="3794"/>
      <c r="S1" s="3794"/>
      <c r="T1" s="3794"/>
      <c r="U1" s="3794"/>
      <c r="V1" s="3794"/>
      <c r="W1" s="3794"/>
      <c r="X1" s="3794"/>
      <c r="Y1" s="3794"/>
      <c r="Z1" s="3794"/>
      <c r="AA1" s="3794"/>
      <c r="AB1" s="3794"/>
      <c r="AC1" s="3794"/>
      <c r="AD1" s="3794"/>
      <c r="AE1" s="3794"/>
      <c r="AF1" s="3794"/>
      <c r="AG1" s="3794"/>
      <c r="AH1" s="3794"/>
      <c r="AI1" s="3900" t="s">
        <v>4219</v>
      </c>
      <c r="AJ1" s="3901"/>
      <c r="AK1" s="3901"/>
      <c r="AL1" s="3901"/>
      <c r="AM1" s="3901"/>
      <c r="AN1" s="3901"/>
      <c r="AO1" s="3902"/>
      <c r="AP1" s="3889" t="s">
        <v>80</v>
      </c>
      <c r="AQ1" s="3890"/>
      <c r="AR1" s="3890"/>
      <c r="AS1" s="3890"/>
      <c r="AT1" s="3890"/>
      <c r="AU1" s="3890"/>
      <c r="AV1" s="3890"/>
      <c r="AW1" s="3890"/>
      <c r="AX1" s="3890"/>
      <c r="AY1" s="3890"/>
      <c r="AZ1" s="3890"/>
      <c r="BA1" s="3891"/>
    </row>
    <row r="2" spans="1:87" s="1380" customFormat="1" ht="30">
      <c r="A2" s="3855" t="str">
        <f>HYPERLINK("#Index!A4", "Index Pg")</f>
        <v>Index Pg</v>
      </c>
      <c r="B2" s="1379" t="str">
        <f>HYPERLINK("#'Summary of Abstracts'!A2", "Summary of Abst.")</f>
        <v>Summary of Abst.</v>
      </c>
      <c r="C2" s="869"/>
      <c r="D2" s="1224"/>
      <c r="E2" s="3858"/>
      <c r="F2" s="906" t="s">
        <v>113</v>
      </c>
      <c r="G2" s="906" t="s">
        <v>126</v>
      </c>
      <c r="H2" s="906" t="s">
        <v>86</v>
      </c>
      <c r="I2" s="906" t="s">
        <v>4530</v>
      </c>
      <c r="J2" s="906" t="s">
        <v>91</v>
      </c>
      <c r="K2" s="1225" t="s">
        <v>3933</v>
      </c>
      <c r="L2" s="907" t="s">
        <v>4531</v>
      </c>
      <c r="M2" s="906" t="s">
        <v>4535</v>
      </c>
      <c r="N2" s="907" t="s">
        <v>203</v>
      </c>
      <c r="O2" s="908" t="s">
        <v>4218</v>
      </c>
      <c r="P2" s="909" t="s">
        <v>3751</v>
      </c>
      <c r="Q2" s="909" t="s">
        <v>4543</v>
      </c>
      <c r="R2" s="909" t="s">
        <v>4540</v>
      </c>
      <c r="S2" s="909" t="s">
        <v>4541</v>
      </c>
      <c r="T2" s="909" t="s">
        <v>4542</v>
      </c>
      <c r="U2" s="909" t="s">
        <v>4544</v>
      </c>
      <c r="V2" s="909" t="s">
        <v>4528</v>
      </c>
      <c r="W2" s="909" t="s">
        <v>4545</v>
      </c>
      <c r="X2" s="909" t="s">
        <v>29</v>
      </c>
      <c r="Y2" s="909" t="s">
        <v>4546</v>
      </c>
      <c r="Z2" s="909" t="s">
        <v>4547</v>
      </c>
      <c r="AA2" s="909" t="s">
        <v>4537</v>
      </c>
      <c r="AB2" s="909" t="s">
        <v>737</v>
      </c>
      <c r="AC2" s="909" t="s">
        <v>4538</v>
      </c>
      <c r="AD2" s="909" t="s">
        <v>4539</v>
      </c>
      <c r="AE2" s="909" t="s">
        <v>2293</v>
      </c>
      <c r="AF2" s="909" t="s">
        <v>4548</v>
      </c>
      <c r="AG2" s="909" t="s">
        <v>3750</v>
      </c>
      <c r="AH2" s="909" t="s">
        <v>302</v>
      </c>
      <c r="AI2" s="910" t="s">
        <v>288</v>
      </c>
      <c r="AJ2" s="910" t="s">
        <v>109</v>
      </c>
      <c r="AK2" s="910" t="s">
        <v>141</v>
      </c>
      <c r="AL2" s="910" t="s">
        <v>4525</v>
      </c>
      <c r="AM2" s="910" t="s">
        <v>3223</v>
      </c>
      <c r="AN2" s="910" t="s">
        <v>3855</v>
      </c>
      <c r="AO2" s="910" t="s">
        <v>4405</v>
      </c>
      <c r="AP2" s="911" t="s">
        <v>81</v>
      </c>
      <c r="AQ2" s="911" t="s">
        <v>145</v>
      </c>
      <c r="AR2" s="911" t="s">
        <v>394</v>
      </c>
      <c r="AS2" s="911" t="s">
        <v>147</v>
      </c>
      <c r="AT2" s="911" t="s">
        <v>410</v>
      </c>
      <c r="AU2" s="911" t="s">
        <v>4459</v>
      </c>
      <c r="AV2" s="911" t="s">
        <v>3989</v>
      </c>
      <c r="AW2" s="911" t="s">
        <v>307</v>
      </c>
      <c r="AX2" s="911" t="s">
        <v>309</v>
      </c>
      <c r="AY2" s="911" t="s">
        <v>1028</v>
      </c>
      <c r="AZ2" s="911" t="s">
        <v>1014</v>
      </c>
      <c r="BA2" s="911" t="s">
        <v>4533</v>
      </c>
    </row>
    <row r="3" spans="1:87" s="1380" customFormat="1">
      <c r="A3" s="3856"/>
      <c r="B3" s="864" t="str">
        <f>HYPERLINK("#'Budget Summary I'!A1:AL1", "Budget Summary I")</f>
        <v>Budget Summary I</v>
      </c>
      <c r="C3" s="865" t="s">
        <v>4460</v>
      </c>
      <c r="D3" s="1224"/>
      <c r="E3" s="1226">
        <f>R7</f>
        <v>4081.2</v>
      </c>
      <c r="F3" s="161">
        <f>R8</f>
        <v>635.6</v>
      </c>
      <c r="G3" s="161">
        <f>R9</f>
        <v>0</v>
      </c>
      <c r="H3" s="161">
        <f>R10</f>
        <v>0</v>
      </c>
      <c r="I3" s="161"/>
      <c r="J3" s="161"/>
      <c r="K3" s="985"/>
      <c r="L3" s="161"/>
      <c r="M3" s="161"/>
      <c r="N3" s="985"/>
      <c r="O3" s="985"/>
      <c r="P3" s="985"/>
      <c r="Q3" s="985"/>
      <c r="R3" s="985">
        <f>R13+R15+R16+R17+R18+R20+R21+R29</f>
        <v>3342.6</v>
      </c>
      <c r="S3" s="985"/>
      <c r="T3" s="985"/>
      <c r="U3" s="985"/>
      <c r="V3" s="985"/>
      <c r="W3" s="985"/>
      <c r="X3" s="985"/>
      <c r="Y3" s="985"/>
      <c r="Z3" s="985"/>
      <c r="AA3" s="985"/>
      <c r="AB3" s="985"/>
      <c r="AC3" s="985"/>
      <c r="AD3" s="985"/>
      <c r="AE3" s="985"/>
      <c r="AF3" s="985"/>
      <c r="AG3" s="985"/>
      <c r="AH3" s="985"/>
      <c r="AI3" s="985"/>
      <c r="AJ3" s="985"/>
      <c r="AK3" s="985"/>
      <c r="AL3" s="985">
        <f>R23+R24</f>
        <v>103</v>
      </c>
      <c r="AM3" s="985"/>
      <c r="AN3" s="985"/>
      <c r="AO3" s="985"/>
      <c r="AP3" s="985"/>
      <c r="AQ3" s="985">
        <f>R28</f>
        <v>0</v>
      </c>
      <c r="AR3" s="985"/>
      <c r="AS3" s="985"/>
      <c r="AT3" s="985">
        <f>R26+R27</f>
        <v>0</v>
      </c>
      <c r="AU3" s="985"/>
      <c r="AV3" s="985"/>
      <c r="AW3" s="985"/>
      <c r="AX3" s="985"/>
      <c r="AY3" s="985"/>
      <c r="AZ3" s="985"/>
      <c r="BA3" s="985"/>
    </row>
    <row r="4" spans="1:87" s="1380" customFormat="1">
      <c r="A4" s="3857"/>
      <c r="B4" s="864" t="str">
        <f>HYPERLINK("#'Budget Summary II'!A3:B5", "Budget Summary II")</f>
        <v>Budget Summary II</v>
      </c>
      <c r="C4" s="865" t="s">
        <v>4461</v>
      </c>
      <c r="D4" s="1224"/>
      <c r="E4" s="1226">
        <f>O7</f>
        <v>4403.1709300000002</v>
      </c>
      <c r="F4" s="161">
        <f>O8</f>
        <v>700</v>
      </c>
      <c r="G4" s="161">
        <f>O9</f>
        <v>0</v>
      </c>
      <c r="H4" s="161">
        <f>O10</f>
        <v>0</v>
      </c>
      <c r="I4" s="161"/>
      <c r="J4" s="161"/>
      <c r="K4" s="985"/>
      <c r="L4" s="161"/>
      <c r="M4" s="161"/>
      <c r="N4" s="985"/>
      <c r="O4" s="985"/>
      <c r="P4" s="985"/>
      <c r="Q4" s="985"/>
      <c r="R4" s="985">
        <f>O13+O15+O16+O17+O18+O20+O21+O29</f>
        <v>3600.1987199999999</v>
      </c>
      <c r="S4" s="985"/>
      <c r="T4" s="985"/>
      <c r="U4" s="985"/>
      <c r="V4" s="985"/>
      <c r="W4" s="985"/>
      <c r="X4" s="985"/>
      <c r="Y4" s="985"/>
      <c r="Z4" s="985"/>
      <c r="AA4" s="985"/>
      <c r="AB4" s="985"/>
      <c r="AC4" s="985"/>
      <c r="AD4" s="985"/>
      <c r="AE4" s="985"/>
      <c r="AF4" s="985"/>
      <c r="AG4" s="985"/>
      <c r="AH4" s="985"/>
      <c r="AI4" s="985"/>
      <c r="AJ4" s="985"/>
      <c r="AK4" s="985"/>
      <c r="AL4" s="985">
        <f>O23+O24</f>
        <v>102.97221</v>
      </c>
      <c r="AM4" s="985"/>
      <c r="AN4" s="985"/>
      <c r="AO4" s="985"/>
      <c r="AP4" s="985"/>
      <c r="AQ4" s="985">
        <f>O28</f>
        <v>0</v>
      </c>
      <c r="AR4" s="985"/>
      <c r="AS4" s="985"/>
      <c r="AT4" s="985">
        <f>O26+O27</f>
        <v>0</v>
      </c>
      <c r="AU4" s="985"/>
      <c r="AV4" s="985"/>
      <c r="AW4" s="985"/>
      <c r="AX4" s="985"/>
      <c r="AY4" s="985"/>
      <c r="AZ4" s="985"/>
      <c r="BA4" s="985"/>
    </row>
    <row r="5" spans="1:87" s="1130" customFormat="1" ht="12.75" customHeight="1">
      <c r="A5" s="3801" t="s">
        <v>48</v>
      </c>
      <c r="B5" s="3801" t="s">
        <v>49</v>
      </c>
      <c r="C5" s="3801" t="s">
        <v>50</v>
      </c>
      <c r="D5" s="3801" t="s">
        <v>51</v>
      </c>
      <c r="E5" s="3801" t="s">
        <v>52</v>
      </c>
      <c r="F5" s="3866" t="s">
        <v>4478</v>
      </c>
      <c r="G5" s="3866"/>
      <c r="H5" s="3866"/>
      <c r="I5" s="3866"/>
      <c r="J5" s="3866"/>
      <c r="K5" s="3894" t="s">
        <v>4484</v>
      </c>
      <c r="L5" s="3903"/>
      <c r="M5" s="3903"/>
      <c r="N5" s="3903"/>
      <c r="O5" s="3903"/>
      <c r="P5" s="3904"/>
      <c r="Q5" s="3905" t="s">
        <v>4514</v>
      </c>
      <c r="R5" s="3906"/>
    </row>
    <row r="6" spans="1:87" s="1130" customFormat="1" ht="60">
      <c r="A6" s="3801"/>
      <c r="B6" s="3801"/>
      <c r="C6" s="3801"/>
      <c r="D6" s="3801"/>
      <c r="E6" s="3801"/>
      <c r="F6" s="918" t="s">
        <v>4479</v>
      </c>
      <c r="G6" s="918" t="s">
        <v>4482</v>
      </c>
      <c r="H6" s="918" t="s">
        <v>4480</v>
      </c>
      <c r="I6" s="918" t="s">
        <v>4483</v>
      </c>
      <c r="J6" s="918" t="s">
        <v>2448</v>
      </c>
      <c r="K6" s="919" t="s">
        <v>53</v>
      </c>
      <c r="L6" s="919" t="s">
        <v>54</v>
      </c>
      <c r="M6" s="1228" t="s">
        <v>55</v>
      </c>
      <c r="N6" s="919" t="s">
        <v>56</v>
      </c>
      <c r="O6" s="1228" t="s">
        <v>57</v>
      </c>
      <c r="P6" s="919" t="s">
        <v>5069</v>
      </c>
      <c r="Q6" s="921" t="s">
        <v>2450</v>
      </c>
      <c r="R6" s="1229" t="s">
        <v>4515</v>
      </c>
      <c r="S6" s="3106" t="s">
        <v>4538</v>
      </c>
      <c r="BB6" s="3153" t="s">
        <v>5973</v>
      </c>
      <c r="BC6" s="3153" t="s">
        <v>5432</v>
      </c>
      <c r="BD6" s="3153" t="s">
        <v>5433</v>
      </c>
      <c r="BE6" s="3153" t="s">
        <v>5434</v>
      </c>
      <c r="BF6" s="3153" t="s">
        <v>5435</v>
      </c>
      <c r="BG6" s="3153" t="s">
        <v>5436</v>
      </c>
      <c r="BH6" s="3153" t="s">
        <v>5437</v>
      </c>
      <c r="BI6" s="3153" t="s">
        <v>5959</v>
      </c>
      <c r="BJ6" s="3153" t="s">
        <v>5438</v>
      </c>
      <c r="BK6" s="3153" t="s">
        <v>5439</v>
      </c>
      <c r="BL6" s="3153" t="s">
        <v>5960</v>
      </c>
      <c r="BM6" s="3153" t="s">
        <v>5440</v>
      </c>
      <c r="BN6" s="3153" t="s">
        <v>5441</v>
      </c>
      <c r="BO6" s="3153" t="s">
        <v>5961</v>
      </c>
      <c r="BP6" s="3153" t="s">
        <v>5974</v>
      </c>
      <c r="BQ6" s="3153" t="s">
        <v>5975</v>
      </c>
      <c r="BR6" s="3153" t="s">
        <v>5976</v>
      </c>
      <c r="BS6" s="3153" t="s">
        <v>5977</v>
      </c>
      <c r="BT6" s="3153" t="s">
        <v>5978</v>
      </c>
      <c r="BU6" s="3153" t="s">
        <v>5979</v>
      </c>
      <c r="BV6" s="3153" t="s">
        <v>5962</v>
      </c>
      <c r="BW6" s="3153" t="s">
        <v>5963</v>
      </c>
      <c r="BX6" s="3153" t="s">
        <v>5964</v>
      </c>
      <c r="BY6" s="3153" t="s">
        <v>5965</v>
      </c>
      <c r="BZ6" s="3153" t="s">
        <v>5966</v>
      </c>
      <c r="CA6" s="3153" t="s">
        <v>5967</v>
      </c>
      <c r="CB6" s="3153" t="s">
        <v>5968</v>
      </c>
      <c r="CC6" s="3153" t="s">
        <v>5969</v>
      </c>
      <c r="CD6" s="3153" t="s">
        <v>5970</v>
      </c>
      <c r="CE6" s="3153" t="s">
        <v>5980</v>
      </c>
      <c r="CF6" s="3153" t="s">
        <v>5971</v>
      </c>
      <c r="CG6" s="3153" t="s">
        <v>5981</v>
      </c>
      <c r="CH6" s="3153" t="s">
        <v>5982</v>
      </c>
      <c r="CI6" s="3153" t="s">
        <v>5972</v>
      </c>
    </row>
    <row r="7" spans="1:87">
      <c r="A7" s="217">
        <v>7</v>
      </c>
      <c r="B7" s="990"/>
      <c r="C7" s="217" t="s">
        <v>16</v>
      </c>
      <c r="D7" s="217"/>
      <c r="E7" s="217"/>
      <c r="F7" s="217"/>
      <c r="G7" s="217"/>
      <c r="H7" s="217"/>
      <c r="I7" s="217"/>
      <c r="J7" s="217"/>
      <c r="K7" s="217"/>
      <c r="L7" s="217"/>
      <c r="M7" s="217"/>
      <c r="N7" s="217"/>
      <c r="O7" s="429">
        <f>O8+O9+O10+O11+O22+O25+O28+O29</f>
        <v>4403.1709300000002</v>
      </c>
      <c r="P7" s="217"/>
      <c r="Q7" s="217"/>
      <c r="R7" s="429">
        <f>R8+R9+R10+R11+R22+R25+R28+R29</f>
        <v>4081.2</v>
      </c>
      <c r="S7" s="1378">
        <v>0</v>
      </c>
      <c r="BB7" s="3218"/>
      <c r="BC7" s="3218"/>
      <c r="BD7" s="3218"/>
      <c r="BE7" s="3218"/>
      <c r="BF7" s="3218"/>
      <c r="BG7" s="3218"/>
      <c r="BH7" s="3218"/>
      <c r="BI7" s="3218"/>
      <c r="BJ7" s="3218"/>
      <c r="BK7" s="3218"/>
      <c r="BL7" s="3218"/>
      <c r="BM7" s="3218"/>
      <c r="BN7" s="3218"/>
      <c r="BO7" s="3218"/>
      <c r="BP7" s="3218"/>
      <c r="BQ7" s="3218"/>
      <c r="BR7" s="3218"/>
      <c r="BS7" s="3218"/>
      <c r="BT7" s="3218"/>
      <c r="BU7" s="3218"/>
      <c r="BV7" s="3218"/>
      <c r="BW7" s="3218"/>
      <c r="BX7" s="3218"/>
      <c r="BY7" s="3218"/>
      <c r="BZ7" s="3218"/>
      <c r="CA7" s="3218"/>
      <c r="CB7" s="3218"/>
      <c r="CC7" s="3218"/>
      <c r="CD7" s="3218"/>
      <c r="CE7" s="3218"/>
      <c r="CF7" s="3218"/>
      <c r="CG7" s="3218"/>
      <c r="CH7" s="3218"/>
      <c r="CI7" s="3218">
        <f>SUM(BB7:CH7)</f>
        <v>0</v>
      </c>
    </row>
    <row r="8" spans="1:87" s="1380" customFormat="1" ht="60">
      <c r="A8" s="902">
        <v>7.1</v>
      </c>
      <c r="B8" s="1080" t="s">
        <v>396</v>
      </c>
      <c r="C8" s="1072" t="s">
        <v>397</v>
      </c>
      <c r="D8" s="2254" t="s">
        <v>85</v>
      </c>
      <c r="E8" s="2287" t="s">
        <v>113</v>
      </c>
      <c r="F8" s="2659">
        <v>137874</v>
      </c>
      <c r="G8" s="2659"/>
      <c r="H8" s="2659">
        <v>689.37</v>
      </c>
      <c r="I8" s="2208">
        <v>314.98</v>
      </c>
      <c r="J8" s="2208">
        <v>372.89</v>
      </c>
      <c r="K8" s="2208">
        <v>1</v>
      </c>
      <c r="L8" s="361">
        <v>500</v>
      </c>
      <c r="M8" s="1381">
        <f>L8/100000</f>
        <v>5.0000000000000001E-3</v>
      </c>
      <c r="N8" s="361">
        <v>140000</v>
      </c>
      <c r="O8" s="1382">
        <f>M8*N8</f>
        <v>700</v>
      </c>
      <c r="P8" s="352" t="s">
        <v>5157</v>
      </c>
      <c r="Q8" s="233" t="str">
        <f>'Ab1. RMNCH+A'!Q55</f>
        <v>Ongoing activity:  Recmmended for approval of Rs. 635.60 lakhs for free referral transport under JSSK for pregnant women @ Rs. 500/- for 127120 cases</v>
      </c>
      <c r="R8" s="655">
        <f>'Ab1. RMNCH+A'!R55</f>
        <v>635.6</v>
      </c>
      <c r="BB8" s="3219">
        <v>635.6</v>
      </c>
      <c r="BC8" s="3219"/>
      <c r="BD8" s="3219"/>
      <c r="BE8" s="3219"/>
      <c r="BF8" s="3219"/>
      <c r="BG8" s="3219"/>
      <c r="BH8" s="3219"/>
      <c r="BI8" s="3219"/>
      <c r="BJ8" s="3219"/>
      <c r="BK8" s="3219"/>
      <c r="BL8" s="3219"/>
      <c r="BM8" s="3219"/>
      <c r="BN8" s="3219"/>
      <c r="BO8" s="3219"/>
      <c r="BP8" s="3219"/>
      <c r="BQ8" s="3219"/>
      <c r="BR8" s="3219"/>
      <c r="BS8" s="3219"/>
      <c r="BT8" s="3219"/>
      <c r="BU8" s="3219"/>
      <c r="BV8" s="3219"/>
      <c r="BW8" s="3219"/>
      <c r="BX8" s="3219"/>
      <c r="BY8" s="3219"/>
      <c r="BZ8" s="3219"/>
      <c r="CA8" s="3219"/>
      <c r="CB8" s="3219"/>
      <c r="CC8" s="3219"/>
      <c r="CD8" s="3219"/>
      <c r="CE8" s="3219"/>
      <c r="CF8" s="3219"/>
      <c r="CG8" s="3219"/>
      <c r="CH8" s="3219"/>
      <c r="CI8" s="3218">
        <f t="shared" ref="CI8:CI31" si="0">SUM(BB8:CH8)</f>
        <v>635.6</v>
      </c>
    </row>
    <row r="9" spans="1:87">
      <c r="A9" s="902">
        <v>7.2</v>
      </c>
      <c r="B9" s="1080" t="s">
        <v>398</v>
      </c>
      <c r="C9" s="1072" t="s">
        <v>399</v>
      </c>
      <c r="D9" s="1005" t="s">
        <v>85</v>
      </c>
      <c r="E9" s="1019" t="s">
        <v>126</v>
      </c>
      <c r="F9" s="2659">
        <v>0</v>
      </c>
      <c r="G9" s="2659"/>
      <c r="H9" s="2659">
        <v>0</v>
      </c>
      <c r="I9" s="286"/>
      <c r="J9" s="363"/>
      <c r="K9" s="363"/>
      <c r="L9" s="361"/>
      <c r="M9" s="1381">
        <f>L9/100000</f>
        <v>0</v>
      </c>
      <c r="N9" s="361"/>
      <c r="O9" s="1382">
        <f>M9*N9</f>
        <v>0</v>
      </c>
      <c r="P9" s="362"/>
      <c r="Q9" s="233" t="str">
        <f>'Ab1. RMNCH+A'!Q145</f>
        <v>-</v>
      </c>
      <c r="R9" s="655">
        <f>'Ab1. RMNCH+A'!R145</f>
        <v>0</v>
      </c>
      <c r="BB9" s="3218"/>
      <c r="BC9" s="3218"/>
      <c r="BD9" s="3218"/>
      <c r="BE9" s="3218"/>
      <c r="BF9" s="3218"/>
      <c r="BG9" s="3218"/>
      <c r="BH9" s="3218"/>
      <c r="BI9" s="3218"/>
      <c r="BJ9" s="3218"/>
      <c r="BK9" s="3218"/>
      <c r="BL9" s="3218"/>
      <c r="BM9" s="3218"/>
      <c r="BN9" s="3218"/>
      <c r="BO9" s="3218"/>
      <c r="BP9" s="3218"/>
      <c r="BQ9" s="3218"/>
      <c r="BR9" s="3218"/>
      <c r="BS9" s="3218"/>
      <c r="BT9" s="3218"/>
      <c r="BU9" s="3218"/>
      <c r="BV9" s="3218"/>
      <c r="BW9" s="3218"/>
      <c r="BX9" s="3218"/>
      <c r="BY9" s="3218"/>
      <c r="BZ9" s="3218"/>
      <c r="CA9" s="3218"/>
      <c r="CB9" s="3218"/>
      <c r="CC9" s="3218"/>
      <c r="CD9" s="3218"/>
      <c r="CE9" s="3218"/>
      <c r="CF9" s="3218"/>
      <c r="CG9" s="3218"/>
      <c r="CH9" s="3218"/>
      <c r="CI9" s="3218">
        <f t="shared" si="0"/>
        <v>0</v>
      </c>
    </row>
    <row r="10" spans="1:87">
      <c r="A10" s="902">
        <v>7.3</v>
      </c>
      <c r="B10" s="233" t="s">
        <v>404</v>
      </c>
      <c r="C10" s="902" t="s">
        <v>405</v>
      </c>
      <c r="D10" s="1005" t="s">
        <v>85</v>
      </c>
      <c r="E10" s="1019" t="s">
        <v>86</v>
      </c>
      <c r="F10" s="105">
        <v>0</v>
      </c>
      <c r="G10" s="105"/>
      <c r="H10" s="105">
        <v>0</v>
      </c>
      <c r="I10" s="105"/>
      <c r="J10" s="105"/>
      <c r="K10" s="105"/>
      <c r="L10" s="361"/>
      <c r="M10" s="1381">
        <f>L10/100000</f>
        <v>0</v>
      </c>
      <c r="N10" s="361"/>
      <c r="O10" s="1383">
        <f>M10*N10</f>
        <v>0</v>
      </c>
      <c r="P10" s="105"/>
      <c r="Q10" s="233" t="str">
        <f>'Ab1. RMNCH+A'!Q235</f>
        <v>--</v>
      </c>
      <c r="R10" s="655">
        <f>'Ab1. RMNCH+A'!R235</f>
        <v>0</v>
      </c>
      <c r="BB10" s="3218"/>
      <c r="BC10" s="3218"/>
      <c r="BD10" s="3218"/>
      <c r="BE10" s="3218"/>
      <c r="BF10" s="3218"/>
      <c r="BG10" s="3218"/>
      <c r="BH10" s="3218"/>
      <c r="BI10" s="3218"/>
      <c r="BJ10" s="3218"/>
      <c r="BK10" s="3218"/>
      <c r="BL10" s="3218"/>
      <c r="BM10" s="3218"/>
      <c r="BN10" s="3218"/>
      <c r="BO10" s="3218"/>
      <c r="BP10" s="3218"/>
      <c r="BQ10" s="3218"/>
      <c r="BR10" s="3218"/>
      <c r="BS10" s="3218"/>
      <c r="BT10" s="3218"/>
      <c r="BU10" s="3218"/>
      <c r="BV10" s="3218"/>
      <c r="BW10" s="3218"/>
      <c r="BX10" s="3218"/>
      <c r="BY10" s="3218"/>
      <c r="BZ10" s="3218"/>
      <c r="CA10" s="3218"/>
      <c r="CB10" s="3218"/>
      <c r="CC10" s="3218"/>
      <c r="CD10" s="3218"/>
      <c r="CE10" s="3218"/>
      <c r="CF10" s="3218"/>
      <c r="CG10" s="3218"/>
      <c r="CH10" s="3218"/>
      <c r="CI10" s="3218">
        <f t="shared" si="0"/>
        <v>0</v>
      </c>
    </row>
    <row r="11" spans="1:87">
      <c r="A11" s="331">
        <v>7.4</v>
      </c>
      <c r="B11" s="1199" t="s">
        <v>402</v>
      </c>
      <c r="C11" s="1053" t="s">
        <v>403</v>
      </c>
      <c r="D11" s="1245"/>
      <c r="E11" s="1245"/>
      <c r="F11" s="318"/>
      <c r="G11" s="318"/>
      <c r="H11" s="318"/>
      <c r="I11" s="318"/>
      <c r="J11" s="318"/>
      <c r="K11" s="318"/>
      <c r="L11" s="318"/>
      <c r="M11" s="1384"/>
      <c r="N11" s="364"/>
      <c r="O11" s="464">
        <f>O12+O19+O21</f>
        <v>3600.1987199999999</v>
      </c>
      <c r="P11" s="96"/>
      <c r="Q11" s="438"/>
      <c r="R11" s="689">
        <f>R12+R19+R21</f>
        <v>3342.6</v>
      </c>
      <c r="BB11" s="3218"/>
      <c r="BC11" s="3218"/>
      <c r="BD11" s="3218"/>
      <c r="BE11" s="3218"/>
      <c r="BF11" s="3218"/>
      <c r="BG11" s="3218"/>
      <c r="BH11" s="3218"/>
      <c r="BI11" s="3218"/>
      <c r="BJ11" s="3218"/>
      <c r="BK11" s="3218"/>
      <c r="BL11" s="3218"/>
      <c r="BM11" s="3218"/>
      <c r="BN11" s="3218"/>
      <c r="BO11" s="3218"/>
      <c r="BP11" s="3218"/>
      <c r="BQ11" s="3218"/>
      <c r="BR11" s="3218"/>
      <c r="BS11" s="3218"/>
      <c r="BT11" s="3218"/>
      <c r="BU11" s="3218"/>
      <c r="BV11" s="3218"/>
      <c r="BW11" s="3218"/>
      <c r="BX11" s="3218"/>
      <c r="BY11" s="3218"/>
      <c r="BZ11" s="3218"/>
      <c r="CA11" s="3218"/>
      <c r="CB11" s="3218"/>
      <c r="CC11" s="3218"/>
      <c r="CD11" s="3218"/>
      <c r="CE11" s="3218"/>
      <c r="CF11" s="3218"/>
      <c r="CG11" s="3218"/>
      <c r="CH11" s="3218"/>
      <c r="CI11" s="3218">
        <f t="shared" si="0"/>
        <v>0</v>
      </c>
    </row>
    <row r="12" spans="1:87">
      <c r="A12" s="1385" t="s">
        <v>2459</v>
      </c>
      <c r="B12" s="1386"/>
      <c r="C12" s="1387" t="s">
        <v>4466</v>
      </c>
      <c r="D12" s="1388"/>
      <c r="E12" s="1388"/>
      <c r="F12" s="365"/>
      <c r="G12" s="365"/>
      <c r="H12" s="365"/>
      <c r="I12" s="365"/>
      <c r="J12" s="365"/>
      <c r="K12" s="365"/>
      <c r="L12" s="365"/>
      <c r="M12" s="1389"/>
      <c r="N12" s="366"/>
      <c r="O12" s="1390">
        <f>O13+O14+O17+O18</f>
        <v>3600.1987199999999</v>
      </c>
      <c r="P12" s="365"/>
      <c r="Q12" s="1391"/>
      <c r="R12" s="3082">
        <f>R13+R14+R17+R18</f>
        <v>3342.6</v>
      </c>
      <c r="BB12" s="3218"/>
      <c r="BC12" s="3218"/>
      <c r="BD12" s="3218"/>
      <c r="BE12" s="3218"/>
      <c r="BF12" s="3218"/>
      <c r="BG12" s="3218"/>
      <c r="BH12" s="3218"/>
      <c r="BI12" s="3218"/>
      <c r="BJ12" s="3218"/>
      <c r="BK12" s="3218"/>
      <c r="BL12" s="3218"/>
      <c r="BM12" s="3218"/>
      <c r="BN12" s="3218"/>
      <c r="BO12" s="3218"/>
      <c r="BP12" s="3218"/>
      <c r="BQ12" s="3218"/>
      <c r="BR12" s="3218"/>
      <c r="BS12" s="3218"/>
      <c r="BT12" s="3218"/>
      <c r="BU12" s="3218"/>
      <c r="BV12" s="3218"/>
      <c r="BW12" s="3218"/>
      <c r="BX12" s="3218"/>
      <c r="BY12" s="3218"/>
      <c r="BZ12" s="3218"/>
      <c r="CA12" s="3218"/>
      <c r="CB12" s="3218"/>
      <c r="CC12" s="3218"/>
      <c r="CD12" s="3218"/>
      <c r="CE12" s="3218"/>
      <c r="CF12" s="3218"/>
      <c r="CG12" s="3218"/>
      <c r="CH12" s="3218"/>
      <c r="CI12" s="3218">
        <f t="shared" si="0"/>
        <v>0</v>
      </c>
    </row>
    <row r="13" spans="1:87">
      <c r="A13" s="473" t="s">
        <v>4308</v>
      </c>
      <c r="B13" s="521"/>
      <c r="C13" s="509" t="s">
        <v>4318</v>
      </c>
      <c r="D13" s="908" t="s">
        <v>65</v>
      </c>
      <c r="E13" s="1120" t="s">
        <v>65</v>
      </c>
      <c r="F13" s="2207">
        <v>0</v>
      </c>
      <c r="G13" s="367"/>
      <c r="H13" s="2207">
        <v>0</v>
      </c>
      <c r="I13" s="367"/>
      <c r="J13" s="367"/>
      <c r="K13" s="367"/>
      <c r="L13" s="277"/>
      <c r="M13" s="281">
        <f>L13/100000</f>
        <v>0</v>
      </c>
      <c r="N13" s="277"/>
      <c r="O13" s="1393">
        <f>M13*N13</f>
        <v>0</v>
      </c>
      <c r="P13" s="367"/>
      <c r="Q13" s="368"/>
      <c r="R13" s="369"/>
      <c r="BB13" s="3218"/>
      <c r="BC13" s="3218"/>
      <c r="BD13" s="3218"/>
      <c r="BE13" s="3218"/>
      <c r="BF13" s="3218"/>
      <c r="BG13" s="3218"/>
      <c r="BH13" s="3218"/>
      <c r="BI13" s="3218"/>
      <c r="BJ13" s="3218"/>
      <c r="BK13" s="3218"/>
      <c r="BL13" s="3218"/>
      <c r="BM13" s="3218"/>
      <c r="BN13" s="3218"/>
      <c r="BO13" s="3218"/>
      <c r="BP13" s="3218"/>
      <c r="BQ13" s="3218"/>
      <c r="BR13" s="3218"/>
      <c r="BS13" s="3218"/>
      <c r="BT13" s="3218"/>
      <c r="BU13" s="3218"/>
      <c r="BV13" s="3218"/>
      <c r="BW13" s="3218"/>
      <c r="BX13" s="3218"/>
      <c r="BY13" s="3218"/>
      <c r="BZ13" s="3218"/>
      <c r="CA13" s="3218"/>
      <c r="CB13" s="3218"/>
      <c r="CC13" s="3218"/>
      <c r="CD13" s="3218"/>
      <c r="CE13" s="3218"/>
      <c r="CF13" s="3218"/>
      <c r="CG13" s="3218"/>
      <c r="CH13" s="3218"/>
      <c r="CI13" s="3218">
        <f t="shared" si="0"/>
        <v>0</v>
      </c>
    </row>
    <row r="14" spans="1:87">
      <c r="A14" s="1394" t="s">
        <v>4309</v>
      </c>
      <c r="B14" s="1395"/>
      <c r="C14" s="1395" t="s">
        <v>4319</v>
      </c>
      <c r="D14" s="1396" t="s">
        <v>65</v>
      </c>
      <c r="E14" s="1396"/>
      <c r="F14" s="370"/>
      <c r="G14" s="370"/>
      <c r="H14" s="370"/>
      <c r="I14" s="370"/>
      <c r="J14" s="370"/>
      <c r="K14" s="370"/>
      <c r="L14" s="370"/>
      <c r="M14" s="1397"/>
      <c r="N14" s="371"/>
      <c r="O14" s="1397">
        <f>O15+O16</f>
        <v>3556.99872</v>
      </c>
      <c r="P14" s="370"/>
      <c r="Q14" s="1398"/>
      <c r="R14" s="1399">
        <f>R15+R16</f>
        <v>3299.4</v>
      </c>
      <c r="BB14" s="3218"/>
      <c r="BC14" s="3218"/>
      <c r="BD14" s="3218"/>
      <c r="BE14" s="3218"/>
      <c r="BF14" s="3218"/>
      <c r="BG14" s="3218"/>
      <c r="BH14" s="3218"/>
      <c r="BI14" s="3218"/>
      <c r="BJ14" s="3218"/>
      <c r="BK14" s="3218"/>
      <c r="BL14" s="3218"/>
      <c r="BM14" s="3218"/>
      <c r="BN14" s="3218"/>
      <c r="BO14" s="3218"/>
      <c r="BP14" s="3218"/>
      <c r="BQ14" s="3218"/>
      <c r="BR14" s="3218"/>
      <c r="BS14" s="3218"/>
      <c r="BT14" s="3218"/>
      <c r="BU14" s="3218"/>
      <c r="BV14" s="3218"/>
      <c r="BW14" s="3218"/>
      <c r="BX14" s="3218"/>
      <c r="BY14" s="3218"/>
      <c r="BZ14" s="3218"/>
      <c r="CA14" s="3218"/>
      <c r="CB14" s="3218"/>
      <c r="CC14" s="3218"/>
      <c r="CD14" s="3218"/>
      <c r="CE14" s="3218"/>
      <c r="CF14" s="3218"/>
      <c r="CG14" s="3218"/>
      <c r="CH14" s="3218"/>
      <c r="CI14" s="3218">
        <f t="shared" si="0"/>
        <v>0</v>
      </c>
    </row>
    <row r="15" spans="1:87" s="1380" customFormat="1" ht="409.5">
      <c r="A15" s="473" t="s">
        <v>4310</v>
      </c>
      <c r="B15" s="521"/>
      <c r="C15" s="521" t="s">
        <v>4320</v>
      </c>
      <c r="D15" s="982" t="s">
        <v>65</v>
      </c>
      <c r="E15" s="1075" t="s">
        <v>65</v>
      </c>
      <c r="F15" s="2608">
        <v>198</v>
      </c>
      <c r="G15" s="2609">
        <v>198</v>
      </c>
      <c r="H15" s="2610">
        <v>2245.7399999999998</v>
      </c>
      <c r="I15" s="2208"/>
      <c r="J15" s="2208">
        <f>H15-I15</f>
        <v>2245.7399999999998</v>
      </c>
      <c r="K15" s="2208">
        <v>1</v>
      </c>
      <c r="L15" s="2208">
        <v>1796464</v>
      </c>
      <c r="M15" s="2261">
        <f>L15/100000</f>
        <v>17.964639999999999</v>
      </c>
      <c r="N15" s="283">
        <v>198</v>
      </c>
      <c r="O15" s="1404">
        <f>M15*N15</f>
        <v>3556.99872</v>
      </c>
      <c r="P15" s="2321" t="s">
        <v>5158</v>
      </c>
      <c r="Q15" s="2831" t="s">
        <v>5771</v>
      </c>
      <c r="R15" s="2288">
        <v>3299.4</v>
      </c>
      <c r="BB15" s="3219">
        <v>3299.4</v>
      </c>
      <c r="BC15" s="3219"/>
      <c r="BD15" s="3219"/>
      <c r="BE15" s="3219"/>
      <c r="BF15" s="3219"/>
      <c r="BG15" s="3219"/>
      <c r="BH15" s="3219"/>
      <c r="BI15" s="3219"/>
      <c r="BJ15" s="3219"/>
      <c r="BK15" s="3219"/>
      <c r="BL15" s="3219"/>
      <c r="BM15" s="3219"/>
      <c r="BN15" s="3219"/>
      <c r="BO15" s="3219"/>
      <c r="BP15" s="3219"/>
      <c r="BQ15" s="3219"/>
      <c r="BR15" s="3219"/>
      <c r="BS15" s="3219"/>
      <c r="BT15" s="3219"/>
      <c r="BU15" s="3219"/>
      <c r="BV15" s="3219"/>
      <c r="BW15" s="3219"/>
      <c r="BX15" s="3219"/>
      <c r="BY15" s="3219"/>
      <c r="BZ15" s="3219"/>
      <c r="CA15" s="3219"/>
      <c r="CB15" s="3219"/>
      <c r="CC15" s="3219"/>
      <c r="CD15" s="3219"/>
      <c r="CE15" s="3219"/>
      <c r="CF15" s="3219"/>
      <c r="CG15" s="3219"/>
      <c r="CH15" s="3219"/>
      <c r="CI15" s="3218">
        <f t="shared" si="0"/>
        <v>3299.4</v>
      </c>
    </row>
    <row r="16" spans="1:87">
      <c r="A16" s="473" t="s">
        <v>4311</v>
      </c>
      <c r="B16" s="521"/>
      <c r="C16" s="509" t="s">
        <v>4321</v>
      </c>
      <c r="D16" s="908" t="s">
        <v>65</v>
      </c>
      <c r="E16" s="1120" t="s">
        <v>65</v>
      </c>
      <c r="F16" s="2661">
        <v>0</v>
      </c>
      <c r="G16" s="2662"/>
      <c r="H16" s="2663">
        <v>0</v>
      </c>
      <c r="I16" s="372"/>
      <c r="J16" s="332"/>
      <c r="K16" s="332"/>
      <c r="L16" s="277"/>
      <c r="M16" s="281">
        <f>L16/100000</f>
        <v>0</v>
      </c>
      <c r="N16" s="277"/>
      <c r="O16" s="1393">
        <f>M16*N16</f>
        <v>0</v>
      </c>
      <c r="P16" s="332"/>
      <c r="Q16" s="368"/>
      <c r="R16" s="369"/>
      <c r="BB16" s="3218"/>
      <c r="BC16" s="3218"/>
      <c r="BD16" s="3218"/>
      <c r="BE16" s="3218"/>
      <c r="BF16" s="3218"/>
      <c r="BG16" s="3218"/>
      <c r="BH16" s="3218"/>
      <c r="BI16" s="3218"/>
      <c r="BJ16" s="3218"/>
      <c r="BK16" s="3218"/>
      <c r="BL16" s="3218"/>
      <c r="BM16" s="3218"/>
      <c r="BN16" s="3218"/>
      <c r="BO16" s="3218"/>
      <c r="BP16" s="3218"/>
      <c r="BQ16" s="3218"/>
      <c r="BR16" s="3218"/>
      <c r="BS16" s="3218"/>
      <c r="BT16" s="3218"/>
      <c r="BU16" s="3218"/>
      <c r="BV16" s="3218"/>
      <c r="BW16" s="3218"/>
      <c r="BX16" s="3218"/>
      <c r="BY16" s="3218"/>
      <c r="BZ16" s="3218"/>
      <c r="CA16" s="3218"/>
      <c r="CB16" s="3218"/>
      <c r="CC16" s="3218"/>
      <c r="CD16" s="3218"/>
      <c r="CE16" s="3218"/>
      <c r="CF16" s="3218"/>
      <c r="CG16" s="3218"/>
      <c r="CH16" s="3218"/>
      <c r="CI16" s="3218">
        <f t="shared" si="0"/>
        <v>0</v>
      </c>
    </row>
    <row r="17" spans="1:87">
      <c r="A17" s="473" t="s">
        <v>4314</v>
      </c>
      <c r="B17" s="521"/>
      <c r="C17" s="509" t="s">
        <v>4317</v>
      </c>
      <c r="D17" s="908" t="s">
        <v>65</v>
      </c>
      <c r="E17" s="1120" t="s">
        <v>65</v>
      </c>
      <c r="F17" s="2661">
        <v>0</v>
      </c>
      <c r="G17" s="2662"/>
      <c r="H17" s="2663">
        <v>0</v>
      </c>
      <c r="I17" s="372"/>
      <c r="J17" s="332"/>
      <c r="K17" s="332"/>
      <c r="L17" s="277"/>
      <c r="M17" s="281">
        <f>L17/100000</f>
        <v>0</v>
      </c>
      <c r="N17" s="277"/>
      <c r="O17" s="1393">
        <f>M17*N17</f>
        <v>0</v>
      </c>
      <c r="P17" s="332"/>
      <c r="Q17" s="368"/>
      <c r="R17" s="369"/>
      <c r="BB17" s="3218"/>
      <c r="BC17" s="3218"/>
      <c r="BD17" s="3218"/>
      <c r="BE17" s="3218"/>
      <c r="BF17" s="3218"/>
      <c r="BG17" s="3218"/>
      <c r="BH17" s="3218"/>
      <c r="BI17" s="3218"/>
      <c r="BJ17" s="3218"/>
      <c r="BK17" s="3218"/>
      <c r="BL17" s="3218"/>
      <c r="BM17" s="3218"/>
      <c r="BN17" s="3218"/>
      <c r="BO17" s="3218"/>
      <c r="BP17" s="3218"/>
      <c r="BQ17" s="3218"/>
      <c r="BR17" s="3218"/>
      <c r="BS17" s="3218"/>
      <c r="BT17" s="3218"/>
      <c r="BU17" s="3218"/>
      <c r="BV17" s="3218"/>
      <c r="BW17" s="3218"/>
      <c r="BX17" s="3218"/>
      <c r="BY17" s="3218"/>
      <c r="BZ17" s="3218"/>
      <c r="CA17" s="3218"/>
      <c r="CB17" s="3218"/>
      <c r="CC17" s="3218"/>
      <c r="CD17" s="3218"/>
      <c r="CE17" s="3218"/>
      <c r="CF17" s="3218"/>
      <c r="CG17" s="3218"/>
      <c r="CH17" s="3218"/>
      <c r="CI17" s="3218">
        <f t="shared" si="0"/>
        <v>0</v>
      </c>
    </row>
    <row r="18" spans="1:87" s="1380" customFormat="1" ht="48" customHeight="1">
      <c r="A18" s="473" t="s">
        <v>4315</v>
      </c>
      <c r="B18" s="521"/>
      <c r="C18" s="521" t="s">
        <v>4316</v>
      </c>
      <c r="D18" s="982" t="s">
        <v>65</v>
      </c>
      <c r="E18" s="1075" t="s">
        <v>65</v>
      </c>
      <c r="F18" s="2660">
        <v>6</v>
      </c>
      <c r="G18" s="286"/>
      <c r="H18" s="2610">
        <v>21.6</v>
      </c>
      <c r="I18" s="2289"/>
      <c r="J18" s="2290">
        <f>H18-I18</f>
        <v>21.6</v>
      </c>
      <c r="K18" s="289">
        <v>1</v>
      </c>
      <c r="L18" s="2291">
        <v>720000</v>
      </c>
      <c r="M18" s="2261">
        <f>L18/100000</f>
        <v>7.2</v>
      </c>
      <c r="N18" s="283">
        <v>6</v>
      </c>
      <c r="O18" s="1404">
        <f>M18*N18</f>
        <v>43.2</v>
      </c>
      <c r="P18" s="2292" t="s">
        <v>5160</v>
      </c>
      <c r="Q18" s="2831" t="s">
        <v>5772</v>
      </c>
      <c r="R18" s="2288">
        <v>43.2</v>
      </c>
      <c r="BB18" s="3219">
        <v>43.2</v>
      </c>
      <c r="BC18" s="3219"/>
      <c r="BD18" s="3219"/>
      <c r="BE18" s="3219"/>
      <c r="BF18" s="3219"/>
      <c r="BG18" s="3219"/>
      <c r="BH18" s="3219"/>
      <c r="BI18" s="3219"/>
      <c r="BJ18" s="3219"/>
      <c r="BK18" s="3219"/>
      <c r="BL18" s="3219"/>
      <c r="BM18" s="3219"/>
      <c r="BN18" s="3219"/>
      <c r="BO18" s="3219"/>
      <c r="BP18" s="3219"/>
      <c r="BQ18" s="3219"/>
      <c r="BR18" s="3219"/>
      <c r="BS18" s="3219"/>
      <c r="BT18" s="3219"/>
      <c r="BU18" s="3219"/>
      <c r="BV18" s="3219"/>
      <c r="BW18" s="3219"/>
      <c r="BX18" s="3219"/>
      <c r="BY18" s="3219"/>
      <c r="BZ18" s="3219"/>
      <c r="CA18" s="3219"/>
      <c r="CB18" s="3219"/>
      <c r="CC18" s="3219"/>
      <c r="CD18" s="3219"/>
      <c r="CE18" s="3219"/>
      <c r="CF18" s="3219"/>
      <c r="CG18" s="3219"/>
      <c r="CH18" s="3219"/>
      <c r="CI18" s="3218">
        <f t="shared" si="0"/>
        <v>43.2</v>
      </c>
    </row>
    <row r="19" spans="1:87" s="1101" customFormat="1">
      <c r="A19" s="1385" t="s">
        <v>2460</v>
      </c>
      <c r="B19" s="1387"/>
      <c r="C19" s="1387" t="s">
        <v>4312</v>
      </c>
      <c r="D19" s="1400"/>
      <c r="E19" s="1400"/>
      <c r="F19" s="373"/>
      <c r="G19" s="374"/>
      <c r="H19" s="375"/>
      <c r="I19" s="375"/>
      <c r="J19" s="373"/>
      <c r="K19" s="373"/>
      <c r="L19" s="373"/>
      <c r="M19" s="1390"/>
      <c r="N19" s="376"/>
      <c r="O19" s="1390">
        <f>O20</f>
        <v>0</v>
      </c>
      <c r="P19" s="373"/>
      <c r="Q19" s="1401"/>
      <c r="R19" s="1402">
        <f>R20</f>
        <v>0</v>
      </c>
      <c r="BB19" s="3225"/>
      <c r="BC19" s="3225"/>
      <c r="BD19" s="3225"/>
      <c r="BE19" s="3225"/>
      <c r="BF19" s="3225"/>
      <c r="BG19" s="3225"/>
      <c r="BH19" s="3225"/>
      <c r="BI19" s="3225"/>
      <c r="BJ19" s="3225"/>
      <c r="BK19" s="3225"/>
      <c r="BL19" s="3225"/>
      <c r="BM19" s="3225"/>
      <c r="BN19" s="3225"/>
      <c r="BO19" s="3225"/>
      <c r="BP19" s="3225"/>
      <c r="BQ19" s="3225"/>
      <c r="BR19" s="3225"/>
      <c r="BS19" s="3225"/>
      <c r="BT19" s="3225"/>
      <c r="BU19" s="3225"/>
      <c r="BV19" s="3225"/>
      <c r="BW19" s="3225"/>
      <c r="BX19" s="3225"/>
      <c r="BY19" s="3225"/>
      <c r="BZ19" s="3225"/>
      <c r="CA19" s="3225"/>
      <c r="CB19" s="3225"/>
      <c r="CC19" s="3225"/>
      <c r="CD19" s="3225"/>
      <c r="CE19" s="3225"/>
      <c r="CF19" s="3225"/>
      <c r="CG19" s="3225"/>
      <c r="CH19" s="3225"/>
      <c r="CI19" s="3218">
        <f t="shared" si="0"/>
        <v>0</v>
      </c>
    </row>
    <row r="20" spans="1:87">
      <c r="A20" s="473" t="s">
        <v>4313</v>
      </c>
      <c r="B20" s="521"/>
      <c r="C20" s="521" t="s">
        <v>4339</v>
      </c>
      <c r="D20" s="908" t="s">
        <v>65</v>
      </c>
      <c r="E20" s="1120" t="s">
        <v>65</v>
      </c>
      <c r="F20" s="2207">
        <v>0</v>
      </c>
      <c r="G20" s="367"/>
      <c r="H20" s="2207">
        <v>0</v>
      </c>
      <c r="I20" s="367"/>
      <c r="J20" s="367"/>
      <c r="K20" s="367"/>
      <c r="L20" s="277"/>
      <c r="M20" s="281">
        <f>L20/100000</f>
        <v>0</v>
      </c>
      <c r="N20" s="277"/>
      <c r="O20" s="1393">
        <f>M20*N20</f>
        <v>0</v>
      </c>
      <c r="P20" s="367"/>
      <c r="Q20" s="368"/>
      <c r="R20" s="369"/>
      <c r="BB20" s="3218"/>
      <c r="BC20" s="3218"/>
      <c r="BD20" s="3218"/>
      <c r="BE20" s="3218"/>
      <c r="BF20" s="3218"/>
      <c r="BG20" s="3218"/>
      <c r="BH20" s="3218"/>
      <c r="BI20" s="3218"/>
      <c r="BJ20" s="3218"/>
      <c r="BK20" s="3218"/>
      <c r="BL20" s="3218"/>
      <c r="BM20" s="3218"/>
      <c r="BN20" s="3218"/>
      <c r="BO20" s="3218"/>
      <c r="BP20" s="3218"/>
      <c r="BQ20" s="3218"/>
      <c r="BR20" s="3218"/>
      <c r="BS20" s="3218"/>
      <c r="BT20" s="3218"/>
      <c r="BU20" s="3218"/>
      <c r="BV20" s="3218"/>
      <c r="BW20" s="3218"/>
      <c r="BX20" s="3218"/>
      <c r="BY20" s="3218"/>
      <c r="BZ20" s="3218"/>
      <c r="CA20" s="3218"/>
      <c r="CB20" s="3218"/>
      <c r="CC20" s="3218"/>
      <c r="CD20" s="3218"/>
      <c r="CE20" s="3218"/>
      <c r="CF20" s="3218"/>
      <c r="CG20" s="3218"/>
      <c r="CH20" s="3218"/>
      <c r="CI20" s="3218">
        <f t="shared" si="0"/>
        <v>0</v>
      </c>
    </row>
    <row r="21" spans="1:87" s="1380" customFormat="1" ht="45">
      <c r="A21" s="1403" t="s">
        <v>2461</v>
      </c>
      <c r="B21" s="521"/>
      <c r="C21" s="521" t="s">
        <v>4481</v>
      </c>
      <c r="D21" s="908" t="s">
        <v>65</v>
      </c>
      <c r="E21" s="1120" t="s">
        <v>65</v>
      </c>
      <c r="F21" s="2208">
        <v>0</v>
      </c>
      <c r="G21" s="422"/>
      <c r="H21" s="2208">
        <v>0</v>
      </c>
      <c r="I21" s="422"/>
      <c r="J21" s="324"/>
      <c r="K21" s="422"/>
      <c r="L21" s="613"/>
      <c r="M21" s="1404">
        <f>L21/100000</f>
        <v>0</v>
      </c>
      <c r="N21" s="613"/>
      <c r="O21" s="1404">
        <f>M21*N21</f>
        <v>0</v>
      </c>
      <c r="P21" s="422"/>
      <c r="Q21" s="368"/>
      <c r="R21" s="369"/>
      <c r="BB21" s="3219"/>
      <c r="BC21" s="3219"/>
      <c r="BD21" s="3219"/>
      <c r="BE21" s="3219"/>
      <c r="BF21" s="3219"/>
      <c r="BG21" s="3219"/>
      <c r="BH21" s="3219"/>
      <c r="BI21" s="3219"/>
      <c r="BJ21" s="3219"/>
      <c r="BK21" s="3219"/>
      <c r="BL21" s="3219"/>
      <c r="BM21" s="3219"/>
      <c r="BN21" s="3219"/>
      <c r="BO21" s="3219"/>
      <c r="BP21" s="3219"/>
      <c r="BQ21" s="3219"/>
      <c r="BR21" s="3219"/>
      <c r="BS21" s="3219"/>
      <c r="BT21" s="3219"/>
      <c r="BU21" s="3219"/>
      <c r="BV21" s="3219"/>
      <c r="BW21" s="3219"/>
      <c r="BX21" s="3219"/>
      <c r="BY21" s="3219"/>
      <c r="BZ21" s="3219"/>
      <c r="CA21" s="3219"/>
      <c r="CB21" s="3219"/>
      <c r="CC21" s="3219"/>
      <c r="CD21" s="3219"/>
      <c r="CE21" s="3219"/>
      <c r="CF21" s="3219"/>
      <c r="CG21" s="3219"/>
      <c r="CH21" s="3219"/>
      <c r="CI21" s="3218">
        <f t="shared" si="0"/>
        <v>0</v>
      </c>
    </row>
    <row r="22" spans="1:87">
      <c r="A22" s="331">
        <v>7.5</v>
      </c>
      <c r="B22" s="1199" t="s">
        <v>406</v>
      </c>
      <c r="C22" s="1053" t="s">
        <v>407</v>
      </c>
      <c r="D22" s="1245" t="s">
        <v>108</v>
      </c>
      <c r="E22" s="1245"/>
      <c r="F22" s="377"/>
      <c r="G22" s="377"/>
      <c r="H22" s="377"/>
      <c r="I22" s="377"/>
      <c r="J22" s="377"/>
      <c r="K22" s="377"/>
      <c r="L22" s="377"/>
      <c r="M22" s="1405"/>
      <c r="N22" s="378"/>
      <c r="O22" s="1406">
        <f>SUM(O23:O24)</f>
        <v>102.97221</v>
      </c>
      <c r="P22" s="379"/>
      <c r="Q22" s="438"/>
      <c r="R22" s="1406">
        <f>SUM(R23:R24)</f>
        <v>103</v>
      </c>
      <c r="BB22" s="3218"/>
      <c r="BC22" s="3218"/>
      <c r="BD22" s="3218"/>
      <c r="BE22" s="3218"/>
      <c r="BF22" s="3218"/>
      <c r="BG22" s="3218"/>
      <c r="BH22" s="3218"/>
      <c r="BI22" s="3218"/>
      <c r="BJ22" s="3218"/>
      <c r="BK22" s="3218"/>
      <c r="BL22" s="3218"/>
      <c r="BM22" s="3218"/>
      <c r="BN22" s="3218"/>
      <c r="BO22" s="3218"/>
      <c r="BP22" s="3218"/>
      <c r="BQ22" s="3218"/>
      <c r="BR22" s="3218"/>
      <c r="BS22" s="3218"/>
      <c r="BT22" s="3218"/>
      <c r="BU22" s="3218"/>
      <c r="BV22" s="3218"/>
      <c r="BW22" s="3218"/>
      <c r="BX22" s="3218"/>
      <c r="BY22" s="3218"/>
      <c r="BZ22" s="3218"/>
      <c r="CA22" s="3218"/>
      <c r="CB22" s="3218"/>
      <c r="CC22" s="3218"/>
      <c r="CD22" s="3218"/>
      <c r="CE22" s="3218"/>
      <c r="CF22" s="3218"/>
      <c r="CG22" s="3218"/>
      <c r="CH22" s="3218"/>
      <c r="CI22" s="3218">
        <f t="shared" si="0"/>
        <v>0</v>
      </c>
    </row>
    <row r="23" spans="1:87" s="1380" customFormat="1" ht="60">
      <c r="A23" s="233" t="s">
        <v>3929</v>
      </c>
      <c r="B23" s="1080" t="s">
        <v>4407</v>
      </c>
      <c r="C23" s="3216" t="s">
        <v>3931</v>
      </c>
      <c r="D23" s="2254" t="s">
        <v>4219</v>
      </c>
      <c r="E23" s="2326" t="s">
        <v>4525</v>
      </c>
      <c r="F23" s="324">
        <v>350</v>
      </c>
      <c r="G23" s="324">
        <v>295</v>
      </c>
      <c r="H23" s="324">
        <v>2.63</v>
      </c>
      <c r="I23" s="324">
        <v>4.9000000000000004</v>
      </c>
      <c r="J23" s="324">
        <v>0.41</v>
      </c>
      <c r="K23" s="324">
        <v>400</v>
      </c>
      <c r="L23" s="2368">
        <v>750</v>
      </c>
      <c r="M23" s="2261">
        <f>L23/100000</f>
        <v>7.4999999999999997E-3</v>
      </c>
      <c r="N23" s="2368">
        <v>400</v>
      </c>
      <c r="O23" s="1404">
        <f>M23*N23</f>
        <v>3</v>
      </c>
      <c r="P23" s="380" t="s">
        <v>5170</v>
      </c>
      <c r="Q23" s="233" t="str">
        <f>'Abs11. NTEP'!Q30</f>
        <v>Recommeded Rs 3 lakhs for one time travel support for patients of notified tribal area</v>
      </c>
      <c r="R23" s="234">
        <f>'Abs11. NTEP'!R30</f>
        <v>3</v>
      </c>
      <c r="BB23" s="3219"/>
      <c r="BC23" s="3219"/>
      <c r="BD23" s="3219">
        <v>0.86</v>
      </c>
      <c r="BE23" s="3219"/>
      <c r="BF23" s="3219"/>
      <c r="BG23" s="3219">
        <v>1.46</v>
      </c>
      <c r="BH23" s="3219"/>
      <c r="BI23" s="3219">
        <v>0.68</v>
      </c>
      <c r="BJ23" s="3219"/>
      <c r="BK23" s="3219"/>
      <c r="BL23" s="3219"/>
      <c r="BM23" s="3219"/>
      <c r="BN23" s="3219"/>
      <c r="BO23" s="3219"/>
      <c r="BP23" s="3219"/>
      <c r="BQ23" s="3219"/>
      <c r="BR23" s="3219"/>
      <c r="BS23" s="3219"/>
      <c r="BT23" s="3219"/>
      <c r="BU23" s="3219"/>
      <c r="BV23" s="3219"/>
      <c r="BW23" s="3219"/>
      <c r="BX23" s="3219"/>
      <c r="BY23" s="3219"/>
      <c r="BZ23" s="3219"/>
      <c r="CA23" s="3219"/>
      <c r="CB23" s="3219"/>
      <c r="CC23" s="3219"/>
      <c r="CD23" s="3219"/>
      <c r="CE23" s="3219"/>
      <c r="CF23" s="3219"/>
      <c r="CG23" s="3219"/>
      <c r="CH23" s="3219"/>
      <c r="CI23" s="3218">
        <f t="shared" si="0"/>
        <v>3</v>
      </c>
    </row>
    <row r="24" spans="1:87" s="1380" customFormat="1" ht="63" customHeight="1">
      <c r="A24" s="233" t="s">
        <v>3930</v>
      </c>
      <c r="B24" s="1080"/>
      <c r="C24" s="1004" t="s">
        <v>5094</v>
      </c>
      <c r="D24" s="2254" t="s">
        <v>4219</v>
      </c>
      <c r="E24" s="2326" t="s">
        <v>4525</v>
      </c>
      <c r="F24" s="324">
        <v>2600</v>
      </c>
      <c r="G24" s="324">
        <v>520</v>
      </c>
      <c r="H24" s="324">
        <v>214.99</v>
      </c>
      <c r="I24" s="324">
        <v>2.36</v>
      </c>
      <c r="J24" s="324">
        <v>20</v>
      </c>
      <c r="K24" s="324">
        <v>8269</v>
      </c>
      <c r="L24" s="2368">
        <v>1209</v>
      </c>
      <c r="M24" s="2261">
        <f>L24/100000</f>
        <v>1.209E-2</v>
      </c>
      <c r="N24" s="2368">
        <v>8269</v>
      </c>
      <c r="O24" s="1404">
        <f>M24*N24</f>
        <v>99.972210000000004</v>
      </c>
      <c r="P24" s="289"/>
      <c r="Q24" s="3131" t="str">
        <f>'Abs11. NTEP'!Q31</f>
        <v>Recommended the following: 1) Rs 10 lakhs as travel support for DRTB patients and attendants2) Rs 90 lakhs for Sputum collection &amp; transportation from Non-DMC PHIs and Health sub center (2500 No.) to nearest  DMCs by community health volunteers, and for transportation of from DMCs to nearest CBNAAT sites, IRL Dharampur and  to IRL @ AIIMS New Delhi</v>
      </c>
      <c r="R24" s="234">
        <f>'Abs11. NTEP'!R31</f>
        <v>100</v>
      </c>
      <c r="BB24" s="3219">
        <v>54.05</v>
      </c>
      <c r="BC24" s="3219">
        <v>1.5</v>
      </c>
      <c r="BD24" s="3219">
        <v>3.56</v>
      </c>
      <c r="BE24" s="3219">
        <v>2.35</v>
      </c>
      <c r="BF24" s="3219">
        <v>8.9</v>
      </c>
      <c r="BG24" s="3219">
        <v>0.9</v>
      </c>
      <c r="BH24" s="3219">
        <v>2.2000000000000002</v>
      </c>
      <c r="BI24" s="3219">
        <v>0.8</v>
      </c>
      <c r="BJ24" s="3219">
        <v>7.21</v>
      </c>
      <c r="BK24" s="3219">
        <v>8.5</v>
      </c>
      <c r="BL24" s="3219">
        <v>3.45</v>
      </c>
      <c r="BM24" s="3219">
        <v>3.54</v>
      </c>
      <c r="BN24" s="3219">
        <v>2.56</v>
      </c>
      <c r="BO24" s="3220"/>
      <c r="BP24" s="3219"/>
      <c r="BQ24" s="3219"/>
      <c r="BR24" s="3219"/>
      <c r="BS24" s="3219"/>
      <c r="BT24" s="3219"/>
      <c r="BU24" s="3219"/>
      <c r="BV24" s="3219"/>
      <c r="BW24" s="3219"/>
      <c r="BX24" s="3219"/>
      <c r="BY24" s="3219"/>
      <c r="BZ24" s="3219"/>
      <c r="CA24" s="3219"/>
      <c r="CB24" s="3219"/>
      <c r="CC24" s="3219"/>
      <c r="CD24" s="3219"/>
      <c r="CE24" s="3219">
        <v>0.48</v>
      </c>
      <c r="CF24" s="3219"/>
      <c r="CG24" s="3219"/>
      <c r="CH24" s="3219"/>
      <c r="CI24" s="3218">
        <f t="shared" si="0"/>
        <v>100.00000000000001</v>
      </c>
    </row>
    <row r="25" spans="1:87">
      <c r="A25" s="331">
        <v>7.6</v>
      </c>
      <c r="B25" s="1199" t="s">
        <v>408</v>
      </c>
      <c r="C25" s="1053" t="s">
        <v>409</v>
      </c>
      <c r="D25" s="1245"/>
      <c r="E25" s="1245"/>
      <c r="F25" s="318"/>
      <c r="G25" s="318"/>
      <c r="H25" s="318"/>
      <c r="I25" s="318"/>
      <c r="J25" s="318"/>
      <c r="K25" s="318"/>
      <c r="L25" s="318"/>
      <c r="M25" s="1384"/>
      <c r="N25" s="364"/>
      <c r="O25" s="464">
        <f>SUM(O26:O27)</f>
        <v>0</v>
      </c>
      <c r="P25" s="96"/>
      <c r="Q25" s="438"/>
      <c r="R25" s="689">
        <f>R26+R27</f>
        <v>0</v>
      </c>
      <c r="BB25" s="3218"/>
      <c r="BC25" s="3218"/>
      <c r="BD25" s="3218"/>
      <c r="BE25" s="3218"/>
      <c r="BF25" s="3218"/>
      <c r="BG25" s="3218"/>
      <c r="BH25" s="3218"/>
      <c r="BI25" s="3218"/>
      <c r="BJ25" s="3218"/>
      <c r="BK25" s="3218"/>
      <c r="BL25" s="3218"/>
      <c r="BM25" s="3218"/>
      <c r="BN25" s="3218"/>
      <c r="BO25" s="3218"/>
      <c r="BP25" s="3218"/>
      <c r="BQ25" s="3218"/>
      <c r="BR25" s="3218"/>
      <c r="BS25" s="3218"/>
      <c r="BT25" s="3218"/>
      <c r="BU25" s="3218"/>
      <c r="BV25" s="3218"/>
      <c r="BW25" s="3218"/>
      <c r="BX25" s="3218"/>
      <c r="BY25" s="3218"/>
      <c r="BZ25" s="3218"/>
      <c r="CA25" s="3218"/>
      <c r="CB25" s="3218"/>
      <c r="CC25" s="3218"/>
      <c r="CD25" s="3218"/>
      <c r="CE25" s="3218"/>
      <c r="CF25" s="3218"/>
      <c r="CG25" s="3218"/>
      <c r="CH25" s="3218"/>
      <c r="CI25" s="3218">
        <f t="shared" si="0"/>
        <v>0</v>
      </c>
    </row>
    <row r="26" spans="1:87">
      <c r="A26" s="473" t="s">
        <v>2462</v>
      </c>
      <c r="B26" s="1407" t="s">
        <v>411</v>
      </c>
      <c r="C26" s="390" t="s">
        <v>412</v>
      </c>
      <c r="D26" s="911" t="s">
        <v>80</v>
      </c>
      <c r="E26" s="1120" t="s">
        <v>410</v>
      </c>
      <c r="F26" s="2205">
        <v>0</v>
      </c>
      <c r="G26" s="272"/>
      <c r="H26" s="2205">
        <v>0</v>
      </c>
      <c r="I26" s="272"/>
      <c r="J26" s="272"/>
      <c r="K26" s="272"/>
      <c r="L26" s="277"/>
      <c r="M26" s="281">
        <f>L26/100000</f>
        <v>0</v>
      </c>
      <c r="N26" s="277"/>
      <c r="O26" s="1408">
        <f>M26*N26</f>
        <v>0</v>
      </c>
      <c r="P26" s="272"/>
      <c r="Q26" s="390">
        <f>'Abs19. NPCDCS'!Q33</f>
        <v>0</v>
      </c>
      <c r="R26" s="1408">
        <f>'Abs19. NPCDCS'!R33</f>
        <v>0</v>
      </c>
      <c r="BB26" s="3218"/>
      <c r="BC26" s="3218"/>
      <c r="BD26" s="3218"/>
      <c r="BE26" s="3218"/>
      <c r="BF26" s="3218"/>
      <c r="BG26" s="3218"/>
      <c r="BH26" s="3218"/>
      <c r="BI26" s="3218"/>
      <c r="BJ26" s="3218"/>
      <c r="BK26" s="3218"/>
      <c r="BL26" s="3218"/>
      <c r="BM26" s="3218"/>
      <c r="BN26" s="3218"/>
      <c r="BO26" s="3218"/>
      <c r="BP26" s="3218"/>
      <c r="BQ26" s="3218"/>
      <c r="BR26" s="3218"/>
      <c r="BS26" s="3218"/>
      <c r="BT26" s="3218"/>
      <c r="BU26" s="3218"/>
      <c r="BV26" s="3218"/>
      <c r="BW26" s="3218"/>
      <c r="BX26" s="3218"/>
      <c r="BY26" s="3218"/>
      <c r="BZ26" s="3218"/>
      <c r="CA26" s="3218"/>
      <c r="CB26" s="3218"/>
      <c r="CC26" s="3218"/>
      <c r="CD26" s="3218"/>
      <c r="CE26" s="3218"/>
      <c r="CF26" s="3218"/>
      <c r="CG26" s="3218"/>
      <c r="CH26" s="3218"/>
      <c r="CI26" s="3218">
        <f t="shared" si="0"/>
        <v>0</v>
      </c>
    </row>
    <row r="27" spans="1:87">
      <c r="A27" s="473" t="s">
        <v>2463</v>
      </c>
      <c r="B27" s="1407" t="s">
        <v>413</v>
      </c>
      <c r="C27" s="390" t="s">
        <v>414</v>
      </c>
      <c r="D27" s="911" t="s">
        <v>80</v>
      </c>
      <c r="E27" s="1120" t="s">
        <v>410</v>
      </c>
      <c r="F27" s="2205">
        <v>0</v>
      </c>
      <c r="G27" s="272"/>
      <c r="H27" s="2205">
        <v>0</v>
      </c>
      <c r="I27" s="272"/>
      <c r="J27" s="272"/>
      <c r="K27" s="272"/>
      <c r="L27" s="277"/>
      <c r="M27" s="281">
        <f>L27/100000</f>
        <v>0</v>
      </c>
      <c r="N27" s="277"/>
      <c r="O27" s="1408">
        <f>M27*N27</f>
        <v>0</v>
      </c>
      <c r="P27" s="272"/>
      <c r="Q27" s="390">
        <f>'Abs19. NPCDCS'!Q34</f>
        <v>0</v>
      </c>
      <c r="R27" s="1408">
        <f>'Abs19. NPCDCS'!R34</f>
        <v>0</v>
      </c>
      <c r="BB27" s="3218"/>
      <c r="BC27" s="3218"/>
      <c r="BD27" s="3218"/>
      <c r="BE27" s="3218"/>
      <c r="BF27" s="3218"/>
      <c r="BG27" s="3218"/>
      <c r="BH27" s="3218"/>
      <c r="BI27" s="3218"/>
      <c r="BJ27" s="3218"/>
      <c r="BK27" s="3218"/>
      <c r="BL27" s="3218"/>
      <c r="BM27" s="3218"/>
      <c r="BN27" s="3218"/>
      <c r="BO27" s="3218"/>
      <c r="BP27" s="3218"/>
      <c r="BQ27" s="3218"/>
      <c r="BR27" s="3218"/>
      <c r="BS27" s="3218"/>
      <c r="BT27" s="3218"/>
      <c r="BU27" s="3218"/>
      <c r="BV27" s="3218"/>
      <c r="BW27" s="3218"/>
      <c r="BX27" s="3218"/>
      <c r="BY27" s="3218"/>
      <c r="BZ27" s="3218"/>
      <c r="CA27" s="3218"/>
      <c r="CB27" s="3218"/>
      <c r="CC27" s="3218"/>
      <c r="CD27" s="3218"/>
      <c r="CE27" s="3218"/>
      <c r="CF27" s="3218"/>
      <c r="CG27" s="3218"/>
      <c r="CH27" s="3218"/>
      <c r="CI27" s="3218">
        <f t="shared" si="0"/>
        <v>0</v>
      </c>
    </row>
    <row r="28" spans="1:87">
      <c r="A28" s="902">
        <v>7.7</v>
      </c>
      <c r="B28" s="1080" t="s">
        <v>2294</v>
      </c>
      <c r="C28" s="1072" t="s">
        <v>2295</v>
      </c>
      <c r="D28" s="1200" t="s">
        <v>80</v>
      </c>
      <c r="E28" s="1170" t="s">
        <v>145</v>
      </c>
      <c r="F28" s="2658">
        <v>0</v>
      </c>
      <c r="G28" s="285"/>
      <c r="H28" s="2658">
        <v>0</v>
      </c>
      <c r="I28" s="285"/>
      <c r="J28" s="285"/>
      <c r="K28" s="614"/>
      <c r="L28" s="361"/>
      <c r="M28" s="1381">
        <f>L28/100000</f>
        <v>0</v>
      </c>
      <c r="N28" s="361"/>
      <c r="O28" s="1382">
        <f>M28*N28</f>
        <v>0</v>
      </c>
      <c r="P28" s="615"/>
      <c r="Q28" s="1004">
        <f>'Abs16. NMHP'!Q17</f>
        <v>0</v>
      </c>
      <c r="R28" s="1409">
        <f>'Abs16. NMHP'!R17</f>
        <v>0</v>
      </c>
      <c r="BB28" s="3218"/>
      <c r="BC28" s="3218"/>
      <c r="BD28" s="3218"/>
      <c r="BE28" s="3218"/>
      <c r="BF28" s="3218"/>
      <c r="BG28" s="3218"/>
      <c r="BH28" s="3218"/>
      <c r="BI28" s="3218"/>
      <c r="BJ28" s="3218"/>
      <c r="BK28" s="3218"/>
      <c r="BL28" s="3218"/>
      <c r="BM28" s="3218"/>
      <c r="BN28" s="3218"/>
      <c r="BO28" s="3218"/>
      <c r="BP28" s="3218"/>
      <c r="BQ28" s="3218"/>
      <c r="BR28" s="3218"/>
      <c r="BS28" s="3218"/>
      <c r="BT28" s="3218"/>
      <c r="BU28" s="3218"/>
      <c r="BV28" s="3218"/>
      <c r="BW28" s="3218"/>
      <c r="BX28" s="3218"/>
      <c r="BY28" s="3218"/>
      <c r="BZ28" s="3218"/>
      <c r="CA28" s="3218"/>
      <c r="CB28" s="3218"/>
      <c r="CC28" s="3218"/>
      <c r="CD28" s="3218"/>
      <c r="CE28" s="3218"/>
      <c r="CF28" s="3218"/>
      <c r="CG28" s="3218"/>
      <c r="CH28" s="3218"/>
      <c r="CI28" s="3218">
        <f t="shared" si="0"/>
        <v>0</v>
      </c>
    </row>
    <row r="29" spans="1:87" s="1024" customFormat="1">
      <c r="A29" s="902">
        <v>7.8</v>
      </c>
      <c r="B29" s="1080"/>
      <c r="C29" s="1072" t="s">
        <v>2464</v>
      </c>
      <c r="D29" s="908" t="s">
        <v>65</v>
      </c>
      <c r="E29" s="1019" t="s">
        <v>65</v>
      </c>
      <c r="F29" s="235">
        <v>0</v>
      </c>
      <c r="G29" s="235"/>
      <c r="H29" s="235">
        <v>0</v>
      </c>
      <c r="I29" s="235"/>
      <c r="J29" s="235"/>
      <c r="K29" s="235"/>
      <c r="L29" s="361"/>
      <c r="M29" s="1381">
        <f>L29/100000</f>
        <v>0</v>
      </c>
      <c r="N29" s="361"/>
      <c r="O29" s="1383">
        <f>M29*N29</f>
        <v>0</v>
      </c>
      <c r="P29" s="236"/>
      <c r="Q29" s="368"/>
      <c r="R29" s="369"/>
      <c r="S29" s="1378"/>
      <c r="BB29" s="840"/>
      <c r="BC29" s="840"/>
      <c r="BD29" s="840"/>
      <c r="BE29" s="840"/>
      <c r="BF29" s="840"/>
      <c r="BG29" s="840"/>
      <c r="BH29" s="840"/>
      <c r="BI29" s="840"/>
      <c r="BJ29" s="840"/>
      <c r="BK29" s="840"/>
      <c r="BL29" s="840"/>
      <c r="BM29" s="840"/>
      <c r="BN29" s="840"/>
      <c r="BO29" s="840"/>
      <c r="BP29" s="840"/>
      <c r="BQ29" s="840"/>
      <c r="BR29" s="840"/>
      <c r="BS29" s="840"/>
      <c r="BT29" s="840"/>
      <c r="BU29" s="840"/>
      <c r="BV29" s="840"/>
      <c r="BW29" s="840"/>
      <c r="BX29" s="840"/>
      <c r="BY29" s="840"/>
      <c r="BZ29" s="840"/>
      <c r="CA29" s="840"/>
      <c r="CB29" s="840"/>
      <c r="CC29" s="840"/>
      <c r="CD29" s="840"/>
      <c r="CE29" s="840"/>
      <c r="CF29" s="840"/>
      <c r="CG29" s="840"/>
      <c r="CH29" s="840"/>
      <c r="CI29" s="3218">
        <f t="shared" si="0"/>
        <v>0</v>
      </c>
    </row>
    <row r="30" spans="1:87">
      <c r="M30" s="1412"/>
      <c r="N30" s="1412"/>
      <c r="O30" s="1412"/>
      <c r="R30" s="3217">
        <f>+E3</f>
        <v>4081.2</v>
      </c>
      <c r="BB30" s="3218">
        <f>SUM(BB7:BB29)</f>
        <v>4032.25</v>
      </c>
      <c r="BC30" s="3218">
        <f t="shared" ref="BC30:CI30" si="1">SUM(BC7:BC29)</f>
        <v>1.5</v>
      </c>
      <c r="BD30" s="3218">
        <f t="shared" si="1"/>
        <v>4.42</v>
      </c>
      <c r="BE30" s="3218">
        <f t="shared" si="1"/>
        <v>2.35</v>
      </c>
      <c r="BF30" s="3218">
        <f t="shared" si="1"/>
        <v>8.9</v>
      </c>
      <c r="BG30" s="3218">
        <f t="shared" si="1"/>
        <v>2.36</v>
      </c>
      <c r="BH30" s="3218">
        <f t="shared" si="1"/>
        <v>2.2000000000000002</v>
      </c>
      <c r="BI30" s="3218">
        <f t="shared" si="1"/>
        <v>1.48</v>
      </c>
      <c r="BJ30" s="3218">
        <f t="shared" si="1"/>
        <v>7.21</v>
      </c>
      <c r="BK30" s="3218">
        <f t="shared" si="1"/>
        <v>8.5</v>
      </c>
      <c r="BL30" s="3218">
        <f t="shared" si="1"/>
        <v>3.45</v>
      </c>
      <c r="BM30" s="3218">
        <f t="shared" si="1"/>
        <v>3.54</v>
      </c>
      <c r="BN30" s="3218">
        <f t="shared" si="1"/>
        <v>2.56</v>
      </c>
      <c r="BO30" s="3218">
        <f t="shared" si="1"/>
        <v>0</v>
      </c>
      <c r="BP30" s="3218">
        <f t="shared" si="1"/>
        <v>0</v>
      </c>
      <c r="BQ30" s="3218">
        <f t="shared" si="1"/>
        <v>0</v>
      </c>
      <c r="BR30" s="3218">
        <f t="shared" si="1"/>
        <v>0</v>
      </c>
      <c r="BS30" s="3218">
        <f t="shared" si="1"/>
        <v>0</v>
      </c>
      <c r="BT30" s="3218">
        <f t="shared" si="1"/>
        <v>0</v>
      </c>
      <c r="BU30" s="3218">
        <f t="shared" si="1"/>
        <v>0</v>
      </c>
      <c r="BV30" s="3218">
        <f t="shared" si="1"/>
        <v>0</v>
      </c>
      <c r="BW30" s="3218">
        <f t="shared" si="1"/>
        <v>0</v>
      </c>
      <c r="BX30" s="3218">
        <f t="shared" si="1"/>
        <v>0</v>
      </c>
      <c r="BY30" s="3218">
        <f t="shared" si="1"/>
        <v>0</v>
      </c>
      <c r="BZ30" s="3218">
        <f t="shared" si="1"/>
        <v>0</v>
      </c>
      <c r="CA30" s="3218">
        <f t="shared" si="1"/>
        <v>0</v>
      </c>
      <c r="CB30" s="3218">
        <f t="shared" si="1"/>
        <v>0</v>
      </c>
      <c r="CC30" s="3218">
        <f t="shared" si="1"/>
        <v>0</v>
      </c>
      <c r="CD30" s="3218">
        <f t="shared" si="1"/>
        <v>0</v>
      </c>
      <c r="CE30" s="3218">
        <f t="shared" si="1"/>
        <v>0.48</v>
      </c>
      <c r="CF30" s="3218">
        <f t="shared" si="1"/>
        <v>0</v>
      </c>
      <c r="CG30" s="3218">
        <f t="shared" si="1"/>
        <v>0</v>
      </c>
      <c r="CH30" s="3218">
        <f t="shared" si="1"/>
        <v>0</v>
      </c>
      <c r="CI30" s="3218">
        <f t="shared" si="1"/>
        <v>4081.2</v>
      </c>
    </row>
    <row r="31" spans="1:87">
      <c r="BB31" s="3218"/>
      <c r="BC31" s="3218"/>
      <c r="BD31" s="3218"/>
      <c r="BE31" s="3218"/>
      <c r="BF31" s="3218"/>
      <c r="BG31" s="3218"/>
      <c r="BH31" s="3218"/>
      <c r="BI31" s="3218"/>
      <c r="BJ31" s="3218"/>
      <c r="BK31" s="3218"/>
      <c r="BL31" s="3218"/>
      <c r="BM31" s="3218"/>
      <c r="BN31" s="3218"/>
      <c r="BO31" s="3218"/>
      <c r="BP31" s="3218"/>
      <c r="BQ31" s="3218"/>
      <c r="BR31" s="3218"/>
      <c r="BS31" s="3218"/>
      <c r="BT31" s="3218"/>
      <c r="BU31" s="3218"/>
      <c r="BV31" s="3218"/>
      <c r="BW31" s="3218"/>
      <c r="BX31" s="3218"/>
      <c r="BY31" s="3218"/>
      <c r="BZ31" s="3218"/>
      <c r="CA31" s="3218"/>
      <c r="CB31" s="3218"/>
      <c r="CC31" s="3218"/>
      <c r="CD31" s="3218"/>
      <c r="CE31" s="3218"/>
      <c r="CF31" s="3218"/>
      <c r="CG31" s="3218"/>
      <c r="CH31" s="3218"/>
      <c r="CI31" s="3218">
        <f t="shared" si="0"/>
        <v>0</v>
      </c>
    </row>
    <row r="32" spans="1:87">
      <c r="BB32" s="3217"/>
      <c r="BC32" s="3217"/>
      <c r="BD32" s="3217"/>
      <c r="BE32" s="3217"/>
      <c r="BF32" s="3217"/>
      <c r="BG32" s="3217"/>
      <c r="BH32" s="3217"/>
      <c r="BI32" s="3217"/>
      <c r="BJ32" s="3217"/>
      <c r="BK32" s="3217"/>
      <c r="BL32" s="3217"/>
      <c r="BM32" s="3217"/>
      <c r="BN32" s="3217"/>
      <c r="BO32" s="3217"/>
      <c r="BP32" s="3217"/>
      <c r="BQ32" s="3217"/>
      <c r="BR32" s="3217"/>
      <c r="BS32" s="3217"/>
      <c r="BT32" s="3217"/>
      <c r="BU32" s="3217"/>
      <c r="BV32" s="3217"/>
      <c r="BW32" s="3217"/>
      <c r="BX32" s="3217"/>
      <c r="BY32" s="3217"/>
      <c r="BZ32" s="3217"/>
      <c r="CA32" s="3217"/>
      <c r="CB32" s="3217"/>
      <c r="CC32" s="3217"/>
      <c r="CD32" s="3217"/>
      <c r="CE32" s="3217"/>
      <c r="CF32" s="3217"/>
      <c r="CG32" s="3217"/>
      <c r="CH32" s="3217"/>
      <c r="CI32" s="3217"/>
    </row>
  </sheetData>
  <sheetProtection password="CC49" sheet="1" objects="1" scenarios="1" autoFilter="0"/>
  <autoFilter ref="A6:S29"/>
  <mergeCells count="15">
    <mergeCell ref="AI1:AO1"/>
    <mergeCell ref="AP1:BA1"/>
    <mergeCell ref="K5:P5"/>
    <mergeCell ref="Q5:R5"/>
    <mergeCell ref="A1:C1"/>
    <mergeCell ref="F5:J5"/>
    <mergeCell ref="A5:A6"/>
    <mergeCell ref="B5:B6"/>
    <mergeCell ref="C5:C6"/>
    <mergeCell ref="D5:D6"/>
    <mergeCell ref="E5:E6"/>
    <mergeCell ref="E1:E2"/>
    <mergeCell ref="F1:N1"/>
    <mergeCell ref="A2:A4"/>
    <mergeCell ref="O1:AH1"/>
  </mergeCells>
  <phoneticPr fontId="68" type="noConversion"/>
  <pageMargins left="0.7" right="0.7" top="0.75" bottom="0.75" header="0.3" footer="0.3"/>
  <pageSetup orientation="portrait" horizontalDpi="4294967295" verticalDpi="4294967295" r:id="rId1"/>
</worksheet>
</file>

<file path=xl/worksheets/sheet11.xml><?xml version="1.0" encoding="utf-8"?>
<worksheet xmlns="http://schemas.openxmlformats.org/spreadsheetml/2006/main" xmlns:r="http://schemas.openxmlformats.org/officeDocument/2006/relationships">
  <sheetPr codeName="Sheet6"/>
  <dimension ref="A1:CI176"/>
  <sheetViews>
    <sheetView zoomScale="80" zoomScaleNormal="80" workbookViewId="0">
      <pane xSplit="5" ySplit="7" topLeftCell="N28" activePane="bottomRight" state="frozen"/>
      <selection activeCell="A2" sqref="A2:A4"/>
      <selection pane="topRight" activeCell="A2" sqref="A2:A4"/>
      <selection pane="bottomLeft" activeCell="A2" sqref="A2:A4"/>
      <selection pane="bottomRight" activeCell="Q36" sqref="Q36"/>
    </sheetView>
  </sheetViews>
  <sheetFormatPr defaultColWidth="9.140625" defaultRowHeight="15"/>
  <cols>
    <col min="1" max="1" width="11.140625" style="1411" customWidth="1"/>
    <col min="2" max="2" width="17.42578125" style="1441" customWidth="1"/>
    <col min="3" max="3" width="35.42578125" style="1411" customWidth="1"/>
    <col min="4" max="4" width="7.42578125" style="1414" customWidth="1"/>
    <col min="5" max="5" width="15.85546875" style="1414" customWidth="1"/>
    <col min="6" max="6" width="10.85546875" style="1414" hidden="1" customWidth="1"/>
    <col min="7" max="7" width="9.42578125" style="1414" hidden="1" customWidth="1"/>
    <col min="8" max="8" width="12.42578125" style="1414" hidden="1" customWidth="1"/>
    <col min="9" max="11" width="9.42578125" style="1414" hidden="1" customWidth="1"/>
    <col min="12" max="12" width="22.28515625" style="1414" hidden="1" customWidth="1"/>
    <col min="13" max="13" width="11.7109375" style="1442" hidden="1" customWidth="1"/>
    <col min="14" max="14" width="9.42578125" style="1414" customWidth="1"/>
    <col min="15" max="15" width="14.140625" style="2911" customWidth="1"/>
    <col min="16" max="16" width="26" style="1411" customWidth="1"/>
    <col min="17" max="17" width="64" style="3075" customWidth="1"/>
    <col min="18" max="18" width="13.28515625" style="1442" bestFit="1" customWidth="1"/>
    <col min="19" max="19" width="6.42578125" style="1196" hidden="1" customWidth="1"/>
    <col min="20" max="20" width="4.140625" style="1196" hidden="1" customWidth="1"/>
    <col min="21" max="21" width="7.28515625" style="1196" hidden="1" customWidth="1"/>
    <col min="22" max="22" width="3.85546875" style="1196" hidden="1" customWidth="1"/>
    <col min="23" max="23" width="4.5703125" style="1196" hidden="1" customWidth="1"/>
    <col min="24" max="24" width="6.140625" style="1196" hidden="1" customWidth="1"/>
    <col min="25" max="25" width="7.5703125" style="1196" hidden="1" customWidth="1"/>
    <col min="26" max="26" width="13.5703125" style="1196" hidden="1" customWidth="1"/>
    <col min="27" max="27" width="8.140625" style="1196" hidden="1" customWidth="1"/>
    <col min="28" max="29" width="4.140625" style="1196" hidden="1" customWidth="1"/>
    <col min="30" max="30" width="7.42578125" style="1196" hidden="1" customWidth="1"/>
    <col min="31" max="31" width="3.7109375" style="1196" hidden="1" customWidth="1"/>
    <col min="32" max="32" width="7.42578125" style="1196" hidden="1" customWidth="1"/>
    <col min="33" max="33" width="7" style="1196" hidden="1" customWidth="1"/>
    <col min="34" max="34" width="4.85546875" style="1196" hidden="1" customWidth="1"/>
    <col min="35" max="35" width="8" style="1196" hidden="1" customWidth="1"/>
    <col min="36" max="36" width="5.140625" style="1196" hidden="1" customWidth="1"/>
    <col min="37" max="37" width="5.42578125" style="1196" hidden="1" customWidth="1"/>
    <col min="38" max="38" width="6.85546875" style="1196" hidden="1" customWidth="1"/>
    <col min="39" max="39" width="5.5703125" style="1196" hidden="1" customWidth="1"/>
    <col min="40" max="40" width="4.85546875" style="1196" hidden="1" customWidth="1"/>
    <col min="41" max="41" width="5.5703125" style="1196" hidden="1" customWidth="1"/>
    <col min="42" max="42" width="6.42578125" style="1196" hidden="1" customWidth="1"/>
    <col min="43" max="43" width="6.7109375" style="1196" hidden="1" customWidth="1"/>
    <col min="44" max="44" width="5.42578125" style="1196" hidden="1" customWidth="1"/>
    <col min="45" max="45" width="7.7109375" style="1196" hidden="1" customWidth="1"/>
    <col min="46" max="46" width="7.42578125" style="1196" hidden="1" customWidth="1"/>
    <col min="47" max="47" width="8" style="1196" hidden="1" customWidth="1"/>
    <col min="48" max="48" width="6" style="1196" hidden="1" customWidth="1"/>
    <col min="49" max="49" width="5.42578125" style="1196" hidden="1" customWidth="1"/>
    <col min="50" max="50" width="6.42578125" style="1196" hidden="1" customWidth="1"/>
    <col min="51" max="51" width="6.7109375" style="1196" hidden="1" customWidth="1"/>
    <col min="52" max="53" width="7.7109375" style="1196" hidden="1" customWidth="1"/>
    <col min="54" max="54" width="9.42578125" style="1196" customWidth="1"/>
    <col min="55" max="55" width="10.28515625" style="1196" bestFit="1" customWidth="1"/>
    <col min="56" max="56" width="9.42578125" style="1196" customWidth="1"/>
    <col min="57" max="57" width="11.28515625" style="1196" bestFit="1" customWidth="1"/>
    <col min="58" max="58" width="9.140625" style="1196"/>
    <col min="59" max="60" width="10.28515625" style="1196" bestFit="1" customWidth="1"/>
    <col min="61" max="61" width="9.140625" style="1196"/>
    <col min="62" max="62" width="10.28515625" style="1196" bestFit="1" customWidth="1"/>
    <col min="63" max="63" width="9.140625" style="1196"/>
    <col min="64" max="64" width="11.42578125" style="1196" bestFit="1" customWidth="1"/>
    <col min="65" max="65" width="9.140625" style="1196"/>
    <col min="66" max="66" width="10.28515625" style="1196" bestFit="1" customWidth="1"/>
    <col min="67" max="67" width="9.140625" style="1196"/>
    <col min="68" max="68" width="11.28515625" style="1196" bestFit="1" customWidth="1"/>
    <col min="69" max="69" width="9.5703125" style="1196" customWidth="1"/>
    <col min="70" max="71" width="11.28515625" style="1196" bestFit="1" customWidth="1"/>
    <col min="72" max="72" width="8.7109375" style="1196" bestFit="1" customWidth="1"/>
    <col min="73" max="75" width="9.140625" style="1196"/>
    <col min="76" max="76" width="11.28515625" style="1196" bestFit="1" customWidth="1"/>
    <col min="77" max="86" width="9.140625" style="1196"/>
    <col min="87" max="87" width="11.42578125" style="1196" bestFit="1" customWidth="1"/>
    <col min="88" max="16384" width="9.140625" style="1196"/>
  </cols>
  <sheetData>
    <row r="1" spans="1:87" s="1414" customFormat="1" ht="14.45" customHeight="1">
      <c r="A1" s="3869" t="s">
        <v>415</v>
      </c>
      <c r="B1" s="3870"/>
      <c r="C1" s="3871"/>
      <c r="D1" s="1413"/>
      <c r="E1" s="3858" t="s">
        <v>4534</v>
      </c>
      <c r="F1" s="3909" t="s">
        <v>4532</v>
      </c>
      <c r="G1" s="3910"/>
      <c r="H1" s="3910"/>
      <c r="I1" s="3910"/>
      <c r="J1" s="3910"/>
      <c r="K1" s="3910"/>
      <c r="L1" s="3910"/>
      <c r="M1" s="3911"/>
      <c r="N1" s="3793" t="s">
        <v>65</v>
      </c>
      <c r="O1" s="3794"/>
      <c r="P1" s="3794"/>
      <c r="Q1" s="3794"/>
      <c r="R1" s="3794"/>
      <c r="S1" s="3794"/>
      <c r="T1" s="3794"/>
      <c r="U1" s="3794"/>
      <c r="V1" s="3794"/>
      <c r="W1" s="3794"/>
      <c r="X1" s="3794"/>
      <c r="Y1" s="3794"/>
      <c r="Z1" s="3794"/>
      <c r="AA1" s="3794"/>
      <c r="AB1" s="3794"/>
      <c r="AC1" s="3794"/>
      <c r="AD1" s="3794"/>
      <c r="AE1" s="3794"/>
      <c r="AF1" s="3794"/>
      <c r="AG1" s="3794"/>
      <c r="AH1" s="3900" t="s">
        <v>4219</v>
      </c>
      <c r="AI1" s="3901"/>
      <c r="AJ1" s="3901"/>
      <c r="AK1" s="3901"/>
      <c r="AL1" s="3901"/>
      <c r="AM1" s="3901"/>
      <c r="AN1" s="3902"/>
      <c r="AO1" s="3889" t="s">
        <v>80</v>
      </c>
      <c r="AP1" s="3890"/>
      <c r="AQ1" s="3890"/>
      <c r="AR1" s="3890"/>
      <c r="AS1" s="3890"/>
      <c r="AT1" s="3890"/>
      <c r="AU1" s="3890"/>
      <c r="AV1" s="3890"/>
      <c r="AW1" s="3890"/>
      <c r="AX1" s="3890"/>
      <c r="AY1" s="3890"/>
      <c r="AZ1" s="3891"/>
      <c r="BA1" s="3151"/>
    </row>
    <row r="2" spans="1:87" s="1416" customFormat="1" ht="30">
      <c r="A2" s="3855" t="str">
        <f>HYPERLINK("#Index!A4", "Index Pg")</f>
        <v>Index Pg</v>
      </c>
      <c r="B2" s="1415" t="str">
        <f>HYPERLINK("#'Summary of Abstracts'!A2", "Summary of Abst.")</f>
        <v>Summary of Abst.</v>
      </c>
      <c r="C2" s="869"/>
      <c r="D2" s="982"/>
      <c r="E2" s="3858"/>
      <c r="F2" s="906" t="s">
        <v>113</v>
      </c>
      <c r="G2" s="906" t="s">
        <v>126</v>
      </c>
      <c r="H2" s="906" t="s">
        <v>86</v>
      </c>
      <c r="I2" s="906" t="s">
        <v>4530</v>
      </c>
      <c r="J2" s="906" t="s">
        <v>91</v>
      </c>
      <c r="K2" s="907" t="s">
        <v>4531</v>
      </c>
      <c r="L2" s="906" t="s">
        <v>4535</v>
      </c>
      <c r="M2" s="907" t="s">
        <v>203</v>
      </c>
      <c r="N2" s="908" t="s">
        <v>4218</v>
      </c>
      <c r="O2" s="2899" t="s">
        <v>3751</v>
      </c>
      <c r="P2" s="909" t="s">
        <v>4543</v>
      </c>
      <c r="Q2" s="3055" t="s">
        <v>4540</v>
      </c>
      <c r="R2" s="909" t="s">
        <v>4541</v>
      </c>
      <c r="S2" s="909" t="s">
        <v>4542</v>
      </c>
      <c r="T2" s="909" t="s">
        <v>4544</v>
      </c>
      <c r="U2" s="909" t="s">
        <v>4528</v>
      </c>
      <c r="V2" s="909" t="s">
        <v>4545</v>
      </c>
      <c r="W2" s="909" t="s">
        <v>29</v>
      </c>
      <c r="X2" s="909" t="s">
        <v>4546</v>
      </c>
      <c r="Y2" s="909" t="s">
        <v>4547</v>
      </c>
      <c r="Z2" s="909" t="s">
        <v>4537</v>
      </c>
      <c r="AA2" s="909" t="s">
        <v>737</v>
      </c>
      <c r="AB2" s="909" t="s">
        <v>4538</v>
      </c>
      <c r="AC2" s="909" t="s">
        <v>4539</v>
      </c>
      <c r="AD2" s="909" t="s">
        <v>2293</v>
      </c>
      <c r="AE2" s="909" t="s">
        <v>4548</v>
      </c>
      <c r="AF2" s="909" t="s">
        <v>3750</v>
      </c>
      <c r="AG2" s="909" t="s">
        <v>302</v>
      </c>
      <c r="AH2" s="910" t="s">
        <v>288</v>
      </c>
      <c r="AI2" s="910" t="s">
        <v>109</v>
      </c>
      <c r="AJ2" s="910" t="s">
        <v>141</v>
      </c>
      <c r="AK2" s="910" t="s">
        <v>4525</v>
      </c>
      <c r="AL2" s="910" t="s">
        <v>3223</v>
      </c>
      <c r="AM2" s="910" t="s">
        <v>3855</v>
      </c>
      <c r="AN2" s="910" t="s">
        <v>4405</v>
      </c>
      <c r="AO2" s="911" t="s">
        <v>81</v>
      </c>
      <c r="AP2" s="911" t="s">
        <v>145</v>
      </c>
      <c r="AQ2" s="911" t="s">
        <v>394</v>
      </c>
      <c r="AR2" s="911" t="s">
        <v>147</v>
      </c>
      <c r="AS2" s="911" t="s">
        <v>410</v>
      </c>
      <c r="AT2" s="911" t="s">
        <v>4459</v>
      </c>
      <c r="AU2" s="911" t="s">
        <v>3989</v>
      </c>
      <c r="AV2" s="911" t="s">
        <v>307</v>
      </c>
      <c r="AW2" s="911" t="s">
        <v>309</v>
      </c>
      <c r="AX2" s="911" t="s">
        <v>1028</v>
      </c>
      <c r="AY2" s="911" t="s">
        <v>1014</v>
      </c>
      <c r="AZ2" s="911" t="s">
        <v>4533</v>
      </c>
      <c r="BA2" s="3151"/>
    </row>
    <row r="3" spans="1:87" s="1416" customFormat="1">
      <c r="A3" s="3856"/>
      <c r="B3" s="1417" t="str">
        <f>HYPERLINK("#'Budget Summary I'!A1:AL1", "Budget Summary I")</f>
        <v>Budget Summary I</v>
      </c>
      <c r="C3" s="865" t="s">
        <v>4460</v>
      </c>
      <c r="D3" s="982"/>
      <c r="E3" s="1418">
        <f>R7</f>
        <v>10399.38738</v>
      </c>
      <c r="F3" s="161"/>
      <c r="G3" s="161"/>
      <c r="H3" s="161">
        <f>R168+R169+R170+R171</f>
        <v>14.25</v>
      </c>
      <c r="I3" s="161">
        <f>R167</f>
        <v>0</v>
      </c>
      <c r="J3" s="161">
        <f>R166</f>
        <v>0</v>
      </c>
      <c r="K3" s="161"/>
      <c r="L3" s="161"/>
      <c r="M3" s="161"/>
      <c r="N3" s="161">
        <f>R106+R107+R172+R173</f>
        <v>4941.43822</v>
      </c>
      <c r="O3" s="2900"/>
      <c r="P3" s="161"/>
      <c r="Q3" s="3056"/>
      <c r="R3" s="161"/>
      <c r="S3" s="161"/>
      <c r="T3" s="161"/>
      <c r="U3" s="161"/>
      <c r="V3" s="161"/>
      <c r="W3" s="161"/>
      <c r="X3" s="161"/>
      <c r="Y3" s="161"/>
      <c r="Z3" s="161">
        <f>R10+R28+R35+R46+R54+R57+R62+R68+R81+R88+R95+R100+R109+R132+R138+R150+R152+R154+R159+R160+R161+R162+R164+R165+R175+R174</f>
        <v>5443.6966199999997</v>
      </c>
      <c r="AA3" s="161"/>
      <c r="AB3" s="161"/>
      <c r="AC3" s="161"/>
      <c r="AD3" s="161"/>
      <c r="AE3" s="161"/>
      <c r="AF3" s="161"/>
      <c r="AG3" s="161"/>
      <c r="AH3" s="161"/>
      <c r="AI3" s="161"/>
      <c r="AJ3" s="161"/>
      <c r="AK3" s="161"/>
      <c r="AL3" s="161"/>
      <c r="AM3" s="161"/>
      <c r="AN3" s="161"/>
      <c r="AO3" s="161"/>
      <c r="AP3" s="161"/>
      <c r="AQ3" s="161"/>
      <c r="AR3" s="161"/>
      <c r="AS3" s="161"/>
      <c r="AT3" s="161"/>
      <c r="AU3" s="161"/>
      <c r="AV3" s="161"/>
      <c r="AW3" s="161"/>
      <c r="AX3" s="161"/>
      <c r="AY3" s="161"/>
      <c r="AZ3" s="161"/>
      <c r="BA3" s="1145"/>
    </row>
    <row r="4" spans="1:87" s="1416" customFormat="1">
      <c r="A4" s="3857"/>
      <c r="B4" s="1417" t="str">
        <f>HYPERLINK("#'Budget Summary II'!A3:B5", "Budget Summary II")</f>
        <v>Budget Summary II</v>
      </c>
      <c r="C4" s="865" t="s">
        <v>4461</v>
      </c>
      <c r="D4" s="982"/>
      <c r="E4" s="1418">
        <f>O7</f>
        <v>10401.461299999999</v>
      </c>
      <c r="F4" s="161"/>
      <c r="G4" s="161"/>
      <c r="H4" s="161">
        <f>O168+O169+O170+O171</f>
        <v>14.25</v>
      </c>
      <c r="I4" s="161">
        <f>O167</f>
        <v>0</v>
      </c>
      <c r="J4" s="161">
        <f>O166</f>
        <v>0</v>
      </c>
      <c r="K4" s="161"/>
      <c r="L4" s="161"/>
      <c r="M4" s="161"/>
      <c r="N4" s="161">
        <f>O106+O107+O172+O173</f>
        <v>4943.7782200000001</v>
      </c>
      <c r="O4" s="2900"/>
      <c r="P4" s="161"/>
      <c r="Q4" s="3056"/>
      <c r="R4" s="161"/>
      <c r="S4" s="161"/>
      <c r="T4" s="161"/>
      <c r="U4" s="161"/>
      <c r="V4" s="161"/>
      <c r="W4" s="161"/>
      <c r="X4" s="161"/>
      <c r="Y4" s="161"/>
      <c r="Z4" s="161">
        <f>O10+O28+O35+O46+O54+O57+O62+O68+O81+O88+O95+O100+O109+O132+O138+O150+O152+O154+O159+O160+O161+O162+O164+O165+O175+O174</f>
        <v>5443.4330799999989</v>
      </c>
      <c r="AA4" s="161"/>
      <c r="AB4" s="161"/>
      <c r="AC4" s="161"/>
      <c r="AD4" s="161"/>
      <c r="AE4" s="161"/>
      <c r="AF4" s="161"/>
      <c r="AG4" s="161"/>
      <c r="AH4" s="161"/>
      <c r="AI4" s="161"/>
      <c r="AJ4" s="161"/>
      <c r="AK4" s="161"/>
      <c r="AL4" s="161"/>
      <c r="AM4" s="161"/>
      <c r="AN4" s="161"/>
      <c r="AO4" s="161"/>
      <c r="AP4" s="161"/>
      <c r="AQ4" s="161"/>
      <c r="AR4" s="161"/>
      <c r="AS4" s="161"/>
      <c r="AT4" s="161"/>
      <c r="AU4" s="161"/>
      <c r="AV4" s="161"/>
      <c r="AW4" s="161"/>
      <c r="AX4" s="161"/>
      <c r="AY4" s="161"/>
      <c r="AZ4" s="161"/>
      <c r="BA4" s="1145"/>
    </row>
    <row r="5" spans="1:87" s="1414" customFormat="1" ht="12.75" customHeight="1">
      <c r="A5" s="3801" t="s">
        <v>48</v>
      </c>
      <c r="B5" s="3801" t="s">
        <v>49</v>
      </c>
      <c r="C5" s="3801" t="s">
        <v>50</v>
      </c>
      <c r="D5" s="3801" t="s">
        <v>51</v>
      </c>
      <c r="E5" s="3801" t="s">
        <v>52</v>
      </c>
      <c r="F5" s="3866" t="s">
        <v>4478</v>
      </c>
      <c r="G5" s="3866"/>
      <c r="H5" s="3866"/>
      <c r="I5" s="3866"/>
      <c r="J5" s="3866"/>
      <c r="K5" s="3903"/>
      <c r="L5" s="3903"/>
      <c r="M5" s="3903"/>
      <c r="N5" s="3903"/>
      <c r="O5" s="3903"/>
      <c r="P5" s="3904"/>
      <c r="Q5" s="3905" t="s">
        <v>4514</v>
      </c>
      <c r="R5" s="3906"/>
    </row>
    <row r="6" spans="1:87" s="1414" customFormat="1" ht="45" customHeight="1">
      <c r="A6" s="3801"/>
      <c r="B6" s="3801"/>
      <c r="C6" s="3801"/>
      <c r="D6" s="3801"/>
      <c r="E6" s="3801"/>
      <c r="F6" s="918" t="s">
        <v>4479</v>
      </c>
      <c r="G6" s="918" t="s">
        <v>4482</v>
      </c>
      <c r="H6" s="918" t="s">
        <v>4480</v>
      </c>
      <c r="I6" s="918" t="s">
        <v>4483</v>
      </c>
      <c r="J6" s="918" t="s">
        <v>2448</v>
      </c>
      <c r="K6" s="919" t="s">
        <v>53</v>
      </c>
      <c r="L6" s="919" t="s">
        <v>54</v>
      </c>
      <c r="M6" s="920" t="s">
        <v>55</v>
      </c>
      <c r="N6" s="919" t="s">
        <v>56</v>
      </c>
      <c r="O6" s="2901" t="s">
        <v>57</v>
      </c>
      <c r="P6" s="919" t="s">
        <v>5069</v>
      </c>
      <c r="Q6" s="3057" t="s">
        <v>2450</v>
      </c>
      <c r="R6" s="922" t="s">
        <v>4515</v>
      </c>
      <c r="S6" s="3104" t="s">
        <v>4538</v>
      </c>
      <c r="BB6" s="3153" t="s">
        <v>5973</v>
      </c>
      <c r="BC6" s="3153" t="s">
        <v>5432</v>
      </c>
      <c r="BD6" s="3153" t="s">
        <v>5433</v>
      </c>
      <c r="BE6" s="3153" t="s">
        <v>5434</v>
      </c>
      <c r="BF6" s="3153" t="s">
        <v>5435</v>
      </c>
      <c r="BG6" s="3153" t="s">
        <v>5436</v>
      </c>
      <c r="BH6" s="3153" t="s">
        <v>5437</v>
      </c>
      <c r="BI6" s="3153" t="s">
        <v>5959</v>
      </c>
      <c r="BJ6" s="3153" t="s">
        <v>5438</v>
      </c>
      <c r="BK6" s="3153" t="s">
        <v>5439</v>
      </c>
      <c r="BL6" s="3153" t="s">
        <v>5960</v>
      </c>
      <c r="BM6" s="3153" t="s">
        <v>5440</v>
      </c>
      <c r="BN6" s="3153" t="s">
        <v>5441</v>
      </c>
      <c r="BO6" s="3153" t="s">
        <v>5961</v>
      </c>
      <c r="BP6" s="3153" t="s">
        <v>5974</v>
      </c>
      <c r="BQ6" s="3153" t="s">
        <v>5975</v>
      </c>
      <c r="BR6" s="3153" t="s">
        <v>5976</v>
      </c>
      <c r="BS6" s="3153" t="s">
        <v>5977</v>
      </c>
      <c r="BT6" s="3153" t="s">
        <v>5978</v>
      </c>
      <c r="BU6" s="3153" t="s">
        <v>5979</v>
      </c>
      <c r="BV6" s="3153" t="s">
        <v>5962</v>
      </c>
      <c r="BW6" s="3153" t="s">
        <v>5963</v>
      </c>
      <c r="BX6" s="3153" t="s">
        <v>5964</v>
      </c>
      <c r="BY6" s="3153" t="s">
        <v>5965</v>
      </c>
      <c r="BZ6" s="3153" t="s">
        <v>5966</v>
      </c>
      <c r="CA6" s="3153" t="s">
        <v>5967</v>
      </c>
      <c r="CB6" s="3153" t="s">
        <v>5968</v>
      </c>
      <c r="CC6" s="3153" t="s">
        <v>5969</v>
      </c>
      <c r="CD6" s="3153" t="s">
        <v>5970</v>
      </c>
      <c r="CE6" s="3153" t="s">
        <v>5980</v>
      </c>
      <c r="CF6" s="3153" t="s">
        <v>5971</v>
      </c>
      <c r="CG6" s="3153" t="s">
        <v>5981</v>
      </c>
      <c r="CH6" s="3153" t="s">
        <v>5982</v>
      </c>
      <c r="CI6" s="3153" t="s">
        <v>5972</v>
      </c>
    </row>
    <row r="7" spans="1:87" s="1129" customFormat="1" ht="33.75" customHeight="1">
      <c r="A7" s="217">
        <v>8</v>
      </c>
      <c r="B7" s="990"/>
      <c r="C7" s="217" t="s">
        <v>36</v>
      </c>
      <c r="D7" s="991"/>
      <c r="E7" s="991"/>
      <c r="F7" s="991"/>
      <c r="G7" s="991"/>
      <c r="H7" s="991"/>
      <c r="I7" s="991"/>
      <c r="J7" s="991"/>
      <c r="K7" s="991"/>
      <c r="L7" s="991"/>
      <c r="M7" s="160"/>
      <c r="N7" s="991"/>
      <c r="O7" s="2902">
        <f>O8+O161+O162+O163</f>
        <v>10401.461299999999</v>
      </c>
      <c r="P7" s="217"/>
      <c r="Q7" s="3058"/>
      <c r="R7" s="160">
        <f>R8+R161+R162+R163</f>
        <v>10399.38738</v>
      </c>
      <c r="S7" s="1129">
        <f>SUM(S9:S175)</f>
        <v>0.8</v>
      </c>
      <c r="U7" s="3132"/>
      <c r="BB7" s="897"/>
      <c r="BC7" s="897"/>
      <c r="BD7" s="897"/>
      <c r="BE7" s="897"/>
      <c r="BF7" s="897"/>
      <c r="BG7" s="897"/>
      <c r="BH7" s="897"/>
      <c r="BI7" s="897"/>
      <c r="BJ7" s="897"/>
      <c r="BK7" s="897"/>
      <c r="BL7" s="897"/>
      <c r="BM7" s="897"/>
      <c r="BN7" s="897"/>
      <c r="BO7" s="897"/>
      <c r="BP7" s="897"/>
      <c r="BQ7" s="897"/>
      <c r="BR7" s="897"/>
      <c r="BS7" s="897"/>
      <c r="BT7" s="897"/>
      <c r="BU7" s="897"/>
      <c r="BV7" s="897"/>
      <c r="BW7" s="897"/>
      <c r="BX7" s="897"/>
      <c r="BY7" s="897"/>
      <c r="BZ7" s="897"/>
      <c r="CA7" s="897"/>
      <c r="CB7" s="897"/>
      <c r="CC7" s="897"/>
      <c r="CD7" s="897"/>
      <c r="CE7" s="897"/>
      <c r="CF7" s="897"/>
      <c r="CG7" s="897"/>
      <c r="CH7" s="897"/>
      <c r="CI7" s="897">
        <f>SUM(BB7:CH7)</f>
        <v>0</v>
      </c>
    </row>
    <row r="8" spans="1:87">
      <c r="A8" s="331">
        <v>8.1</v>
      </c>
      <c r="B8" s="928"/>
      <c r="C8" s="84" t="s">
        <v>36</v>
      </c>
      <c r="D8" s="1245" t="s">
        <v>65</v>
      </c>
      <c r="E8" s="1245" t="s">
        <v>3760</v>
      </c>
      <c r="F8" s="1245"/>
      <c r="G8" s="1245"/>
      <c r="H8" s="1245"/>
      <c r="I8" s="1245"/>
      <c r="J8" s="1245"/>
      <c r="K8" s="1245"/>
      <c r="L8" s="1245"/>
      <c r="M8" s="546"/>
      <c r="N8" s="1419"/>
      <c r="O8" s="2903">
        <f>O9+O27+O34+O45+O53+O56+O60+O80+O87+O94+O99+O108+O131+O137+O153+O105</f>
        <v>7281.7812999999996</v>
      </c>
      <c r="P8" s="438"/>
      <c r="Q8" s="3059"/>
      <c r="R8" s="994">
        <f>R9+R27+R34+R45+R53+R56+R60+R80+R87+R94+R99+R108+R131+R137+R153+R105</f>
        <v>7258.6173799999997</v>
      </c>
      <c r="U8" s="3132"/>
      <c r="BB8" s="1513"/>
      <c r="BC8" s="1513"/>
      <c r="BD8" s="1513"/>
      <c r="BE8" s="1513"/>
      <c r="BF8" s="1513"/>
      <c r="BG8" s="1513"/>
      <c r="BH8" s="1513"/>
      <c r="BI8" s="1513"/>
      <c r="BJ8" s="1513"/>
      <c r="BK8" s="1513"/>
      <c r="BL8" s="1513"/>
      <c r="BM8" s="1513"/>
      <c r="BN8" s="1513"/>
      <c r="BO8" s="1513"/>
      <c r="BP8" s="1513"/>
      <c r="BQ8" s="1513"/>
      <c r="BR8" s="1513"/>
      <c r="BS8" s="1513"/>
      <c r="BT8" s="1513"/>
      <c r="BU8" s="1513"/>
      <c r="BV8" s="1513"/>
      <c r="BW8" s="1513"/>
      <c r="BX8" s="1513"/>
      <c r="BY8" s="1513"/>
      <c r="BZ8" s="1513"/>
      <c r="CA8" s="1513"/>
      <c r="CB8" s="1513"/>
      <c r="CC8" s="1513"/>
      <c r="CD8" s="1513"/>
      <c r="CE8" s="1513"/>
      <c r="CF8" s="1513"/>
      <c r="CG8" s="1513"/>
      <c r="CH8" s="1513"/>
      <c r="CI8" s="897">
        <f t="shared" ref="CI8:CI71" si="0">SUM(BB8:CH8)</f>
        <v>0</v>
      </c>
    </row>
    <row r="9" spans="1:87">
      <c r="A9" s="880" t="s">
        <v>416</v>
      </c>
      <c r="B9" s="936" t="s">
        <v>417</v>
      </c>
      <c r="C9" s="85" t="s">
        <v>418</v>
      </c>
      <c r="D9" s="997" t="s">
        <v>65</v>
      </c>
      <c r="E9" s="997" t="s">
        <v>3760</v>
      </c>
      <c r="F9" s="997"/>
      <c r="G9" s="997"/>
      <c r="H9" s="997">
        <v>547.04</v>
      </c>
      <c r="I9" s="997"/>
      <c r="J9" s="997"/>
      <c r="K9" s="997"/>
      <c r="L9" s="997"/>
      <c r="M9" s="1420"/>
      <c r="N9" s="1271"/>
      <c r="O9" s="2904">
        <f>SUM(O10:O12)+SUM(O20:O26)+O16+O17</f>
        <v>577.37746000000004</v>
      </c>
      <c r="P9" s="436"/>
      <c r="Q9" s="3060"/>
      <c r="R9" s="940">
        <v>577.38</v>
      </c>
      <c r="U9" s="3132"/>
      <c r="BB9" s="1513"/>
      <c r="BC9" s="1513"/>
      <c r="BD9" s="1513"/>
      <c r="BE9" s="1513"/>
      <c r="BF9" s="1513"/>
      <c r="BG9" s="1513"/>
      <c r="BH9" s="1513"/>
      <c r="BI9" s="1513"/>
      <c r="BJ9" s="1513"/>
      <c r="BK9" s="1513"/>
      <c r="BL9" s="1513"/>
      <c r="BM9" s="1513"/>
      <c r="BN9" s="1513"/>
      <c r="BO9" s="1513"/>
      <c r="BP9" s="1513"/>
      <c r="BQ9" s="1513"/>
      <c r="BR9" s="1513"/>
      <c r="BS9" s="1513"/>
      <c r="BT9" s="1513"/>
      <c r="BU9" s="1513"/>
      <c r="BV9" s="1513"/>
      <c r="BW9" s="1513"/>
      <c r="BX9" s="1513"/>
      <c r="BY9" s="1513"/>
      <c r="BZ9" s="1513"/>
      <c r="CA9" s="1513"/>
      <c r="CB9" s="1513"/>
      <c r="CC9" s="1513"/>
      <c r="CD9" s="1513"/>
      <c r="CE9" s="1513"/>
      <c r="CF9" s="1513"/>
      <c r="CG9" s="1513"/>
      <c r="CH9" s="1513"/>
      <c r="CI9" s="897">
        <f t="shared" si="0"/>
        <v>0</v>
      </c>
    </row>
    <row r="10" spans="1:87" ht="42" customHeight="1">
      <c r="A10" s="390" t="s">
        <v>419</v>
      </c>
      <c r="B10" s="390" t="s">
        <v>420</v>
      </c>
      <c r="C10" s="390" t="s">
        <v>421</v>
      </c>
      <c r="D10" s="908" t="s">
        <v>65</v>
      </c>
      <c r="E10" s="1171" t="s">
        <v>3760</v>
      </c>
      <c r="F10" s="2209">
        <v>27</v>
      </c>
      <c r="G10" s="392">
        <v>27</v>
      </c>
      <c r="H10" s="3926">
        <v>539.13</v>
      </c>
      <c r="I10" s="3929">
        <v>138.9</v>
      </c>
      <c r="J10" s="3929">
        <v>200</v>
      </c>
      <c r="K10" s="3929"/>
      <c r="L10" s="3929">
        <v>154379</v>
      </c>
      <c r="M10" s="3932">
        <f>L10/100000</f>
        <v>1.54379</v>
      </c>
      <c r="N10" s="3929">
        <v>374</v>
      </c>
      <c r="O10" s="3923">
        <f>M10*N10</f>
        <v>577.37746000000004</v>
      </c>
      <c r="P10" s="625"/>
      <c r="Q10" s="3061" t="s">
        <v>5777</v>
      </c>
      <c r="R10" s="3923">
        <v>577.37746000000004</v>
      </c>
      <c r="U10" s="3132"/>
      <c r="BB10" s="1513">
        <v>8.92</v>
      </c>
      <c r="BC10" s="1513">
        <f>2*10250*12/100000</f>
        <v>2.46</v>
      </c>
      <c r="BD10" s="1513"/>
      <c r="BE10" s="1513">
        <f>2*10250*12/100000</f>
        <v>2.46</v>
      </c>
      <c r="BF10" s="1513"/>
      <c r="BG10" s="1513">
        <f>2*10250*12/100000</f>
        <v>2.46</v>
      </c>
      <c r="BH10" s="1513">
        <f>4*10250*12/100000</f>
        <v>4.92</v>
      </c>
      <c r="BI10" s="1513"/>
      <c r="BJ10" s="1513">
        <f>2*10250*12/100000</f>
        <v>2.46</v>
      </c>
      <c r="BK10" s="1513"/>
      <c r="BL10" s="1513">
        <f>10*10250*12/100000</f>
        <v>12.3</v>
      </c>
      <c r="BM10" s="1513"/>
      <c r="BN10" s="1513">
        <f>2*10250*12/100000</f>
        <v>2.46</v>
      </c>
      <c r="BO10" s="1513"/>
      <c r="BP10" s="1513"/>
      <c r="BQ10" s="1513"/>
      <c r="BR10" s="1513"/>
      <c r="BS10" s="1513"/>
      <c r="BT10" s="1513"/>
      <c r="BU10" s="1513"/>
      <c r="BV10" s="1513"/>
      <c r="BW10" s="1513"/>
      <c r="BX10" s="1513"/>
      <c r="BY10" s="1513"/>
      <c r="BZ10" s="1513"/>
      <c r="CA10" s="1513"/>
      <c r="CB10" s="1513"/>
      <c r="CC10" s="1513"/>
      <c r="CD10" s="1513"/>
      <c r="CE10" s="1513"/>
      <c r="CF10" s="1513"/>
      <c r="CG10" s="1513"/>
      <c r="CH10" s="1513"/>
      <c r="CI10" s="897">
        <f t="shared" si="0"/>
        <v>38.440000000000005</v>
      </c>
    </row>
    <row r="11" spans="1:87" s="1439" customFormat="1" ht="29.25" customHeight="1">
      <c r="A11" s="391" t="s">
        <v>422</v>
      </c>
      <c r="B11" s="391" t="s">
        <v>423</v>
      </c>
      <c r="C11" s="391" t="s">
        <v>424</v>
      </c>
      <c r="D11" s="982" t="s">
        <v>65</v>
      </c>
      <c r="E11" s="1185" t="s">
        <v>3760</v>
      </c>
      <c r="F11" s="2307">
        <v>167</v>
      </c>
      <c r="G11" s="613">
        <v>167</v>
      </c>
      <c r="H11" s="3927"/>
      <c r="I11" s="3930"/>
      <c r="J11" s="3930"/>
      <c r="K11" s="3930"/>
      <c r="L11" s="3930"/>
      <c r="M11" s="3933"/>
      <c r="N11" s="3930"/>
      <c r="O11" s="3924"/>
      <c r="P11" s="2706"/>
      <c r="Q11" s="3067" t="s">
        <v>5931</v>
      </c>
      <c r="R11" s="3924"/>
      <c r="BB11" s="2571">
        <v>296.45</v>
      </c>
      <c r="BC11" s="2571">
        <f>13500*1*12/100000</f>
        <v>1.62</v>
      </c>
      <c r="BD11" s="2571"/>
      <c r="BE11" s="2571"/>
      <c r="BF11" s="2571">
        <v>1.62</v>
      </c>
      <c r="BG11" s="2571"/>
      <c r="BH11" s="2571">
        <f t="shared" ref="BH11:BN11" si="1">13500*1*12/100000</f>
        <v>1.62</v>
      </c>
      <c r="BI11" s="2571"/>
      <c r="BJ11" s="2571">
        <f t="shared" si="1"/>
        <v>1.62</v>
      </c>
      <c r="BK11" s="2571"/>
      <c r="BL11" s="2571">
        <v>1.62</v>
      </c>
      <c r="BM11" s="2571">
        <f t="shared" si="1"/>
        <v>1.62</v>
      </c>
      <c r="BN11" s="2571">
        <f t="shared" si="1"/>
        <v>1.62</v>
      </c>
      <c r="BO11" s="2571"/>
      <c r="BP11" s="2571"/>
      <c r="BQ11" s="2571"/>
      <c r="BR11" s="2571"/>
      <c r="BS11" s="2571"/>
      <c r="BT11" s="2571"/>
      <c r="BU11" s="2571"/>
      <c r="BV11" s="2571"/>
      <c r="BW11" s="2571"/>
      <c r="BX11" s="2571"/>
      <c r="BY11" s="2571"/>
      <c r="BZ11" s="2571"/>
      <c r="CA11" s="2571"/>
      <c r="CB11" s="2571"/>
      <c r="CC11" s="2571"/>
      <c r="CD11" s="2571"/>
      <c r="CE11" s="2571"/>
      <c r="CF11" s="2571"/>
      <c r="CG11" s="2571"/>
      <c r="CH11" s="2571"/>
      <c r="CI11" s="897">
        <f t="shared" si="0"/>
        <v>307.79000000000002</v>
      </c>
    </row>
    <row r="12" spans="1:87" s="1013" customFormat="1">
      <c r="A12" s="1422" t="s">
        <v>425</v>
      </c>
      <c r="B12" s="1422"/>
      <c r="C12" s="1422" t="s">
        <v>2338</v>
      </c>
      <c r="D12" s="1423" t="s">
        <v>65</v>
      </c>
      <c r="E12" s="1423" t="s">
        <v>3760</v>
      </c>
      <c r="F12" s="616"/>
      <c r="G12" s="616"/>
      <c r="H12" s="3927"/>
      <c r="I12" s="3930"/>
      <c r="J12" s="3930"/>
      <c r="K12" s="3930"/>
      <c r="L12" s="3930"/>
      <c r="M12" s="3933"/>
      <c r="N12" s="3930"/>
      <c r="O12" s="3924"/>
      <c r="P12" s="627"/>
      <c r="Q12" s="3062"/>
      <c r="R12" s="3924"/>
      <c r="BB12" s="3255"/>
      <c r="BC12" s="3255"/>
      <c r="BD12" s="3255"/>
      <c r="BE12" s="3255"/>
      <c r="BF12" s="3255"/>
      <c r="BG12" s="3255"/>
      <c r="BH12" s="3255"/>
      <c r="BI12" s="3255"/>
      <c r="BJ12" s="3255"/>
      <c r="BK12" s="3255"/>
      <c r="BL12" s="3255"/>
      <c r="BM12" s="3255"/>
      <c r="BN12" s="3255"/>
      <c r="BO12" s="3255"/>
      <c r="BP12" s="3255"/>
      <c r="BQ12" s="3255"/>
      <c r="BR12" s="3255"/>
      <c r="BS12" s="3255"/>
      <c r="BT12" s="3255"/>
      <c r="BU12" s="3255"/>
      <c r="BV12" s="3255"/>
      <c r="BW12" s="3255"/>
      <c r="BX12" s="3255"/>
      <c r="BY12" s="3255"/>
      <c r="BZ12" s="3255"/>
      <c r="CA12" s="3255"/>
      <c r="CB12" s="3255"/>
      <c r="CC12" s="3255"/>
      <c r="CD12" s="3255"/>
      <c r="CE12" s="3255"/>
      <c r="CF12" s="3255"/>
      <c r="CG12" s="3255"/>
      <c r="CH12" s="3255"/>
      <c r="CI12" s="897">
        <f t="shared" si="0"/>
        <v>0</v>
      </c>
    </row>
    <row r="13" spans="1:87">
      <c r="A13" s="390" t="s">
        <v>4162</v>
      </c>
      <c r="B13" s="391"/>
      <c r="C13" s="390" t="s">
        <v>2336</v>
      </c>
      <c r="D13" s="908" t="s">
        <v>65</v>
      </c>
      <c r="E13" s="1171" t="s">
        <v>3760</v>
      </c>
      <c r="F13" s="2209">
        <v>0</v>
      </c>
      <c r="G13" s="392"/>
      <c r="H13" s="3927"/>
      <c r="I13" s="3930"/>
      <c r="J13" s="3930"/>
      <c r="K13" s="3930"/>
      <c r="L13" s="3930"/>
      <c r="M13" s="3933"/>
      <c r="N13" s="3930"/>
      <c r="O13" s="3924"/>
      <c r="P13" s="250"/>
      <c r="Q13" s="3061"/>
      <c r="R13" s="3924"/>
      <c r="BB13" s="1513"/>
      <c r="BC13" s="1513"/>
      <c r="BD13" s="1513"/>
      <c r="BE13" s="1513"/>
      <c r="BF13" s="1513"/>
      <c r="BG13" s="1513"/>
      <c r="BH13" s="1513"/>
      <c r="BI13" s="1513"/>
      <c r="BJ13" s="1513"/>
      <c r="BK13" s="1513"/>
      <c r="BL13" s="1513"/>
      <c r="BM13" s="1513"/>
      <c r="BN13" s="1513"/>
      <c r="BO13" s="1513"/>
      <c r="BP13" s="1513"/>
      <c r="BQ13" s="1513"/>
      <c r="BR13" s="1513"/>
      <c r="BS13" s="1513"/>
      <c r="BT13" s="1513"/>
      <c r="BU13" s="1513"/>
      <c r="BV13" s="1513"/>
      <c r="BW13" s="1513"/>
      <c r="BX13" s="1513"/>
      <c r="BY13" s="1513"/>
      <c r="BZ13" s="1513"/>
      <c r="CA13" s="1513"/>
      <c r="CB13" s="1513"/>
      <c r="CC13" s="1513"/>
      <c r="CD13" s="1513"/>
      <c r="CE13" s="1513"/>
      <c r="CF13" s="1513"/>
      <c r="CG13" s="1513"/>
      <c r="CH13" s="1513"/>
      <c r="CI13" s="897">
        <f t="shared" si="0"/>
        <v>0</v>
      </c>
    </row>
    <row r="14" spans="1:87" ht="30">
      <c r="A14" s="390" t="s">
        <v>4163</v>
      </c>
      <c r="B14" s="391"/>
      <c r="C14" s="390" t="s">
        <v>2337</v>
      </c>
      <c r="D14" s="908" t="s">
        <v>65</v>
      </c>
      <c r="E14" s="1171" t="s">
        <v>3760</v>
      </c>
      <c r="F14" s="2209">
        <v>0</v>
      </c>
      <c r="G14" s="392"/>
      <c r="H14" s="3927"/>
      <c r="I14" s="3930"/>
      <c r="J14" s="3930"/>
      <c r="K14" s="3930"/>
      <c r="L14" s="3930"/>
      <c r="M14" s="3933"/>
      <c r="N14" s="3930"/>
      <c r="O14" s="3924"/>
      <c r="P14" s="367"/>
      <c r="Q14" s="3061"/>
      <c r="R14" s="3924"/>
      <c r="BB14" s="1513"/>
      <c r="BC14" s="1513"/>
      <c r="BD14" s="1513"/>
      <c r="BE14" s="1513"/>
      <c r="BF14" s="1513"/>
      <c r="BG14" s="1513"/>
      <c r="BH14" s="1513"/>
      <c r="BI14" s="1513"/>
      <c r="BJ14" s="1513"/>
      <c r="BK14" s="1513"/>
      <c r="BL14" s="1513"/>
      <c r="BM14" s="1513"/>
      <c r="BN14" s="1513"/>
      <c r="BO14" s="1513"/>
      <c r="BP14" s="1513"/>
      <c r="BQ14" s="1513"/>
      <c r="BR14" s="1513"/>
      <c r="BS14" s="1513"/>
      <c r="BT14" s="1513"/>
      <c r="BU14" s="1513"/>
      <c r="BV14" s="1513"/>
      <c r="BW14" s="1513"/>
      <c r="BX14" s="1513"/>
      <c r="BY14" s="1513"/>
      <c r="BZ14" s="1513"/>
      <c r="CA14" s="1513"/>
      <c r="CB14" s="1513"/>
      <c r="CC14" s="1513"/>
      <c r="CD14" s="1513"/>
      <c r="CE14" s="1513"/>
      <c r="CF14" s="1513"/>
      <c r="CG14" s="1513"/>
      <c r="CH14" s="1513"/>
      <c r="CI14" s="897">
        <f t="shared" si="0"/>
        <v>0</v>
      </c>
    </row>
    <row r="15" spans="1:87">
      <c r="A15" s="390" t="s">
        <v>4164</v>
      </c>
      <c r="B15" s="391"/>
      <c r="C15" s="390" t="s">
        <v>2339</v>
      </c>
      <c r="D15" s="908" t="s">
        <v>65</v>
      </c>
      <c r="E15" s="1171" t="s">
        <v>3760</v>
      </c>
      <c r="F15" s="2209">
        <v>0</v>
      </c>
      <c r="G15" s="392"/>
      <c r="H15" s="3927"/>
      <c r="I15" s="3930"/>
      <c r="J15" s="3930"/>
      <c r="K15" s="3930"/>
      <c r="L15" s="3930"/>
      <c r="M15" s="3933"/>
      <c r="N15" s="3930"/>
      <c r="O15" s="3924"/>
      <c r="P15" s="626"/>
      <c r="Q15" s="3061"/>
      <c r="R15" s="3924"/>
      <c r="BB15" s="1513"/>
      <c r="BC15" s="1513"/>
      <c r="BD15" s="1513"/>
      <c r="BE15" s="1513"/>
      <c r="BF15" s="1513"/>
      <c r="BG15" s="1513"/>
      <c r="BH15" s="1513"/>
      <c r="BI15" s="1513"/>
      <c r="BJ15" s="1513"/>
      <c r="BK15" s="1513"/>
      <c r="BL15" s="1513"/>
      <c r="BM15" s="1513"/>
      <c r="BN15" s="1513"/>
      <c r="BO15" s="1513"/>
      <c r="BP15" s="1513"/>
      <c r="BQ15" s="1513"/>
      <c r="BR15" s="1513"/>
      <c r="BS15" s="1513"/>
      <c r="BT15" s="1513"/>
      <c r="BU15" s="1513"/>
      <c r="BV15" s="1513"/>
      <c r="BW15" s="1513"/>
      <c r="BX15" s="1513"/>
      <c r="BY15" s="1513"/>
      <c r="BZ15" s="1513"/>
      <c r="CA15" s="1513"/>
      <c r="CB15" s="1513"/>
      <c r="CC15" s="1513"/>
      <c r="CD15" s="1513"/>
      <c r="CE15" s="1513"/>
      <c r="CF15" s="1513"/>
      <c r="CG15" s="1513"/>
      <c r="CH15" s="1513"/>
      <c r="CI15" s="897">
        <f t="shared" si="0"/>
        <v>0</v>
      </c>
    </row>
    <row r="16" spans="1:87" ht="30">
      <c r="A16" s="390" t="s">
        <v>428</v>
      </c>
      <c r="B16" s="390" t="s">
        <v>426</v>
      </c>
      <c r="C16" s="390" t="s">
        <v>427</v>
      </c>
      <c r="D16" s="908" t="s">
        <v>65</v>
      </c>
      <c r="E16" s="1171" t="s">
        <v>3760</v>
      </c>
      <c r="F16" s="2209">
        <v>0</v>
      </c>
      <c r="G16" s="392"/>
      <c r="H16" s="3927"/>
      <c r="I16" s="3930"/>
      <c r="J16" s="3930"/>
      <c r="K16" s="3930"/>
      <c r="L16" s="3930"/>
      <c r="M16" s="3933"/>
      <c r="N16" s="3930"/>
      <c r="O16" s="3924"/>
      <c r="P16" s="250"/>
      <c r="Q16" s="3061"/>
      <c r="R16" s="3924"/>
      <c r="BB16" s="1513"/>
      <c r="BC16" s="1513"/>
      <c r="BD16" s="1513"/>
      <c r="BE16" s="1513"/>
      <c r="BF16" s="1513"/>
      <c r="BG16" s="1513"/>
      <c r="BH16" s="1513"/>
      <c r="BI16" s="1513"/>
      <c r="BJ16" s="1513"/>
      <c r="BK16" s="1513"/>
      <c r="BL16" s="1513"/>
      <c r="BM16" s="1513"/>
      <c r="BN16" s="1513"/>
      <c r="BO16" s="1513"/>
      <c r="BP16" s="1513"/>
      <c r="BQ16" s="1513"/>
      <c r="BR16" s="1513"/>
      <c r="BS16" s="1513"/>
      <c r="BT16" s="1513"/>
      <c r="BU16" s="1513"/>
      <c r="BV16" s="1513"/>
      <c r="BW16" s="1513"/>
      <c r="BX16" s="1513"/>
      <c r="BY16" s="1513"/>
      <c r="BZ16" s="1513"/>
      <c r="CA16" s="1513"/>
      <c r="CB16" s="1513"/>
      <c r="CC16" s="1513"/>
      <c r="CD16" s="1513"/>
      <c r="CE16" s="1513"/>
      <c r="CF16" s="1513"/>
      <c r="CG16" s="1513"/>
      <c r="CH16" s="1513"/>
      <c r="CI16" s="897">
        <f t="shared" si="0"/>
        <v>0</v>
      </c>
    </row>
    <row r="17" spans="1:87">
      <c r="A17" s="1424" t="s">
        <v>430</v>
      </c>
      <c r="B17" s="1424" t="s">
        <v>429</v>
      </c>
      <c r="C17" s="1425" t="s">
        <v>4488</v>
      </c>
      <c r="D17" s="1426" t="s">
        <v>65</v>
      </c>
      <c r="E17" s="1426" t="s">
        <v>3760</v>
      </c>
      <c r="F17" s="617"/>
      <c r="G17" s="617"/>
      <c r="H17" s="3927"/>
      <c r="I17" s="3930"/>
      <c r="J17" s="3930"/>
      <c r="K17" s="3930"/>
      <c r="L17" s="3930"/>
      <c r="M17" s="3933"/>
      <c r="N17" s="3930"/>
      <c r="O17" s="3924"/>
      <c r="P17" s="381"/>
      <c r="Q17" s="3063"/>
      <c r="R17" s="3924"/>
      <c r="BB17" s="1513"/>
      <c r="BC17" s="1513"/>
      <c r="BD17" s="1513"/>
      <c r="BE17" s="1513"/>
      <c r="BF17" s="1513"/>
      <c r="BG17" s="1513"/>
      <c r="BH17" s="1513"/>
      <c r="BI17" s="1513"/>
      <c r="BJ17" s="1513"/>
      <c r="BK17" s="1513"/>
      <c r="BL17" s="1513"/>
      <c r="BM17" s="1513"/>
      <c r="BN17" s="1513"/>
      <c r="BO17" s="1513"/>
      <c r="BP17" s="1513"/>
      <c r="BQ17" s="1513"/>
      <c r="BR17" s="1513"/>
      <c r="BS17" s="1513"/>
      <c r="BT17" s="1513"/>
      <c r="BU17" s="1513"/>
      <c r="BV17" s="1513"/>
      <c r="BW17" s="1513"/>
      <c r="BX17" s="1513"/>
      <c r="BY17" s="1513"/>
      <c r="BZ17" s="1513"/>
      <c r="CA17" s="1513"/>
      <c r="CB17" s="1513"/>
      <c r="CC17" s="1513"/>
      <c r="CD17" s="1513"/>
      <c r="CE17" s="1513"/>
      <c r="CF17" s="1513"/>
      <c r="CG17" s="1513"/>
      <c r="CH17" s="1513"/>
      <c r="CI17" s="897">
        <f t="shared" si="0"/>
        <v>0</v>
      </c>
    </row>
    <row r="18" spans="1:87" s="1439" customFormat="1" ht="44.25" customHeight="1">
      <c r="A18" s="391" t="s">
        <v>4486</v>
      </c>
      <c r="B18" s="391" t="s">
        <v>429</v>
      </c>
      <c r="C18" s="1004" t="s">
        <v>570</v>
      </c>
      <c r="D18" s="982" t="s">
        <v>65</v>
      </c>
      <c r="E18" s="2255" t="s">
        <v>3760</v>
      </c>
      <c r="F18" s="634">
        <v>116</v>
      </c>
      <c r="G18" s="634">
        <v>87</v>
      </c>
      <c r="H18" s="3927"/>
      <c r="I18" s="3930"/>
      <c r="J18" s="3930"/>
      <c r="K18" s="3930"/>
      <c r="L18" s="3930"/>
      <c r="M18" s="3933"/>
      <c r="N18" s="3930"/>
      <c r="O18" s="3924"/>
      <c r="P18" s="289"/>
      <c r="Q18" s="3064" t="s">
        <v>5932</v>
      </c>
      <c r="R18" s="3924"/>
      <c r="BB18" s="2571">
        <v>36.590000000000003</v>
      </c>
      <c r="BC18" s="2571">
        <f>+(1*10000*12+2*11766*12)*105%/100000</f>
        <v>4.2250319999999997</v>
      </c>
      <c r="BD18" s="2571">
        <f>+(1*14382*12+1*23202*12+1*13679*12+2*11766*12)*105%/100000</f>
        <v>9.4241700000000002</v>
      </c>
      <c r="BE18" s="2571">
        <f>+(2*12972*12+2*14382*12+1*11766*12)*105%/100000</f>
        <v>8.3757239999999999</v>
      </c>
      <c r="BF18" s="2571">
        <f>+(1*9759*12+4*14382*12+1*13679*12+1*21323*12+2*11766*12+2*11757*12+1*12353*12+3*10000*12)*105%/100000</f>
        <v>24.152688000000001</v>
      </c>
      <c r="BG18" s="2571">
        <f>+(2*15382*12+1*12111*12)*105%/100000</f>
        <v>5.4022500000000004</v>
      </c>
      <c r="BH18" s="2571">
        <f>+(1*21377*12+2*15882*12+1*16441*12+2*11766*12+2*10000*12)*105%/100000</f>
        <v>14.252364000000002</v>
      </c>
      <c r="BI18" s="2571">
        <f>+(1*21850*12+1*10000*12)*105%/100000</f>
        <v>4.0130999999999997</v>
      </c>
      <c r="BJ18" s="2571">
        <f>+(1*15651*12+3*14575*12+5*11766*12+1*15230*12+1*14417*12+5*10000*12+1*11802*12)*105%/100000</f>
        <v>26.416530000000002</v>
      </c>
      <c r="BK18" s="2571">
        <f>+(2*14575*12+3*12355*12+3*10000*12)*105%/100000</f>
        <v>12.123089999999999</v>
      </c>
      <c r="BL18" s="2571">
        <f>+(2*23672*12+3*14382*12+3*13911*12+1*12382*12+1*10872*12+2*10000*12)*105%/100000</f>
        <v>22.110102000000001</v>
      </c>
      <c r="BM18" s="2571">
        <f>+(3*14382*12+1*10000*12)*105%/100000</f>
        <v>6.696396</v>
      </c>
      <c r="BN18" s="2571">
        <f>+(1*22757*12+3*14417*12+1*10791*12+1*10000*12)*105%/100000</f>
        <v>10.936674000000002</v>
      </c>
      <c r="BO18" s="2571"/>
      <c r="BP18" s="2571"/>
      <c r="BQ18" s="2571"/>
      <c r="BR18" s="2571"/>
      <c r="BS18" s="2571"/>
      <c r="BT18" s="2571"/>
      <c r="BU18" s="2571"/>
      <c r="BV18" s="2571"/>
      <c r="BW18" s="2571"/>
      <c r="BX18" s="2571"/>
      <c r="BY18" s="2571"/>
      <c r="BZ18" s="2571"/>
      <c r="CA18" s="2571"/>
      <c r="CB18" s="2571"/>
      <c r="CC18" s="2571"/>
      <c r="CD18" s="2571"/>
      <c r="CE18" s="2571"/>
      <c r="CF18" s="2571"/>
      <c r="CG18" s="2571"/>
      <c r="CH18" s="2571"/>
      <c r="CI18" s="897">
        <f t="shared" si="0"/>
        <v>184.71812</v>
      </c>
    </row>
    <row r="19" spans="1:87" ht="37.5" customHeight="1">
      <c r="A19" s="390" t="s">
        <v>4487</v>
      </c>
      <c r="B19" s="390" t="s">
        <v>429</v>
      </c>
      <c r="C19" s="431" t="s">
        <v>4489</v>
      </c>
      <c r="D19" s="908" t="s">
        <v>65</v>
      </c>
      <c r="E19" s="1175" t="s">
        <v>3760</v>
      </c>
      <c r="F19" s="618"/>
      <c r="G19" s="618"/>
      <c r="H19" s="3927"/>
      <c r="I19" s="3930"/>
      <c r="J19" s="3930"/>
      <c r="K19" s="3930"/>
      <c r="L19" s="3930"/>
      <c r="M19" s="3933"/>
      <c r="N19" s="3930"/>
      <c r="O19" s="3924"/>
      <c r="P19" s="250"/>
      <c r="Q19" s="3065"/>
      <c r="R19" s="3924"/>
      <c r="BB19" s="1513"/>
      <c r="BC19" s="1513"/>
      <c r="BD19" s="1513"/>
      <c r="BE19" s="1513"/>
      <c r="BF19" s="1513"/>
      <c r="BG19" s="1513"/>
      <c r="BH19" s="1513"/>
      <c r="BI19" s="1513"/>
      <c r="BJ19" s="1513"/>
      <c r="BK19" s="1513"/>
      <c r="BL19" s="1513"/>
      <c r="BM19" s="1513"/>
      <c r="BN19" s="1513"/>
      <c r="BO19" s="1513"/>
      <c r="BP19" s="1513"/>
      <c r="BQ19" s="1513"/>
      <c r="BR19" s="1513"/>
      <c r="BS19" s="1513"/>
      <c r="BT19" s="1513"/>
      <c r="BU19" s="1513"/>
      <c r="BV19" s="1513"/>
      <c r="BW19" s="1513"/>
      <c r="BX19" s="1513"/>
      <c r="BY19" s="1513"/>
      <c r="BZ19" s="1513"/>
      <c r="CA19" s="1513"/>
      <c r="CB19" s="1513"/>
      <c r="CC19" s="1513"/>
      <c r="CD19" s="1513"/>
      <c r="CE19" s="1513"/>
      <c r="CF19" s="1513"/>
      <c r="CG19" s="1513"/>
      <c r="CH19" s="1513"/>
      <c r="CI19" s="897">
        <f t="shared" si="0"/>
        <v>0</v>
      </c>
    </row>
    <row r="20" spans="1:87" hidden="1">
      <c r="A20" s="390" t="s">
        <v>433</v>
      </c>
      <c r="B20" s="390" t="s">
        <v>431</v>
      </c>
      <c r="C20" s="390" t="s">
        <v>432</v>
      </c>
      <c r="D20" s="908" t="s">
        <v>65</v>
      </c>
      <c r="E20" s="1171" t="s">
        <v>3760</v>
      </c>
      <c r="F20" s="2209">
        <v>0</v>
      </c>
      <c r="G20" s="392"/>
      <c r="H20" s="3927"/>
      <c r="I20" s="3930"/>
      <c r="J20" s="3930"/>
      <c r="K20" s="3930"/>
      <c r="L20" s="3930"/>
      <c r="M20" s="3933"/>
      <c r="N20" s="3930"/>
      <c r="O20" s="3924"/>
      <c r="P20" s="367"/>
      <c r="Q20" s="3061"/>
      <c r="R20" s="3924"/>
      <c r="BB20" s="1513"/>
      <c r="BC20" s="1513"/>
      <c r="BD20" s="1513"/>
      <c r="BE20" s="1513"/>
      <c r="BF20" s="1513"/>
      <c r="BG20" s="1513"/>
      <c r="BH20" s="1513"/>
      <c r="BI20" s="1513"/>
      <c r="BJ20" s="1513"/>
      <c r="BK20" s="1513"/>
      <c r="BL20" s="1513"/>
      <c r="BM20" s="1513"/>
      <c r="BN20" s="1513"/>
      <c r="BO20" s="1513"/>
      <c r="BP20" s="1513"/>
      <c r="BQ20" s="1513"/>
      <c r="BR20" s="1513"/>
      <c r="BS20" s="1513"/>
      <c r="BT20" s="1513"/>
      <c r="BU20" s="1513"/>
      <c r="BV20" s="1513"/>
      <c r="BW20" s="1513"/>
      <c r="BX20" s="1513"/>
      <c r="BY20" s="1513"/>
      <c r="BZ20" s="1513"/>
      <c r="CA20" s="1513"/>
      <c r="CB20" s="1513"/>
      <c r="CC20" s="1513"/>
      <c r="CD20" s="1513"/>
      <c r="CE20" s="1513"/>
      <c r="CF20" s="1513"/>
      <c r="CG20" s="1513"/>
      <c r="CH20" s="1513"/>
      <c r="CI20" s="897">
        <f t="shared" si="0"/>
        <v>0</v>
      </c>
    </row>
    <row r="21" spans="1:87" ht="30" hidden="1">
      <c r="A21" s="390" t="s">
        <v>436</v>
      </c>
      <c r="B21" s="390" t="s">
        <v>434</v>
      </c>
      <c r="C21" s="390" t="s">
        <v>435</v>
      </c>
      <c r="D21" s="908" t="s">
        <v>65</v>
      </c>
      <c r="E21" s="1171" t="s">
        <v>3760</v>
      </c>
      <c r="F21" s="2209">
        <v>0</v>
      </c>
      <c r="G21" s="392"/>
      <c r="H21" s="3927"/>
      <c r="I21" s="3930"/>
      <c r="J21" s="3930"/>
      <c r="K21" s="3930"/>
      <c r="L21" s="3930"/>
      <c r="M21" s="3933"/>
      <c r="N21" s="3930"/>
      <c r="O21" s="3924"/>
      <c r="P21" s="367"/>
      <c r="Q21" s="3061"/>
      <c r="R21" s="3924"/>
      <c r="BB21" s="1513"/>
      <c r="BC21" s="1513"/>
      <c r="BD21" s="1513"/>
      <c r="BE21" s="1513"/>
      <c r="BF21" s="1513"/>
      <c r="BG21" s="1513"/>
      <c r="BH21" s="1513"/>
      <c r="BI21" s="1513"/>
      <c r="BJ21" s="1513"/>
      <c r="BK21" s="1513"/>
      <c r="BL21" s="1513"/>
      <c r="BM21" s="1513"/>
      <c r="BN21" s="1513"/>
      <c r="BO21" s="1513"/>
      <c r="BP21" s="1513"/>
      <c r="BQ21" s="1513"/>
      <c r="BR21" s="1513"/>
      <c r="BS21" s="1513"/>
      <c r="BT21" s="1513"/>
      <c r="BU21" s="1513"/>
      <c r="BV21" s="1513"/>
      <c r="BW21" s="1513"/>
      <c r="BX21" s="1513"/>
      <c r="BY21" s="1513"/>
      <c r="BZ21" s="1513"/>
      <c r="CA21" s="1513"/>
      <c r="CB21" s="1513"/>
      <c r="CC21" s="1513"/>
      <c r="CD21" s="1513"/>
      <c r="CE21" s="1513"/>
      <c r="CF21" s="1513"/>
      <c r="CG21" s="1513"/>
      <c r="CH21" s="1513"/>
      <c r="CI21" s="897">
        <f t="shared" si="0"/>
        <v>0</v>
      </c>
    </row>
    <row r="22" spans="1:87" ht="63.75">
      <c r="A22" s="390" t="s">
        <v>439</v>
      </c>
      <c r="B22" s="390" t="s">
        <v>437</v>
      </c>
      <c r="C22" s="390" t="s">
        <v>438</v>
      </c>
      <c r="D22" s="908" t="s">
        <v>65</v>
      </c>
      <c r="E22" s="1171" t="s">
        <v>3760</v>
      </c>
      <c r="F22" s="2209">
        <v>25</v>
      </c>
      <c r="G22" s="392">
        <v>1</v>
      </c>
      <c r="H22" s="3927"/>
      <c r="I22" s="3930"/>
      <c r="J22" s="3930"/>
      <c r="K22" s="3930"/>
      <c r="L22" s="3930"/>
      <c r="M22" s="3933"/>
      <c r="N22" s="3930"/>
      <c r="O22" s="3924"/>
      <c r="P22" s="367"/>
      <c r="Q22" s="3061" t="s">
        <v>5778</v>
      </c>
      <c r="R22" s="3924"/>
      <c r="BB22" s="1513">
        <v>18.29</v>
      </c>
      <c r="BC22" s="1513"/>
      <c r="BD22" s="1513"/>
      <c r="BE22" s="1513"/>
      <c r="BF22" s="1513"/>
      <c r="BG22" s="1513"/>
      <c r="BH22" s="1513"/>
      <c r="BI22" s="1513"/>
      <c r="BJ22" s="1513"/>
      <c r="BK22" s="1513"/>
      <c r="BL22" s="1513"/>
      <c r="BM22" s="1513"/>
      <c r="BN22" s="1513"/>
      <c r="BO22" s="1513"/>
      <c r="BP22" s="1513"/>
      <c r="BQ22" s="1513"/>
      <c r="BR22" s="1513"/>
      <c r="BS22" s="1513"/>
      <c r="BT22" s="1513"/>
      <c r="BU22" s="1513"/>
      <c r="BV22" s="1513"/>
      <c r="BW22" s="1513"/>
      <c r="BX22" s="1513"/>
      <c r="BY22" s="1513"/>
      <c r="BZ22" s="1513"/>
      <c r="CA22" s="1513"/>
      <c r="CB22" s="1513"/>
      <c r="CC22" s="1513"/>
      <c r="CD22" s="1513"/>
      <c r="CE22" s="1513"/>
      <c r="CF22" s="1513"/>
      <c r="CG22" s="1513"/>
      <c r="CH22" s="1513"/>
      <c r="CI22" s="897">
        <f t="shared" si="0"/>
        <v>18.29</v>
      </c>
    </row>
    <row r="23" spans="1:87">
      <c r="A23" s="390" t="s">
        <v>441</v>
      </c>
      <c r="B23" s="390" t="s">
        <v>440</v>
      </c>
      <c r="C23" s="390" t="s">
        <v>2341</v>
      </c>
      <c r="D23" s="908" t="s">
        <v>65</v>
      </c>
      <c r="E23" s="1171" t="s">
        <v>3760</v>
      </c>
      <c r="F23" s="2209">
        <v>0</v>
      </c>
      <c r="G23" s="392"/>
      <c r="H23" s="3927"/>
      <c r="I23" s="3930"/>
      <c r="J23" s="3930"/>
      <c r="K23" s="3930"/>
      <c r="L23" s="3930"/>
      <c r="M23" s="3933"/>
      <c r="N23" s="3930"/>
      <c r="O23" s="3924"/>
      <c r="P23" s="367"/>
      <c r="Q23" s="3061"/>
      <c r="R23" s="3924"/>
      <c r="BB23" s="1513"/>
      <c r="BC23" s="1513"/>
      <c r="BD23" s="1513"/>
      <c r="BE23" s="1513"/>
      <c r="BF23" s="1513"/>
      <c r="BG23" s="1513"/>
      <c r="BH23" s="1513"/>
      <c r="BI23" s="1513"/>
      <c r="BJ23" s="1513"/>
      <c r="BK23" s="1513"/>
      <c r="BL23" s="1513"/>
      <c r="BM23" s="1513"/>
      <c r="BN23" s="1513"/>
      <c r="BO23" s="1513"/>
      <c r="BP23" s="1513"/>
      <c r="BQ23" s="1513"/>
      <c r="BR23" s="1513"/>
      <c r="BS23" s="1513"/>
      <c r="BT23" s="1513"/>
      <c r="BU23" s="1513"/>
      <c r="BV23" s="1513"/>
      <c r="BW23" s="1513"/>
      <c r="BX23" s="1513"/>
      <c r="BY23" s="1513"/>
      <c r="BZ23" s="1513"/>
      <c r="CA23" s="1513"/>
      <c r="CB23" s="1513"/>
      <c r="CC23" s="1513"/>
      <c r="CD23" s="1513"/>
      <c r="CE23" s="1513"/>
      <c r="CF23" s="1513"/>
      <c r="CG23" s="1513"/>
      <c r="CH23" s="1513"/>
      <c r="CI23" s="897">
        <f t="shared" si="0"/>
        <v>0</v>
      </c>
    </row>
    <row r="24" spans="1:87" ht="63.75">
      <c r="A24" s="390" t="s">
        <v>444</v>
      </c>
      <c r="B24" s="390" t="s">
        <v>442</v>
      </c>
      <c r="C24" s="390" t="s">
        <v>443</v>
      </c>
      <c r="D24" s="908" t="s">
        <v>65</v>
      </c>
      <c r="E24" s="1171" t="s">
        <v>3760</v>
      </c>
      <c r="F24" s="2209">
        <v>12</v>
      </c>
      <c r="G24" s="392">
        <v>7</v>
      </c>
      <c r="H24" s="3927"/>
      <c r="I24" s="3930"/>
      <c r="J24" s="3930"/>
      <c r="K24" s="3930"/>
      <c r="L24" s="3930"/>
      <c r="M24" s="3933"/>
      <c r="N24" s="3930"/>
      <c r="O24" s="3924"/>
      <c r="P24" s="628"/>
      <c r="Q24" s="3061" t="s">
        <v>5779</v>
      </c>
      <c r="R24" s="3924"/>
      <c r="BB24" s="1513">
        <v>18.86</v>
      </c>
      <c r="BC24" s="1513"/>
      <c r="BD24" s="1513"/>
      <c r="BE24" s="1513"/>
      <c r="BF24" s="1513">
        <v>1.74</v>
      </c>
      <c r="BG24" s="1513">
        <v>2.31</v>
      </c>
      <c r="BH24" s="1513">
        <v>1.74</v>
      </c>
      <c r="BI24" s="1513"/>
      <c r="BJ24" s="1513"/>
      <c r="BK24" s="1513">
        <v>1.74</v>
      </c>
      <c r="BL24" s="1513"/>
      <c r="BM24" s="1513"/>
      <c r="BN24" s="1513">
        <v>1.74</v>
      </c>
      <c r="BO24" s="1513"/>
      <c r="BP24" s="1513"/>
      <c r="BQ24" s="1513"/>
      <c r="BR24" s="1513"/>
      <c r="BS24" s="1513"/>
      <c r="BT24" s="1513"/>
      <c r="BU24" s="1513"/>
      <c r="BV24" s="1513"/>
      <c r="BW24" s="1513"/>
      <c r="BX24" s="1513"/>
      <c r="BY24" s="1513"/>
      <c r="BZ24" s="1513"/>
      <c r="CA24" s="1513"/>
      <c r="CB24" s="1513"/>
      <c r="CC24" s="1513"/>
      <c r="CD24" s="1513"/>
      <c r="CE24" s="1513"/>
      <c r="CF24" s="1513"/>
      <c r="CG24" s="1513"/>
      <c r="CH24" s="1513"/>
      <c r="CI24" s="897">
        <f t="shared" si="0"/>
        <v>28.129999999999992</v>
      </c>
    </row>
    <row r="25" spans="1:87">
      <c r="A25" s="390" t="s">
        <v>447</v>
      </c>
      <c r="B25" s="390" t="s">
        <v>445</v>
      </c>
      <c r="C25" s="390" t="s">
        <v>446</v>
      </c>
      <c r="D25" s="908" t="s">
        <v>65</v>
      </c>
      <c r="E25" s="1171" t="s">
        <v>3760</v>
      </c>
      <c r="F25" s="2209">
        <v>0</v>
      </c>
      <c r="G25" s="392"/>
      <c r="H25" s="3927"/>
      <c r="I25" s="3930"/>
      <c r="J25" s="3930"/>
      <c r="K25" s="3930"/>
      <c r="L25" s="3930"/>
      <c r="M25" s="3933"/>
      <c r="N25" s="3930"/>
      <c r="O25" s="3924"/>
      <c r="P25" s="367"/>
      <c r="Q25" s="3061"/>
      <c r="R25" s="3924"/>
      <c r="BB25" s="1513"/>
      <c r="BC25" s="1513"/>
      <c r="BD25" s="1513"/>
      <c r="BE25" s="1513"/>
      <c r="BF25" s="1513"/>
      <c r="BG25" s="1513"/>
      <c r="BH25" s="1513"/>
      <c r="BI25" s="1513"/>
      <c r="BJ25" s="1513"/>
      <c r="BK25" s="1513"/>
      <c r="BL25" s="1513"/>
      <c r="BM25" s="1513"/>
      <c r="BN25" s="1513"/>
      <c r="BO25" s="1513"/>
      <c r="BP25" s="1513"/>
      <c r="BQ25" s="1513"/>
      <c r="BR25" s="1513"/>
      <c r="BS25" s="1513"/>
      <c r="BT25" s="1513"/>
      <c r="BU25" s="1513"/>
      <c r="BV25" s="1513"/>
      <c r="BW25" s="1513"/>
      <c r="BX25" s="1513"/>
      <c r="BY25" s="1513"/>
      <c r="BZ25" s="1513"/>
      <c r="CA25" s="1513"/>
      <c r="CB25" s="1513"/>
      <c r="CC25" s="1513"/>
      <c r="CD25" s="1513"/>
      <c r="CE25" s="1513"/>
      <c r="CF25" s="1513"/>
      <c r="CG25" s="1513"/>
      <c r="CH25" s="1513"/>
      <c r="CI25" s="897">
        <f t="shared" si="0"/>
        <v>0</v>
      </c>
    </row>
    <row r="26" spans="1:87" ht="30">
      <c r="A26" s="390" t="s">
        <v>2340</v>
      </c>
      <c r="B26" s="390" t="s">
        <v>448</v>
      </c>
      <c r="C26" s="390" t="s">
        <v>2351</v>
      </c>
      <c r="D26" s="908" t="s">
        <v>65</v>
      </c>
      <c r="E26" s="1171" t="s">
        <v>3760</v>
      </c>
      <c r="F26" s="2209">
        <v>0</v>
      </c>
      <c r="G26" s="392"/>
      <c r="H26" s="3928"/>
      <c r="I26" s="3931"/>
      <c r="J26" s="3931"/>
      <c r="K26" s="3931"/>
      <c r="L26" s="3931"/>
      <c r="M26" s="3934"/>
      <c r="N26" s="3931"/>
      <c r="O26" s="3925"/>
      <c r="P26" s="628"/>
      <c r="Q26" s="3061"/>
      <c r="R26" s="3925"/>
      <c r="BB26" s="1513"/>
      <c r="BC26" s="1513"/>
      <c r="BD26" s="1513"/>
      <c r="BE26" s="1513"/>
      <c r="BF26" s="1513"/>
      <c r="BG26" s="1513"/>
      <c r="BH26" s="1513"/>
      <c r="BI26" s="1513"/>
      <c r="BJ26" s="1513"/>
      <c r="BK26" s="1513"/>
      <c r="BL26" s="1513"/>
      <c r="BM26" s="1513"/>
      <c r="BN26" s="1513"/>
      <c r="BO26" s="1513"/>
      <c r="BP26" s="1513"/>
      <c r="BQ26" s="1513"/>
      <c r="BR26" s="1513"/>
      <c r="BS26" s="1513"/>
      <c r="BT26" s="1513"/>
      <c r="BU26" s="1513"/>
      <c r="BV26" s="1513"/>
      <c r="BW26" s="1513"/>
      <c r="BX26" s="1513"/>
      <c r="BY26" s="1513"/>
      <c r="BZ26" s="1513"/>
      <c r="CA26" s="1513"/>
      <c r="CB26" s="1513"/>
      <c r="CC26" s="1513"/>
      <c r="CD26" s="1513"/>
      <c r="CE26" s="1513"/>
      <c r="CF26" s="1513"/>
      <c r="CG26" s="1513"/>
      <c r="CH26" s="1513"/>
      <c r="CI26" s="897">
        <f t="shared" si="0"/>
        <v>0</v>
      </c>
    </row>
    <row r="27" spans="1:87">
      <c r="A27" s="880" t="s">
        <v>449</v>
      </c>
      <c r="B27" s="936" t="s">
        <v>450</v>
      </c>
      <c r="C27" s="85" t="s">
        <v>451</v>
      </c>
      <c r="D27" s="997" t="s">
        <v>65</v>
      </c>
      <c r="E27" s="997" t="s">
        <v>3760</v>
      </c>
      <c r="F27" s="619"/>
      <c r="G27" s="619"/>
      <c r="H27" s="619"/>
      <c r="I27" s="619"/>
      <c r="J27" s="619"/>
      <c r="K27" s="619"/>
      <c r="L27" s="619"/>
      <c r="M27" s="1443"/>
      <c r="N27" s="624"/>
      <c r="O27" s="2905">
        <f>SUM(O28:O33)</f>
        <v>24</v>
      </c>
      <c r="P27" s="629"/>
      <c r="Q27" s="3066"/>
      <c r="R27" s="116">
        <f>SUM(R28:R33)</f>
        <v>24</v>
      </c>
      <c r="U27" s="3132"/>
      <c r="BB27" s="1513"/>
      <c r="BC27" s="1513"/>
      <c r="BD27" s="1513"/>
      <c r="BE27" s="1513"/>
      <c r="BF27" s="1513"/>
      <c r="BG27" s="1513"/>
      <c r="BH27" s="1513"/>
      <c r="BI27" s="1513"/>
      <c r="BJ27" s="1513"/>
      <c r="BK27" s="1513"/>
      <c r="BL27" s="1513"/>
      <c r="BM27" s="1513"/>
      <c r="BN27" s="1513"/>
      <c r="BO27" s="1513"/>
      <c r="BP27" s="1513"/>
      <c r="BQ27" s="1513"/>
      <c r="BR27" s="1513"/>
      <c r="BS27" s="1513"/>
      <c r="BT27" s="1513"/>
      <c r="BU27" s="1513"/>
      <c r="BV27" s="1513"/>
      <c r="BW27" s="1513"/>
      <c r="BX27" s="1513"/>
      <c r="BY27" s="1513"/>
      <c r="BZ27" s="1513"/>
      <c r="CA27" s="1513"/>
      <c r="CB27" s="1513"/>
      <c r="CC27" s="1513"/>
      <c r="CD27" s="1513"/>
      <c r="CE27" s="1513"/>
      <c r="CF27" s="1513"/>
      <c r="CG27" s="1513"/>
      <c r="CH27" s="1513"/>
      <c r="CI27" s="897">
        <f t="shared" si="0"/>
        <v>0</v>
      </c>
    </row>
    <row r="28" spans="1:87" ht="36" customHeight="1" thickBot="1">
      <c r="A28" s="390" t="s">
        <v>452</v>
      </c>
      <c r="B28" s="390" t="s">
        <v>453</v>
      </c>
      <c r="C28" s="390" t="s">
        <v>454</v>
      </c>
      <c r="D28" s="908" t="s">
        <v>65</v>
      </c>
      <c r="E28" s="1171" t="s">
        <v>3760</v>
      </c>
      <c r="F28" s="2209">
        <v>0</v>
      </c>
      <c r="G28" s="392"/>
      <c r="H28" s="3935">
        <v>0</v>
      </c>
      <c r="I28" s="3935"/>
      <c r="J28" s="3935"/>
      <c r="K28" s="3935"/>
      <c r="L28" s="3929">
        <v>200000</v>
      </c>
      <c r="M28" s="3932">
        <f>L28/100000</f>
        <v>2</v>
      </c>
      <c r="N28" s="3929">
        <v>12</v>
      </c>
      <c r="O28" s="3923">
        <f>M28*N28</f>
        <v>24</v>
      </c>
      <c r="P28" s="630"/>
      <c r="Q28" s="2912" t="s">
        <v>5780</v>
      </c>
      <c r="R28" s="3932">
        <v>24</v>
      </c>
      <c r="U28" s="3132"/>
      <c r="BB28" s="1513">
        <v>24</v>
      </c>
      <c r="BC28" s="1513"/>
      <c r="BD28" s="1513"/>
      <c r="BE28" s="1513"/>
      <c r="BF28" s="1513"/>
      <c r="BG28" s="1513"/>
      <c r="BH28" s="1513"/>
      <c r="BI28" s="1513"/>
      <c r="BJ28" s="1513"/>
      <c r="BK28" s="1513"/>
      <c r="BL28" s="1513"/>
      <c r="BM28" s="1513"/>
      <c r="BN28" s="1513"/>
      <c r="BO28" s="1513"/>
      <c r="BP28" s="1513"/>
      <c r="BQ28" s="1513"/>
      <c r="BR28" s="1513"/>
      <c r="BS28" s="1513"/>
      <c r="BT28" s="1513"/>
      <c r="BU28" s="1513"/>
      <c r="BV28" s="1513"/>
      <c r="BW28" s="1513"/>
      <c r="BX28" s="1513"/>
      <c r="BY28" s="1513"/>
      <c r="BZ28" s="1513"/>
      <c r="CA28" s="1513"/>
      <c r="CB28" s="1513"/>
      <c r="CC28" s="1513"/>
      <c r="CD28" s="1513"/>
      <c r="CE28" s="1513"/>
      <c r="CF28" s="1513"/>
      <c r="CG28" s="1513"/>
      <c r="CH28" s="1513"/>
      <c r="CI28" s="897">
        <f t="shared" si="0"/>
        <v>24</v>
      </c>
    </row>
    <row r="29" spans="1:87" ht="30" customHeight="1" thickBot="1">
      <c r="A29" s="390" t="s">
        <v>455</v>
      </c>
      <c r="B29" s="390" t="s">
        <v>456</v>
      </c>
      <c r="C29" s="390" t="s">
        <v>457</v>
      </c>
      <c r="D29" s="908" t="s">
        <v>65</v>
      </c>
      <c r="E29" s="1171" t="s">
        <v>3760</v>
      </c>
      <c r="F29" s="2209">
        <v>0</v>
      </c>
      <c r="G29" s="392"/>
      <c r="H29" s="3936"/>
      <c r="I29" s="3936"/>
      <c r="J29" s="3936"/>
      <c r="K29" s="3936"/>
      <c r="L29" s="3930"/>
      <c r="M29" s="3933"/>
      <c r="N29" s="3930"/>
      <c r="O29" s="3924"/>
      <c r="P29" s="367"/>
      <c r="Q29" s="2912" t="s">
        <v>5781</v>
      </c>
      <c r="R29" s="3933"/>
      <c r="BB29" s="1513"/>
      <c r="BC29" s="1513"/>
      <c r="BD29" s="1513"/>
      <c r="BE29" s="1513"/>
      <c r="BF29" s="1513"/>
      <c r="BG29" s="1513"/>
      <c r="BH29" s="1513"/>
      <c r="BI29" s="1513"/>
      <c r="BJ29" s="1513"/>
      <c r="BK29" s="1513"/>
      <c r="BL29" s="1513"/>
      <c r="BM29" s="1513"/>
      <c r="BN29" s="1513"/>
      <c r="BO29" s="1513"/>
      <c r="BP29" s="1513"/>
      <c r="BQ29" s="1513"/>
      <c r="BR29" s="1513"/>
      <c r="BS29" s="1513"/>
      <c r="BT29" s="1513"/>
      <c r="BU29" s="1513"/>
      <c r="BV29" s="1513"/>
      <c r="BW29" s="1513"/>
      <c r="BX29" s="1513"/>
      <c r="BY29" s="1513"/>
      <c r="BZ29" s="1513"/>
      <c r="CA29" s="1513"/>
      <c r="CB29" s="1513"/>
      <c r="CC29" s="1513"/>
      <c r="CD29" s="1513"/>
      <c r="CE29" s="1513"/>
      <c r="CF29" s="1513"/>
      <c r="CG29" s="1513"/>
      <c r="CH29" s="1513"/>
      <c r="CI29" s="897">
        <f t="shared" si="0"/>
        <v>0</v>
      </c>
    </row>
    <row r="30" spans="1:87">
      <c r="A30" s="390" t="s">
        <v>458</v>
      </c>
      <c r="B30" s="390" t="s">
        <v>459</v>
      </c>
      <c r="C30" s="390" t="s">
        <v>460</v>
      </c>
      <c r="D30" s="908" t="s">
        <v>65</v>
      </c>
      <c r="E30" s="1171" t="s">
        <v>3760</v>
      </c>
      <c r="F30" s="2209">
        <v>0</v>
      </c>
      <c r="G30" s="392"/>
      <c r="H30" s="3936"/>
      <c r="I30" s="3936"/>
      <c r="J30" s="3936"/>
      <c r="K30" s="3936"/>
      <c r="L30" s="3930"/>
      <c r="M30" s="3933"/>
      <c r="N30" s="3930"/>
      <c r="O30" s="3924"/>
      <c r="P30" s="367"/>
      <c r="Q30" s="3061"/>
      <c r="R30" s="3933"/>
      <c r="BB30" s="1513"/>
      <c r="BC30" s="1513"/>
      <c r="BD30" s="1513"/>
      <c r="BE30" s="1513"/>
      <c r="BF30" s="1513"/>
      <c r="BG30" s="1513"/>
      <c r="BH30" s="1513"/>
      <c r="BI30" s="1513"/>
      <c r="BJ30" s="1513"/>
      <c r="BK30" s="1513"/>
      <c r="BL30" s="1513"/>
      <c r="BM30" s="1513"/>
      <c r="BN30" s="1513"/>
      <c r="BO30" s="1513"/>
      <c r="BP30" s="1513"/>
      <c r="BQ30" s="1513"/>
      <c r="BR30" s="1513"/>
      <c r="BS30" s="1513"/>
      <c r="BT30" s="1513"/>
      <c r="BU30" s="1513"/>
      <c r="BV30" s="1513"/>
      <c r="BW30" s="1513"/>
      <c r="BX30" s="1513"/>
      <c r="BY30" s="1513"/>
      <c r="BZ30" s="1513"/>
      <c r="CA30" s="1513"/>
      <c r="CB30" s="1513"/>
      <c r="CC30" s="1513"/>
      <c r="CD30" s="1513"/>
      <c r="CE30" s="1513"/>
      <c r="CF30" s="1513"/>
      <c r="CG30" s="1513"/>
      <c r="CH30" s="1513"/>
      <c r="CI30" s="897">
        <f t="shared" si="0"/>
        <v>0</v>
      </c>
    </row>
    <row r="31" spans="1:87">
      <c r="A31" s="390" t="s">
        <v>461</v>
      </c>
      <c r="B31" s="390" t="s">
        <v>463</v>
      </c>
      <c r="C31" s="390" t="s">
        <v>464</v>
      </c>
      <c r="D31" s="908" t="s">
        <v>65</v>
      </c>
      <c r="E31" s="1171" t="s">
        <v>3760</v>
      </c>
      <c r="F31" s="2209">
        <v>0</v>
      </c>
      <c r="G31" s="392"/>
      <c r="H31" s="3936"/>
      <c r="I31" s="3936"/>
      <c r="J31" s="3936"/>
      <c r="K31" s="3936"/>
      <c r="L31" s="3930"/>
      <c r="M31" s="3933"/>
      <c r="N31" s="3930"/>
      <c r="O31" s="3924"/>
      <c r="P31" s="367"/>
      <c r="Q31" s="3061"/>
      <c r="R31" s="3933"/>
      <c r="BB31" s="1513"/>
      <c r="BC31" s="1513"/>
      <c r="BD31" s="1513"/>
      <c r="BE31" s="1513"/>
      <c r="BF31" s="1513"/>
      <c r="BG31" s="1513"/>
      <c r="BH31" s="1513"/>
      <c r="BI31" s="1513"/>
      <c r="BJ31" s="1513"/>
      <c r="BK31" s="1513"/>
      <c r="BL31" s="1513"/>
      <c r="BM31" s="1513"/>
      <c r="BN31" s="1513"/>
      <c r="BO31" s="1513"/>
      <c r="BP31" s="1513"/>
      <c r="BQ31" s="1513"/>
      <c r="BR31" s="1513"/>
      <c r="BS31" s="1513"/>
      <c r="BT31" s="1513"/>
      <c r="BU31" s="1513"/>
      <c r="BV31" s="1513"/>
      <c r="BW31" s="1513"/>
      <c r="BX31" s="1513"/>
      <c r="BY31" s="1513"/>
      <c r="BZ31" s="1513"/>
      <c r="CA31" s="1513"/>
      <c r="CB31" s="1513"/>
      <c r="CC31" s="1513"/>
      <c r="CD31" s="1513"/>
      <c r="CE31" s="1513"/>
      <c r="CF31" s="1513"/>
      <c r="CG31" s="1513"/>
      <c r="CH31" s="1513"/>
      <c r="CI31" s="897">
        <f t="shared" si="0"/>
        <v>0</v>
      </c>
    </row>
    <row r="32" spans="1:87">
      <c r="A32" s="390" t="s">
        <v>462</v>
      </c>
      <c r="B32" s="390" t="s">
        <v>466</v>
      </c>
      <c r="C32" s="390" t="s">
        <v>467</v>
      </c>
      <c r="D32" s="908" t="s">
        <v>65</v>
      </c>
      <c r="E32" s="1171" t="s">
        <v>3760</v>
      </c>
      <c r="F32" s="2209">
        <v>0</v>
      </c>
      <c r="G32" s="392"/>
      <c r="H32" s="3936"/>
      <c r="I32" s="3936"/>
      <c r="J32" s="3936"/>
      <c r="K32" s="3936"/>
      <c r="L32" s="3930"/>
      <c r="M32" s="3933"/>
      <c r="N32" s="3930"/>
      <c r="O32" s="3924"/>
      <c r="P32" s="367"/>
      <c r="Q32" s="3061"/>
      <c r="R32" s="3933"/>
      <c r="BB32" s="1513"/>
      <c r="BC32" s="1513"/>
      <c r="BD32" s="1513"/>
      <c r="BE32" s="1513"/>
      <c r="BF32" s="1513"/>
      <c r="BG32" s="1513"/>
      <c r="BH32" s="1513"/>
      <c r="BI32" s="1513"/>
      <c r="BJ32" s="1513"/>
      <c r="BK32" s="1513"/>
      <c r="BL32" s="1513"/>
      <c r="BM32" s="1513"/>
      <c r="BN32" s="1513"/>
      <c r="BO32" s="1513"/>
      <c r="BP32" s="1513"/>
      <c r="BQ32" s="1513"/>
      <c r="BR32" s="1513"/>
      <c r="BS32" s="1513"/>
      <c r="BT32" s="1513"/>
      <c r="BU32" s="1513"/>
      <c r="BV32" s="1513"/>
      <c r="BW32" s="1513"/>
      <c r="BX32" s="1513"/>
      <c r="BY32" s="1513"/>
      <c r="BZ32" s="1513"/>
      <c r="CA32" s="1513"/>
      <c r="CB32" s="1513"/>
      <c r="CC32" s="1513"/>
      <c r="CD32" s="1513"/>
      <c r="CE32" s="1513"/>
      <c r="CF32" s="1513"/>
      <c r="CG32" s="1513"/>
      <c r="CH32" s="1513"/>
      <c r="CI32" s="897">
        <f t="shared" si="0"/>
        <v>0</v>
      </c>
    </row>
    <row r="33" spans="1:87">
      <c r="A33" s="390" t="s">
        <v>465</v>
      </c>
      <c r="B33" s="390" t="s">
        <v>468</v>
      </c>
      <c r="C33" s="390" t="s">
        <v>3964</v>
      </c>
      <c r="D33" s="908" t="s">
        <v>65</v>
      </c>
      <c r="E33" s="1171" t="s">
        <v>3760</v>
      </c>
      <c r="F33" s="2209">
        <v>0</v>
      </c>
      <c r="G33" s="392"/>
      <c r="H33" s="3937"/>
      <c r="I33" s="3937"/>
      <c r="J33" s="3937"/>
      <c r="K33" s="3937"/>
      <c r="L33" s="3931"/>
      <c r="M33" s="3934"/>
      <c r="N33" s="3931"/>
      <c r="O33" s="3925"/>
      <c r="P33" s="367"/>
      <c r="Q33" s="3061"/>
      <c r="R33" s="3934"/>
      <c r="BB33" s="1513"/>
      <c r="BC33" s="1513"/>
      <c r="BD33" s="1513"/>
      <c r="BE33" s="1513"/>
      <c r="BF33" s="1513"/>
      <c r="BG33" s="1513"/>
      <c r="BH33" s="1513"/>
      <c r="BI33" s="1513"/>
      <c r="BJ33" s="1513"/>
      <c r="BK33" s="1513"/>
      <c r="BL33" s="1513"/>
      <c r="BM33" s="1513"/>
      <c r="BN33" s="1513"/>
      <c r="BO33" s="1513"/>
      <c r="BP33" s="1513"/>
      <c r="BQ33" s="1513"/>
      <c r="BR33" s="1513"/>
      <c r="BS33" s="1513"/>
      <c r="BT33" s="1513"/>
      <c r="BU33" s="1513"/>
      <c r="BV33" s="1513"/>
      <c r="BW33" s="1513"/>
      <c r="BX33" s="1513"/>
      <c r="BY33" s="1513"/>
      <c r="BZ33" s="1513"/>
      <c r="CA33" s="1513"/>
      <c r="CB33" s="1513"/>
      <c r="CC33" s="1513"/>
      <c r="CD33" s="1513"/>
      <c r="CE33" s="1513"/>
      <c r="CF33" s="1513"/>
      <c r="CG33" s="1513"/>
      <c r="CH33" s="1513"/>
      <c r="CI33" s="897">
        <f t="shared" si="0"/>
        <v>0</v>
      </c>
    </row>
    <row r="34" spans="1:87">
      <c r="A34" s="880" t="s">
        <v>471</v>
      </c>
      <c r="B34" s="936" t="s">
        <v>472</v>
      </c>
      <c r="C34" s="85" t="s">
        <v>473</v>
      </c>
      <c r="D34" s="997" t="s">
        <v>65</v>
      </c>
      <c r="E34" s="997" t="s">
        <v>3760</v>
      </c>
      <c r="F34" s="619"/>
      <c r="G34" s="619"/>
      <c r="H34" s="619"/>
      <c r="I34" s="619"/>
      <c r="J34" s="619"/>
      <c r="K34" s="619"/>
      <c r="L34" s="619"/>
      <c r="M34" s="1443"/>
      <c r="N34" s="624"/>
      <c r="O34" s="2905">
        <f>SUM(O35:O44)</f>
        <v>56.48</v>
      </c>
      <c r="P34" s="629"/>
      <c r="Q34" s="3066"/>
      <c r="R34" s="116">
        <f>SUM(R35:R44)</f>
        <v>56.48</v>
      </c>
      <c r="U34" s="3132"/>
      <c r="BB34" s="1513"/>
      <c r="BC34" s="1513"/>
      <c r="BD34" s="1513"/>
      <c r="BE34" s="1513"/>
      <c r="BF34" s="1513"/>
      <c r="BG34" s="1513"/>
      <c r="BH34" s="1513"/>
      <c r="BI34" s="1513"/>
      <c r="BJ34" s="1513"/>
      <c r="BK34" s="1513"/>
      <c r="BL34" s="1513"/>
      <c r="BM34" s="1513"/>
      <c r="BN34" s="1513"/>
      <c r="BO34" s="1513"/>
      <c r="BP34" s="1513"/>
      <c r="BQ34" s="1513"/>
      <c r="BR34" s="1513"/>
      <c r="BS34" s="1513"/>
      <c r="BT34" s="1513"/>
      <c r="BU34" s="1513"/>
      <c r="BV34" s="1513"/>
      <c r="BW34" s="1513"/>
      <c r="BX34" s="1513"/>
      <c r="BY34" s="1513"/>
      <c r="BZ34" s="1513"/>
      <c r="CA34" s="1513"/>
      <c r="CB34" s="1513"/>
      <c r="CC34" s="1513"/>
      <c r="CD34" s="1513"/>
      <c r="CE34" s="1513"/>
      <c r="CF34" s="1513"/>
      <c r="CG34" s="1513"/>
      <c r="CH34" s="1513"/>
      <c r="CI34" s="897">
        <f t="shared" si="0"/>
        <v>0</v>
      </c>
    </row>
    <row r="35" spans="1:87">
      <c r="A35" s="390" t="s">
        <v>474</v>
      </c>
      <c r="B35" s="390" t="s">
        <v>2343</v>
      </c>
      <c r="C35" s="390" t="s">
        <v>2342</v>
      </c>
      <c r="D35" s="908" t="s">
        <v>65</v>
      </c>
      <c r="E35" s="1171" t="s">
        <v>3760</v>
      </c>
      <c r="F35" s="2209">
        <v>0</v>
      </c>
      <c r="G35" s="392"/>
      <c r="H35" s="3938">
        <v>73.08</v>
      </c>
      <c r="I35" s="3935">
        <v>7.77</v>
      </c>
      <c r="J35" s="3935">
        <v>10</v>
      </c>
      <c r="K35" s="3935"/>
      <c r="L35" s="3929">
        <v>353000</v>
      </c>
      <c r="M35" s="3932">
        <f>L35/100000</f>
        <v>3.53</v>
      </c>
      <c r="N35" s="3929">
        <v>16</v>
      </c>
      <c r="O35" s="3923">
        <f>M35*N35</f>
        <v>56.48</v>
      </c>
      <c r="P35" s="250"/>
      <c r="Q35" s="3061"/>
      <c r="R35" s="3932">
        <v>56.48</v>
      </c>
      <c r="U35" s="3132"/>
      <c r="BB35" s="1513"/>
      <c r="BC35" s="1513"/>
      <c r="BD35" s="1513"/>
      <c r="BE35" s="1513"/>
      <c r="BF35" s="1513"/>
      <c r="BG35" s="1513"/>
      <c r="BH35" s="1513"/>
      <c r="BI35" s="1513"/>
      <c r="BJ35" s="1513"/>
      <c r="BK35" s="1513"/>
      <c r="BL35" s="1513"/>
      <c r="BM35" s="1513"/>
      <c r="BN35" s="1513"/>
      <c r="BO35" s="1513"/>
      <c r="BP35" s="1513"/>
      <c r="BQ35" s="1513"/>
      <c r="BR35" s="1513"/>
      <c r="BS35" s="1513"/>
      <c r="BT35" s="1513"/>
      <c r="BU35" s="1513"/>
      <c r="BV35" s="1513"/>
      <c r="BW35" s="1513"/>
      <c r="BX35" s="1513"/>
      <c r="BY35" s="1513"/>
      <c r="BZ35" s="1513"/>
      <c r="CA35" s="1513"/>
      <c r="CB35" s="1513"/>
      <c r="CC35" s="1513"/>
      <c r="CD35" s="1513"/>
      <c r="CE35" s="1513"/>
      <c r="CF35" s="1513"/>
      <c r="CG35" s="1513"/>
      <c r="CH35" s="1513"/>
      <c r="CI35" s="897">
        <f t="shared" si="0"/>
        <v>0</v>
      </c>
    </row>
    <row r="36" spans="1:87" ht="45" customHeight="1" thickBot="1">
      <c r="A36" s="390" t="s">
        <v>475</v>
      </c>
      <c r="B36" s="390" t="s">
        <v>476</v>
      </c>
      <c r="C36" s="390" t="s">
        <v>477</v>
      </c>
      <c r="D36" s="908" t="s">
        <v>65</v>
      </c>
      <c r="E36" s="1171" t="s">
        <v>3760</v>
      </c>
      <c r="F36" s="2209">
        <v>12</v>
      </c>
      <c r="G36" s="392">
        <v>0</v>
      </c>
      <c r="H36" s="3939"/>
      <c r="I36" s="3936"/>
      <c r="J36" s="3936"/>
      <c r="K36" s="3936"/>
      <c r="L36" s="3930"/>
      <c r="M36" s="3933"/>
      <c r="N36" s="3930"/>
      <c r="O36" s="3924"/>
      <c r="P36" s="628"/>
      <c r="Q36" s="2912" t="s">
        <v>5782</v>
      </c>
      <c r="R36" s="3933"/>
      <c r="BB36" s="1513">
        <v>38.4</v>
      </c>
      <c r="BC36" s="1513"/>
      <c r="BD36" s="1513"/>
      <c r="BE36" s="1513"/>
      <c r="BF36" s="1513"/>
      <c r="BG36" s="1513"/>
      <c r="BH36" s="1513"/>
      <c r="BI36" s="1513"/>
      <c r="BJ36" s="1513"/>
      <c r="BK36" s="1513"/>
      <c r="BL36" s="1513"/>
      <c r="BM36" s="1513"/>
      <c r="BN36" s="1513"/>
      <c r="BO36" s="1513"/>
      <c r="BP36" s="1513"/>
      <c r="BQ36" s="1513"/>
      <c r="BR36" s="1513"/>
      <c r="BS36" s="1513"/>
      <c r="BT36" s="1513"/>
      <c r="BU36" s="1513"/>
      <c r="BV36" s="1513"/>
      <c r="BW36" s="1513"/>
      <c r="BX36" s="1513"/>
      <c r="BY36" s="1513"/>
      <c r="BZ36" s="1513"/>
      <c r="CA36" s="1513"/>
      <c r="CB36" s="1513"/>
      <c r="CC36" s="1513"/>
      <c r="CD36" s="1513"/>
      <c r="CE36" s="1513"/>
      <c r="CF36" s="1513"/>
      <c r="CG36" s="1513"/>
      <c r="CH36" s="1513"/>
      <c r="CI36" s="897">
        <f t="shared" si="0"/>
        <v>38.4</v>
      </c>
    </row>
    <row r="37" spans="1:87">
      <c r="A37" s="390" t="s">
        <v>478</v>
      </c>
      <c r="B37" s="390" t="s">
        <v>479</v>
      </c>
      <c r="C37" s="390" t="s">
        <v>480</v>
      </c>
      <c r="D37" s="908" t="s">
        <v>65</v>
      </c>
      <c r="E37" s="1171" t="s">
        <v>3760</v>
      </c>
      <c r="F37" s="2209">
        <v>0</v>
      </c>
      <c r="G37" s="392"/>
      <c r="H37" s="3939"/>
      <c r="I37" s="3936"/>
      <c r="J37" s="3936"/>
      <c r="K37" s="3936"/>
      <c r="L37" s="3930"/>
      <c r="M37" s="3933"/>
      <c r="N37" s="3930"/>
      <c r="O37" s="3924"/>
      <c r="P37" s="367"/>
      <c r="Q37" s="3061"/>
      <c r="R37" s="3933"/>
      <c r="BB37" s="1513"/>
      <c r="BC37" s="1513"/>
      <c r="BD37" s="1513"/>
      <c r="BE37" s="1513"/>
      <c r="BF37" s="1513"/>
      <c r="BG37" s="1513"/>
      <c r="BH37" s="1513"/>
      <c r="BI37" s="1513"/>
      <c r="BJ37" s="1513"/>
      <c r="BK37" s="1513"/>
      <c r="BL37" s="1513"/>
      <c r="BM37" s="1513"/>
      <c r="BN37" s="1513"/>
      <c r="BO37" s="1513"/>
      <c r="BP37" s="1513"/>
      <c r="BQ37" s="1513"/>
      <c r="BR37" s="1513"/>
      <c r="BS37" s="1513"/>
      <c r="BT37" s="1513"/>
      <c r="BU37" s="1513"/>
      <c r="BV37" s="1513"/>
      <c r="BW37" s="1513"/>
      <c r="BX37" s="1513"/>
      <c r="BY37" s="1513"/>
      <c r="BZ37" s="1513"/>
      <c r="CA37" s="1513"/>
      <c r="CB37" s="1513"/>
      <c r="CC37" s="1513"/>
      <c r="CD37" s="1513"/>
      <c r="CE37" s="1513"/>
      <c r="CF37" s="1513"/>
      <c r="CG37" s="1513"/>
      <c r="CH37" s="1513"/>
      <c r="CI37" s="897">
        <f t="shared" si="0"/>
        <v>0</v>
      </c>
    </row>
    <row r="38" spans="1:87">
      <c r="A38" s="390" t="s">
        <v>481</v>
      </c>
      <c r="B38" s="390" t="s">
        <v>469</v>
      </c>
      <c r="C38" s="390" t="s">
        <v>470</v>
      </c>
      <c r="D38" s="908" t="s">
        <v>65</v>
      </c>
      <c r="E38" s="1171" t="s">
        <v>3760</v>
      </c>
      <c r="F38" s="2209">
        <v>0</v>
      </c>
      <c r="G38" s="392"/>
      <c r="H38" s="3939"/>
      <c r="I38" s="3936"/>
      <c r="J38" s="3936"/>
      <c r="K38" s="3936"/>
      <c r="L38" s="3930"/>
      <c r="M38" s="3933"/>
      <c r="N38" s="3930"/>
      <c r="O38" s="3924"/>
      <c r="P38" s="332"/>
      <c r="Q38" s="3061"/>
      <c r="R38" s="3933"/>
      <c r="BB38" s="1513"/>
      <c r="BC38" s="1513"/>
      <c r="BD38" s="1513"/>
      <c r="BE38" s="1513"/>
      <c r="BF38" s="1513"/>
      <c r="BG38" s="1513"/>
      <c r="BH38" s="1513"/>
      <c r="BI38" s="1513"/>
      <c r="BJ38" s="1513"/>
      <c r="BK38" s="1513"/>
      <c r="BL38" s="1513"/>
      <c r="BM38" s="1513"/>
      <c r="BN38" s="1513"/>
      <c r="BO38" s="1513"/>
      <c r="BP38" s="1513"/>
      <c r="BQ38" s="1513"/>
      <c r="BR38" s="1513"/>
      <c r="BS38" s="1513"/>
      <c r="BT38" s="1513"/>
      <c r="BU38" s="1513"/>
      <c r="BV38" s="1513"/>
      <c r="BW38" s="1513"/>
      <c r="BX38" s="1513"/>
      <c r="BY38" s="1513"/>
      <c r="BZ38" s="1513"/>
      <c r="CA38" s="1513"/>
      <c r="CB38" s="1513"/>
      <c r="CC38" s="1513"/>
      <c r="CD38" s="1513"/>
      <c r="CE38" s="1513"/>
      <c r="CF38" s="1513"/>
      <c r="CG38" s="1513"/>
      <c r="CH38" s="1513"/>
      <c r="CI38" s="897">
        <f t="shared" si="0"/>
        <v>0</v>
      </c>
    </row>
    <row r="39" spans="1:87">
      <c r="A39" s="390" t="s">
        <v>484</v>
      </c>
      <c r="B39" s="390" t="s">
        <v>482</v>
      </c>
      <c r="C39" s="390" t="s">
        <v>483</v>
      </c>
      <c r="D39" s="908" t="s">
        <v>65</v>
      </c>
      <c r="E39" s="1171" t="s">
        <v>3760</v>
      </c>
      <c r="F39" s="2209">
        <v>0</v>
      </c>
      <c r="G39" s="392"/>
      <c r="H39" s="3939"/>
      <c r="I39" s="3936"/>
      <c r="J39" s="3936"/>
      <c r="K39" s="3936"/>
      <c r="L39" s="3930"/>
      <c r="M39" s="3933"/>
      <c r="N39" s="3930"/>
      <c r="O39" s="3924"/>
      <c r="P39" s="367"/>
      <c r="Q39" s="3061"/>
      <c r="R39" s="3933"/>
      <c r="BB39" s="1513"/>
      <c r="BC39" s="1513"/>
      <c r="BD39" s="1513"/>
      <c r="BE39" s="1513"/>
      <c r="BF39" s="1513"/>
      <c r="BG39" s="1513"/>
      <c r="BH39" s="1513"/>
      <c r="BI39" s="1513"/>
      <c r="BJ39" s="1513"/>
      <c r="BK39" s="1513"/>
      <c r="BL39" s="1513"/>
      <c r="BM39" s="1513"/>
      <c r="BN39" s="1513"/>
      <c r="BO39" s="1513"/>
      <c r="BP39" s="1513"/>
      <c r="BQ39" s="1513"/>
      <c r="BR39" s="1513"/>
      <c r="BS39" s="1513"/>
      <c r="BT39" s="1513"/>
      <c r="BU39" s="1513"/>
      <c r="BV39" s="1513"/>
      <c r="BW39" s="1513"/>
      <c r="BX39" s="1513"/>
      <c r="BY39" s="1513"/>
      <c r="BZ39" s="1513"/>
      <c r="CA39" s="1513"/>
      <c r="CB39" s="1513"/>
      <c r="CC39" s="1513"/>
      <c r="CD39" s="1513"/>
      <c r="CE39" s="1513"/>
      <c r="CF39" s="1513"/>
      <c r="CG39" s="1513"/>
      <c r="CH39" s="1513"/>
      <c r="CI39" s="897">
        <f t="shared" si="0"/>
        <v>0</v>
      </c>
    </row>
    <row r="40" spans="1:87">
      <c r="A40" s="390" t="s">
        <v>487</v>
      </c>
      <c r="B40" s="390" t="s">
        <v>485</v>
      </c>
      <c r="C40" s="390" t="s">
        <v>486</v>
      </c>
      <c r="D40" s="908" t="s">
        <v>65</v>
      </c>
      <c r="E40" s="1171" t="s">
        <v>3760</v>
      </c>
      <c r="F40" s="2209">
        <v>0</v>
      </c>
      <c r="G40" s="392"/>
      <c r="H40" s="3939"/>
      <c r="I40" s="3936"/>
      <c r="J40" s="3936"/>
      <c r="K40" s="3936"/>
      <c r="L40" s="3930"/>
      <c r="M40" s="3933"/>
      <c r="N40" s="3930"/>
      <c r="O40" s="3924"/>
      <c r="P40" s="367"/>
      <c r="Q40" s="3061"/>
      <c r="R40" s="3933"/>
      <c r="BB40" s="1513"/>
      <c r="BC40" s="1513"/>
      <c r="BD40" s="1513"/>
      <c r="BE40" s="1513"/>
      <c r="BF40" s="1513"/>
      <c r="BG40" s="1513"/>
      <c r="BH40" s="1513"/>
      <c r="BI40" s="1513"/>
      <c r="BJ40" s="1513"/>
      <c r="BK40" s="1513"/>
      <c r="BL40" s="1513"/>
      <c r="BM40" s="1513"/>
      <c r="BN40" s="1513"/>
      <c r="BO40" s="1513"/>
      <c r="BP40" s="1513"/>
      <c r="BQ40" s="1513"/>
      <c r="BR40" s="1513"/>
      <c r="BS40" s="1513"/>
      <c r="BT40" s="1513"/>
      <c r="BU40" s="1513"/>
      <c r="BV40" s="1513"/>
      <c r="BW40" s="1513"/>
      <c r="BX40" s="1513"/>
      <c r="BY40" s="1513"/>
      <c r="BZ40" s="1513"/>
      <c r="CA40" s="1513"/>
      <c r="CB40" s="1513"/>
      <c r="CC40" s="1513"/>
      <c r="CD40" s="1513"/>
      <c r="CE40" s="1513"/>
      <c r="CF40" s="1513"/>
      <c r="CG40" s="1513"/>
      <c r="CH40" s="1513"/>
      <c r="CI40" s="897">
        <f t="shared" si="0"/>
        <v>0</v>
      </c>
    </row>
    <row r="41" spans="1:87">
      <c r="A41" s="390" t="s">
        <v>490</v>
      </c>
      <c r="B41" s="390" t="s">
        <v>488</v>
      </c>
      <c r="C41" s="390" t="s">
        <v>489</v>
      </c>
      <c r="D41" s="908" t="s">
        <v>65</v>
      </c>
      <c r="E41" s="1171" t="s">
        <v>3760</v>
      </c>
      <c r="F41" s="2209">
        <v>0</v>
      </c>
      <c r="G41" s="392"/>
      <c r="H41" s="3939"/>
      <c r="I41" s="3936"/>
      <c r="J41" s="3936"/>
      <c r="K41" s="3936"/>
      <c r="L41" s="3930"/>
      <c r="M41" s="3933"/>
      <c r="N41" s="3930"/>
      <c r="O41" s="3924"/>
      <c r="P41" s="250"/>
      <c r="Q41" s="3061"/>
      <c r="R41" s="3933"/>
      <c r="BB41" s="1513"/>
      <c r="BC41" s="1513"/>
      <c r="BD41" s="1513"/>
      <c r="BE41" s="1513"/>
      <c r="BF41" s="1513"/>
      <c r="BG41" s="1513"/>
      <c r="BH41" s="1513"/>
      <c r="BI41" s="1513"/>
      <c r="BJ41" s="1513"/>
      <c r="BK41" s="1513"/>
      <c r="BL41" s="1513"/>
      <c r="BM41" s="1513"/>
      <c r="BN41" s="1513"/>
      <c r="BO41" s="1513"/>
      <c r="BP41" s="1513"/>
      <c r="BQ41" s="1513"/>
      <c r="BR41" s="1513"/>
      <c r="BS41" s="1513"/>
      <c r="BT41" s="1513"/>
      <c r="BU41" s="1513"/>
      <c r="BV41" s="1513"/>
      <c r="BW41" s="1513"/>
      <c r="BX41" s="1513"/>
      <c r="BY41" s="1513"/>
      <c r="BZ41" s="1513"/>
      <c r="CA41" s="1513"/>
      <c r="CB41" s="1513"/>
      <c r="CC41" s="1513"/>
      <c r="CD41" s="1513"/>
      <c r="CE41" s="1513"/>
      <c r="CF41" s="1513"/>
      <c r="CG41" s="1513"/>
      <c r="CH41" s="1513"/>
      <c r="CI41" s="897">
        <f t="shared" si="0"/>
        <v>0</v>
      </c>
    </row>
    <row r="42" spans="1:87" s="1129" customFormat="1" ht="36.75" customHeight="1" thickBot="1">
      <c r="A42" s="225" t="s">
        <v>493</v>
      </c>
      <c r="B42" s="225" t="s">
        <v>491</v>
      </c>
      <c r="C42" s="225" t="s">
        <v>2344</v>
      </c>
      <c r="D42" s="3712" t="s">
        <v>65</v>
      </c>
      <c r="E42" s="945" t="s">
        <v>3760</v>
      </c>
      <c r="F42" s="618">
        <v>4</v>
      </c>
      <c r="G42" s="618">
        <v>3</v>
      </c>
      <c r="H42" s="3939"/>
      <c r="I42" s="3936"/>
      <c r="J42" s="3936"/>
      <c r="K42" s="3936"/>
      <c r="L42" s="3930"/>
      <c r="M42" s="3933"/>
      <c r="N42" s="3930"/>
      <c r="O42" s="3924"/>
      <c r="P42" s="630"/>
      <c r="Q42" s="3732" t="s">
        <v>6001</v>
      </c>
      <c r="R42" s="3933"/>
      <c r="BB42" s="897">
        <f>18.08-4.8</f>
        <v>13.279999999999998</v>
      </c>
      <c r="BC42" s="897"/>
      <c r="BD42" s="897"/>
      <c r="BE42" s="897"/>
      <c r="BF42" s="897">
        <v>4.8</v>
      </c>
      <c r="BG42" s="897"/>
      <c r="BH42" s="897"/>
      <c r="BI42" s="897"/>
      <c r="BJ42" s="897"/>
      <c r="BK42" s="897"/>
      <c r="BL42" s="897"/>
      <c r="BM42" s="897"/>
      <c r="BN42" s="897"/>
      <c r="BO42" s="897"/>
      <c r="BP42" s="897"/>
      <c r="BQ42" s="897"/>
      <c r="BR42" s="897"/>
      <c r="BS42" s="897"/>
      <c r="BT42" s="897"/>
      <c r="BU42" s="897"/>
      <c r="BV42" s="897"/>
      <c r="BW42" s="897"/>
      <c r="BX42" s="897"/>
      <c r="BY42" s="897"/>
      <c r="BZ42" s="897"/>
      <c r="CA42" s="897"/>
      <c r="CB42" s="897"/>
      <c r="CC42" s="897"/>
      <c r="CD42" s="897"/>
      <c r="CE42" s="897"/>
      <c r="CF42" s="897"/>
      <c r="CG42" s="897"/>
      <c r="CH42" s="897"/>
      <c r="CI42" s="897">
        <f t="shared" si="0"/>
        <v>18.079999999999998</v>
      </c>
    </row>
    <row r="43" spans="1:87">
      <c r="A43" s="390" t="s">
        <v>496</v>
      </c>
      <c r="B43" s="390" t="s">
        <v>494</v>
      </c>
      <c r="C43" s="390" t="s">
        <v>495</v>
      </c>
      <c r="D43" s="908" t="s">
        <v>65</v>
      </c>
      <c r="E43" s="1171" t="s">
        <v>3760</v>
      </c>
      <c r="F43" s="2209">
        <v>0</v>
      </c>
      <c r="G43" s="392"/>
      <c r="H43" s="3939"/>
      <c r="I43" s="3936"/>
      <c r="J43" s="3936"/>
      <c r="K43" s="3936"/>
      <c r="L43" s="3930"/>
      <c r="M43" s="3933"/>
      <c r="N43" s="3930"/>
      <c r="O43" s="3924"/>
      <c r="P43" s="367"/>
      <c r="Q43" s="3061"/>
      <c r="R43" s="3933"/>
      <c r="BB43" s="1513"/>
      <c r="BC43" s="1513"/>
      <c r="BD43" s="1513"/>
      <c r="BE43" s="1513"/>
      <c r="BF43" s="1513"/>
      <c r="BG43" s="1513"/>
      <c r="BH43" s="1513"/>
      <c r="BI43" s="1513"/>
      <c r="BJ43" s="1513"/>
      <c r="BK43" s="1513"/>
      <c r="BL43" s="1513"/>
      <c r="BM43" s="1513"/>
      <c r="BN43" s="1513"/>
      <c r="BO43" s="1513"/>
      <c r="BP43" s="1513"/>
      <c r="BQ43" s="1513"/>
      <c r="BR43" s="1513"/>
      <c r="BS43" s="1513"/>
      <c r="BT43" s="1513"/>
      <c r="BU43" s="1513"/>
      <c r="BV43" s="1513"/>
      <c r="BW43" s="1513"/>
      <c r="BX43" s="1513"/>
      <c r="BY43" s="1513"/>
      <c r="BZ43" s="1513"/>
      <c r="CA43" s="1513"/>
      <c r="CB43" s="1513"/>
      <c r="CC43" s="1513"/>
      <c r="CD43" s="1513"/>
      <c r="CE43" s="1513"/>
      <c r="CF43" s="1513"/>
      <c r="CG43" s="1513"/>
      <c r="CH43" s="1513"/>
      <c r="CI43" s="897">
        <f t="shared" si="0"/>
        <v>0</v>
      </c>
    </row>
    <row r="44" spans="1:87">
      <c r="A44" s="390" t="s">
        <v>2345</v>
      </c>
      <c r="B44" s="390" t="s">
        <v>497</v>
      </c>
      <c r="C44" s="390" t="s">
        <v>473</v>
      </c>
      <c r="D44" s="908" t="s">
        <v>65</v>
      </c>
      <c r="E44" s="1171" t="s">
        <v>3760</v>
      </c>
      <c r="F44" s="2209">
        <v>0</v>
      </c>
      <c r="G44" s="392"/>
      <c r="H44" s="3940"/>
      <c r="I44" s="3937"/>
      <c r="J44" s="3937"/>
      <c r="K44" s="3937"/>
      <c r="L44" s="3931"/>
      <c r="M44" s="3934"/>
      <c r="N44" s="3931"/>
      <c r="O44" s="3925"/>
      <c r="P44" s="367"/>
      <c r="Q44" s="3061"/>
      <c r="R44" s="3934"/>
      <c r="BB44" s="1513"/>
      <c r="BC44" s="1513"/>
      <c r="BD44" s="1513"/>
      <c r="BE44" s="1513"/>
      <c r="BF44" s="1513"/>
      <c r="BG44" s="1513"/>
      <c r="BH44" s="1513"/>
      <c r="BI44" s="1513"/>
      <c r="BJ44" s="1513"/>
      <c r="BK44" s="1513"/>
      <c r="BL44" s="1513"/>
      <c r="BM44" s="1513"/>
      <c r="BN44" s="1513"/>
      <c r="BO44" s="1513"/>
      <c r="BP44" s="1513"/>
      <c r="BQ44" s="1513"/>
      <c r="BR44" s="1513"/>
      <c r="BS44" s="1513"/>
      <c r="BT44" s="1513"/>
      <c r="BU44" s="1513"/>
      <c r="BV44" s="1513"/>
      <c r="BW44" s="1513"/>
      <c r="BX44" s="1513"/>
      <c r="BY44" s="1513"/>
      <c r="BZ44" s="1513"/>
      <c r="CA44" s="1513"/>
      <c r="CB44" s="1513"/>
      <c r="CC44" s="1513"/>
      <c r="CD44" s="1513"/>
      <c r="CE44" s="1513"/>
      <c r="CF44" s="1513"/>
      <c r="CG44" s="1513"/>
      <c r="CH44" s="1513"/>
      <c r="CI44" s="897">
        <f t="shared" si="0"/>
        <v>0</v>
      </c>
    </row>
    <row r="45" spans="1:87" s="1439" customFormat="1">
      <c r="A45" s="902" t="s">
        <v>498</v>
      </c>
      <c r="B45" s="1004" t="s">
        <v>499</v>
      </c>
      <c r="C45" s="1176" t="s">
        <v>500</v>
      </c>
      <c r="D45" s="2703" t="s">
        <v>65</v>
      </c>
      <c r="E45" s="2703" t="s">
        <v>3760</v>
      </c>
      <c r="F45" s="634"/>
      <c r="G45" s="634"/>
      <c r="H45" s="634"/>
      <c r="I45" s="634"/>
      <c r="J45" s="634"/>
      <c r="K45" s="634"/>
      <c r="L45" s="634"/>
      <c r="M45" s="2308"/>
      <c r="N45" s="414"/>
      <c r="O45" s="2906">
        <f>SUM(O46:O48)</f>
        <v>101.71055999999999</v>
      </c>
      <c r="P45" s="289"/>
      <c r="Q45" s="3064"/>
      <c r="R45" s="1888">
        <f>SUM(R46:R47)</f>
        <v>92.39</v>
      </c>
      <c r="U45" s="3132"/>
      <c r="BB45" s="2571"/>
      <c r="BC45" s="2571"/>
      <c r="BD45" s="2571"/>
      <c r="BE45" s="2571"/>
      <c r="BF45" s="2571"/>
      <c r="BG45" s="2571"/>
      <c r="BH45" s="2571"/>
      <c r="BI45" s="2571"/>
      <c r="BJ45" s="2571"/>
      <c r="BK45" s="2571"/>
      <c r="BL45" s="2571"/>
      <c r="BM45" s="2571"/>
      <c r="BN45" s="2571"/>
      <c r="BO45" s="2571"/>
      <c r="BP45" s="2571"/>
      <c r="BQ45" s="2571"/>
      <c r="BR45" s="2571"/>
      <c r="BS45" s="2571"/>
      <c r="BT45" s="2571"/>
      <c r="BU45" s="2571"/>
      <c r="BV45" s="2571"/>
      <c r="BW45" s="2571"/>
      <c r="BX45" s="2571"/>
      <c r="BY45" s="2571"/>
      <c r="BZ45" s="2571"/>
      <c r="CA45" s="2571"/>
      <c r="CB45" s="2571"/>
      <c r="CC45" s="2571"/>
      <c r="CD45" s="2571"/>
      <c r="CE45" s="2571"/>
      <c r="CF45" s="2571"/>
      <c r="CG45" s="2571"/>
      <c r="CH45" s="2571"/>
      <c r="CI45" s="897">
        <f t="shared" si="0"/>
        <v>0</v>
      </c>
    </row>
    <row r="46" spans="1:87" s="1439" customFormat="1" ht="55.5" customHeight="1">
      <c r="A46" s="391" t="s">
        <v>501</v>
      </c>
      <c r="B46" s="391" t="s">
        <v>502</v>
      </c>
      <c r="C46" s="391" t="s">
        <v>503</v>
      </c>
      <c r="D46" s="982" t="s">
        <v>65</v>
      </c>
      <c r="E46" s="1185" t="s">
        <v>3760</v>
      </c>
      <c r="F46" s="2307">
        <v>13</v>
      </c>
      <c r="G46" s="613">
        <v>11</v>
      </c>
      <c r="H46" s="3941">
        <v>84.91</v>
      </c>
      <c r="I46" s="3813">
        <v>27.46</v>
      </c>
      <c r="J46" s="3813">
        <v>40</v>
      </c>
      <c r="K46" s="3813"/>
      <c r="L46" s="3802">
        <v>121084</v>
      </c>
      <c r="M46" s="3804">
        <f>L46/100000</f>
        <v>1.2108399999999999</v>
      </c>
      <c r="N46" s="3802">
        <v>84</v>
      </c>
      <c r="O46" s="3815">
        <f>M46*N46</f>
        <v>101.71055999999999</v>
      </c>
      <c r="P46" s="3817" t="s">
        <v>5504</v>
      </c>
      <c r="Q46" s="3122" t="s">
        <v>5937</v>
      </c>
      <c r="R46" s="3953">
        <v>92.39</v>
      </c>
      <c r="U46" s="3132"/>
      <c r="BB46" s="2571"/>
      <c r="BC46" s="2571"/>
      <c r="BD46" s="2571"/>
      <c r="BE46" s="2571"/>
      <c r="BF46" s="2571"/>
      <c r="BG46" s="2571"/>
      <c r="BH46" s="2571"/>
      <c r="BI46" s="2571"/>
      <c r="BJ46" s="2571"/>
      <c r="BK46" s="2571"/>
      <c r="BL46" s="2571"/>
      <c r="BM46" s="2571"/>
      <c r="BN46" s="2571"/>
      <c r="BO46" s="2571"/>
      <c r="BP46" s="2571"/>
      <c r="BQ46" s="2571"/>
      <c r="BR46" s="2571"/>
      <c r="BS46" s="2571"/>
      <c r="BT46" s="2571"/>
      <c r="BU46" s="2571"/>
      <c r="BV46" s="2571"/>
      <c r="BW46" s="2571"/>
      <c r="BX46" s="2571"/>
      <c r="BY46" s="2571"/>
      <c r="BZ46" s="2571"/>
      <c r="CA46" s="2571"/>
      <c r="CB46" s="2571"/>
      <c r="CC46" s="2571"/>
      <c r="CD46" s="2571"/>
      <c r="CE46" s="2571"/>
      <c r="CF46" s="2571"/>
      <c r="CG46" s="2571"/>
      <c r="CH46" s="2571"/>
      <c r="CI46" s="897">
        <f t="shared" si="0"/>
        <v>0</v>
      </c>
    </row>
    <row r="47" spans="1:87" s="1439" customFormat="1">
      <c r="A47" s="391" t="s">
        <v>504</v>
      </c>
      <c r="B47" s="391" t="s">
        <v>505</v>
      </c>
      <c r="C47" s="391" t="s">
        <v>506</v>
      </c>
      <c r="D47" s="982" t="s">
        <v>65</v>
      </c>
      <c r="E47" s="1185" t="s">
        <v>3760</v>
      </c>
      <c r="F47" s="2307">
        <v>0</v>
      </c>
      <c r="G47" s="613"/>
      <c r="H47" s="3942"/>
      <c r="I47" s="3814"/>
      <c r="J47" s="3814"/>
      <c r="K47" s="3814"/>
      <c r="L47" s="3803"/>
      <c r="M47" s="3805"/>
      <c r="N47" s="3803"/>
      <c r="O47" s="3816"/>
      <c r="P47" s="3818"/>
      <c r="Q47" s="3122"/>
      <c r="R47" s="3954"/>
      <c r="BB47" s="2571">
        <f>2.48+4.11</f>
        <v>6.59</v>
      </c>
      <c r="BC47" s="2571">
        <f>+(1*34353*12)*105%/100000</f>
        <v>4.3284780000000005</v>
      </c>
      <c r="BD47" s="2571">
        <f>+(1*26250*12)*105%/100000</f>
        <v>3.3075000000000001</v>
      </c>
      <c r="BE47" s="2571">
        <f>+(1*26250*12)*105%/100000</f>
        <v>3.3075000000000001</v>
      </c>
      <c r="BF47" s="2571">
        <f>+(1*26250*12)*105%/100000</f>
        <v>3.3075000000000001</v>
      </c>
      <c r="BG47" s="2571">
        <f>+(1*26250*12)*105%/100000</f>
        <v>3.3075000000000001</v>
      </c>
      <c r="BH47" s="2571">
        <f>+(1*26250*12)*105%/100000</f>
        <v>3.3075000000000001</v>
      </c>
      <c r="BI47" s="2571">
        <v>0</v>
      </c>
      <c r="BJ47" s="2571">
        <f>+(1*32909*12+1*26250*12)*105%/100000</f>
        <v>7.454034</v>
      </c>
      <c r="BK47" s="2571">
        <f>+(1*33603*12)*105%/100000</f>
        <v>4.2339780000000005</v>
      </c>
      <c r="BL47" s="2571">
        <f>+(1*26250*12)*105%/100000</f>
        <v>3.3075000000000001</v>
      </c>
      <c r="BM47" s="2571">
        <f>+(1*32909*12)*105%/100000</f>
        <v>4.1465339999999999</v>
      </c>
      <c r="BN47" s="2571">
        <f>+(1*26250*12)*105%/100000</f>
        <v>3.3075000000000001</v>
      </c>
      <c r="BO47" s="2571"/>
      <c r="BP47" s="2571"/>
      <c r="BQ47" s="2571"/>
      <c r="BR47" s="2571"/>
      <c r="BS47" s="2571"/>
      <c r="BT47" s="2571"/>
      <c r="BU47" s="2571"/>
      <c r="BV47" s="2571"/>
      <c r="BW47" s="2571"/>
      <c r="BX47" s="2571"/>
      <c r="BY47" s="2571"/>
      <c r="BZ47" s="2571"/>
      <c r="CA47" s="2571"/>
      <c r="CB47" s="2571"/>
      <c r="CC47" s="2571"/>
      <c r="CD47" s="2571"/>
      <c r="CE47" s="2571"/>
      <c r="CF47" s="2571"/>
      <c r="CG47" s="2571"/>
      <c r="CH47" s="2571"/>
      <c r="CI47" s="897">
        <f t="shared" si="0"/>
        <v>49.905524000000007</v>
      </c>
    </row>
    <row r="48" spans="1:87" s="1439" customFormat="1">
      <c r="A48" s="958" t="s">
        <v>507</v>
      </c>
      <c r="B48" s="958" t="s">
        <v>508</v>
      </c>
      <c r="C48" s="958" t="s">
        <v>509</v>
      </c>
      <c r="D48" s="1737" t="s">
        <v>65</v>
      </c>
      <c r="E48" s="1737" t="s">
        <v>3760</v>
      </c>
      <c r="F48" s="2704"/>
      <c r="G48" s="2704"/>
      <c r="H48" s="3942"/>
      <c r="I48" s="3814"/>
      <c r="J48" s="3814"/>
      <c r="K48" s="3814"/>
      <c r="L48" s="3803"/>
      <c r="M48" s="3805"/>
      <c r="N48" s="3803"/>
      <c r="O48" s="3816"/>
      <c r="P48" s="3818"/>
      <c r="Q48" s="3122"/>
      <c r="R48" s="3954"/>
      <c r="BB48" s="2571"/>
      <c r="BC48" s="2571"/>
      <c r="BD48" s="2571"/>
      <c r="BE48" s="2571"/>
      <c r="BF48" s="2571"/>
      <c r="BG48" s="2571"/>
      <c r="BH48" s="2571"/>
      <c r="BI48" s="2571"/>
      <c r="BJ48" s="2571"/>
      <c r="BK48" s="2571"/>
      <c r="BL48" s="2571"/>
      <c r="BM48" s="2571"/>
      <c r="BN48" s="2571"/>
      <c r="BO48" s="2571"/>
      <c r="BP48" s="2571"/>
      <c r="BQ48" s="2571"/>
      <c r="BR48" s="2571"/>
      <c r="BS48" s="2571"/>
      <c r="BT48" s="2571"/>
      <c r="BU48" s="2571"/>
      <c r="BV48" s="2571"/>
      <c r="BW48" s="2571"/>
      <c r="BX48" s="2571"/>
      <c r="BY48" s="2571"/>
      <c r="BZ48" s="2571"/>
      <c r="CA48" s="2571"/>
      <c r="CB48" s="2571"/>
      <c r="CC48" s="2571"/>
      <c r="CD48" s="2571"/>
      <c r="CE48" s="2571"/>
      <c r="CF48" s="2571"/>
      <c r="CG48" s="2571"/>
      <c r="CH48" s="2571"/>
      <c r="CI48" s="897">
        <f t="shared" si="0"/>
        <v>0</v>
      </c>
    </row>
    <row r="49" spans="1:87" s="1439" customFormat="1" ht="68.25" customHeight="1">
      <c r="A49" s="391" t="s">
        <v>4165</v>
      </c>
      <c r="B49" s="391" t="s">
        <v>510</v>
      </c>
      <c r="C49" s="391" t="s">
        <v>511</v>
      </c>
      <c r="D49" s="982" t="s">
        <v>65</v>
      </c>
      <c r="E49" s="1185" t="s">
        <v>3760</v>
      </c>
      <c r="F49" s="2307">
        <v>24</v>
      </c>
      <c r="G49" s="613">
        <v>19</v>
      </c>
      <c r="H49" s="3942"/>
      <c r="I49" s="3814"/>
      <c r="J49" s="3814"/>
      <c r="K49" s="3814"/>
      <c r="L49" s="3803"/>
      <c r="M49" s="3805"/>
      <c r="N49" s="3803"/>
      <c r="O49" s="3816"/>
      <c r="P49" s="3818"/>
      <c r="Q49" s="3107" t="s">
        <v>5938</v>
      </c>
      <c r="R49" s="3954"/>
      <c r="BB49" s="2571">
        <v>5.72</v>
      </c>
      <c r="BC49" s="2571">
        <f>+(2*8710*12)*105%/100000</f>
        <v>2.1949200000000002</v>
      </c>
      <c r="BD49" s="2571">
        <f>+(2*10195*12)*105%/100000</f>
        <v>2.56914</v>
      </c>
      <c r="BE49" s="2571">
        <f>+(2*8710*12)*105%/100000</f>
        <v>2.1949200000000002</v>
      </c>
      <c r="BF49" s="2571">
        <f>+(2*10195*12)*105%/100000</f>
        <v>2.56914</v>
      </c>
      <c r="BG49" s="2571">
        <f>+(2*8710*12)*105%/100000</f>
        <v>2.1949200000000002</v>
      </c>
      <c r="BH49" s="2571">
        <f>+(2*8710*12)*105%/100000</f>
        <v>2.1949200000000002</v>
      </c>
      <c r="BI49" s="2571"/>
      <c r="BJ49" s="2571">
        <f>+(2*10289*12+1*9943*12)*105%/100000</f>
        <v>3.8456460000000003</v>
      </c>
      <c r="BK49" s="2571">
        <f>+(1*9943*12)*105%/100000</f>
        <v>1.252818</v>
      </c>
      <c r="BL49" s="2571">
        <f>+(2*8710*12)*105%/100000</f>
        <v>2.1949200000000002</v>
      </c>
      <c r="BM49" s="2571">
        <f>+(2*10289*12)*105%/100000</f>
        <v>2.5928280000000004</v>
      </c>
      <c r="BN49" s="2571">
        <f>+(2*8710*12)*105%/100000</f>
        <v>2.1949200000000002</v>
      </c>
      <c r="BO49" s="2571"/>
      <c r="BP49" s="2571"/>
      <c r="BQ49" s="2571"/>
      <c r="BR49" s="2571"/>
      <c r="BS49" s="2571"/>
      <c r="BT49" s="2571"/>
      <c r="BU49" s="2571"/>
      <c r="BV49" s="2571"/>
      <c r="BW49" s="2571"/>
      <c r="BX49" s="2571"/>
      <c r="BY49" s="2571"/>
      <c r="BZ49" s="2571"/>
      <c r="CA49" s="2571"/>
      <c r="CB49" s="2571"/>
      <c r="CC49" s="2571"/>
      <c r="CD49" s="2571"/>
      <c r="CE49" s="2571"/>
      <c r="CF49" s="2571"/>
      <c r="CG49" s="2571"/>
      <c r="CH49" s="2571"/>
      <c r="CI49" s="897">
        <f t="shared" si="0"/>
        <v>31.719092000000003</v>
      </c>
    </row>
    <row r="50" spans="1:87" s="1439" customFormat="1">
      <c r="A50" s="391" t="s">
        <v>4166</v>
      </c>
      <c r="B50" s="391" t="s">
        <v>512</v>
      </c>
      <c r="C50" s="391" t="s">
        <v>513</v>
      </c>
      <c r="D50" s="982" t="s">
        <v>65</v>
      </c>
      <c r="E50" s="1185" t="s">
        <v>3760</v>
      </c>
      <c r="F50" s="2307">
        <v>0</v>
      </c>
      <c r="G50" s="613"/>
      <c r="H50" s="3942"/>
      <c r="I50" s="3814"/>
      <c r="J50" s="3814"/>
      <c r="K50" s="3814"/>
      <c r="L50" s="3803"/>
      <c r="M50" s="3805"/>
      <c r="N50" s="3803"/>
      <c r="O50" s="3816"/>
      <c r="P50" s="3818"/>
      <c r="Q50" s="3122"/>
      <c r="R50" s="3954"/>
      <c r="BB50" s="2571"/>
      <c r="BC50" s="2571"/>
      <c r="BD50" s="2571"/>
      <c r="BE50" s="2571"/>
      <c r="BF50" s="2571"/>
      <c r="BG50" s="2571"/>
      <c r="BH50" s="2571"/>
      <c r="BI50" s="2571"/>
      <c r="BJ50" s="2571"/>
      <c r="BK50" s="2571"/>
      <c r="BL50" s="2571"/>
      <c r="BM50" s="2571"/>
      <c r="BN50" s="2571"/>
      <c r="BO50" s="2571"/>
      <c r="BP50" s="2571"/>
      <c r="BQ50" s="2571"/>
      <c r="BR50" s="2571"/>
      <c r="BS50" s="2571"/>
      <c r="BT50" s="2571"/>
      <c r="BU50" s="2571"/>
      <c r="BV50" s="2571"/>
      <c r="BW50" s="2571"/>
      <c r="BX50" s="2571"/>
      <c r="BY50" s="2571"/>
      <c r="BZ50" s="2571"/>
      <c r="CA50" s="2571"/>
      <c r="CB50" s="2571"/>
      <c r="CC50" s="2571"/>
      <c r="CD50" s="2571"/>
      <c r="CE50" s="2571"/>
      <c r="CF50" s="2571"/>
      <c r="CG50" s="2571"/>
      <c r="CH50" s="2571"/>
      <c r="CI50" s="897">
        <f t="shared" si="0"/>
        <v>0</v>
      </c>
    </row>
    <row r="51" spans="1:87" s="1439" customFormat="1" ht="66" customHeight="1">
      <c r="A51" s="391" t="s">
        <v>4167</v>
      </c>
      <c r="B51" s="391" t="s">
        <v>514</v>
      </c>
      <c r="C51" s="391" t="s">
        <v>515</v>
      </c>
      <c r="D51" s="982" t="s">
        <v>65</v>
      </c>
      <c r="E51" s="1185" t="s">
        <v>3760</v>
      </c>
      <c r="F51" s="2307">
        <v>13</v>
      </c>
      <c r="G51" s="613">
        <v>11</v>
      </c>
      <c r="H51" s="3942"/>
      <c r="I51" s="3814"/>
      <c r="J51" s="3814"/>
      <c r="K51" s="3814"/>
      <c r="L51" s="3803"/>
      <c r="M51" s="3805"/>
      <c r="N51" s="3803"/>
      <c r="O51" s="3816"/>
      <c r="P51" s="3818"/>
      <c r="Q51" s="3107" t="s">
        <v>5933</v>
      </c>
      <c r="R51" s="3954"/>
      <c r="BB51" s="2571">
        <v>2.68</v>
      </c>
      <c r="BC51" s="2571">
        <f>+(1*6200*12)*105%/100000</f>
        <v>0.78120000000000001</v>
      </c>
      <c r="BD51" s="2571">
        <f>+(1*6200*12)*105%/100000</f>
        <v>0.78120000000000001</v>
      </c>
      <c r="BE51" s="2571">
        <f>+(1*6200*12)*105%/100000</f>
        <v>0.78120000000000001</v>
      </c>
      <c r="BF51" s="2571"/>
      <c r="BG51" s="2571"/>
      <c r="BH51" s="2571">
        <f>+(1*6200*12)*105%/100000</f>
        <v>0.78120000000000001</v>
      </c>
      <c r="BI51" s="2571">
        <f>+(1*6200*12)*105%/100000</f>
        <v>0.78120000000000001</v>
      </c>
      <c r="BJ51" s="2571">
        <f>+(1*6806*12)*105%/100000</f>
        <v>0.8575560000000001</v>
      </c>
      <c r="BK51" s="2571">
        <f>+(1*6559*12)*105%/100000</f>
        <v>0.82643400000000011</v>
      </c>
      <c r="BL51" s="2571">
        <f>+(1*6806*12)*105%/100000</f>
        <v>0.8575560000000001</v>
      </c>
      <c r="BM51" s="2571">
        <f>+(1*6806*12)*105%/100000</f>
        <v>0.8575560000000001</v>
      </c>
      <c r="BN51" s="2571">
        <f>+(1*6200*12)*105%/100000</f>
        <v>0.78120000000000001</v>
      </c>
      <c r="BO51" s="2571"/>
      <c r="BP51" s="2571"/>
      <c r="BQ51" s="2571"/>
      <c r="BR51" s="2571"/>
      <c r="BS51" s="2571"/>
      <c r="BT51" s="2571"/>
      <c r="BU51" s="2571"/>
      <c r="BV51" s="2571"/>
      <c r="BW51" s="2571"/>
      <c r="BX51" s="2571"/>
      <c r="BY51" s="2571"/>
      <c r="BZ51" s="2571"/>
      <c r="CA51" s="2571"/>
      <c r="CB51" s="2571"/>
      <c r="CC51" s="2571"/>
      <c r="CD51" s="2571"/>
      <c r="CE51" s="2571"/>
      <c r="CF51" s="2571"/>
      <c r="CG51" s="2571"/>
      <c r="CH51" s="2571"/>
      <c r="CI51" s="897">
        <f t="shared" si="0"/>
        <v>10.766302000000001</v>
      </c>
    </row>
    <row r="52" spans="1:87" s="1439" customFormat="1">
      <c r="A52" s="391" t="s">
        <v>4168</v>
      </c>
      <c r="B52" s="391" t="s">
        <v>516</v>
      </c>
      <c r="C52" s="391" t="s">
        <v>302</v>
      </c>
      <c r="D52" s="982" t="s">
        <v>65</v>
      </c>
      <c r="E52" s="1185" t="s">
        <v>3760</v>
      </c>
      <c r="F52" s="2307">
        <v>0</v>
      </c>
      <c r="G52" s="613"/>
      <c r="H52" s="3943"/>
      <c r="I52" s="3826"/>
      <c r="J52" s="3826"/>
      <c r="K52" s="3826"/>
      <c r="L52" s="3821"/>
      <c r="M52" s="3827"/>
      <c r="N52" s="3821"/>
      <c r="O52" s="3822"/>
      <c r="P52" s="3952"/>
      <c r="Q52" s="3122"/>
      <c r="R52" s="3955"/>
      <c r="BB52" s="2571"/>
      <c r="BC52" s="2571"/>
      <c r="BD52" s="2571"/>
      <c r="BE52" s="2571"/>
      <c r="BF52" s="2571"/>
      <c r="BG52" s="2571"/>
      <c r="BH52" s="2571"/>
      <c r="BI52" s="2571"/>
      <c r="BJ52" s="2571"/>
      <c r="BK52" s="2571"/>
      <c r="BL52" s="2571"/>
      <c r="BM52" s="2571"/>
      <c r="BN52" s="2571"/>
      <c r="BO52" s="2571"/>
      <c r="BP52" s="2571"/>
      <c r="BQ52" s="2571"/>
      <c r="BR52" s="2571"/>
      <c r="BS52" s="2571"/>
      <c r="BT52" s="2571"/>
      <c r="BU52" s="2571"/>
      <c r="BV52" s="2571"/>
      <c r="BW52" s="2571"/>
      <c r="BX52" s="2571"/>
      <c r="BY52" s="2571"/>
      <c r="BZ52" s="2571"/>
      <c r="CA52" s="2571"/>
      <c r="CB52" s="2571"/>
      <c r="CC52" s="2571"/>
      <c r="CD52" s="2571"/>
      <c r="CE52" s="2571"/>
      <c r="CF52" s="2571"/>
      <c r="CG52" s="2571"/>
      <c r="CH52" s="2571"/>
      <c r="CI52" s="897">
        <f t="shared" si="0"/>
        <v>0</v>
      </c>
    </row>
    <row r="53" spans="1:87" s="1439" customFormat="1">
      <c r="A53" s="902" t="s">
        <v>517</v>
      </c>
      <c r="B53" s="1004" t="s">
        <v>518</v>
      </c>
      <c r="C53" s="1176" t="s">
        <v>519</v>
      </c>
      <c r="D53" s="2703" t="s">
        <v>65</v>
      </c>
      <c r="E53" s="2703" t="s">
        <v>3760</v>
      </c>
      <c r="F53" s="243"/>
      <c r="G53" s="243"/>
      <c r="H53" s="243"/>
      <c r="I53" s="243"/>
      <c r="J53" s="243"/>
      <c r="K53" s="243"/>
      <c r="L53" s="243"/>
      <c r="M53" s="1447"/>
      <c r="N53" s="279"/>
      <c r="O53" s="2906">
        <f>SUM(O54:O55)</f>
        <v>38.400000000000006</v>
      </c>
      <c r="P53" s="236"/>
      <c r="Q53" s="3064"/>
      <c r="R53" s="1447">
        <f>SUM(R54:R55)</f>
        <v>38.4</v>
      </c>
      <c r="U53" s="3132"/>
      <c r="BB53" s="2571"/>
      <c r="BC53" s="2571"/>
      <c r="BD53" s="2571"/>
      <c r="BE53" s="2571"/>
      <c r="BF53" s="2571"/>
      <c r="BG53" s="2571"/>
      <c r="BH53" s="2571"/>
      <c r="BI53" s="2571"/>
      <c r="BJ53" s="2571"/>
      <c r="BK53" s="2571"/>
      <c r="BL53" s="2571"/>
      <c r="BM53" s="2571"/>
      <c r="BN53" s="2571"/>
      <c r="BO53" s="2571"/>
      <c r="BP53" s="2571"/>
      <c r="BQ53" s="2571"/>
      <c r="BR53" s="2571"/>
      <c r="BS53" s="2571"/>
      <c r="BT53" s="2571"/>
      <c r="BU53" s="2571"/>
      <c r="BV53" s="2571"/>
      <c r="BW53" s="2571"/>
      <c r="BX53" s="2571"/>
      <c r="BY53" s="2571"/>
      <c r="BZ53" s="2571"/>
      <c r="CA53" s="2571"/>
      <c r="CB53" s="2571"/>
      <c r="CC53" s="2571"/>
      <c r="CD53" s="2571"/>
      <c r="CE53" s="2571"/>
      <c r="CF53" s="2571"/>
      <c r="CG53" s="2571"/>
      <c r="CH53" s="2571"/>
      <c r="CI53" s="897">
        <f t="shared" si="0"/>
        <v>0</v>
      </c>
    </row>
    <row r="54" spans="1:87" s="1439" customFormat="1" ht="51">
      <c r="A54" s="1481" t="s">
        <v>3246</v>
      </c>
      <c r="B54" s="1004"/>
      <c r="C54" s="1004" t="s">
        <v>3239</v>
      </c>
      <c r="D54" s="982" t="s">
        <v>65</v>
      </c>
      <c r="E54" s="2255" t="s">
        <v>3760</v>
      </c>
      <c r="F54" s="634">
        <v>12</v>
      </c>
      <c r="G54" s="634">
        <v>3</v>
      </c>
      <c r="H54" s="3944">
        <v>57.6</v>
      </c>
      <c r="I54" s="3944">
        <v>9.3800000000000008</v>
      </c>
      <c r="J54" s="3944">
        <v>20</v>
      </c>
      <c r="K54" s="3944"/>
      <c r="L54" s="3802">
        <v>320000</v>
      </c>
      <c r="M54" s="3804">
        <f>L54/100000</f>
        <v>3.2</v>
      </c>
      <c r="N54" s="3802">
        <v>12</v>
      </c>
      <c r="O54" s="3815">
        <f>M54*N54</f>
        <v>38.400000000000006</v>
      </c>
      <c r="P54" s="289"/>
      <c r="Q54" s="3064" t="s">
        <v>5783</v>
      </c>
      <c r="R54" s="3956">
        <v>38.4</v>
      </c>
      <c r="U54" s="3132"/>
      <c r="BB54" s="2571"/>
      <c r="BC54" s="2571"/>
      <c r="BD54" s="2571"/>
      <c r="BE54" s="2571"/>
      <c r="BF54" s="2571"/>
      <c r="BG54" s="2571"/>
      <c r="BH54" s="2571"/>
      <c r="BI54" s="2571"/>
      <c r="BJ54" s="2571"/>
      <c r="BK54" s="2571"/>
      <c r="BL54" s="2571"/>
      <c r="BM54" s="2571"/>
      <c r="BN54" s="2571"/>
      <c r="BO54" s="2571"/>
      <c r="BP54" s="2571"/>
      <c r="BQ54" s="2571"/>
      <c r="BR54" s="2571"/>
      <c r="BS54" s="2571"/>
      <c r="BT54" s="2571"/>
      <c r="BU54" s="2571"/>
      <c r="BV54" s="2571"/>
      <c r="BW54" s="2571"/>
      <c r="BX54" s="2571"/>
      <c r="BY54" s="2571"/>
      <c r="BZ54" s="2571"/>
      <c r="CA54" s="2571"/>
      <c r="CB54" s="2571"/>
      <c r="CC54" s="2571"/>
      <c r="CD54" s="2571"/>
      <c r="CE54" s="2571"/>
      <c r="CF54" s="2571"/>
      <c r="CG54" s="2571"/>
      <c r="CH54" s="2571"/>
      <c r="CI54" s="897">
        <f t="shared" si="0"/>
        <v>0</v>
      </c>
    </row>
    <row r="55" spans="1:87" s="1439" customFormat="1">
      <c r="A55" s="1481" t="s">
        <v>3247</v>
      </c>
      <c r="B55" s="1004"/>
      <c r="C55" s="1004" t="s">
        <v>3240</v>
      </c>
      <c r="D55" s="982" t="s">
        <v>65</v>
      </c>
      <c r="E55" s="2255" t="s">
        <v>3760</v>
      </c>
      <c r="F55" s="634">
        <v>0</v>
      </c>
      <c r="G55" s="634"/>
      <c r="H55" s="3945"/>
      <c r="I55" s="3945"/>
      <c r="J55" s="3945"/>
      <c r="K55" s="3945"/>
      <c r="L55" s="3821"/>
      <c r="M55" s="3827"/>
      <c r="N55" s="3821"/>
      <c r="O55" s="3822"/>
      <c r="P55" s="289"/>
      <c r="Q55" s="3064"/>
      <c r="R55" s="3957"/>
      <c r="BB55" s="2571"/>
      <c r="BC55" s="2571"/>
      <c r="BD55" s="2571"/>
      <c r="BE55" s="2571"/>
      <c r="BF55" s="2571"/>
      <c r="BG55" s="2571"/>
      <c r="BH55" s="2571"/>
      <c r="BI55" s="2571"/>
      <c r="BJ55" s="2571"/>
      <c r="BK55" s="2571"/>
      <c r="BL55" s="2571"/>
      <c r="BM55" s="2571"/>
      <c r="BN55" s="2571"/>
      <c r="BO55" s="2571"/>
      <c r="BP55" s="2571"/>
      <c r="BQ55" s="2571"/>
      <c r="BR55" s="2571"/>
      <c r="BS55" s="2571"/>
      <c r="BT55" s="2571"/>
      <c r="BU55" s="2571"/>
      <c r="BV55" s="2571"/>
      <c r="BW55" s="2571"/>
      <c r="BX55" s="2571"/>
      <c r="BY55" s="2571"/>
      <c r="BZ55" s="2571"/>
      <c r="CA55" s="2571"/>
      <c r="CB55" s="2571"/>
      <c r="CC55" s="2571"/>
      <c r="CD55" s="2571"/>
      <c r="CE55" s="2571"/>
      <c r="CF55" s="2571"/>
      <c r="CG55" s="2571"/>
      <c r="CH55" s="2571"/>
      <c r="CI55" s="897">
        <f t="shared" si="0"/>
        <v>0</v>
      </c>
    </row>
    <row r="56" spans="1:87" s="1439" customFormat="1">
      <c r="A56" s="902" t="s">
        <v>520</v>
      </c>
      <c r="B56" s="1004" t="s">
        <v>521</v>
      </c>
      <c r="C56" s="1176" t="s">
        <v>522</v>
      </c>
      <c r="D56" s="2703" t="s">
        <v>65</v>
      </c>
      <c r="E56" s="2703" t="s">
        <v>3760</v>
      </c>
      <c r="F56" s="243"/>
      <c r="G56" s="243"/>
      <c r="H56" s="243"/>
      <c r="I56" s="243"/>
      <c r="J56" s="243"/>
      <c r="K56" s="243"/>
      <c r="L56" s="243"/>
      <c r="M56" s="1447"/>
      <c r="N56" s="279"/>
      <c r="O56" s="2906">
        <f>SUM(O57:O59)</f>
        <v>0</v>
      </c>
      <c r="P56" s="236"/>
      <c r="Q56" s="3064"/>
      <c r="R56" s="1888">
        <f>SUM(R57:R59)</f>
        <v>0</v>
      </c>
      <c r="BB56" s="2571"/>
      <c r="BC56" s="2571"/>
      <c r="BD56" s="2571"/>
      <c r="BE56" s="2571"/>
      <c r="BF56" s="2571"/>
      <c r="BG56" s="2571"/>
      <c r="BH56" s="2571"/>
      <c r="BI56" s="2571"/>
      <c r="BJ56" s="2571"/>
      <c r="BK56" s="2571"/>
      <c r="BL56" s="2571"/>
      <c r="BM56" s="2571"/>
      <c r="BN56" s="2571"/>
      <c r="BO56" s="2571"/>
      <c r="BP56" s="2571"/>
      <c r="BQ56" s="2571"/>
      <c r="BR56" s="2571"/>
      <c r="BS56" s="2571"/>
      <c r="BT56" s="2571"/>
      <c r="BU56" s="2571"/>
      <c r="BV56" s="2571"/>
      <c r="BW56" s="2571"/>
      <c r="BX56" s="2571"/>
      <c r="BY56" s="2571"/>
      <c r="BZ56" s="2571"/>
      <c r="CA56" s="2571"/>
      <c r="CB56" s="2571"/>
      <c r="CC56" s="2571"/>
      <c r="CD56" s="2571"/>
      <c r="CE56" s="2571"/>
      <c r="CF56" s="2571"/>
      <c r="CG56" s="2571"/>
      <c r="CH56" s="2571"/>
      <c r="CI56" s="897">
        <f t="shared" si="0"/>
        <v>0</v>
      </c>
    </row>
    <row r="57" spans="1:87" s="1439" customFormat="1">
      <c r="A57" s="391" t="s">
        <v>523</v>
      </c>
      <c r="B57" s="391" t="s">
        <v>524</v>
      </c>
      <c r="C57" s="391" t="s">
        <v>525</v>
      </c>
      <c r="D57" s="982" t="s">
        <v>65</v>
      </c>
      <c r="E57" s="1185" t="s">
        <v>3760</v>
      </c>
      <c r="F57" s="2307">
        <v>0</v>
      </c>
      <c r="G57" s="613"/>
      <c r="H57" s="3813">
        <v>0</v>
      </c>
      <c r="I57" s="3813"/>
      <c r="J57" s="3813"/>
      <c r="K57" s="3813"/>
      <c r="L57" s="3802"/>
      <c r="M57" s="3804">
        <f>L57/100000</f>
        <v>0</v>
      </c>
      <c r="N57" s="3802"/>
      <c r="O57" s="3815">
        <f>M57*N57</f>
        <v>0</v>
      </c>
      <c r="P57" s="2705"/>
      <c r="Q57" s="3067"/>
      <c r="R57" s="3804"/>
      <c r="BB57" s="2571"/>
      <c r="BC57" s="2571"/>
      <c r="BD57" s="2571"/>
      <c r="BE57" s="2571"/>
      <c r="BF57" s="2571"/>
      <c r="BG57" s="2571"/>
      <c r="BH57" s="2571"/>
      <c r="BI57" s="2571"/>
      <c r="BJ57" s="2571"/>
      <c r="BK57" s="2571"/>
      <c r="BL57" s="2571"/>
      <c r="BM57" s="2571"/>
      <c r="BN57" s="2571"/>
      <c r="BO57" s="2571"/>
      <c r="BP57" s="2571"/>
      <c r="BQ57" s="2571"/>
      <c r="BR57" s="2571"/>
      <c r="BS57" s="2571"/>
      <c r="BT57" s="2571"/>
      <c r="BU57" s="2571"/>
      <c r="BV57" s="2571"/>
      <c r="BW57" s="2571"/>
      <c r="BX57" s="2571"/>
      <c r="BY57" s="2571"/>
      <c r="BZ57" s="2571"/>
      <c r="CA57" s="2571"/>
      <c r="CB57" s="2571"/>
      <c r="CC57" s="2571"/>
      <c r="CD57" s="2571"/>
      <c r="CE57" s="2571"/>
      <c r="CF57" s="2571"/>
      <c r="CG57" s="2571"/>
      <c r="CH57" s="2571"/>
      <c r="CI57" s="897">
        <f t="shared" si="0"/>
        <v>0</v>
      </c>
    </row>
    <row r="58" spans="1:87" s="1439" customFormat="1">
      <c r="A58" s="391" t="s">
        <v>526</v>
      </c>
      <c r="B58" s="391" t="s">
        <v>527</v>
      </c>
      <c r="C58" s="391" t="s">
        <v>528</v>
      </c>
      <c r="D58" s="982" t="s">
        <v>65</v>
      </c>
      <c r="E58" s="1185" t="s">
        <v>65</v>
      </c>
      <c r="F58" s="2307">
        <v>0</v>
      </c>
      <c r="G58" s="613"/>
      <c r="H58" s="3814"/>
      <c r="I58" s="3814"/>
      <c r="J58" s="3814"/>
      <c r="K58" s="3814"/>
      <c r="L58" s="3803"/>
      <c r="M58" s="3805"/>
      <c r="N58" s="3803"/>
      <c r="O58" s="3816"/>
      <c r="P58" s="2706"/>
      <c r="Q58" s="3067"/>
      <c r="R58" s="3805"/>
      <c r="BB58" s="2571"/>
      <c r="BC58" s="2571"/>
      <c r="BD58" s="2571"/>
      <c r="BE58" s="2571"/>
      <c r="BF58" s="2571"/>
      <c r="BG58" s="2571"/>
      <c r="BH58" s="2571"/>
      <c r="BI58" s="2571"/>
      <c r="BJ58" s="2571"/>
      <c r="BK58" s="2571"/>
      <c r="BL58" s="2571"/>
      <c r="BM58" s="2571"/>
      <c r="BN58" s="2571"/>
      <c r="BO58" s="2571"/>
      <c r="BP58" s="2571"/>
      <c r="BQ58" s="2571"/>
      <c r="BR58" s="2571"/>
      <c r="BS58" s="2571"/>
      <c r="BT58" s="2571"/>
      <c r="BU58" s="2571"/>
      <c r="BV58" s="2571"/>
      <c r="BW58" s="2571"/>
      <c r="BX58" s="2571"/>
      <c r="BY58" s="2571"/>
      <c r="BZ58" s="2571"/>
      <c r="CA58" s="2571"/>
      <c r="CB58" s="2571"/>
      <c r="CC58" s="2571"/>
      <c r="CD58" s="2571"/>
      <c r="CE58" s="2571"/>
      <c r="CF58" s="2571"/>
      <c r="CG58" s="2571"/>
      <c r="CH58" s="2571"/>
      <c r="CI58" s="897">
        <f t="shared" si="0"/>
        <v>0</v>
      </c>
    </row>
    <row r="59" spans="1:87" s="1439" customFormat="1">
      <c r="A59" s="391" t="s">
        <v>529</v>
      </c>
      <c r="B59" s="391" t="s">
        <v>530</v>
      </c>
      <c r="C59" s="391" t="s">
        <v>302</v>
      </c>
      <c r="D59" s="982" t="s">
        <v>65</v>
      </c>
      <c r="E59" s="1185" t="s">
        <v>65</v>
      </c>
      <c r="F59" s="2307">
        <v>0</v>
      </c>
      <c r="G59" s="613"/>
      <c r="H59" s="3826"/>
      <c r="I59" s="3826"/>
      <c r="J59" s="3826"/>
      <c r="K59" s="3826"/>
      <c r="L59" s="3821"/>
      <c r="M59" s="3827"/>
      <c r="N59" s="3821"/>
      <c r="O59" s="3822"/>
      <c r="P59" s="422"/>
      <c r="Q59" s="3067"/>
      <c r="R59" s="3827"/>
      <c r="BB59" s="2571"/>
      <c r="BC59" s="2571"/>
      <c r="BD59" s="2571"/>
      <c r="BE59" s="2571"/>
      <c r="BF59" s="2571"/>
      <c r="BG59" s="2571"/>
      <c r="BH59" s="2571"/>
      <c r="BI59" s="2571"/>
      <c r="BJ59" s="2571"/>
      <c r="BK59" s="2571"/>
      <c r="BL59" s="2571"/>
      <c r="BM59" s="2571"/>
      <c r="BN59" s="2571"/>
      <c r="BO59" s="2571"/>
      <c r="BP59" s="2571"/>
      <c r="BQ59" s="2571"/>
      <c r="BR59" s="2571"/>
      <c r="BS59" s="2571"/>
      <c r="BT59" s="2571"/>
      <c r="BU59" s="2571"/>
      <c r="BV59" s="2571"/>
      <c r="BW59" s="2571"/>
      <c r="BX59" s="2571"/>
      <c r="BY59" s="2571"/>
      <c r="BZ59" s="2571"/>
      <c r="CA59" s="2571"/>
      <c r="CB59" s="2571"/>
      <c r="CC59" s="2571"/>
      <c r="CD59" s="2571"/>
      <c r="CE59" s="2571"/>
      <c r="CF59" s="2571"/>
      <c r="CG59" s="2571"/>
      <c r="CH59" s="2571"/>
      <c r="CI59" s="897">
        <f t="shared" si="0"/>
        <v>0</v>
      </c>
    </row>
    <row r="60" spans="1:87" s="1439" customFormat="1" ht="30">
      <c r="A60" s="902" t="s">
        <v>531</v>
      </c>
      <c r="B60" s="1004" t="s">
        <v>532</v>
      </c>
      <c r="C60" s="1176" t="s">
        <v>533</v>
      </c>
      <c r="D60" s="2703" t="s">
        <v>65</v>
      </c>
      <c r="E60" s="2703" t="s">
        <v>3760</v>
      </c>
      <c r="F60" s="243"/>
      <c r="G60" s="243"/>
      <c r="H60" s="243"/>
      <c r="I60" s="243"/>
      <c r="J60" s="243"/>
      <c r="K60" s="243"/>
      <c r="L60" s="243"/>
      <c r="M60" s="1447"/>
      <c r="N60" s="279"/>
      <c r="O60" s="2906">
        <f>O61+O67</f>
        <v>1315.5557999999999</v>
      </c>
      <c r="P60" s="236"/>
      <c r="Q60" s="3064"/>
      <c r="R60" s="1888">
        <f>R61+R67</f>
        <v>1302.1697999999999</v>
      </c>
      <c r="U60" s="3132"/>
      <c r="BB60" s="2571"/>
      <c r="BC60" s="2571"/>
      <c r="BD60" s="2571"/>
      <c r="BE60" s="2571"/>
      <c r="BF60" s="2571"/>
      <c r="BG60" s="2571"/>
      <c r="BH60" s="2571"/>
      <c r="BI60" s="2571"/>
      <c r="BJ60" s="2571"/>
      <c r="BK60" s="2571"/>
      <c r="BL60" s="2571"/>
      <c r="BM60" s="2571"/>
      <c r="BN60" s="2571"/>
      <c r="BO60" s="2571"/>
      <c r="BP60" s="2571"/>
      <c r="BQ60" s="2571"/>
      <c r="BR60" s="2571"/>
      <c r="BS60" s="2571"/>
      <c r="BT60" s="2571"/>
      <c r="BU60" s="2571"/>
      <c r="BV60" s="2571"/>
      <c r="BW60" s="2571"/>
      <c r="BX60" s="2571"/>
      <c r="BY60" s="2571"/>
      <c r="BZ60" s="2571"/>
      <c r="CA60" s="2571"/>
      <c r="CB60" s="2571"/>
      <c r="CC60" s="2571"/>
      <c r="CD60" s="2571"/>
      <c r="CE60" s="2571"/>
      <c r="CF60" s="2571"/>
      <c r="CG60" s="2571"/>
      <c r="CH60" s="2571"/>
      <c r="CI60" s="897">
        <f t="shared" si="0"/>
        <v>0</v>
      </c>
    </row>
    <row r="61" spans="1:87">
      <c r="A61" s="1429" t="s">
        <v>534</v>
      </c>
      <c r="B61" s="1430" t="s">
        <v>535</v>
      </c>
      <c r="C61" s="1429" t="s">
        <v>536</v>
      </c>
      <c r="D61" s="1431" t="s">
        <v>65</v>
      </c>
      <c r="E61" s="1431" t="s">
        <v>91</v>
      </c>
      <c r="F61" s="278"/>
      <c r="G61" s="278"/>
      <c r="H61" s="278"/>
      <c r="I61" s="278"/>
      <c r="J61" s="278"/>
      <c r="K61" s="278"/>
      <c r="L61" s="278"/>
      <c r="M61" s="1445"/>
      <c r="N61" s="278"/>
      <c r="O61" s="2907">
        <f>SUM(O62:O66)</f>
        <v>1270.7159999999999</v>
      </c>
      <c r="P61" s="383"/>
      <c r="Q61" s="3068"/>
      <c r="R61" s="143">
        <f>SUM(R62:R66)</f>
        <v>1257.33</v>
      </c>
      <c r="U61" s="3132"/>
      <c r="BB61" s="1513"/>
      <c r="BC61" s="1513"/>
      <c r="BD61" s="1513"/>
      <c r="BE61" s="1513"/>
      <c r="BF61" s="1513"/>
      <c r="BG61" s="1513"/>
      <c r="BH61" s="1513"/>
      <c r="BI61" s="1513"/>
      <c r="BJ61" s="1513"/>
      <c r="BK61" s="1513"/>
      <c r="BL61" s="1513"/>
      <c r="BM61" s="1513"/>
      <c r="BN61" s="1513"/>
      <c r="BO61" s="1513"/>
      <c r="BP61" s="1513"/>
      <c r="BQ61" s="1513"/>
      <c r="BR61" s="1513"/>
      <c r="BS61" s="1513"/>
      <c r="BT61" s="1513"/>
      <c r="BU61" s="1513"/>
      <c r="BV61" s="1513"/>
      <c r="BW61" s="1513"/>
      <c r="BX61" s="1513"/>
      <c r="BY61" s="1513"/>
      <c r="BZ61" s="1513"/>
      <c r="CA61" s="1513"/>
      <c r="CB61" s="1513"/>
      <c r="CC61" s="1513"/>
      <c r="CD61" s="1513"/>
      <c r="CE61" s="1513"/>
      <c r="CF61" s="1513"/>
      <c r="CG61" s="1513"/>
      <c r="CH61" s="1513"/>
      <c r="CI61" s="897">
        <f t="shared" si="0"/>
        <v>0</v>
      </c>
    </row>
    <row r="62" spans="1:87" ht="80.25" customHeight="1">
      <c r="A62" s="1434" t="s">
        <v>4169</v>
      </c>
      <c r="B62" s="390" t="s">
        <v>538</v>
      </c>
      <c r="C62" s="390" t="s">
        <v>539</v>
      </c>
      <c r="D62" s="908" t="s">
        <v>65</v>
      </c>
      <c r="E62" s="1171" t="s">
        <v>91</v>
      </c>
      <c r="F62" s="2209">
        <v>300</v>
      </c>
      <c r="G62" s="384">
        <v>242</v>
      </c>
      <c r="H62" s="3938">
        <v>1164.19</v>
      </c>
      <c r="I62" s="3935">
        <v>744.02</v>
      </c>
      <c r="J62" s="3935">
        <v>420.17</v>
      </c>
      <c r="K62" s="3935"/>
      <c r="L62" s="3929">
        <v>211786</v>
      </c>
      <c r="M62" s="3932">
        <f>L62/100000</f>
        <v>2.1178599999999999</v>
      </c>
      <c r="N62" s="3929">
        <v>600</v>
      </c>
      <c r="O62" s="3923">
        <f>M62*N62</f>
        <v>1270.7159999999999</v>
      </c>
      <c r="P62" s="367"/>
      <c r="Q62" s="3061" t="s">
        <v>5884</v>
      </c>
      <c r="R62" s="3932">
        <v>1257.33</v>
      </c>
      <c r="U62" s="3132"/>
      <c r="BB62" s="1513">
        <v>224.71</v>
      </c>
      <c r="BC62" s="1513">
        <f>+(11*23771*12)*105%/100000</f>
        <v>32.946606000000003</v>
      </c>
      <c r="BD62" s="1513">
        <f>+(16*23771*12)*105%/100000</f>
        <v>47.922336000000008</v>
      </c>
      <c r="BE62" s="1513">
        <f>+(21*23771*12)*105%/100000</f>
        <v>62.898066000000007</v>
      </c>
      <c r="BF62" s="1513">
        <f>+(60*23771*12)*105%/100000</f>
        <v>179.70876000000001</v>
      </c>
      <c r="BG62" s="1513">
        <f>+(2*23771*12)*105%/100000</f>
        <v>5.9902920000000011</v>
      </c>
      <c r="BH62" s="1513">
        <f>+(17*23771*12)*105%/100000</f>
        <v>50.917482</v>
      </c>
      <c r="BI62" s="1513">
        <f>+(3*23771*12)*105%/100000</f>
        <v>8.9854380000000003</v>
      </c>
      <c r="BJ62" s="1513">
        <f>+(38*23771*12)*105%/100000</f>
        <v>113.81554800000001</v>
      </c>
      <c r="BK62" s="1513">
        <f>+(24*23771*12)*105%/100000</f>
        <v>71.883504000000002</v>
      </c>
      <c r="BL62" s="1513">
        <f>+(14*23771*12)*105%/100000</f>
        <v>41.932044000000005</v>
      </c>
      <c r="BM62" s="1513">
        <f>+(14*23771*12)*105%/100000</f>
        <v>41.932044000000005</v>
      </c>
      <c r="BN62" s="1513">
        <f>+(18*23771*12)*105%/100000</f>
        <v>53.912627999999998</v>
      </c>
      <c r="BO62" s="1513"/>
      <c r="BP62" s="1513"/>
      <c r="BQ62" s="1513"/>
      <c r="BR62" s="1513"/>
      <c r="BS62" s="1513"/>
      <c r="BT62" s="1513"/>
      <c r="BU62" s="1513"/>
      <c r="BV62" s="1513"/>
      <c r="BW62" s="1513"/>
      <c r="BX62" s="1513"/>
      <c r="BY62" s="1513"/>
      <c r="BZ62" s="1513"/>
      <c r="CA62" s="1513"/>
      <c r="CB62" s="1513"/>
      <c r="CC62" s="1513"/>
      <c r="CD62" s="1513"/>
      <c r="CE62" s="1513"/>
      <c r="CF62" s="1513"/>
      <c r="CG62" s="1513"/>
      <c r="CH62" s="1513"/>
      <c r="CI62" s="897">
        <f t="shared" si="0"/>
        <v>937.55474800000013</v>
      </c>
    </row>
    <row r="63" spans="1:87">
      <c r="A63" s="1434" t="s">
        <v>4170</v>
      </c>
      <c r="B63" s="390" t="s">
        <v>540</v>
      </c>
      <c r="C63" s="390" t="s">
        <v>541</v>
      </c>
      <c r="D63" s="908" t="s">
        <v>65</v>
      </c>
      <c r="E63" s="1171" t="s">
        <v>91</v>
      </c>
      <c r="F63" s="2209">
        <v>0</v>
      </c>
      <c r="G63" s="392"/>
      <c r="H63" s="3939"/>
      <c r="I63" s="3936"/>
      <c r="J63" s="3936"/>
      <c r="K63" s="3936"/>
      <c r="L63" s="3930"/>
      <c r="M63" s="3933"/>
      <c r="N63" s="3930"/>
      <c r="O63" s="3924"/>
      <c r="P63" s="367"/>
      <c r="Q63" s="3061"/>
      <c r="R63" s="3933"/>
      <c r="BB63" s="1513"/>
      <c r="BC63" s="1513"/>
      <c r="BD63" s="1513"/>
      <c r="BE63" s="1513"/>
      <c r="BF63" s="1513"/>
      <c r="BG63" s="1513"/>
      <c r="BH63" s="1513"/>
      <c r="BI63" s="1513"/>
      <c r="BJ63" s="1513"/>
      <c r="BK63" s="1513"/>
      <c r="BL63" s="1513"/>
      <c r="BM63" s="1513"/>
      <c r="BN63" s="1513"/>
      <c r="BO63" s="1513"/>
      <c r="BP63" s="1513"/>
      <c r="BQ63" s="1513"/>
      <c r="BR63" s="1513"/>
      <c r="BS63" s="1513"/>
      <c r="BT63" s="1513"/>
      <c r="BU63" s="1513"/>
      <c r="BV63" s="1513"/>
      <c r="BW63" s="1513"/>
      <c r="BX63" s="1513"/>
      <c r="BY63" s="1513"/>
      <c r="BZ63" s="1513"/>
      <c r="CA63" s="1513"/>
      <c r="CB63" s="1513"/>
      <c r="CC63" s="1513"/>
      <c r="CD63" s="1513"/>
      <c r="CE63" s="1513"/>
      <c r="CF63" s="1513"/>
      <c r="CG63" s="1513"/>
      <c r="CH63" s="1513"/>
      <c r="CI63" s="897">
        <f t="shared" si="0"/>
        <v>0</v>
      </c>
    </row>
    <row r="64" spans="1:87">
      <c r="A64" s="1434" t="s">
        <v>4171</v>
      </c>
      <c r="B64" s="390" t="s">
        <v>542</v>
      </c>
      <c r="C64" s="390" t="s">
        <v>543</v>
      </c>
      <c r="D64" s="908" t="s">
        <v>65</v>
      </c>
      <c r="E64" s="1171" t="s">
        <v>91</v>
      </c>
      <c r="F64" s="2209">
        <v>0</v>
      </c>
      <c r="G64" s="392"/>
      <c r="H64" s="3939"/>
      <c r="I64" s="3936"/>
      <c r="J64" s="3936"/>
      <c r="K64" s="3936"/>
      <c r="L64" s="3930"/>
      <c r="M64" s="3933"/>
      <c r="N64" s="3930"/>
      <c r="O64" s="3924"/>
      <c r="P64" s="367"/>
      <c r="Q64" s="3061"/>
      <c r="R64" s="3933"/>
      <c r="BB64" s="1513"/>
      <c r="BC64" s="1513"/>
      <c r="BD64" s="1513"/>
      <c r="BE64" s="1513"/>
      <c r="BF64" s="1513"/>
      <c r="BG64" s="1513"/>
      <c r="BH64" s="1513"/>
      <c r="BI64" s="1513"/>
      <c r="BJ64" s="1513"/>
      <c r="BK64" s="1513"/>
      <c r="BL64" s="1513"/>
      <c r="BM64" s="1513"/>
      <c r="BN64" s="1513"/>
      <c r="BO64" s="1513"/>
      <c r="BP64" s="1513"/>
      <c r="BQ64" s="1513"/>
      <c r="BR64" s="1513"/>
      <c r="BS64" s="1513"/>
      <c r="BT64" s="1513"/>
      <c r="BU64" s="1513"/>
      <c r="BV64" s="1513"/>
      <c r="BW64" s="1513"/>
      <c r="BX64" s="1513"/>
      <c r="BY64" s="1513"/>
      <c r="BZ64" s="1513"/>
      <c r="CA64" s="1513"/>
      <c r="CB64" s="1513"/>
      <c r="CC64" s="1513"/>
      <c r="CD64" s="1513"/>
      <c r="CE64" s="1513"/>
      <c r="CF64" s="1513"/>
      <c r="CG64" s="1513"/>
      <c r="CH64" s="1513"/>
      <c r="CI64" s="897">
        <f t="shared" si="0"/>
        <v>0</v>
      </c>
    </row>
    <row r="65" spans="1:87" ht="72.75" customHeight="1">
      <c r="A65" s="1434" t="s">
        <v>4172</v>
      </c>
      <c r="B65" s="390" t="s">
        <v>544</v>
      </c>
      <c r="C65" s="390" t="s">
        <v>545</v>
      </c>
      <c r="D65" s="908" t="s">
        <v>65</v>
      </c>
      <c r="E65" s="1171" t="s">
        <v>91</v>
      </c>
      <c r="F65" s="2209">
        <v>150</v>
      </c>
      <c r="G65" s="392">
        <v>134</v>
      </c>
      <c r="H65" s="3939"/>
      <c r="I65" s="3936"/>
      <c r="J65" s="3936"/>
      <c r="K65" s="3936"/>
      <c r="L65" s="3930"/>
      <c r="M65" s="3933"/>
      <c r="N65" s="3930"/>
      <c r="O65" s="3924"/>
      <c r="P65" s="367"/>
      <c r="Q65" s="3052" t="s">
        <v>5886</v>
      </c>
      <c r="R65" s="3933"/>
      <c r="BB65" s="1513"/>
      <c r="BC65" s="1513">
        <f>+(7*10248*12)*105%/100000</f>
        <v>9.0387360000000001</v>
      </c>
      <c r="BD65" s="1513">
        <f>+(11*10248*12)*105%/100000</f>
        <v>14.203728</v>
      </c>
      <c r="BE65" s="1513">
        <f>+(10*10248*12)*105%/100000</f>
        <v>12.91248</v>
      </c>
      <c r="BF65" s="1513">
        <f>+(32*10248*12)*105%/100000</f>
        <v>41.319935999999998</v>
      </c>
      <c r="BG65" s="1513">
        <f>+(2*10248*12)*105%/100000</f>
        <v>2.5824959999999999</v>
      </c>
      <c r="BH65" s="1513">
        <f>+(9*10248*12)*105%/100000</f>
        <v>11.621231999999999</v>
      </c>
      <c r="BI65" s="1513">
        <f>+(1*10248*12)*105%/100000</f>
        <v>1.291248</v>
      </c>
      <c r="BJ65" s="1513">
        <f>+(19*10248*12)*105%/100000</f>
        <v>24.533712000000001</v>
      </c>
      <c r="BK65" s="1513">
        <f>+(11*10248*12)*105%/100000</f>
        <v>14.203728</v>
      </c>
      <c r="BL65" s="1513">
        <f>+(11*10248*12)*105%/100000</f>
        <v>14.203728</v>
      </c>
      <c r="BM65" s="1513">
        <f>+(7*10248*12)*105%/100000</f>
        <v>9.0387360000000001</v>
      </c>
      <c r="BN65" s="1513">
        <f>+(10*10248*12)*105%/100000</f>
        <v>12.91248</v>
      </c>
      <c r="BO65" s="1513"/>
      <c r="BP65" s="1513"/>
      <c r="BQ65" s="1513"/>
      <c r="BR65" s="1513"/>
      <c r="BS65" s="1513"/>
      <c r="BT65" s="1513"/>
      <c r="BU65" s="1513"/>
      <c r="BV65" s="1513"/>
      <c r="BW65" s="1513"/>
      <c r="BX65" s="1513"/>
      <c r="BY65" s="1513"/>
      <c r="BZ65" s="1513"/>
      <c r="CA65" s="1513"/>
      <c r="CB65" s="1513"/>
      <c r="CC65" s="1513"/>
      <c r="CD65" s="1513"/>
      <c r="CE65" s="1513"/>
      <c r="CF65" s="1513"/>
      <c r="CG65" s="1513"/>
      <c r="CH65" s="1513"/>
      <c r="CI65" s="897">
        <f t="shared" si="0"/>
        <v>167.86224000000001</v>
      </c>
    </row>
    <row r="66" spans="1:87" ht="69.75" customHeight="1">
      <c r="A66" s="1434" t="s">
        <v>4173</v>
      </c>
      <c r="B66" s="390" t="s">
        <v>546</v>
      </c>
      <c r="C66" s="390" t="s">
        <v>547</v>
      </c>
      <c r="D66" s="908" t="s">
        <v>65</v>
      </c>
      <c r="E66" s="1171" t="s">
        <v>91</v>
      </c>
      <c r="F66" s="2209">
        <v>150</v>
      </c>
      <c r="G66" s="392">
        <v>112</v>
      </c>
      <c r="H66" s="3940"/>
      <c r="I66" s="3937"/>
      <c r="J66" s="3937"/>
      <c r="K66" s="3937"/>
      <c r="L66" s="3931"/>
      <c r="M66" s="3934"/>
      <c r="N66" s="3931"/>
      <c r="O66" s="3925"/>
      <c r="P66" s="367"/>
      <c r="Q66" s="3053" t="s">
        <v>5885</v>
      </c>
      <c r="R66" s="3934"/>
      <c r="BB66" s="1513"/>
      <c r="BC66" s="1513">
        <f>+(7*10484*12)*105%/100000</f>
        <v>9.2468880000000002</v>
      </c>
      <c r="BD66" s="1513">
        <f>+(9*10484*12)*105%/100000</f>
        <v>11.888856000000001</v>
      </c>
      <c r="BE66" s="1513">
        <f>+(11*10484*12)*105%/100000</f>
        <v>14.530824000000001</v>
      </c>
      <c r="BF66" s="1513">
        <f>+(27*10484*12)*105%/100000</f>
        <v>35.666568000000005</v>
      </c>
      <c r="BG66" s="1513">
        <f>+(2*10484*12)*105%/100000</f>
        <v>2.6419679999999999</v>
      </c>
      <c r="BH66" s="1513">
        <f>+(9*10484*12)*105%/100000</f>
        <v>11.888856000000001</v>
      </c>
      <c r="BI66" s="1513">
        <f>+(2*10484*12)*105%/100000</f>
        <v>2.6419679999999999</v>
      </c>
      <c r="BJ66" s="1513">
        <f>(18*10484*12)*105%/100000</f>
        <v>23.777712000000001</v>
      </c>
      <c r="BK66" s="1513">
        <f>+(8*10484*12)*105%/100000</f>
        <v>10.567871999999999</v>
      </c>
      <c r="BL66" s="1513">
        <f>+(8*10484*12)*105%/100000</f>
        <v>10.567871999999999</v>
      </c>
      <c r="BM66" s="1513">
        <f>+(4*10484*12)*105%/100000</f>
        <v>5.2839359999999997</v>
      </c>
      <c r="BN66" s="1513">
        <f>+(10*10484*12)*105%/100000</f>
        <v>13.20984</v>
      </c>
      <c r="BO66" s="1513"/>
      <c r="BP66" s="1513"/>
      <c r="BQ66" s="1513"/>
      <c r="BR66" s="1513"/>
      <c r="BS66" s="1513"/>
      <c r="BT66" s="1513"/>
      <c r="BU66" s="1513"/>
      <c r="BV66" s="1513"/>
      <c r="BW66" s="1513"/>
      <c r="BX66" s="1513"/>
      <c r="BY66" s="1513"/>
      <c r="BZ66" s="1513"/>
      <c r="CA66" s="1513"/>
      <c r="CB66" s="1513"/>
      <c r="CC66" s="1513"/>
      <c r="CD66" s="1513"/>
      <c r="CE66" s="1513"/>
      <c r="CF66" s="1513"/>
      <c r="CG66" s="1513"/>
      <c r="CH66" s="1513"/>
      <c r="CI66" s="897">
        <f t="shared" si="0"/>
        <v>151.91316</v>
      </c>
    </row>
    <row r="67" spans="1:87" ht="63.75">
      <c r="A67" s="1429" t="s">
        <v>537</v>
      </c>
      <c r="B67" s="1430" t="s">
        <v>548</v>
      </c>
      <c r="C67" s="1429" t="s">
        <v>549</v>
      </c>
      <c r="D67" s="1431" t="s">
        <v>65</v>
      </c>
      <c r="E67" s="1431" t="s">
        <v>91</v>
      </c>
      <c r="F67" s="278"/>
      <c r="G67" s="278"/>
      <c r="H67" s="278"/>
      <c r="I67" s="278"/>
      <c r="J67" s="278"/>
      <c r="K67" s="278"/>
      <c r="L67" s="278"/>
      <c r="M67" s="1445"/>
      <c r="N67" s="278"/>
      <c r="O67" s="2907">
        <f>SUM(O68:O79)</f>
        <v>44.839799999999997</v>
      </c>
      <c r="P67" s="383"/>
      <c r="Q67" s="3068" t="s">
        <v>5887</v>
      </c>
      <c r="R67" s="143">
        <f>SUM(R68:R79)</f>
        <v>44.839799999999997</v>
      </c>
      <c r="U67" s="3132"/>
      <c r="BB67" s="1513"/>
      <c r="BC67" s="1513"/>
      <c r="BD67" s="1513"/>
      <c r="BE67" s="1513"/>
      <c r="BF67" s="1513"/>
      <c r="BG67" s="1513"/>
      <c r="BH67" s="1513"/>
      <c r="BI67" s="1513"/>
      <c r="BJ67" s="1513"/>
      <c r="BK67" s="1513"/>
      <c r="BL67" s="1513"/>
      <c r="BM67" s="1513"/>
      <c r="BN67" s="1513"/>
      <c r="BO67" s="1513"/>
      <c r="BP67" s="1513"/>
      <c r="BQ67" s="1513"/>
      <c r="BR67" s="1513"/>
      <c r="BS67" s="1513"/>
      <c r="BT67" s="1513"/>
      <c r="BU67" s="1513"/>
      <c r="BV67" s="1513"/>
      <c r="BW67" s="1513"/>
      <c r="BX67" s="1513"/>
      <c r="BY67" s="1513"/>
      <c r="BZ67" s="1513"/>
      <c r="CA67" s="1513"/>
      <c r="CB67" s="1513"/>
      <c r="CC67" s="1513"/>
      <c r="CD67" s="1513"/>
      <c r="CE67" s="1513"/>
      <c r="CF67" s="1513"/>
      <c r="CG67" s="1513"/>
      <c r="CH67" s="1513"/>
      <c r="CI67" s="897">
        <f t="shared" si="0"/>
        <v>0</v>
      </c>
    </row>
    <row r="68" spans="1:87" ht="38.25">
      <c r="A68" s="1434" t="s">
        <v>4174</v>
      </c>
      <c r="B68" s="390" t="s">
        <v>550</v>
      </c>
      <c r="C68" s="390" t="s">
        <v>551</v>
      </c>
      <c r="D68" s="908" t="s">
        <v>65</v>
      </c>
      <c r="E68" s="1171" t="s">
        <v>91</v>
      </c>
      <c r="F68" s="2209">
        <v>0</v>
      </c>
      <c r="G68" s="392"/>
      <c r="H68" s="3938">
        <v>56.11</v>
      </c>
      <c r="I68" s="3949">
        <v>2.2000000000000002</v>
      </c>
      <c r="J68" s="3935">
        <v>5</v>
      </c>
      <c r="K68" s="3935"/>
      <c r="L68" s="3929">
        <v>124555</v>
      </c>
      <c r="M68" s="3932">
        <f>L68/100000</f>
        <v>1.2455499999999999</v>
      </c>
      <c r="N68" s="3929">
        <v>36</v>
      </c>
      <c r="O68" s="3923">
        <f>M68*N68</f>
        <v>44.839799999999997</v>
      </c>
      <c r="P68" s="628"/>
      <c r="Q68" s="3061" t="s">
        <v>5888</v>
      </c>
      <c r="R68" s="3932">
        <v>44.839799999999997</v>
      </c>
      <c r="U68" s="3132"/>
      <c r="BB68" s="1513">
        <v>44.84</v>
      </c>
      <c r="BC68" s="1513"/>
      <c r="BD68" s="1513"/>
      <c r="BE68" s="1513"/>
      <c r="BF68" s="1513"/>
      <c r="BG68" s="1513"/>
      <c r="BH68" s="1513"/>
      <c r="BI68" s="1513"/>
      <c r="BJ68" s="1513"/>
      <c r="BK68" s="1513"/>
      <c r="BL68" s="1513"/>
      <c r="BM68" s="1513"/>
      <c r="BN68" s="1513"/>
      <c r="BO68" s="1513"/>
      <c r="BP68" s="1513"/>
      <c r="BQ68" s="1513"/>
      <c r="BR68" s="1513"/>
      <c r="BS68" s="1513"/>
      <c r="BT68" s="1513"/>
      <c r="BU68" s="1513"/>
      <c r="BV68" s="1513"/>
      <c r="BW68" s="1513"/>
      <c r="BX68" s="1513"/>
      <c r="BY68" s="1513"/>
      <c r="BZ68" s="1513"/>
      <c r="CA68" s="1513"/>
      <c r="CB68" s="1513"/>
      <c r="CC68" s="1513"/>
      <c r="CD68" s="1513"/>
      <c r="CE68" s="1513"/>
      <c r="CF68" s="1513"/>
      <c r="CG68" s="1513"/>
      <c r="CH68" s="1513"/>
      <c r="CI68" s="897">
        <f t="shared" si="0"/>
        <v>44.84</v>
      </c>
    </row>
    <row r="69" spans="1:87" ht="51">
      <c r="A69" s="1434" t="s">
        <v>4175</v>
      </c>
      <c r="B69" s="390" t="s">
        <v>552</v>
      </c>
      <c r="C69" s="390" t="s">
        <v>553</v>
      </c>
      <c r="D69" s="908" t="s">
        <v>65</v>
      </c>
      <c r="E69" s="1171" t="s">
        <v>91</v>
      </c>
      <c r="F69" s="2209">
        <v>2</v>
      </c>
      <c r="G69" s="392">
        <v>0</v>
      </c>
      <c r="H69" s="3939"/>
      <c r="I69" s="3950"/>
      <c r="J69" s="3936"/>
      <c r="K69" s="3936"/>
      <c r="L69" s="3930"/>
      <c r="M69" s="3933"/>
      <c r="N69" s="3930"/>
      <c r="O69" s="3924"/>
      <c r="P69" s="628"/>
      <c r="Q69" s="3061" t="s">
        <v>5890</v>
      </c>
      <c r="R69" s="3933"/>
      <c r="BB69" s="1513"/>
      <c r="BC69" s="1513"/>
      <c r="BD69" s="1513"/>
      <c r="BE69" s="1513"/>
      <c r="BF69" s="1513"/>
      <c r="BG69" s="1513"/>
      <c r="BH69" s="1513"/>
      <c r="BI69" s="1513"/>
      <c r="BJ69" s="1513"/>
      <c r="BK69" s="1513"/>
      <c r="BL69" s="1513"/>
      <c r="BM69" s="1513"/>
      <c r="BN69" s="1513"/>
      <c r="BO69" s="1513"/>
      <c r="BP69" s="1513"/>
      <c r="BQ69" s="1513"/>
      <c r="BR69" s="1513"/>
      <c r="BS69" s="1513"/>
      <c r="BT69" s="1513"/>
      <c r="BU69" s="1513"/>
      <c r="BV69" s="1513"/>
      <c r="BW69" s="1513"/>
      <c r="BX69" s="1513"/>
      <c r="BY69" s="1513"/>
      <c r="BZ69" s="1513"/>
      <c r="CA69" s="1513"/>
      <c r="CB69" s="1513"/>
      <c r="CC69" s="1513"/>
      <c r="CD69" s="1513"/>
      <c r="CE69" s="1513"/>
      <c r="CF69" s="1513"/>
      <c r="CG69" s="1513"/>
      <c r="CH69" s="1513"/>
      <c r="CI69" s="897">
        <f t="shared" si="0"/>
        <v>0</v>
      </c>
    </row>
    <row r="70" spans="1:87" ht="51">
      <c r="A70" s="1434" t="s">
        <v>4176</v>
      </c>
      <c r="B70" s="390" t="s">
        <v>554</v>
      </c>
      <c r="C70" s="390" t="s">
        <v>555</v>
      </c>
      <c r="D70" s="908" t="s">
        <v>65</v>
      </c>
      <c r="E70" s="1171" t="s">
        <v>91</v>
      </c>
      <c r="F70" s="2209">
        <v>1</v>
      </c>
      <c r="G70" s="392">
        <v>1</v>
      </c>
      <c r="H70" s="3939"/>
      <c r="I70" s="3950"/>
      <c r="J70" s="3936"/>
      <c r="K70" s="3936"/>
      <c r="L70" s="3930"/>
      <c r="M70" s="3933"/>
      <c r="N70" s="3930"/>
      <c r="O70" s="3924"/>
      <c r="P70" s="367"/>
      <c r="Q70" s="3061" t="s">
        <v>5784</v>
      </c>
      <c r="R70" s="3933"/>
      <c r="BB70" s="1513"/>
      <c r="BC70" s="1513"/>
      <c r="BD70" s="1513"/>
      <c r="BE70" s="1513"/>
      <c r="BF70" s="1513"/>
      <c r="BG70" s="1513"/>
      <c r="BH70" s="1513"/>
      <c r="BI70" s="1513"/>
      <c r="BJ70" s="1513"/>
      <c r="BK70" s="1513"/>
      <c r="BL70" s="1513"/>
      <c r="BM70" s="1513"/>
      <c r="BN70" s="1513"/>
      <c r="BO70" s="1513"/>
      <c r="BP70" s="1513"/>
      <c r="BQ70" s="1513"/>
      <c r="BR70" s="1513"/>
      <c r="BS70" s="1513"/>
      <c r="BT70" s="1513"/>
      <c r="BU70" s="1513"/>
      <c r="BV70" s="1513"/>
      <c r="BW70" s="1513"/>
      <c r="BX70" s="1513"/>
      <c r="BY70" s="1513"/>
      <c r="BZ70" s="1513"/>
      <c r="CA70" s="1513"/>
      <c r="CB70" s="1513"/>
      <c r="CC70" s="1513"/>
      <c r="CD70" s="1513"/>
      <c r="CE70" s="1513"/>
      <c r="CF70" s="1513"/>
      <c r="CG70" s="1513"/>
      <c r="CH70" s="1513"/>
      <c r="CI70" s="897">
        <f t="shared" si="0"/>
        <v>0</v>
      </c>
    </row>
    <row r="71" spans="1:87" ht="51">
      <c r="A71" s="1434" t="s">
        <v>4177</v>
      </c>
      <c r="B71" s="390" t="s">
        <v>556</v>
      </c>
      <c r="C71" s="390" t="s">
        <v>543</v>
      </c>
      <c r="D71" s="908" t="s">
        <v>65</v>
      </c>
      <c r="E71" s="1171" t="s">
        <v>91</v>
      </c>
      <c r="F71" s="2209">
        <v>2</v>
      </c>
      <c r="G71" s="392">
        <v>0</v>
      </c>
      <c r="H71" s="3939"/>
      <c r="I71" s="3950"/>
      <c r="J71" s="3936"/>
      <c r="K71" s="3936"/>
      <c r="L71" s="3930"/>
      <c r="M71" s="3933"/>
      <c r="N71" s="3930"/>
      <c r="O71" s="3924"/>
      <c r="P71" s="367"/>
      <c r="Q71" s="3061" t="s">
        <v>5889</v>
      </c>
      <c r="R71" s="3933"/>
      <c r="BB71" s="1513"/>
      <c r="BC71" s="1513"/>
      <c r="BD71" s="1513"/>
      <c r="BE71" s="1513"/>
      <c r="BF71" s="1513"/>
      <c r="BG71" s="1513"/>
      <c r="BH71" s="1513"/>
      <c r="BI71" s="1513"/>
      <c r="BJ71" s="1513"/>
      <c r="BK71" s="1513"/>
      <c r="BL71" s="1513"/>
      <c r="BM71" s="1513"/>
      <c r="BN71" s="1513"/>
      <c r="BO71" s="1513"/>
      <c r="BP71" s="1513"/>
      <c r="BQ71" s="1513"/>
      <c r="BR71" s="1513"/>
      <c r="BS71" s="1513"/>
      <c r="BT71" s="1513"/>
      <c r="BU71" s="1513"/>
      <c r="BV71" s="1513"/>
      <c r="BW71" s="1513"/>
      <c r="BX71" s="1513"/>
      <c r="BY71" s="1513"/>
      <c r="BZ71" s="1513"/>
      <c r="CA71" s="1513"/>
      <c r="CB71" s="1513"/>
      <c r="CC71" s="1513"/>
      <c r="CD71" s="1513"/>
      <c r="CE71" s="1513"/>
      <c r="CF71" s="1513"/>
      <c r="CG71" s="1513"/>
      <c r="CH71" s="1513"/>
      <c r="CI71" s="897">
        <f t="shared" si="0"/>
        <v>0</v>
      </c>
    </row>
    <row r="72" spans="1:87" ht="76.5">
      <c r="A72" s="1434" t="s">
        <v>4178</v>
      </c>
      <c r="B72" s="390" t="s">
        <v>557</v>
      </c>
      <c r="C72" s="390" t="s">
        <v>558</v>
      </c>
      <c r="D72" s="908" t="s">
        <v>65</v>
      </c>
      <c r="E72" s="1171" t="s">
        <v>91</v>
      </c>
      <c r="F72" s="2209">
        <v>5</v>
      </c>
      <c r="G72" s="392">
        <v>0</v>
      </c>
      <c r="H72" s="3939"/>
      <c r="I72" s="3950"/>
      <c r="J72" s="3936"/>
      <c r="K72" s="3936"/>
      <c r="L72" s="3930"/>
      <c r="M72" s="3933"/>
      <c r="N72" s="3930"/>
      <c r="O72" s="3924"/>
      <c r="P72" s="628"/>
      <c r="Q72" s="3107" t="s">
        <v>5926</v>
      </c>
      <c r="R72" s="3933"/>
      <c r="BB72" s="1513"/>
      <c r="BC72" s="1513"/>
      <c r="BD72" s="1513"/>
      <c r="BE72" s="1513"/>
      <c r="BF72" s="1513"/>
      <c r="BG72" s="1513"/>
      <c r="BH72" s="1513"/>
      <c r="BI72" s="1513"/>
      <c r="BJ72" s="1513"/>
      <c r="BK72" s="1513"/>
      <c r="BL72" s="1513"/>
      <c r="BM72" s="1513"/>
      <c r="BN72" s="1513"/>
      <c r="BO72" s="1513"/>
      <c r="BP72" s="1513"/>
      <c r="BQ72" s="1513"/>
      <c r="BR72" s="1513"/>
      <c r="BS72" s="1513"/>
      <c r="BT72" s="1513"/>
      <c r="BU72" s="1513"/>
      <c r="BV72" s="1513"/>
      <c r="BW72" s="1513"/>
      <c r="BX72" s="1513"/>
      <c r="BY72" s="1513"/>
      <c r="BZ72" s="1513"/>
      <c r="CA72" s="1513"/>
      <c r="CB72" s="1513"/>
      <c r="CC72" s="1513"/>
      <c r="CD72" s="1513"/>
      <c r="CE72" s="1513"/>
      <c r="CF72" s="1513"/>
      <c r="CG72" s="1513"/>
      <c r="CH72" s="1513"/>
      <c r="CI72" s="897">
        <f t="shared" ref="CI72:CI135" si="2">SUM(BB72:CH72)</f>
        <v>0</v>
      </c>
    </row>
    <row r="73" spans="1:87" ht="76.5">
      <c r="A73" s="1434" t="s">
        <v>4179</v>
      </c>
      <c r="B73" s="390" t="s">
        <v>559</v>
      </c>
      <c r="C73" s="390" t="s">
        <v>560</v>
      </c>
      <c r="D73" s="908" t="s">
        <v>65</v>
      </c>
      <c r="E73" s="1171" t="s">
        <v>91</v>
      </c>
      <c r="F73" s="2209">
        <v>5</v>
      </c>
      <c r="G73" s="392">
        <v>0</v>
      </c>
      <c r="H73" s="3939"/>
      <c r="I73" s="3950"/>
      <c r="J73" s="3936"/>
      <c r="K73" s="3936"/>
      <c r="L73" s="3930"/>
      <c r="M73" s="3933"/>
      <c r="N73" s="3930"/>
      <c r="O73" s="3924"/>
      <c r="P73" s="628"/>
      <c r="Q73" s="3107" t="s">
        <v>5926</v>
      </c>
      <c r="R73" s="3933"/>
      <c r="BB73" s="1513"/>
      <c r="BC73" s="1513"/>
      <c r="BD73" s="1513"/>
      <c r="BE73" s="1513"/>
      <c r="BF73" s="1513"/>
      <c r="BG73" s="1513"/>
      <c r="BH73" s="1513"/>
      <c r="BI73" s="1513"/>
      <c r="BJ73" s="1513"/>
      <c r="BK73" s="1513"/>
      <c r="BL73" s="1513"/>
      <c r="BM73" s="1513"/>
      <c r="BN73" s="1513"/>
      <c r="BO73" s="1513"/>
      <c r="BP73" s="1513"/>
      <c r="BQ73" s="1513"/>
      <c r="BR73" s="1513"/>
      <c r="BS73" s="1513"/>
      <c r="BT73" s="1513"/>
      <c r="BU73" s="1513"/>
      <c r="BV73" s="1513"/>
      <c r="BW73" s="1513"/>
      <c r="BX73" s="1513"/>
      <c r="BY73" s="1513"/>
      <c r="BZ73" s="1513"/>
      <c r="CA73" s="1513"/>
      <c r="CB73" s="1513"/>
      <c r="CC73" s="1513"/>
      <c r="CD73" s="1513"/>
      <c r="CE73" s="1513"/>
      <c r="CF73" s="1513"/>
      <c r="CG73" s="1513"/>
      <c r="CH73" s="1513"/>
      <c r="CI73" s="897">
        <f t="shared" si="2"/>
        <v>0</v>
      </c>
    </row>
    <row r="74" spans="1:87" s="2689" customFormat="1" ht="79.5" customHeight="1">
      <c r="A74" s="2701" t="s">
        <v>4180</v>
      </c>
      <c r="B74" s="2684" t="s">
        <v>561</v>
      </c>
      <c r="C74" s="2684" t="s">
        <v>562</v>
      </c>
      <c r="D74" s="2685" t="s">
        <v>65</v>
      </c>
      <c r="E74" s="2686" t="s">
        <v>91</v>
      </c>
      <c r="F74" s="2687">
        <v>5</v>
      </c>
      <c r="G74" s="2688">
        <v>0</v>
      </c>
      <c r="H74" s="3939"/>
      <c r="I74" s="3950"/>
      <c r="J74" s="3936"/>
      <c r="K74" s="3936"/>
      <c r="L74" s="3930"/>
      <c r="M74" s="3933"/>
      <c r="N74" s="3930"/>
      <c r="O74" s="3924"/>
      <c r="P74" s="2690"/>
      <c r="Q74" s="3295" t="s">
        <v>5926</v>
      </c>
      <c r="R74" s="3933"/>
      <c r="BB74" s="3256"/>
      <c r="BC74" s="3256"/>
      <c r="BD74" s="3256"/>
      <c r="BE74" s="3256"/>
      <c r="BF74" s="3256"/>
      <c r="BG74" s="3256"/>
      <c r="BH74" s="3256"/>
      <c r="BI74" s="3256"/>
      <c r="BJ74" s="3256"/>
      <c r="BK74" s="3256"/>
      <c r="BL74" s="3256"/>
      <c r="BM74" s="3256"/>
      <c r="BN74" s="3256"/>
      <c r="BO74" s="3256"/>
      <c r="BP74" s="3256"/>
      <c r="BQ74" s="3256"/>
      <c r="BR74" s="3256"/>
      <c r="BS74" s="3256"/>
      <c r="BT74" s="3256"/>
      <c r="BU74" s="3256"/>
      <c r="BV74" s="3256"/>
      <c r="BW74" s="3256"/>
      <c r="BX74" s="3256"/>
      <c r="BY74" s="3256"/>
      <c r="BZ74" s="3256"/>
      <c r="CA74" s="3256"/>
      <c r="CB74" s="3256"/>
      <c r="CC74" s="3256"/>
      <c r="CD74" s="3256"/>
      <c r="CE74" s="3256"/>
      <c r="CF74" s="3256"/>
      <c r="CG74" s="3256"/>
      <c r="CH74" s="3256"/>
      <c r="CI74" s="897">
        <f t="shared" si="2"/>
        <v>0</v>
      </c>
    </row>
    <row r="75" spans="1:87" ht="76.5">
      <c r="A75" s="1434" t="s">
        <v>4181</v>
      </c>
      <c r="B75" s="390" t="s">
        <v>563</v>
      </c>
      <c r="C75" s="390" t="s">
        <v>564</v>
      </c>
      <c r="D75" s="908" t="s">
        <v>65</v>
      </c>
      <c r="E75" s="1171" t="s">
        <v>91</v>
      </c>
      <c r="F75" s="2209">
        <v>5</v>
      </c>
      <c r="G75" s="392">
        <v>0</v>
      </c>
      <c r="H75" s="3939"/>
      <c r="I75" s="3950"/>
      <c r="J75" s="3936"/>
      <c r="K75" s="3936"/>
      <c r="L75" s="3930"/>
      <c r="M75" s="3933"/>
      <c r="N75" s="3930"/>
      <c r="O75" s="3924"/>
      <c r="P75" s="628"/>
      <c r="Q75" s="3107" t="s">
        <v>5926</v>
      </c>
      <c r="R75" s="3933"/>
      <c r="BB75" s="1513"/>
      <c r="BC75" s="1513"/>
      <c r="BD75" s="1513"/>
      <c r="BE75" s="1513"/>
      <c r="BF75" s="1513"/>
      <c r="BG75" s="1513"/>
      <c r="BH75" s="1513"/>
      <c r="BI75" s="1513"/>
      <c r="BJ75" s="1513"/>
      <c r="BK75" s="1513"/>
      <c r="BL75" s="1513"/>
      <c r="BM75" s="1513"/>
      <c r="BN75" s="1513"/>
      <c r="BO75" s="1513"/>
      <c r="BP75" s="1513"/>
      <c r="BQ75" s="1513"/>
      <c r="BR75" s="1513"/>
      <c r="BS75" s="1513"/>
      <c r="BT75" s="1513"/>
      <c r="BU75" s="1513"/>
      <c r="BV75" s="1513"/>
      <c r="BW75" s="1513"/>
      <c r="BX75" s="1513"/>
      <c r="BY75" s="1513"/>
      <c r="BZ75" s="1513"/>
      <c r="CA75" s="1513"/>
      <c r="CB75" s="1513"/>
      <c r="CC75" s="1513"/>
      <c r="CD75" s="1513"/>
      <c r="CE75" s="1513"/>
      <c r="CF75" s="1513"/>
      <c r="CG75" s="1513"/>
      <c r="CH75" s="1513"/>
      <c r="CI75" s="897">
        <f t="shared" si="2"/>
        <v>0</v>
      </c>
    </row>
    <row r="76" spans="1:87" ht="76.5">
      <c r="A76" s="1434" t="s">
        <v>4182</v>
      </c>
      <c r="B76" s="390" t="s">
        <v>565</v>
      </c>
      <c r="C76" s="390" t="s">
        <v>566</v>
      </c>
      <c r="D76" s="908" t="s">
        <v>65</v>
      </c>
      <c r="E76" s="1171" t="s">
        <v>91</v>
      </c>
      <c r="F76" s="2209">
        <v>5</v>
      </c>
      <c r="G76" s="392">
        <v>0</v>
      </c>
      <c r="H76" s="3939"/>
      <c r="I76" s="3950"/>
      <c r="J76" s="3936"/>
      <c r="K76" s="3936"/>
      <c r="L76" s="3930"/>
      <c r="M76" s="3933"/>
      <c r="N76" s="3930"/>
      <c r="O76" s="3924"/>
      <c r="P76" s="367"/>
      <c r="Q76" s="3107" t="s">
        <v>5926</v>
      </c>
      <c r="R76" s="3933"/>
      <c r="BB76" s="1513"/>
      <c r="BC76" s="1513"/>
      <c r="BD76" s="1513"/>
      <c r="BE76" s="1513"/>
      <c r="BF76" s="1513"/>
      <c r="BG76" s="1513"/>
      <c r="BH76" s="1513"/>
      <c r="BI76" s="1513"/>
      <c r="BJ76" s="1513"/>
      <c r="BK76" s="1513"/>
      <c r="BL76" s="1513"/>
      <c r="BM76" s="1513"/>
      <c r="BN76" s="1513"/>
      <c r="BO76" s="1513"/>
      <c r="BP76" s="1513"/>
      <c r="BQ76" s="1513"/>
      <c r="BR76" s="1513"/>
      <c r="BS76" s="1513"/>
      <c r="BT76" s="1513"/>
      <c r="BU76" s="1513"/>
      <c r="BV76" s="1513"/>
      <c r="BW76" s="1513"/>
      <c r="BX76" s="1513"/>
      <c r="BY76" s="1513"/>
      <c r="BZ76" s="1513"/>
      <c r="CA76" s="1513"/>
      <c r="CB76" s="1513"/>
      <c r="CC76" s="1513"/>
      <c r="CD76" s="1513"/>
      <c r="CE76" s="1513"/>
      <c r="CF76" s="1513"/>
      <c r="CG76" s="1513"/>
      <c r="CH76" s="1513"/>
      <c r="CI76" s="897">
        <f t="shared" si="2"/>
        <v>0</v>
      </c>
    </row>
    <row r="77" spans="1:87" ht="76.5">
      <c r="A77" s="1434" t="s">
        <v>4183</v>
      </c>
      <c r="B77" s="390" t="s">
        <v>567</v>
      </c>
      <c r="C77" s="390" t="s">
        <v>568</v>
      </c>
      <c r="D77" s="908" t="s">
        <v>65</v>
      </c>
      <c r="E77" s="1171" t="s">
        <v>91</v>
      </c>
      <c r="F77" s="2209">
        <v>0</v>
      </c>
      <c r="G77" s="392"/>
      <c r="H77" s="3939"/>
      <c r="I77" s="3950"/>
      <c r="J77" s="3936"/>
      <c r="K77" s="3936"/>
      <c r="L77" s="3930"/>
      <c r="M77" s="3933"/>
      <c r="N77" s="3930"/>
      <c r="O77" s="3924"/>
      <c r="P77" s="628"/>
      <c r="Q77" s="3107" t="s">
        <v>5927</v>
      </c>
      <c r="R77" s="3933"/>
      <c r="BB77" s="1513"/>
      <c r="BC77" s="1513"/>
      <c r="BD77" s="1513"/>
      <c r="BE77" s="1513"/>
      <c r="BF77" s="1513"/>
      <c r="BG77" s="1513"/>
      <c r="BH77" s="1513"/>
      <c r="BI77" s="1513"/>
      <c r="BJ77" s="1513"/>
      <c r="BK77" s="1513"/>
      <c r="BL77" s="1513"/>
      <c r="BM77" s="1513"/>
      <c r="BN77" s="1513"/>
      <c r="BO77" s="1513"/>
      <c r="BP77" s="1513"/>
      <c r="BQ77" s="1513"/>
      <c r="BR77" s="1513"/>
      <c r="BS77" s="1513"/>
      <c r="BT77" s="1513"/>
      <c r="BU77" s="1513"/>
      <c r="BV77" s="1513"/>
      <c r="BW77" s="1513"/>
      <c r="BX77" s="1513"/>
      <c r="BY77" s="1513"/>
      <c r="BZ77" s="1513"/>
      <c r="CA77" s="1513"/>
      <c r="CB77" s="1513"/>
      <c r="CC77" s="1513"/>
      <c r="CD77" s="1513"/>
      <c r="CE77" s="1513"/>
      <c r="CF77" s="1513"/>
      <c r="CG77" s="1513"/>
      <c r="CH77" s="1513"/>
      <c r="CI77" s="897">
        <f t="shared" si="2"/>
        <v>0</v>
      </c>
    </row>
    <row r="78" spans="1:87" ht="45">
      <c r="A78" s="1434" t="s">
        <v>4184</v>
      </c>
      <c r="B78" s="390" t="s">
        <v>569</v>
      </c>
      <c r="C78" s="390" t="s">
        <v>570</v>
      </c>
      <c r="D78" s="908" t="s">
        <v>65</v>
      </c>
      <c r="E78" s="1171" t="s">
        <v>91</v>
      </c>
      <c r="F78" s="2209">
        <v>0</v>
      </c>
      <c r="G78" s="392"/>
      <c r="H78" s="3939"/>
      <c r="I78" s="3950"/>
      <c r="J78" s="3936"/>
      <c r="K78" s="3936"/>
      <c r="L78" s="3930"/>
      <c r="M78" s="3933"/>
      <c r="N78" s="3930"/>
      <c r="O78" s="3924"/>
      <c r="P78" s="628"/>
      <c r="Q78" s="3077" t="s">
        <v>5891</v>
      </c>
      <c r="R78" s="3933"/>
      <c r="BB78" s="1513"/>
      <c r="BC78" s="1513"/>
      <c r="BD78" s="1513"/>
      <c r="BE78" s="1513"/>
      <c r="BF78" s="1513"/>
      <c r="BG78" s="1513"/>
      <c r="BH78" s="1513"/>
      <c r="BI78" s="1513"/>
      <c r="BJ78" s="1513"/>
      <c r="BK78" s="1513"/>
      <c r="BL78" s="1513"/>
      <c r="BM78" s="1513"/>
      <c r="BN78" s="1513"/>
      <c r="BO78" s="1513"/>
      <c r="BP78" s="1513"/>
      <c r="BQ78" s="1513"/>
      <c r="BR78" s="1513"/>
      <c r="BS78" s="1513"/>
      <c r="BT78" s="1513"/>
      <c r="BU78" s="1513"/>
      <c r="BV78" s="1513"/>
      <c r="BW78" s="1513"/>
      <c r="BX78" s="1513"/>
      <c r="BY78" s="1513"/>
      <c r="BZ78" s="1513"/>
      <c r="CA78" s="1513"/>
      <c r="CB78" s="1513"/>
      <c r="CC78" s="1513"/>
      <c r="CD78" s="1513"/>
      <c r="CE78" s="1513"/>
      <c r="CF78" s="1513"/>
      <c r="CG78" s="1513"/>
      <c r="CH78" s="1513"/>
      <c r="CI78" s="897">
        <f t="shared" si="2"/>
        <v>0</v>
      </c>
    </row>
    <row r="79" spans="1:87" ht="45">
      <c r="A79" s="1434" t="s">
        <v>4185</v>
      </c>
      <c r="B79" s="390" t="s">
        <v>571</v>
      </c>
      <c r="C79" s="390" t="s">
        <v>572</v>
      </c>
      <c r="D79" s="908" t="s">
        <v>65</v>
      </c>
      <c r="E79" s="1171" t="s">
        <v>91</v>
      </c>
      <c r="F79" s="2209">
        <v>0</v>
      </c>
      <c r="G79" s="392"/>
      <c r="H79" s="3940"/>
      <c r="I79" s="3951"/>
      <c r="J79" s="3937"/>
      <c r="K79" s="3937"/>
      <c r="L79" s="3931"/>
      <c r="M79" s="3934"/>
      <c r="N79" s="3931"/>
      <c r="O79" s="3925"/>
      <c r="P79" s="367"/>
      <c r="Q79" s="3077" t="s">
        <v>5891</v>
      </c>
      <c r="R79" s="3934"/>
      <c r="BB79" s="1513"/>
      <c r="BC79" s="1513"/>
      <c r="BD79" s="1513"/>
      <c r="BE79" s="1513"/>
      <c r="BF79" s="1513"/>
      <c r="BG79" s="1513"/>
      <c r="BH79" s="1513"/>
      <c r="BI79" s="1513"/>
      <c r="BJ79" s="1513"/>
      <c r="BK79" s="1513"/>
      <c r="BL79" s="1513"/>
      <c r="BM79" s="1513"/>
      <c r="BN79" s="1513"/>
      <c r="BO79" s="1513"/>
      <c r="BP79" s="1513"/>
      <c r="BQ79" s="1513"/>
      <c r="BR79" s="1513"/>
      <c r="BS79" s="1513"/>
      <c r="BT79" s="1513"/>
      <c r="BU79" s="1513"/>
      <c r="BV79" s="1513"/>
      <c r="BW79" s="1513"/>
      <c r="BX79" s="1513"/>
      <c r="BY79" s="1513"/>
      <c r="BZ79" s="1513"/>
      <c r="CA79" s="1513"/>
      <c r="CB79" s="1513"/>
      <c r="CC79" s="1513"/>
      <c r="CD79" s="1513"/>
      <c r="CE79" s="1513"/>
      <c r="CF79" s="1513"/>
      <c r="CG79" s="1513"/>
      <c r="CH79" s="1513"/>
      <c r="CI79" s="897">
        <f t="shared" si="2"/>
        <v>0</v>
      </c>
    </row>
    <row r="80" spans="1:87">
      <c r="A80" s="880" t="s">
        <v>573</v>
      </c>
      <c r="B80" s="936" t="s">
        <v>574</v>
      </c>
      <c r="C80" s="85" t="s">
        <v>575</v>
      </c>
      <c r="D80" s="997" t="s">
        <v>65</v>
      </c>
      <c r="E80" s="997" t="s">
        <v>3760</v>
      </c>
      <c r="F80" s="237"/>
      <c r="G80" s="237"/>
      <c r="H80" s="237"/>
      <c r="I80" s="237"/>
      <c r="J80" s="237"/>
      <c r="K80" s="237"/>
      <c r="L80" s="237"/>
      <c r="M80" s="1444"/>
      <c r="N80" s="51"/>
      <c r="O80" s="2905">
        <f>SUM(O81:O86)</f>
        <v>7.90998</v>
      </c>
      <c r="P80" s="97"/>
      <c r="Q80" s="3066"/>
      <c r="R80" s="116">
        <f>SUM(R81:R86)</f>
        <v>7.87</v>
      </c>
      <c r="U80" s="3132"/>
      <c r="BB80" s="1513"/>
      <c r="BC80" s="1513"/>
      <c r="BD80" s="1513"/>
      <c r="BE80" s="1513"/>
      <c r="BF80" s="1513"/>
      <c r="BG80" s="1513"/>
      <c r="BH80" s="1513"/>
      <c r="BI80" s="1513"/>
      <c r="BJ80" s="1513"/>
      <c r="BK80" s="1513"/>
      <c r="BL80" s="1513"/>
      <c r="BM80" s="1513"/>
      <c r="BN80" s="1513"/>
      <c r="BO80" s="1513"/>
      <c r="BP80" s="1513"/>
      <c r="BQ80" s="1513"/>
      <c r="BR80" s="1513"/>
      <c r="BS80" s="1513"/>
      <c r="BT80" s="1513"/>
      <c r="BU80" s="1513"/>
      <c r="BV80" s="1513"/>
      <c r="BW80" s="1513"/>
      <c r="BX80" s="1513"/>
      <c r="BY80" s="1513"/>
      <c r="BZ80" s="1513"/>
      <c r="CA80" s="1513"/>
      <c r="CB80" s="1513"/>
      <c r="CC80" s="1513"/>
      <c r="CD80" s="1513"/>
      <c r="CE80" s="1513"/>
      <c r="CF80" s="1513"/>
      <c r="CG80" s="1513"/>
      <c r="CH80" s="1513"/>
      <c r="CI80" s="897">
        <f t="shared" si="2"/>
        <v>0</v>
      </c>
    </row>
    <row r="81" spans="1:87">
      <c r="A81" s="390" t="s">
        <v>576</v>
      </c>
      <c r="B81" s="390" t="s">
        <v>577</v>
      </c>
      <c r="C81" s="390" t="s">
        <v>519</v>
      </c>
      <c r="D81" s="908" t="s">
        <v>65</v>
      </c>
      <c r="E81" s="1171" t="s">
        <v>3760</v>
      </c>
      <c r="F81" s="2210">
        <v>0</v>
      </c>
      <c r="G81" s="277"/>
      <c r="H81" s="3926">
        <v>7.28</v>
      </c>
      <c r="I81" s="3929"/>
      <c r="J81" s="3929">
        <v>7.28</v>
      </c>
      <c r="K81" s="3929"/>
      <c r="L81" s="3929">
        <v>131833</v>
      </c>
      <c r="M81" s="3932">
        <f>L81/100000</f>
        <v>1.31833</v>
      </c>
      <c r="N81" s="3929">
        <v>6</v>
      </c>
      <c r="O81" s="3923">
        <f>M81*N81</f>
        <v>7.90998</v>
      </c>
      <c r="P81" s="272"/>
      <c r="Q81" s="3061"/>
      <c r="R81" s="3932">
        <v>7.87</v>
      </c>
      <c r="U81" s="3132"/>
      <c r="BB81" s="1513"/>
      <c r="BC81" s="1513"/>
      <c r="BD81" s="1513"/>
      <c r="BE81" s="1513"/>
      <c r="BF81" s="1513"/>
      <c r="BG81" s="1513"/>
      <c r="BH81" s="1513"/>
      <c r="BI81" s="1513"/>
      <c r="BJ81" s="1513"/>
      <c r="BK81" s="1513"/>
      <c r="BL81" s="1513"/>
      <c r="BM81" s="1513"/>
      <c r="BN81" s="1513"/>
      <c r="BO81" s="1513"/>
      <c r="BP81" s="1513"/>
      <c r="BQ81" s="1513"/>
      <c r="BR81" s="1513"/>
      <c r="BS81" s="1513"/>
      <c r="BT81" s="1513"/>
      <c r="BU81" s="1513"/>
      <c r="BV81" s="1513"/>
      <c r="BW81" s="1513"/>
      <c r="BX81" s="1513"/>
      <c r="BY81" s="1513"/>
      <c r="BZ81" s="1513"/>
      <c r="CA81" s="1513"/>
      <c r="CB81" s="1513"/>
      <c r="CC81" s="1513"/>
      <c r="CD81" s="1513"/>
      <c r="CE81" s="1513"/>
      <c r="CF81" s="1513"/>
      <c r="CG81" s="1513"/>
      <c r="CH81" s="1513"/>
      <c r="CI81" s="897">
        <f t="shared" si="2"/>
        <v>0</v>
      </c>
    </row>
    <row r="82" spans="1:87">
      <c r="A82" s="390" t="s">
        <v>578</v>
      </c>
      <c r="B82" s="390" t="s">
        <v>579</v>
      </c>
      <c r="C82" s="390" t="s">
        <v>543</v>
      </c>
      <c r="D82" s="908" t="s">
        <v>65</v>
      </c>
      <c r="E82" s="1171" t="s">
        <v>3760</v>
      </c>
      <c r="F82" s="2210">
        <v>0</v>
      </c>
      <c r="G82" s="277"/>
      <c r="H82" s="3927"/>
      <c r="I82" s="3930"/>
      <c r="J82" s="3930"/>
      <c r="K82" s="3930"/>
      <c r="L82" s="3930"/>
      <c r="M82" s="3933"/>
      <c r="N82" s="3930"/>
      <c r="O82" s="3924"/>
      <c r="P82" s="272"/>
      <c r="Q82" s="3061"/>
      <c r="R82" s="3933"/>
      <c r="BB82" s="1513"/>
      <c r="BC82" s="1513"/>
      <c r="BD82" s="1513"/>
      <c r="BE82" s="1513"/>
      <c r="BF82" s="1513"/>
      <c r="BG82" s="1513"/>
      <c r="BH82" s="1513"/>
      <c r="BI82" s="1513"/>
      <c r="BJ82" s="1513"/>
      <c r="BK82" s="1513"/>
      <c r="BL82" s="1513"/>
      <c r="BM82" s="1513"/>
      <c r="BN82" s="1513"/>
      <c r="BO82" s="1513"/>
      <c r="BP82" s="1513"/>
      <c r="BQ82" s="1513"/>
      <c r="BR82" s="1513"/>
      <c r="BS82" s="1513"/>
      <c r="BT82" s="1513"/>
      <c r="BU82" s="1513"/>
      <c r="BV82" s="1513"/>
      <c r="BW82" s="1513"/>
      <c r="BX82" s="1513"/>
      <c r="BY82" s="1513"/>
      <c r="BZ82" s="1513"/>
      <c r="CA82" s="1513"/>
      <c r="CB82" s="1513"/>
      <c r="CC82" s="1513"/>
      <c r="CD82" s="1513"/>
      <c r="CE82" s="1513"/>
      <c r="CF82" s="1513"/>
      <c r="CG82" s="1513"/>
      <c r="CH82" s="1513"/>
      <c r="CI82" s="897">
        <f t="shared" si="2"/>
        <v>0</v>
      </c>
    </row>
    <row r="83" spans="1:87" ht="63.75">
      <c r="A83" s="390" t="s">
        <v>580</v>
      </c>
      <c r="B83" s="390" t="s">
        <v>581</v>
      </c>
      <c r="C83" s="390" t="s">
        <v>582</v>
      </c>
      <c r="D83" s="908" t="s">
        <v>65</v>
      </c>
      <c r="E83" s="1171" t="s">
        <v>3760</v>
      </c>
      <c r="F83" s="2210">
        <v>3</v>
      </c>
      <c r="G83" s="277">
        <v>2</v>
      </c>
      <c r="H83" s="3927"/>
      <c r="I83" s="3930"/>
      <c r="J83" s="3930"/>
      <c r="K83" s="3930"/>
      <c r="L83" s="3930"/>
      <c r="M83" s="3933"/>
      <c r="N83" s="3930"/>
      <c r="O83" s="3924"/>
      <c r="P83" s="272"/>
      <c r="Q83" s="3061" t="s">
        <v>5785</v>
      </c>
      <c r="R83" s="3933"/>
      <c r="BB83" s="1513">
        <v>1.07</v>
      </c>
      <c r="BC83" s="1513"/>
      <c r="BD83" s="1513"/>
      <c r="BE83" s="1513"/>
      <c r="BF83" s="1513">
        <v>0.76</v>
      </c>
      <c r="BG83" s="1513"/>
      <c r="BH83" s="1513"/>
      <c r="BI83" s="1513"/>
      <c r="BJ83" s="1513"/>
      <c r="BK83" s="1513">
        <v>0.76</v>
      </c>
      <c r="BL83" s="1513"/>
      <c r="BM83" s="1513"/>
      <c r="BN83" s="1513"/>
      <c r="BO83" s="1513"/>
      <c r="BP83" s="1513"/>
      <c r="BQ83" s="1513"/>
      <c r="BR83" s="1513"/>
      <c r="BS83" s="1513"/>
      <c r="BT83" s="1513"/>
      <c r="BU83" s="1513"/>
      <c r="BV83" s="1513"/>
      <c r="BW83" s="1513"/>
      <c r="BX83" s="1513"/>
      <c r="BY83" s="1513"/>
      <c r="BZ83" s="1513"/>
      <c r="CA83" s="1513"/>
      <c r="CB83" s="1513"/>
      <c r="CC83" s="1513"/>
      <c r="CD83" s="1513"/>
      <c r="CE83" s="1513"/>
      <c r="CF83" s="1513"/>
      <c r="CG83" s="1513"/>
      <c r="CH83" s="1513"/>
      <c r="CI83" s="897">
        <f t="shared" si="2"/>
        <v>2.59</v>
      </c>
    </row>
    <row r="84" spans="1:87">
      <c r="A84" s="385" t="s">
        <v>583</v>
      </c>
      <c r="B84" s="385" t="s">
        <v>584</v>
      </c>
      <c r="C84" s="385" t="s">
        <v>585</v>
      </c>
      <c r="D84" s="1435" t="s">
        <v>65</v>
      </c>
      <c r="E84" s="1435" t="s">
        <v>3760</v>
      </c>
      <c r="F84" s="620"/>
      <c r="G84" s="620"/>
      <c r="H84" s="3927"/>
      <c r="I84" s="3930"/>
      <c r="J84" s="3930"/>
      <c r="K84" s="3930"/>
      <c r="L84" s="3930"/>
      <c r="M84" s="3933"/>
      <c r="N84" s="3930"/>
      <c r="O84" s="3924"/>
      <c r="P84" s="1446" t="s">
        <v>4326</v>
      </c>
      <c r="Q84" s="3069"/>
      <c r="R84" s="3933"/>
      <c r="BB84" s="1513"/>
      <c r="BC84" s="1513"/>
      <c r="BD84" s="1513"/>
      <c r="BE84" s="1513"/>
      <c r="BF84" s="1513"/>
      <c r="BG84" s="1513"/>
      <c r="BH84" s="1513"/>
      <c r="BI84" s="1513"/>
      <c r="BJ84" s="1513"/>
      <c r="BK84" s="1513"/>
      <c r="BL84" s="1513"/>
      <c r="BM84" s="1513"/>
      <c r="BN84" s="1513"/>
      <c r="BO84" s="1513"/>
      <c r="BP84" s="1513"/>
      <c r="BQ84" s="1513"/>
      <c r="BR84" s="1513"/>
      <c r="BS84" s="1513"/>
      <c r="BT84" s="1513"/>
      <c r="BU84" s="1513"/>
      <c r="BV84" s="1513"/>
      <c r="BW84" s="1513"/>
      <c r="BX84" s="1513"/>
      <c r="BY84" s="1513"/>
      <c r="BZ84" s="1513"/>
      <c r="CA84" s="1513"/>
      <c r="CB84" s="1513"/>
      <c r="CC84" s="1513"/>
      <c r="CD84" s="1513"/>
      <c r="CE84" s="1513"/>
      <c r="CF84" s="1513"/>
      <c r="CG84" s="1513"/>
      <c r="CH84" s="1513"/>
      <c r="CI84" s="897">
        <f t="shared" si="2"/>
        <v>0</v>
      </c>
    </row>
    <row r="85" spans="1:87">
      <c r="A85" s="390" t="s">
        <v>586</v>
      </c>
      <c r="B85" s="390" t="s">
        <v>587</v>
      </c>
      <c r="C85" s="390" t="s">
        <v>588</v>
      </c>
      <c r="D85" s="908" t="s">
        <v>65</v>
      </c>
      <c r="E85" s="1171" t="s">
        <v>3760</v>
      </c>
      <c r="F85" s="2210">
        <v>0</v>
      </c>
      <c r="G85" s="277"/>
      <c r="H85" s="3927"/>
      <c r="I85" s="3930"/>
      <c r="J85" s="3930"/>
      <c r="K85" s="3930"/>
      <c r="L85" s="3930"/>
      <c r="M85" s="3933"/>
      <c r="N85" s="3930"/>
      <c r="O85" s="3924"/>
      <c r="P85" s="272"/>
      <c r="Q85" s="3061"/>
      <c r="R85" s="3933"/>
      <c r="BB85" s="1513"/>
      <c r="BC85" s="1513"/>
      <c r="BD85" s="1513"/>
      <c r="BE85" s="1513"/>
      <c r="BF85" s="1513"/>
      <c r="BG85" s="1513"/>
      <c r="BH85" s="1513"/>
      <c r="BI85" s="1513"/>
      <c r="BJ85" s="1513"/>
      <c r="BK85" s="1513"/>
      <c r="BL85" s="1513"/>
      <c r="BM85" s="1513"/>
      <c r="BN85" s="1513"/>
      <c r="BO85" s="1513"/>
      <c r="BP85" s="1513"/>
      <c r="BQ85" s="1513"/>
      <c r="BR85" s="1513"/>
      <c r="BS85" s="1513"/>
      <c r="BT85" s="1513"/>
      <c r="BU85" s="1513"/>
      <c r="BV85" s="1513"/>
      <c r="BW85" s="1513"/>
      <c r="BX85" s="1513"/>
      <c r="BY85" s="1513"/>
      <c r="BZ85" s="1513"/>
      <c r="CA85" s="1513"/>
      <c r="CB85" s="1513"/>
      <c r="CC85" s="1513"/>
      <c r="CD85" s="1513"/>
      <c r="CE85" s="1513"/>
      <c r="CF85" s="1513"/>
      <c r="CG85" s="1513"/>
      <c r="CH85" s="1513"/>
      <c r="CI85" s="897">
        <f t="shared" si="2"/>
        <v>0</v>
      </c>
    </row>
    <row r="86" spans="1:87" ht="51.75" thickBot="1">
      <c r="A86" s="390" t="s">
        <v>589</v>
      </c>
      <c r="B86" s="390" t="s">
        <v>590</v>
      </c>
      <c r="C86" s="390" t="s">
        <v>302</v>
      </c>
      <c r="D86" s="908" t="s">
        <v>65</v>
      </c>
      <c r="E86" s="1171" t="s">
        <v>3760</v>
      </c>
      <c r="F86" s="2210">
        <v>3</v>
      </c>
      <c r="G86" s="277">
        <v>2</v>
      </c>
      <c r="H86" s="3928"/>
      <c r="I86" s="3931"/>
      <c r="J86" s="3931"/>
      <c r="K86" s="3931"/>
      <c r="L86" s="3931"/>
      <c r="M86" s="3934"/>
      <c r="N86" s="3931"/>
      <c r="O86" s="3925"/>
      <c r="P86" s="272"/>
      <c r="Q86" s="3054" t="s">
        <v>5786</v>
      </c>
      <c r="R86" s="3934"/>
      <c r="BB86" s="1513">
        <v>2.1800000000000002</v>
      </c>
      <c r="BC86" s="1513"/>
      <c r="BD86" s="1513"/>
      <c r="BE86" s="1513"/>
      <c r="BF86" s="1513">
        <v>1.55</v>
      </c>
      <c r="BG86" s="1513"/>
      <c r="BH86" s="1513"/>
      <c r="BI86" s="1513"/>
      <c r="BJ86" s="1513"/>
      <c r="BK86" s="1513">
        <v>1.55</v>
      </c>
      <c r="BL86" s="1513"/>
      <c r="BM86" s="1513"/>
      <c r="BN86" s="1513"/>
      <c r="BO86" s="1513"/>
      <c r="BP86" s="1513"/>
      <c r="BQ86" s="1513"/>
      <c r="BR86" s="1513"/>
      <c r="BS86" s="1513"/>
      <c r="BT86" s="1513"/>
      <c r="BU86" s="1513"/>
      <c r="BV86" s="1513"/>
      <c r="BW86" s="1513"/>
      <c r="BX86" s="1513"/>
      <c r="BY86" s="1513"/>
      <c r="BZ86" s="1513"/>
      <c r="CA86" s="1513"/>
      <c r="CB86" s="1513"/>
      <c r="CC86" s="1513"/>
      <c r="CD86" s="1513"/>
      <c r="CE86" s="1513"/>
      <c r="CF86" s="1513"/>
      <c r="CG86" s="1513"/>
      <c r="CH86" s="1513"/>
      <c r="CI86" s="897">
        <f t="shared" si="2"/>
        <v>5.28</v>
      </c>
    </row>
    <row r="87" spans="1:87" ht="30">
      <c r="A87" s="880" t="s">
        <v>591</v>
      </c>
      <c r="B87" s="936" t="s">
        <v>592</v>
      </c>
      <c r="C87" s="85" t="s">
        <v>3242</v>
      </c>
      <c r="D87" s="997" t="s">
        <v>65</v>
      </c>
      <c r="E87" s="997" t="s">
        <v>3760</v>
      </c>
      <c r="F87" s="237"/>
      <c r="G87" s="237"/>
      <c r="H87" s="237"/>
      <c r="I87" s="237"/>
      <c r="J87" s="237"/>
      <c r="K87" s="237"/>
      <c r="L87" s="237"/>
      <c r="M87" s="1444"/>
      <c r="N87" s="51"/>
      <c r="O87" s="2905">
        <f>SUM(O88:O93)</f>
        <v>355.68</v>
      </c>
      <c r="P87" s="97"/>
      <c r="Q87" s="3066"/>
      <c r="R87" s="116">
        <f>SUM(R88:R93)</f>
        <v>355.68</v>
      </c>
      <c r="U87" s="3132"/>
      <c r="BB87" s="1513"/>
      <c r="BC87" s="1513"/>
      <c r="BD87" s="1513"/>
      <c r="BE87" s="1513"/>
      <c r="BF87" s="1513"/>
      <c r="BG87" s="1513"/>
      <c r="BH87" s="1513"/>
      <c r="BI87" s="1513"/>
      <c r="BJ87" s="1513"/>
      <c r="BK87" s="1513"/>
      <c r="BL87" s="1513"/>
      <c r="BM87" s="1513"/>
      <c r="BN87" s="1513"/>
      <c r="BO87" s="1513"/>
      <c r="BP87" s="1513"/>
      <c r="BQ87" s="1513"/>
      <c r="BR87" s="1513"/>
      <c r="BS87" s="1513"/>
      <c r="BT87" s="1513"/>
      <c r="BU87" s="1513"/>
      <c r="BV87" s="1513"/>
      <c r="BW87" s="1513"/>
      <c r="BX87" s="1513"/>
      <c r="BY87" s="1513"/>
      <c r="BZ87" s="1513"/>
      <c r="CA87" s="1513"/>
      <c r="CB87" s="1513"/>
      <c r="CC87" s="1513"/>
      <c r="CD87" s="1513"/>
      <c r="CE87" s="1513"/>
      <c r="CF87" s="1513"/>
      <c r="CG87" s="1513"/>
      <c r="CH87" s="1513"/>
      <c r="CI87" s="897">
        <f t="shared" si="2"/>
        <v>0</v>
      </c>
    </row>
    <row r="88" spans="1:87">
      <c r="A88" s="390" t="s">
        <v>593</v>
      </c>
      <c r="B88" s="390" t="s">
        <v>594</v>
      </c>
      <c r="C88" s="390" t="s">
        <v>551</v>
      </c>
      <c r="D88" s="908" t="s">
        <v>65</v>
      </c>
      <c r="E88" s="1171" t="s">
        <v>3760</v>
      </c>
      <c r="F88" s="2209">
        <v>0</v>
      </c>
      <c r="G88" s="392"/>
      <c r="H88" s="3938">
        <v>344.55</v>
      </c>
      <c r="I88" s="3935">
        <v>151.06</v>
      </c>
      <c r="J88" s="3935">
        <v>200</v>
      </c>
      <c r="K88" s="3935">
        <v>13500</v>
      </c>
      <c r="L88" s="3929">
        <v>185250</v>
      </c>
      <c r="M88" s="3932">
        <f>L88/100000</f>
        <v>1.8525</v>
      </c>
      <c r="N88" s="3929">
        <v>192</v>
      </c>
      <c r="O88" s="3923">
        <f>M88*N88</f>
        <v>355.68</v>
      </c>
      <c r="P88" s="250"/>
      <c r="Q88" s="3061"/>
      <c r="R88" s="3932">
        <v>355.68</v>
      </c>
      <c r="U88" s="3132"/>
      <c r="BB88" s="1513"/>
      <c r="BC88" s="1513"/>
      <c r="BD88" s="1513"/>
      <c r="BE88" s="1513"/>
      <c r="BF88" s="1513"/>
      <c r="BG88" s="1513"/>
      <c r="BH88" s="1513"/>
      <c r="BI88" s="1513"/>
      <c r="BJ88" s="1513"/>
      <c r="BK88" s="1513"/>
      <c r="BL88" s="1513"/>
      <c r="BM88" s="1513"/>
      <c r="BN88" s="1513"/>
      <c r="BO88" s="1513"/>
      <c r="BP88" s="1513"/>
      <c r="BQ88" s="1513"/>
      <c r="BR88" s="1513"/>
      <c r="BS88" s="1513"/>
      <c r="BT88" s="1513"/>
      <c r="BU88" s="1513"/>
      <c r="BV88" s="1513"/>
      <c r="BW88" s="1513"/>
      <c r="BX88" s="1513"/>
      <c r="BY88" s="1513"/>
      <c r="BZ88" s="1513"/>
      <c r="CA88" s="1513"/>
      <c r="CB88" s="1513"/>
      <c r="CC88" s="1513"/>
      <c r="CD88" s="1513"/>
      <c r="CE88" s="1513"/>
      <c r="CF88" s="1513"/>
      <c r="CG88" s="1513"/>
      <c r="CH88" s="1513"/>
      <c r="CI88" s="897">
        <f t="shared" si="2"/>
        <v>0</v>
      </c>
    </row>
    <row r="89" spans="1:87">
      <c r="A89" s="390" t="s">
        <v>595</v>
      </c>
      <c r="B89" s="390" t="s">
        <v>596</v>
      </c>
      <c r="C89" s="390" t="s">
        <v>519</v>
      </c>
      <c r="D89" s="908" t="s">
        <v>65</v>
      </c>
      <c r="E89" s="1171" t="s">
        <v>3760</v>
      </c>
      <c r="F89" s="2209">
        <v>0</v>
      </c>
      <c r="G89" s="392"/>
      <c r="H89" s="3939"/>
      <c r="I89" s="3936"/>
      <c r="J89" s="3936"/>
      <c r="K89" s="3936"/>
      <c r="L89" s="3930"/>
      <c r="M89" s="3933"/>
      <c r="N89" s="3930"/>
      <c r="O89" s="3924"/>
      <c r="P89" s="367"/>
      <c r="Q89" s="3061"/>
      <c r="R89" s="3933"/>
      <c r="BB89" s="1513"/>
      <c r="BC89" s="1513"/>
      <c r="BD89" s="1513"/>
      <c r="BE89" s="1513"/>
      <c r="BF89" s="1513"/>
      <c r="BG89" s="1513"/>
      <c r="BH89" s="1513"/>
      <c r="BI89" s="1513"/>
      <c r="BJ89" s="1513"/>
      <c r="BK89" s="1513"/>
      <c r="BL89" s="1513"/>
      <c r="BM89" s="1513"/>
      <c r="BN89" s="1513"/>
      <c r="BO89" s="1513"/>
      <c r="BP89" s="1513"/>
      <c r="BQ89" s="1513"/>
      <c r="BR89" s="1513"/>
      <c r="BS89" s="1513"/>
      <c r="BT89" s="1513"/>
      <c r="BU89" s="1513"/>
      <c r="BV89" s="1513"/>
      <c r="BW89" s="1513"/>
      <c r="BX89" s="1513"/>
      <c r="BY89" s="1513"/>
      <c r="BZ89" s="1513"/>
      <c r="CA89" s="1513"/>
      <c r="CB89" s="1513"/>
      <c r="CC89" s="1513"/>
      <c r="CD89" s="1513"/>
      <c r="CE89" s="1513"/>
      <c r="CF89" s="1513"/>
      <c r="CG89" s="1513"/>
      <c r="CH89" s="1513"/>
      <c r="CI89" s="897">
        <f t="shared" si="2"/>
        <v>0</v>
      </c>
    </row>
    <row r="90" spans="1:87" ht="51.75" thickBot="1">
      <c r="A90" s="390" t="s">
        <v>597</v>
      </c>
      <c r="B90" s="390" t="s">
        <v>598</v>
      </c>
      <c r="C90" s="390" t="s">
        <v>543</v>
      </c>
      <c r="D90" s="908" t="s">
        <v>65</v>
      </c>
      <c r="E90" s="1171" t="s">
        <v>3760</v>
      </c>
      <c r="F90" s="2209">
        <v>160</v>
      </c>
      <c r="G90" s="392">
        <v>124</v>
      </c>
      <c r="H90" s="3939"/>
      <c r="I90" s="3936"/>
      <c r="J90" s="3936"/>
      <c r="K90" s="3936"/>
      <c r="L90" s="3930"/>
      <c r="M90" s="3933"/>
      <c r="N90" s="3930"/>
      <c r="O90" s="3924"/>
      <c r="P90" s="367"/>
      <c r="Q90" s="2912" t="s">
        <v>5934</v>
      </c>
      <c r="R90" s="3933"/>
      <c r="BB90" s="1513">
        <v>355.68</v>
      </c>
      <c r="BC90" s="1513"/>
      <c r="BD90" s="1513"/>
      <c r="BE90" s="1513"/>
      <c r="BF90" s="1513"/>
      <c r="BG90" s="1513"/>
      <c r="BH90" s="1513"/>
      <c r="BI90" s="1513"/>
      <c r="BJ90" s="1513"/>
      <c r="BK90" s="1513"/>
      <c r="BL90" s="1513"/>
      <c r="BM90" s="1513"/>
      <c r="BN90" s="1513"/>
      <c r="BO90" s="1513"/>
      <c r="BP90" s="1513"/>
      <c r="BQ90" s="1513"/>
      <c r="BR90" s="1513"/>
      <c r="BS90" s="1513"/>
      <c r="BT90" s="1513"/>
      <c r="BU90" s="1513"/>
      <c r="BV90" s="1513"/>
      <c r="BW90" s="1513"/>
      <c r="BX90" s="1513"/>
      <c r="BY90" s="1513"/>
      <c r="BZ90" s="1513"/>
      <c r="CA90" s="1513"/>
      <c r="CB90" s="1513"/>
      <c r="CC90" s="1513"/>
      <c r="CD90" s="1513"/>
      <c r="CE90" s="1513"/>
      <c r="CF90" s="1513"/>
      <c r="CG90" s="1513"/>
      <c r="CH90" s="1513"/>
      <c r="CI90" s="897">
        <f t="shared" si="2"/>
        <v>355.68</v>
      </c>
    </row>
    <row r="91" spans="1:87" ht="45">
      <c r="A91" s="390" t="s">
        <v>599</v>
      </c>
      <c r="B91" s="391"/>
      <c r="C91" s="88" t="s">
        <v>3243</v>
      </c>
      <c r="D91" s="908" t="s">
        <v>65</v>
      </c>
      <c r="E91" s="158" t="s">
        <v>3241</v>
      </c>
      <c r="F91" s="2209">
        <v>0</v>
      </c>
      <c r="G91" s="392"/>
      <c r="H91" s="3939"/>
      <c r="I91" s="3936"/>
      <c r="J91" s="3936"/>
      <c r="K91" s="3936"/>
      <c r="L91" s="3930"/>
      <c r="M91" s="3933"/>
      <c r="N91" s="3930"/>
      <c r="O91" s="3924"/>
      <c r="P91" s="250" t="s">
        <v>5497</v>
      </c>
      <c r="Q91" s="3061"/>
      <c r="R91" s="3933"/>
      <c r="BB91" s="1513"/>
      <c r="BC91" s="1513"/>
      <c r="BD91" s="1513"/>
      <c r="BE91" s="1513"/>
      <c r="BF91" s="1513"/>
      <c r="BG91" s="1513"/>
      <c r="BH91" s="1513"/>
      <c r="BI91" s="1513"/>
      <c r="BJ91" s="1513"/>
      <c r="BK91" s="1513"/>
      <c r="BL91" s="1513"/>
      <c r="BM91" s="1513"/>
      <c r="BN91" s="1513"/>
      <c r="BO91" s="1513"/>
      <c r="BP91" s="1513"/>
      <c r="BQ91" s="1513"/>
      <c r="BR91" s="1513"/>
      <c r="BS91" s="1513"/>
      <c r="BT91" s="1513"/>
      <c r="BU91" s="1513"/>
      <c r="BV91" s="1513"/>
      <c r="BW91" s="1513"/>
      <c r="BX91" s="1513"/>
      <c r="BY91" s="1513"/>
      <c r="BZ91" s="1513"/>
      <c r="CA91" s="1513"/>
      <c r="CB91" s="1513"/>
      <c r="CC91" s="1513"/>
      <c r="CD91" s="1513"/>
      <c r="CE91" s="1513"/>
      <c r="CF91" s="1513"/>
      <c r="CG91" s="1513"/>
      <c r="CH91" s="1513"/>
      <c r="CI91" s="897">
        <f t="shared" si="2"/>
        <v>0</v>
      </c>
    </row>
    <row r="92" spans="1:87" ht="30">
      <c r="A92" s="390" t="s">
        <v>3710</v>
      </c>
      <c r="B92" s="391"/>
      <c r="C92" s="88" t="s">
        <v>3244</v>
      </c>
      <c r="D92" s="908" t="s">
        <v>65</v>
      </c>
      <c r="E92" s="158" t="s">
        <v>3241</v>
      </c>
      <c r="F92" s="2209">
        <v>0</v>
      </c>
      <c r="G92" s="392"/>
      <c r="H92" s="3939"/>
      <c r="I92" s="3936"/>
      <c r="J92" s="3936"/>
      <c r="K92" s="3936"/>
      <c r="L92" s="3930"/>
      <c r="M92" s="3933"/>
      <c r="N92" s="3930"/>
      <c r="O92" s="3924"/>
      <c r="P92" s="367"/>
      <c r="Q92" s="3061"/>
      <c r="R92" s="3933"/>
      <c r="BB92" s="1513"/>
      <c r="BC92" s="1513"/>
      <c r="BD92" s="1513"/>
      <c r="BE92" s="1513"/>
      <c r="BF92" s="1513"/>
      <c r="BG92" s="1513"/>
      <c r="BH92" s="1513"/>
      <c r="BI92" s="1513"/>
      <c r="BJ92" s="1513"/>
      <c r="BK92" s="1513"/>
      <c r="BL92" s="1513"/>
      <c r="BM92" s="1513"/>
      <c r="BN92" s="1513"/>
      <c r="BO92" s="1513"/>
      <c r="BP92" s="1513"/>
      <c r="BQ92" s="1513"/>
      <c r="BR92" s="1513"/>
      <c r="BS92" s="1513"/>
      <c r="BT92" s="1513"/>
      <c r="BU92" s="1513"/>
      <c r="BV92" s="1513"/>
      <c r="BW92" s="1513"/>
      <c r="BX92" s="1513"/>
      <c r="BY92" s="1513"/>
      <c r="BZ92" s="1513"/>
      <c r="CA92" s="1513"/>
      <c r="CB92" s="1513"/>
      <c r="CC92" s="1513"/>
      <c r="CD92" s="1513"/>
      <c r="CE92" s="1513"/>
      <c r="CF92" s="1513"/>
      <c r="CG92" s="1513"/>
      <c r="CH92" s="1513"/>
      <c r="CI92" s="897">
        <f t="shared" si="2"/>
        <v>0</v>
      </c>
    </row>
    <row r="93" spans="1:87" s="1439" customFormat="1">
      <c r="A93" s="391" t="s">
        <v>3711</v>
      </c>
      <c r="B93" s="391" t="s">
        <v>600</v>
      </c>
      <c r="C93" s="391" t="s">
        <v>601</v>
      </c>
      <c r="D93" s="982" t="s">
        <v>65</v>
      </c>
      <c r="E93" s="1185" t="s">
        <v>3760</v>
      </c>
      <c r="F93" s="2631">
        <v>0</v>
      </c>
      <c r="G93" s="283"/>
      <c r="H93" s="3940"/>
      <c r="I93" s="3937"/>
      <c r="J93" s="3937"/>
      <c r="K93" s="3937"/>
      <c r="L93" s="3931"/>
      <c r="M93" s="3934"/>
      <c r="N93" s="3931"/>
      <c r="O93" s="3925"/>
      <c r="P93" s="2639"/>
      <c r="Q93" s="3067"/>
      <c r="R93" s="3934"/>
      <c r="BB93" s="2571"/>
      <c r="BC93" s="2571"/>
      <c r="BD93" s="2571"/>
      <c r="BE93" s="2571"/>
      <c r="BF93" s="2571"/>
      <c r="BG93" s="2571"/>
      <c r="BH93" s="2571"/>
      <c r="BI93" s="2571"/>
      <c r="BJ93" s="2571"/>
      <c r="BK93" s="2571"/>
      <c r="BL93" s="2571"/>
      <c r="BM93" s="2571"/>
      <c r="BN93" s="2571"/>
      <c r="BO93" s="2571"/>
      <c r="BP93" s="2571"/>
      <c r="BQ93" s="2571"/>
      <c r="BR93" s="2571"/>
      <c r="BS93" s="2571"/>
      <c r="BT93" s="2571"/>
      <c r="BU93" s="2571"/>
      <c r="BV93" s="2571"/>
      <c r="BW93" s="2571"/>
      <c r="BX93" s="2571"/>
      <c r="BY93" s="2571"/>
      <c r="BZ93" s="2571"/>
      <c r="CA93" s="2571"/>
      <c r="CB93" s="2571"/>
      <c r="CC93" s="2571"/>
      <c r="CD93" s="2571"/>
      <c r="CE93" s="2571"/>
      <c r="CF93" s="2571"/>
      <c r="CG93" s="2571"/>
      <c r="CH93" s="2571"/>
      <c r="CI93" s="897">
        <f t="shared" si="2"/>
        <v>0</v>
      </c>
    </row>
    <row r="94" spans="1:87" ht="30">
      <c r="A94" s="880" t="s">
        <v>602</v>
      </c>
      <c r="B94" s="936"/>
      <c r="C94" s="85" t="s">
        <v>4554</v>
      </c>
      <c r="D94" s="997" t="s">
        <v>65</v>
      </c>
      <c r="E94" s="997" t="s">
        <v>3760</v>
      </c>
      <c r="F94" s="237"/>
      <c r="G94" s="237"/>
      <c r="H94" s="237"/>
      <c r="I94" s="237"/>
      <c r="J94" s="237"/>
      <c r="K94" s="237"/>
      <c r="L94" s="237"/>
      <c r="M94" s="1444"/>
      <c r="N94" s="51"/>
      <c r="O94" s="2905">
        <f>SUM(O95:O98)</f>
        <v>51.859919999999995</v>
      </c>
      <c r="P94" s="97"/>
      <c r="Q94" s="3066"/>
      <c r="R94" s="116">
        <f>SUM(R95:R98)</f>
        <v>51.44</v>
      </c>
      <c r="U94" s="3132"/>
      <c r="BB94" s="1513"/>
      <c r="BC94" s="1513"/>
      <c r="BD94" s="1513"/>
      <c r="BE94" s="1513"/>
      <c r="BF94" s="1513"/>
      <c r="BG94" s="1513"/>
      <c r="BH94" s="1513"/>
      <c r="BI94" s="1513"/>
      <c r="BJ94" s="1513"/>
      <c r="BK94" s="1513"/>
      <c r="BL94" s="1513"/>
      <c r="BM94" s="1513"/>
      <c r="BN94" s="1513"/>
      <c r="BO94" s="1513"/>
      <c r="BP94" s="1513"/>
      <c r="BQ94" s="1513"/>
      <c r="BR94" s="1513"/>
      <c r="BS94" s="1513"/>
      <c r="BT94" s="1513"/>
      <c r="BU94" s="1513"/>
      <c r="BV94" s="1513"/>
      <c r="BW94" s="1513"/>
      <c r="BX94" s="1513"/>
      <c r="BY94" s="1513"/>
      <c r="BZ94" s="1513"/>
      <c r="CA94" s="1513"/>
      <c r="CB94" s="1513"/>
      <c r="CC94" s="1513"/>
      <c r="CD94" s="1513"/>
      <c r="CE94" s="1513"/>
      <c r="CF94" s="1513"/>
      <c r="CG94" s="1513"/>
      <c r="CH94" s="1513"/>
      <c r="CI94" s="897">
        <f t="shared" si="2"/>
        <v>0</v>
      </c>
    </row>
    <row r="95" spans="1:87">
      <c r="A95" s="390" t="s">
        <v>605</v>
      </c>
      <c r="B95" s="391"/>
      <c r="C95" s="390" t="s">
        <v>460</v>
      </c>
      <c r="D95" s="908" t="s">
        <v>65</v>
      </c>
      <c r="E95" s="1171" t="s">
        <v>3760</v>
      </c>
      <c r="F95" s="2210">
        <v>0</v>
      </c>
      <c r="G95" s="277"/>
      <c r="H95" s="3926">
        <v>45.36</v>
      </c>
      <c r="I95" s="3929"/>
      <c r="J95" s="3929">
        <v>20</v>
      </c>
      <c r="K95" s="3929"/>
      <c r="L95" s="3929">
        <v>185214</v>
      </c>
      <c r="M95" s="3932">
        <f>L95/100000</f>
        <v>1.8521399999999999</v>
      </c>
      <c r="N95" s="3929">
        <v>28</v>
      </c>
      <c r="O95" s="3923">
        <f>M95*N95</f>
        <v>51.859919999999995</v>
      </c>
      <c r="P95" s="272"/>
      <c r="Q95" s="3061"/>
      <c r="R95" s="3932">
        <v>51.44</v>
      </c>
      <c r="U95" s="3132"/>
      <c r="BB95" s="1513"/>
      <c r="BC95" s="1513"/>
      <c r="BD95" s="1513"/>
      <c r="BE95" s="1513"/>
      <c r="BF95" s="1513"/>
      <c r="BG95" s="1513"/>
      <c r="BH95" s="1513"/>
      <c r="BI95" s="1513"/>
      <c r="BJ95" s="1513"/>
      <c r="BK95" s="1513"/>
      <c r="BL95" s="1513"/>
      <c r="BM95" s="1513"/>
      <c r="BN95" s="1513"/>
      <c r="BO95" s="1513"/>
      <c r="BP95" s="1513"/>
      <c r="BQ95" s="1513"/>
      <c r="BR95" s="1513"/>
      <c r="BS95" s="1513"/>
      <c r="BT95" s="1513"/>
      <c r="BU95" s="1513"/>
      <c r="BV95" s="1513"/>
      <c r="BW95" s="1513"/>
      <c r="BX95" s="1513"/>
      <c r="BY95" s="1513"/>
      <c r="BZ95" s="1513"/>
      <c r="CA95" s="1513"/>
      <c r="CB95" s="1513"/>
      <c r="CC95" s="1513"/>
      <c r="CD95" s="1513"/>
      <c r="CE95" s="1513"/>
      <c r="CF95" s="1513"/>
      <c r="CG95" s="1513"/>
      <c r="CH95" s="1513"/>
      <c r="CI95" s="897">
        <f t="shared" si="2"/>
        <v>0</v>
      </c>
    </row>
    <row r="96" spans="1:87">
      <c r="A96" s="390" t="s">
        <v>607</v>
      </c>
      <c r="B96" s="391"/>
      <c r="C96" s="390" t="s">
        <v>519</v>
      </c>
      <c r="D96" s="908" t="s">
        <v>65</v>
      </c>
      <c r="E96" s="1171" t="s">
        <v>3760</v>
      </c>
      <c r="F96" s="2210">
        <v>0</v>
      </c>
      <c r="G96" s="277"/>
      <c r="H96" s="3927"/>
      <c r="I96" s="3930"/>
      <c r="J96" s="3930"/>
      <c r="K96" s="3930"/>
      <c r="L96" s="3930"/>
      <c r="M96" s="3933"/>
      <c r="N96" s="3930"/>
      <c r="O96" s="3924"/>
      <c r="P96" s="272"/>
      <c r="Q96" s="3061"/>
      <c r="R96" s="3933"/>
      <c r="BB96" s="1513"/>
      <c r="BC96" s="1513"/>
      <c r="BD96" s="1513"/>
      <c r="BE96" s="1513"/>
      <c r="BF96" s="1513"/>
      <c r="BG96" s="1513"/>
      <c r="BH96" s="1513"/>
      <c r="BI96" s="1513"/>
      <c r="BJ96" s="1513"/>
      <c r="BK96" s="1513"/>
      <c r="BL96" s="1513"/>
      <c r="BM96" s="1513"/>
      <c r="BN96" s="1513"/>
      <c r="BO96" s="1513"/>
      <c r="BP96" s="1513"/>
      <c r="BQ96" s="1513"/>
      <c r="BR96" s="1513"/>
      <c r="BS96" s="1513"/>
      <c r="BT96" s="1513"/>
      <c r="BU96" s="1513"/>
      <c r="BV96" s="1513"/>
      <c r="BW96" s="1513"/>
      <c r="BX96" s="1513"/>
      <c r="BY96" s="1513"/>
      <c r="BZ96" s="1513"/>
      <c r="CA96" s="1513"/>
      <c r="CB96" s="1513"/>
      <c r="CC96" s="1513"/>
      <c r="CD96" s="1513"/>
      <c r="CE96" s="1513"/>
      <c r="CF96" s="1513"/>
      <c r="CG96" s="1513"/>
      <c r="CH96" s="1513"/>
      <c r="CI96" s="897">
        <f t="shared" si="2"/>
        <v>0</v>
      </c>
    </row>
    <row r="97" spans="1:87" ht="77.25" thickBot="1">
      <c r="A97" s="390" t="s">
        <v>610</v>
      </c>
      <c r="B97" s="391"/>
      <c r="C97" s="390" t="s">
        <v>424</v>
      </c>
      <c r="D97" s="908" t="s">
        <v>65</v>
      </c>
      <c r="E97" s="1171" t="s">
        <v>3760</v>
      </c>
      <c r="F97" s="2210">
        <v>28</v>
      </c>
      <c r="G97" s="277">
        <v>28</v>
      </c>
      <c r="H97" s="3927"/>
      <c r="I97" s="3930"/>
      <c r="J97" s="3930"/>
      <c r="K97" s="3930"/>
      <c r="L97" s="3930"/>
      <c r="M97" s="3933"/>
      <c r="N97" s="3930"/>
      <c r="O97" s="3924"/>
      <c r="P97" s="272"/>
      <c r="Q97" s="3054" t="s">
        <v>5787</v>
      </c>
      <c r="R97" s="3933"/>
      <c r="BB97" s="1513">
        <v>51.44</v>
      </c>
      <c r="BC97" s="1513"/>
      <c r="BD97" s="1513"/>
      <c r="BE97" s="1513"/>
      <c r="BF97" s="1513"/>
      <c r="BG97" s="1513"/>
      <c r="BH97" s="1513"/>
      <c r="BI97" s="1513"/>
      <c r="BJ97" s="1513"/>
      <c r="BK97" s="1513"/>
      <c r="BL97" s="1513"/>
      <c r="BM97" s="1513"/>
      <c r="BN97" s="1513"/>
      <c r="BO97" s="1513"/>
      <c r="BP97" s="1513"/>
      <c r="BQ97" s="1513"/>
      <c r="BR97" s="1513"/>
      <c r="BS97" s="1513"/>
      <c r="BT97" s="1513"/>
      <c r="BU97" s="1513"/>
      <c r="BV97" s="1513"/>
      <c r="BW97" s="1513"/>
      <c r="BX97" s="1513"/>
      <c r="BY97" s="1513"/>
      <c r="BZ97" s="1513"/>
      <c r="CA97" s="1513"/>
      <c r="CB97" s="1513"/>
      <c r="CC97" s="1513"/>
      <c r="CD97" s="1513"/>
      <c r="CE97" s="1513"/>
      <c r="CF97" s="1513"/>
      <c r="CG97" s="1513"/>
      <c r="CH97" s="1513"/>
      <c r="CI97" s="897">
        <f t="shared" si="2"/>
        <v>51.44</v>
      </c>
    </row>
    <row r="98" spans="1:87">
      <c r="A98" s="390" t="s">
        <v>612</v>
      </c>
      <c r="B98" s="391"/>
      <c r="C98" s="390" t="s">
        <v>302</v>
      </c>
      <c r="D98" s="908" t="s">
        <v>65</v>
      </c>
      <c r="E98" s="1171" t="s">
        <v>3760</v>
      </c>
      <c r="F98" s="2210">
        <v>0</v>
      </c>
      <c r="G98" s="277"/>
      <c r="H98" s="3928"/>
      <c r="I98" s="3931"/>
      <c r="J98" s="3931"/>
      <c r="K98" s="3931"/>
      <c r="L98" s="3931"/>
      <c r="M98" s="3934"/>
      <c r="N98" s="3931"/>
      <c r="O98" s="3925"/>
      <c r="P98" s="272"/>
      <c r="Q98" s="3061"/>
      <c r="R98" s="3934"/>
      <c r="BB98" s="1513"/>
      <c r="BC98" s="1513"/>
      <c r="BD98" s="1513"/>
      <c r="BE98" s="1513"/>
      <c r="BF98" s="1513"/>
      <c r="BG98" s="1513"/>
      <c r="BH98" s="1513"/>
      <c r="BI98" s="1513"/>
      <c r="BJ98" s="1513"/>
      <c r="BK98" s="1513"/>
      <c r="BL98" s="1513"/>
      <c r="BM98" s="1513"/>
      <c r="BN98" s="1513"/>
      <c r="BO98" s="1513"/>
      <c r="BP98" s="1513"/>
      <c r="BQ98" s="1513"/>
      <c r="BR98" s="1513"/>
      <c r="BS98" s="1513"/>
      <c r="BT98" s="1513"/>
      <c r="BU98" s="1513"/>
      <c r="BV98" s="1513"/>
      <c r="BW98" s="1513"/>
      <c r="BX98" s="1513"/>
      <c r="BY98" s="1513"/>
      <c r="BZ98" s="1513"/>
      <c r="CA98" s="1513"/>
      <c r="CB98" s="1513"/>
      <c r="CC98" s="1513"/>
      <c r="CD98" s="1513"/>
      <c r="CE98" s="1513"/>
      <c r="CF98" s="1513"/>
      <c r="CG98" s="1513"/>
      <c r="CH98" s="1513"/>
      <c r="CI98" s="897">
        <f t="shared" si="2"/>
        <v>0</v>
      </c>
    </row>
    <row r="99" spans="1:87">
      <c r="A99" s="85" t="s">
        <v>615</v>
      </c>
      <c r="B99" s="936" t="s">
        <v>603</v>
      </c>
      <c r="C99" s="85" t="s">
        <v>604</v>
      </c>
      <c r="D99" s="997" t="s">
        <v>65</v>
      </c>
      <c r="E99" s="997" t="s">
        <v>3760</v>
      </c>
      <c r="F99" s="237"/>
      <c r="G99" s="237"/>
      <c r="H99" s="237"/>
      <c r="I99" s="237"/>
      <c r="J99" s="237"/>
      <c r="K99" s="237"/>
      <c r="L99" s="237"/>
      <c r="M99" s="1444"/>
      <c r="N99" s="51"/>
      <c r="O99" s="2905">
        <f>SUM(O100:O104)</f>
        <v>0</v>
      </c>
      <c r="P99" s="97"/>
      <c r="Q99" s="3066"/>
      <c r="R99" s="116">
        <f>SUM(R100:R104)</f>
        <v>0</v>
      </c>
      <c r="BB99" s="1513"/>
      <c r="BC99" s="1513"/>
      <c r="BD99" s="1513"/>
      <c r="BE99" s="1513"/>
      <c r="BF99" s="1513"/>
      <c r="BG99" s="1513"/>
      <c r="BH99" s="1513"/>
      <c r="BI99" s="1513"/>
      <c r="BJ99" s="1513"/>
      <c r="BK99" s="1513"/>
      <c r="BL99" s="1513"/>
      <c r="BM99" s="1513"/>
      <c r="BN99" s="1513"/>
      <c r="BO99" s="1513"/>
      <c r="BP99" s="1513"/>
      <c r="BQ99" s="1513"/>
      <c r="BR99" s="1513"/>
      <c r="BS99" s="1513"/>
      <c r="BT99" s="1513"/>
      <c r="BU99" s="1513"/>
      <c r="BV99" s="1513"/>
      <c r="BW99" s="1513"/>
      <c r="BX99" s="1513"/>
      <c r="BY99" s="1513"/>
      <c r="BZ99" s="1513"/>
      <c r="CA99" s="1513"/>
      <c r="CB99" s="1513"/>
      <c r="CC99" s="1513"/>
      <c r="CD99" s="1513"/>
      <c r="CE99" s="1513"/>
      <c r="CF99" s="1513"/>
      <c r="CG99" s="1513"/>
      <c r="CH99" s="1513"/>
      <c r="CI99" s="897">
        <f t="shared" si="2"/>
        <v>0</v>
      </c>
    </row>
    <row r="100" spans="1:87">
      <c r="A100" s="390" t="s">
        <v>618</v>
      </c>
      <c r="B100" s="390" t="s">
        <v>606</v>
      </c>
      <c r="C100" s="390" t="s">
        <v>519</v>
      </c>
      <c r="D100" s="908" t="s">
        <v>65</v>
      </c>
      <c r="E100" s="1171" t="s">
        <v>3760</v>
      </c>
      <c r="F100" s="2210">
        <v>0</v>
      </c>
      <c r="G100" s="277"/>
      <c r="H100" s="3929">
        <v>0</v>
      </c>
      <c r="I100" s="3929"/>
      <c r="J100" s="3929"/>
      <c r="K100" s="3929"/>
      <c r="L100" s="3929"/>
      <c r="M100" s="3932">
        <f>L100/100000</f>
        <v>0</v>
      </c>
      <c r="N100" s="3929"/>
      <c r="O100" s="3923">
        <f>M100*N100</f>
        <v>0</v>
      </c>
      <c r="P100" s="272"/>
      <c r="Q100" s="3061"/>
      <c r="R100" s="3932"/>
      <c r="BB100" s="1513"/>
      <c r="BC100" s="1513"/>
      <c r="BD100" s="1513"/>
      <c r="BE100" s="1513"/>
      <c r="BF100" s="1513"/>
      <c r="BG100" s="1513"/>
      <c r="BH100" s="1513"/>
      <c r="BI100" s="1513"/>
      <c r="BJ100" s="1513"/>
      <c r="BK100" s="1513"/>
      <c r="BL100" s="1513"/>
      <c r="BM100" s="1513"/>
      <c r="BN100" s="1513"/>
      <c r="BO100" s="1513"/>
      <c r="BP100" s="1513"/>
      <c r="BQ100" s="1513"/>
      <c r="BR100" s="1513"/>
      <c r="BS100" s="1513"/>
      <c r="BT100" s="1513"/>
      <c r="BU100" s="1513"/>
      <c r="BV100" s="1513"/>
      <c r="BW100" s="1513"/>
      <c r="BX100" s="1513"/>
      <c r="BY100" s="1513"/>
      <c r="BZ100" s="1513"/>
      <c r="CA100" s="1513"/>
      <c r="CB100" s="1513"/>
      <c r="CC100" s="1513"/>
      <c r="CD100" s="1513"/>
      <c r="CE100" s="1513"/>
      <c r="CF100" s="1513"/>
      <c r="CG100" s="1513"/>
      <c r="CH100" s="1513"/>
      <c r="CI100" s="897">
        <f t="shared" si="2"/>
        <v>0</v>
      </c>
    </row>
    <row r="101" spans="1:87">
      <c r="A101" s="390" t="s">
        <v>621</v>
      </c>
      <c r="B101" s="390" t="s">
        <v>608</v>
      </c>
      <c r="C101" s="390" t="s">
        <v>609</v>
      </c>
      <c r="D101" s="908" t="s">
        <v>65</v>
      </c>
      <c r="E101" s="1171" t="s">
        <v>3760</v>
      </c>
      <c r="F101" s="2210">
        <v>0</v>
      </c>
      <c r="G101" s="277"/>
      <c r="H101" s="3930"/>
      <c r="I101" s="3930"/>
      <c r="J101" s="3930"/>
      <c r="K101" s="3930"/>
      <c r="L101" s="3930"/>
      <c r="M101" s="3933"/>
      <c r="N101" s="3930"/>
      <c r="O101" s="3924"/>
      <c r="P101" s="272"/>
      <c r="Q101" s="3061"/>
      <c r="R101" s="3933"/>
      <c r="BB101" s="1513"/>
      <c r="BC101" s="1513"/>
      <c r="BD101" s="1513"/>
      <c r="BE101" s="1513"/>
      <c r="BF101" s="1513"/>
      <c r="BG101" s="1513"/>
      <c r="BH101" s="1513"/>
      <c r="BI101" s="1513"/>
      <c r="BJ101" s="1513"/>
      <c r="BK101" s="1513"/>
      <c r="BL101" s="1513"/>
      <c r="BM101" s="1513"/>
      <c r="BN101" s="1513"/>
      <c r="BO101" s="1513"/>
      <c r="BP101" s="1513"/>
      <c r="BQ101" s="1513"/>
      <c r="BR101" s="1513"/>
      <c r="BS101" s="1513"/>
      <c r="BT101" s="1513"/>
      <c r="BU101" s="1513"/>
      <c r="BV101" s="1513"/>
      <c r="BW101" s="1513"/>
      <c r="BX101" s="1513"/>
      <c r="BY101" s="1513"/>
      <c r="BZ101" s="1513"/>
      <c r="CA101" s="1513"/>
      <c r="CB101" s="1513"/>
      <c r="CC101" s="1513"/>
      <c r="CD101" s="1513"/>
      <c r="CE101" s="1513"/>
      <c r="CF101" s="1513"/>
      <c r="CG101" s="1513"/>
      <c r="CH101" s="1513"/>
      <c r="CI101" s="897">
        <f t="shared" si="2"/>
        <v>0</v>
      </c>
    </row>
    <row r="102" spans="1:87">
      <c r="A102" s="390" t="s">
        <v>2783</v>
      </c>
      <c r="B102" s="390" t="s">
        <v>611</v>
      </c>
      <c r="C102" s="390" t="s">
        <v>438</v>
      </c>
      <c r="D102" s="908" t="s">
        <v>65</v>
      </c>
      <c r="E102" s="1171" t="s">
        <v>3760</v>
      </c>
      <c r="F102" s="2210">
        <v>0</v>
      </c>
      <c r="G102" s="277"/>
      <c r="H102" s="3930"/>
      <c r="I102" s="3930"/>
      <c r="J102" s="3930"/>
      <c r="K102" s="3930"/>
      <c r="L102" s="3930"/>
      <c r="M102" s="3933"/>
      <c r="N102" s="3930"/>
      <c r="O102" s="3924"/>
      <c r="P102" s="272"/>
      <c r="Q102" s="3061"/>
      <c r="R102" s="3933"/>
      <c r="BB102" s="1513"/>
      <c r="BC102" s="1513"/>
      <c r="BD102" s="1513"/>
      <c r="BE102" s="1513"/>
      <c r="BF102" s="1513"/>
      <c r="BG102" s="1513"/>
      <c r="BH102" s="1513"/>
      <c r="BI102" s="1513"/>
      <c r="BJ102" s="1513"/>
      <c r="BK102" s="1513"/>
      <c r="BL102" s="1513"/>
      <c r="BM102" s="1513"/>
      <c r="BN102" s="1513"/>
      <c r="BO102" s="1513"/>
      <c r="BP102" s="1513"/>
      <c r="BQ102" s="1513"/>
      <c r="BR102" s="1513"/>
      <c r="BS102" s="1513"/>
      <c r="BT102" s="1513"/>
      <c r="BU102" s="1513"/>
      <c r="BV102" s="1513"/>
      <c r="BW102" s="1513"/>
      <c r="BX102" s="1513"/>
      <c r="BY102" s="1513"/>
      <c r="BZ102" s="1513"/>
      <c r="CA102" s="1513"/>
      <c r="CB102" s="1513"/>
      <c r="CC102" s="1513"/>
      <c r="CD102" s="1513"/>
      <c r="CE102" s="1513"/>
      <c r="CF102" s="1513"/>
      <c r="CG102" s="1513"/>
      <c r="CH102" s="1513"/>
      <c r="CI102" s="897">
        <f t="shared" si="2"/>
        <v>0</v>
      </c>
    </row>
    <row r="103" spans="1:87">
      <c r="A103" s="390" t="s">
        <v>2784</v>
      </c>
      <c r="B103" s="390" t="s">
        <v>613</v>
      </c>
      <c r="C103" s="390" t="s">
        <v>570</v>
      </c>
      <c r="D103" s="908" t="s">
        <v>65</v>
      </c>
      <c r="E103" s="1171" t="s">
        <v>3760</v>
      </c>
      <c r="F103" s="2210">
        <v>0</v>
      </c>
      <c r="G103" s="277"/>
      <c r="H103" s="3930"/>
      <c r="I103" s="3930"/>
      <c r="J103" s="3930"/>
      <c r="K103" s="3930"/>
      <c r="L103" s="3930"/>
      <c r="M103" s="3933"/>
      <c r="N103" s="3930"/>
      <c r="O103" s="3924"/>
      <c r="P103" s="272"/>
      <c r="Q103" s="3061"/>
      <c r="R103" s="3933"/>
      <c r="BB103" s="1513"/>
      <c r="BC103" s="1513"/>
      <c r="BD103" s="1513"/>
      <c r="BE103" s="1513"/>
      <c r="BF103" s="1513"/>
      <c r="BG103" s="1513"/>
      <c r="BH103" s="1513"/>
      <c r="BI103" s="1513"/>
      <c r="BJ103" s="1513"/>
      <c r="BK103" s="1513"/>
      <c r="BL103" s="1513"/>
      <c r="BM103" s="1513"/>
      <c r="BN103" s="1513"/>
      <c r="BO103" s="1513"/>
      <c r="BP103" s="1513"/>
      <c r="BQ103" s="1513"/>
      <c r="BR103" s="1513"/>
      <c r="BS103" s="1513"/>
      <c r="BT103" s="1513"/>
      <c r="BU103" s="1513"/>
      <c r="BV103" s="1513"/>
      <c r="BW103" s="1513"/>
      <c r="BX103" s="1513"/>
      <c r="BY103" s="1513"/>
      <c r="BZ103" s="1513"/>
      <c r="CA103" s="1513"/>
      <c r="CB103" s="1513"/>
      <c r="CC103" s="1513"/>
      <c r="CD103" s="1513"/>
      <c r="CE103" s="1513"/>
      <c r="CF103" s="1513"/>
      <c r="CG103" s="1513"/>
      <c r="CH103" s="1513"/>
      <c r="CI103" s="897">
        <f t="shared" si="2"/>
        <v>0</v>
      </c>
    </row>
    <row r="104" spans="1:87">
      <c r="A104" s="390" t="s">
        <v>2785</v>
      </c>
      <c r="B104" s="390" t="s">
        <v>614</v>
      </c>
      <c r="C104" s="390" t="s">
        <v>302</v>
      </c>
      <c r="D104" s="908" t="s">
        <v>65</v>
      </c>
      <c r="E104" s="1171" t="s">
        <v>3760</v>
      </c>
      <c r="F104" s="2210">
        <v>0</v>
      </c>
      <c r="G104" s="277"/>
      <c r="H104" s="3931"/>
      <c r="I104" s="3931"/>
      <c r="J104" s="3931"/>
      <c r="K104" s="3931"/>
      <c r="L104" s="3931"/>
      <c r="M104" s="3934"/>
      <c r="N104" s="3931"/>
      <c r="O104" s="3925"/>
      <c r="P104" s="272"/>
      <c r="Q104" s="3061"/>
      <c r="R104" s="3934"/>
      <c r="BB104" s="1513"/>
      <c r="BC104" s="1513"/>
      <c r="BD104" s="1513"/>
      <c r="BE104" s="1513"/>
      <c r="BF104" s="1513"/>
      <c r="BG104" s="1513"/>
      <c r="BH104" s="1513"/>
      <c r="BI104" s="1513"/>
      <c r="BJ104" s="1513"/>
      <c r="BK104" s="1513"/>
      <c r="BL104" s="1513"/>
      <c r="BM104" s="1513"/>
      <c r="BN104" s="1513"/>
      <c r="BO104" s="1513"/>
      <c r="BP104" s="1513"/>
      <c r="BQ104" s="1513"/>
      <c r="BR104" s="1513"/>
      <c r="BS104" s="1513"/>
      <c r="BT104" s="1513"/>
      <c r="BU104" s="1513"/>
      <c r="BV104" s="1513"/>
      <c r="BW104" s="1513"/>
      <c r="BX104" s="1513"/>
      <c r="BY104" s="1513"/>
      <c r="BZ104" s="1513"/>
      <c r="CA104" s="1513"/>
      <c r="CB104" s="1513"/>
      <c r="CC104" s="1513"/>
      <c r="CD104" s="1513"/>
      <c r="CE104" s="1513"/>
      <c r="CF104" s="1513"/>
      <c r="CG104" s="1513"/>
      <c r="CH104" s="1513"/>
      <c r="CI104" s="897">
        <f t="shared" si="2"/>
        <v>0</v>
      </c>
    </row>
    <row r="105" spans="1:87" ht="30">
      <c r="A105" s="880" t="s">
        <v>653</v>
      </c>
      <c r="B105" s="936" t="s">
        <v>603</v>
      </c>
      <c r="C105" s="85" t="s">
        <v>2331</v>
      </c>
      <c r="D105" s="997" t="s">
        <v>65</v>
      </c>
      <c r="E105" s="997" t="s">
        <v>3760</v>
      </c>
      <c r="F105" s="237"/>
      <c r="G105" s="237"/>
      <c r="H105" s="237"/>
      <c r="I105" s="237"/>
      <c r="J105" s="237"/>
      <c r="K105" s="237"/>
      <c r="L105" s="237"/>
      <c r="M105" s="1444"/>
      <c r="N105" s="51"/>
      <c r="O105" s="2905">
        <f>SUM(O106:O107)</f>
        <v>4534.7782200000001</v>
      </c>
      <c r="P105" s="97"/>
      <c r="Q105" s="3066"/>
      <c r="R105" s="116">
        <f>SUM(R106:R107)</f>
        <v>4534.7782200000001</v>
      </c>
      <c r="U105" s="3132"/>
      <c r="BB105" s="1513"/>
      <c r="BC105" s="1513"/>
      <c r="BD105" s="1513"/>
      <c r="BE105" s="1513"/>
      <c r="BF105" s="1513"/>
      <c r="BG105" s="1513"/>
      <c r="BH105" s="1513"/>
      <c r="BI105" s="1513"/>
      <c r="BJ105" s="1513"/>
      <c r="BK105" s="1513"/>
      <c r="BL105" s="1513"/>
      <c r="BM105" s="1513"/>
      <c r="BN105" s="1513"/>
      <c r="BO105" s="1513"/>
      <c r="BP105" s="1513"/>
      <c r="BQ105" s="1513"/>
      <c r="BR105" s="1513"/>
      <c r="BS105" s="1513"/>
      <c r="BT105" s="1513"/>
      <c r="BU105" s="1513"/>
      <c r="BV105" s="1513"/>
      <c r="BW105" s="1513"/>
      <c r="BX105" s="1513"/>
      <c r="BY105" s="1513"/>
      <c r="BZ105" s="1513"/>
      <c r="CA105" s="1513"/>
      <c r="CB105" s="1513"/>
      <c r="CC105" s="1513"/>
      <c r="CD105" s="1513"/>
      <c r="CE105" s="1513"/>
      <c r="CF105" s="1513"/>
      <c r="CG105" s="1513"/>
      <c r="CH105" s="1513"/>
      <c r="CI105" s="897">
        <f t="shared" si="2"/>
        <v>0</v>
      </c>
    </row>
    <row r="106" spans="1:87" s="1439" customFormat="1" ht="98.25" customHeight="1">
      <c r="A106" s="391" t="s">
        <v>656</v>
      </c>
      <c r="B106" s="391"/>
      <c r="C106" s="391" t="s">
        <v>2332</v>
      </c>
      <c r="D106" s="982" t="s">
        <v>65</v>
      </c>
      <c r="E106" s="2630" t="s">
        <v>4218</v>
      </c>
      <c r="F106" s="2307">
        <v>1138</v>
      </c>
      <c r="G106" s="613">
        <v>338</v>
      </c>
      <c r="H106" s="2307">
        <v>2214</v>
      </c>
      <c r="I106" s="613">
        <v>904.91</v>
      </c>
      <c r="J106" s="613">
        <v>1000</v>
      </c>
      <c r="K106" s="613">
        <v>1</v>
      </c>
      <c r="L106" s="283">
        <v>187202</v>
      </c>
      <c r="M106" s="2308">
        <f>L106/100000</f>
        <v>1.87202</v>
      </c>
      <c r="N106" s="283">
        <v>1514</v>
      </c>
      <c r="O106" s="2906">
        <f>M106*N106</f>
        <v>2834.23828</v>
      </c>
      <c r="P106" s="2299" t="s">
        <v>5496</v>
      </c>
      <c r="Q106" s="3070" t="str">
        <f>'Abs6. CPHC'!Q18</f>
        <v xml:space="preserve">Recommended for approvalRs. 2834.24 L1) 2265 L for salary of 755 CHO @ Rs 25000 for 12 months2) Rs. 569.25 L for salary of 759 CHO @ Rs 25000 for 3 monthsState has shared that in compliance with GoI directive, all CHOs will be  recruited on NHM contract and will not be on outsourced basis. </v>
      </c>
      <c r="R106" s="704">
        <v>2834.23828</v>
      </c>
      <c r="U106" s="3132"/>
      <c r="BB106" s="2571">
        <v>2834.24</v>
      </c>
      <c r="BC106" s="2571"/>
      <c r="BD106" s="2571"/>
      <c r="BE106" s="2571"/>
      <c r="BF106" s="2571"/>
      <c r="BG106" s="2571"/>
      <c r="BH106" s="2571"/>
      <c r="BI106" s="2571"/>
      <c r="BJ106" s="2571"/>
      <c r="BK106" s="2571"/>
      <c r="BL106" s="2571"/>
      <c r="BM106" s="2571"/>
      <c r="BN106" s="2571"/>
      <c r="BO106" s="2571"/>
      <c r="BP106" s="2571"/>
      <c r="BQ106" s="2571"/>
      <c r="BR106" s="2571"/>
      <c r="BS106" s="2571"/>
      <c r="BT106" s="2571"/>
      <c r="BU106" s="2571"/>
      <c r="BV106" s="2571"/>
      <c r="BW106" s="2571"/>
      <c r="BX106" s="2571"/>
      <c r="BY106" s="2571"/>
      <c r="BZ106" s="2571"/>
      <c r="CA106" s="2571"/>
      <c r="CB106" s="2571"/>
      <c r="CC106" s="2571"/>
      <c r="CD106" s="2571"/>
      <c r="CE106" s="2571"/>
      <c r="CF106" s="2571"/>
      <c r="CG106" s="2571"/>
      <c r="CH106" s="2571"/>
      <c r="CI106" s="897">
        <f t="shared" si="2"/>
        <v>2834.24</v>
      </c>
    </row>
    <row r="107" spans="1:87" s="1439" customFormat="1" ht="105">
      <c r="A107" s="391" t="s">
        <v>659</v>
      </c>
      <c r="B107" s="391"/>
      <c r="C107" s="391" t="s">
        <v>2333</v>
      </c>
      <c r="D107" s="982" t="s">
        <v>65</v>
      </c>
      <c r="E107" s="2630" t="s">
        <v>4218</v>
      </c>
      <c r="F107" s="2631"/>
      <c r="G107" s="283"/>
      <c r="H107" s="2631">
        <v>1328.4</v>
      </c>
      <c r="I107" s="283">
        <v>103.12</v>
      </c>
      <c r="J107" s="283">
        <v>1225.28</v>
      </c>
      <c r="K107" s="283">
        <v>1</v>
      </c>
      <c r="L107" s="283">
        <v>112321</v>
      </c>
      <c r="M107" s="2308">
        <f>L107/100000</f>
        <v>1.12321</v>
      </c>
      <c r="N107" s="283">
        <v>1514</v>
      </c>
      <c r="O107" s="2906">
        <f>M107*N107</f>
        <v>1700.5399400000001</v>
      </c>
      <c r="P107" s="2299" t="s">
        <v>5447</v>
      </c>
      <c r="Q107" s="3070" t="str">
        <f>'Abs6. CPHC'!Q19</f>
        <v>Recommended for approvalRs. 1700.54 L1) Rs. 1359 L as PLI for 755 CHO @ Rs 15000 for 12 months2)  Rs. 341.55 L  as PLI for 759 CHO @ Rs 15000 for 3 months</v>
      </c>
      <c r="R107" s="704">
        <v>1700.5399400000001</v>
      </c>
      <c r="U107" s="3132"/>
      <c r="BB107" s="2571">
        <v>355.94</v>
      </c>
      <c r="BC107" s="2571">
        <v>88.2</v>
      </c>
      <c r="BD107" s="2571">
        <v>72</v>
      </c>
      <c r="BE107" s="2571">
        <v>93.6</v>
      </c>
      <c r="BF107" s="2571">
        <v>324</v>
      </c>
      <c r="BG107" s="2571">
        <v>5.4</v>
      </c>
      <c r="BH107" s="2571">
        <v>97.2</v>
      </c>
      <c r="BI107" s="2571">
        <v>3.6</v>
      </c>
      <c r="BJ107" s="2571">
        <v>428.4</v>
      </c>
      <c r="BK107" s="2571">
        <v>70.2</v>
      </c>
      <c r="BL107" s="2571">
        <v>41.4</v>
      </c>
      <c r="BM107" s="2571">
        <v>88.2</v>
      </c>
      <c r="BN107" s="2571">
        <v>32.4</v>
      </c>
      <c r="BO107" s="2571"/>
      <c r="BP107" s="2571"/>
      <c r="BQ107" s="2571"/>
      <c r="BR107" s="2571"/>
      <c r="BS107" s="2571"/>
      <c r="BT107" s="2571"/>
      <c r="BU107" s="2571"/>
      <c r="BV107" s="2571"/>
      <c r="BW107" s="2571"/>
      <c r="BX107" s="2571"/>
      <c r="BY107" s="2571"/>
      <c r="BZ107" s="2571"/>
      <c r="CA107" s="2571"/>
      <c r="CB107" s="2571"/>
      <c r="CC107" s="2571"/>
      <c r="CD107" s="2571"/>
      <c r="CE107" s="2571"/>
      <c r="CF107" s="2571"/>
      <c r="CG107" s="2571"/>
      <c r="CH107" s="2571"/>
      <c r="CI107" s="897">
        <f t="shared" si="2"/>
        <v>1700.54</v>
      </c>
    </row>
    <row r="108" spans="1:87">
      <c r="A108" s="880" t="s">
        <v>666</v>
      </c>
      <c r="B108" s="936" t="s">
        <v>616</v>
      </c>
      <c r="C108" s="85" t="s">
        <v>617</v>
      </c>
      <c r="D108" s="997" t="s">
        <v>65</v>
      </c>
      <c r="E108" s="997" t="s">
        <v>3760</v>
      </c>
      <c r="F108" s="237"/>
      <c r="G108" s="237"/>
      <c r="H108" s="237"/>
      <c r="I108" s="237"/>
      <c r="J108" s="237"/>
      <c r="K108" s="237"/>
      <c r="L108" s="237"/>
      <c r="M108" s="1443"/>
      <c r="N108" s="51"/>
      <c r="O108" s="2905">
        <f>SUM(O109:O130)</f>
        <v>176.49943999999999</v>
      </c>
      <c r="P108" s="97"/>
      <c r="Q108" s="3066"/>
      <c r="R108" s="116">
        <f>SUM(R109:R130)</f>
        <v>176.49943999999999</v>
      </c>
      <c r="U108" s="3132"/>
      <c r="BB108" s="1513"/>
      <c r="BC108" s="1513"/>
      <c r="BD108" s="1513"/>
      <c r="BE108" s="1513"/>
      <c r="BF108" s="1513"/>
      <c r="BG108" s="1513"/>
      <c r="BH108" s="1513"/>
      <c r="BI108" s="1513"/>
      <c r="BJ108" s="1513"/>
      <c r="BK108" s="1513"/>
      <c r="BL108" s="1513"/>
      <c r="BM108" s="1513"/>
      <c r="BN108" s="1513"/>
      <c r="BO108" s="1513"/>
      <c r="BP108" s="1513"/>
      <c r="BQ108" s="1513"/>
      <c r="BR108" s="1513"/>
      <c r="BS108" s="1513"/>
      <c r="BT108" s="1513"/>
      <c r="BU108" s="1513"/>
      <c r="BV108" s="1513"/>
      <c r="BW108" s="1513"/>
      <c r="BX108" s="1513"/>
      <c r="BY108" s="1513"/>
      <c r="BZ108" s="1513"/>
      <c r="CA108" s="1513"/>
      <c r="CB108" s="1513"/>
      <c r="CC108" s="1513"/>
      <c r="CD108" s="1513"/>
      <c r="CE108" s="1513"/>
      <c r="CF108" s="1513"/>
      <c r="CG108" s="1513"/>
      <c r="CH108" s="1513"/>
      <c r="CI108" s="897">
        <f t="shared" si="2"/>
        <v>0</v>
      </c>
    </row>
    <row r="109" spans="1:87" ht="80.25" customHeight="1" thickBot="1">
      <c r="A109" s="390" t="s">
        <v>669</v>
      </c>
      <c r="B109" s="390" t="s">
        <v>619</v>
      </c>
      <c r="C109" s="390" t="s">
        <v>620</v>
      </c>
      <c r="D109" s="908" t="s">
        <v>65</v>
      </c>
      <c r="E109" s="1171" t="s">
        <v>3760</v>
      </c>
      <c r="F109" s="2209">
        <v>71</v>
      </c>
      <c r="G109" s="392">
        <v>42</v>
      </c>
      <c r="H109" s="3938">
        <v>205.57</v>
      </c>
      <c r="I109" s="3935">
        <v>34.6</v>
      </c>
      <c r="J109" s="3935">
        <v>169.77</v>
      </c>
      <c r="K109" s="3935"/>
      <c r="L109" s="3929">
        <v>129779</v>
      </c>
      <c r="M109" s="3932">
        <f>L109/100000</f>
        <v>1.29779</v>
      </c>
      <c r="N109" s="3929">
        <v>136</v>
      </c>
      <c r="O109" s="3946">
        <f>M109*N109</f>
        <v>176.49943999999999</v>
      </c>
      <c r="P109" s="332"/>
      <c r="Q109" s="2912" t="s">
        <v>5935</v>
      </c>
      <c r="R109" s="3946">
        <v>176.49943999999999</v>
      </c>
      <c r="U109" s="3132"/>
      <c r="BB109" s="1513">
        <v>30.54</v>
      </c>
      <c r="BC109" s="1513">
        <f>+(1*10000*12)*105%/100000</f>
        <v>1.26</v>
      </c>
      <c r="BD109" s="1513">
        <f>+(2*10000*12+1*13611*12)*105%/100000</f>
        <v>4.2349860000000001</v>
      </c>
      <c r="BE109" s="1513">
        <f>+(1*10000*12+1*12973*12)*105%/100000</f>
        <v>2.8945979999999998</v>
      </c>
      <c r="BF109" s="1513">
        <f>+(1*21082*12+1*10000*12)*105%/100000</f>
        <v>3.9163320000000001</v>
      </c>
      <c r="BG109" s="1513">
        <f>+(1*21138*12+1*10000*12+1*12973*12)*105%/100000</f>
        <v>5.5579859999999996</v>
      </c>
      <c r="BH109" s="1513">
        <f>+(2*20141*12+1*12973*12)*105%/100000</f>
        <v>6.7101300000000004</v>
      </c>
      <c r="BI109" s="1513">
        <f>+(1*20047*12)*105%/100000</f>
        <v>2.525922</v>
      </c>
      <c r="BJ109" s="1513">
        <f>+(1*9091*12+1*19992*12+1*10000*12+1*11793*12)*105%/100000</f>
        <v>6.4103759999999994</v>
      </c>
      <c r="BK109" s="1513">
        <f>+(3*9091*12+2*21138*12+1*11793*12+1*12355*12)*105%/100000</f>
        <v>11.805821999999999</v>
      </c>
      <c r="BL109" s="1513">
        <f>+(1*21138*12+1*10000*12+1*12972*12)*105%/100000</f>
        <v>5.5578599999999998</v>
      </c>
      <c r="BM109" s="1513">
        <f>+(1*9091*12+1*21138*12+1*10000*12+1*12972*12)*105%/100000</f>
        <v>6.7033259999999997</v>
      </c>
      <c r="BN109" s="1513">
        <f>+(1*10000*12+1*11793*12)*105%/100000</f>
        <v>2.7459180000000001</v>
      </c>
      <c r="BO109" s="1513"/>
      <c r="BP109" s="1513"/>
      <c r="BQ109" s="1513"/>
      <c r="BR109" s="1513"/>
      <c r="BS109" s="1513"/>
      <c r="BT109" s="1513"/>
      <c r="BU109" s="1513"/>
      <c r="BV109" s="1513"/>
      <c r="BW109" s="1513"/>
      <c r="BX109" s="1513"/>
      <c r="BY109" s="1513"/>
      <c r="BZ109" s="1513"/>
      <c r="CA109" s="1513"/>
      <c r="CB109" s="1513"/>
      <c r="CC109" s="1513"/>
      <c r="CD109" s="1513"/>
      <c r="CE109" s="1513"/>
      <c r="CF109" s="1513"/>
      <c r="CG109" s="1513"/>
      <c r="CH109" s="1513"/>
      <c r="CI109" s="897">
        <f t="shared" si="2"/>
        <v>90.863256000000021</v>
      </c>
    </row>
    <row r="110" spans="1:87" ht="51.75" thickBot="1">
      <c r="A110" s="390" t="s">
        <v>672</v>
      </c>
      <c r="B110" s="390" t="s">
        <v>622</v>
      </c>
      <c r="C110" s="390" t="s">
        <v>562</v>
      </c>
      <c r="D110" s="908" t="s">
        <v>65</v>
      </c>
      <c r="E110" s="1171" t="s">
        <v>3760</v>
      </c>
      <c r="F110" s="2209">
        <v>1</v>
      </c>
      <c r="G110" s="392">
        <v>0</v>
      </c>
      <c r="H110" s="3939"/>
      <c r="I110" s="3936"/>
      <c r="J110" s="3936"/>
      <c r="K110" s="3936"/>
      <c r="L110" s="3930"/>
      <c r="M110" s="3933"/>
      <c r="N110" s="3930"/>
      <c r="O110" s="3947"/>
      <c r="P110" s="628"/>
      <c r="Q110" s="3054" t="s">
        <v>5788</v>
      </c>
      <c r="R110" s="3947"/>
      <c r="BB110" s="1513">
        <v>1.8</v>
      </c>
      <c r="BC110" s="1513"/>
      <c r="BD110" s="1513"/>
      <c r="BE110" s="1513"/>
      <c r="BF110" s="1513"/>
      <c r="BG110" s="1513"/>
      <c r="BH110" s="1513"/>
      <c r="BI110" s="1513"/>
      <c r="BJ110" s="1513"/>
      <c r="BK110" s="1513"/>
      <c r="BL110" s="1513"/>
      <c r="BM110" s="1513"/>
      <c r="BN110" s="1513"/>
      <c r="BO110" s="1513"/>
      <c r="BP110" s="1513"/>
      <c r="BQ110" s="1513"/>
      <c r="BR110" s="1513"/>
      <c r="BS110" s="1513"/>
      <c r="BT110" s="1513"/>
      <c r="BU110" s="1513"/>
      <c r="BV110" s="1513"/>
      <c r="BW110" s="1513"/>
      <c r="BX110" s="1513"/>
      <c r="BY110" s="1513"/>
      <c r="BZ110" s="1513"/>
      <c r="CA110" s="1513"/>
      <c r="CB110" s="1513"/>
      <c r="CC110" s="1513"/>
      <c r="CD110" s="1513"/>
      <c r="CE110" s="1513"/>
      <c r="CF110" s="1513"/>
      <c r="CG110" s="1513"/>
      <c r="CH110" s="1513"/>
      <c r="CI110" s="897">
        <f t="shared" si="2"/>
        <v>1.8</v>
      </c>
    </row>
    <row r="111" spans="1:87" ht="51.75" thickBot="1">
      <c r="A111" s="390" t="s">
        <v>675</v>
      </c>
      <c r="B111" s="390" t="s">
        <v>650</v>
      </c>
      <c r="C111" s="390" t="s">
        <v>651</v>
      </c>
      <c r="D111" s="908" t="s">
        <v>65</v>
      </c>
      <c r="E111" s="1171" t="s">
        <v>3760</v>
      </c>
      <c r="F111" s="2209">
        <v>1</v>
      </c>
      <c r="G111" s="392">
        <v>0</v>
      </c>
      <c r="H111" s="3939"/>
      <c r="I111" s="3936"/>
      <c r="J111" s="3936"/>
      <c r="K111" s="3936"/>
      <c r="L111" s="3930"/>
      <c r="M111" s="3933"/>
      <c r="N111" s="3930"/>
      <c r="O111" s="3947"/>
      <c r="P111" s="367"/>
      <c r="Q111" s="3054" t="s">
        <v>5789</v>
      </c>
      <c r="R111" s="3947"/>
      <c r="BB111" s="1513">
        <v>1.2</v>
      </c>
      <c r="BC111" s="1513"/>
      <c r="BD111" s="1513"/>
      <c r="BE111" s="1513"/>
      <c r="BF111" s="1513"/>
      <c r="BG111" s="1513"/>
      <c r="BH111" s="1513"/>
      <c r="BI111" s="1513"/>
      <c r="BJ111" s="1513"/>
      <c r="BK111" s="1513"/>
      <c r="BL111" s="1513"/>
      <c r="BM111" s="1513"/>
      <c r="BN111" s="1513"/>
      <c r="BO111" s="1513"/>
      <c r="BP111" s="1513"/>
      <c r="BQ111" s="1513"/>
      <c r="BR111" s="1513"/>
      <c r="BS111" s="1513"/>
      <c r="BT111" s="1513"/>
      <c r="BU111" s="1513"/>
      <c r="BV111" s="1513"/>
      <c r="BW111" s="1513"/>
      <c r="BX111" s="1513"/>
      <c r="BY111" s="1513"/>
      <c r="BZ111" s="1513"/>
      <c r="CA111" s="1513"/>
      <c r="CB111" s="1513"/>
      <c r="CC111" s="1513"/>
      <c r="CD111" s="1513"/>
      <c r="CE111" s="1513"/>
      <c r="CF111" s="1513"/>
      <c r="CG111" s="1513"/>
      <c r="CH111" s="1513"/>
      <c r="CI111" s="897">
        <f t="shared" si="2"/>
        <v>1.2</v>
      </c>
    </row>
    <row r="112" spans="1:87">
      <c r="A112" s="390" t="s">
        <v>678</v>
      </c>
      <c r="B112" s="390" t="s">
        <v>491</v>
      </c>
      <c r="C112" s="390" t="s">
        <v>492</v>
      </c>
      <c r="D112" s="908" t="s">
        <v>65</v>
      </c>
      <c r="E112" s="1171" t="s">
        <v>3760</v>
      </c>
      <c r="F112" s="2209">
        <v>0</v>
      </c>
      <c r="G112" s="392"/>
      <c r="H112" s="3939"/>
      <c r="I112" s="3936"/>
      <c r="J112" s="3936"/>
      <c r="K112" s="3936"/>
      <c r="L112" s="3930"/>
      <c r="M112" s="3933"/>
      <c r="N112" s="3930"/>
      <c r="O112" s="3947"/>
      <c r="P112" s="367"/>
      <c r="Q112" s="3061"/>
      <c r="R112" s="3947"/>
      <c r="BB112" s="1513"/>
      <c r="BC112" s="1513"/>
      <c r="BD112" s="1513"/>
      <c r="BE112" s="1513"/>
      <c r="BF112" s="1513"/>
      <c r="BG112" s="1513"/>
      <c r="BH112" s="1513"/>
      <c r="BI112" s="1513"/>
      <c r="BJ112" s="1513"/>
      <c r="BK112" s="1513"/>
      <c r="BL112" s="1513"/>
      <c r="BM112" s="1513"/>
      <c r="BN112" s="1513"/>
      <c r="BO112" s="1513"/>
      <c r="BP112" s="1513"/>
      <c r="BQ112" s="1513"/>
      <c r="BR112" s="1513"/>
      <c r="BS112" s="1513"/>
      <c r="BT112" s="1513"/>
      <c r="BU112" s="1513"/>
      <c r="BV112" s="1513"/>
      <c r="BW112" s="1513"/>
      <c r="BX112" s="1513"/>
      <c r="BY112" s="1513"/>
      <c r="BZ112" s="1513"/>
      <c r="CA112" s="1513"/>
      <c r="CB112" s="1513"/>
      <c r="CC112" s="1513"/>
      <c r="CD112" s="1513"/>
      <c r="CE112" s="1513"/>
      <c r="CF112" s="1513"/>
      <c r="CG112" s="1513"/>
      <c r="CH112" s="1513"/>
      <c r="CI112" s="897">
        <f t="shared" si="2"/>
        <v>0</v>
      </c>
    </row>
    <row r="113" spans="1:87" ht="51.75" thickBot="1">
      <c r="A113" s="390" t="s">
        <v>680</v>
      </c>
      <c r="B113" s="390" t="s">
        <v>644</v>
      </c>
      <c r="C113" s="390" t="s">
        <v>645</v>
      </c>
      <c r="D113" s="908" t="s">
        <v>65</v>
      </c>
      <c r="E113" s="1171" t="s">
        <v>3760</v>
      </c>
      <c r="F113" s="2209">
        <v>10</v>
      </c>
      <c r="G113" s="392">
        <v>0</v>
      </c>
      <c r="H113" s="3939"/>
      <c r="I113" s="3936"/>
      <c r="J113" s="3936"/>
      <c r="K113" s="3936"/>
      <c r="L113" s="3930"/>
      <c r="M113" s="3933"/>
      <c r="N113" s="3930"/>
      <c r="O113" s="3947"/>
      <c r="P113" s="326"/>
      <c r="Q113" s="3054" t="s">
        <v>5790</v>
      </c>
      <c r="R113" s="3947"/>
      <c r="BB113" s="1513">
        <v>24</v>
      </c>
      <c r="BC113" s="1513"/>
      <c r="BD113" s="1513"/>
      <c r="BE113" s="1513"/>
      <c r="BF113" s="1513"/>
      <c r="BG113" s="1513"/>
      <c r="BH113" s="1513"/>
      <c r="BI113" s="1513"/>
      <c r="BJ113" s="1513"/>
      <c r="BK113" s="1513"/>
      <c r="BL113" s="1513"/>
      <c r="BM113" s="1513"/>
      <c r="BN113" s="1513"/>
      <c r="BO113" s="1513"/>
      <c r="BP113" s="1513"/>
      <c r="BQ113" s="1513"/>
      <c r="BR113" s="1513"/>
      <c r="BS113" s="1513"/>
      <c r="BT113" s="1513"/>
      <c r="BU113" s="1513"/>
      <c r="BV113" s="1513"/>
      <c r="BW113" s="1513"/>
      <c r="BX113" s="1513"/>
      <c r="BY113" s="1513"/>
      <c r="BZ113" s="1513"/>
      <c r="CA113" s="1513"/>
      <c r="CB113" s="1513"/>
      <c r="CC113" s="1513"/>
      <c r="CD113" s="1513"/>
      <c r="CE113" s="1513"/>
      <c r="CF113" s="1513"/>
      <c r="CG113" s="1513"/>
      <c r="CH113" s="1513"/>
      <c r="CI113" s="897">
        <f t="shared" si="2"/>
        <v>24</v>
      </c>
    </row>
    <row r="114" spans="1:87" ht="51.75" thickBot="1">
      <c r="A114" s="390" t="s">
        <v>2786</v>
      </c>
      <c r="B114" s="390" t="s">
        <v>623</v>
      </c>
      <c r="C114" s="390" t="s">
        <v>624</v>
      </c>
      <c r="D114" s="908" t="s">
        <v>65</v>
      </c>
      <c r="E114" s="1171" t="s">
        <v>3760</v>
      </c>
      <c r="F114" s="2209">
        <v>24</v>
      </c>
      <c r="G114" s="392">
        <v>3</v>
      </c>
      <c r="H114" s="3939"/>
      <c r="I114" s="3936"/>
      <c r="J114" s="3936"/>
      <c r="K114" s="3936"/>
      <c r="L114" s="3930"/>
      <c r="M114" s="3933"/>
      <c r="N114" s="3930"/>
      <c r="O114" s="3947"/>
      <c r="P114" s="628"/>
      <c r="Q114" s="3054" t="s">
        <v>5791</v>
      </c>
      <c r="R114" s="3947"/>
      <c r="BB114" s="1513">
        <v>25.2</v>
      </c>
      <c r="BC114" s="1513"/>
      <c r="BD114" s="1513"/>
      <c r="BE114" s="1513"/>
      <c r="BF114" s="1513">
        <f>+(1*10000*12)*105%/100000</f>
        <v>1.26</v>
      </c>
      <c r="BG114" s="1513">
        <f>+(1*10000*12)*105%/100000</f>
        <v>1.26</v>
      </c>
      <c r="BH114" s="1513"/>
      <c r="BI114" s="1513"/>
      <c r="BJ114" s="1513">
        <f>+(1*10000*12)*105%/100000</f>
        <v>1.26</v>
      </c>
      <c r="BK114" s="1513"/>
      <c r="BL114" s="1513"/>
      <c r="BM114" s="1513"/>
      <c r="BN114" s="1513"/>
      <c r="BO114" s="1513"/>
      <c r="BP114" s="1513"/>
      <c r="BQ114" s="1513"/>
      <c r="BR114" s="1513"/>
      <c r="BS114" s="1513"/>
      <c r="BT114" s="1513"/>
      <c r="BU114" s="1513"/>
      <c r="BV114" s="1513"/>
      <c r="BW114" s="1513"/>
      <c r="BX114" s="1513"/>
      <c r="BY114" s="1513"/>
      <c r="BZ114" s="1513"/>
      <c r="CA114" s="1513"/>
      <c r="CB114" s="1513"/>
      <c r="CC114" s="1513"/>
      <c r="CD114" s="1513"/>
      <c r="CE114" s="1513"/>
      <c r="CF114" s="1513"/>
      <c r="CG114" s="1513"/>
      <c r="CH114" s="1513"/>
      <c r="CI114" s="897">
        <f t="shared" si="2"/>
        <v>28.980000000000004</v>
      </c>
    </row>
    <row r="115" spans="1:87">
      <c r="A115" s="390" t="s">
        <v>2787</v>
      </c>
      <c r="B115" s="390" t="s">
        <v>627</v>
      </c>
      <c r="C115" s="390" t="s">
        <v>628</v>
      </c>
      <c r="D115" s="908" t="s">
        <v>65</v>
      </c>
      <c r="E115" s="1171" t="s">
        <v>3760</v>
      </c>
      <c r="F115" s="2209">
        <v>0</v>
      </c>
      <c r="G115" s="392"/>
      <c r="H115" s="3939"/>
      <c r="I115" s="3936"/>
      <c r="J115" s="3936"/>
      <c r="K115" s="3936"/>
      <c r="L115" s="3930"/>
      <c r="M115" s="3933"/>
      <c r="N115" s="3930"/>
      <c r="O115" s="3947"/>
      <c r="P115" s="367"/>
      <c r="Q115" s="3061"/>
      <c r="R115" s="3947"/>
      <c r="BB115" s="1513"/>
      <c r="BC115" s="1513"/>
      <c r="BD115" s="1513"/>
      <c r="BE115" s="1513"/>
      <c r="BF115" s="1513"/>
      <c r="BG115" s="1513"/>
      <c r="BH115" s="1513"/>
      <c r="BI115" s="1513"/>
      <c r="BJ115" s="1513"/>
      <c r="BK115" s="1513"/>
      <c r="BL115" s="1513"/>
      <c r="BM115" s="1513"/>
      <c r="BN115" s="1513"/>
      <c r="BO115" s="1513"/>
      <c r="BP115" s="1513"/>
      <c r="BQ115" s="1513"/>
      <c r="BR115" s="1513"/>
      <c r="BS115" s="1513"/>
      <c r="BT115" s="1513"/>
      <c r="BU115" s="1513"/>
      <c r="BV115" s="1513"/>
      <c r="BW115" s="1513"/>
      <c r="BX115" s="1513"/>
      <c r="BY115" s="1513"/>
      <c r="BZ115" s="1513"/>
      <c r="CA115" s="1513"/>
      <c r="CB115" s="1513"/>
      <c r="CC115" s="1513"/>
      <c r="CD115" s="1513"/>
      <c r="CE115" s="1513"/>
      <c r="CF115" s="1513"/>
      <c r="CG115" s="1513"/>
      <c r="CH115" s="1513"/>
      <c r="CI115" s="897">
        <f t="shared" si="2"/>
        <v>0</v>
      </c>
    </row>
    <row r="116" spans="1:87">
      <c r="A116" s="390" t="s">
        <v>2788</v>
      </c>
      <c r="B116" s="390" t="s">
        <v>625</v>
      </c>
      <c r="C116" s="390" t="s">
        <v>626</v>
      </c>
      <c r="D116" s="908" t="s">
        <v>65</v>
      </c>
      <c r="E116" s="1171" t="s">
        <v>3760</v>
      </c>
      <c r="F116" s="2209">
        <v>0</v>
      </c>
      <c r="G116" s="392"/>
      <c r="H116" s="3939"/>
      <c r="I116" s="3936"/>
      <c r="J116" s="3936"/>
      <c r="K116" s="3936"/>
      <c r="L116" s="3930"/>
      <c r="M116" s="3933"/>
      <c r="N116" s="3930"/>
      <c r="O116" s="3947"/>
      <c r="P116" s="412"/>
      <c r="Q116" s="3061"/>
      <c r="R116" s="3947"/>
      <c r="BB116" s="1513"/>
      <c r="BC116" s="1513"/>
      <c r="BD116" s="1513"/>
      <c r="BE116" s="1513"/>
      <c r="BF116" s="1513"/>
      <c r="BG116" s="1513"/>
      <c r="BH116" s="1513"/>
      <c r="BI116" s="1513"/>
      <c r="BJ116" s="1513"/>
      <c r="BK116" s="1513"/>
      <c r="BL116" s="1513"/>
      <c r="BM116" s="1513"/>
      <c r="BN116" s="1513"/>
      <c r="BO116" s="1513"/>
      <c r="BP116" s="1513"/>
      <c r="BQ116" s="1513"/>
      <c r="BR116" s="1513"/>
      <c r="BS116" s="1513"/>
      <c r="BT116" s="1513"/>
      <c r="BU116" s="1513"/>
      <c r="BV116" s="1513"/>
      <c r="BW116" s="1513"/>
      <c r="BX116" s="1513"/>
      <c r="BY116" s="1513"/>
      <c r="BZ116" s="1513"/>
      <c r="CA116" s="1513"/>
      <c r="CB116" s="1513"/>
      <c r="CC116" s="1513"/>
      <c r="CD116" s="1513"/>
      <c r="CE116" s="1513"/>
      <c r="CF116" s="1513"/>
      <c r="CG116" s="1513"/>
      <c r="CH116" s="1513"/>
      <c r="CI116" s="897">
        <f t="shared" si="2"/>
        <v>0</v>
      </c>
    </row>
    <row r="117" spans="1:87">
      <c r="A117" s="390" t="s">
        <v>2789</v>
      </c>
      <c r="B117" s="390" t="s">
        <v>646</v>
      </c>
      <c r="C117" s="390" t="s">
        <v>647</v>
      </c>
      <c r="D117" s="908" t="s">
        <v>65</v>
      </c>
      <c r="E117" s="1171" t="s">
        <v>3760</v>
      </c>
      <c r="F117" s="2209">
        <v>0</v>
      </c>
      <c r="G117" s="392"/>
      <c r="H117" s="3939"/>
      <c r="I117" s="3936"/>
      <c r="J117" s="3936"/>
      <c r="K117" s="3936"/>
      <c r="L117" s="3930"/>
      <c r="M117" s="3933"/>
      <c r="N117" s="3930"/>
      <c r="O117" s="3947"/>
      <c r="P117" s="367"/>
      <c r="Q117" s="3061"/>
      <c r="R117" s="3947"/>
      <c r="BB117" s="1513"/>
      <c r="BC117" s="1513"/>
      <c r="BD117" s="1513"/>
      <c r="BE117" s="1513"/>
      <c r="BF117" s="1513"/>
      <c r="BG117" s="1513"/>
      <c r="BH117" s="1513"/>
      <c r="BI117" s="1513"/>
      <c r="BJ117" s="1513"/>
      <c r="BK117" s="1513"/>
      <c r="BL117" s="1513"/>
      <c r="BM117" s="1513"/>
      <c r="BN117" s="1513"/>
      <c r="BO117" s="1513"/>
      <c r="BP117" s="1513"/>
      <c r="BQ117" s="1513"/>
      <c r="BR117" s="1513"/>
      <c r="BS117" s="1513"/>
      <c r="BT117" s="1513"/>
      <c r="BU117" s="1513"/>
      <c r="BV117" s="1513"/>
      <c r="BW117" s="1513"/>
      <c r="BX117" s="1513"/>
      <c r="BY117" s="1513"/>
      <c r="BZ117" s="1513"/>
      <c r="CA117" s="1513"/>
      <c r="CB117" s="1513"/>
      <c r="CC117" s="1513"/>
      <c r="CD117" s="1513"/>
      <c r="CE117" s="1513"/>
      <c r="CF117" s="1513"/>
      <c r="CG117" s="1513"/>
      <c r="CH117" s="1513"/>
      <c r="CI117" s="897">
        <f t="shared" si="2"/>
        <v>0</v>
      </c>
    </row>
    <row r="118" spans="1:87">
      <c r="A118" s="390" t="s">
        <v>2790</v>
      </c>
      <c r="B118" s="390" t="s">
        <v>2134</v>
      </c>
      <c r="C118" s="390" t="s">
        <v>2273</v>
      </c>
      <c r="D118" s="908" t="s">
        <v>65</v>
      </c>
      <c r="E118" s="1171" t="s">
        <v>4525</v>
      </c>
      <c r="F118" s="2209">
        <v>0</v>
      </c>
      <c r="G118" s="392"/>
      <c r="H118" s="3939"/>
      <c r="I118" s="3936"/>
      <c r="J118" s="3936"/>
      <c r="K118" s="3936"/>
      <c r="L118" s="3930"/>
      <c r="M118" s="3933"/>
      <c r="N118" s="3930"/>
      <c r="O118" s="3947"/>
      <c r="P118" s="630"/>
      <c r="Q118" s="3061"/>
      <c r="R118" s="3947"/>
      <c r="BB118" s="1513"/>
      <c r="BC118" s="1513"/>
      <c r="BD118" s="1513"/>
      <c r="BE118" s="1513"/>
      <c r="BF118" s="1513"/>
      <c r="BG118" s="1513"/>
      <c r="BH118" s="1513"/>
      <c r="BI118" s="1513"/>
      <c r="BJ118" s="1513"/>
      <c r="BK118" s="1513"/>
      <c r="BL118" s="1513"/>
      <c r="BM118" s="1513"/>
      <c r="BN118" s="1513"/>
      <c r="BO118" s="1513"/>
      <c r="BP118" s="1513"/>
      <c r="BQ118" s="1513"/>
      <c r="BR118" s="1513"/>
      <c r="BS118" s="1513"/>
      <c r="BT118" s="1513"/>
      <c r="BU118" s="1513"/>
      <c r="BV118" s="1513"/>
      <c r="BW118" s="1513"/>
      <c r="BX118" s="1513"/>
      <c r="BY118" s="1513"/>
      <c r="BZ118" s="1513"/>
      <c r="CA118" s="1513"/>
      <c r="CB118" s="1513"/>
      <c r="CC118" s="1513"/>
      <c r="CD118" s="1513"/>
      <c r="CE118" s="1513"/>
      <c r="CF118" s="1513"/>
      <c r="CG118" s="1513"/>
      <c r="CH118" s="1513"/>
      <c r="CI118" s="897">
        <f t="shared" si="2"/>
        <v>0</v>
      </c>
    </row>
    <row r="119" spans="1:87">
      <c r="A119" s="390" t="s">
        <v>2791</v>
      </c>
      <c r="B119" s="390" t="s">
        <v>631</v>
      </c>
      <c r="C119" s="390" t="s">
        <v>632</v>
      </c>
      <c r="D119" s="908" t="s">
        <v>65</v>
      </c>
      <c r="E119" s="1171" t="s">
        <v>3760</v>
      </c>
      <c r="F119" s="2209">
        <v>0</v>
      </c>
      <c r="G119" s="392"/>
      <c r="H119" s="3939"/>
      <c r="I119" s="3936"/>
      <c r="J119" s="3936"/>
      <c r="K119" s="3936"/>
      <c r="L119" s="3930"/>
      <c r="M119" s="3933"/>
      <c r="N119" s="3930"/>
      <c r="O119" s="3947"/>
      <c r="P119" s="332"/>
      <c r="Q119" s="3061"/>
      <c r="R119" s="3947"/>
      <c r="BB119" s="1513"/>
      <c r="BC119" s="1513"/>
      <c r="BD119" s="1513"/>
      <c r="BE119" s="1513"/>
      <c r="BF119" s="1513"/>
      <c r="BG119" s="1513"/>
      <c r="BH119" s="1513"/>
      <c r="BI119" s="1513"/>
      <c r="BJ119" s="1513"/>
      <c r="BK119" s="1513"/>
      <c r="BL119" s="1513"/>
      <c r="BM119" s="1513"/>
      <c r="BN119" s="1513"/>
      <c r="BO119" s="1513"/>
      <c r="BP119" s="1513"/>
      <c r="BQ119" s="1513"/>
      <c r="BR119" s="1513"/>
      <c r="BS119" s="1513"/>
      <c r="BT119" s="1513"/>
      <c r="BU119" s="1513"/>
      <c r="BV119" s="1513"/>
      <c r="BW119" s="1513"/>
      <c r="BX119" s="1513"/>
      <c r="BY119" s="1513"/>
      <c r="BZ119" s="1513"/>
      <c r="CA119" s="1513"/>
      <c r="CB119" s="1513"/>
      <c r="CC119" s="1513"/>
      <c r="CD119" s="1513"/>
      <c r="CE119" s="1513"/>
      <c r="CF119" s="1513"/>
      <c r="CG119" s="1513"/>
      <c r="CH119" s="1513"/>
      <c r="CI119" s="897">
        <f t="shared" si="2"/>
        <v>0</v>
      </c>
    </row>
    <row r="120" spans="1:87">
      <c r="A120" s="390" t="s">
        <v>2792</v>
      </c>
      <c r="B120" s="390" t="s">
        <v>633</v>
      </c>
      <c r="C120" s="390" t="s">
        <v>634</v>
      </c>
      <c r="D120" s="908" t="s">
        <v>65</v>
      </c>
      <c r="E120" s="1171" t="s">
        <v>3760</v>
      </c>
      <c r="F120" s="2209">
        <v>0</v>
      </c>
      <c r="G120" s="392"/>
      <c r="H120" s="3939"/>
      <c r="I120" s="3936"/>
      <c r="J120" s="3936"/>
      <c r="K120" s="3936"/>
      <c r="L120" s="3930"/>
      <c r="M120" s="3933"/>
      <c r="N120" s="3930"/>
      <c r="O120" s="3947"/>
      <c r="P120" s="367"/>
      <c r="Q120" s="3061"/>
      <c r="R120" s="3947"/>
      <c r="BB120" s="1513"/>
      <c r="BC120" s="1513"/>
      <c r="BD120" s="1513"/>
      <c r="BE120" s="1513"/>
      <c r="BF120" s="1513"/>
      <c r="BG120" s="1513"/>
      <c r="BH120" s="1513"/>
      <c r="BI120" s="1513"/>
      <c r="BJ120" s="1513"/>
      <c r="BK120" s="1513"/>
      <c r="BL120" s="1513"/>
      <c r="BM120" s="1513"/>
      <c r="BN120" s="1513"/>
      <c r="BO120" s="1513"/>
      <c r="BP120" s="1513"/>
      <c r="BQ120" s="1513"/>
      <c r="BR120" s="1513"/>
      <c r="BS120" s="1513"/>
      <c r="BT120" s="1513"/>
      <c r="BU120" s="1513"/>
      <c r="BV120" s="1513"/>
      <c r="BW120" s="1513"/>
      <c r="BX120" s="1513"/>
      <c r="BY120" s="1513"/>
      <c r="BZ120" s="1513"/>
      <c r="CA120" s="1513"/>
      <c r="CB120" s="1513"/>
      <c r="CC120" s="1513"/>
      <c r="CD120" s="1513"/>
      <c r="CE120" s="1513"/>
      <c r="CF120" s="1513"/>
      <c r="CG120" s="1513"/>
      <c r="CH120" s="1513"/>
      <c r="CI120" s="897">
        <f t="shared" si="2"/>
        <v>0</v>
      </c>
    </row>
    <row r="121" spans="1:87">
      <c r="A121" s="390" t="s">
        <v>2793</v>
      </c>
      <c r="B121" s="390" t="s">
        <v>636</v>
      </c>
      <c r="C121" s="390" t="s">
        <v>637</v>
      </c>
      <c r="D121" s="908" t="s">
        <v>65</v>
      </c>
      <c r="E121" s="1171" t="s">
        <v>3760</v>
      </c>
      <c r="F121" s="2209">
        <v>0</v>
      </c>
      <c r="G121" s="392"/>
      <c r="H121" s="3939"/>
      <c r="I121" s="3936"/>
      <c r="J121" s="3936"/>
      <c r="K121" s="3936"/>
      <c r="L121" s="3930"/>
      <c r="M121" s="3933"/>
      <c r="N121" s="3930"/>
      <c r="O121" s="3947"/>
      <c r="P121" s="367"/>
      <c r="Q121" s="3061"/>
      <c r="R121" s="3947"/>
      <c r="BB121" s="1513"/>
      <c r="BC121" s="1513"/>
      <c r="BD121" s="1513"/>
      <c r="BE121" s="1513"/>
      <c r="BF121" s="1513"/>
      <c r="BG121" s="1513"/>
      <c r="BH121" s="1513"/>
      <c r="BI121" s="1513"/>
      <c r="BJ121" s="1513"/>
      <c r="BK121" s="1513"/>
      <c r="BL121" s="1513"/>
      <c r="BM121" s="1513"/>
      <c r="BN121" s="1513"/>
      <c r="BO121" s="1513"/>
      <c r="BP121" s="1513"/>
      <c r="BQ121" s="1513"/>
      <c r="BR121" s="1513"/>
      <c r="BS121" s="1513"/>
      <c r="BT121" s="1513"/>
      <c r="BU121" s="1513"/>
      <c r="BV121" s="1513"/>
      <c r="BW121" s="1513"/>
      <c r="BX121" s="1513"/>
      <c r="BY121" s="1513"/>
      <c r="BZ121" s="1513"/>
      <c r="CA121" s="1513"/>
      <c r="CB121" s="1513"/>
      <c r="CC121" s="1513"/>
      <c r="CD121" s="1513"/>
      <c r="CE121" s="1513"/>
      <c r="CF121" s="1513"/>
      <c r="CG121" s="1513"/>
      <c r="CH121" s="1513"/>
      <c r="CI121" s="897">
        <f t="shared" si="2"/>
        <v>0</v>
      </c>
    </row>
    <row r="122" spans="1:87">
      <c r="A122" s="390" t="s">
        <v>2794</v>
      </c>
      <c r="B122" s="390" t="s">
        <v>638</v>
      </c>
      <c r="C122" s="390" t="s">
        <v>639</v>
      </c>
      <c r="D122" s="908" t="s">
        <v>65</v>
      </c>
      <c r="E122" s="1171" t="s">
        <v>3760</v>
      </c>
      <c r="F122" s="2209">
        <v>0</v>
      </c>
      <c r="G122" s="392"/>
      <c r="H122" s="3939"/>
      <c r="I122" s="3936"/>
      <c r="J122" s="3936"/>
      <c r="K122" s="3936"/>
      <c r="L122" s="3930"/>
      <c r="M122" s="3933"/>
      <c r="N122" s="3930"/>
      <c r="O122" s="3947"/>
      <c r="P122" s="367"/>
      <c r="Q122" s="3061"/>
      <c r="R122" s="3947"/>
      <c r="BB122" s="1513"/>
      <c r="BC122" s="1513"/>
      <c r="BD122" s="1513"/>
      <c r="BE122" s="1513"/>
      <c r="BF122" s="1513"/>
      <c r="BG122" s="1513"/>
      <c r="BH122" s="1513"/>
      <c r="BI122" s="1513"/>
      <c r="BJ122" s="1513"/>
      <c r="BK122" s="1513"/>
      <c r="BL122" s="1513"/>
      <c r="BM122" s="1513"/>
      <c r="BN122" s="1513"/>
      <c r="BO122" s="1513"/>
      <c r="BP122" s="1513"/>
      <c r="BQ122" s="1513"/>
      <c r="BR122" s="1513"/>
      <c r="BS122" s="1513"/>
      <c r="BT122" s="1513"/>
      <c r="BU122" s="1513"/>
      <c r="BV122" s="1513"/>
      <c r="BW122" s="1513"/>
      <c r="BX122" s="1513"/>
      <c r="BY122" s="1513"/>
      <c r="BZ122" s="1513"/>
      <c r="CA122" s="1513"/>
      <c r="CB122" s="1513"/>
      <c r="CC122" s="1513"/>
      <c r="CD122" s="1513"/>
      <c r="CE122" s="1513"/>
      <c r="CF122" s="1513"/>
      <c r="CG122" s="1513"/>
      <c r="CH122" s="1513"/>
      <c r="CI122" s="897">
        <f t="shared" si="2"/>
        <v>0</v>
      </c>
    </row>
    <row r="123" spans="1:87" ht="30">
      <c r="A123" s="390" t="s">
        <v>2795</v>
      </c>
      <c r="B123" s="390" t="s">
        <v>640</v>
      </c>
      <c r="C123" s="390" t="s">
        <v>641</v>
      </c>
      <c r="D123" s="908" t="s">
        <v>65</v>
      </c>
      <c r="E123" s="1171" t="s">
        <v>3760</v>
      </c>
      <c r="F123" s="2209">
        <v>0</v>
      </c>
      <c r="G123" s="392"/>
      <c r="H123" s="3939"/>
      <c r="I123" s="3936"/>
      <c r="J123" s="3936"/>
      <c r="K123" s="3936"/>
      <c r="L123" s="3930"/>
      <c r="M123" s="3933"/>
      <c r="N123" s="3930"/>
      <c r="O123" s="3947"/>
      <c r="P123" s="367"/>
      <c r="Q123" s="3061"/>
      <c r="R123" s="3947"/>
      <c r="BB123" s="1513"/>
      <c r="BC123" s="1513"/>
      <c r="BD123" s="1513"/>
      <c r="BE123" s="1513"/>
      <c r="BF123" s="1513"/>
      <c r="BG123" s="1513"/>
      <c r="BH123" s="1513"/>
      <c r="BI123" s="1513"/>
      <c r="BJ123" s="1513"/>
      <c r="BK123" s="1513"/>
      <c r="BL123" s="1513"/>
      <c r="BM123" s="1513"/>
      <c r="BN123" s="1513"/>
      <c r="BO123" s="1513"/>
      <c r="BP123" s="1513"/>
      <c r="BQ123" s="1513"/>
      <c r="BR123" s="1513"/>
      <c r="BS123" s="1513"/>
      <c r="BT123" s="1513"/>
      <c r="BU123" s="1513"/>
      <c r="BV123" s="1513"/>
      <c r="BW123" s="1513"/>
      <c r="BX123" s="1513"/>
      <c r="BY123" s="1513"/>
      <c r="BZ123" s="1513"/>
      <c r="CA123" s="1513"/>
      <c r="CB123" s="1513"/>
      <c r="CC123" s="1513"/>
      <c r="CD123" s="1513"/>
      <c r="CE123" s="1513"/>
      <c r="CF123" s="1513"/>
      <c r="CG123" s="1513"/>
      <c r="CH123" s="1513"/>
      <c r="CI123" s="897">
        <f t="shared" si="2"/>
        <v>0</v>
      </c>
    </row>
    <row r="124" spans="1:87">
      <c r="A124" s="390" t="s">
        <v>2796</v>
      </c>
      <c r="B124" s="390" t="s">
        <v>642</v>
      </c>
      <c r="C124" s="390" t="s">
        <v>643</v>
      </c>
      <c r="D124" s="908" t="s">
        <v>65</v>
      </c>
      <c r="E124" s="1171" t="s">
        <v>3760</v>
      </c>
      <c r="F124" s="2209">
        <v>0</v>
      </c>
      <c r="G124" s="392"/>
      <c r="H124" s="3939"/>
      <c r="I124" s="3936"/>
      <c r="J124" s="3936"/>
      <c r="K124" s="3936"/>
      <c r="L124" s="3930"/>
      <c r="M124" s="3933"/>
      <c r="N124" s="3930"/>
      <c r="O124" s="3947"/>
      <c r="P124" s="250"/>
      <c r="Q124" s="3061"/>
      <c r="R124" s="3947"/>
      <c r="BB124" s="1513"/>
      <c r="BC124" s="1513"/>
      <c r="BD124" s="1513"/>
      <c r="BE124" s="1513"/>
      <c r="BF124" s="1513"/>
      <c r="BG124" s="1513"/>
      <c r="BH124" s="1513"/>
      <c r="BI124" s="1513"/>
      <c r="BJ124" s="1513"/>
      <c r="BK124" s="1513"/>
      <c r="BL124" s="1513"/>
      <c r="BM124" s="1513"/>
      <c r="BN124" s="1513"/>
      <c r="BO124" s="1513"/>
      <c r="BP124" s="1513"/>
      <c r="BQ124" s="1513"/>
      <c r="BR124" s="1513"/>
      <c r="BS124" s="1513"/>
      <c r="BT124" s="1513"/>
      <c r="BU124" s="1513"/>
      <c r="BV124" s="1513"/>
      <c r="BW124" s="1513"/>
      <c r="BX124" s="1513"/>
      <c r="BY124" s="1513"/>
      <c r="BZ124" s="1513"/>
      <c r="CA124" s="1513"/>
      <c r="CB124" s="1513"/>
      <c r="CC124" s="1513"/>
      <c r="CD124" s="1513"/>
      <c r="CE124" s="1513"/>
      <c r="CF124" s="1513"/>
      <c r="CG124" s="1513"/>
      <c r="CH124" s="1513"/>
      <c r="CI124" s="897">
        <f t="shared" si="2"/>
        <v>0</v>
      </c>
    </row>
    <row r="125" spans="1:87">
      <c r="A125" s="390" t="s">
        <v>2797</v>
      </c>
      <c r="B125" s="390" t="s">
        <v>648</v>
      </c>
      <c r="C125" s="390" t="s">
        <v>649</v>
      </c>
      <c r="D125" s="908" t="s">
        <v>65</v>
      </c>
      <c r="E125" s="1171" t="s">
        <v>3760</v>
      </c>
      <c r="F125" s="2209">
        <v>0</v>
      </c>
      <c r="G125" s="392"/>
      <c r="H125" s="3939"/>
      <c r="I125" s="3936"/>
      <c r="J125" s="3936"/>
      <c r="K125" s="3936"/>
      <c r="L125" s="3930"/>
      <c r="M125" s="3933"/>
      <c r="N125" s="3930"/>
      <c r="O125" s="3947"/>
      <c r="P125" s="367"/>
      <c r="Q125" s="3061"/>
      <c r="R125" s="3947"/>
      <c r="BB125" s="1513"/>
      <c r="BC125" s="1513"/>
      <c r="BD125" s="1513"/>
      <c r="BE125" s="1513"/>
      <c r="BF125" s="1513"/>
      <c r="BG125" s="1513"/>
      <c r="BH125" s="1513"/>
      <c r="BI125" s="1513"/>
      <c r="BJ125" s="1513"/>
      <c r="BK125" s="1513"/>
      <c r="BL125" s="1513"/>
      <c r="BM125" s="1513"/>
      <c r="BN125" s="1513"/>
      <c r="BO125" s="1513"/>
      <c r="BP125" s="1513"/>
      <c r="BQ125" s="1513"/>
      <c r="BR125" s="1513"/>
      <c r="BS125" s="1513"/>
      <c r="BT125" s="1513"/>
      <c r="BU125" s="1513"/>
      <c r="BV125" s="1513"/>
      <c r="BW125" s="1513"/>
      <c r="BX125" s="1513"/>
      <c r="BY125" s="1513"/>
      <c r="BZ125" s="1513"/>
      <c r="CA125" s="1513"/>
      <c r="CB125" s="1513"/>
      <c r="CC125" s="1513"/>
      <c r="CD125" s="1513"/>
      <c r="CE125" s="1513"/>
      <c r="CF125" s="1513"/>
      <c r="CG125" s="1513"/>
      <c r="CH125" s="1513"/>
      <c r="CI125" s="897">
        <f t="shared" si="2"/>
        <v>0</v>
      </c>
    </row>
    <row r="126" spans="1:87" ht="51.75" thickBot="1">
      <c r="A126" s="390" t="s">
        <v>2798</v>
      </c>
      <c r="B126" s="390" t="s">
        <v>652</v>
      </c>
      <c r="C126" s="390" t="s">
        <v>3965</v>
      </c>
      <c r="D126" s="908" t="s">
        <v>65</v>
      </c>
      <c r="E126" s="1171" t="s">
        <v>3760</v>
      </c>
      <c r="F126" s="2209">
        <v>12</v>
      </c>
      <c r="G126" s="392">
        <v>0</v>
      </c>
      <c r="H126" s="3939"/>
      <c r="I126" s="3936"/>
      <c r="J126" s="3936"/>
      <c r="K126" s="3936"/>
      <c r="L126" s="3930"/>
      <c r="M126" s="3933"/>
      <c r="N126" s="3930"/>
      <c r="O126" s="3947"/>
      <c r="P126" s="630"/>
      <c r="Q126" s="3054" t="s">
        <v>5792</v>
      </c>
      <c r="R126" s="3947"/>
      <c r="BB126" s="1513">
        <v>13.34</v>
      </c>
      <c r="BC126" s="1513"/>
      <c r="BD126" s="1513"/>
      <c r="BE126" s="1513"/>
      <c r="BF126" s="1513"/>
      <c r="BG126" s="1513"/>
      <c r="BH126" s="1513"/>
      <c r="BI126" s="1513"/>
      <c r="BJ126" s="1513"/>
      <c r="BK126" s="1513"/>
      <c r="BL126" s="1513"/>
      <c r="BM126" s="1513"/>
      <c r="BN126" s="1513"/>
      <c r="BO126" s="1513"/>
      <c r="BP126" s="1513"/>
      <c r="BQ126" s="1513"/>
      <c r="BR126" s="1513"/>
      <c r="BS126" s="1513"/>
      <c r="BT126" s="1513"/>
      <c r="BU126" s="1513"/>
      <c r="BV126" s="1513"/>
      <c r="BW126" s="1513"/>
      <c r="BX126" s="1513"/>
      <c r="BY126" s="1513"/>
      <c r="BZ126" s="1513"/>
      <c r="CA126" s="1513"/>
      <c r="CB126" s="1513"/>
      <c r="CC126" s="1513"/>
      <c r="CD126" s="1513"/>
      <c r="CE126" s="1513"/>
      <c r="CF126" s="1513"/>
      <c r="CG126" s="1513"/>
      <c r="CH126" s="1513"/>
      <c r="CI126" s="897">
        <f t="shared" si="2"/>
        <v>13.34</v>
      </c>
    </row>
    <row r="127" spans="1:87" ht="51.75" thickBot="1">
      <c r="A127" s="390" t="s">
        <v>2799</v>
      </c>
      <c r="B127" s="390" t="s">
        <v>652</v>
      </c>
      <c r="C127" s="390" t="s">
        <v>3966</v>
      </c>
      <c r="D127" s="908" t="s">
        <v>65</v>
      </c>
      <c r="E127" s="1171" t="s">
        <v>3760</v>
      </c>
      <c r="F127" s="2209">
        <v>10</v>
      </c>
      <c r="G127" s="392">
        <v>0</v>
      </c>
      <c r="H127" s="3939"/>
      <c r="I127" s="3936"/>
      <c r="J127" s="3936"/>
      <c r="K127" s="3936"/>
      <c r="L127" s="3930"/>
      <c r="M127" s="3933"/>
      <c r="N127" s="3930"/>
      <c r="O127" s="3947"/>
      <c r="P127" s="367"/>
      <c r="Q127" s="3054" t="s">
        <v>5790</v>
      </c>
      <c r="R127" s="3947"/>
      <c r="BB127" s="1513">
        <v>10.56</v>
      </c>
      <c r="BC127" s="1513"/>
      <c r="BD127" s="1513"/>
      <c r="BE127" s="1513"/>
      <c r="BF127" s="1513"/>
      <c r="BG127" s="1513"/>
      <c r="BH127" s="1513"/>
      <c r="BI127" s="1513"/>
      <c r="BJ127" s="1513"/>
      <c r="BK127" s="1513"/>
      <c r="BL127" s="1513"/>
      <c r="BM127" s="1513"/>
      <c r="BN127" s="1513"/>
      <c r="BO127" s="1513"/>
      <c r="BP127" s="1513"/>
      <c r="BQ127" s="1513"/>
      <c r="BR127" s="1513"/>
      <c r="BS127" s="1513"/>
      <c r="BT127" s="1513"/>
      <c r="BU127" s="1513"/>
      <c r="BV127" s="1513"/>
      <c r="BW127" s="1513"/>
      <c r="BX127" s="1513"/>
      <c r="BY127" s="1513"/>
      <c r="BZ127" s="1513"/>
      <c r="CA127" s="1513"/>
      <c r="CB127" s="1513"/>
      <c r="CC127" s="1513"/>
      <c r="CD127" s="1513"/>
      <c r="CE127" s="1513"/>
      <c r="CF127" s="1513"/>
      <c r="CG127" s="1513"/>
      <c r="CH127" s="1513"/>
      <c r="CI127" s="897">
        <f t="shared" si="2"/>
        <v>10.56</v>
      </c>
    </row>
    <row r="128" spans="1:87">
      <c r="A128" s="390" t="s">
        <v>2800</v>
      </c>
      <c r="B128" s="390" t="s">
        <v>652</v>
      </c>
      <c r="C128" s="390" t="s">
        <v>2350</v>
      </c>
      <c r="D128" s="908" t="s">
        <v>65</v>
      </c>
      <c r="E128" s="1171" t="s">
        <v>3760</v>
      </c>
      <c r="F128" s="2209">
        <v>0</v>
      </c>
      <c r="G128" s="392"/>
      <c r="H128" s="3939"/>
      <c r="I128" s="3936"/>
      <c r="J128" s="3936"/>
      <c r="K128" s="3936"/>
      <c r="L128" s="3930"/>
      <c r="M128" s="3933"/>
      <c r="N128" s="3930"/>
      <c r="O128" s="3947"/>
      <c r="P128" s="630"/>
      <c r="Q128" s="3061"/>
      <c r="R128" s="3947"/>
      <c r="BB128" s="1513"/>
      <c r="BC128" s="1513"/>
      <c r="BD128" s="1513"/>
      <c r="BE128" s="1513"/>
      <c r="BF128" s="1513"/>
      <c r="BG128" s="1513"/>
      <c r="BH128" s="1513"/>
      <c r="BI128" s="1513"/>
      <c r="BJ128" s="1513"/>
      <c r="BK128" s="1513"/>
      <c r="BL128" s="1513"/>
      <c r="BM128" s="1513"/>
      <c r="BN128" s="1513"/>
      <c r="BO128" s="1513"/>
      <c r="BP128" s="1513"/>
      <c r="BQ128" s="1513"/>
      <c r="BR128" s="1513"/>
      <c r="BS128" s="1513"/>
      <c r="BT128" s="1513"/>
      <c r="BU128" s="1513"/>
      <c r="BV128" s="1513"/>
      <c r="BW128" s="1513"/>
      <c r="BX128" s="1513"/>
      <c r="BY128" s="1513"/>
      <c r="BZ128" s="1513"/>
      <c r="CA128" s="1513"/>
      <c r="CB128" s="1513"/>
      <c r="CC128" s="1513"/>
      <c r="CD128" s="1513"/>
      <c r="CE128" s="1513"/>
      <c r="CF128" s="1513"/>
      <c r="CG128" s="1513"/>
      <c r="CH128" s="1513"/>
      <c r="CI128" s="897">
        <f t="shared" si="2"/>
        <v>0</v>
      </c>
    </row>
    <row r="129" spans="1:87">
      <c r="A129" s="390" t="s">
        <v>2801</v>
      </c>
      <c r="B129" s="390" t="s">
        <v>629</v>
      </c>
      <c r="C129" s="390" t="s">
        <v>630</v>
      </c>
      <c r="D129" s="908" t="s">
        <v>65</v>
      </c>
      <c r="E129" s="1171" t="s">
        <v>3760</v>
      </c>
      <c r="F129" s="2209">
        <v>0</v>
      </c>
      <c r="G129" s="392"/>
      <c r="H129" s="3939"/>
      <c r="I129" s="3936"/>
      <c r="J129" s="3936"/>
      <c r="K129" s="3936"/>
      <c r="L129" s="3930"/>
      <c r="M129" s="3933"/>
      <c r="N129" s="3930"/>
      <c r="O129" s="3947"/>
      <c r="P129" s="367"/>
      <c r="Q129" s="3061"/>
      <c r="R129" s="3947"/>
      <c r="BB129" s="1513"/>
      <c r="BC129" s="1513"/>
      <c r="BD129" s="1513"/>
      <c r="BE129" s="1513"/>
      <c r="BF129" s="1513"/>
      <c r="BG129" s="1513"/>
      <c r="BH129" s="1513"/>
      <c r="BI129" s="1513"/>
      <c r="BJ129" s="1513"/>
      <c r="BK129" s="1513"/>
      <c r="BL129" s="1513"/>
      <c r="BM129" s="1513"/>
      <c r="BN129" s="1513"/>
      <c r="BO129" s="1513"/>
      <c r="BP129" s="1513"/>
      <c r="BQ129" s="1513"/>
      <c r="BR129" s="1513"/>
      <c r="BS129" s="1513"/>
      <c r="BT129" s="1513"/>
      <c r="BU129" s="1513"/>
      <c r="BV129" s="1513"/>
      <c r="BW129" s="1513"/>
      <c r="BX129" s="1513"/>
      <c r="BY129" s="1513"/>
      <c r="BZ129" s="1513"/>
      <c r="CA129" s="1513"/>
      <c r="CB129" s="1513"/>
      <c r="CC129" s="1513"/>
      <c r="CD129" s="1513"/>
      <c r="CE129" s="1513"/>
      <c r="CF129" s="1513"/>
      <c r="CG129" s="1513"/>
      <c r="CH129" s="1513"/>
      <c r="CI129" s="897">
        <f t="shared" si="2"/>
        <v>0</v>
      </c>
    </row>
    <row r="130" spans="1:87" ht="127.5">
      <c r="A130" s="390" t="s">
        <v>2802</v>
      </c>
      <c r="B130" s="390" t="s">
        <v>652</v>
      </c>
      <c r="C130" s="390" t="s">
        <v>601</v>
      </c>
      <c r="D130" s="908" t="s">
        <v>65</v>
      </c>
      <c r="E130" s="1171" t="s">
        <v>3760</v>
      </c>
      <c r="F130" s="2209">
        <v>0</v>
      </c>
      <c r="G130" s="392"/>
      <c r="H130" s="3940"/>
      <c r="I130" s="3937"/>
      <c r="J130" s="3937"/>
      <c r="K130" s="3937"/>
      <c r="L130" s="3931"/>
      <c r="M130" s="3934"/>
      <c r="N130" s="3931"/>
      <c r="O130" s="3948"/>
      <c r="P130" s="626" t="s">
        <v>5508</v>
      </c>
      <c r="Q130" s="3052" t="s">
        <v>5793</v>
      </c>
      <c r="R130" s="3948"/>
      <c r="S130" s="1196">
        <v>0.8</v>
      </c>
      <c r="BB130" s="1513">
        <v>5.76</v>
      </c>
      <c r="BC130" s="1513"/>
      <c r="BD130" s="1513"/>
      <c r="BE130" s="1513"/>
      <c r="BF130" s="1513"/>
      <c r="BG130" s="1513"/>
      <c r="BH130" s="1513"/>
      <c r="BI130" s="1513"/>
      <c r="BJ130" s="1513"/>
      <c r="BK130" s="1513"/>
      <c r="BL130" s="1513"/>
      <c r="BM130" s="1513"/>
      <c r="BN130" s="1513"/>
      <c r="BO130" s="1513"/>
      <c r="BP130" s="1513"/>
      <c r="BQ130" s="1513"/>
      <c r="BR130" s="1513"/>
      <c r="BS130" s="1513"/>
      <c r="BT130" s="1513"/>
      <c r="BU130" s="1513"/>
      <c r="BV130" s="1513"/>
      <c r="BW130" s="1513"/>
      <c r="BX130" s="1513"/>
      <c r="BY130" s="1513"/>
      <c r="BZ130" s="1513"/>
      <c r="CA130" s="1513"/>
      <c r="CB130" s="1513"/>
      <c r="CC130" s="1513"/>
      <c r="CD130" s="1513"/>
      <c r="CE130" s="1513"/>
      <c r="CF130" s="1513"/>
      <c r="CG130" s="1513"/>
      <c r="CH130" s="1513"/>
      <c r="CI130" s="897">
        <f t="shared" si="2"/>
        <v>5.76</v>
      </c>
    </row>
    <row r="131" spans="1:87" ht="30">
      <c r="A131" s="880" t="s">
        <v>703</v>
      </c>
      <c r="B131" s="936" t="s">
        <v>654</v>
      </c>
      <c r="C131" s="85" t="s">
        <v>655</v>
      </c>
      <c r="D131" s="997" t="s">
        <v>65</v>
      </c>
      <c r="E131" s="997" t="s">
        <v>3760</v>
      </c>
      <c r="F131" s="237"/>
      <c r="G131" s="237"/>
      <c r="H131" s="237"/>
      <c r="I131" s="237"/>
      <c r="J131" s="237"/>
      <c r="K131" s="237"/>
      <c r="L131" s="237"/>
      <c r="M131" s="1443"/>
      <c r="N131" s="51"/>
      <c r="O131" s="2905">
        <f>SUM(O132:O136)</f>
        <v>2.64</v>
      </c>
      <c r="P131" s="97"/>
      <c r="Q131" s="3066"/>
      <c r="R131" s="116">
        <f>SUM(R132:R136)</f>
        <v>2.64</v>
      </c>
      <c r="U131" s="3132"/>
      <c r="BB131" s="1513"/>
      <c r="BC131" s="1513"/>
      <c r="BD131" s="1513"/>
      <c r="BE131" s="1513"/>
      <c r="BF131" s="1513"/>
      <c r="BG131" s="1513"/>
      <c r="BH131" s="1513"/>
      <c r="BI131" s="1513"/>
      <c r="BJ131" s="1513"/>
      <c r="BK131" s="1513"/>
      <c r="BL131" s="1513"/>
      <c r="BM131" s="1513"/>
      <c r="BN131" s="1513"/>
      <c r="BO131" s="1513"/>
      <c r="BP131" s="1513"/>
      <c r="BQ131" s="1513"/>
      <c r="BR131" s="1513"/>
      <c r="BS131" s="1513"/>
      <c r="BT131" s="1513"/>
      <c r="BU131" s="1513"/>
      <c r="BV131" s="1513"/>
      <c r="BW131" s="1513"/>
      <c r="BX131" s="1513"/>
      <c r="BY131" s="1513"/>
      <c r="BZ131" s="1513"/>
      <c r="CA131" s="1513"/>
      <c r="CB131" s="1513"/>
      <c r="CC131" s="1513"/>
      <c r="CD131" s="1513"/>
      <c r="CE131" s="1513"/>
      <c r="CF131" s="1513"/>
      <c r="CG131" s="1513"/>
      <c r="CH131" s="1513"/>
      <c r="CI131" s="897">
        <f t="shared" si="2"/>
        <v>0</v>
      </c>
    </row>
    <row r="132" spans="1:87">
      <c r="A132" s="390" t="s">
        <v>706</v>
      </c>
      <c r="B132" s="390" t="s">
        <v>657</v>
      </c>
      <c r="C132" s="390" t="s">
        <v>658</v>
      </c>
      <c r="D132" s="908" t="s">
        <v>65</v>
      </c>
      <c r="E132" s="1171" t="s">
        <v>3760</v>
      </c>
      <c r="F132" s="2210">
        <v>0</v>
      </c>
      <c r="G132" s="277"/>
      <c r="H132" s="3926">
        <v>3.96</v>
      </c>
      <c r="I132" s="3929"/>
      <c r="J132" s="3929"/>
      <c r="K132" s="3929"/>
      <c r="L132" s="3929">
        <v>88000</v>
      </c>
      <c r="M132" s="3932">
        <f>L132/100000</f>
        <v>0.88</v>
      </c>
      <c r="N132" s="3929">
        <v>3</v>
      </c>
      <c r="O132" s="3923">
        <f>M132*N132</f>
        <v>2.64</v>
      </c>
      <c r="P132" s="272"/>
      <c r="Q132" s="3061"/>
      <c r="R132" s="3932">
        <v>2.64</v>
      </c>
      <c r="U132" s="3132"/>
      <c r="BB132" s="1513"/>
      <c r="BC132" s="1513"/>
      <c r="BD132" s="1513"/>
      <c r="BE132" s="1513"/>
      <c r="BF132" s="1513"/>
      <c r="BG132" s="1513"/>
      <c r="BH132" s="1513"/>
      <c r="BI132" s="1513"/>
      <c r="BJ132" s="1513"/>
      <c r="BK132" s="1513"/>
      <c r="BL132" s="1513"/>
      <c r="BM132" s="1513"/>
      <c r="BN132" s="1513"/>
      <c r="BO132" s="1513"/>
      <c r="BP132" s="1513"/>
      <c r="BQ132" s="1513"/>
      <c r="BR132" s="1513"/>
      <c r="BS132" s="1513"/>
      <c r="BT132" s="1513"/>
      <c r="BU132" s="1513"/>
      <c r="BV132" s="1513"/>
      <c r="BW132" s="1513"/>
      <c r="BX132" s="1513"/>
      <c r="BY132" s="1513"/>
      <c r="BZ132" s="1513"/>
      <c r="CA132" s="1513"/>
      <c r="CB132" s="1513"/>
      <c r="CC132" s="1513"/>
      <c r="CD132" s="1513"/>
      <c r="CE132" s="1513"/>
      <c r="CF132" s="1513"/>
      <c r="CG132" s="1513"/>
      <c r="CH132" s="1513"/>
      <c r="CI132" s="897">
        <f t="shared" si="2"/>
        <v>0</v>
      </c>
    </row>
    <row r="133" spans="1:87">
      <c r="A133" s="390" t="s">
        <v>707</v>
      </c>
      <c r="B133" s="390" t="s">
        <v>660</v>
      </c>
      <c r="C133" s="390" t="s">
        <v>543</v>
      </c>
      <c r="D133" s="908" t="s">
        <v>65</v>
      </c>
      <c r="E133" s="1171" t="s">
        <v>3760</v>
      </c>
      <c r="F133" s="2210">
        <v>0</v>
      </c>
      <c r="G133" s="277"/>
      <c r="H133" s="3927"/>
      <c r="I133" s="3930"/>
      <c r="J133" s="3930"/>
      <c r="K133" s="3930"/>
      <c r="L133" s="3930"/>
      <c r="M133" s="3933"/>
      <c r="N133" s="3930"/>
      <c r="O133" s="3924"/>
      <c r="P133" s="272"/>
      <c r="Q133" s="3061"/>
      <c r="R133" s="3933"/>
      <c r="BB133" s="1513"/>
      <c r="BC133" s="1513"/>
      <c r="BD133" s="1513"/>
      <c r="BE133" s="1513"/>
      <c r="BF133" s="1513"/>
      <c r="BG133" s="1513"/>
      <c r="BH133" s="1513"/>
      <c r="BI133" s="1513"/>
      <c r="BJ133" s="1513"/>
      <c r="BK133" s="1513"/>
      <c r="BL133" s="1513"/>
      <c r="BM133" s="1513"/>
      <c r="BN133" s="1513"/>
      <c r="BO133" s="1513"/>
      <c r="BP133" s="1513"/>
      <c r="BQ133" s="1513"/>
      <c r="BR133" s="1513"/>
      <c r="BS133" s="1513"/>
      <c r="BT133" s="1513"/>
      <c r="BU133" s="1513"/>
      <c r="BV133" s="1513"/>
      <c r="BW133" s="1513"/>
      <c r="BX133" s="1513"/>
      <c r="BY133" s="1513"/>
      <c r="BZ133" s="1513"/>
      <c r="CA133" s="1513"/>
      <c r="CB133" s="1513"/>
      <c r="CC133" s="1513"/>
      <c r="CD133" s="1513"/>
      <c r="CE133" s="1513"/>
      <c r="CF133" s="1513"/>
      <c r="CG133" s="1513"/>
      <c r="CH133" s="1513"/>
      <c r="CI133" s="897">
        <f t="shared" si="2"/>
        <v>0</v>
      </c>
    </row>
    <row r="134" spans="1:87">
      <c r="A134" s="390" t="s">
        <v>708</v>
      </c>
      <c r="B134" s="390" t="s">
        <v>661</v>
      </c>
      <c r="C134" s="390" t="s">
        <v>662</v>
      </c>
      <c r="D134" s="908" t="s">
        <v>65</v>
      </c>
      <c r="E134" s="1171" t="s">
        <v>3760</v>
      </c>
      <c r="F134" s="2210">
        <v>0</v>
      </c>
      <c r="G134" s="277"/>
      <c r="H134" s="3927"/>
      <c r="I134" s="3930"/>
      <c r="J134" s="3930"/>
      <c r="K134" s="3930"/>
      <c r="L134" s="3930"/>
      <c r="M134" s="3933"/>
      <c r="N134" s="3930"/>
      <c r="O134" s="3924"/>
      <c r="P134" s="272"/>
      <c r="Q134" s="3061"/>
      <c r="R134" s="3933"/>
      <c r="BB134" s="1513"/>
      <c r="BC134" s="1513"/>
      <c r="BD134" s="1513"/>
      <c r="BE134" s="1513"/>
      <c r="BF134" s="1513"/>
      <c r="BG134" s="1513"/>
      <c r="BH134" s="1513"/>
      <c r="BI134" s="1513"/>
      <c r="BJ134" s="1513"/>
      <c r="BK134" s="1513"/>
      <c r="BL134" s="1513"/>
      <c r="BM134" s="1513"/>
      <c r="BN134" s="1513"/>
      <c r="BO134" s="1513"/>
      <c r="BP134" s="1513"/>
      <c r="BQ134" s="1513"/>
      <c r="BR134" s="1513"/>
      <c r="BS134" s="1513"/>
      <c r="BT134" s="1513"/>
      <c r="BU134" s="1513"/>
      <c r="BV134" s="1513"/>
      <c r="BW134" s="1513"/>
      <c r="BX134" s="1513"/>
      <c r="BY134" s="1513"/>
      <c r="BZ134" s="1513"/>
      <c r="CA134" s="1513"/>
      <c r="CB134" s="1513"/>
      <c r="CC134" s="1513"/>
      <c r="CD134" s="1513"/>
      <c r="CE134" s="1513"/>
      <c r="CF134" s="1513"/>
      <c r="CG134" s="1513"/>
      <c r="CH134" s="1513"/>
      <c r="CI134" s="897">
        <f t="shared" si="2"/>
        <v>0</v>
      </c>
    </row>
    <row r="135" spans="1:87" ht="51.75" thickBot="1">
      <c r="A135" s="390" t="s">
        <v>2354</v>
      </c>
      <c r="B135" s="390" t="s">
        <v>663</v>
      </c>
      <c r="C135" s="390" t="s">
        <v>664</v>
      </c>
      <c r="D135" s="908" t="s">
        <v>65</v>
      </c>
      <c r="E135" s="1171" t="s">
        <v>3760</v>
      </c>
      <c r="F135" s="2210">
        <v>3</v>
      </c>
      <c r="G135" s="277">
        <v>0</v>
      </c>
      <c r="H135" s="3927"/>
      <c r="I135" s="3930"/>
      <c r="J135" s="3930"/>
      <c r="K135" s="3930"/>
      <c r="L135" s="3930"/>
      <c r="M135" s="3933"/>
      <c r="N135" s="3930"/>
      <c r="O135" s="3924"/>
      <c r="P135" s="272"/>
      <c r="Q135" s="3054" t="s">
        <v>5794</v>
      </c>
      <c r="R135" s="3933"/>
      <c r="BB135" s="1513">
        <v>2.64</v>
      </c>
      <c r="BC135" s="1513"/>
      <c r="BD135" s="1513"/>
      <c r="BE135" s="1513"/>
      <c r="BF135" s="1513"/>
      <c r="BG135" s="1513"/>
      <c r="BH135" s="1513"/>
      <c r="BI135" s="1513"/>
      <c r="BJ135" s="1513"/>
      <c r="BK135" s="1513"/>
      <c r="BL135" s="1513"/>
      <c r="BM135" s="1513"/>
      <c r="BN135" s="1513"/>
      <c r="BO135" s="1513"/>
      <c r="BP135" s="1513"/>
      <c r="BQ135" s="1513"/>
      <c r="BR135" s="1513"/>
      <c r="BS135" s="1513"/>
      <c r="BT135" s="1513"/>
      <c r="BU135" s="1513"/>
      <c r="BV135" s="1513"/>
      <c r="BW135" s="1513"/>
      <c r="BX135" s="1513"/>
      <c r="BY135" s="1513"/>
      <c r="BZ135" s="1513"/>
      <c r="CA135" s="1513"/>
      <c r="CB135" s="1513"/>
      <c r="CC135" s="1513"/>
      <c r="CD135" s="1513"/>
      <c r="CE135" s="1513"/>
      <c r="CF135" s="1513"/>
      <c r="CG135" s="1513"/>
      <c r="CH135" s="1513"/>
      <c r="CI135" s="897">
        <f t="shared" si="2"/>
        <v>2.64</v>
      </c>
    </row>
    <row r="136" spans="1:87">
      <c r="A136" s="390" t="s">
        <v>2355</v>
      </c>
      <c r="B136" s="390" t="s">
        <v>665</v>
      </c>
      <c r="C136" s="390" t="s">
        <v>302</v>
      </c>
      <c r="D136" s="908" t="s">
        <v>65</v>
      </c>
      <c r="E136" s="1171" t="s">
        <v>3760</v>
      </c>
      <c r="F136" s="2210">
        <v>0</v>
      </c>
      <c r="G136" s="277"/>
      <c r="H136" s="3928"/>
      <c r="I136" s="3931"/>
      <c r="J136" s="3931"/>
      <c r="K136" s="3931"/>
      <c r="L136" s="3931"/>
      <c r="M136" s="3934"/>
      <c r="N136" s="3931"/>
      <c r="O136" s="3925"/>
      <c r="P136" s="272"/>
      <c r="Q136" s="3061"/>
      <c r="R136" s="3934"/>
      <c r="BB136" s="1513"/>
      <c r="BC136" s="1513"/>
      <c r="BD136" s="1513"/>
      <c r="BE136" s="1513"/>
      <c r="BF136" s="1513"/>
      <c r="BG136" s="1513"/>
      <c r="BH136" s="1513"/>
      <c r="BI136" s="1513"/>
      <c r="BJ136" s="1513"/>
      <c r="BK136" s="1513"/>
      <c r="BL136" s="1513"/>
      <c r="BM136" s="1513"/>
      <c r="BN136" s="1513"/>
      <c r="BO136" s="1513"/>
      <c r="BP136" s="1513"/>
      <c r="BQ136" s="1513"/>
      <c r="BR136" s="1513"/>
      <c r="BS136" s="1513"/>
      <c r="BT136" s="1513"/>
      <c r="BU136" s="1513"/>
      <c r="BV136" s="1513"/>
      <c r="BW136" s="1513"/>
      <c r="BX136" s="1513"/>
      <c r="BY136" s="1513"/>
      <c r="BZ136" s="1513"/>
      <c r="CA136" s="1513"/>
      <c r="CB136" s="1513"/>
      <c r="CC136" s="1513"/>
      <c r="CD136" s="1513"/>
      <c r="CE136" s="1513"/>
      <c r="CF136" s="1513"/>
      <c r="CG136" s="1513"/>
      <c r="CH136" s="1513"/>
      <c r="CI136" s="897">
        <f t="shared" ref="CI136:CI175" si="3">SUM(BB136:CH136)</f>
        <v>0</v>
      </c>
    </row>
    <row r="137" spans="1:87">
      <c r="A137" s="880" t="s">
        <v>2358</v>
      </c>
      <c r="B137" s="936" t="s">
        <v>667</v>
      </c>
      <c r="C137" s="85" t="s">
        <v>668</v>
      </c>
      <c r="D137" s="997" t="s">
        <v>65</v>
      </c>
      <c r="E137" s="997" t="s">
        <v>3760</v>
      </c>
      <c r="F137" s="237"/>
      <c r="G137" s="237"/>
      <c r="H137" s="237"/>
      <c r="I137" s="237"/>
      <c r="J137" s="237"/>
      <c r="K137" s="237"/>
      <c r="L137" s="237"/>
      <c r="M137" s="1443"/>
      <c r="N137" s="51"/>
      <c r="O137" s="2905">
        <f>SUM(O138:O149)+O152</f>
        <v>14.96</v>
      </c>
      <c r="P137" s="97"/>
      <c r="Q137" s="3066"/>
      <c r="R137" s="116">
        <f>SUM(R138:R149)+R152</f>
        <v>14.96</v>
      </c>
      <c r="U137" s="3132"/>
      <c r="BB137" s="1513"/>
      <c r="BC137" s="1513"/>
      <c r="BD137" s="1513"/>
      <c r="BE137" s="1513"/>
      <c r="BF137" s="1513"/>
      <c r="BG137" s="1513"/>
      <c r="BH137" s="1513"/>
      <c r="BI137" s="1513"/>
      <c r="BJ137" s="1513"/>
      <c r="BK137" s="1513"/>
      <c r="BL137" s="1513"/>
      <c r="BM137" s="1513"/>
      <c r="BN137" s="1513"/>
      <c r="BO137" s="1513"/>
      <c r="BP137" s="1513"/>
      <c r="BQ137" s="1513"/>
      <c r="BR137" s="1513"/>
      <c r="BS137" s="1513"/>
      <c r="BT137" s="1513"/>
      <c r="BU137" s="1513"/>
      <c r="BV137" s="1513"/>
      <c r="BW137" s="1513"/>
      <c r="BX137" s="1513"/>
      <c r="BY137" s="1513"/>
      <c r="BZ137" s="1513"/>
      <c r="CA137" s="1513"/>
      <c r="CB137" s="1513"/>
      <c r="CC137" s="1513"/>
      <c r="CD137" s="1513"/>
      <c r="CE137" s="1513"/>
      <c r="CF137" s="1513"/>
      <c r="CG137" s="1513"/>
      <c r="CH137" s="1513"/>
      <c r="CI137" s="897">
        <f t="shared" si="3"/>
        <v>0</v>
      </c>
    </row>
    <row r="138" spans="1:87">
      <c r="A138" s="390" t="s">
        <v>2359</v>
      </c>
      <c r="B138" s="390" t="s">
        <v>670</v>
      </c>
      <c r="C138" s="390" t="s">
        <v>671</v>
      </c>
      <c r="D138" s="908" t="s">
        <v>65</v>
      </c>
      <c r="E138" s="1171" t="s">
        <v>3760</v>
      </c>
      <c r="F138" s="2209">
        <v>0</v>
      </c>
      <c r="G138" s="392"/>
      <c r="H138" s="3938">
        <v>19.2</v>
      </c>
      <c r="I138" s="3935"/>
      <c r="J138" s="3935">
        <v>5</v>
      </c>
      <c r="K138" s="3935"/>
      <c r="L138" s="3929">
        <v>88000</v>
      </c>
      <c r="M138" s="3932">
        <f>L138/100000</f>
        <v>0.88</v>
      </c>
      <c r="N138" s="3929">
        <v>17</v>
      </c>
      <c r="O138" s="3923">
        <f>M138*N138</f>
        <v>14.96</v>
      </c>
      <c r="P138" s="367"/>
      <c r="Q138" s="3061"/>
      <c r="R138" s="3932">
        <v>14.96</v>
      </c>
      <c r="U138" s="3132"/>
      <c r="BB138" s="1513"/>
      <c r="BC138" s="1513"/>
      <c r="BD138" s="1513"/>
      <c r="BE138" s="1513"/>
      <c r="BF138" s="1513"/>
      <c r="BG138" s="1513"/>
      <c r="BH138" s="1513"/>
      <c r="BI138" s="1513"/>
      <c r="BJ138" s="1513"/>
      <c r="BK138" s="1513"/>
      <c r="BL138" s="1513"/>
      <c r="BM138" s="1513"/>
      <c r="BN138" s="1513"/>
      <c r="BO138" s="1513"/>
      <c r="BP138" s="1513"/>
      <c r="BQ138" s="1513"/>
      <c r="BR138" s="1513"/>
      <c r="BS138" s="1513"/>
      <c r="BT138" s="1513"/>
      <c r="BU138" s="1513"/>
      <c r="BV138" s="1513"/>
      <c r="BW138" s="1513"/>
      <c r="BX138" s="1513"/>
      <c r="BY138" s="1513"/>
      <c r="BZ138" s="1513"/>
      <c r="CA138" s="1513"/>
      <c r="CB138" s="1513"/>
      <c r="CC138" s="1513"/>
      <c r="CD138" s="1513"/>
      <c r="CE138" s="1513"/>
      <c r="CF138" s="1513"/>
      <c r="CG138" s="1513"/>
      <c r="CH138" s="1513"/>
      <c r="CI138" s="897">
        <f t="shared" si="3"/>
        <v>0</v>
      </c>
    </row>
    <row r="139" spans="1:87">
      <c r="A139" s="390" t="s">
        <v>2360</v>
      </c>
      <c r="B139" s="390" t="s">
        <v>673</v>
      </c>
      <c r="C139" s="390" t="s">
        <v>674</v>
      </c>
      <c r="D139" s="908" t="s">
        <v>65</v>
      </c>
      <c r="E139" s="1171" t="s">
        <v>3760</v>
      </c>
      <c r="F139" s="2209">
        <v>0</v>
      </c>
      <c r="G139" s="392"/>
      <c r="H139" s="3939"/>
      <c r="I139" s="3936"/>
      <c r="J139" s="3936"/>
      <c r="K139" s="3936"/>
      <c r="L139" s="3930"/>
      <c r="M139" s="3933"/>
      <c r="N139" s="3930"/>
      <c r="O139" s="3924"/>
      <c r="P139" s="367"/>
      <c r="Q139" s="3061"/>
      <c r="R139" s="3933"/>
      <c r="BB139" s="1513"/>
      <c r="BC139" s="1513"/>
      <c r="BD139" s="1513"/>
      <c r="BE139" s="1513"/>
      <c r="BF139" s="1513"/>
      <c r="BG139" s="1513"/>
      <c r="BH139" s="1513"/>
      <c r="BI139" s="1513"/>
      <c r="BJ139" s="1513"/>
      <c r="BK139" s="1513"/>
      <c r="BL139" s="1513"/>
      <c r="BM139" s="1513"/>
      <c r="BN139" s="1513"/>
      <c r="BO139" s="1513"/>
      <c r="BP139" s="1513"/>
      <c r="BQ139" s="1513"/>
      <c r="BR139" s="1513"/>
      <c r="BS139" s="1513"/>
      <c r="BT139" s="1513"/>
      <c r="BU139" s="1513"/>
      <c r="BV139" s="1513"/>
      <c r="BW139" s="1513"/>
      <c r="BX139" s="1513"/>
      <c r="BY139" s="1513"/>
      <c r="BZ139" s="1513"/>
      <c r="CA139" s="1513"/>
      <c r="CB139" s="1513"/>
      <c r="CC139" s="1513"/>
      <c r="CD139" s="1513"/>
      <c r="CE139" s="1513"/>
      <c r="CF139" s="1513"/>
      <c r="CG139" s="1513"/>
      <c r="CH139" s="1513"/>
      <c r="CI139" s="897">
        <f t="shared" si="3"/>
        <v>0</v>
      </c>
    </row>
    <row r="140" spans="1:87" ht="30">
      <c r="A140" s="390" t="s">
        <v>2361</v>
      </c>
      <c r="B140" s="390" t="s">
        <v>676</v>
      </c>
      <c r="C140" s="390" t="s">
        <v>677</v>
      </c>
      <c r="D140" s="908" t="s">
        <v>65</v>
      </c>
      <c r="E140" s="1171" t="s">
        <v>3760</v>
      </c>
      <c r="F140" s="2209">
        <v>0</v>
      </c>
      <c r="G140" s="392"/>
      <c r="H140" s="3939"/>
      <c r="I140" s="3936"/>
      <c r="J140" s="3936"/>
      <c r="K140" s="3936"/>
      <c r="L140" s="3930"/>
      <c r="M140" s="3933"/>
      <c r="N140" s="3930"/>
      <c r="O140" s="3924"/>
      <c r="P140" s="367"/>
      <c r="Q140" s="3061"/>
      <c r="R140" s="3933"/>
      <c r="BB140" s="1513"/>
      <c r="BC140" s="1513"/>
      <c r="BD140" s="1513"/>
      <c r="BE140" s="1513"/>
      <c r="BF140" s="1513"/>
      <c r="BG140" s="1513"/>
      <c r="BH140" s="1513"/>
      <c r="BI140" s="1513"/>
      <c r="BJ140" s="1513"/>
      <c r="BK140" s="1513"/>
      <c r="BL140" s="1513"/>
      <c r="BM140" s="1513"/>
      <c r="BN140" s="1513"/>
      <c r="BO140" s="1513"/>
      <c r="BP140" s="1513"/>
      <c r="BQ140" s="1513"/>
      <c r="BR140" s="1513"/>
      <c r="BS140" s="1513"/>
      <c r="BT140" s="1513"/>
      <c r="BU140" s="1513"/>
      <c r="BV140" s="1513"/>
      <c r="BW140" s="1513"/>
      <c r="BX140" s="1513"/>
      <c r="BY140" s="1513"/>
      <c r="BZ140" s="1513"/>
      <c r="CA140" s="1513"/>
      <c r="CB140" s="1513"/>
      <c r="CC140" s="1513"/>
      <c r="CD140" s="1513"/>
      <c r="CE140" s="1513"/>
      <c r="CF140" s="1513"/>
      <c r="CG140" s="1513"/>
      <c r="CH140" s="1513"/>
      <c r="CI140" s="897">
        <f t="shared" si="3"/>
        <v>0</v>
      </c>
    </row>
    <row r="141" spans="1:87">
      <c r="A141" s="390" t="s">
        <v>2362</v>
      </c>
      <c r="B141" s="390" t="s">
        <v>679</v>
      </c>
      <c r="C141" s="390" t="s">
        <v>2356</v>
      </c>
      <c r="D141" s="908" t="s">
        <v>65</v>
      </c>
      <c r="E141" s="1171" t="s">
        <v>3760</v>
      </c>
      <c r="F141" s="2209">
        <v>0</v>
      </c>
      <c r="G141" s="392"/>
      <c r="H141" s="3939"/>
      <c r="I141" s="3936"/>
      <c r="J141" s="3936"/>
      <c r="K141" s="3936"/>
      <c r="L141" s="3930"/>
      <c r="M141" s="3933"/>
      <c r="N141" s="3930"/>
      <c r="O141" s="3924"/>
      <c r="P141" s="367"/>
      <c r="Q141" s="3061"/>
      <c r="R141" s="3933"/>
      <c r="BB141" s="1513"/>
      <c r="BC141" s="1513"/>
      <c r="BD141" s="1513"/>
      <c r="BE141" s="1513"/>
      <c r="BF141" s="1513"/>
      <c r="BG141" s="1513"/>
      <c r="BH141" s="1513"/>
      <c r="BI141" s="1513"/>
      <c r="BJ141" s="1513"/>
      <c r="BK141" s="1513"/>
      <c r="BL141" s="1513"/>
      <c r="BM141" s="1513"/>
      <c r="BN141" s="1513"/>
      <c r="BO141" s="1513"/>
      <c r="BP141" s="1513"/>
      <c r="BQ141" s="1513"/>
      <c r="BR141" s="1513"/>
      <c r="BS141" s="1513"/>
      <c r="BT141" s="1513"/>
      <c r="BU141" s="1513"/>
      <c r="BV141" s="1513"/>
      <c r="BW141" s="1513"/>
      <c r="BX141" s="1513"/>
      <c r="BY141" s="1513"/>
      <c r="BZ141" s="1513"/>
      <c r="CA141" s="1513"/>
      <c r="CB141" s="1513"/>
      <c r="CC141" s="1513"/>
      <c r="CD141" s="1513"/>
      <c r="CE141" s="1513"/>
      <c r="CF141" s="1513"/>
      <c r="CG141" s="1513"/>
      <c r="CH141" s="1513"/>
      <c r="CI141" s="897">
        <f t="shared" si="3"/>
        <v>0</v>
      </c>
    </row>
    <row r="142" spans="1:87">
      <c r="A142" s="390" t="s">
        <v>2363</v>
      </c>
      <c r="B142" s="390" t="s">
        <v>681</v>
      </c>
      <c r="C142" s="390" t="s">
        <v>682</v>
      </c>
      <c r="D142" s="908" t="s">
        <v>65</v>
      </c>
      <c r="E142" s="1171" t="s">
        <v>3760</v>
      </c>
      <c r="F142" s="2209">
        <v>0</v>
      </c>
      <c r="G142" s="392"/>
      <c r="H142" s="3939"/>
      <c r="I142" s="3936"/>
      <c r="J142" s="3936"/>
      <c r="K142" s="3936"/>
      <c r="L142" s="3930"/>
      <c r="M142" s="3933"/>
      <c r="N142" s="3930"/>
      <c r="O142" s="3924"/>
      <c r="P142" s="367"/>
      <c r="Q142" s="3061"/>
      <c r="R142" s="3933"/>
      <c r="BB142" s="1513"/>
      <c r="BC142" s="1513"/>
      <c r="BD142" s="1513"/>
      <c r="BE142" s="1513"/>
      <c r="BF142" s="1513"/>
      <c r="BG142" s="1513"/>
      <c r="BH142" s="1513"/>
      <c r="BI142" s="1513"/>
      <c r="BJ142" s="1513"/>
      <c r="BK142" s="1513"/>
      <c r="BL142" s="1513"/>
      <c r="BM142" s="1513"/>
      <c r="BN142" s="1513"/>
      <c r="BO142" s="1513"/>
      <c r="BP142" s="1513"/>
      <c r="BQ142" s="1513"/>
      <c r="BR142" s="1513"/>
      <c r="BS142" s="1513"/>
      <c r="BT142" s="1513"/>
      <c r="BU142" s="1513"/>
      <c r="BV142" s="1513"/>
      <c r="BW142" s="1513"/>
      <c r="BX142" s="1513"/>
      <c r="BY142" s="1513"/>
      <c r="BZ142" s="1513"/>
      <c r="CA142" s="1513"/>
      <c r="CB142" s="1513"/>
      <c r="CC142" s="1513"/>
      <c r="CD142" s="1513"/>
      <c r="CE142" s="1513"/>
      <c r="CF142" s="1513"/>
      <c r="CG142" s="1513"/>
      <c r="CH142" s="1513"/>
      <c r="CI142" s="897">
        <f t="shared" si="3"/>
        <v>0</v>
      </c>
    </row>
    <row r="143" spans="1:87" s="2689" customFormat="1" ht="102.75" thickBot="1">
      <c r="A143" s="2684" t="s">
        <v>2364</v>
      </c>
      <c r="B143" s="2684" t="s">
        <v>683</v>
      </c>
      <c r="C143" s="2684" t="s">
        <v>684</v>
      </c>
      <c r="D143" s="2685" t="s">
        <v>65</v>
      </c>
      <c r="E143" s="2686" t="s">
        <v>3760</v>
      </c>
      <c r="F143" s="2687">
        <v>16</v>
      </c>
      <c r="G143" s="2688">
        <v>0</v>
      </c>
      <c r="H143" s="3939"/>
      <c r="I143" s="3936"/>
      <c r="J143" s="3936"/>
      <c r="K143" s="3936"/>
      <c r="L143" s="3930"/>
      <c r="M143" s="3933"/>
      <c r="N143" s="3930"/>
      <c r="O143" s="3924"/>
      <c r="P143" s="2702" t="s">
        <v>5501</v>
      </c>
      <c r="Q143" s="2912" t="s">
        <v>5795</v>
      </c>
      <c r="R143" s="3933"/>
      <c r="BB143" s="3256">
        <v>8.9600000000000009</v>
      </c>
      <c r="BC143" s="3256"/>
      <c r="BD143" s="3256"/>
      <c r="BE143" s="3256">
        <v>1.2</v>
      </c>
      <c r="BF143" s="3256">
        <v>1.2</v>
      </c>
      <c r="BG143" s="3256"/>
      <c r="BH143" s="3256"/>
      <c r="BI143" s="3256"/>
      <c r="BJ143" s="3256">
        <v>1.2</v>
      </c>
      <c r="BK143" s="3256">
        <v>1.2</v>
      </c>
      <c r="BL143" s="3256">
        <v>1.2</v>
      </c>
      <c r="BM143" s="3256"/>
      <c r="BN143" s="3256"/>
      <c r="BO143" s="3256"/>
      <c r="BP143" s="3256"/>
      <c r="BQ143" s="3256"/>
      <c r="BR143" s="3256"/>
      <c r="BS143" s="3256"/>
      <c r="BT143" s="3256"/>
      <c r="BU143" s="3256"/>
      <c r="BV143" s="3256"/>
      <c r="BW143" s="3256"/>
      <c r="BX143" s="3256"/>
      <c r="BY143" s="3256"/>
      <c r="BZ143" s="3256"/>
      <c r="CA143" s="3256"/>
      <c r="CB143" s="3256"/>
      <c r="CC143" s="3256"/>
      <c r="CD143" s="3256"/>
      <c r="CE143" s="3256"/>
      <c r="CF143" s="3256"/>
      <c r="CG143" s="3256"/>
      <c r="CH143" s="3256"/>
      <c r="CI143" s="897">
        <f t="shared" si="3"/>
        <v>14.959999999999997</v>
      </c>
    </row>
    <row r="144" spans="1:87" ht="30">
      <c r="A144" s="390" t="s">
        <v>2365</v>
      </c>
      <c r="B144" s="390" t="s">
        <v>685</v>
      </c>
      <c r="C144" s="390" t="s">
        <v>686</v>
      </c>
      <c r="D144" s="908" t="s">
        <v>65</v>
      </c>
      <c r="E144" s="1171" t="s">
        <v>3760</v>
      </c>
      <c r="F144" s="2209">
        <v>0</v>
      </c>
      <c r="G144" s="392"/>
      <c r="H144" s="3939"/>
      <c r="I144" s="3936"/>
      <c r="J144" s="3936"/>
      <c r="K144" s="3936"/>
      <c r="L144" s="3930"/>
      <c r="M144" s="3933"/>
      <c r="N144" s="3930"/>
      <c r="O144" s="3924"/>
      <c r="P144" s="250"/>
      <c r="Q144" s="3061"/>
      <c r="R144" s="3933"/>
      <c r="BB144" s="1513"/>
      <c r="BC144" s="1513"/>
      <c r="BD144" s="1513"/>
      <c r="BE144" s="1513"/>
      <c r="BF144" s="1513"/>
      <c r="BG144" s="1513"/>
      <c r="BH144" s="1513"/>
      <c r="BI144" s="1513"/>
      <c r="BJ144" s="1513"/>
      <c r="BK144" s="1513"/>
      <c r="BL144" s="1513"/>
      <c r="BM144" s="1513"/>
      <c r="BN144" s="1513"/>
      <c r="BO144" s="1513"/>
      <c r="BP144" s="1513"/>
      <c r="BQ144" s="1513"/>
      <c r="BR144" s="1513"/>
      <c r="BS144" s="1513"/>
      <c r="BT144" s="1513"/>
      <c r="BU144" s="1513"/>
      <c r="BV144" s="1513"/>
      <c r="BW144" s="1513"/>
      <c r="BX144" s="1513"/>
      <c r="BY144" s="1513"/>
      <c r="BZ144" s="1513"/>
      <c r="CA144" s="1513"/>
      <c r="CB144" s="1513"/>
      <c r="CC144" s="1513"/>
      <c r="CD144" s="1513"/>
      <c r="CE144" s="1513"/>
      <c r="CF144" s="1513"/>
      <c r="CG144" s="1513"/>
      <c r="CH144" s="1513"/>
      <c r="CI144" s="897">
        <f t="shared" si="3"/>
        <v>0</v>
      </c>
    </row>
    <row r="145" spans="1:87">
      <c r="A145" s="390" t="s">
        <v>2803</v>
      </c>
      <c r="B145" s="390" t="s">
        <v>687</v>
      </c>
      <c r="C145" s="390" t="s">
        <v>688</v>
      </c>
      <c r="D145" s="908" t="s">
        <v>65</v>
      </c>
      <c r="E145" s="1171" t="s">
        <v>3760</v>
      </c>
      <c r="F145" s="2209">
        <v>0</v>
      </c>
      <c r="G145" s="392"/>
      <c r="H145" s="3939"/>
      <c r="I145" s="3936"/>
      <c r="J145" s="3936"/>
      <c r="K145" s="3936"/>
      <c r="L145" s="3930"/>
      <c r="M145" s="3933"/>
      <c r="N145" s="3930"/>
      <c r="O145" s="3924"/>
      <c r="P145" s="367"/>
      <c r="Q145" s="3061"/>
      <c r="R145" s="3933"/>
      <c r="BB145" s="1513"/>
      <c r="BC145" s="1513"/>
      <c r="BD145" s="1513"/>
      <c r="BE145" s="1513"/>
      <c r="BF145" s="1513"/>
      <c r="BG145" s="1513"/>
      <c r="BH145" s="1513"/>
      <c r="BI145" s="1513"/>
      <c r="BJ145" s="1513"/>
      <c r="BK145" s="1513"/>
      <c r="BL145" s="1513"/>
      <c r="BM145" s="1513"/>
      <c r="BN145" s="1513"/>
      <c r="BO145" s="1513"/>
      <c r="BP145" s="1513"/>
      <c r="BQ145" s="1513"/>
      <c r="BR145" s="1513"/>
      <c r="BS145" s="1513"/>
      <c r="BT145" s="1513"/>
      <c r="BU145" s="1513"/>
      <c r="BV145" s="1513"/>
      <c r="BW145" s="1513"/>
      <c r="BX145" s="1513"/>
      <c r="BY145" s="1513"/>
      <c r="BZ145" s="1513"/>
      <c r="CA145" s="1513"/>
      <c r="CB145" s="1513"/>
      <c r="CC145" s="1513"/>
      <c r="CD145" s="1513"/>
      <c r="CE145" s="1513"/>
      <c r="CF145" s="1513"/>
      <c r="CG145" s="1513"/>
      <c r="CH145" s="1513"/>
      <c r="CI145" s="897">
        <f t="shared" si="3"/>
        <v>0</v>
      </c>
    </row>
    <row r="146" spans="1:87">
      <c r="A146" s="390" t="s">
        <v>2804</v>
      </c>
      <c r="B146" s="390" t="s">
        <v>689</v>
      </c>
      <c r="C146" s="390" t="s">
        <v>690</v>
      </c>
      <c r="D146" s="908" t="s">
        <v>65</v>
      </c>
      <c r="E146" s="1171" t="s">
        <v>3760</v>
      </c>
      <c r="F146" s="2209">
        <v>0</v>
      </c>
      <c r="G146" s="392"/>
      <c r="H146" s="3939"/>
      <c r="I146" s="3936"/>
      <c r="J146" s="3936"/>
      <c r="K146" s="3936"/>
      <c r="L146" s="3930"/>
      <c r="M146" s="3933"/>
      <c r="N146" s="3930"/>
      <c r="O146" s="3924"/>
      <c r="P146" s="367"/>
      <c r="Q146" s="3061"/>
      <c r="R146" s="3933"/>
      <c r="BB146" s="1513"/>
      <c r="BC146" s="1513"/>
      <c r="BD146" s="1513"/>
      <c r="BE146" s="1513"/>
      <c r="BF146" s="1513"/>
      <c r="BG146" s="1513"/>
      <c r="BH146" s="1513"/>
      <c r="BI146" s="1513"/>
      <c r="BJ146" s="1513"/>
      <c r="BK146" s="1513"/>
      <c r="BL146" s="1513"/>
      <c r="BM146" s="1513"/>
      <c r="BN146" s="1513"/>
      <c r="BO146" s="1513"/>
      <c r="BP146" s="1513"/>
      <c r="BQ146" s="1513"/>
      <c r="BR146" s="1513"/>
      <c r="BS146" s="1513"/>
      <c r="BT146" s="1513"/>
      <c r="BU146" s="1513"/>
      <c r="BV146" s="1513"/>
      <c r="BW146" s="1513"/>
      <c r="BX146" s="1513"/>
      <c r="BY146" s="1513"/>
      <c r="BZ146" s="1513"/>
      <c r="CA146" s="1513"/>
      <c r="CB146" s="1513"/>
      <c r="CC146" s="1513"/>
      <c r="CD146" s="1513"/>
      <c r="CE146" s="1513"/>
      <c r="CF146" s="1513"/>
      <c r="CG146" s="1513"/>
      <c r="CH146" s="1513"/>
      <c r="CI146" s="897">
        <f t="shared" si="3"/>
        <v>0</v>
      </c>
    </row>
    <row r="147" spans="1:87">
      <c r="A147" s="390" t="s">
        <v>2805</v>
      </c>
      <c r="B147" s="390" t="s">
        <v>691</v>
      </c>
      <c r="C147" s="390" t="s">
        <v>692</v>
      </c>
      <c r="D147" s="908" t="s">
        <v>65</v>
      </c>
      <c r="E147" s="1171" t="s">
        <v>3760</v>
      </c>
      <c r="F147" s="2209">
        <v>0</v>
      </c>
      <c r="G147" s="392"/>
      <c r="H147" s="3939"/>
      <c r="I147" s="3936"/>
      <c r="J147" s="3936"/>
      <c r="K147" s="3936"/>
      <c r="L147" s="3930"/>
      <c r="M147" s="3933"/>
      <c r="N147" s="3930"/>
      <c r="O147" s="3924"/>
      <c r="P147" s="367"/>
      <c r="Q147" s="3061"/>
      <c r="R147" s="3933"/>
      <c r="BB147" s="1513"/>
      <c r="BC147" s="1513"/>
      <c r="BD147" s="1513"/>
      <c r="BE147" s="1513"/>
      <c r="BF147" s="1513"/>
      <c r="BG147" s="1513"/>
      <c r="BH147" s="1513"/>
      <c r="BI147" s="1513"/>
      <c r="BJ147" s="1513"/>
      <c r="BK147" s="1513"/>
      <c r="BL147" s="1513"/>
      <c r="BM147" s="1513"/>
      <c r="BN147" s="1513"/>
      <c r="BO147" s="1513"/>
      <c r="BP147" s="1513"/>
      <c r="BQ147" s="1513"/>
      <c r="BR147" s="1513"/>
      <c r="BS147" s="1513"/>
      <c r="BT147" s="1513"/>
      <c r="BU147" s="1513"/>
      <c r="BV147" s="1513"/>
      <c r="BW147" s="1513"/>
      <c r="BX147" s="1513"/>
      <c r="BY147" s="1513"/>
      <c r="BZ147" s="1513"/>
      <c r="CA147" s="1513"/>
      <c r="CB147" s="1513"/>
      <c r="CC147" s="1513"/>
      <c r="CD147" s="1513"/>
      <c r="CE147" s="1513"/>
      <c r="CF147" s="1513"/>
      <c r="CG147" s="1513"/>
      <c r="CH147" s="1513"/>
      <c r="CI147" s="897">
        <f t="shared" si="3"/>
        <v>0</v>
      </c>
    </row>
    <row r="148" spans="1:87">
      <c r="A148" s="390" t="s">
        <v>2806</v>
      </c>
      <c r="B148" s="390" t="s">
        <v>693</v>
      </c>
      <c r="C148" s="390" t="s">
        <v>694</v>
      </c>
      <c r="D148" s="908" t="s">
        <v>65</v>
      </c>
      <c r="E148" s="1171" t="s">
        <v>3760</v>
      </c>
      <c r="F148" s="2209">
        <v>0</v>
      </c>
      <c r="G148" s="392"/>
      <c r="H148" s="3940"/>
      <c r="I148" s="3937"/>
      <c r="J148" s="3937"/>
      <c r="K148" s="3937"/>
      <c r="L148" s="3931"/>
      <c r="M148" s="3934"/>
      <c r="N148" s="3931"/>
      <c r="O148" s="3925"/>
      <c r="P148" s="367"/>
      <c r="Q148" s="3061"/>
      <c r="R148" s="3934"/>
      <c r="BB148" s="1513"/>
      <c r="BC148" s="1513"/>
      <c r="BD148" s="1513"/>
      <c r="BE148" s="1513"/>
      <c r="BF148" s="1513"/>
      <c r="BG148" s="1513"/>
      <c r="BH148" s="1513"/>
      <c r="BI148" s="1513"/>
      <c r="BJ148" s="1513"/>
      <c r="BK148" s="1513"/>
      <c r="BL148" s="1513"/>
      <c r="BM148" s="1513"/>
      <c r="BN148" s="1513"/>
      <c r="BO148" s="1513"/>
      <c r="BP148" s="1513"/>
      <c r="BQ148" s="1513"/>
      <c r="BR148" s="1513"/>
      <c r="BS148" s="1513"/>
      <c r="BT148" s="1513"/>
      <c r="BU148" s="1513"/>
      <c r="BV148" s="1513"/>
      <c r="BW148" s="1513"/>
      <c r="BX148" s="1513"/>
      <c r="BY148" s="1513"/>
      <c r="BZ148" s="1513"/>
      <c r="CA148" s="1513"/>
      <c r="CB148" s="1513"/>
      <c r="CC148" s="1513"/>
      <c r="CD148" s="1513"/>
      <c r="CE148" s="1513"/>
      <c r="CF148" s="1513"/>
      <c r="CG148" s="1513"/>
      <c r="CH148" s="1513"/>
      <c r="CI148" s="897">
        <f t="shared" si="3"/>
        <v>0</v>
      </c>
    </row>
    <row r="149" spans="1:87" ht="30">
      <c r="A149" s="1436" t="s">
        <v>2807</v>
      </c>
      <c r="B149" s="1436" t="s">
        <v>696</v>
      </c>
      <c r="C149" s="1436" t="s">
        <v>697</v>
      </c>
      <c r="D149" s="1437" t="s">
        <v>65</v>
      </c>
      <c r="E149" s="1437" t="s">
        <v>3760</v>
      </c>
      <c r="F149" s="256"/>
      <c r="G149" s="256"/>
      <c r="H149" s="256"/>
      <c r="I149" s="256"/>
      <c r="J149" s="256"/>
      <c r="K149" s="256"/>
      <c r="L149" s="256"/>
      <c r="M149" s="1445"/>
      <c r="N149" s="278"/>
      <c r="O149" s="2907">
        <f>SUM(O150:O151)</f>
        <v>0</v>
      </c>
      <c r="P149" s="95"/>
      <c r="Q149" s="3071"/>
      <c r="R149" s="143">
        <f>SUM(R150:R151)</f>
        <v>0</v>
      </c>
      <c r="BB149" s="1513"/>
      <c r="BC149" s="1513"/>
      <c r="BD149" s="1513"/>
      <c r="BE149" s="1513"/>
      <c r="BF149" s="1513"/>
      <c r="BG149" s="1513"/>
      <c r="BH149" s="1513"/>
      <c r="BI149" s="1513"/>
      <c r="BJ149" s="1513"/>
      <c r="BK149" s="1513"/>
      <c r="BL149" s="1513"/>
      <c r="BM149" s="1513"/>
      <c r="BN149" s="1513"/>
      <c r="BO149" s="1513"/>
      <c r="BP149" s="1513"/>
      <c r="BQ149" s="1513"/>
      <c r="BR149" s="1513"/>
      <c r="BS149" s="1513"/>
      <c r="BT149" s="1513"/>
      <c r="BU149" s="1513"/>
      <c r="BV149" s="1513"/>
      <c r="BW149" s="1513"/>
      <c r="BX149" s="1513"/>
      <c r="BY149" s="1513"/>
      <c r="BZ149" s="1513"/>
      <c r="CA149" s="1513"/>
      <c r="CB149" s="1513"/>
      <c r="CC149" s="1513"/>
      <c r="CD149" s="1513"/>
      <c r="CE149" s="1513"/>
      <c r="CF149" s="1513"/>
      <c r="CG149" s="1513"/>
      <c r="CH149" s="1513"/>
      <c r="CI149" s="897">
        <f t="shared" si="3"/>
        <v>0</v>
      </c>
    </row>
    <row r="150" spans="1:87">
      <c r="A150" s="1434" t="s">
        <v>4186</v>
      </c>
      <c r="B150" s="390" t="s">
        <v>698</v>
      </c>
      <c r="C150" s="390" t="s">
        <v>699</v>
      </c>
      <c r="D150" s="908" t="s">
        <v>65</v>
      </c>
      <c r="E150" s="1171" t="s">
        <v>3760</v>
      </c>
      <c r="F150" s="2210">
        <v>0</v>
      </c>
      <c r="G150" s="277"/>
      <c r="H150" s="3929">
        <v>0</v>
      </c>
      <c r="I150" s="3929"/>
      <c r="J150" s="3929"/>
      <c r="K150" s="3929"/>
      <c r="L150" s="3929"/>
      <c r="M150" s="3932">
        <f>L150/100000</f>
        <v>0</v>
      </c>
      <c r="N150" s="3929"/>
      <c r="O150" s="3923">
        <f>M150*N150</f>
        <v>0</v>
      </c>
      <c r="P150" s="272"/>
      <c r="Q150" s="3061"/>
      <c r="R150" s="3932"/>
      <c r="BB150" s="1513"/>
      <c r="BC150" s="1513"/>
      <c r="BD150" s="1513"/>
      <c r="BE150" s="1513"/>
      <c r="BF150" s="1513"/>
      <c r="BG150" s="1513"/>
      <c r="BH150" s="1513"/>
      <c r="BI150" s="1513"/>
      <c r="BJ150" s="1513"/>
      <c r="BK150" s="1513"/>
      <c r="BL150" s="1513"/>
      <c r="BM150" s="1513"/>
      <c r="BN150" s="1513"/>
      <c r="BO150" s="1513"/>
      <c r="BP150" s="1513"/>
      <c r="BQ150" s="1513"/>
      <c r="BR150" s="1513"/>
      <c r="BS150" s="1513"/>
      <c r="BT150" s="1513"/>
      <c r="BU150" s="1513"/>
      <c r="BV150" s="1513"/>
      <c r="BW150" s="1513"/>
      <c r="BX150" s="1513"/>
      <c r="BY150" s="1513"/>
      <c r="BZ150" s="1513"/>
      <c r="CA150" s="1513"/>
      <c r="CB150" s="1513"/>
      <c r="CC150" s="1513"/>
      <c r="CD150" s="1513"/>
      <c r="CE150" s="1513"/>
      <c r="CF150" s="1513"/>
      <c r="CG150" s="1513"/>
      <c r="CH150" s="1513"/>
      <c r="CI150" s="897">
        <f t="shared" si="3"/>
        <v>0</v>
      </c>
    </row>
    <row r="151" spans="1:87">
      <c r="A151" s="1434" t="s">
        <v>4187</v>
      </c>
      <c r="B151" s="390" t="s">
        <v>700</v>
      </c>
      <c r="C151" s="390" t="s">
        <v>701</v>
      </c>
      <c r="D151" s="908" t="s">
        <v>65</v>
      </c>
      <c r="E151" s="1171" t="s">
        <v>3760</v>
      </c>
      <c r="F151" s="2210">
        <v>0</v>
      </c>
      <c r="G151" s="277"/>
      <c r="H151" s="3931"/>
      <c r="I151" s="3931"/>
      <c r="J151" s="3931"/>
      <c r="K151" s="3931"/>
      <c r="L151" s="3931"/>
      <c r="M151" s="3934"/>
      <c r="N151" s="3931"/>
      <c r="O151" s="3925"/>
      <c r="P151" s="272"/>
      <c r="Q151" s="3061"/>
      <c r="R151" s="3934"/>
      <c r="BB151" s="1513"/>
      <c r="BC151" s="1513"/>
      <c r="BD151" s="1513"/>
      <c r="BE151" s="1513"/>
      <c r="BF151" s="1513"/>
      <c r="BG151" s="1513"/>
      <c r="BH151" s="1513"/>
      <c r="BI151" s="1513"/>
      <c r="BJ151" s="1513"/>
      <c r="BK151" s="1513"/>
      <c r="BL151" s="1513"/>
      <c r="BM151" s="1513"/>
      <c r="BN151" s="1513"/>
      <c r="BO151" s="1513"/>
      <c r="BP151" s="1513"/>
      <c r="BQ151" s="1513"/>
      <c r="BR151" s="1513"/>
      <c r="BS151" s="1513"/>
      <c r="BT151" s="1513"/>
      <c r="BU151" s="1513"/>
      <c r="BV151" s="1513"/>
      <c r="BW151" s="1513"/>
      <c r="BX151" s="1513"/>
      <c r="BY151" s="1513"/>
      <c r="BZ151" s="1513"/>
      <c r="CA151" s="1513"/>
      <c r="CB151" s="1513"/>
      <c r="CC151" s="1513"/>
      <c r="CD151" s="1513"/>
      <c r="CE151" s="1513"/>
      <c r="CF151" s="1513"/>
      <c r="CG151" s="1513"/>
      <c r="CH151" s="1513"/>
      <c r="CI151" s="897">
        <f t="shared" si="3"/>
        <v>0</v>
      </c>
    </row>
    <row r="152" spans="1:87">
      <c r="A152" s="1434" t="s">
        <v>2808</v>
      </c>
      <c r="B152" s="390" t="s">
        <v>702</v>
      </c>
      <c r="C152" s="390" t="s">
        <v>302</v>
      </c>
      <c r="D152" s="908" t="s">
        <v>65</v>
      </c>
      <c r="E152" s="1171" t="s">
        <v>3760</v>
      </c>
      <c r="F152" s="2210">
        <v>0</v>
      </c>
      <c r="G152" s="277"/>
      <c r="H152" s="277">
        <v>0</v>
      </c>
      <c r="I152" s="277"/>
      <c r="J152" s="277"/>
      <c r="K152" s="277"/>
      <c r="L152" s="277"/>
      <c r="M152" s="631">
        <f>L152/100000</f>
        <v>0</v>
      </c>
      <c r="N152" s="277"/>
      <c r="O152" s="2908">
        <f>M152*N152</f>
        <v>0</v>
      </c>
      <c r="P152" s="272"/>
      <c r="Q152" s="3061"/>
      <c r="R152" s="631"/>
      <c r="BB152" s="1513"/>
      <c r="BC152" s="1513"/>
      <c r="BD152" s="1513"/>
      <c r="BE152" s="1513"/>
      <c r="BF152" s="1513"/>
      <c r="BG152" s="1513"/>
      <c r="BH152" s="1513"/>
      <c r="BI152" s="1513"/>
      <c r="BJ152" s="1513"/>
      <c r="BK152" s="1513"/>
      <c r="BL152" s="1513"/>
      <c r="BM152" s="1513"/>
      <c r="BN152" s="1513"/>
      <c r="BO152" s="1513"/>
      <c r="BP152" s="1513"/>
      <c r="BQ152" s="1513"/>
      <c r="BR152" s="1513"/>
      <c r="BS152" s="1513"/>
      <c r="BT152" s="1513"/>
      <c r="BU152" s="1513"/>
      <c r="BV152" s="1513"/>
      <c r="BW152" s="1513"/>
      <c r="BX152" s="1513"/>
      <c r="BY152" s="1513"/>
      <c r="BZ152" s="1513"/>
      <c r="CA152" s="1513"/>
      <c r="CB152" s="1513"/>
      <c r="CC152" s="1513"/>
      <c r="CD152" s="1513"/>
      <c r="CE152" s="1513"/>
      <c r="CF152" s="1513"/>
      <c r="CG152" s="1513"/>
      <c r="CH152" s="1513"/>
      <c r="CI152" s="897">
        <f t="shared" si="3"/>
        <v>0</v>
      </c>
    </row>
    <row r="153" spans="1:87">
      <c r="A153" s="880" t="s">
        <v>2809</v>
      </c>
      <c r="B153" s="936" t="s">
        <v>704</v>
      </c>
      <c r="C153" s="85" t="s">
        <v>2346</v>
      </c>
      <c r="D153" s="997" t="s">
        <v>65</v>
      </c>
      <c r="E153" s="997" t="s">
        <v>3760</v>
      </c>
      <c r="F153" s="237"/>
      <c r="G153" s="237"/>
      <c r="H153" s="237"/>
      <c r="I153" s="237"/>
      <c r="J153" s="237"/>
      <c r="K153" s="237"/>
      <c r="L153" s="237"/>
      <c r="M153" s="1443"/>
      <c r="N153" s="51"/>
      <c r="O153" s="2905">
        <f>SUM(O154:O160)</f>
        <v>23.929919999999999</v>
      </c>
      <c r="P153" s="97"/>
      <c r="Q153" s="3066"/>
      <c r="R153" s="116">
        <f>SUM(R154:R160)</f>
        <v>23.929919999999999</v>
      </c>
      <c r="U153" s="3132"/>
      <c r="BB153" s="1513"/>
      <c r="BC153" s="1513"/>
      <c r="BD153" s="1513"/>
      <c r="BE153" s="1513"/>
      <c r="BF153" s="1513"/>
      <c r="BG153" s="1513"/>
      <c r="BH153" s="1513"/>
      <c r="BI153" s="1513"/>
      <c r="BJ153" s="1513"/>
      <c r="BK153" s="1513"/>
      <c r="BL153" s="1513"/>
      <c r="BM153" s="1513"/>
      <c r="BN153" s="1513"/>
      <c r="BO153" s="1513"/>
      <c r="BP153" s="1513"/>
      <c r="BQ153" s="1513"/>
      <c r="BR153" s="1513"/>
      <c r="BS153" s="1513"/>
      <c r="BT153" s="1513"/>
      <c r="BU153" s="1513"/>
      <c r="BV153" s="1513"/>
      <c r="BW153" s="1513"/>
      <c r="BX153" s="1513"/>
      <c r="BY153" s="1513"/>
      <c r="BZ153" s="1513"/>
      <c r="CA153" s="1513"/>
      <c r="CB153" s="1513"/>
      <c r="CC153" s="1513"/>
      <c r="CD153" s="1513"/>
      <c r="CE153" s="1513"/>
      <c r="CF153" s="1513"/>
      <c r="CG153" s="1513"/>
      <c r="CH153" s="1513"/>
      <c r="CI153" s="897">
        <f t="shared" si="3"/>
        <v>0</v>
      </c>
    </row>
    <row r="154" spans="1:87" ht="30">
      <c r="A154" s="390" t="s">
        <v>2810</v>
      </c>
      <c r="B154" s="390" t="s">
        <v>635</v>
      </c>
      <c r="C154" s="390" t="s">
        <v>2347</v>
      </c>
      <c r="D154" s="908" t="s">
        <v>65</v>
      </c>
      <c r="E154" s="1171" t="s">
        <v>3760</v>
      </c>
      <c r="F154" s="2209">
        <v>0</v>
      </c>
      <c r="G154" s="392"/>
      <c r="H154" s="3938">
        <v>28.62</v>
      </c>
      <c r="I154" s="3935">
        <v>6.56</v>
      </c>
      <c r="J154" s="3935">
        <v>7.99</v>
      </c>
      <c r="K154" s="3935"/>
      <c r="L154" s="3929">
        <v>96000</v>
      </c>
      <c r="M154" s="3932">
        <f t="shared" ref="M154:M160" si="4">L154/100000</f>
        <v>0.96</v>
      </c>
      <c r="N154" s="3929">
        <v>9</v>
      </c>
      <c r="O154" s="3923">
        <f>M154*N154</f>
        <v>8.64</v>
      </c>
      <c r="P154" s="332"/>
      <c r="Q154" s="3061"/>
      <c r="R154" s="3932">
        <v>8.64</v>
      </c>
      <c r="U154" s="3132"/>
      <c r="BB154" s="1513"/>
      <c r="BC154" s="1513"/>
      <c r="BD154" s="1513"/>
      <c r="BE154" s="1513"/>
      <c r="BF154" s="1513"/>
      <c r="BG154" s="1513"/>
      <c r="BH154" s="1513"/>
      <c r="BI154" s="1513"/>
      <c r="BJ154" s="1513"/>
      <c r="BK154" s="1513"/>
      <c r="BL154" s="1513"/>
      <c r="BM154" s="1513"/>
      <c r="BN154" s="1513"/>
      <c r="BO154" s="1513"/>
      <c r="BP154" s="1513"/>
      <c r="BQ154" s="1513"/>
      <c r="BR154" s="1513"/>
      <c r="BS154" s="1513"/>
      <c r="BT154" s="1513"/>
      <c r="BU154" s="1513"/>
      <c r="BV154" s="1513"/>
      <c r="BW154" s="1513"/>
      <c r="BX154" s="1513"/>
      <c r="BY154" s="1513"/>
      <c r="BZ154" s="1513"/>
      <c r="CA154" s="1513"/>
      <c r="CB154" s="1513"/>
      <c r="CC154" s="1513"/>
      <c r="CD154" s="1513"/>
      <c r="CE154" s="1513"/>
      <c r="CF154" s="1513"/>
      <c r="CG154" s="1513"/>
      <c r="CH154" s="1513"/>
      <c r="CI154" s="897">
        <f t="shared" si="3"/>
        <v>0</v>
      </c>
    </row>
    <row r="155" spans="1:87" ht="51.75" thickBot="1">
      <c r="A155" s="390" t="s">
        <v>2811</v>
      </c>
      <c r="B155" s="390" t="s">
        <v>695</v>
      </c>
      <c r="C155" s="390" t="s">
        <v>2348</v>
      </c>
      <c r="D155" s="908" t="s">
        <v>65</v>
      </c>
      <c r="E155" s="1171" t="s">
        <v>3760</v>
      </c>
      <c r="F155" s="2209">
        <v>9</v>
      </c>
      <c r="G155" s="392">
        <v>0</v>
      </c>
      <c r="H155" s="3939"/>
      <c r="I155" s="3936"/>
      <c r="J155" s="3936"/>
      <c r="K155" s="3936"/>
      <c r="L155" s="3930"/>
      <c r="M155" s="3933"/>
      <c r="N155" s="3930"/>
      <c r="O155" s="3924"/>
      <c r="P155" s="250"/>
      <c r="Q155" s="3054" t="s">
        <v>5796</v>
      </c>
      <c r="R155" s="3933"/>
      <c r="BB155" s="1513">
        <v>8.64</v>
      </c>
      <c r="BC155" s="1513"/>
      <c r="BD155" s="1513"/>
      <c r="BE155" s="1513"/>
      <c r="BF155" s="1513"/>
      <c r="BG155" s="1513"/>
      <c r="BH155" s="1513"/>
      <c r="BI155" s="1513"/>
      <c r="BJ155" s="1513"/>
      <c r="BK155" s="1513"/>
      <c r="BL155" s="1513"/>
      <c r="BM155" s="1513"/>
      <c r="BN155" s="1513"/>
      <c r="BO155" s="1513"/>
      <c r="BP155" s="1513"/>
      <c r="BQ155" s="1513"/>
      <c r="BR155" s="1513"/>
      <c r="BS155" s="1513"/>
      <c r="BT155" s="1513"/>
      <c r="BU155" s="1513"/>
      <c r="BV155" s="1513"/>
      <c r="BW155" s="1513"/>
      <c r="BX155" s="1513"/>
      <c r="BY155" s="1513"/>
      <c r="BZ155" s="1513"/>
      <c r="CA155" s="1513"/>
      <c r="CB155" s="1513"/>
      <c r="CC155" s="1513"/>
      <c r="CD155" s="1513"/>
      <c r="CE155" s="1513"/>
      <c r="CF155" s="1513"/>
      <c r="CG155" s="1513"/>
      <c r="CH155" s="1513"/>
      <c r="CI155" s="897">
        <f t="shared" si="3"/>
        <v>8.64</v>
      </c>
    </row>
    <row r="156" spans="1:87">
      <c r="A156" s="390" t="s">
        <v>2812</v>
      </c>
      <c r="B156" s="391"/>
      <c r="C156" s="390" t="s">
        <v>2349</v>
      </c>
      <c r="D156" s="908" t="s">
        <v>65</v>
      </c>
      <c r="E156" s="1171" t="s">
        <v>3760</v>
      </c>
      <c r="F156" s="2209">
        <v>0</v>
      </c>
      <c r="G156" s="392"/>
      <c r="H156" s="3939"/>
      <c r="I156" s="3936"/>
      <c r="J156" s="3936"/>
      <c r="K156" s="3936"/>
      <c r="L156" s="3930"/>
      <c r="M156" s="3933"/>
      <c r="N156" s="3930"/>
      <c r="O156" s="3924"/>
      <c r="P156" s="367"/>
      <c r="Q156" s="3061"/>
      <c r="R156" s="3933"/>
      <c r="BB156" s="1513"/>
      <c r="BC156" s="1513"/>
      <c r="BD156" s="1513"/>
      <c r="BE156" s="1513"/>
      <c r="BF156" s="1513"/>
      <c r="BG156" s="1513"/>
      <c r="BH156" s="1513"/>
      <c r="BI156" s="1513"/>
      <c r="BJ156" s="1513"/>
      <c r="BK156" s="1513"/>
      <c r="BL156" s="1513"/>
      <c r="BM156" s="1513"/>
      <c r="BN156" s="1513"/>
      <c r="BO156" s="1513"/>
      <c r="BP156" s="1513"/>
      <c r="BQ156" s="1513"/>
      <c r="BR156" s="1513"/>
      <c r="BS156" s="1513"/>
      <c r="BT156" s="1513"/>
      <c r="BU156" s="1513"/>
      <c r="BV156" s="1513"/>
      <c r="BW156" s="1513"/>
      <c r="BX156" s="1513"/>
      <c r="BY156" s="1513"/>
      <c r="BZ156" s="1513"/>
      <c r="CA156" s="1513"/>
      <c r="CB156" s="1513"/>
      <c r="CC156" s="1513"/>
      <c r="CD156" s="1513"/>
      <c r="CE156" s="1513"/>
      <c r="CF156" s="1513"/>
      <c r="CG156" s="1513"/>
      <c r="CH156" s="1513"/>
      <c r="CI156" s="897">
        <f t="shared" si="3"/>
        <v>0</v>
      </c>
    </row>
    <row r="157" spans="1:87">
      <c r="A157" s="390" t="s">
        <v>2813</v>
      </c>
      <c r="B157" s="391"/>
      <c r="C157" s="390" t="s">
        <v>2352</v>
      </c>
      <c r="D157" s="908" t="s">
        <v>65</v>
      </c>
      <c r="E157" s="1171" t="s">
        <v>3760</v>
      </c>
      <c r="F157" s="2209">
        <v>0</v>
      </c>
      <c r="G157" s="392"/>
      <c r="H157" s="3939"/>
      <c r="I157" s="3936"/>
      <c r="J157" s="3936"/>
      <c r="K157" s="3936"/>
      <c r="L157" s="3930"/>
      <c r="M157" s="3933"/>
      <c r="N157" s="3930"/>
      <c r="O157" s="3924"/>
      <c r="P157" s="628"/>
      <c r="Q157" s="3061"/>
      <c r="R157" s="3933"/>
      <c r="BB157" s="1513"/>
      <c r="BC157" s="1513"/>
      <c r="BD157" s="1513"/>
      <c r="BE157" s="1513"/>
      <c r="BF157" s="1513"/>
      <c r="BG157" s="1513"/>
      <c r="BH157" s="1513"/>
      <c r="BI157" s="1513"/>
      <c r="BJ157" s="1513"/>
      <c r="BK157" s="1513"/>
      <c r="BL157" s="1513"/>
      <c r="BM157" s="1513"/>
      <c r="BN157" s="1513"/>
      <c r="BO157" s="1513"/>
      <c r="BP157" s="1513"/>
      <c r="BQ157" s="1513"/>
      <c r="BR157" s="1513"/>
      <c r="BS157" s="1513"/>
      <c r="BT157" s="1513"/>
      <c r="BU157" s="1513"/>
      <c r="BV157" s="1513"/>
      <c r="BW157" s="1513"/>
      <c r="BX157" s="1513"/>
      <c r="BY157" s="1513"/>
      <c r="BZ157" s="1513"/>
      <c r="CA157" s="1513"/>
      <c r="CB157" s="1513"/>
      <c r="CC157" s="1513"/>
      <c r="CD157" s="1513"/>
      <c r="CE157" s="1513"/>
      <c r="CF157" s="1513"/>
      <c r="CG157" s="1513"/>
      <c r="CH157" s="1513"/>
      <c r="CI157" s="897">
        <f t="shared" si="3"/>
        <v>0</v>
      </c>
    </row>
    <row r="158" spans="1:87">
      <c r="A158" s="390" t="s">
        <v>2814</v>
      </c>
      <c r="B158" s="391"/>
      <c r="C158" s="390" t="s">
        <v>2353</v>
      </c>
      <c r="D158" s="908" t="s">
        <v>65</v>
      </c>
      <c r="E158" s="1171" t="s">
        <v>3760</v>
      </c>
      <c r="F158" s="2209">
        <v>0</v>
      </c>
      <c r="G158" s="392"/>
      <c r="H158" s="3940"/>
      <c r="I158" s="3937"/>
      <c r="J158" s="3937"/>
      <c r="K158" s="3937"/>
      <c r="L158" s="3931"/>
      <c r="M158" s="3934"/>
      <c r="N158" s="3931"/>
      <c r="O158" s="3925"/>
      <c r="P158" s="628"/>
      <c r="Q158" s="3061"/>
      <c r="R158" s="3934"/>
      <c r="BB158" s="1513"/>
      <c r="BC158" s="1513"/>
      <c r="BD158" s="1513"/>
      <c r="BE158" s="1513"/>
      <c r="BF158" s="1513"/>
      <c r="BG158" s="1513"/>
      <c r="BH158" s="1513"/>
      <c r="BI158" s="1513"/>
      <c r="BJ158" s="1513"/>
      <c r="BK158" s="1513"/>
      <c r="BL158" s="1513"/>
      <c r="BM158" s="1513"/>
      <c r="BN158" s="1513"/>
      <c r="BO158" s="1513"/>
      <c r="BP158" s="1513"/>
      <c r="BQ158" s="1513"/>
      <c r="BR158" s="1513"/>
      <c r="BS158" s="1513"/>
      <c r="BT158" s="1513"/>
      <c r="BU158" s="1513"/>
      <c r="BV158" s="1513"/>
      <c r="BW158" s="1513"/>
      <c r="BX158" s="1513"/>
      <c r="BY158" s="1513"/>
      <c r="BZ158" s="1513"/>
      <c r="CA158" s="1513"/>
      <c r="CB158" s="1513"/>
      <c r="CC158" s="1513"/>
      <c r="CD158" s="1513"/>
      <c r="CE158" s="1513"/>
      <c r="CF158" s="1513"/>
      <c r="CG158" s="1513"/>
      <c r="CH158" s="1513"/>
      <c r="CI158" s="897">
        <f t="shared" si="3"/>
        <v>0</v>
      </c>
    </row>
    <row r="159" spans="1:87" ht="30">
      <c r="A159" s="390" t="s">
        <v>2815</v>
      </c>
      <c r="B159" s="391"/>
      <c r="C159" s="390" t="s">
        <v>2357</v>
      </c>
      <c r="D159" s="908" t="s">
        <v>65</v>
      </c>
      <c r="E159" s="1171" t="s">
        <v>3760</v>
      </c>
      <c r="F159" s="2209">
        <v>0</v>
      </c>
      <c r="G159" s="392"/>
      <c r="H159" s="2209">
        <v>0</v>
      </c>
      <c r="I159" s="392"/>
      <c r="J159" s="392"/>
      <c r="K159" s="392"/>
      <c r="L159" s="277"/>
      <c r="M159" s="631">
        <f t="shared" si="4"/>
        <v>0</v>
      </c>
      <c r="N159" s="277"/>
      <c r="O159" s="2908">
        <f>M159*N159</f>
        <v>0</v>
      </c>
      <c r="P159" s="367"/>
      <c r="Q159" s="3061"/>
      <c r="R159" s="631"/>
      <c r="BB159" s="1513"/>
      <c r="BC159" s="1513"/>
      <c r="BD159" s="1513"/>
      <c r="BE159" s="1513"/>
      <c r="BF159" s="1513"/>
      <c r="BG159" s="1513"/>
      <c r="BH159" s="1513"/>
      <c r="BI159" s="1513"/>
      <c r="BJ159" s="1513"/>
      <c r="BK159" s="1513"/>
      <c r="BL159" s="1513"/>
      <c r="BM159" s="1513"/>
      <c r="BN159" s="1513"/>
      <c r="BO159" s="1513"/>
      <c r="BP159" s="1513"/>
      <c r="BQ159" s="1513"/>
      <c r="BR159" s="1513"/>
      <c r="BS159" s="1513"/>
      <c r="BT159" s="1513"/>
      <c r="BU159" s="1513"/>
      <c r="BV159" s="1513"/>
      <c r="BW159" s="1513"/>
      <c r="BX159" s="1513"/>
      <c r="BY159" s="1513"/>
      <c r="BZ159" s="1513"/>
      <c r="CA159" s="1513"/>
      <c r="CB159" s="1513"/>
      <c r="CC159" s="1513"/>
      <c r="CD159" s="1513"/>
      <c r="CE159" s="1513"/>
      <c r="CF159" s="1513"/>
      <c r="CG159" s="1513"/>
      <c r="CH159" s="1513"/>
      <c r="CI159" s="897">
        <f t="shared" si="3"/>
        <v>0</v>
      </c>
    </row>
    <row r="160" spans="1:87" ht="91.5" customHeight="1">
      <c r="A160" s="390" t="s">
        <v>2816</v>
      </c>
      <c r="B160" s="390" t="s">
        <v>709</v>
      </c>
      <c r="C160" s="390" t="s">
        <v>705</v>
      </c>
      <c r="D160" s="908" t="s">
        <v>65</v>
      </c>
      <c r="E160" s="1171" t="s">
        <v>3760</v>
      </c>
      <c r="F160" s="2209">
        <v>12</v>
      </c>
      <c r="G160" s="392">
        <v>8</v>
      </c>
      <c r="H160" s="2209">
        <v>14.55</v>
      </c>
      <c r="I160" s="392">
        <v>6.56</v>
      </c>
      <c r="J160" s="392">
        <v>7.99</v>
      </c>
      <c r="K160" s="392"/>
      <c r="L160" s="277">
        <v>127416</v>
      </c>
      <c r="M160" s="631">
        <f t="shared" si="4"/>
        <v>1.27416</v>
      </c>
      <c r="N160" s="277">
        <v>12</v>
      </c>
      <c r="O160" s="2908">
        <f>M160*N160</f>
        <v>15.289919999999999</v>
      </c>
      <c r="P160" s="462"/>
      <c r="Q160" s="3121" t="s">
        <v>5930</v>
      </c>
      <c r="R160" s="631">
        <v>15.289919999999999</v>
      </c>
      <c r="U160" s="3132"/>
      <c r="BB160" s="1513">
        <v>10.14</v>
      </c>
      <c r="BC160" s="1513"/>
      <c r="BD160" s="1513"/>
      <c r="BE160" s="1513"/>
      <c r="BF160" s="1513"/>
      <c r="BG160" s="1513">
        <v>5.15</v>
      </c>
      <c r="BH160" s="1513"/>
      <c r="BI160" s="1513"/>
      <c r="BJ160" s="1513"/>
      <c r="BK160" s="1513"/>
      <c r="BL160" s="1513"/>
      <c r="BM160" s="1513"/>
      <c r="BN160" s="1513"/>
      <c r="BO160" s="1513"/>
      <c r="BP160" s="1513"/>
      <c r="BQ160" s="1513"/>
      <c r="BR160" s="1513"/>
      <c r="BS160" s="1513"/>
      <c r="BT160" s="1513"/>
      <c r="BU160" s="1513"/>
      <c r="BV160" s="1513"/>
      <c r="BW160" s="1513"/>
      <c r="BX160" s="1513"/>
      <c r="BY160" s="1513"/>
      <c r="BZ160" s="1513"/>
      <c r="CA160" s="1513"/>
      <c r="CB160" s="1513"/>
      <c r="CC160" s="1513"/>
      <c r="CD160" s="1513"/>
      <c r="CE160" s="1513"/>
      <c r="CF160" s="1513"/>
      <c r="CG160" s="1513"/>
      <c r="CH160" s="1513"/>
      <c r="CI160" s="897">
        <f t="shared" si="3"/>
        <v>15.290000000000001</v>
      </c>
    </row>
    <row r="161" spans="1:87" ht="153">
      <c r="A161" s="331">
        <v>8.1999999999999993</v>
      </c>
      <c r="B161" s="928" t="s">
        <v>710</v>
      </c>
      <c r="C161" s="84" t="s">
        <v>3779</v>
      </c>
      <c r="D161" s="908" t="s">
        <v>65</v>
      </c>
      <c r="E161" s="1245" t="s">
        <v>3760</v>
      </c>
      <c r="F161" s="387"/>
      <c r="G161" s="387"/>
      <c r="H161" s="387">
        <v>210.25</v>
      </c>
      <c r="I161" s="387">
        <v>0.73</v>
      </c>
      <c r="J161" s="387">
        <v>209.52</v>
      </c>
      <c r="K161" s="387"/>
      <c r="L161" s="387"/>
      <c r="M161" s="154">
        <f>L161/100000</f>
        <v>0</v>
      </c>
      <c r="N161" s="388"/>
      <c r="O161" s="2909">
        <f>M161*N161</f>
        <v>0</v>
      </c>
      <c r="P161" s="402"/>
      <c r="Q161" s="2913" t="s">
        <v>5797</v>
      </c>
      <c r="R161" s="115">
        <v>23.43</v>
      </c>
      <c r="U161" s="3132"/>
      <c r="BB161" s="1513">
        <v>23.43</v>
      </c>
      <c r="BC161" s="1513"/>
      <c r="BD161" s="1513"/>
      <c r="BE161" s="1513"/>
      <c r="BF161" s="1513"/>
      <c r="BG161" s="1513"/>
      <c r="BH161" s="1513"/>
      <c r="BI161" s="1513"/>
      <c r="BJ161" s="1513"/>
      <c r="BK161" s="1513"/>
      <c r="BL161" s="1513"/>
      <c r="BM161" s="1513"/>
      <c r="BN161" s="1513"/>
      <c r="BO161" s="1513"/>
      <c r="BP161" s="1513"/>
      <c r="BQ161" s="1513"/>
      <c r="BR161" s="1513"/>
      <c r="BS161" s="1513"/>
      <c r="BT161" s="1513"/>
      <c r="BU161" s="1513"/>
      <c r="BV161" s="1513"/>
      <c r="BW161" s="1513"/>
      <c r="BX161" s="1513"/>
      <c r="BY161" s="1513"/>
      <c r="BZ161" s="1513"/>
      <c r="CA161" s="1513"/>
      <c r="CB161" s="1513"/>
      <c r="CC161" s="1513"/>
      <c r="CD161" s="1513"/>
      <c r="CE161" s="1513"/>
      <c r="CF161" s="1513"/>
      <c r="CG161" s="1513"/>
      <c r="CH161" s="1513"/>
      <c r="CI161" s="897">
        <f t="shared" si="3"/>
        <v>23.43</v>
      </c>
    </row>
    <row r="162" spans="1:87" ht="77.25" thickBot="1">
      <c r="A162" s="331">
        <v>8.3000000000000007</v>
      </c>
      <c r="B162" s="928" t="s">
        <v>712</v>
      </c>
      <c r="C162" s="84" t="s">
        <v>713</v>
      </c>
      <c r="D162" s="908" t="s">
        <v>65</v>
      </c>
      <c r="E162" s="1245" t="s">
        <v>3760</v>
      </c>
      <c r="F162" s="387"/>
      <c r="G162" s="387"/>
      <c r="H162" s="387">
        <v>173.48</v>
      </c>
      <c r="I162" s="387"/>
      <c r="J162" s="387"/>
      <c r="K162" s="387"/>
      <c r="L162" s="387">
        <v>16443000</v>
      </c>
      <c r="M162" s="154">
        <f>L162/100000</f>
        <v>164.43</v>
      </c>
      <c r="N162" s="388">
        <v>1</v>
      </c>
      <c r="O162" s="2909">
        <f>M162*N162</f>
        <v>164.43</v>
      </c>
      <c r="P162" s="402"/>
      <c r="Q162" s="2914" t="s">
        <v>5798</v>
      </c>
      <c r="R162" s="2915">
        <v>164.43</v>
      </c>
      <c r="U162" s="3132"/>
      <c r="BB162" s="1513">
        <v>164.43</v>
      </c>
      <c r="BC162" s="1513"/>
      <c r="BD162" s="1513"/>
      <c r="BE162" s="1513"/>
      <c r="BF162" s="1513"/>
      <c r="BG162" s="1513"/>
      <c r="BH162" s="1513"/>
      <c r="BI162" s="1513"/>
      <c r="BJ162" s="1513"/>
      <c r="BK162" s="1513"/>
      <c r="BL162" s="1513"/>
      <c r="BM162" s="1513"/>
      <c r="BN162" s="1513"/>
      <c r="BO162" s="1513"/>
      <c r="BP162" s="1513"/>
      <c r="BQ162" s="1513"/>
      <c r="BR162" s="1513"/>
      <c r="BS162" s="1513"/>
      <c r="BT162" s="1513"/>
      <c r="BU162" s="1513"/>
      <c r="BV162" s="1513"/>
      <c r="BW162" s="1513"/>
      <c r="BX162" s="1513"/>
      <c r="BY162" s="1513"/>
      <c r="BZ162" s="1513"/>
      <c r="CA162" s="1513"/>
      <c r="CB162" s="1513"/>
      <c r="CC162" s="1513"/>
      <c r="CD162" s="1513"/>
      <c r="CE162" s="1513"/>
      <c r="CF162" s="1513"/>
      <c r="CG162" s="1513"/>
      <c r="CH162" s="1513"/>
      <c r="CI162" s="897">
        <f t="shared" si="3"/>
        <v>164.43</v>
      </c>
    </row>
    <row r="163" spans="1:87">
      <c r="A163" s="331">
        <v>8.4</v>
      </c>
      <c r="B163" s="928"/>
      <c r="C163" s="84" t="s">
        <v>714</v>
      </c>
      <c r="D163" s="1245" t="s">
        <v>65</v>
      </c>
      <c r="E163" s="1245" t="s">
        <v>3760</v>
      </c>
      <c r="F163" s="151"/>
      <c r="G163" s="151"/>
      <c r="H163" s="151"/>
      <c r="I163" s="151"/>
      <c r="J163" s="151"/>
      <c r="K163" s="151"/>
      <c r="L163" s="151"/>
      <c r="M163" s="632"/>
      <c r="N163" s="623"/>
      <c r="O163" s="2910">
        <f>SUM(O164:O175)</f>
        <v>2955.25</v>
      </c>
      <c r="P163" s="96"/>
      <c r="Q163" s="3072"/>
      <c r="R163" s="115">
        <f>SUM(R164:R175)</f>
        <v>2952.9100000000003</v>
      </c>
      <c r="U163" s="3132"/>
      <c r="BB163" s="1513"/>
      <c r="BC163" s="1513"/>
      <c r="BD163" s="1513"/>
      <c r="BE163" s="1513"/>
      <c r="BF163" s="1513"/>
      <c r="BG163" s="1513"/>
      <c r="BH163" s="1513"/>
      <c r="BI163" s="1513"/>
      <c r="BJ163" s="1513"/>
      <c r="BK163" s="1513"/>
      <c r="BL163" s="1513"/>
      <c r="BM163" s="1513"/>
      <c r="BN163" s="1513"/>
      <c r="BO163" s="1513"/>
      <c r="BP163" s="1513"/>
      <c r="BQ163" s="1513"/>
      <c r="BR163" s="1513"/>
      <c r="BS163" s="1513"/>
      <c r="BT163" s="1513"/>
      <c r="BU163" s="1513"/>
      <c r="BV163" s="1513"/>
      <c r="BW163" s="1513"/>
      <c r="BX163" s="1513"/>
      <c r="BY163" s="1513"/>
      <c r="BZ163" s="1513"/>
      <c r="CA163" s="1513"/>
      <c r="CB163" s="1513"/>
      <c r="CC163" s="1513"/>
      <c r="CD163" s="1513"/>
      <c r="CE163" s="1513"/>
      <c r="CF163" s="1513"/>
      <c r="CG163" s="1513"/>
      <c r="CH163" s="1513"/>
      <c r="CI163" s="897">
        <f t="shared" si="3"/>
        <v>0</v>
      </c>
    </row>
    <row r="164" spans="1:87" ht="30">
      <c r="A164" s="225" t="s">
        <v>715</v>
      </c>
      <c r="B164" s="431" t="s">
        <v>716</v>
      </c>
      <c r="C164" s="431" t="s">
        <v>717</v>
      </c>
      <c r="D164" s="908" t="s">
        <v>65</v>
      </c>
      <c r="E164" s="945" t="s">
        <v>3760</v>
      </c>
      <c r="F164" s="618">
        <v>571</v>
      </c>
      <c r="G164" s="618"/>
      <c r="H164" s="618">
        <v>1857.6</v>
      </c>
      <c r="I164" s="618">
        <v>1400.08</v>
      </c>
      <c r="J164" s="618">
        <v>457.52</v>
      </c>
      <c r="K164" s="618">
        <v>1</v>
      </c>
      <c r="L164" s="277">
        <v>250000000</v>
      </c>
      <c r="M164" s="631">
        <f t="shared" ref="M164:M175" si="5">L164/100000</f>
        <v>2500</v>
      </c>
      <c r="N164" s="277">
        <v>1</v>
      </c>
      <c r="O164" s="2908">
        <f t="shared" ref="O164:O174" si="6">M164*N164</f>
        <v>2500</v>
      </c>
      <c r="P164" s="250"/>
      <c r="Q164" s="3064" t="s">
        <v>5871</v>
      </c>
      <c r="R164" s="1887">
        <v>2500</v>
      </c>
      <c r="U164" s="3132"/>
      <c r="BB164" s="1513">
        <v>100</v>
      </c>
      <c r="BC164" s="1513">
        <v>65</v>
      </c>
      <c r="BD164" s="1513">
        <v>290</v>
      </c>
      <c r="BE164" s="1513">
        <v>80</v>
      </c>
      <c r="BF164" s="1513">
        <v>360</v>
      </c>
      <c r="BG164" s="1513">
        <v>210</v>
      </c>
      <c r="BH164" s="1513">
        <v>100</v>
      </c>
      <c r="BI164" s="1513">
        <v>140</v>
      </c>
      <c r="BJ164" s="1513">
        <v>450</v>
      </c>
      <c r="BK164" s="1513">
        <v>400</v>
      </c>
      <c r="BL164" s="1513">
        <v>120</v>
      </c>
      <c r="BM164" s="1513">
        <v>95</v>
      </c>
      <c r="BN164" s="1513">
        <v>90</v>
      </c>
      <c r="BO164" s="1513"/>
      <c r="BP164" s="1513"/>
      <c r="BQ164" s="1513"/>
      <c r="BR164" s="1513"/>
      <c r="BS164" s="1513"/>
      <c r="BT164" s="1513"/>
      <c r="BU164" s="1513"/>
      <c r="BV164" s="1513"/>
      <c r="BW164" s="1513"/>
      <c r="BX164" s="1513"/>
      <c r="BY164" s="1513"/>
      <c r="BZ164" s="1513"/>
      <c r="CA164" s="1513"/>
      <c r="CB164" s="1513"/>
      <c r="CC164" s="1513"/>
      <c r="CD164" s="1513"/>
      <c r="CE164" s="1513"/>
      <c r="CF164" s="1513"/>
      <c r="CG164" s="1513"/>
      <c r="CH164" s="1513"/>
      <c r="CI164" s="897">
        <f t="shared" si="3"/>
        <v>2500</v>
      </c>
    </row>
    <row r="165" spans="1:87" s="1439" customFormat="1" ht="60">
      <c r="A165" s="233" t="s">
        <v>718</v>
      </c>
      <c r="B165" s="1004" t="s">
        <v>719</v>
      </c>
      <c r="C165" s="1004" t="s">
        <v>720</v>
      </c>
      <c r="D165" s="982" t="s">
        <v>65</v>
      </c>
      <c r="E165" s="2439" t="s">
        <v>3760</v>
      </c>
      <c r="F165" s="634">
        <v>16</v>
      </c>
      <c r="G165" s="634"/>
      <c r="H165" s="634">
        <v>100</v>
      </c>
      <c r="I165" s="2440">
        <v>4</v>
      </c>
      <c r="J165" s="2440">
        <v>96</v>
      </c>
      <c r="K165" s="634"/>
      <c r="L165" s="2440">
        <v>200000</v>
      </c>
      <c r="M165" s="2308">
        <f t="shared" si="5"/>
        <v>2</v>
      </c>
      <c r="N165" s="2440">
        <v>16</v>
      </c>
      <c r="O165" s="2906">
        <f t="shared" si="6"/>
        <v>32</v>
      </c>
      <c r="P165" s="2441" t="s">
        <v>5272</v>
      </c>
      <c r="Q165" s="3064" t="s">
        <v>5872</v>
      </c>
      <c r="R165" s="1887">
        <v>32</v>
      </c>
      <c r="U165" s="3132"/>
      <c r="BB165" s="2571">
        <v>7</v>
      </c>
      <c r="BC165" s="2571">
        <v>0</v>
      </c>
      <c r="BD165" s="2571">
        <v>0</v>
      </c>
      <c r="BE165" s="2571">
        <v>0</v>
      </c>
      <c r="BF165" s="2571">
        <v>0</v>
      </c>
      <c r="BG165" s="2571">
        <v>0</v>
      </c>
      <c r="BH165" s="2571">
        <v>0</v>
      </c>
      <c r="BI165" s="2571">
        <v>0</v>
      </c>
      <c r="BJ165" s="2571">
        <v>0</v>
      </c>
      <c r="BK165" s="2571">
        <v>0</v>
      </c>
      <c r="BL165" s="2571">
        <v>6</v>
      </c>
      <c r="BM165" s="2571"/>
      <c r="BN165" s="2571"/>
      <c r="BO165" s="2571"/>
      <c r="BP165" s="2571"/>
      <c r="BQ165" s="2571"/>
      <c r="BR165" s="2571"/>
      <c r="BS165" s="2571"/>
      <c r="BT165" s="2571"/>
      <c r="BU165" s="2571"/>
      <c r="BV165" s="2571">
        <v>15</v>
      </c>
      <c r="BW165" s="2571">
        <v>0</v>
      </c>
      <c r="BX165" s="2571">
        <v>0</v>
      </c>
      <c r="BY165" s="2571">
        <v>2</v>
      </c>
      <c r="BZ165" s="2571">
        <v>2</v>
      </c>
      <c r="CA165" s="2571"/>
      <c r="CB165" s="2571"/>
      <c r="CC165" s="2571"/>
      <c r="CD165" s="2571"/>
      <c r="CE165" s="2571"/>
      <c r="CF165" s="2571"/>
      <c r="CG165" s="2571"/>
      <c r="CH165" s="2571"/>
      <c r="CI165" s="897">
        <f t="shared" si="3"/>
        <v>32</v>
      </c>
    </row>
    <row r="166" spans="1:87" ht="45">
      <c r="A166" s="225" t="s">
        <v>721</v>
      </c>
      <c r="B166" s="431" t="s">
        <v>722</v>
      </c>
      <c r="C166" s="431" t="s">
        <v>723</v>
      </c>
      <c r="D166" s="1438" t="s">
        <v>85</v>
      </c>
      <c r="E166" s="945" t="s">
        <v>91</v>
      </c>
      <c r="F166" s="618">
        <v>0</v>
      </c>
      <c r="G166" s="618"/>
      <c r="H166" s="618">
        <v>0</v>
      </c>
      <c r="I166" s="618"/>
      <c r="J166" s="618"/>
      <c r="K166" s="618"/>
      <c r="L166" s="277"/>
      <c r="M166" s="631">
        <f t="shared" si="5"/>
        <v>0</v>
      </c>
      <c r="N166" s="277"/>
      <c r="O166" s="2908">
        <f t="shared" si="6"/>
        <v>0</v>
      </c>
      <c r="P166" s="250"/>
      <c r="Q166" s="3073" t="str">
        <f>'Ab1. RMNCH+A'!Q363</f>
        <v xml:space="preserve">The State to ensure that specialist services are made available as per Guidelines at DEIC to support children identified under RBSK. </v>
      </c>
      <c r="R166" s="690">
        <f>'Ab1. RMNCH+A'!R363</f>
        <v>0</v>
      </c>
      <c r="BB166" s="1513"/>
      <c r="BC166" s="1513"/>
      <c r="BD166" s="1513"/>
      <c r="BE166" s="1513"/>
      <c r="BF166" s="1513"/>
      <c r="BG166" s="1513"/>
      <c r="BH166" s="1513"/>
      <c r="BI166" s="1513"/>
      <c r="BJ166" s="1513"/>
      <c r="BK166" s="1513"/>
      <c r="BL166" s="1513"/>
      <c r="BM166" s="1513"/>
      <c r="BN166" s="1513"/>
      <c r="BO166" s="1513"/>
      <c r="BP166" s="1513"/>
      <c r="BQ166" s="1513"/>
      <c r="BR166" s="1513"/>
      <c r="BS166" s="1513"/>
      <c r="BT166" s="1513"/>
      <c r="BU166" s="1513"/>
      <c r="BV166" s="1513"/>
      <c r="BW166" s="1513"/>
      <c r="BX166" s="1513"/>
      <c r="BY166" s="1513"/>
      <c r="BZ166" s="1513"/>
      <c r="CA166" s="1513"/>
      <c r="CB166" s="1513"/>
      <c r="CC166" s="1513"/>
      <c r="CD166" s="1513"/>
      <c r="CE166" s="1513"/>
      <c r="CF166" s="1513"/>
      <c r="CG166" s="1513"/>
      <c r="CH166" s="1513"/>
      <c r="CI166" s="897">
        <f t="shared" si="3"/>
        <v>0</v>
      </c>
    </row>
    <row r="167" spans="1:87" ht="30">
      <c r="A167" s="225" t="s">
        <v>724</v>
      </c>
      <c r="B167" s="390" t="s">
        <v>725</v>
      </c>
      <c r="C167" s="390" t="s">
        <v>4005</v>
      </c>
      <c r="D167" s="1438" t="s">
        <v>85</v>
      </c>
      <c r="E167" s="1171" t="s">
        <v>188</v>
      </c>
      <c r="F167" s="2209">
        <v>0</v>
      </c>
      <c r="G167" s="392"/>
      <c r="H167" s="2209">
        <v>0</v>
      </c>
      <c r="I167" s="392"/>
      <c r="J167" s="392"/>
      <c r="K167" s="392"/>
      <c r="L167" s="277"/>
      <c r="M167" s="631">
        <f t="shared" si="5"/>
        <v>0</v>
      </c>
      <c r="N167" s="277"/>
      <c r="O167" s="2908">
        <f t="shared" si="6"/>
        <v>0</v>
      </c>
      <c r="P167" s="367"/>
      <c r="Q167" s="3074" t="str">
        <f>'Ab1. RMNCH+A'!Q312</f>
        <v>--</v>
      </c>
      <c r="R167" s="693">
        <f>'Ab1. RMNCH+A'!R312</f>
        <v>0</v>
      </c>
      <c r="BB167" s="1513"/>
      <c r="BC167" s="1513"/>
      <c r="BD167" s="1513"/>
      <c r="BE167" s="1513"/>
      <c r="BF167" s="1513"/>
      <c r="BG167" s="1513"/>
      <c r="BH167" s="1513"/>
      <c r="BI167" s="1513"/>
      <c r="BJ167" s="1513"/>
      <c r="BK167" s="1513"/>
      <c r="BL167" s="1513"/>
      <c r="BM167" s="1513"/>
      <c r="BN167" s="1513"/>
      <c r="BO167" s="1513"/>
      <c r="BP167" s="1513"/>
      <c r="BQ167" s="1513"/>
      <c r="BR167" s="1513"/>
      <c r="BS167" s="1513"/>
      <c r="BT167" s="1513"/>
      <c r="BU167" s="1513"/>
      <c r="BV167" s="1513"/>
      <c r="BW167" s="1513"/>
      <c r="BX167" s="1513"/>
      <c r="BY167" s="1513"/>
      <c r="BZ167" s="1513"/>
      <c r="CA167" s="1513"/>
      <c r="CB167" s="1513"/>
      <c r="CC167" s="1513"/>
      <c r="CD167" s="1513"/>
      <c r="CE167" s="1513"/>
      <c r="CF167" s="1513"/>
      <c r="CG167" s="1513"/>
      <c r="CH167" s="1513"/>
      <c r="CI167" s="897">
        <f t="shared" si="3"/>
        <v>0</v>
      </c>
    </row>
    <row r="168" spans="1:87" s="1439" customFormat="1" ht="127.5">
      <c r="A168" s="233" t="s">
        <v>726</v>
      </c>
      <c r="B168" s="391" t="s">
        <v>727</v>
      </c>
      <c r="C168" s="391" t="s">
        <v>728</v>
      </c>
      <c r="D168" s="2457" t="s">
        <v>85</v>
      </c>
      <c r="E168" s="1185" t="s">
        <v>86</v>
      </c>
      <c r="F168" s="2307">
        <v>0</v>
      </c>
      <c r="G168" s="613"/>
      <c r="H168" s="2307">
        <v>0</v>
      </c>
      <c r="I168" s="613"/>
      <c r="J168" s="613"/>
      <c r="K168" s="613"/>
      <c r="L168" s="2440">
        <v>300000</v>
      </c>
      <c r="M168" s="2308">
        <f t="shared" si="5"/>
        <v>3</v>
      </c>
      <c r="N168" s="2440">
        <v>2</v>
      </c>
      <c r="O168" s="2906">
        <f t="shared" si="6"/>
        <v>6</v>
      </c>
      <c r="P168" s="2441" t="s">
        <v>5273</v>
      </c>
      <c r="Q168" s="3070" t="str">
        <f>'Ab1. RMNCH+A'!Q237</f>
        <v xml:space="preserve">Recommended for approval (as per pre NPCC discussions). </v>
      </c>
      <c r="R168" s="704">
        <f>'Ab1. RMNCH+A'!R237</f>
        <v>6</v>
      </c>
      <c r="U168" s="3132"/>
      <c r="BB168" s="2571">
        <v>6</v>
      </c>
      <c r="BC168" s="2571"/>
      <c r="BD168" s="2571"/>
      <c r="BE168" s="2571"/>
      <c r="BF168" s="2571"/>
      <c r="BG168" s="2571"/>
      <c r="BH168" s="2571"/>
      <c r="BI168" s="2571"/>
      <c r="BJ168" s="2571"/>
      <c r="BK168" s="2571"/>
      <c r="BL168" s="2571"/>
      <c r="BM168" s="2571"/>
      <c r="BN168" s="2571"/>
      <c r="BO168" s="2571"/>
      <c r="BP168" s="2571"/>
      <c r="BQ168" s="2571"/>
      <c r="BR168" s="2571"/>
      <c r="BS168" s="2571"/>
      <c r="BT168" s="2571"/>
      <c r="BU168" s="2571"/>
      <c r="BV168" s="2571"/>
      <c r="BW168" s="2571"/>
      <c r="BX168" s="2571"/>
      <c r="BY168" s="2571"/>
      <c r="BZ168" s="2571"/>
      <c r="CA168" s="2571"/>
      <c r="CB168" s="2571"/>
      <c r="CC168" s="2571"/>
      <c r="CD168" s="2571"/>
      <c r="CE168" s="2571"/>
      <c r="CF168" s="2571"/>
      <c r="CG168" s="2571"/>
      <c r="CH168" s="2571"/>
      <c r="CI168" s="897">
        <f t="shared" si="3"/>
        <v>6</v>
      </c>
    </row>
    <row r="169" spans="1:87" s="1439" customFormat="1" ht="60">
      <c r="A169" s="233" t="s">
        <v>729</v>
      </c>
      <c r="B169" s="391" t="s">
        <v>730</v>
      </c>
      <c r="C169" s="391" t="s">
        <v>3842</v>
      </c>
      <c r="D169" s="2457" t="s">
        <v>85</v>
      </c>
      <c r="E169" s="1185" t="s">
        <v>86</v>
      </c>
      <c r="F169" s="2307">
        <v>0</v>
      </c>
      <c r="G169" s="613"/>
      <c r="H169" s="2307">
        <v>0</v>
      </c>
      <c r="I169" s="613"/>
      <c r="J169" s="613"/>
      <c r="K169" s="613"/>
      <c r="L169" s="283"/>
      <c r="M169" s="2308">
        <f t="shared" si="5"/>
        <v>0</v>
      </c>
      <c r="N169" s="283"/>
      <c r="O169" s="2906">
        <f t="shared" si="6"/>
        <v>0</v>
      </c>
      <c r="P169" s="2619" t="s">
        <v>5327</v>
      </c>
      <c r="Q169" s="3070" t="str">
        <f>'Ab1. RMNCH+A'!Q238</f>
        <v xml:space="preserve">It is already budgeted and recommended for approval in FMR 1.2.2.2.1 </v>
      </c>
      <c r="R169" s="704">
        <f>'Ab1. RMNCH+A'!R238</f>
        <v>0</v>
      </c>
      <c r="BB169" s="2571"/>
      <c r="BC169" s="2571"/>
      <c r="BD169" s="2571"/>
      <c r="BE169" s="2571"/>
      <c r="BF169" s="2571"/>
      <c r="BG169" s="2571"/>
      <c r="BH169" s="2571"/>
      <c r="BI169" s="2571"/>
      <c r="BJ169" s="2571"/>
      <c r="BK169" s="2571"/>
      <c r="BL169" s="2571"/>
      <c r="BM169" s="2571"/>
      <c r="BN169" s="2571"/>
      <c r="BO169" s="2571"/>
      <c r="BP169" s="2571"/>
      <c r="BQ169" s="2571"/>
      <c r="BR169" s="2571"/>
      <c r="BS169" s="2571"/>
      <c r="BT169" s="2571"/>
      <c r="BU169" s="2571"/>
      <c r="BV169" s="2571"/>
      <c r="BW169" s="2571"/>
      <c r="BX169" s="2571"/>
      <c r="BY169" s="2571"/>
      <c r="BZ169" s="2571"/>
      <c r="CA169" s="2571"/>
      <c r="CB169" s="2571"/>
      <c r="CC169" s="2571"/>
      <c r="CD169" s="2571"/>
      <c r="CE169" s="2571"/>
      <c r="CF169" s="2571"/>
      <c r="CG169" s="2571"/>
      <c r="CH169" s="2571"/>
      <c r="CI169" s="897">
        <f t="shared" si="3"/>
        <v>0</v>
      </c>
    </row>
    <row r="170" spans="1:87" s="1439" customFormat="1" ht="105">
      <c r="A170" s="233" t="s">
        <v>731</v>
      </c>
      <c r="B170" s="391" t="s">
        <v>732</v>
      </c>
      <c r="C170" s="391" t="s">
        <v>3843</v>
      </c>
      <c r="D170" s="2457" t="s">
        <v>85</v>
      </c>
      <c r="E170" s="1185" t="s">
        <v>86</v>
      </c>
      <c r="F170" s="291">
        <v>5000</v>
      </c>
      <c r="G170" s="286"/>
      <c r="H170" s="621">
        <v>7.5</v>
      </c>
      <c r="I170" s="2615">
        <v>0.87</v>
      </c>
      <c r="J170" s="2659">
        <v>6.63</v>
      </c>
      <c r="K170" s="634">
        <v>1</v>
      </c>
      <c r="L170" s="243">
        <v>150</v>
      </c>
      <c r="M170" s="2308">
        <f t="shared" si="5"/>
        <v>1.5E-3</v>
      </c>
      <c r="N170" s="243">
        <v>5000</v>
      </c>
      <c r="O170" s="2906">
        <f t="shared" si="6"/>
        <v>7.5</v>
      </c>
      <c r="P170" s="289" t="s">
        <v>5328</v>
      </c>
      <c r="Q170" s="3070" t="str">
        <f>'Ab1. RMNCH+A'!Q239</f>
        <v>Ongoing activity : Rs 7.50 lakhs is recommended for approval for incentive to providers for PPIUCD services  for 5000 insertions @ Rs 150/proider</v>
      </c>
      <c r="R170" s="704">
        <f>'Ab1. RMNCH+A'!R239</f>
        <v>7.5</v>
      </c>
      <c r="U170" s="3132"/>
      <c r="BB170" s="2571"/>
      <c r="BC170" s="2571">
        <v>0.53</v>
      </c>
      <c r="BD170" s="2571">
        <v>0.08</v>
      </c>
      <c r="BE170" s="2571">
        <v>0.08</v>
      </c>
      <c r="BF170" s="2571">
        <v>0.35</v>
      </c>
      <c r="BG170" s="2571">
        <v>0.22</v>
      </c>
      <c r="BH170" s="2571">
        <v>0.23</v>
      </c>
      <c r="BI170" s="2571">
        <v>0</v>
      </c>
      <c r="BJ170" s="2571">
        <v>0.23</v>
      </c>
      <c r="BK170" s="2571">
        <v>0.23</v>
      </c>
      <c r="BL170" s="2571">
        <v>0.45</v>
      </c>
      <c r="BM170" s="2571">
        <v>0.53</v>
      </c>
      <c r="BN170" s="2571">
        <v>1</v>
      </c>
      <c r="BO170" s="2571"/>
      <c r="BP170" s="2571"/>
      <c r="BQ170" s="2571">
        <v>7.0000000000000007E-2</v>
      </c>
      <c r="BR170" s="2571">
        <v>7.0000000000000007E-2</v>
      </c>
      <c r="BS170" s="2571"/>
      <c r="BT170" s="2571">
        <v>0.38</v>
      </c>
      <c r="BU170" s="2571"/>
      <c r="BV170" s="2571">
        <v>0.52</v>
      </c>
      <c r="BW170" s="2571">
        <v>0.2</v>
      </c>
      <c r="BX170" s="2571">
        <v>0.2</v>
      </c>
      <c r="BY170" s="2571">
        <v>0.22</v>
      </c>
      <c r="BZ170" s="2571">
        <v>0.22</v>
      </c>
      <c r="CA170" s="2571">
        <v>0.22</v>
      </c>
      <c r="CB170" s="2571">
        <v>0</v>
      </c>
      <c r="CC170" s="2571">
        <v>0</v>
      </c>
      <c r="CD170" s="2571">
        <v>0.52</v>
      </c>
      <c r="CE170" s="2571"/>
      <c r="CF170" s="2571">
        <v>0.95</v>
      </c>
      <c r="CG170" s="2571"/>
      <c r="CH170" s="2571"/>
      <c r="CI170" s="897">
        <f t="shared" si="3"/>
        <v>7.4999999999999991</v>
      </c>
    </row>
    <row r="171" spans="1:87" s="1439" customFormat="1" ht="105">
      <c r="A171" s="233" t="s">
        <v>733</v>
      </c>
      <c r="B171" s="391" t="s">
        <v>734</v>
      </c>
      <c r="C171" s="391" t="s">
        <v>3844</v>
      </c>
      <c r="D171" s="2457" t="s">
        <v>85</v>
      </c>
      <c r="E171" s="1185" t="s">
        <v>86</v>
      </c>
      <c r="F171" s="291">
        <v>500</v>
      </c>
      <c r="G171" s="286"/>
      <c r="H171" s="621">
        <v>0.75</v>
      </c>
      <c r="I171" s="2615">
        <v>0.01</v>
      </c>
      <c r="J171" s="2659">
        <v>0.74</v>
      </c>
      <c r="K171" s="634">
        <v>1</v>
      </c>
      <c r="L171" s="243">
        <v>150</v>
      </c>
      <c r="M171" s="2308">
        <f t="shared" si="5"/>
        <v>1.5E-3</v>
      </c>
      <c r="N171" s="243">
        <v>500</v>
      </c>
      <c r="O171" s="2906">
        <f t="shared" si="6"/>
        <v>0.75</v>
      </c>
      <c r="P171" s="289" t="s">
        <v>5329</v>
      </c>
      <c r="Q171" s="3070" t="str">
        <f>'Ab1. RMNCH+A'!Q240</f>
        <v>Ongoing activity : Rs 0.75  lakhs is recommended for approval for incentive to providers for PAIUCD Iinsertions  for 500 insertions @ Rs 150/provider</v>
      </c>
      <c r="R171" s="704">
        <f>'Ab1. RMNCH+A'!R240</f>
        <v>0.75</v>
      </c>
      <c r="U171" s="3132"/>
      <c r="BB171" s="2571"/>
      <c r="BC171" s="2571">
        <v>0.02</v>
      </c>
      <c r="BD171" s="2571">
        <v>0.04</v>
      </c>
      <c r="BE171" s="2571">
        <v>0.01</v>
      </c>
      <c r="BF171" s="2571">
        <v>0.02</v>
      </c>
      <c r="BG171" s="2571">
        <v>0.02</v>
      </c>
      <c r="BH171" s="2571">
        <v>0.05</v>
      </c>
      <c r="BI171" s="2571">
        <v>0.03</v>
      </c>
      <c r="BJ171" s="2571">
        <v>0.02</v>
      </c>
      <c r="BK171" s="2571">
        <v>0.05</v>
      </c>
      <c r="BL171" s="2571">
        <v>0.03</v>
      </c>
      <c r="BM171" s="2571">
        <v>7.0000000000000007E-2</v>
      </c>
      <c r="BN171" s="2571">
        <v>0.02</v>
      </c>
      <c r="BO171" s="2571"/>
      <c r="BP171" s="2571"/>
      <c r="BQ171" s="2571">
        <v>0.03</v>
      </c>
      <c r="BR171" s="2571">
        <v>0.01</v>
      </c>
      <c r="BS171" s="2571"/>
      <c r="BT171" s="2571">
        <v>0.05</v>
      </c>
      <c r="BU171" s="2571"/>
      <c r="BV171" s="2571">
        <v>0.02</v>
      </c>
      <c r="BW171" s="2571">
        <v>0.01</v>
      </c>
      <c r="BX171" s="2571">
        <v>0.01</v>
      </c>
      <c r="BY171" s="2571">
        <v>0.05</v>
      </c>
      <c r="BZ171" s="2571">
        <v>0.02</v>
      </c>
      <c r="CA171" s="2571">
        <v>0.05</v>
      </c>
      <c r="CB171" s="2571">
        <v>0.02</v>
      </c>
      <c r="CC171" s="2571">
        <v>0.02</v>
      </c>
      <c r="CD171" s="2571">
        <v>0.06</v>
      </c>
      <c r="CE171" s="2571"/>
      <c r="CF171" s="2571">
        <v>0.02</v>
      </c>
      <c r="CG171" s="2571"/>
      <c r="CH171" s="2571"/>
      <c r="CI171" s="897">
        <f t="shared" si="3"/>
        <v>0.75000000000000022</v>
      </c>
    </row>
    <row r="172" spans="1:87" s="1439" customFormat="1" ht="45">
      <c r="A172" s="233" t="s">
        <v>735</v>
      </c>
      <c r="B172" s="391" t="s">
        <v>2031</v>
      </c>
      <c r="C172" s="2632" t="s">
        <v>5100</v>
      </c>
      <c r="D172" s="982" t="s">
        <v>65</v>
      </c>
      <c r="E172" s="2630" t="s">
        <v>4218</v>
      </c>
      <c r="F172" s="291">
        <v>0</v>
      </c>
      <c r="G172" s="286"/>
      <c r="H172" s="621">
        <v>81</v>
      </c>
      <c r="I172" s="621"/>
      <c r="J172" s="2659">
        <v>40</v>
      </c>
      <c r="K172" s="2659">
        <v>1</v>
      </c>
      <c r="L172" s="283">
        <v>20000</v>
      </c>
      <c r="M172" s="2308">
        <f t="shared" si="5"/>
        <v>0.2</v>
      </c>
      <c r="N172" s="283">
        <v>1514</v>
      </c>
      <c r="O172" s="2906">
        <f t="shared" si="6"/>
        <v>302.8</v>
      </c>
      <c r="P172" s="2299" t="s">
        <v>5448</v>
      </c>
      <c r="Q172" s="3070" t="str">
        <f>'Abs6. CPHC'!Q20</f>
        <v>Recommended for approvalRs. 302.80 L as TBI for 1514 SHC-HWC @ Rs 20,000 per HWC</v>
      </c>
      <c r="R172" s="704">
        <f>'Abs6. CPHC'!R20</f>
        <v>302.8</v>
      </c>
      <c r="U172" s="3132"/>
      <c r="BB172" s="2571">
        <v>32.4</v>
      </c>
      <c r="BC172" s="2571">
        <v>9.8000000000000007</v>
      </c>
      <c r="BD172" s="2571">
        <v>27</v>
      </c>
      <c r="BE172" s="2571">
        <v>25.2</v>
      </c>
      <c r="BF172" s="2571">
        <v>47.2</v>
      </c>
      <c r="BG172" s="2571">
        <v>0.8</v>
      </c>
      <c r="BH172" s="2571">
        <v>17</v>
      </c>
      <c r="BI172" s="2571">
        <v>1.6</v>
      </c>
      <c r="BJ172" s="2571">
        <v>59.8</v>
      </c>
      <c r="BK172" s="2571">
        <v>19.399999999999999</v>
      </c>
      <c r="BL172" s="2571">
        <v>15.8</v>
      </c>
      <c r="BM172" s="2571">
        <v>23.4</v>
      </c>
      <c r="BN172" s="2571">
        <v>23.4</v>
      </c>
      <c r="BO172" s="2571"/>
      <c r="BP172" s="2571"/>
      <c r="BQ172" s="2571"/>
      <c r="BR172" s="2571"/>
      <c r="BS172" s="2571"/>
      <c r="BT172" s="2571"/>
      <c r="BU172" s="2571"/>
      <c r="BV172" s="2571"/>
      <c r="BW172" s="2571"/>
      <c r="BX172" s="2571"/>
      <c r="BY172" s="2571"/>
      <c r="BZ172" s="2571"/>
      <c r="CA172" s="2571"/>
      <c r="CB172" s="2571"/>
      <c r="CC172" s="2571"/>
      <c r="CD172" s="2571"/>
      <c r="CE172" s="2571"/>
      <c r="CF172" s="2571"/>
      <c r="CG172" s="2571"/>
      <c r="CH172" s="2571"/>
      <c r="CI172" s="897">
        <f t="shared" si="3"/>
        <v>302.79999999999995</v>
      </c>
    </row>
    <row r="173" spans="1:87" s="1439" customFormat="1" ht="45">
      <c r="A173" s="233" t="s">
        <v>2330</v>
      </c>
      <c r="B173" s="391" t="s">
        <v>4448</v>
      </c>
      <c r="C173" s="2682" t="s">
        <v>5099</v>
      </c>
      <c r="D173" s="982" t="s">
        <v>65</v>
      </c>
      <c r="E173" s="2630" t="s">
        <v>4218</v>
      </c>
      <c r="F173" s="286">
        <v>700</v>
      </c>
      <c r="G173" s="286"/>
      <c r="H173" s="621">
        <v>481</v>
      </c>
      <c r="I173" s="2664">
        <v>5.4</v>
      </c>
      <c r="J173" s="2659">
        <v>394.6</v>
      </c>
      <c r="K173" s="2659">
        <v>1</v>
      </c>
      <c r="L173" s="283">
        <v>18000</v>
      </c>
      <c r="M173" s="2308">
        <f t="shared" si="5"/>
        <v>0.18</v>
      </c>
      <c r="N173" s="283">
        <v>590</v>
      </c>
      <c r="O173" s="2906">
        <f t="shared" si="6"/>
        <v>106.2</v>
      </c>
      <c r="P173" s="2299" t="s">
        <v>5449</v>
      </c>
      <c r="Q173" s="3070" t="str">
        <f>'Abs6. CPHC'!Q21</f>
        <v>Recommended for approvalRs. 103.86 L as TBI for 577 PHC -HWC@ Rs 18,000 per HWCApproval for UPHC has been given in FMR U.8.4.1</v>
      </c>
      <c r="R173" s="391">
        <f>'Abs6. CPHC'!R21</f>
        <v>103.86</v>
      </c>
      <c r="U173" s="3132"/>
      <c r="BB173" s="2571">
        <v>3.78</v>
      </c>
      <c r="BC173" s="2571">
        <v>6.84</v>
      </c>
      <c r="BD173" s="2571">
        <v>8.1</v>
      </c>
      <c r="BE173" s="2571">
        <v>5.04</v>
      </c>
      <c r="BF173" s="2571">
        <v>15.12</v>
      </c>
      <c r="BG173" s="2571">
        <v>4.32</v>
      </c>
      <c r="BH173" s="2571">
        <v>4.1399999999999997</v>
      </c>
      <c r="BI173" s="2571">
        <v>2.88</v>
      </c>
      <c r="BJ173" s="2571">
        <v>15.12</v>
      </c>
      <c r="BK173" s="2571">
        <v>19.8</v>
      </c>
      <c r="BL173" s="2571">
        <v>7.74</v>
      </c>
      <c r="BM173" s="2571">
        <v>7.2</v>
      </c>
      <c r="BN173" s="2571">
        <v>3.78</v>
      </c>
      <c r="BO173" s="2571"/>
      <c r="BP173" s="2571"/>
      <c r="BQ173" s="2571"/>
      <c r="BR173" s="2571"/>
      <c r="BS173" s="2571"/>
      <c r="BT173" s="2571"/>
      <c r="BU173" s="2571"/>
      <c r="BV173" s="2571"/>
      <c r="BW173" s="2571"/>
      <c r="BX173" s="2571"/>
      <c r="BY173" s="2571"/>
      <c r="BZ173" s="2571"/>
      <c r="CA173" s="2571"/>
      <c r="CB173" s="2571"/>
      <c r="CC173" s="2571"/>
      <c r="CD173" s="2571"/>
      <c r="CE173" s="2571"/>
      <c r="CF173" s="2571"/>
      <c r="CG173" s="2571"/>
      <c r="CH173" s="2571"/>
      <c r="CI173" s="897">
        <f t="shared" si="3"/>
        <v>103.86</v>
      </c>
    </row>
    <row r="174" spans="1:87" s="1439" customFormat="1" ht="30">
      <c r="A174" s="233" t="s">
        <v>4447</v>
      </c>
      <c r="B174" s="391"/>
      <c r="C174" s="391" t="s">
        <v>4474</v>
      </c>
      <c r="D174" s="908" t="s">
        <v>65</v>
      </c>
      <c r="E174" s="1185" t="s">
        <v>3223</v>
      </c>
      <c r="F174" s="286">
        <v>0</v>
      </c>
      <c r="G174" s="286"/>
      <c r="H174" s="621">
        <v>0</v>
      </c>
      <c r="I174" s="621"/>
      <c r="J174" s="286"/>
      <c r="K174" s="286"/>
      <c r="L174" s="277"/>
      <c r="M174" s="631">
        <f t="shared" si="5"/>
        <v>0</v>
      </c>
      <c r="N174" s="277"/>
      <c r="O174" s="2906">
        <f t="shared" si="6"/>
        <v>0</v>
      </c>
      <c r="P174" s="362"/>
      <c r="Q174" s="3070">
        <f>'Abs12. NVHCP'!Q23</f>
        <v>0</v>
      </c>
      <c r="R174" s="569">
        <f>'Abs12. NVHCP'!R23</f>
        <v>0</v>
      </c>
      <c r="BB174" s="2571"/>
      <c r="BC174" s="2571"/>
      <c r="BD174" s="2571"/>
      <c r="BE174" s="2571"/>
      <c r="BF174" s="2571"/>
      <c r="BG174" s="2571"/>
      <c r="BH174" s="2571"/>
      <c r="BI174" s="2571"/>
      <c r="BJ174" s="2571"/>
      <c r="BK174" s="2571"/>
      <c r="BL174" s="2571"/>
      <c r="BM174" s="2571"/>
      <c r="BN174" s="2571"/>
      <c r="BO174" s="2571"/>
      <c r="BP174" s="2571"/>
      <c r="BQ174" s="2571"/>
      <c r="BR174" s="2571"/>
      <c r="BS174" s="2571"/>
      <c r="BT174" s="2571"/>
      <c r="BU174" s="2571"/>
      <c r="BV174" s="2571"/>
      <c r="BW174" s="2571"/>
      <c r="BX174" s="2571"/>
      <c r="BY174" s="2571"/>
      <c r="BZ174" s="2571"/>
      <c r="CA174" s="2571"/>
      <c r="CB174" s="2571"/>
      <c r="CC174" s="2571"/>
      <c r="CD174" s="2571"/>
      <c r="CE174" s="2571"/>
      <c r="CF174" s="2571"/>
      <c r="CG174" s="2571"/>
      <c r="CH174" s="2571"/>
      <c r="CI174" s="897">
        <f t="shared" si="3"/>
        <v>0</v>
      </c>
    </row>
    <row r="175" spans="1:87" ht="30">
      <c r="A175" s="225" t="s">
        <v>4473</v>
      </c>
      <c r="B175" s="391"/>
      <c r="C175" s="1440" t="s">
        <v>5126</v>
      </c>
      <c r="D175" s="908" t="s">
        <v>65</v>
      </c>
      <c r="E175" s="1171" t="s">
        <v>3760</v>
      </c>
      <c r="F175" s="2209">
        <v>0</v>
      </c>
      <c r="G175" s="392"/>
      <c r="H175" s="622">
        <v>0</v>
      </c>
      <c r="I175" s="622"/>
      <c r="J175" s="392"/>
      <c r="K175" s="392"/>
      <c r="L175" s="277"/>
      <c r="M175" s="631">
        <f t="shared" si="5"/>
        <v>0</v>
      </c>
      <c r="N175" s="277"/>
      <c r="O175" s="2908">
        <f>M175*N175</f>
        <v>0</v>
      </c>
      <c r="P175" s="250"/>
      <c r="Q175" s="3061"/>
      <c r="R175" s="631"/>
      <c r="BB175" s="1513"/>
      <c r="BC175" s="1513"/>
      <c r="BD175" s="1513"/>
      <c r="BE175" s="1513"/>
      <c r="BF175" s="1513"/>
      <c r="BG175" s="1513"/>
      <c r="BH175" s="1513"/>
      <c r="BI175" s="1513"/>
      <c r="BJ175" s="1513"/>
      <c r="BK175" s="1513"/>
      <c r="BL175" s="1513"/>
      <c r="BM175" s="1513"/>
      <c r="BN175" s="1513"/>
      <c r="BO175" s="1513"/>
      <c r="BP175" s="1513"/>
      <c r="BQ175" s="1513"/>
      <c r="BR175" s="1513"/>
      <c r="BS175" s="1513"/>
      <c r="BT175" s="1513"/>
      <c r="BU175" s="1513"/>
      <c r="BV175" s="1513"/>
      <c r="BW175" s="1513"/>
      <c r="BX175" s="1513"/>
      <c r="BY175" s="1513"/>
      <c r="BZ175" s="1513"/>
      <c r="CA175" s="1513"/>
      <c r="CB175" s="1513"/>
      <c r="CC175" s="1513"/>
      <c r="CD175" s="1513"/>
      <c r="CE175" s="1513"/>
      <c r="CF175" s="1513"/>
      <c r="CG175" s="1513"/>
      <c r="CH175" s="1513"/>
      <c r="CI175" s="897">
        <f t="shared" si="3"/>
        <v>0</v>
      </c>
    </row>
    <row r="176" spans="1:87">
      <c r="R176" s="1513">
        <f>+E3</f>
        <v>10399.38738</v>
      </c>
      <c r="BB176" s="1513">
        <f>SUM(BB8:BB175)</f>
        <v>4819.7000000000007</v>
      </c>
      <c r="BC176" s="1513">
        <f t="shared" ref="BC176:CI176" si="7">SUM(BC8:BC175)</f>
        <v>238.49186000000003</v>
      </c>
      <c r="BD176" s="1513">
        <f t="shared" si="7"/>
        <v>491.55191600000001</v>
      </c>
      <c r="BE176" s="1513">
        <f t="shared" si="7"/>
        <v>315.48531199999996</v>
      </c>
      <c r="BF176" s="1513">
        <f t="shared" si="7"/>
        <v>1050.2609239999999</v>
      </c>
      <c r="BG176" s="1513">
        <f t="shared" si="7"/>
        <v>259.617412</v>
      </c>
      <c r="BH176" s="1513">
        <f t="shared" si="7"/>
        <v>328.57368400000001</v>
      </c>
      <c r="BI176" s="1513">
        <f t="shared" si="7"/>
        <v>168.34887599999999</v>
      </c>
      <c r="BJ176" s="1513">
        <f t="shared" si="7"/>
        <v>1167.2211139999999</v>
      </c>
      <c r="BK176" s="1513">
        <f t="shared" si="7"/>
        <v>641.82724599999995</v>
      </c>
      <c r="BL176" s="1513">
        <f t="shared" si="7"/>
        <v>307.27158199999997</v>
      </c>
      <c r="BM176" s="1513">
        <f t="shared" si="7"/>
        <v>293.27135599999997</v>
      </c>
      <c r="BN176" s="1513">
        <f t="shared" si="7"/>
        <v>256.42115999999999</v>
      </c>
      <c r="BO176" s="1513">
        <f t="shared" si="7"/>
        <v>0</v>
      </c>
      <c r="BP176" s="1513">
        <f t="shared" si="7"/>
        <v>0</v>
      </c>
      <c r="BQ176" s="1513">
        <f t="shared" si="7"/>
        <v>0.1</v>
      </c>
      <c r="BR176" s="1513">
        <f t="shared" si="7"/>
        <v>0.08</v>
      </c>
      <c r="BS176" s="1513">
        <f t="shared" si="7"/>
        <v>0</v>
      </c>
      <c r="BT176" s="1513">
        <f t="shared" si="7"/>
        <v>0.43</v>
      </c>
      <c r="BU176" s="1513">
        <f t="shared" si="7"/>
        <v>0</v>
      </c>
      <c r="BV176" s="1513">
        <f t="shared" si="7"/>
        <v>15.54</v>
      </c>
      <c r="BW176" s="1513">
        <f t="shared" si="7"/>
        <v>0.21000000000000002</v>
      </c>
      <c r="BX176" s="1513">
        <f t="shared" si="7"/>
        <v>0.21000000000000002</v>
      </c>
      <c r="BY176" s="1513">
        <f t="shared" si="7"/>
        <v>2.27</v>
      </c>
      <c r="BZ176" s="1513">
        <f t="shared" si="7"/>
        <v>2.2400000000000002</v>
      </c>
      <c r="CA176" s="1513">
        <f t="shared" si="7"/>
        <v>0.27</v>
      </c>
      <c r="CB176" s="1513">
        <f t="shared" si="7"/>
        <v>0.02</v>
      </c>
      <c r="CC176" s="1513">
        <f t="shared" si="7"/>
        <v>0.02</v>
      </c>
      <c r="CD176" s="1513">
        <f t="shared" si="7"/>
        <v>0.58000000000000007</v>
      </c>
      <c r="CE176" s="1513">
        <f t="shared" si="7"/>
        <v>0</v>
      </c>
      <c r="CF176" s="1513">
        <f t="shared" si="7"/>
        <v>0.97</v>
      </c>
      <c r="CG176" s="1513">
        <f t="shared" si="7"/>
        <v>0</v>
      </c>
      <c r="CH176" s="1513">
        <f t="shared" si="7"/>
        <v>0</v>
      </c>
      <c r="CI176" s="1513">
        <f t="shared" si="7"/>
        <v>10360.982442</v>
      </c>
    </row>
  </sheetData>
  <sheetProtection password="CC49" sheet="1" objects="1" scenarios="1" autoFilter="0"/>
  <autoFilter ref="A6:R175"/>
  <mergeCells count="169">
    <mergeCell ref="P46:P52"/>
    <mergeCell ref="AO1:AZ1"/>
    <mergeCell ref="K150:K151"/>
    <mergeCell ref="O68:O79"/>
    <mergeCell ref="M57:M59"/>
    <mergeCell ref="L57:L59"/>
    <mergeCell ref="R46:R52"/>
    <mergeCell ref="N54:N55"/>
    <mergeCell ref="R81:R86"/>
    <mergeCell ref="R88:R93"/>
    <mergeCell ref="M54:M55"/>
    <mergeCell ref="O54:O55"/>
    <mergeCell ref="R54:R55"/>
    <mergeCell ref="K46:K52"/>
    <mergeCell ref="L46:L52"/>
    <mergeCell ref="M46:M52"/>
    <mergeCell ref="N46:N52"/>
    <mergeCell ref="O35:O44"/>
    <mergeCell ref="N35:N44"/>
    <mergeCell ref="M35:M44"/>
    <mergeCell ref="L35:L44"/>
    <mergeCell ref="R68:R79"/>
    <mergeCell ref="R35:R44"/>
    <mergeCell ref="M109:M130"/>
    <mergeCell ref="H150:H151"/>
    <mergeCell ref="H154:H158"/>
    <mergeCell ref="I154:I158"/>
    <mergeCell ref="J154:J158"/>
    <mergeCell ref="K154:K158"/>
    <mergeCell ref="R150:R151"/>
    <mergeCell ref="O150:O151"/>
    <mergeCell ref="N150:N151"/>
    <mergeCell ref="M150:M151"/>
    <mergeCell ref="L150:L151"/>
    <mergeCell ref="J150:J151"/>
    <mergeCell ref="L154:L158"/>
    <mergeCell ref="M154:M158"/>
    <mergeCell ref="N154:N158"/>
    <mergeCell ref="O154:O158"/>
    <mergeCell ref="R154:R158"/>
    <mergeCell ref="I150:I151"/>
    <mergeCell ref="H138:H148"/>
    <mergeCell ref="I138:I148"/>
    <mergeCell ref="J138:J148"/>
    <mergeCell ref="K138:K148"/>
    <mergeCell ref="R95:R98"/>
    <mergeCell ref="L138:L148"/>
    <mergeCell ref="M138:M148"/>
    <mergeCell ref="N138:N148"/>
    <mergeCell ref="O138:O148"/>
    <mergeCell ref="R138:R148"/>
    <mergeCell ref="R100:R104"/>
    <mergeCell ref="H132:H136"/>
    <mergeCell ref="I132:I136"/>
    <mergeCell ref="K132:K136"/>
    <mergeCell ref="L132:L136"/>
    <mergeCell ref="M132:M136"/>
    <mergeCell ref="N132:N136"/>
    <mergeCell ref="O132:O136"/>
    <mergeCell ref="H109:H130"/>
    <mergeCell ref="I109:I130"/>
    <mergeCell ref="J109:J130"/>
    <mergeCell ref="K109:K130"/>
    <mergeCell ref="L109:L130"/>
    <mergeCell ref="N109:N130"/>
    <mergeCell ref="O109:O130"/>
    <mergeCell ref="J132:J136"/>
    <mergeCell ref="R132:R136"/>
    <mergeCell ref="R109:R130"/>
    <mergeCell ref="I68:I79"/>
    <mergeCell ref="H100:H104"/>
    <mergeCell ref="I100:I104"/>
    <mergeCell ref="J100:J104"/>
    <mergeCell ref="K100:K104"/>
    <mergeCell ref="L100:L104"/>
    <mergeCell ref="M100:M104"/>
    <mergeCell ref="N100:N104"/>
    <mergeCell ref="O100:O104"/>
    <mergeCell ref="J68:J79"/>
    <mergeCell ref="M95:M98"/>
    <mergeCell ref="N95:N98"/>
    <mergeCell ref="O95:O98"/>
    <mergeCell ref="K68:K79"/>
    <mergeCell ref="R57:R59"/>
    <mergeCell ref="N57:N59"/>
    <mergeCell ref="H81:H86"/>
    <mergeCell ref="I81:I86"/>
    <mergeCell ref="J81:J86"/>
    <mergeCell ref="K81:K86"/>
    <mergeCell ref="L81:L86"/>
    <mergeCell ref="O57:O59"/>
    <mergeCell ref="H95:H98"/>
    <mergeCell ref="I95:I98"/>
    <mergeCell ref="J95:J98"/>
    <mergeCell ref="K95:K98"/>
    <mergeCell ref="L95:L98"/>
    <mergeCell ref="M81:M86"/>
    <mergeCell ref="N81:N86"/>
    <mergeCell ref="O81:O86"/>
    <mergeCell ref="H88:H93"/>
    <mergeCell ref="I88:I93"/>
    <mergeCell ref="J88:J93"/>
    <mergeCell ref="K88:K93"/>
    <mergeCell ref="L88:L93"/>
    <mergeCell ref="M88:M93"/>
    <mergeCell ref="N88:N93"/>
    <mergeCell ref="O88:O93"/>
    <mergeCell ref="R62:R66"/>
    <mergeCell ref="O62:O66"/>
    <mergeCell ref="N62:N66"/>
    <mergeCell ref="M62:M66"/>
    <mergeCell ref="L62:L66"/>
    <mergeCell ref="K62:K66"/>
    <mergeCell ref="H62:H66"/>
    <mergeCell ref="I62:I66"/>
    <mergeCell ref="J62:J66"/>
    <mergeCell ref="H35:H44"/>
    <mergeCell ref="I35:I44"/>
    <mergeCell ref="J35:J44"/>
    <mergeCell ref="K35:K44"/>
    <mergeCell ref="M28:M33"/>
    <mergeCell ref="N28:N33"/>
    <mergeCell ref="O28:O33"/>
    <mergeCell ref="L68:L79"/>
    <mergeCell ref="M68:M79"/>
    <mergeCell ref="N68:N79"/>
    <mergeCell ref="K57:K59"/>
    <mergeCell ref="J57:J59"/>
    <mergeCell ref="O46:O52"/>
    <mergeCell ref="H46:H52"/>
    <mergeCell ref="I46:I52"/>
    <mergeCell ref="J46:J52"/>
    <mergeCell ref="H54:H55"/>
    <mergeCell ref="I54:I55"/>
    <mergeCell ref="J54:J55"/>
    <mergeCell ref="K54:K55"/>
    <mergeCell ref="L54:L55"/>
    <mergeCell ref="H57:H59"/>
    <mergeCell ref="I57:I59"/>
    <mergeCell ref="H68:H79"/>
    <mergeCell ref="R28:R33"/>
    <mergeCell ref="H28:H33"/>
    <mergeCell ref="I28:I33"/>
    <mergeCell ref="J28:J33"/>
    <mergeCell ref="AH1:AN1"/>
    <mergeCell ref="K5:P5"/>
    <mergeCell ref="O10:O26"/>
    <mergeCell ref="M10:M26"/>
    <mergeCell ref="L10:L26"/>
    <mergeCell ref="Q5:R5"/>
    <mergeCell ref="K28:K33"/>
    <mergeCell ref="L28:L33"/>
    <mergeCell ref="A1:C1"/>
    <mergeCell ref="F5:J5"/>
    <mergeCell ref="A5:A6"/>
    <mergeCell ref="B5:B6"/>
    <mergeCell ref="C5:C6"/>
    <mergeCell ref="D5:D6"/>
    <mergeCell ref="E5:E6"/>
    <mergeCell ref="R10:R26"/>
    <mergeCell ref="H10:H26"/>
    <mergeCell ref="I10:I26"/>
    <mergeCell ref="J10:J26"/>
    <mergeCell ref="N10:N26"/>
    <mergeCell ref="K10:K26"/>
    <mergeCell ref="E1:E2"/>
    <mergeCell ref="F1:M1"/>
    <mergeCell ref="A2:A4"/>
    <mergeCell ref="N1:AG1"/>
  </mergeCells>
  <phoneticPr fontId="68" type="noConversion"/>
  <pageMargins left="0.7" right="0.7" top="0.75" bottom="0.75" header="0.3" footer="0.3"/>
  <pageSetup orientation="portrait" horizontalDpi="4294967295" verticalDpi="4294967295" r:id="rId1"/>
</worksheet>
</file>

<file path=xl/worksheets/sheet12.xml><?xml version="1.0" encoding="utf-8"?>
<worksheet xmlns="http://schemas.openxmlformats.org/spreadsheetml/2006/main" xmlns:r="http://schemas.openxmlformats.org/officeDocument/2006/relationships">
  <sheetPr>
    <tabColor rgb="FF00B050"/>
  </sheetPr>
  <dimension ref="A1:CI67"/>
  <sheetViews>
    <sheetView zoomScale="80" zoomScaleNormal="80" workbookViewId="0">
      <pane xSplit="5" ySplit="6" topLeftCell="P49" activePane="bottomRight" state="frozen"/>
      <selection activeCell="A2" sqref="A2:A4"/>
      <selection pane="topRight" activeCell="A2" sqref="A2:A4"/>
      <selection pane="bottomLeft" activeCell="A2" sqref="A2:A4"/>
      <selection pane="bottomRight" activeCell="BC72" sqref="BC72"/>
    </sheetView>
  </sheetViews>
  <sheetFormatPr defaultColWidth="9.140625" defaultRowHeight="15"/>
  <cols>
    <col min="1" max="1" width="12.28515625" style="1410" customWidth="1"/>
    <col min="2" max="2" width="11.28515625" style="1491" customWidth="1"/>
    <col min="3" max="3" width="55.5703125" style="1411" customWidth="1"/>
    <col min="4" max="4" width="10.140625" style="1130" bestFit="1" customWidth="1"/>
    <col min="5" max="5" width="18.140625" style="1414" bestFit="1" customWidth="1"/>
    <col min="6" max="6" width="16.42578125" style="1196" hidden="1" customWidth="1"/>
    <col min="7" max="7" width="21.140625" style="1196" hidden="1" customWidth="1"/>
    <col min="8" max="8" width="15.85546875" style="1196" hidden="1" customWidth="1"/>
    <col min="9" max="9" width="16.42578125" style="1196" hidden="1" customWidth="1"/>
    <col min="10" max="10" width="16.140625" style="1196" hidden="1" customWidth="1"/>
    <col min="11" max="11" width="14.85546875" style="1378" hidden="1" customWidth="1"/>
    <col min="12" max="12" width="15.42578125" style="1378" hidden="1" customWidth="1"/>
    <col min="13" max="13" width="13.42578125" style="1492" hidden="1" customWidth="1"/>
    <col min="14" max="14" width="10.5703125" style="1378" hidden="1" customWidth="1"/>
    <col min="15" max="15" width="12.140625" style="1492" hidden="1" customWidth="1"/>
    <col min="16" max="16" width="46.28515625" style="1410" customWidth="1"/>
    <col min="17" max="17" width="41.42578125" style="1410" customWidth="1"/>
    <col min="18" max="18" width="11.5703125" style="1324" customWidth="1"/>
    <col min="19" max="19" width="6" style="1378" hidden="1" customWidth="1"/>
    <col min="20" max="20" width="3.7109375" style="1378" hidden="1" customWidth="1"/>
    <col min="21" max="21" width="7.42578125" style="1378" hidden="1" customWidth="1"/>
    <col min="22" max="22" width="3.85546875" style="1378" hidden="1" customWidth="1"/>
    <col min="23" max="23" width="5.5703125" style="1378" hidden="1" customWidth="1"/>
    <col min="24" max="24" width="4.5703125" style="1378" hidden="1" customWidth="1"/>
    <col min="25" max="25" width="5.7109375" style="1378" hidden="1" customWidth="1"/>
    <col min="26" max="26" width="7.140625" style="1378" hidden="1" customWidth="1"/>
    <col min="27" max="27" width="8.5703125" style="1378" hidden="1" customWidth="1"/>
    <col min="28" max="28" width="8" style="1378" hidden="1" customWidth="1"/>
    <col min="29" max="29" width="4.140625" style="1378" hidden="1" customWidth="1"/>
    <col min="30" max="30" width="3.85546875" style="1378" hidden="1" customWidth="1"/>
    <col min="31" max="31" width="7.140625" style="1378" hidden="1" customWidth="1"/>
    <col min="32" max="32" width="7.42578125" style="1378" hidden="1" customWidth="1"/>
    <col min="33" max="33" width="7.140625" style="1378" hidden="1" customWidth="1"/>
    <col min="34" max="34" width="8.7109375" style="1378" hidden="1" customWidth="1"/>
    <col min="35" max="35" width="8.5703125" style="1378" hidden="1" customWidth="1"/>
    <col min="36" max="36" width="8" style="1378" hidden="1" customWidth="1"/>
    <col min="37" max="37" width="6.85546875" style="1378" hidden="1" customWidth="1"/>
    <col min="38" max="38" width="8" style="1378" hidden="1" customWidth="1"/>
    <col min="39" max="39" width="6.85546875" style="1378" hidden="1" customWidth="1"/>
    <col min="40" max="42" width="5.5703125" style="1378" hidden="1" customWidth="1"/>
    <col min="43" max="43" width="8.42578125" style="1378" hidden="1" customWidth="1"/>
    <col min="44" max="44" width="6.5703125" style="1378" hidden="1" customWidth="1"/>
    <col min="45" max="45" width="7.28515625" style="1378" hidden="1" customWidth="1"/>
    <col min="46" max="46" width="7.5703125" style="1378" hidden="1" customWidth="1"/>
    <col min="47" max="47" width="7.42578125" style="1378" hidden="1" customWidth="1"/>
    <col min="48" max="48" width="8" style="1378" hidden="1" customWidth="1"/>
    <col min="49" max="49" width="6" style="1378" hidden="1" customWidth="1"/>
    <col min="50" max="50" width="5.5703125" style="1378" hidden="1" customWidth="1"/>
    <col min="51" max="51" width="6.42578125" style="1378" hidden="1" customWidth="1"/>
    <col min="52" max="52" width="6.7109375" style="1378" hidden="1" customWidth="1"/>
    <col min="53" max="53" width="7.5703125" style="1378" hidden="1" customWidth="1"/>
    <col min="54" max="16384" width="9.140625" style="1378"/>
  </cols>
  <sheetData>
    <row r="1" spans="1:87">
      <c r="A1" s="3869" t="s">
        <v>736</v>
      </c>
      <c r="B1" s="3870"/>
      <c r="C1" s="3871"/>
      <c r="D1" s="1222"/>
      <c r="E1" s="3858" t="s">
        <v>4534</v>
      </c>
      <c r="F1" s="3909" t="s">
        <v>4532</v>
      </c>
      <c r="G1" s="3910"/>
      <c r="H1" s="3910"/>
      <c r="I1" s="3910"/>
      <c r="J1" s="3910"/>
      <c r="K1" s="3910"/>
      <c r="L1" s="3910"/>
      <c r="M1" s="3910"/>
      <c r="N1" s="3911"/>
      <c r="O1" s="3793" t="s">
        <v>65</v>
      </c>
      <c r="P1" s="3794"/>
      <c r="Q1" s="3794"/>
      <c r="R1" s="3794"/>
      <c r="S1" s="3794"/>
      <c r="T1" s="3794"/>
      <c r="U1" s="3794"/>
      <c r="V1" s="3794"/>
      <c r="W1" s="3794"/>
      <c r="X1" s="3794"/>
      <c r="Y1" s="3794"/>
      <c r="Z1" s="3794"/>
      <c r="AA1" s="3794"/>
      <c r="AB1" s="3794"/>
      <c r="AC1" s="3794"/>
      <c r="AD1" s="3794"/>
      <c r="AE1" s="3794"/>
      <c r="AF1" s="3794"/>
      <c r="AG1" s="3794"/>
      <c r="AH1" s="3794"/>
      <c r="AI1" s="3900" t="s">
        <v>4219</v>
      </c>
      <c r="AJ1" s="3901"/>
      <c r="AK1" s="3901"/>
      <c r="AL1" s="3901"/>
      <c r="AM1" s="3901"/>
      <c r="AN1" s="3901"/>
      <c r="AO1" s="3902"/>
      <c r="AP1" s="3889" t="s">
        <v>80</v>
      </c>
      <c r="AQ1" s="3890"/>
      <c r="AR1" s="3890"/>
      <c r="AS1" s="3890"/>
      <c r="AT1" s="3890"/>
      <c r="AU1" s="3890"/>
      <c r="AV1" s="3890"/>
      <c r="AW1" s="3890"/>
      <c r="AX1" s="3890"/>
      <c r="AY1" s="3890"/>
      <c r="AZ1" s="3890"/>
      <c r="BA1" s="3891"/>
    </row>
    <row r="2" spans="1:87" s="1380" customFormat="1" ht="45">
      <c r="A2" s="3855" t="str">
        <f>HYPERLINK("#Index!A4", "Index Pg")</f>
        <v>Index Pg</v>
      </c>
      <c r="B2" s="1379" t="str">
        <f>HYPERLINK("#'Summary of Abstracts'!A2", "Summary of Abst.")</f>
        <v>Summary of Abst.</v>
      </c>
      <c r="C2" s="869"/>
      <c r="D2" s="1224"/>
      <c r="E2" s="3858"/>
      <c r="F2" s="906" t="s">
        <v>113</v>
      </c>
      <c r="G2" s="906" t="s">
        <v>126</v>
      </c>
      <c r="H2" s="906" t="s">
        <v>86</v>
      </c>
      <c r="I2" s="906" t="s">
        <v>4530</v>
      </c>
      <c r="J2" s="906" t="s">
        <v>91</v>
      </c>
      <c r="K2" s="1225" t="s">
        <v>3933</v>
      </c>
      <c r="L2" s="907" t="s">
        <v>4531</v>
      </c>
      <c r="M2" s="907" t="s">
        <v>4535</v>
      </c>
      <c r="N2" s="907" t="s">
        <v>203</v>
      </c>
      <c r="O2" s="909" t="s">
        <v>4218</v>
      </c>
      <c r="P2" s="909" t="s">
        <v>3751</v>
      </c>
      <c r="Q2" s="909" t="s">
        <v>4543</v>
      </c>
      <c r="R2" s="909" t="s">
        <v>4540</v>
      </c>
      <c r="S2" s="909" t="s">
        <v>4541</v>
      </c>
      <c r="T2" s="909" t="s">
        <v>4542</v>
      </c>
      <c r="U2" s="909" t="s">
        <v>4544</v>
      </c>
      <c r="V2" s="909" t="s">
        <v>4528</v>
      </c>
      <c r="W2" s="909" t="s">
        <v>4545</v>
      </c>
      <c r="X2" s="909" t="s">
        <v>29</v>
      </c>
      <c r="Y2" s="909" t="s">
        <v>4546</v>
      </c>
      <c r="Z2" s="909" t="s">
        <v>4547</v>
      </c>
      <c r="AA2" s="909" t="s">
        <v>4537</v>
      </c>
      <c r="AB2" s="909" t="s">
        <v>737</v>
      </c>
      <c r="AC2" s="909" t="s">
        <v>4538</v>
      </c>
      <c r="AD2" s="909" t="s">
        <v>4539</v>
      </c>
      <c r="AE2" s="909" t="s">
        <v>2293</v>
      </c>
      <c r="AF2" s="909" t="s">
        <v>4548</v>
      </c>
      <c r="AG2" s="909" t="s">
        <v>3750</v>
      </c>
      <c r="AH2" s="909" t="s">
        <v>302</v>
      </c>
      <c r="AI2" s="910" t="s">
        <v>288</v>
      </c>
      <c r="AJ2" s="910" t="s">
        <v>109</v>
      </c>
      <c r="AK2" s="910" t="s">
        <v>141</v>
      </c>
      <c r="AL2" s="910" t="s">
        <v>4525</v>
      </c>
      <c r="AM2" s="910" t="s">
        <v>3223</v>
      </c>
      <c r="AN2" s="910" t="s">
        <v>3855</v>
      </c>
      <c r="AO2" s="910" t="s">
        <v>4405</v>
      </c>
      <c r="AP2" s="911" t="s">
        <v>81</v>
      </c>
      <c r="AQ2" s="911" t="s">
        <v>145</v>
      </c>
      <c r="AR2" s="911" t="s">
        <v>394</v>
      </c>
      <c r="AS2" s="911" t="s">
        <v>147</v>
      </c>
      <c r="AT2" s="911" t="s">
        <v>410</v>
      </c>
      <c r="AU2" s="911" t="s">
        <v>4459</v>
      </c>
      <c r="AV2" s="911" t="s">
        <v>3989</v>
      </c>
      <c r="AW2" s="911" t="s">
        <v>307</v>
      </c>
      <c r="AX2" s="911" t="s">
        <v>309</v>
      </c>
      <c r="AY2" s="911" t="s">
        <v>1028</v>
      </c>
      <c r="AZ2" s="911" t="s">
        <v>1014</v>
      </c>
      <c r="BA2" s="911" t="s">
        <v>4533</v>
      </c>
    </row>
    <row r="3" spans="1:87" s="1380" customFormat="1">
      <c r="A3" s="3856"/>
      <c r="B3" s="864" t="str">
        <f>HYPERLINK("#'Budget Summary I'!A1:AL1", "Budget Summary I")</f>
        <v>Budget Summary I</v>
      </c>
      <c r="C3" s="865" t="s">
        <v>4460</v>
      </c>
      <c r="D3" s="1224"/>
      <c r="E3" s="1449">
        <f>R7</f>
        <v>1114.1360999999999</v>
      </c>
      <c r="F3" s="161">
        <f>R9+R21</f>
        <v>187.45149999999998</v>
      </c>
      <c r="G3" s="161">
        <f>R22</f>
        <v>65.600000000000009</v>
      </c>
      <c r="H3" s="161">
        <f>R23</f>
        <v>4.12</v>
      </c>
      <c r="I3" s="161">
        <f>R24</f>
        <v>286.19460000000004</v>
      </c>
      <c r="J3" s="161">
        <f>R25</f>
        <v>14.8</v>
      </c>
      <c r="K3" s="985">
        <f>R26</f>
        <v>0</v>
      </c>
      <c r="L3" s="161">
        <f>R27</f>
        <v>75</v>
      </c>
      <c r="M3" s="161">
        <f>R28</f>
        <v>0</v>
      </c>
      <c r="N3" s="985"/>
      <c r="O3" s="985">
        <f>R37</f>
        <v>262.02</v>
      </c>
      <c r="P3" s="985">
        <f>R32</f>
        <v>0</v>
      </c>
      <c r="Q3" s="985"/>
      <c r="R3" s="985"/>
      <c r="S3" s="985"/>
      <c r="T3" s="985"/>
      <c r="U3" s="985">
        <f>R35</f>
        <v>19.52</v>
      </c>
      <c r="V3" s="985"/>
      <c r="W3" s="985"/>
      <c r="X3" s="985"/>
      <c r="Y3" s="985"/>
      <c r="Z3" s="985"/>
      <c r="AA3" s="985">
        <f>R13+R14+R15+R16+R17+R18</f>
        <v>42.040000000000006</v>
      </c>
      <c r="AB3" s="985"/>
      <c r="AC3" s="985"/>
      <c r="AD3" s="985"/>
      <c r="AE3" s="985">
        <f>R36</f>
        <v>30.61</v>
      </c>
      <c r="AF3" s="985">
        <f>R30</f>
        <v>1.8</v>
      </c>
      <c r="AG3" s="985">
        <f>R34</f>
        <v>0</v>
      </c>
      <c r="AH3" s="985">
        <f>R10+R11+R31+R33+R38+R39+R40+R41+R42+R43+R44+R45</f>
        <v>10</v>
      </c>
      <c r="AI3" s="985">
        <f>R47</f>
        <v>9.85</v>
      </c>
      <c r="AJ3" s="985">
        <f>R48</f>
        <v>5</v>
      </c>
      <c r="AK3" s="985">
        <f>R49</f>
        <v>7.83</v>
      </c>
      <c r="AL3" s="985">
        <f>R50</f>
        <v>36.07</v>
      </c>
      <c r="AM3" s="985">
        <f>R51</f>
        <v>0</v>
      </c>
      <c r="AN3" s="985">
        <f>R52</f>
        <v>0</v>
      </c>
      <c r="AO3" s="985">
        <f>R53</f>
        <v>0</v>
      </c>
      <c r="AP3" s="985">
        <f>R55</f>
        <v>0</v>
      </c>
      <c r="AQ3" s="985">
        <f>R56</f>
        <v>21.03</v>
      </c>
      <c r="AR3" s="985">
        <f>R57</f>
        <v>7</v>
      </c>
      <c r="AS3" s="985">
        <f>R58</f>
        <v>15</v>
      </c>
      <c r="AT3" s="985">
        <f>R59</f>
        <v>10</v>
      </c>
      <c r="AU3" s="985">
        <f>R64</f>
        <v>0</v>
      </c>
      <c r="AV3" s="985">
        <f>R63</f>
        <v>2.2000000000000002</v>
      </c>
      <c r="AW3" s="985"/>
      <c r="AX3" s="985">
        <f>R61</f>
        <v>0</v>
      </c>
      <c r="AY3" s="985">
        <f>R62</f>
        <v>0</v>
      </c>
      <c r="AZ3" s="985">
        <f>R60</f>
        <v>1</v>
      </c>
      <c r="BA3" s="985"/>
    </row>
    <row r="4" spans="1:87" s="1380" customFormat="1">
      <c r="A4" s="3857"/>
      <c r="B4" s="864" t="str">
        <f>HYPERLINK("#'Budget Summary II'!A3:B5", "Budget Summary II")</f>
        <v>Budget Summary II</v>
      </c>
      <c r="C4" s="865" t="s">
        <v>4461</v>
      </c>
      <c r="D4" s="1224"/>
      <c r="E4" s="1449">
        <f>O7</f>
        <v>1228.4696156</v>
      </c>
      <c r="F4" s="161">
        <f>O9+O21</f>
        <v>187.45150000000001</v>
      </c>
      <c r="G4" s="161">
        <f>O22</f>
        <v>65.600000000000009</v>
      </c>
      <c r="H4" s="161">
        <f>O23</f>
        <v>7.5992499999999996</v>
      </c>
      <c r="I4" s="161">
        <f>O24</f>
        <v>286.19659999999999</v>
      </c>
      <c r="J4" s="161">
        <f>O25</f>
        <v>14.8</v>
      </c>
      <c r="K4" s="985">
        <f>O26</f>
        <v>0</v>
      </c>
      <c r="L4" s="161">
        <f>O27</f>
        <v>75</v>
      </c>
      <c r="M4" s="161">
        <f>O28</f>
        <v>0</v>
      </c>
      <c r="N4" s="985"/>
      <c r="O4" s="985">
        <f>O37</f>
        <v>263</v>
      </c>
      <c r="P4" s="985">
        <f>O32</f>
        <v>0</v>
      </c>
      <c r="Q4" s="985"/>
      <c r="R4" s="985"/>
      <c r="S4" s="985"/>
      <c r="T4" s="985"/>
      <c r="U4" s="985">
        <f>O35</f>
        <v>29.399045599999997</v>
      </c>
      <c r="V4" s="985"/>
      <c r="W4" s="985"/>
      <c r="X4" s="985"/>
      <c r="Y4" s="985"/>
      <c r="Z4" s="985"/>
      <c r="AA4" s="985">
        <f>O13+O14+O15+O16+O17+O18</f>
        <v>42.042299999999997</v>
      </c>
      <c r="AB4" s="985"/>
      <c r="AC4" s="985"/>
      <c r="AD4" s="985"/>
      <c r="AE4" s="985">
        <f>O36</f>
        <v>30.605990000000006</v>
      </c>
      <c r="AF4" s="985">
        <f>O30</f>
        <v>1.8</v>
      </c>
      <c r="AG4" s="985">
        <f>O34</f>
        <v>0</v>
      </c>
      <c r="AH4" s="985">
        <f>O10+O11+O31+O33+O38+O39+O40+O41+O42+O43+O44+O45</f>
        <v>110</v>
      </c>
      <c r="AI4" s="985">
        <f>O47</f>
        <v>9.8453100000000013</v>
      </c>
      <c r="AJ4" s="985">
        <f>O48</f>
        <v>5</v>
      </c>
      <c r="AK4" s="985">
        <f>O49</f>
        <v>7.83</v>
      </c>
      <c r="AL4" s="985">
        <f>O50</f>
        <v>36.067149999999998</v>
      </c>
      <c r="AM4" s="985">
        <f>O51</f>
        <v>0</v>
      </c>
      <c r="AN4" s="985">
        <f>O52</f>
        <v>0</v>
      </c>
      <c r="AO4" s="985">
        <f>O53</f>
        <v>0</v>
      </c>
      <c r="AP4" s="985">
        <f>O55</f>
        <v>0</v>
      </c>
      <c r="AQ4" s="985">
        <f>O56</f>
        <v>21.03248</v>
      </c>
      <c r="AR4" s="985">
        <f>O57</f>
        <v>7</v>
      </c>
      <c r="AS4" s="985">
        <f>O58</f>
        <v>15</v>
      </c>
      <c r="AT4" s="985">
        <f>O59</f>
        <v>10</v>
      </c>
      <c r="AU4" s="985">
        <f>O64</f>
        <v>0</v>
      </c>
      <c r="AV4" s="985">
        <f>O63</f>
        <v>2.1999899999999997</v>
      </c>
      <c r="AW4" s="985"/>
      <c r="AX4" s="985">
        <f>O61</f>
        <v>0</v>
      </c>
      <c r="AY4" s="985">
        <f>O62</f>
        <v>0</v>
      </c>
      <c r="AZ4" s="985">
        <f>O60</f>
        <v>1</v>
      </c>
      <c r="BA4" s="985"/>
    </row>
    <row r="5" spans="1:87" s="1130" customFormat="1" ht="12.75" customHeight="1">
      <c r="A5" s="3801" t="s">
        <v>48</v>
      </c>
      <c r="B5" s="3801" t="s">
        <v>49</v>
      </c>
      <c r="C5" s="3801" t="s">
        <v>50</v>
      </c>
      <c r="D5" s="3801" t="s">
        <v>51</v>
      </c>
      <c r="E5" s="3801" t="s">
        <v>52</v>
      </c>
      <c r="F5" s="3866" t="s">
        <v>4478</v>
      </c>
      <c r="G5" s="3866"/>
      <c r="H5" s="3866"/>
      <c r="I5" s="3866"/>
      <c r="J5" s="3866"/>
      <c r="K5" s="3894" t="s">
        <v>4484</v>
      </c>
      <c r="L5" s="3903"/>
      <c r="M5" s="3903"/>
      <c r="N5" s="3903"/>
      <c r="O5" s="3903"/>
      <c r="P5" s="3904"/>
      <c r="Q5" s="3905" t="s">
        <v>4514</v>
      </c>
      <c r="R5" s="3906"/>
    </row>
    <row r="6" spans="1:87" s="1450" customFormat="1" ht="60">
      <c r="A6" s="3801"/>
      <c r="B6" s="3801"/>
      <c r="C6" s="3801"/>
      <c r="D6" s="3801"/>
      <c r="E6" s="3801"/>
      <c r="F6" s="918" t="s">
        <v>4479</v>
      </c>
      <c r="G6" s="918" t="s">
        <v>4482</v>
      </c>
      <c r="H6" s="918" t="s">
        <v>4480</v>
      </c>
      <c r="I6" s="918" t="s">
        <v>4483</v>
      </c>
      <c r="J6" s="918" t="s">
        <v>2448</v>
      </c>
      <c r="K6" s="919" t="s">
        <v>53</v>
      </c>
      <c r="L6" s="919" t="s">
        <v>54</v>
      </c>
      <c r="M6" s="920" t="s">
        <v>55</v>
      </c>
      <c r="N6" s="919" t="s">
        <v>56</v>
      </c>
      <c r="O6" s="920" t="s">
        <v>57</v>
      </c>
      <c r="P6" s="919" t="s">
        <v>5069</v>
      </c>
      <c r="Q6" s="921" t="s">
        <v>2450</v>
      </c>
      <c r="R6" s="922" t="s">
        <v>4515</v>
      </c>
      <c r="S6" s="1450" t="s">
        <v>4538</v>
      </c>
      <c r="BB6" s="3153" t="s">
        <v>5973</v>
      </c>
      <c r="BC6" s="3153" t="s">
        <v>5432</v>
      </c>
      <c r="BD6" s="3153" t="s">
        <v>5433</v>
      </c>
      <c r="BE6" s="3153" t="s">
        <v>5434</v>
      </c>
      <c r="BF6" s="3153" t="s">
        <v>5435</v>
      </c>
      <c r="BG6" s="3153" t="s">
        <v>5436</v>
      </c>
      <c r="BH6" s="3153" t="s">
        <v>5437</v>
      </c>
      <c r="BI6" s="3153" t="s">
        <v>5959</v>
      </c>
      <c r="BJ6" s="3153" t="s">
        <v>5438</v>
      </c>
      <c r="BK6" s="3153" t="s">
        <v>5439</v>
      </c>
      <c r="BL6" s="3153" t="s">
        <v>5960</v>
      </c>
      <c r="BM6" s="3153" t="s">
        <v>5440</v>
      </c>
      <c r="BN6" s="3153" t="s">
        <v>5441</v>
      </c>
      <c r="BO6" s="3153" t="s">
        <v>5961</v>
      </c>
      <c r="BP6" s="3153" t="s">
        <v>5974</v>
      </c>
      <c r="BQ6" s="3153" t="s">
        <v>5975</v>
      </c>
      <c r="BR6" s="3153" t="s">
        <v>5976</v>
      </c>
      <c r="BS6" s="3153" t="s">
        <v>5977</v>
      </c>
      <c r="BT6" s="3153" t="s">
        <v>5978</v>
      </c>
      <c r="BU6" s="3153" t="s">
        <v>5979</v>
      </c>
      <c r="BV6" s="3153" t="s">
        <v>5962</v>
      </c>
      <c r="BW6" s="3153" t="s">
        <v>5963</v>
      </c>
      <c r="BX6" s="3153" t="s">
        <v>5964</v>
      </c>
      <c r="BY6" s="3153" t="s">
        <v>5965</v>
      </c>
      <c r="BZ6" s="3153" t="s">
        <v>5966</v>
      </c>
      <c r="CA6" s="3153" t="s">
        <v>5967</v>
      </c>
      <c r="CB6" s="3153" t="s">
        <v>5968</v>
      </c>
      <c r="CC6" s="3153" t="s">
        <v>5969</v>
      </c>
      <c r="CD6" s="3153" t="s">
        <v>5970</v>
      </c>
      <c r="CE6" s="3153" t="s">
        <v>5980</v>
      </c>
      <c r="CF6" s="3153" t="s">
        <v>5971</v>
      </c>
      <c r="CG6" s="3153" t="s">
        <v>5981</v>
      </c>
      <c r="CH6" s="3153" t="s">
        <v>5982</v>
      </c>
      <c r="CI6" s="3153" t="s">
        <v>5972</v>
      </c>
    </row>
    <row r="7" spans="1:87" s="1101" customFormat="1">
      <c r="A7" s="217">
        <v>9</v>
      </c>
      <c r="B7" s="990"/>
      <c r="C7" s="217" t="s">
        <v>4818</v>
      </c>
      <c r="D7" s="1241"/>
      <c r="E7" s="1241"/>
      <c r="F7" s="217"/>
      <c r="G7" s="217"/>
      <c r="H7" s="217"/>
      <c r="I7" s="217"/>
      <c r="J7" s="217"/>
      <c r="K7" s="217"/>
      <c r="L7" s="217"/>
      <c r="M7" s="870"/>
      <c r="N7" s="217"/>
      <c r="O7" s="207">
        <f>O8+O19</f>
        <v>1228.4696156</v>
      </c>
      <c r="P7" s="217"/>
      <c r="Q7" s="217"/>
      <c r="R7" s="207">
        <f>R8+R19</f>
        <v>1114.1360999999999</v>
      </c>
      <c r="BB7" s="3225"/>
      <c r="BC7" s="3225"/>
      <c r="BD7" s="3225"/>
      <c r="BE7" s="3225"/>
      <c r="BF7" s="3225"/>
      <c r="BG7" s="3225"/>
      <c r="BH7" s="3225"/>
      <c r="BI7" s="3225"/>
      <c r="BJ7" s="3225"/>
      <c r="BK7" s="3225"/>
      <c r="BL7" s="3225"/>
      <c r="BM7" s="3225"/>
      <c r="BN7" s="3225"/>
      <c r="BO7" s="3225"/>
      <c r="BP7" s="3225"/>
      <c r="BQ7" s="3225"/>
      <c r="BR7" s="3225"/>
      <c r="BS7" s="3225"/>
      <c r="BT7" s="3225"/>
      <c r="BU7" s="3225"/>
      <c r="BV7" s="3225"/>
      <c r="BW7" s="3225"/>
      <c r="BX7" s="3225"/>
      <c r="BY7" s="3225"/>
      <c r="BZ7" s="3225"/>
      <c r="CA7" s="3225"/>
      <c r="CB7" s="3225"/>
      <c r="CC7" s="3225"/>
      <c r="CD7" s="3225"/>
      <c r="CE7" s="3225"/>
      <c r="CF7" s="3225"/>
      <c r="CG7" s="3225"/>
      <c r="CH7" s="3225"/>
      <c r="CI7" s="3225">
        <f>SUM(BB7:CH7)</f>
        <v>0</v>
      </c>
    </row>
    <row r="8" spans="1:87" s="1101" customFormat="1" ht="45">
      <c r="A8" s="331">
        <v>9.1</v>
      </c>
      <c r="B8" s="1199"/>
      <c r="C8" s="1053" t="s">
        <v>4207</v>
      </c>
      <c r="D8" s="1245"/>
      <c r="E8" s="1245"/>
      <c r="F8" s="1246"/>
      <c r="G8" s="1246"/>
      <c r="H8" s="1246"/>
      <c r="I8" s="1246"/>
      <c r="J8" s="1246"/>
      <c r="K8" s="1246"/>
      <c r="L8" s="1246"/>
      <c r="M8" s="1451"/>
      <c r="N8" s="1452"/>
      <c r="O8" s="1453">
        <f>SUM(O9:O12)</f>
        <v>42.042299999999997</v>
      </c>
      <c r="P8" s="438"/>
      <c r="Q8" s="438"/>
      <c r="R8" s="1453">
        <f>SUM(R9:R12)</f>
        <v>42.040000000000006</v>
      </c>
      <c r="BB8" s="3225"/>
      <c r="BC8" s="3225"/>
      <c r="BD8" s="3225"/>
      <c r="BE8" s="3225"/>
      <c r="BF8" s="3225"/>
      <c r="BG8" s="3225"/>
      <c r="BH8" s="3225"/>
      <c r="BI8" s="3225"/>
      <c r="BJ8" s="3225"/>
      <c r="BK8" s="3225"/>
      <c r="BL8" s="3225"/>
      <c r="BM8" s="3225"/>
      <c r="BN8" s="3225"/>
      <c r="BO8" s="3225"/>
      <c r="BP8" s="3225"/>
      <c r="BQ8" s="3225"/>
      <c r="BR8" s="3225"/>
      <c r="BS8" s="3225"/>
      <c r="BT8" s="3225"/>
      <c r="BU8" s="3225"/>
      <c r="BV8" s="3225"/>
      <c r="BW8" s="3225"/>
      <c r="BX8" s="3225"/>
      <c r="BY8" s="3225"/>
      <c r="BZ8" s="3225"/>
      <c r="CA8" s="3225"/>
      <c r="CB8" s="3225"/>
      <c r="CC8" s="3225"/>
      <c r="CD8" s="3225"/>
      <c r="CE8" s="3225"/>
      <c r="CF8" s="3225"/>
      <c r="CG8" s="3225"/>
      <c r="CH8" s="3225"/>
      <c r="CI8" s="3225">
        <f t="shared" ref="CI8:CI66" si="0">SUM(BB8:CH8)</f>
        <v>0</v>
      </c>
    </row>
    <row r="9" spans="1:87" s="1457" customFormat="1">
      <c r="A9" s="473" t="s">
        <v>738</v>
      </c>
      <c r="B9" s="958"/>
      <c r="C9" s="473" t="s">
        <v>4748</v>
      </c>
      <c r="D9" s="1454" t="s">
        <v>85</v>
      </c>
      <c r="E9" s="1185" t="s">
        <v>113</v>
      </c>
      <c r="F9" s="1455"/>
      <c r="G9" s="1455"/>
      <c r="H9" s="397">
        <v>10.25</v>
      </c>
      <c r="I9" s="397"/>
      <c r="J9" s="397"/>
      <c r="K9" s="397"/>
      <c r="L9" s="279"/>
      <c r="M9" s="811"/>
      <c r="N9" s="279"/>
      <c r="O9" s="1493">
        <f>'9-A.Training Sub-Annex'!O6</f>
        <v>0</v>
      </c>
      <c r="P9" s="422"/>
      <c r="Q9" s="391"/>
      <c r="R9" s="298">
        <f>'9-A.Training Sub-Annex'!R6</f>
        <v>0</v>
      </c>
      <c r="BB9" s="3245"/>
      <c r="BC9" s="3245"/>
      <c r="BD9" s="3245"/>
      <c r="BE9" s="3245"/>
      <c r="BF9" s="3245"/>
      <c r="BG9" s="3245"/>
      <c r="BH9" s="3245"/>
      <c r="BI9" s="3245"/>
      <c r="BJ9" s="3245"/>
      <c r="BK9" s="3245"/>
      <c r="BL9" s="3245"/>
      <c r="BM9" s="3245"/>
      <c r="BN9" s="3245"/>
      <c r="BO9" s="3245"/>
      <c r="BP9" s="3245"/>
      <c r="BQ9" s="3245"/>
      <c r="BR9" s="3245"/>
      <c r="BS9" s="3245"/>
      <c r="BT9" s="3245"/>
      <c r="BU9" s="3245"/>
      <c r="BV9" s="3245"/>
      <c r="BW9" s="3245"/>
      <c r="BX9" s="3245"/>
      <c r="BY9" s="3245"/>
      <c r="BZ9" s="3245"/>
      <c r="CA9" s="3245"/>
      <c r="CB9" s="3245"/>
      <c r="CC9" s="3245"/>
      <c r="CD9" s="3245"/>
      <c r="CE9" s="3245"/>
      <c r="CF9" s="3245"/>
      <c r="CG9" s="3245"/>
      <c r="CH9" s="3245"/>
      <c r="CI9" s="3225">
        <f t="shared" si="0"/>
        <v>0</v>
      </c>
    </row>
    <row r="10" spans="1:87" ht="30">
      <c r="A10" s="473" t="s">
        <v>741</v>
      </c>
      <c r="B10" s="508" t="s">
        <v>751</v>
      </c>
      <c r="C10" s="508" t="s">
        <v>752</v>
      </c>
      <c r="D10" s="908" t="s">
        <v>65</v>
      </c>
      <c r="E10" s="1171" t="s">
        <v>4819</v>
      </c>
      <c r="F10" s="1458"/>
      <c r="G10" s="1458"/>
      <c r="H10" s="276"/>
      <c r="I10" s="276"/>
      <c r="J10" s="276"/>
      <c r="K10" s="276"/>
      <c r="L10" s="277"/>
      <c r="M10" s="1494"/>
      <c r="N10" s="277"/>
      <c r="O10" s="1495">
        <f>'9-A.Training Sub-Annex'!O11</f>
        <v>0</v>
      </c>
      <c r="P10" s="367"/>
      <c r="Q10" s="390"/>
      <c r="R10" s="1459">
        <f>'9-A.Training Sub-Annex'!R11</f>
        <v>0</v>
      </c>
      <c r="BB10" s="3218"/>
      <c r="BC10" s="3218"/>
      <c r="BD10" s="3218"/>
      <c r="BE10" s="3218"/>
      <c r="BF10" s="3218"/>
      <c r="BG10" s="3218"/>
      <c r="BH10" s="3218"/>
      <c r="BI10" s="3218"/>
      <c r="BJ10" s="3218"/>
      <c r="BK10" s="3218"/>
      <c r="BL10" s="3218"/>
      <c r="BM10" s="3218"/>
      <c r="BN10" s="3218"/>
      <c r="BO10" s="3218"/>
      <c r="BP10" s="3218"/>
      <c r="BQ10" s="3218"/>
      <c r="BR10" s="3218"/>
      <c r="BS10" s="3218"/>
      <c r="BT10" s="3218"/>
      <c r="BU10" s="3218"/>
      <c r="BV10" s="3218"/>
      <c r="BW10" s="3218"/>
      <c r="BX10" s="3218"/>
      <c r="BY10" s="3218"/>
      <c r="BZ10" s="3218"/>
      <c r="CA10" s="3218"/>
      <c r="CB10" s="3218"/>
      <c r="CC10" s="3218"/>
      <c r="CD10" s="3218"/>
      <c r="CE10" s="3218"/>
      <c r="CF10" s="3218"/>
      <c r="CG10" s="3218"/>
      <c r="CH10" s="3218"/>
      <c r="CI10" s="3225">
        <f t="shared" si="0"/>
        <v>0</v>
      </c>
    </row>
    <row r="11" spans="1:87">
      <c r="A11" s="473" t="s">
        <v>744</v>
      </c>
      <c r="B11" s="508"/>
      <c r="C11" s="508" t="s">
        <v>4749</v>
      </c>
      <c r="D11" s="908" t="s">
        <v>65</v>
      </c>
      <c r="E11" s="1075" t="s">
        <v>4412</v>
      </c>
      <c r="F11" s="1458"/>
      <c r="G11" s="1458"/>
      <c r="H11" s="276"/>
      <c r="I11" s="276"/>
      <c r="J11" s="276"/>
      <c r="K11" s="276"/>
      <c r="L11" s="277"/>
      <c r="M11" s="1494"/>
      <c r="N11" s="277"/>
      <c r="O11" s="1495">
        <f>'9-A.Training Sub-Annex'!O12</f>
        <v>0</v>
      </c>
      <c r="P11" s="367"/>
      <c r="Q11" s="390"/>
      <c r="R11" s="1459">
        <f>'9-A.Training Sub-Annex'!R12</f>
        <v>0</v>
      </c>
      <c r="BB11" s="3218"/>
      <c r="BC11" s="3218"/>
      <c r="BD11" s="3218"/>
      <c r="BE11" s="3218"/>
      <c r="BF11" s="3218"/>
      <c r="BG11" s="3218"/>
      <c r="BH11" s="3218"/>
      <c r="BI11" s="3218"/>
      <c r="BJ11" s="3218"/>
      <c r="BK11" s="3218"/>
      <c r="BL11" s="3218"/>
      <c r="BM11" s="3218"/>
      <c r="BN11" s="3218"/>
      <c r="BO11" s="3218"/>
      <c r="BP11" s="3218"/>
      <c r="BQ11" s="3218"/>
      <c r="BR11" s="3218"/>
      <c r="BS11" s="3218"/>
      <c r="BT11" s="3218"/>
      <c r="BU11" s="3218"/>
      <c r="BV11" s="3218"/>
      <c r="BW11" s="3218"/>
      <c r="BX11" s="3218"/>
      <c r="BY11" s="3218"/>
      <c r="BZ11" s="3218"/>
      <c r="CA11" s="3218"/>
      <c r="CB11" s="3218"/>
      <c r="CC11" s="3218"/>
      <c r="CD11" s="3218"/>
      <c r="CE11" s="3218"/>
      <c r="CF11" s="3218"/>
      <c r="CG11" s="3218"/>
      <c r="CH11" s="3218"/>
      <c r="CI11" s="3225">
        <f t="shared" si="0"/>
        <v>0</v>
      </c>
    </row>
    <row r="12" spans="1:87">
      <c r="A12" s="1403" t="s">
        <v>747</v>
      </c>
      <c r="B12" s="959"/>
      <c r="C12" s="959" t="s">
        <v>3030</v>
      </c>
      <c r="D12" s="1460"/>
      <c r="E12" s="1460"/>
      <c r="F12" s="1461"/>
      <c r="G12" s="1461"/>
      <c r="H12" s="637"/>
      <c r="I12" s="637"/>
      <c r="J12" s="637"/>
      <c r="K12" s="637"/>
      <c r="L12" s="184"/>
      <c r="M12" s="1496"/>
      <c r="N12" s="184"/>
      <c r="O12" s="1497">
        <f>SUM(O13:O18)</f>
        <v>42.042299999999997</v>
      </c>
      <c r="P12" s="408"/>
      <c r="Q12" s="1463"/>
      <c r="R12" s="1462">
        <f>SUM(R13:R18)</f>
        <v>42.040000000000006</v>
      </c>
      <c r="BB12" s="3218"/>
      <c r="BC12" s="3218"/>
      <c r="BD12" s="3218"/>
      <c r="BE12" s="3218"/>
      <c r="BF12" s="3218"/>
      <c r="BG12" s="3218"/>
      <c r="BH12" s="3218"/>
      <c r="BI12" s="3218"/>
      <c r="BJ12" s="3218"/>
      <c r="BK12" s="3218"/>
      <c r="BL12" s="3218"/>
      <c r="BM12" s="3218"/>
      <c r="BN12" s="3218"/>
      <c r="BO12" s="3218"/>
      <c r="BP12" s="3218"/>
      <c r="BQ12" s="3218"/>
      <c r="BR12" s="3218"/>
      <c r="BS12" s="3218"/>
      <c r="BT12" s="3218"/>
      <c r="BU12" s="3218"/>
      <c r="BV12" s="3218"/>
      <c r="BW12" s="3218"/>
      <c r="BX12" s="3218"/>
      <c r="BY12" s="3218"/>
      <c r="BZ12" s="3218"/>
      <c r="CA12" s="3218"/>
      <c r="CB12" s="3218"/>
      <c r="CC12" s="3218"/>
      <c r="CD12" s="3218"/>
      <c r="CE12" s="3218"/>
      <c r="CF12" s="3218"/>
      <c r="CG12" s="3218"/>
      <c r="CH12" s="3218"/>
      <c r="CI12" s="3225">
        <f t="shared" si="0"/>
        <v>0</v>
      </c>
    </row>
    <row r="13" spans="1:87" ht="240">
      <c r="A13" s="473" t="s">
        <v>4766</v>
      </c>
      <c r="B13" s="508" t="s">
        <v>759</v>
      </c>
      <c r="C13" s="508" t="s">
        <v>760</v>
      </c>
      <c r="D13" s="908" t="s">
        <v>65</v>
      </c>
      <c r="E13" s="1120" t="s">
        <v>3768</v>
      </c>
      <c r="F13" s="1458"/>
      <c r="G13" s="1458"/>
      <c r="H13" s="276"/>
      <c r="I13" s="276"/>
      <c r="J13" s="276"/>
      <c r="K13" s="1421">
        <f>'9-A.Training Sub-Annex'!K17</f>
        <v>0</v>
      </c>
      <c r="L13" s="1421">
        <f>'9-A.Training Sub-Annex'!L17</f>
        <v>125082</v>
      </c>
      <c r="M13" s="553">
        <f>'9-A.Training Sub-Annex'!M17</f>
        <v>1.25082</v>
      </c>
      <c r="N13" s="1421">
        <f>'9-A.Training Sub-Annex'!N17</f>
        <v>15</v>
      </c>
      <c r="O13" s="553">
        <f>'9-A.Training Sub-Annex'!O17</f>
        <v>18.7623</v>
      </c>
      <c r="P13" s="1392">
        <f>'9-A.Training Sub-Annex'!P17</f>
        <v>0</v>
      </c>
      <c r="Q13" s="1392" t="str">
        <f>'9-A.Training Sub-Annex'!Q17</f>
        <v>Ongoing activity: Recommended for approval for 15 positions in 3 skill labs @ 5 positions in each skill lab at: 1) SIHFW Parimahal Shimla; 2) RHFWTC Chebb Kangra; &amp;3) SLBSGMC Nerchowk Mandi)Recommended for approval of 12 positions for 12 months in principle. Budget has been approved as lumpsum.Lump sum amount of Rs 1.49  lakhs is recommended for support staff for 12 months in principle, which may be outsourced, to the extent possible.Details provided in HR Annexure. Actual remuneration is to be calculated by the state based on principles mentioned in the HR annexure.</v>
      </c>
      <c r="R13" s="553">
        <f>'9-A.Training Sub-Annex'!R17</f>
        <v>18.760000000000002</v>
      </c>
      <c r="BB13" s="3218">
        <v>18.760000000000002</v>
      </c>
      <c r="BC13" s="3218"/>
      <c r="BD13" s="3218"/>
      <c r="BE13" s="3218"/>
      <c r="BF13" s="3218"/>
      <c r="BG13" s="3218"/>
      <c r="BH13" s="3218"/>
      <c r="BI13" s="3218"/>
      <c r="BJ13" s="3218"/>
      <c r="BK13" s="3218"/>
      <c r="BL13" s="3218"/>
      <c r="BM13" s="3218"/>
      <c r="BN13" s="3218"/>
      <c r="BO13" s="3218"/>
      <c r="BP13" s="3218"/>
      <c r="BQ13" s="3218"/>
      <c r="BR13" s="3218"/>
      <c r="BS13" s="3218"/>
      <c r="BT13" s="3218"/>
      <c r="BU13" s="3218"/>
      <c r="BV13" s="3218"/>
      <c r="BW13" s="3218"/>
      <c r="BX13" s="3218"/>
      <c r="BY13" s="3218"/>
      <c r="BZ13" s="3218"/>
      <c r="CA13" s="3218"/>
      <c r="CB13" s="3218"/>
      <c r="CC13" s="3218"/>
      <c r="CD13" s="3218"/>
      <c r="CE13" s="3218"/>
      <c r="CF13" s="3218"/>
      <c r="CG13" s="3218"/>
      <c r="CH13" s="3218"/>
      <c r="CI13" s="3225">
        <f t="shared" si="0"/>
        <v>18.760000000000002</v>
      </c>
    </row>
    <row r="14" spans="1:87" ht="30">
      <c r="A14" s="473" t="s">
        <v>4767</v>
      </c>
      <c r="B14" s="508" t="s">
        <v>3029</v>
      </c>
      <c r="C14" s="508" t="s">
        <v>4750</v>
      </c>
      <c r="D14" s="908" t="s">
        <v>65</v>
      </c>
      <c r="E14" s="1464" t="s">
        <v>5074</v>
      </c>
      <c r="F14" s="1458"/>
      <c r="G14" s="1458"/>
      <c r="H14" s="276"/>
      <c r="I14" s="276"/>
      <c r="J14" s="276"/>
      <c r="K14" s="1421">
        <f>'9-A.Training Sub-Annex'!K18</f>
        <v>0</v>
      </c>
      <c r="L14" s="1421">
        <f>'9-A.Training Sub-Annex'!L18</f>
        <v>0</v>
      </c>
      <c r="M14" s="553">
        <f>'9-A.Training Sub-Annex'!M18</f>
        <v>0</v>
      </c>
      <c r="N14" s="1421">
        <f>'9-A.Training Sub-Annex'!N18</f>
        <v>0</v>
      </c>
      <c r="O14" s="553">
        <f>'9-A.Training Sub-Annex'!O18</f>
        <v>0</v>
      </c>
      <c r="P14" s="1392">
        <f>'9-A.Training Sub-Annex'!P18</f>
        <v>0</v>
      </c>
      <c r="Q14" s="1392" t="str">
        <f>'9-A.Training Sub-Annex'!Q18</f>
        <v>--</v>
      </c>
      <c r="R14" s="553">
        <f>'9-A.Training Sub-Annex'!R18</f>
        <v>0</v>
      </c>
      <c r="BB14" s="3218"/>
      <c r="BC14" s="3218"/>
      <c r="BD14" s="3218"/>
      <c r="BE14" s="3218"/>
      <c r="BF14" s="3218"/>
      <c r="BG14" s="3218"/>
      <c r="BH14" s="3218"/>
      <c r="BI14" s="3218"/>
      <c r="BJ14" s="3218"/>
      <c r="BK14" s="3218"/>
      <c r="BL14" s="3218"/>
      <c r="BM14" s="3218"/>
      <c r="BN14" s="3218"/>
      <c r="BO14" s="3218"/>
      <c r="BP14" s="3218"/>
      <c r="BQ14" s="3218"/>
      <c r="BR14" s="3218"/>
      <c r="BS14" s="3218"/>
      <c r="BT14" s="3218"/>
      <c r="BU14" s="3218"/>
      <c r="BV14" s="3218"/>
      <c r="BW14" s="3218"/>
      <c r="BX14" s="3218"/>
      <c r="BY14" s="3218"/>
      <c r="BZ14" s="3218"/>
      <c r="CA14" s="3218"/>
      <c r="CB14" s="3218"/>
      <c r="CC14" s="3218"/>
      <c r="CD14" s="3218"/>
      <c r="CE14" s="3218"/>
      <c r="CF14" s="3218"/>
      <c r="CG14" s="3218"/>
      <c r="CH14" s="3218"/>
      <c r="CI14" s="3225">
        <f t="shared" si="0"/>
        <v>0</v>
      </c>
    </row>
    <row r="15" spans="1:87">
      <c r="A15" s="3133" t="s">
        <v>4768</v>
      </c>
      <c r="B15" s="586"/>
      <c r="C15" s="508" t="s">
        <v>3721</v>
      </c>
      <c r="D15" s="908" t="s">
        <v>65</v>
      </c>
      <c r="E15" s="1120" t="s">
        <v>3768</v>
      </c>
      <c r="F15" s="1458"/>
      <c r="G15" s="1458"/>
      <c r="H15" s="276"/>
      <c r="I15" s="276"/>
      <c r="J15" s="276"/>
      <c r="K15" s="1421">
        <f>'9-A.Training Sub-Annex'!K19</f>
        <v>0</v>
      </c>
      <c r="L15" s="1421">
        <f>'9-A.Training Sub-Annex'!L19</f>
        <v>0</v>
      </c>
      <c r="M15" s="553">
        <f>'9-A.Training Sub-Annex'!M19</f>
        <v>0</v>
      </c>
      <c r="N15" s="1421">
        <f>'9-A.Training Sub-Annex'!N19</f>
        <v>0</v>
      </c>
      <c r="O15" s="553">
        <f>'9-A.Training Sub-Annex'!O19</f>
        <v>0</v>
      </c>
      <c r="P15" s="1392">
        <f>'9-A.Training Sub-Annex'!P19</f>
        <v>0</v>
      </c>
      <c r="Q15" s="1392">
        <f>'9-A.Training Sub-Annex'!Q19</f>
        <v>0</v>
      </c>
      <c r="R15" s="553">
        <f>'9-A.Training Sub-Annex'!R19</f>
        <v>0</v>
      </c>
      <c r="BB15" s="3218"/>
      <c r="BC15" s="3218"/>
      <c r="BD15" s="3218"/>
      <c r="BE15" s="3218"/>
      <c r="BF15" s="3218"/>
      <c r="BG15" s="3218"/>
      <c r="BH15" s="3218"/>
      <c r="BI15" s="3218"/>
      <c r="BJ15" s="3218"/>
      <c r="BK15" s="3218"/>
      <c r="BL15" s="3218"/>
      <c r="BM15" s="3218"/>
      <c r="BN15" s="3218"/>
      <c r="BO15" s="3218"/>
      <c r="BP15" s="3218"/>
      <c r="BQ15" s="3218"/>
      <c r="BR15" s="3218"/>
      <c r="BS15" s="3218"/>
      <c r="BT15" s="3218"/>
      <c r="BU15" s="3218"/>
      <c r="BV15" s="3218"/>
      <c r="BW15" s="3218"/>
      <c r="BX15" s="3218"/>
      <c r="BY15" s="3218"/>
      <c r="BZ15" s="3218"/>
      <c r="CA15" s="3218"/>
      <c r="CB15" s="3218"/>
      <c r="CC15" s="3218"/>
      <c r="CD15" s="3218"/>
      <c r="CE15" s="3218"/>
      <c r="CF15" s="3218"/>
      <c r="CG15" s="3218"/>
      <c r="CH15" s="3218"/>
      <c r="CI15" s="3225">
        <f t="shared" si="0"/>
        <v>0</v>
      </c>
    </row>
    <row r="16" spans="1:87" ht="90">
      <c r="A16" s="473" t="s">
        <v>4769</v>
      </c>
      <c r="B16" s="958"/>
      <c r="C16" s="508" t="s">
        <v>1304</v>
      </c>
      <c r="D16" s="908" t="s">
        <v>65</v>
      </c>
      <c r="E16" s="1120" t="s">
        <v>3760</v>
      </c>
      <c r="F16" s="1458"/>
      <c r="G16" s="1458"/>
      <c r="H16" s="276"/>
      <c r="I16" s="276"/>
      <c r="J16" s="276"/>
      <c r="K16" s="1421">
        <f>'9-A.Training Sub-Annex'!K20</f>
        <v>0</v>
      </c>
      <c r="L16" s="1421">
        <f>'9-A.Training Sub-Annex'!L20</f>
        <v>388000</v>
      </c>
      <c r="M16" s="553">
        <f>'9-A.Training Sub-Annex'!M20</f>
        <v>3.88</v>
      </c>
      <c r="N16" s="1421">
        <f>'9-A.Training Sub-Annex'!N20</f>
        <v>6</v>
      </c>
      <c r="O16" s="553">
        <f>'9-A.Training Sub-Annex'!O20</f>
        <v>23.28</v>
      </c>
      <c r="P16" s="1392">
        <f>'9-A.Training Sub-Annex'!P20</f>
        <v>0</v>
      </c>
      <c r="Q16" s="1392" t="str">
        <f>'9-A.Training Sub-Annex'!Q20</f>
        <v>Recommended for approval of 6 positions for 12 months in principle. Budget has been approved as lumpsum. Details provided in HR Annexure. Actual remuneration is to be calculated by the state based on principles mentioned in the HR annexure.</v>
      </c>
      <c r="R16" s="553">
        <f>'9-A.Training Sub-Annex'!R20</f>
        <v>23.28</v>
      </c>
      <c r="BB16" s="3218"/>
      <c r="BC16" s="3218"/>
      <c r="BD16" s="3218"/>
      <c r="BE16" s="3218"/>
      <c r="BF16" s="3218"/>
      <c r="BG16" s="3218"/>
      <c r="BH16" s="3218"/>
      <c r="BI16" s="3218"/>
      <c r="BJ16" s="3218"/>
      <c r="BK16" s="3218"/>
      <c r="BL16" s="3218"/>
      <c r="BM16" s="3218"/>
      <c r="BN16" s="3218"/>
      <c r="BO16" s="3218"/>
      <c r="BP16" s="3218"/>
      <c r="BQ16" s="3218"/>
      <c r="BR16" s="3218"/>
      <c r="BS16" s="3218"/>
      <c r="BT16" s="3218"/>
      <c r="BU16" s="3218"/>
      <c r="BV16" s="3218"/>
      <c r="BW16" s="3218"/>
      <c r="BX16" s="3218"/>
      <c r="BY16" s="3218"/>
      <c r="BZ16" s="3218"/>
      <c r="CA16" s="3218"/>
      <c r="CB16" s="3218"/>
      <c r="CC16" s="3218"/>
      <c r="CD16" s="3218"/>
      <c r="CE16" s="3218"/>
      <c r="CF16" s="3218"/>
      <c r="CG16" s="3218"/>
      <c r="CH16" s="3218"/>
      <c r="CI16" s="3225">
        <f t="shared" si="0"/>
        <v>0</v>
      </c>
    </row>
    <row r="17" spans="1:87">
      <c r="A17" s="473" t="s">
        <v>4770</v>
      </c>
      <c r="B17" s="233"/>
      <c r="C17" s="1072" t="s">
        <v>3780</v>
      </c>
      <c r="D17" s="908" t="s">
        <v>65</v>
      </c>
      <c r="E17" s="1019" t="s">
        <v>3760</v>
      </c>
      <c r="F17" s="1458"/>
      <c r="G17" s="1458"/>
      <c r="H17" s="276"/>
      <c r="I17" s="276"/>
      <c r="J17" s="276"/>
      <c r="K17" s="1421">
        <f>'9-A.Training Sub-Annex'!K21</f>
        <v>0</v>
      </c>
      <c r="L17" s="1421">
        <f>'9-A.Training Sub-Annex'!L21</f>
        <v>0</v>
      </c>
      <c r="M17" s="553">
        <f>'9-A.Training Sub-Annex'!M21</f>
        <v>0</v>
      </c>
      <c r="N17" s="1421">
        <f>'9-A.Training Sub-Annex'!N21</f>
        <v>0</v>
      </c>
      <c r="O17" s="553">
        <f>'9-A.Training Sub-Annex'!O21</f>
        <v>0</v>
      </c>
      <c r="P17" s="1392">
        <f>'9-A.Training Sub-Annex'!P21</f>
        <v>0</v>
      </c>
      <c r="Q17" s="1392">
        <f>'9-A.Training Sub-Annex'!Q21</f>
        <v>0</v>
      </c>
      <c r="R17" s="553">
        <f>'9-A.Training Sub-Annex'!R21</f>
        <v>0</v>
      </c>
      <c r="BB17" s="3218"/>
      <c r="BC17" s="3218"/>
      <c r="BD17" s="3218"/>
      <c r="BE17" s="3218"/>
      <c r="BF17" s="3218"/>
      <c r="BG17" s="3218"/>
      <c r="BH17" s="3218"/>
      <c r="BI17" s="3218"/>
      <c r="BJ17" s="3218"/>
      <c r="BK17" s="3218"/>
      <c r="BL17" s="3218"/>
      <c r="BM17" s="3218"/>
      <c r="BN17" s="3218"/>
      <c r="BO17" s="3218"/>
      <c r="BP17" s="3218"/>
      <c r="BQ17" s="3218"/>
      <c r="BR17" s="3218"/>
      <c r="BS17" s="3218"/>
      <c r="BT17" s="3218"/>
      <c r="BU17" s="3218"/>
      <c r="BV17" s="3218"/>
      <c r="BW17" s="3218"/>
      <c r="BX17" s="3218"/>
      <c r="BY17" s="3218"/>
      <c r="BZ17" s="3218"/>
      <c r="CA17" s="3218"/>
      <c r="CB17" s="3218"/>
      <c r="CC17" s="3218"/>
      <c r="CD17" s="3218"/>
      <c r="CE17" s="3218"/>
      <c r="CF17" s="3218"/>
      <c r="CG17" s="3218"/>
      <c r="CH17" s="3218"/>
      <c r="CI17" s="3225">
        <f t="shared" si="0"/>
        <v>0</v>
      </c>
    </row>
    <row r="18" spans="1:87" ht="30">
      <c r="A18" s="473" t="s">
        <v>4771</v>
      </c>
      <c r="B18" s="233"/>
      <c r="C18" s="1072" t="s">
        <v>713</v>
      </c>
      <c r="D18" s="908" t="s">
        <v>65</v>
      </c>
      <c r="E18" s="1019" t="s">
        <v>3760</v>
      </c>
      <c r="F18" s="1458"/>
      <c r="G18" s="1458"/>
      <c r="H18" s="276"/>
      <c r="I18" s="276"/>
      <c r="J18" s="276"/>
      <c r="K18" s="1421">
        <f>'9-A.Training Sub-Annex'!K22</f>
        <v>0</v>
      </c>
      <c r="L18" s="1421">
        <f>'9-A.Training Sub-Annex'!L22</f>
        <v>0</v>
      </c>
      <c r="M18" s="553">
        <f>'9-A.Training Sub-Annex'!M22</f>
        <v>0</v>
      </c>
      <c r="N18" s="1421">
        <f>'9-A.Training Sub-Annex'!N22</f>
        <v>0</v>
      </c>
      <c r="O18" s="553">
        <f>'9-A.Training Sub-Annex'!O22</f>
        <v>0</v>
      </c>
      <c r="P18" s="1392">
        <f>'9-A.Training Sub-Annex'!P22</f>
        <v>0</v>
      </c>
      <c r="Q18" s="1392">
        <f>'9-A.Training Sub-Annex'!Q22</f>
        <v>0</v>
      </c>
      <c r="R18" s="553">
        <f>'9-A.Training Sub-Annex'!R22</f>
        <v>0</v>
      </c>
      <c r="BB18" s="3218"/>
      <c r="BC18" s="3218"/>
      <c r="BD18" s="3218"/>
      <c r="BE18" s="3218"/>
      <c r="BF18" s="3218"/>
      <c r="BG18" s="3218"/>
      <c r="BH18" s="3218"/>
      <c r="BI18" s="3218"/>
      <c r="BJ18" s="3218"/>
      <c r="BK18" s="3218"/>
      <c r="BL18" s="3218"/>
      <c r="BM18" s="3218"/>
      <c r="BN18" s="3218"/>
      <c r="BO18" s="3218"/>
      <c r="BP18" s="3218"/>
      <c r="BQ18" s="3218"/>
      <c r="BR18" s="3218"/>
      <c r="BS18" s="3218"/>
      <c r="BT18" s="3218"/>
      <c r="BU18" s="3218"/>
      <c r="BV18" s="3218"/>
      <c r="BW18" s="3218"/>
      <c r="BX18" s="3218"/>
      <c r="BY18" s="3218"/>
      <c r="BZ18" s="3218"/>
      <c r="CA18" s="3218"/>
      <c r="CB18" s="3218"/>
      <c r="CC18" s="3218"/>
      <c r="CD18" s="3218"/>
      <c r="CE18" s="3218"/>
      <c r="CF18" s="3218"/>
      <c r="CG18" s="3218"/>
      <c r="CH18" s="3218"/>
      <c r="CI18" s="3225">
        <f t="shared" si="0"/>
        <v>0</v>
      </c>
    </row>
    <row r="19" spans="1:87" ht="30">
      <c r="A19" s="1465">
        <v>9.1999999999999993</v>
      </c>
      <c r="B19" s="1290"/>
      <c r="C19" s="1290" t="s">
        <v>4751</v>
      </c>
      <c r="D19" s="1466"/>
      <c r="E19" s="1419"/>
      <c r="F19" s="1467"/>
      <c r="G19" s="1467"/>
      <c r="H19" s="638"/>
      <c r="I19" s="638"/>
      <c r="J19" s="638"/>
      <c r="K19" s="639"/>
      <c r="L19" s="623"/>
      <c r="M19" s="701"/>
      <c r="N19" s="623"/>
      <c r="O19" s="1498">
        <f>O20+O29+O46+O54</f>
        <v>1186.4273155999999</v>
      </c>
      <c r="P19" s="596"/>
      <c r="Q19" s="1468"/>
      <c r="R19" s="1453">
        <f>R20+R29+R46+R54</f>
        <v>1072.0961</v>
      </c>
      <c r="BB19" s="3218"/>
      <c r="BC19" s="3218"/>
      <c r="BD19" s="3218"/>
      <c r="BE19" s="3218"/>
      <c r="BF19" s="3218"/>
      <c r="BG19" s="3218"/>
      <c r="BH19" s="3218"/>
      <c r="BI19" s="3218"/>
      <c r="BJ19" s="3218"/>
      <c r="BK19" s="3218"/>
      <c r="BL19" s="3218"/>
      <c r="BM19" s="3218"/>
      <c r="BN19" s="3218"/>
      <c r="BO19" s="3218"/>
      <c r="BP19" s="3218"/>
      <c r="BQ19" s="3218"/>
      <c r="BR19" s="3218"/>
      <c r="BS19" s="3218"/>
      <c r="BT19" s="3218"/>
      <c r="BU19" s="3218"/>
      <c r="BV19" s="3218"/>
      <c r="BW19" s="3218"/>
      <c r="BX19" s="3218"/>
      <c r="BY19" s="3218"/>
      <c r="BZ19" s="3218"/>
      <c r="CA19" s="3218"/>
      <c r="CB19" s="3218"/>
      <c r="CC19" s="3218"/>
      <c r="CD19" s="3218"/>
      <c r="CE19" s="3218"/>
      <c r="CF19" s="3218"/>
      <c r="CG19" s="3218"/>
      <c r="CH19" s="3218"/>
      <c r="CI19" s="3225">
        <f t="shared" si="0"/>
        <v>0</v>
      </c>
    </row>
    <row r="20" spans="1:87">
      <c r="A20" s="1299" t="s">
        <v>758</v>
      </c>
      <c r="B20" s="1469"/>
      <c r="C20" s="1299" t="s">
        <v>4752</v>
      </c>
      <c r="D20" s="1295"/>
      <c r="E20" s="1295"/>
      <c r="F20" s="1297"/>
      <c r="G20" s="1297"/>
      <c r="H20" s="610"/>
      <c r="I20" s="610"/>
      <c r="J20" s="610"/>
      <c r="K20" s="610"/>
      <c r="L20" s="610"/>
      <c r="M20" s="1499"/>
      <c r="N20" s="645"/>
      <c r="O20" s="1499">
        <f>SUM(O21:O28)</f>
        <v>636.64734999999996</v>
      </c>
      <c r="P20" s="606"/>
      <c r="Q20" s="1299"/>
      <c r="R20" s="802">
        <f>SUM(R21:R28)</f>
        <v>633.16609999999991</v>
      </c>
      <c r="BB20" s="3218"/>
      <c r="BC20" s="3218"/>
      <c r="BD20" s="3218"/>
      <c r="BE20" s="3218"/>
      <c r="BF20" s="3218"/>
      <c r="BG20" s="3218"/>
      <c r="BH20" s="3218"/>
      <c r="BI20" s="3218"/>
      <c r="BJ20" s="3218"/>
      <c r="BK20" s="3218"/>
      <c r="BL20" s="3218"/>
      <c r="BM20" s="3218"/>
      <c r="BN20" s="3218"/>
      <c r="BO20" s="3218"/>
      <c r="BP20" s="3218"/>
      <c r="BQ20" s="3218"/>
      <c r="BR20" s="3218"/>
      <c r="BS20" s="3218"/>
      <c r="BT20" s="3218"/>
      <c r="BU20" s="3218"/>
      <c r="BV20" s="3218"/>
      <c r="BW20" s="3218"/>
      <c r="BX20" s="3218"/>
      <c r="BY20" s="3218"/>
      <c r="BZ20" s="3218"/>
      <c r="CA20" s="3218"/>
      <c r="CB20" s="3218"/>
      <c r="CC20" s="3218"/>
      <c r="CD20" s="3218"/>
      <c r="CE20" s="3218"/>
      <c r="CF20" s="3218"/>
      <c r="CG20" s="3218"/>
      <c r="CH20" s="3218"/>
      <c r="CI20" s="3225">
        <f t="shared" si="0"/>
        <v>0</v>
      </c>
    </row>
    <row r="21" spans="1:87" s="1380" customFormat="1">
      <c r="A21" s="473" t="s">
        <v>4772</v>
      </c>
      <c r="B21" s="586"/>
      <c r="C21" s="1470" t="s">
        <v>762</v>
      </c>
      <c r="D21" s="1454" t="s">
        <v>85</v>
      </c>
      <c r="E21" s="1185" t="s">
        <v>113</v>
      </c>
      <c r="F21" s="1471"/>
      <c r="G21" s="1471"/>
      <c r="H21" s="421"/>
      <c r="I21" s="421"/>
      <c r="J21" s="421"/>
      <c r="K21" s="421"/>
      <c r="L21" s="283"/>
      <c r="M21" s="801"/>
      <c r="N21" s="283"/>
      <c r="O21" s="1493">
        <f>'9-A.Training Sub-Annex'!O25</f>
        <v>187.45150000000001</v>
      </c>
      <c r="P21" s="422"/>
      <c r="Q21" s="391"/>
      <c r="R21" s="1456">
        <f>'9-A.Training Sub-Annex'!R25</f>
        <v>187.45149999999998</v>
      </c>
      <c r="BB21" s="3219"/>
      <c r="BC21" s="3219"/>
      <c r="BD21" s="3219"/>
      <c r="BE21" s="3219"/>
      <c r="BF21" s="3219"/>
      <c r="BG21" s="3219"/>
      <c r="BH21" s="3219"/>
      <c r="BI21" s="3219"/>
      <c r="BJ21" s="3219"/>
      <c r="BK21" s="3219"/>
      <c r="BL21" s="3219"/>
      <c r="BM21" s="3219"/>
      <c r="BN21" s="3219"/>
      <c r="BO21" s="3219"/>
      <c r="BP21" s="3219"/>
      <c r="BQ21" s="3219"/>
      <c r="BR21" s="3219"/>
      <c r="BS21" s="3219"/>
      <c r="BT21" s="3219"/>
      <c r="BU21" s="3219"/>
      <c r="BV21" s="3219"/>
      <c r="BW21" s="3219"/>
      <c r="BX21" s="3219"/>
      <c r="BY21" s="3219"/>
      <c r="BZ21" s="3219"/>
      <c r="CA21" s="3219"/>
      <c r="CB21" s="3219"/>
      <c r="CC21" s="3219"/>
      <c r="CD21" s="3219"/>
      <c r="CE21" s="3219"/>
      <c r="CF21" s="3219"/>
      <c r="CG21" s="3219"/>
      <c r="CH21" s="3219"/>
      <c r="CI21" s="3225">
        <f t="shared" si="0"/>
        <v>0</v>
      </c>
    </row>
    <row r="22" spans="1:87" s="1380" customFormat="1">
      <c r="A22" s="473" t="s">
        <v>4773</v>
      </c>
      <c r="B22" s="586"/>
      <c r="C22" s="586" t="s">
        <v>822</v>
      </c>
      <c r="D22" s="1454" t="s">
        <v>85</v>
      </c>
      <c r="E22" s="1185" t="s">
        <v>126</v>
      </c>
      <c r="F22" s="1471"/>
      <c r="G22" s="1471"/>
      <c r="H22" s="421"/>
      <c r="I22" s="421"/>
      <c r="J22" s="421"/>
      <c r="K22" s="421"/>
      <c r="L22" s="283"/>
      <c r="M22" s="801"/>
      <c r="N22" s="283"/>
      <c r="O22" s="1493">
        <f>'9-A.Training Sub-Annex'!O54</f>
        <v>65.600000000000009</v>
      </c>
      <c r="P22" s="422"/>
      <c r="Q22" s="391"/>
      <c r="R22" s="1456">
        <f>'9-A.Training Sub-Annex'!R54</f>
        <v>65.600000000000009</v>
      </c>
      <c r="BB22" s="3219"/>
      <c r="BC22" s="3219"/>
      <c r="BD22" s="3219"/>
      <c r="BE22" s="3219"/>
      <c r="BF22" s="3219"/>
      <c r="BG22" s="3219"/>
      <c r="BH22" s="3219"/>
      <c r="BI22" s="3219"/>
      <c r="BJ22" s="3219"/>
      <c r="BK22" s="3219"/>
      <c r="BL22" s="3219"/>
      <c r="BM22" s="3219"/>
      <c r="BN22" s="3219"/>
      <c r="BO22" s="3219"/>
      <c r="BP22" s="3219"/>
      <c r="BQ22" s="3219"/>
      <c r="BR22" s="3219"/>
      <c r="BS22" s="3219"/>
      <c r="BT22" s="3219"/>
      <c r="BU22" s="3219"/>
      <c r="BV22" s="3219"/>
      <c r="BW22" s="3219"/>
      <c r="BX22" s="3219"/>
      <c r="BY22" s="3219"/>
      <c r="BZ22" s="3219"/>
      <c r="CA22" s="3219"/>
      <c r="CB22" s="3219"/>
      <c r="CC22" s="3219"/>
      <c r="CD22" s="3219"/>
      <c r="CE22" s="3219"/>
      <c r="CF22" s="3219"/>
      <c r="CG22" s="3219"/>
      <c r="CH22" s="3219"/>
      <c r="CI22" s="3225">
        <f t="shared" si="0"/>
        <v>0</v>
      </c>
    </row>
    <row r="23" spans="1:87" s="1380" customFormat="1">
      <c r="A23" s="473" t="s">
        <v>4774</v>
      </c>
      <c r="B23" s="586"/>
      <c r="C23" s="586" t="s">
        <v>877</v>
      </c>
      <c r="D23" s="1454" t="s">
        <v>85</v>
      </c>
      <c r="E23" s="1185" t="s">
        <v>86</v>
      </c>
      <c r="F23" s="1471"/>
      <c r="G23" s="1471"/>
      <c r="H23" s="421"/>
      <c r="I23" s="421"/>
      <c r="J23" s="421"/>
      <c r="K23" s="421"/>
      <c r="L23" s="421"/>
      <c r="M23" s="1493"/>
      <c r="N23" s="644"/>
      <c r="O23" s="1493">
        <f>'9-A.Training Sub-Annex'!O81</f>
        <v>7.5992499999999996</v>
      </c>
      <c r="P23" s="422"/>
      <c r="Q23" s="391"/>
      <c r="R23" s="1456">
        <f>'9-A.Training Sub-Annex'!R81</f>
        <v>4.12</v>
      </c>
      <c r="BB23" s="3219"/>
      <c r="BC23" s="3219"/>
      <c r="BD23" s="3219"/>
      <c r="BE23" s="3219"/>
      <c r="BF23" s="3219"/>
      <c r="BG23" s="3219"/>
      <c r="BH23" s="3219"/>
      <c r="BI23" s="3219"/>
      <c r="BJ23" s="3219"/>
      <c r="BK23" s="3219"/>
      <c r="BL23" s="3219"/>
      <c r="BM23" s="3219"/>
      <c r="BN23" s="3219"/>
      <c r="BO23" s="3219"/>
      <c r="BP23" s="3219"/>
      <c r="BQ23" s="3219"/>
      <c r="BR23" s="3219"/>
      <c r="BS23" s="3219"/>
      <c r="BT23" s="3219"/>
      <c r="BU23" s="3219"/>
      <c r="BV23" s="3219"/>
      <c r="BW23" s="3219"/>
      <c r="BX23" s="3219"/>
      <c r="BY23" s="3219"/>
      <c r="BZ23" s="3219"/>
      <c r="CA23" s="3219"/>
      <c r="CB23" s="3219"/>
      <c r="CC23" s="3219"/>
      <c r="CD23" s="3219"/>
      <c r="CE23" s="3219"/>
      <c r="CF23" s="3219"/>
      <c r="CG23" s="3219"/>
      <c r="CH23" s="3219"/>
      <c r="CI23" s="3225">
        <f t="shared" si="0"/>
        <v>0</v>
      </c>
    </row>
    <row r="24" spans="1:87" s="1380" customFormat="1">
      <c r="A24" s="473" t="s">
        <v>4775</v>
      </c>
      <c r="B24" s="586"/>
      <c r="C24" s="586" t="s">
        <v>949</v>
      </c>
      <c r="D24" s="1454" t="s">
        <v>85</v>
      </c>
      <c r="E24" s="1185" t="s">
        <v>188</v>
      </c>
      <c r="F24" s="1471"/>
      <c r="G24" s="1471"/>
      <c r="H24" s="421"/>
      <c r="I24" s="421"/>
      <c r="J24" s="421"/>
      <c r="K24" s="421"/>
      <c r="L24" s="283"/>
      <c r="M24" s="801"/>
      <c r="N24" s="283"/>
      <c r="O24" s="1493">
        <f>'9-A.Training Sub-Annex'!O110</f>
        <v>286.19659999999999</v>
      </c>
      <c r="P24" s="422"/>
      <c r="Q24" s="391"/>
      <c r="R24" s="1456">
        <f>'9-A.Training Sub-Annex'!R110</f>
        <v>286.19460000000004</v>
      </c>
      <c r="BB24" s="3219"/>
      <c r="BC24" s="3219"/>
      <c r="BD24" s="3219"/>
      <c r="BE24" s="3219"/>
      <c r="BF24" s="3219"/>
      <c r="BG24" s="3219"/>
      <c r="BH24" s="3219"/>
      <c r="BI24" s="3219"/>
      <c r="BJ24" s="3219"/>
      <c r="BK24" s="3219"/>
      <c r="BL24" s="3219"/>
      <c r="BM24" s="3219"/>
      <c r="BN24" s="3219"/>
      <c r="BO24" s="3219"/>
      <c r="BP24" s="3219"/>
      <c r="BQ24" s="3219"/>
      <c r="BR24" s="3219"/>
      <c r="BS24" s="3219"/>
      <c r="BT24" s="3219"/>
      <c r="BU24" s="3219"/>
      <c r="BV24" s="3219"/>
      <c r="BW24" s="3219"/>
      <c r="BX24" s="3219"/>
      <c r="BY24" s="3219"/>
      <c r="BZ24" s="3219"/>
      <c r="CA24" s="3219"/>
      <c r="CB24" s="3219"/>
      <c r="CC24" s="3219"/>
      <c r="CD24" s="3219"/>
      <c r="CE24" s="3219"/>
      <c r="CF24" s="3219"/>
      <c r="CG24" s="3219"/>
      <c r="CH24" s="3219"/>
      <c r="CI24" s="3225">
        <f t="shared" si="0"/>
        <v>0</v>
      </c>
    </row>
    <row r="25" spans="1:87" s="1380" customFormat="1">
      <c r="A25" s="473" t="s">
        <v>4776</v>
      </c>
      <c r="B25" s="586"/>
      <c r="C25" s="586" t="s">
        <v>2492</v>
      </c>
      <c r="D25" s="1454" t="s">
        <v>85</v>
      </c>
      <c r="E25" s="1185" t="s">
        <v>91</v>
      </c>
      <c r="F25" s="1471"/>
      <c r="G25" s="1471"/>
      <c r="H25" s="421"/>
      <c r="I25" s="421"/>
      <c r="J25" s="421"/>
      <c r="K25" s="421"/>
      <c r="L25" s="283"/>
      <c r="M25" s="801"/>
      <c r="N25" s="283"/>
      <c r="O25" s="1493">
        <f>'9-A.Training Sub-Annex'!O128</f>
        <v>14.8</v>
      </c>
      <c r="P25" s="422"/>
      <c r="Q25" s="391"/>
      <c r="R25" s="1456">
        <f>'9-A.Training Sub-Annex'!R128</f>
        <v>14.8</v>
      </c>
      <c r="BB25" s="3219"/>
      <c r="BC25" s="3219"/>
      <c r="BD25" s="3219"/>
      <c r="BE25" s="3219"/>
      <c r="BF25" s="3219"/>
      <c r="BG25" s="3219"/>
      <c r="BH25" s="3219"/>
      <c r="BI25" s="3219"/>
      <c r="BJ25" s="3219"/>
      <c r="BK25" s="3219"/>
      <c r="BL25" s="3219"/>
      <c r="BM25" s="3219"/>
      <c r="BN25" s="3219"/>
      <c r="BO25" s="3219"/>
      <c r="BP25" s="3219"/>
      <c r="BQ25" s="3219"/>
      <c r="BR25" s="3219"/>
      <c r="BS25" s="3219"/>
      <c r="BT25" s="3219"/>
      <c r="BU25" s="3219"/>
      <c r="BV25" s="3219"/>
      <c r="BW25" s="3219"/>
      <c r="BX25" s="3219"/>
      <c r="BY25" s="3219"/>
      <c r="BZ25" s="3219"/>
      <c r="CA25" s="3219"/>
      <c r="CB25" s="3219"/>
      <c r="CC25" s="3219"/>
      <c r="CD25" s="3219"/>
      <c r="CE25" s="3219"/>
      <c r="CF25" s="3219"/>
      <c r="CG25" s="3219"/>
      <c r="CH25" s="3219"/>
      <c r="CI25" s="3225">
        <f t="shared" si="0"/>
        <v>0</v>
      </c>
    </row>
    <row r="26" spans="1:87" s="1380" customFormat="1">
      <c r="A26" s="473" t="s">
        <v>4777</v>
      </c>
      <c r="B26" s="586"/>
      <c r="C26" s="586" t="s">
        <v>1125</v>
      </c>
      <c r="D26" s="1454" t="s">
        <v>85</v>
      </c>
      <c r="E26" s="1185" t="s">
        <v>3933</v>
      </c>
      <c r="F26" s="1471"/>
      <c r="G26" s="1471"/>
      <c r="H26" s="421"/>
      <c r="I26" s="421"/>
      <c r="J26" s="421"/>
      <c r="K26" s="421"/>
      <c r="L26" s="283"/>
      <c r="M26" s="801"/>
      <c r="N26" s="283"/>
      <c r="O26" s="1493">
        <f>'9-A.Training Sub-Annex'!O134</f>
        <v>0</v>
      </c>
      <c r="P26" s="422"/>
      <c r="Q26" s="391"/>
      <c r="R26" s="1456">
        <f>'9-A.Training Sub-Annex'!R134</f>
        <v>0</v>
      </c>
      <c r="BB26" s="3219"/>
      <c r="BC26" s="3219"/>
      <c r="BD26" s="3219"/>
      <c r="BE26" s="3219"/>
      <c r="BF26" s="3219"/>
      <c r="BG26" s="3219"/>
      <c r="BH26" s="3219"/>
      <c r="BI26" s="3219"/>
      <c r="BJ26" s="3219"/>
      <c r="BK26" s="3219"/>
      <c r="BL26" s="3219"/>
      <c r="BM26" s="3219"/>
      <c r="BN26" s="3219"/>
      <c r="BO26" s="3219"/>
      <c r="BP26" s="3219"/>
      <c r="BQ26" s="3219"/>
      <c r="BR26" s="3219"/>
      <c r="BS26" s="3219"/>
      <c r="BT26" s="3219"/>
      <c r="BU26" s="3219"/>
      <c r="BV26" s="3219"/>
      <c r="BW26" s="3219"/>
      <c r="BX26" s="3219"/>
      <c r="BY26" s="3219"/>
      <c r="BZ26" s="3219"/>
      <c r="CA26" s="3219"/>
      <c r="CB26" s="3219"/>
      <c r="CC26" s="3219"/>
      <c r="CD26" s="3219"/>
      <c r="CE26" s="3219"/>
      <c r="CF26" s="3219"/>
      <c r="CG26" s="3219"/>
      <c r="CH26" s="3219"/>
      <c r="CI26" s="3225">
        <f t="shared" si="0"/>
        <v>0</v>
      </c>
    </row>
    <row r="27" spans="1:87" s="1380" customFormat="1">
      <c r="A27" s="473" t="s">
        <v>4778</v>
      </c>
      <c r="B27" s="1080"/>
      <c r="C27" s="1080" t="s">
        <v>1030</v>
      </c>
      <c r="D27" s="1454" t="s">
        <v>85</v>
      </c>
      <c r="E27" s="1019" t="s">
        <v>200</v>
      </c>
      <c r="F27" s="1179"/>
      <c r="G27" s="1179"/>
      <c r="H27" s="235"/>
      <c r="I27" s="235"/>
      <c r="J27" s="235"/>
      <c r="K27" s="235"/>
      <c r="L27" s="235"/>
      <c r="M27" s="1493"/>
      <c r="N27" s="640"/>
      <c r="O27" s="1493">
        <f>'9-A.Training Sub-Annex'!O139</f>
        <v>75</v>
      </c>
      <c r="P27" s="236"/>
      <c r="Q27" s="233"/>
      <c r="R27" s="1456">
        <f>'9-A.Training Sub-Annex'!R139</f>
        <v>75</v>
      </c>
      <c r="BB27" s="3219"/>
      <c r="BC27" s="3219"/>
      <c r="BD27" s="3219"/>
      <c r="BE27" s="3219"/>
      <c r="BF27" s="3219"/>
      <c r="BG27" s="3219"/>
      <c r="BH27" s="3219"/>
      <c r="BI27" s="3219"/>
      <c r="BJ27" s="3219"/>
      <c r="BK27" s="3219"/>
      <c r="BL27" s="3219"/>
      <c r="BM27" s="3219"/>
      <c r="BN27" s="3219"/>
      <c r="BO27" s="3219"/>
      <c r="BP27" s="3219"/>
      <c r="BQ27" s="3219"/>
      <c r="BR27" s="3219"/>
      <c r="BS27" s="3219"/>
      <c r="BT27" s="3219"/>
      <c r="BU27" s="3219"/>
      <c r="BV27" s="3219"/>
      <c r="BW27" s="3219"/>
      <c r="BX27" s="3219"/>
      <c r="BY27" s="3219"/>
      <c r="BZ27" s="3219"/>
      <c r="CA27" s="3219"/>
      <c r="CB27" s="3219"/>
      <c r="CC27" s="3219"/>
      <c r="CD27" s="3219"/>
      <c r="CE27" s="3219"/>
      <c r="CF27" s="3219"/>
      <c r="CG27" s="3219"/>
      <c r="CH27" s="3219"/>
      <c r="CI27" s="3225">
        <f t="shared" si="0"/>
        <v>0</v>
      </c>
    </row>
    <row r="28" spans="1:87" s="1380" customFormat="1" ht="30">
      <c r="A28" s="473" t="s">
        <v>4779</v>
      </c>
      <c r="B28" s="586"/>
      <c r="C28" s="586" t="s">
        <v>4780</v>
      </c>
      <c r="D28" s="1454" t="s">
        <v>85</v>
      </c>
      <c r="E28" s="1185" t="s">
        <v>85</v>
      </c>
      <c r="F28" s="1192"/>
      <c r="G28" s="1193"/>
      <c r="H28" s="413"/>
      <c r="I28" s="413"/>
      <c r="J28" s="285"/>
      <c r="K28" s="285"/>
      <c r="L28" s="283"/>
      <c r="M28" s="801"/>
      <c r="N28" s="283"/>
      <c r="O28" s="1493">
        <f>'9-A.Training Sub-Annex'!O142</f>
        <v>0</v>
      </c>
      <c r="P28" s="179"/>
      <c r="Q28" s="391"/>
      <c r="R28" s="1456">
        <f>'9-A.Training Sub-Annex'!R142</f>
        <v>0</v>
      </c>
      <c r="BB28" s="3219"/>
      <c r="BC28" s="3219"/>
      <c r="BD28" s="3219"/>
      <c r="BE28" s="3219"/>
      <c r="BF28" s="3219"/>
      <c r="BG28" s="3219"/>
      <c r="BH28" s="3219"/>
      <c r="BI28" s="3219"/>
      <c r="BJ28" s="3219"/>
      <c r="BK28" s="3219"/>
      <c r="BL28" s="3219"/>
      <c r="BM28" s="3219"/>
      <c r="BN28" s="3219"/>
      <c r="BO28" s="3219"/>
      <c r="BP28" s="3219"/>
      <c r="BQ28" s="3219"/>
      <c r="BR28" s="3219"/>
      <c r="BS28" s="3219"/>
      <c r="BT28" s="3219"/>
      <c r="BU28" s="3219"/>
      <c r="BV28" s="3219"/>
      <c r="BW28" s="3219"/>
      <c r="BX28" s="3219"/>
      <c r="BY28" s="3219"/>
      <c r="BZ28" s="3219"/>
      <c r="CA28" s="3219"/>
      <c r="CB28" s="3219"/>
      <c r="CC28" s="3219"/>
      <c r="CD28" s="3219"/>
      <c r="CE28" s="3219"/>
      <c r="CF28" s="3219"/>
      <c r="CG28" s="3219"/>
      <c r="CH28" s="3219"/>
      <c r="CI28" s="3225">
        <f t="shared" si="0"/>
        <v>0</v>
      </c>
    </row>
    <row r="29" spans="1:87" s="1101" customFormat="1">
      <c r="A29" s="1299" t="s">
        <v>2323</v>
      </c>
      <c r="B29" s="1473"/>
      <c r="C29" s="1474" t="s">
        <v>4755</v>
      </c>
      <c r="D29" s="1475"/>
      <c r="E29" s="1476"/>
      <c r="F29" s="1477"/>
      <c r="G29" s="1478"/>
      <c r="H29" s="647"/>
      <c r="I29" s="647"/>
      <c r="J29" s="646"/>
      <c r="K29" s="646"/>
      <c r="L29" s="636"/>
      <c r="M29" s="1499"/>
      <c r="N29" s="636"/>
      <c r="O29" s="1499">
        <f>SUM(O30:O45)</f>
        <v>434.8050356</v>
      </c>
      <c r="P29" s="648"/>
      <c r="Q29" s="1479"/>
      <c r="R29" s="802">
        <f>SUM(R30:R45)</f>
        <v>323.95</v>
      </c>
      <c r="BB29" s="3225"/>
      <c r="BC29" s="3225"/>
      <c r="BD29" s="3225"/>
      <c r="BE29" s="3225"/>
      <c r="BF29" s="3225"/>
      <c r="BG29" s="3225"/>
      <c r="BH29" s="3225"/>
      <c r="BI29" s="3225"/>
      <c r="BJ29" s="3225"/>
      <c r="BK29" s="3225"/>
      <c r="BL29" s="3225"/>
      <c r="BM29" s="3225"/>
      <c r="BN29" s="3225"/>
      <c r="BO29" s="3225"/>
      <c r="BP29" s="3225"/>
      <c r="BQ29" s="3225"/>
      <c r="BR29" s="3225"/>
      <c r="BS29" s="3225"/>
      <c r="BT29" s="3225"/>
      <c r="BU29" s="3225"/>
      <c r="BV29" s="3225"/>
      <c r="BW29" s="3225"/>
      <c r="BX29" s="3225"/>
      <c r="BY29" s="3225"/>
      <c r="BZ29" s="3225"/>
      <c r="CA29" s="3225"/>
      <c r="CB29" s="3225"/>
      <c r="CC29" s="3225"/>
      <c r="CD29" s="3225"/>
      <c r="CE29" s="3225"/>
      <c r="CF29" s="3225"/>
      <c r="CG29" s="3225"/>
      <c r="CH29" s="3225"/>
      <c r="CI29" s="3225">
        <f t="shared" si="0"/>
        <v>0</v>
      </c>
    </row>
    <row r="30" spans="1:87" s="1101" customFormat="1">
      <c r="A30" s="473" t="s">
        <v>4781</v>
      </c>
      <c r="B30" s="958"/>
      <c r="C30" s="586" t="s">
        <v>2495</v>
      </c>
      <c r="D30" s="908" t="s">
        <v>65</v>
      </c>
      <c r="E30" s="1120" t="s">
        <v>2081</v>
      </c>
      <c r="F30" s="1480"/>
      <c r="G30" s="1480"/>
      <c r="H30" s="273"/>
      <c r="I30" s="273"/>
      <c r="J30" s="273"/>
      <c r="K30" s="273"/>
      <c r="L30" s="283"/>
      <c r="M30" s="801"/>
      <c r="N30" s="283"/>
      <c r="O30" s="1493">
        <f>'9-A.Training Sub-Annex'!O146</f>
        <v>1.8</v>
      </c>
      <c r="P30" s="399"/>
      <c r="Q30" s="863"/>
      <c r="R30" s="1456">
        <f>'9-A.Training Sub-Annex'!R146</f>
        <v>1.8</v>
      </c>
      <c r="S30" s="1457"/>
      <c r="T30" s="1457"/>
      <c r="U30" s="1457"/>
      <c r="V30" s="1457"/>
      <c r="W30" s="1457"/>
      <c r="BB30" s="3225"/>
      <c r="BC30" s="3225"/>
      <c r="BD30" s="3225"/>
      <c r="BE30" s="3225"/>
      <c r="BF30" s="3225"/>
      <c r="BG30" s="3225"/>
      <c r="BH30" s="3225"/>
      <c r="BI30" s="3225"/>
      <c r="BJ30" s="3225"/>
      <c r="BK30" s="3225"/>
      <c r="BL30" s="3225"/>
      <c r="BM30" s="3225"/>
      <c r="BN30" s="3225"/>
      <c r="BO30" s="3225"/>
      <c r="BP30" s="3225"/>
      <c r="BQ30" s="3225"/>
      <c r="BR30" s="3225"/>
      <c r="BS30" s="3225"/>
      <c r="BT30" s="3225"/>
      <c r="BU30" s="3225"/>
      <c r="BV30" s="3225"/>
      <c r="BW30" s="3225"/>
      <c r="BX30" s="3225"/>
      <c r="BY30" s="3225"/>
      <c r="BZ30" s="3225"/>
      <c r="CA30" s="3225"/>
      <c r="CB30" s="3225"/>
      <c r="CC30" s="3225"/>
      <c r="CD30" s="3225"/>
      <c r="CE30" s="3225"/>
      <c r="CF30" s="3225"/>
      <c r="CG30" s="3225"/>
      <c r="CH30" s="3225"/>
      <c r="CI30" s="3225">
        <f t="shared" si="0"/>
        <v>0</v>
      </c>
    </row>
    <row r="31" spans="1:87">
      <c r="A31" s="473" t="s">
        <v>4782</v>
      </c>
      <c r="B31" s="233"/>
      <c r="C31" s="1080" t="s">
        <v>1115</v>
      </c>
      <c r="D31" s="908" t="s">
        <v>65</v>
      </c>
      <c r="E31" s="1019" t="s">
        <v>4797</v>
      </c>
      <c r="F31" s="1481"/>
      <c r="G31" s="1481"/>
      <c r="H31" s="289"/>
      <c r="I31" s="289"/>
      <c r="J31" s="289"/>
      <c r="K31" s="289"/>
      <c r="L31" s="634"/>
      <c r="M31" s="801"/>
      <c r="N31" s="635"/>
      <c r="O31" s="801">
        <f>'9-A.Training Sub-Annex'!O150</f>
        <v>110</v>
      </c>
      <c r="P31" s="289"/>
      <c r="Q31" s="233"/>
      <c r="R31" s="298">
        <f>'9-A.Training Sub-Annex'!R150</f>
        <v>10</v>
      </c>
      <c r="S31" s="1380"/>
      <c r="T31" s="1380"/>
      <c r="U31" s="1380"/>
      <c r="V31" s="1380"/>
      <c r="W31" s="1380"/>
      <c r="BB31" s="3218"/>
      <c r="BC31" s="3218"/>
      <c r="BD31" s="3218"/>
      <c r="BE31" s="3218"/>
      <c r="BF31" s="3218"/>
      <c r="BG31" s="3218"/>
      <c r="BH31" s="3218"/>
      <c r="BI31" s="3218"/>
      <c r="BJ31" s="3218"/>
      <c r="BK31" s="3218"/>
      <c r="BL31" s="3218"/>
      <c r="BM31" s="3218"/>
      <c r="BN31" s="3218"/>
      <c r="BO31" s="3218"/>
      <c r="BP31" s="3218"/>
      <c r="BQ31" s="3218"/>
      <c r="BR31" s="3218"/>
      <c r="BS31" s="3218"/>
      <c r="BT31" s="3218"/>
      <c r="BU31" s="3218"/>
      <c r="BV31" s="3218"/>
      <c r="BW31" s="3218"/>
      <c r="BX31" s="3218"/>
      <c r="BY31" s="3218"/>
      <c r="BZ31" s="3218"/>
      <c r="CA31" s="3218"/>
      <c r="CB31" s="3218"/>
      <c r="CC31" s="3218"/>
      <c r="CD31" s="3218"/>
      <c r="CE31" s="3218"/>
      <c r="CF31" s="3218"/>
      <c r="CG31" s="3218"/>
      <c r="CH31" s="3218"/>
      <c r="CI31" s="3225">
        <f t="shared" si="0"/>
        <v>0</v>
      </c>
    </row>
    <row r="32" spans="1:87">
      <c r="A32" s="473" t="s">
        <v>4783</v>
      </c>
      <c r="B32" s="233"/>
      <c r="C32" s="1080" t="s">
        <v>2518</v>
      </c>
      <c r="D32" s="908" t="s">
        <v>65</v>
      </c>
      <c r="E32" s="1019" t="s">
        <v>4723</v>
      </c>
      <c r="F32" s="1481"/>
      <c r="G32" s="1481"/>
      <c r="H32" s="289"/>
      <c r="I32" s="289"/>
      <c r="J32" s="289"/>
      <c r="K32" s="289"/>
      <c r="L32" s="634"/>
      <c r="M32" s="801"/>
      <c r="N32" s="635"/>
      <c r="O32" s="801">
        <f>'9-A.Training Sub-Annex'!O163</f>
        <v>0</v>
      </c>
      <c r="P32" s="289"/>
      <c r="Q32" s="233"/>
      <c r="R32" s="298">
        <f>'9-A.Training Sub-Annex'!R163</f>
        <v>0</v>
      </c>
      <c r="S32" s="1380"/>
      <c r="T32" s="1380"/>
      <c r="U32" s="1380"/>
      <c r="V32" s="1380"/>
      <c r="W32" s="1380"/>
      <c r="BB32" s="3218"/>
      <c r="BC32" s="3218"/>
      <c r="BD32" s="3218"/>
      <c r="BE32" s="3218"/>
      <c r="BF32" s="3218"/>
      <c r="BG32" s="3218"/>
      <c r="BH32" s="3218"/>
      <c r="BI32" s="3218"/>
      <c r="BJ32" s="3218"/>
      <c r="BK32" s="3218"/>
      <c r="BL32" s="3218"/>
      <c r="BM32" s="3218"/>
      <c r="BN32" s="3218"/>
      <c r="BO32" s="3218"/>
      <c r="BP32" s="3218"/>
      <c r="BQ32" s="3218"/>
      <c r="BR32" s="3218"/>
      <c r="BS32" s="3218"/>
      <c r="BT32" s="3218"/>
      <c r="BU32" s="3218"/>
      <c r="BV32" s="3218"/>
      <c r="BW32" s="3218"/>
      <c r="BX32" s="3218"/>
      <c r="BY32" s="3218"/>
      <c r="BZ32" s="3218"/>
      <c r="CA32" s="3218"/>
      <c r="CB32" s="3218"/>
      <c r="CC32" s="3218"/>
      <c r="CD32" s="3218"/>
      <c r="CE32" s="3218"/>
      <c r="CF32" s="3218"/>
      <c r="CG32" s="3218"/>
      <c r="CH32" s="3218"/>
      <c r="CI32" s="3225">
        <f t="shared" si="0"/>
        <v>0</v>
      </c>
    </row>
    <row r="33" spans="1:87" s="1101" customFormat="1">
      <c r="A33" s="473" t="s">
        <v>4784</v>
      </c>
      <c r="B33" s="1080"/>
      <c r="C33" s="1080" t="s">
        <v>4820</v>
      </c>
      <c r="D33" s="908" t="s">
        <v>65</v>
      </c>
      <c r="E33" s="1019" t="s">
        <v>4798</v>
      </c>
      <c r="F33" s="1179"/>
      <c r="G33" s="1179"/>
      <c r="H33" s="235"/>
      <c r="I33" s="235"/>
      <c r="J33" s="235"/>
      <c r="K33" s="235"/>
      <c r="L33" s="235"/>
      <c r="M33" s="811"/>
      <c r="N33" s="640"/>
      <c r="O33" s="801">
        <f>'9-A.Training Sub-Annex'!O169</f>
        <v>0</v>
      </c>
      <c r="P33" s="236"/>
      <c r="Q33" s="233"/>
      <c r="R33" s="298">
        <f>'9-A.Training Sub-Annex'!R169</f>
        <v>0</v>
      </c>
      <c r="S33" s="1457"/>
      <c r="T33" s="1457"/>
      <c r="U33" s="1457"/>
      <c r="V33" s="1457"/>
      <c r="W33" s="1457"/>
      <c r="BB33" s="3225"/>
      <c r="BC33" s="3225"/>
      <c r="BD33" s="3225"/>
      <c r="BE33" s="3225"/>
      <c r="BF33" s="3225"/>
      <c r="BG33" s="3225"/>
      <c r="BH33" s="3225"/>
      <c r="BI33" s="3225"/>
      <c r="BJ33" s="3225"/>
      <c r="BK33" s="3225"/>
      <c r="BL33" s="3225"/>
      <c r="BM33" s="3225"/>
      <c r="BN33" s="3225"/>
      <c r="BO33" s="3225"/>
      <c r="BP33" s="3225"/>
      <c r="BQ33" s="3225"/>
      <c r="BR33" s="3225"/>
      <c r="BS33" s="3225"/>
      <c r="BT33" s="3225"/>
      <c r="BU33" s="3225"/>
      <c r="BV33" s="3225"/>
      <c r="BW33" s="3225"/>
      <c r="BX33" s="3225"/>
      <c r="BY33" s="3225"/>
      <c r="BZ33" s="3225"/>
      <c r="CA33" s="3225"/>
      <c r="CB33" s="3225"/>
      <c r="CC33" s="3225"/>
      <c r="CD33" s="3225"/>
      <c r="CE33" s="3225"/>
      <c r="CF33" s="3225"/>
      <c r="CG33" s="3225"/>
      <c r="CH33" s="3225"/>
      <c r="CI33" s="3225">
        <f t="shared" si="0"/>
        <v>0</v>
      </c>
    </row>
    <row r="34" spans="1:87" s="1101" customFormat="1">
      <c r="A34" s="473" t="s">
        <v>4785</v>
      </c>
      <c r="B34" s="1080"/>
      <c r="C34" s="1080" t="s">
        <v>1143</v>
      </c>
      <c r="D34" s="908" t="s">
        <v>65</v>
      </c>
      <c r="E34" s="1019" t="s">
        <v>65</v>
      </c>
      <c r="F34" s="1179"/>
      <c r="G34" s="1179"/>
      <c r="H34" s="235"/>
      <c r="I34" s="235"/>
      <c r="J34" s="235"/>
      <c r="K34" s="235"/>
      <c r="L34" s="235"/>
      <c r="M34" s="1493"/>
      <c r="N34" s="641"/>
      <c r="O34" s="1493">
        <f>'9-A.Training Sub-Annex'!O174</f>
        <v>0</v>
      </c>
      <c r="P34" s="236"/>
      <c r="Q34" s="233"/>
      <c r="R34" s="1456">
        <f>'9-A.Training Sub-Annex'!R174</f>
        <v>0</v>
      </c>
      <c r="S34" s="1457"/>
      <c r="T34" s="1457"/>
      <c r="U34" s="1457"/>
      <c r="V34" s="1457"/>
      <c r="W34" s="1457"/>
      <c r="BB34" s="3225"/>
      <c r="BC34" s="3225"/>
      <c r="BD34" s="3225"/>
      <c r="BE34" s="3225"/>
      <c r="BF34" s="3225"/>
      <c r="BG34" s="3225"/>
      <c r="BH34" s="3225"/>
      <c r="BI34" s="3225"/>
      <c r="BJ34" s="3225"/>
      <c r="BK34" s="3225"/>
      <c r="BL34" s="3225"/>
      <c r="BM34" s="3225"/>
      <c r="BN34" s="3225"/>
      <c r="BO34" s="3225"/>
      <c r="BP34" s="3225"/>
      <c r="BQ34" s="3225"/>
      <c r="BR34" s="3225"/>
      <c r="BS34" s="3225"/>
      <c r="BT34" s="3225"/>
      <c r="BU34" s="3225"/>
      <c r="BV34" s="3225"/>
      <c r="BW34" s="3225"/>
      <c r="BX34" s="3225"/>
      <c r="BY34" s="3225"/>
      <c r="BZ34" s="3225"/>
      <c r="CA34" s="3225"/>
      <c r="CB34" s="3225"/>
      <c r="CC34" s="3225"/>
      <c r="CD34" s="3225"/>
      <c r="CE34" s="3225"/>
      <c r="CF34" s="3225"/>
      <c r="CG34" s="3225"/>
      <c r="CH34" s="3225"/>
      <c r="CI34" s="3225">
        <f t="shared" si="0"/>
        <v>0</v>
      </c>
    </row>
    <row r="35" spans="1:87" s="1101" customFormat="1">
      <c r="A35" s="473" t="s">
        <v>4786</v>
      </c>
      <c r="B35" s="1482"/>
      <c r="C35" s="521" t="s">
        <v>1146</v>
      </c>
      <c r="D35" s="908" t="s">
        <v>65</v>
      </c>
      <c r="E35" s="1185" t="s">
        <v>4544</v>
      </c>
      <c r="F35" s="1471"/>
      <c r="G35" s="1471"/>
      <c r="H35" s="421"/>
      <c r="I35" s="421"/>
      <c r="J35" s="421"/>
      <c r="K35" s="421"/>
      <c r="L35" s="283"/>
      <c r="M35" s="801"/>
      <c r="N35" s="283"/>
      <c r="O35" s="1493">
        <f>'9-A.Training Sub-Annex'!O177</f>
        <v>29.399045599999997</v>
      </c>
      <c r="P35" s="422"/>
      <c r="Q35" s="391"/>
      <c r="R35" s="1456">
        <f>'9-A.Training Sub-Annex'!R177</f>
        <v>19.52</v>
      </c>
      <c r="S35" s="1457"/>
      <c r="T35" s="1457"/>
      <c r="U35" s="1457"/>
      <c r="V35" s="1457"/>
      <c r="W35" s="1457"/>
      <c r="BB35" s="3225"/>
      <c r="BC35" s="3225"/>
      <c r="BD35" s="3225"/>
      <c r="BE35" s="3225"/>
      <c r="BF35" s="3225"/>
      <c r="BG35" s="3225"/>
      <c r="BH35" s="3225"/>
      <c r="BI35" s="3225"/>
      <c r="BJ35" s="3225"/>
      <c r="BK35" s="3225"/>
      <c r="BL35" s="3225"/>
      <c r="BM35" s="3225"/>
      <c r="BN35" s="3225"/>
      <c r="BO35" s="3225"/>
      <c r="BP35" s="3225"/>
      <c r="BQ35" s="3225"/>
      <c r="BR35" s="3225"/>
      <c r="BS35" s="3225"/>
      <c r="BT35" s="3225"/>
      <c r="BU35" s="3225"/>
      <c r="BV35" s="3225"/>
      <c r="BW35" s="3225"/>
      <c r="BX35" s="3225"/>
      <c r="BY35" s="3225"/>
      <c r="BZ35" s="3225"/>
      <c r="CA35" s="3225"/>
      <c r="CB35" s="3225"/>
      <c r="CC35" s="3225"/>
      <c r="CD35" s="3225"/>
      <c r="CE35" s="3225"/>
      <c r="CF35" s="3225"/>
      <c r="CG35" s="3225"/>
      <c r="CH35" s="3225"/>
      <c r="CI35" s="3225">
        <f t="shared" si="0"/>
        <v>0</v>
      </c>
    </row>
    <row r="36" spans="1:87">
      <c r="A36" s="473" t="s">
        <v>4787</v>
      </c>
      <c r="B36" s="586"/>
      <c r="C36" s="586" t="s">
        <v>2766</v>
      </c>
      <c r="D36" s="908" t="s">
        <v>65</v>
      </c>
      <c r="E36" s="1185" t="s">
        <v>2293</v>
      </c>
      <c r="F36" s="1471"/>
      <c r="G36" s="1471"/>
      <c r="H36" s="421"/>
      <c r="I36" s="421"/>
      <c r="J36" s="421"/>
      <c r="K36" s="421"/>
      <c r="L36" s="283"/>
      <c r="M36" s="801"/>
      <c r="N36" s="283"/>
      <c r="O36" s="1493">
        <f>'9-A.Training Sub-Annex'!O184</f>
        <v>30.605990000000006</v>
      </c>
      <c r="P36" s="422"/>
      <c r="Q36" s="391"/>
      <c r="R36" s="1456">
        <f>'9-A.Training Sub-Annex'!R184</f>
        <v>30.61</v>
      </c>
      <c r="S36" s="1380"/>
      <c r="T36" s="1380"/>
      <c r="U36" s="1380"/>
      <c r="V36" s="1380"/>
      <c r="W36" s="1380"/>
      <c r="BB36" s="3218"/>
      <c r="BC36" s="3218"/>
      <c r="BD36" s="3218"/>
      <c r="BE36" s="3218"/>
      <c r="BF36" s="3218"/>
      <c r="BG36" s="3218"/>
      <c r="BH36" s="3218"/>
      <c r="BI36" s="3218"/>
      <c r="BJ36" s="3218"/>
      <c r="BK36" s="3218"/>
      <c r="BL36" s="3218"/>
      <c r="BM36" s="3218"/>
      <c r="BN36" s="3218"/>
      <c r="BO36" s="3218"/>
      <c r="BP36" s="3218"/>
      <c r="BQ36" s="3218"/>
      <c r="BR36" s="3218"/>
      <c r="BS36" s="3218"/>
      <c r="BT36" s="3218"/>
      <c r="BU36" s="3218"/>
      <c r="BV36" s="3218"/>
      <c r="BW36" s="3218"/>
      <c r="BX36" s="3218"/>
      <c r="BY36" s="3218"/>
      <c r="BZ36" s="3218"/>
      <c r="CA36" s="3218"/>
      <c r="CB36" s="3218"/>
      <c r="CC36" s="3218"/>
      <c r="CD36" s="3218"/>
      <c r="CE36" s="3218"/>
      <c r="CF36" s="3218"/>
      <c r="CG36" s="3218"/>
      <c r="CH36" s="3218"/>
      <c r="CI36" s="3225">
        <f t="shared" si="0"/>
        <v>0</v>
      </c>
    </row>
    <row r="37" spans="1:87" ht="30">
      <c r="A37" s="473" t="s">
        <v>4788</v>
      </c>
      <c r="B37" s="586"/>
      <c r="C37" s="586" t="s">
        <v>4467</v>
      </c>
      <c r="D37" s="908" t="s">
        <v>65</v>
      </c>
      <c r="E37" s="1185" t="s">
        <v>4218</v>
      </c>
      <c r="F37" s="1192"/>
      <c r="G37" s="1193"/>
      <c r="H37" s="413"/>
      <c r="I37" s="413"/>
      <c r="J37" s="285"/>
      <c r="K37" s="285"/>
      <c r="L37" s="283"/>
      <c r="M37" s="801"/>
      <c r="N37" s="283"/>
      <c r="O37" s="1493">
        <f>'9-A.Training Sub-Annex'!O189</f>
        <v>263</v>
      </c>
      <c r="P37" s="179"/>
      <c r="Q37" s="391"/>
      <c r="R37" s="1456">
        <f>'9-A.Training Sub-Annex'!R189</f>
        <v>262.02</v>
      </c>
      <c r="S37" s="1380"/>
      <c r="T37" s="1380"/>
      <c r="U37" s="1380"/>
      <c r="V37" s="1380"/>
      <c r="W37" s="1380"/>
      <c r="BB37" s="3218"/>
      <c r="BC37" s="3218"/>
      <c r="BD37" s="3218"/>
      <c r="BE37" s="3218"/>
      <c r="BF37" s="3218"/>
      <c r="BG37" s="3218"/>
      <c r="BH37" s="3218"/>
      <c r="BI37" s="3218"/>
      <c r="BJ37" s="3218"/>
      <c r="BK37" s="3218"/>
      <c r="BL37" s="3218"/>
      <c r="BM37" s="3218"/>
      <c r="BN37" s="3218"/>
      <c r="BO37" s="3218"/>
      <c r="BP37" s="3218"/>
      <c r="BQ37" s="3218"/>
      <c r="BR37" s="3218"/>
      <c r="BS37" s="3218"/>
      <c r="BT37" s="3218"/>
      <c r="BU37" s="3218"/>
      <c r="BV37" s="3218"/>
      <c r="BW37" s="3218"/>
      <c r="BX37" s="3218"/>
      <c r="BY37" s="3218"/>
      <c r="BZ37" s="3218"/>
      <c r="CA37" s="3218"/>
      <c r="CB37" s="3218"/>
      <c r="CC37" s="3218"/>
      <c r="CD37" s="3218"/>
      <c r="CE37" s="3218"/>
      <c r="CF37" s="3218"/>
      <c r="CG37" s="3218"/>
      <c r="CH37" s="3218"/>
      <c r="CI37" s="3225">
        <f t="shared" si="0"/>
        <v>0</v>
      </c>
    </row>
    <row r="38" spans="1:87">
      <c r="A38" s="473" t="s">
        <v>4789</v>
      </c>
      <c r="B38" s="586" t="s">
        <v>812</v>
      </c>
      <c r="C38" s="586" t="s">
        <v>813</v>
      </c>
      <c r="D38" s="908" t="s">
        <v>65</v>
      </c>
      <c r="E38" s="1185" t="s">
        <v>65</v>
      </c>
      <c r="F38" s="1192"/>
      <c r="G38" s="1193"/>
      <c r="H38" s="413"/>
      <c r="I38" s="413"/>
      <c r="J38" s="642"/>
      <c r="K38" s="285"/>
      <c r="L38" s="283"/>
      <c r="M38" s="801"/>
      <c r="N38" s="283"/>
      <c r="O38" s="1493">
        <f>'9-A.Training Sub-Annex'!O195</f>
        <v>0</v>
      </c>
      <c r="P38" s="179"/>
      <c r="Q38" s="391"/>
      <c r="R38" s="1456">
        <f>'9-A.Training Sub-Annex'!R195</f>
        <v>0</v>
      </c>
      <c r="S38" s="1380"/>
      <c r="T38" s="1380"/>
      <c r="U38" s="1380"/>
      <c r="V38" s="1380"/>
      <c r="W38" s="1380"/>
      <c r="BB38" s="3218"/>
      <c r="BC38" s="3218"/>
      <c r="BD38" s="3218"/>
      <c r="BE38" s="3218"/>
      <c r="BF38" s="3218"/>
      <c r="BG38" s="3218"/>
      <c r="BH38" s="3218"/>
      <c r="BI38" s="3218"/>
      <c r="BJ38" s="3218"/>
      <c r="BK38" s="3218"/>
      <c r="BL38" s="3218"/>
      <c r="BM38" s="3218"/>
      <c r="BN38" s="3218"/>
      <c r="BO38" s="3218"/>
      <c r="BP38" s="3218"/>
      <c r="BQ38" s="3218"/>
      <c r="BR38" s="3218"/>
      <c r="BS38" s="3218"/>
      <c r="BT38" s="3218"/>
      <c r="BU38" s="3218"/>
      <c r="BV38" s="3218"/>
      <c r="BW38" s="3218"/>
      <c r="BX38" s="3218"/>
      <c r="BY38" s="3218"/>
      <c r="BZ38" s="3218"/>
      <c r="CA38" s="3218"/>
      <c r="CB38" s="3218"/>
      <c r="CC38" s="3218"/>
      <c r="CD38" s="3218"/>
      <c r="CE38" s="3218"/>
      <c r="CF38" s="3218"/>
      <c r="CG38" s="3218"/>
      <c r="CH38" s="3218"/>
      <c r="CI38" s="3225">
        <f t="shared" si="0"/>
        <v>0</v>
      </c>
    </row>
    <row r="39" spans="1:87" s="1101" customFormat="1">
      <c r="A39" s="473" t="s">
        <v>4790</v>
      </c>
      <c r="B39" s="586" t="s">
        <v>1157</v>
      </c>
      <c r="C39" s="586" t="s">
        <v>1158</v>
      </c>
      <c r="D39" s="908" t="s">
        <v>65</v>
      </c>
      <c r="E39" s="1185" t="s">
        <v>65</v>
      </c>
      <c r="F39" s="1483"/>
      <c r="G39" s="1484"/>
      <c r="H39" s="413"/>
      <c r="I39" s="413"/>
      <c r="J39" s="642"/>
      <c r="K39" s="285"/>
      <c r="L39" s="283"/>
      <c r="M39" s="801"/>
      <c r="N39" s="283"/>
      <c r="O39" s="1493">
        <f>'9-A.Training Sub-Annex'!O201</f>
        <v>0</v>
      </c>
      <c r="P39" s="362"/>
      <c r="Q39" s="391"/>
      <c r="R39" s="1456">
        <f>'9-A.Training Sub-Annex'!R201</f>
        <v>0</v>
      </c>
      <c r="S39" s="1457"/>
      <c r="T39" s="1457"/>
      <c r="U39" s="1457"/>
      <c r="V39" s="1457"/>
      <c r="W39" s="1457"/>
      <c r="BB39" s="3225"/>
      <c r="BC39" s="3225"/>
      <c r="BD39" s="3225"/>
      <c r="BE39" s="3225"/>
      <c r="BF39" s="3225"/>
      <c r="BG39" s="3225"/>
      <c r="BH39" s="3225"/>
      <c r="BI39" s="3225"/>
      <c r="BJ39" s="3225"/>
      <c r="BK39" s="3225"/>
      <c r="BL39" s="3225"/>
      <c r="BM39" s="3225"/>
      <c r="BN39" s="3225"/>
      <c r="BO39" s="3225"/>
      <c r="BP39" s="3225"/>
      <c r="BQ39" s="3225"/>
      <c r="BR39" s="3225"/>
      <c r="BS39" s="3225"/>
      <c r="BT39" s="3225"/>
      <c r="BU39" s="3225"/>
      <c r="BV39" s="3225"/>
      <c r="BW39" s="3225"/>
      <c r="BX39" s="3225"/>
      <c r="BY39" s="3225"/>
      <c r="BZ39" s="3225"/>
      <c r="CA39" s="3225"/>
      <c r="CB39" s="3225"/>
      <c r="CC39" s="3225"/>
      <c r="CD39" s="3225"/>
      <c r="CE39" s="3225"/>
      <c r="CF39" s="3225"/>
      <c r="CG39" s="3225"/>
      <c r="CH39" s="3225"/>
      <c r="CI39" s="3225">
        <f t="shared" si="0"/>
        <v>0</v>
      </c>
    </row>
    <row r="40" spans="1:87" s="1101" customFormat="1" ht="30">
      <c r="A40" s="473" t="s">
        <v>4791</v>
      </c>
      <c r="B40" s="586" t="s">
        <v>1160</v>
      </c>
      <c r="C40" s="586" t="s">
        <v>4799</v>
      </c>
      <c r="D40" s="908" t="s">
        <v>65</v>
      </c>
      <c r="E40" s="1185" t="s">
        <v>4798</v>
      </c>
      <c r="F40" s="1483"/>
      <c r="G40" s="1193"/>
      <c r="H40" s="413"/>
      <c r="I40" s="413"/>
      <c r="J40" s="285"/>
      <c r="K40" s="285"/>
      <c r="L40" s="283"/>
      <c r="M40" s="801"/>
      <c r="N40" s="283"/>
      <c r="O40" s="1493">
        <f>'9-A.Training Sub-Annex'!O202</f>
        <v>0</v>
      </c>
      <c r="P40" s="362"/>
      <c r="Q40" s="391"/>
      <c r="R40" s="1456">
        <f>'9-A.Training Sub-Annex'!R202</f>
        <v>0</v>
      </c>
      <c r="S40" s="1457"/>
      <c r="T40" s="1457"/>
      <c r="U40" s="1457"/>
      <c r="V40" s="1457"/>
      <c r="W40" s="1457"/>
      <c r="BB40" s="3225"/>
      <c r="BC40" s="3225"/>
      <c r="BD40" s="3225"/>
      <c r="BE40" s="3225"/>
      <c r="BF40" s="3225"/>
      <c r="BG40" s="3225"/>
      <c r="BH40" s="3225"/>
      <c r="BI40" s="3225"/>
      <c r="BJ40" s="3225"/>
      <c r="BK40" s="3225"/>
      <c r="BL40" s="3225"/>
      <c r="BM40" s="3225"/>
      <c r="BN40" s="3225"/>
      <c r="BO40" s="3225"/>
      <c r="BP40" s="3225"/>
      <c r="BQ40" s="3225"/>
      <c r="BR40" s="3225"/>
      <c r="BS40" s="3225"/>
      <c r="BT40" s="3225"/>
      <c r="BU40" s="3225"/>
      <c r="BV40" s="3225"/>
      <c r="BW40" s="3225"/>
      <c r="BX40" s="3225"/>
      <c r="BY40" s="3225"/>
      <c r="BZ40" s="3225"/>
      <c r="CA40" s="3225"/>
      <c r="CB40" s="3225"/>
      <c r="CC40" s="3225"/>
      <c r="CD40" s="3225"/>
      <c r="CE40" s="3225"/>
      <c r="CF40" s="3225"/>
      <c r="CG40" s="3225"/>
      <c r="CH40" s="3225"/>
      <c r="CI40" s="3225">
        <f t="shared" si="0"/>
        <v>0</v>
      </c>
    </row>
    <row r="41" spans="1:87">
      <c r="A41" s="473" t="s">
        <v>4792</v>
      </c>
      <c r="B41" s="586" t="s">
        <v>1007</v>
      </c>
      <c r="C41" s="586" t="s">
        <v>1008</v>
      </c>
      <c r="D41" s="908" t="s">
        <v>65</v>
      </c>
      <c r="E41" s="1185" t="s">
        <v>65</v>
      </c>
      <c r="F41" s="1471"/>
      <c r="G41" s="1471"/>
      <c r="H41" s="421"/>
      <c r="I41" s="421"/>
      <c r="J41" s="421"/>
      <c r="K41" s="421"/>
      <c r="L41" s="283"/>
      <c r="M41" s="801"/>
      <c r="N41" s="283"/>
      <c r="O41" s="1493">
        <f>'9-A.Training Sub-Annex'!O203</f>
        <v>0</v>
      </c>
      <c r="P41" s="422"/>
      <c r="Q41" s="391"/>
      <c r="R41" s="1456">
        <f>'9-A.Training Sub-Annex'!R203</f>
        <v>0</v>
      </c>
      <c r="S41" s="1380"/>
      <c r="T41" s="1380"/>
      <c r="U41" s="1380"/>
      <c r="V41" s="1380"/>
      <c r="W41" s="1380"/>
      <c r="BB41" s="3218"/>
      <c r="BC41" s="3218"/>
      <c r="BD41" s="3218"/>
      <c r="BE41" s="3218"/>
      <c r="BF41" s="3218"/>
      <c r="BG41" s="3218"/>
      <c r="BH41" s="3218"/>
      <c r="BI41" s="3218"/>
      <c r="BJ41" s="3218"/>
      <c r="BK41" s="3218"/>
      <c r="BL41" s="3218"/>
      <c r="BM41" s="3218"/>
      <c r="BN41" s="3218"/>
      <c r="BO41" s="3218"/>
      <c r="BP41" s="3218"/>
      <c r="BQ41" s="3218"/>
      <c r="BR41" s="3218"/>
      <c r="BS41" s="3218"/>
      <c r="BT41" s="3218"/>
      <c r="BU41" s="3218"/>
      <c r="BV41" s="3218"/>
      <c r="BW41" s="3218"/>
      <c r="BX41" s="3218"/>
      <c r="BY41" s="3218"/>
      <c r="BZ41" s="3218"/>
      <c r="CA41" s="3218"/>
      <c r="CB41" s="3218"/>
      <c r="CC41" s="3218"/>
      <c r="CD41" s="3218"/>
      <c r="CE41" s="3218"/>
      <c r="CF41" s="3218"/>
      <c r="CG41" s="3218"/>
      <c r="CH41" s="3218"/>
      <c r="CI41" s="3225">
        <f t="shared" si="0"/>
        <v>0</v>
      </c>
    </row>
    <row r="42" spans="1:87">
      <c r="A42" s="473" t="s">
        <v>4793</v>
      </c>
      <c r="B42" s="586" t="s">
        <v>1009</v>
      </c>
      <c r="C42" s="586" t="s">
        <v>1010</v>
      </c>
      <c r="D42" s="908" t="s">
        <v>65</v>
      </c>
      <c r="E42" s="1185" t="s">
        <v>65</v>
      </c>
      <c r="F42" s="1471"/>
      <c r="G42" s="1471"/>
      <c r="H42" s="421"/>
      <c r="I42" s="421"/>
      <c r="J42" s="421"/>
      <c r="K42" s="421"/>
      <c r="L42" s="283"/>
      <c r="M42" s="801"/>
      <c r="N42" s="283"/>
      <c r="O42" s="1493">
        <f>'9-A.Training Sub-Annex'!O204</f>
        <v>0</v>
      </c>
      <c r="P42" s="422"/>
      <c r="Q42" s="391"/>
      <c r="R42" s="1456">
        <f>'9-A.Training Sub-Annex'!R204</f>
        <v>0</v>
      </c>
      <c r="S42" s="1380"/>
      <c r="T42" s="1380"/>
      <c r="U42" s="1380"/>
      <c r="V42" s="1380"/>
      <c r="W42" s="1380"/>
      <c r="BB42" s="3218"/>
      <c r="BC42" s="3218"/>
      <c r="BD42" s="3218"/>
      <c r="BE42" s="3218"/>
      <c r="BF42" s="3218"/>
      <c r="BG42" s="3218"/>
      <c r="BH42" s="3218"/>
      <c r="BI42" s="3218"/>
      <c r="BJ42" s="3218"/>
      <c r="BK42" s="3218"/>
      <c r="BL42" s="3218"/>
      <c r="BM42" s="3218"/>
      <c r="BN42" s="3218"/>
      <c r="BO42" s="3218"/>
      <c r="BP42" s="3218"/>
      <c r="BQ42" s="3218"/>
      <c r="BR42" s="3218"/>
      <c r="BS42" s="3218"/>
      <c r="BT42" s="3218"/>
      <c r="BU42" s="3218"/>
      <c r="BV42" s="3218"/>
      <c r="BW42" s="3218"/>
      <c r="BX42" s="3218"/>
      <c r="BY42" s="3218"/>
      <c r="BZ42" s="3218"/>
      <c r="CA42" s="3218"/>
      <c r="CB42" s="3218"/>
      <c r="CC42" s="3218"/>
      <c r="CD42" s="3218"/>
      <c r="CE42" s="3218"/>
      <c r="CF42" s="3218"/>
      <c r="CG42" s="3218"/>
      <c r="CH42" s="3218"/>
      <c r="CI42" s="3225">
        <f t="shared" si="0"/>
        <v>0</v>
      </c>
    </row>
    <row r="43" spans="1:87">
      <c r="A43" s="473" t="s">
        <v>4794</v>
      </c>
      <c r="B43" s="586"/>
      <c r="C43" s="586" t="s">
        <v>4358</v>
      </c>
      <c r="D43" s="908" t="s">
        <v>65</v>
      </c>
      <c r="E43" s="1185" t="s">
        <v>737</v>
      </c>
      <c r="F43" s="1471"/>
      <c r="G43" s="1471"/>
      <c r="H43" s="421"/>
      <c r="I43" s="421"/>
      <c r="J43" s="421"/>
      <c r="K43" s="421"/>
      <c r="L43" s="283"/>
      <c r="M43" s="801"/>
      <c r="N43" s="283"/>
      <c r="O43" s="1493">
        <f>'9-A.Training Sub-Annex'!O205</f>
        <v>0</v>
      </c>
      <c r="P43" s="422"/>
      <c r="Q43" s="391"/>
      <c r="R43" s="1456">
        <f>'9-A.Training Sub-Annex'!R205</f>
        <v>0</v>
      </c>
      <c r="S43" s="1380"/>
      <c r="T43" s="1380"/>
      <c r="U43" s="1380"/>
      <c r="V43" s="1380"/>
      <c r="W43" s="1380"/>
      <c r="BB43" s="3218"/>
      <c r="BC43" s="3218"/>
      <c r="BD43" s="3218"/>
      <c r="BE43" s="3218"/>
      <c r="BF43" s="3218"/>
      <c r="BG43" s="3218"/>
      <c r="BH43" s="3218"/>
      <c r="BI43" s="3218"/>
      <c r="BJ43" s="3218"/>
      <c r="BK43" s="3218"/>
      <c r="BL43" s="3218"/>
      <c r="BM43" s="3218"/>
      <c r="BN43" s="3218"/>
      <c r="BO43" s="3218"/>
      <c r="BP43" s="3218"/>
      <c r="BQ43" s="3218"/>
      <c r="BR43" s="3218"/>
      <c r="BS43" s="3218"/>
      <c r="BT43" s="3218"/>
      <c r="BU43" s="3218"/>
      <c r="BV43" s="3218"/>
      <c r="BW43" s="3218"/>
      <c r="BX43" s="3218"/>
      <c r="BY43" s="3218"/>
      <c r="BZ43" s="3218"/>
      <c r="CA43" s="3218"/>
      <c r="CB43" s="3218"/>
      <c r="CC43" s="3218"/>
      <c r="CD43" s="3218"/>
      <c r="CE43" s="3218"/>
      <c r="CF43" s="3218"/>
      <c r="CG43" s="3218"/>
      <c r="CH43" s="3218"/>
      <c r="CI43" s="3225">
        <f t="shared" si="0"/>
        <v>0</v>
      </c>
    </row>
    <row r="44" spans="1:87" ht="45">
      <c r="A44" s="473" t="s">
        <v>4795</v>
      </c>
      <c r="B44" s="586"/>
      <c r="C44" s="586" t="s">
        <v>4402</v>
      </c>
      <c r="D44" s="908" t="s">
        <v>65</v>
      </c>
      <c r="E44" s="1185" t="s">
        <v>4668</v>
      </c>
      <c r="F44" s="1471"/>
      <c r="G44" s="1471"/>
      <c r="H44" s="421"/>
      <c r="I44" s="421"/>
      <c r="J44" s="421"/>
      <c r="K44" s="421"/>
      <c r="L44" s="283"/>
      <c r="M44" s="801"/>
      <c r="N44" s="283"/>
      <c r="O44" s="1493">
        <f>'9-A.Training Sub-Annex'!O206</f>
        <v>0</v>
      </c>
      <c r="P44" s="422"/>
      <c r="Q44" s="391"/>
      <c r="R44" s="1456">
        <f>'9-A.Training Sub-Annex'!R206</f>
        <v>0</v>
      </c>
      <c r="S44" s="1380"/>
      <c r="T44" s="1380"/>
      <c r="U44" s="1380"/>
      <c r="V44" s="1380"/>
      <c r="W44" s="1380"/>
      <c r="BB44" s="3218"/>
      <c r="BC44" s="3218"/>
      <c r="BD44" s="3218"/>
      <c r="BE44" s="3218"/>
      <c r="BF44" s="3218"/>
      <c r="BG44" s="3218"/>
      <c r="BH44" s="3218"/>
      <c r="BI44" s="3218"/>
      <c r="BJ44" s="3218"/>
      <c r="BK44" s="3218"/>
      <c r="BL44" s="3218"/>
      <c r="BM44" s="3218"/>
      <c r="BN44" s="3218"/>
      <c r="BO44" s="3218"/>
      <c r="BP44" s="3218"/>
      <c r="BQ44" s="3218"/>
      <c r="BR44" s="3218"/>
      <c r="BS44" s="3218"/>
      <c r="BT44" s="3218"/>
      <c r="BU44" s="3218"/>
      <c r="BV44" s="3218"/>
      <c r="BW44" s="3218"/>
      <c r="BX44" s="3218"/>
      <c r="BY44" s="3218"/>
      <c r="BZ44" s="3218"/>
      <c r="CA44" s="3218"/>
      <c r="CB44" s="3218"/>
      <c r="CC44" s="3218"/>
      <c r="CD44" s="3218"/>
      <c r="CE44" s="3218"/>
      <c r="CF44" s="3218"/>
      <c r="CG44" s="3218"/>
      <c r="CH44" s="3218"/>
      <c r="CI44" s="3225">
        <f t="shared" si="0"/>
        <v>0</v>
      </c>
    </row>
    <row r="45" spans="1:87">
      <c r="A45" s="473" t="s">
        <v>4796</v>
      </c>
      <c r="B45" s="586"/>
      <c r="C45" s="586" t="s">
        <v>1304</v>
      </c>
      <c r="D45" s="908" t="s">
        <v>65</v>
      </c>
      <c r="E45" s="1185" t="s">
        <v>65</v>
      </c>
      <c r="F45" s="1483"/>
      <c r="G45" s="1193"/>
      <c r="H45" s="413"/>
      <c r="I45" s="413"/>
      <c r="J45" s="77"/>
      <c r="K45" s="325"/>
      <c r="L45" s="283"/>
      <c r="M45" s="801"/>
      <c r="N45" s="283"/>
      <c r="O45" s="1493">
        <f>'9-A.Training Sub-Annex'!O207</f>
        <v>0</v>
      </c>
      <c r="P45" s="649"/>
      <c r="Q45" s="391"/>
      <c r="R45" s="1456">
        <f>'9-A.Training Sub-Annex'!R207</f>
        <v>0</v>
      </c>
      <c r="S45" s="1380"/>
      <c r="T45" s="1380"/>
      <c r="U45" s="1380"/>
      <c r="V45" s="1380"/>
      <c r="W45" s="1380"/>
      <c r="BB45" s="3218"/>
      <c r="BC45" s="3218"/>
      <c r="BD45" s="3218"/>
      <c r="BE45" s="3218"/>
      <c r="BF45" s="3218"/>
      <c r="BG45" s="3218"/>
      <c r="BH45" s="3218"/>
      <c r="BI45" s="3218"/>
      <c r="BJ45" s="3218"/>
      <c r="BK45" s="3218"/>
      <c r="BL45" s="3218"/>
      <c r="BM45" s="3218"/>
      <c r="BN45" s="3218"/>
      <c r="BO45" s="3218"/>
      <c r="BP45" s="3218"/>
      <c r="BQ45" s="3218"/>
      <c r="BR45" s="3218"/>
      <c r="BS45" s="3218"/>
      <c r="BT45" s="3218"/>
      <c r="BU45" s="3218"/>
      <c r="BV45" s="3218"/>
      <c r="BW45" s="3218"/>
      <c r="BX45" s="3218"/>
      <c r="BY45" s="3218"/>
      <c r="BZ45" s="3218"/>
      <c r="CA45" s="3218"/>
      <c r="CB45" s="3218"/>
      <c r="CC45" s="3218"/>
      <c r="CD45" s="3218"/>
      <c r="CE45" s="3218"/>
      <c r="CF45" s="3218"/>
      <c r="CG45" s="3218"/>
      <c r="CH45" s="3218"/>
      <c r="CI45" s="3225">
        <f t="shared" si="0"/>
        <v>0</v>
      </c>
    </row>
    <row r="46" spans="1:87">
      <c r="A46" s="1299" t="s">
        <v>2485</v>
      </c>
      <c r="B46" s="1473"/>
      <c r="C46" s="1474" t="s">
        <v>4756</v>
      </c>
      <c r="D46" s="1475"/>
      <c r="E46" s="1476"/>
      <c r="F46" s="1477"/>
      <c r="G46" s="1478"/>
      <c r="H46" s="647"/>
      <c r="I46" s="647"/>
      <c r="J46" s="650"/>
      <c r="K46" s="651"/>
      <c r="L46" s="636"/>
      <c r="M46" s="1499"/>
      <c r="N46" s="636"/>
      <c r="O46" s="1500">
        <f>SUM(O47:O53)</f>
        <v>58.742460000000001</v>
      </c>
      <c r="P46" s="652"/>
      <c r="Q46" s="1479"/>
      <c r="R46" s="1486">
        <f>SUM(R47:R53)</f>
        <v>58.75</v>
      </c>
      <c r="S46" s="1380"/>
      <c r="T46" s="1380"/>
      <c r="U46" s="1380"/>
      <c r="V46" s="1380"/>
      <c r="W46" s="1380"/>
      <c r="BB46" s="3218"/>
      <c r="BC46" s="3218"/>
      <c r="BD46" s="3218"/>
      <c r="BE46" s="3218"/>
      <c r="BF46" s="3218"/>
      <c r="BG46" s="3218"/>
      <c r="BH46" s="3218"/>
      <c r="BI46" s="3218"/>
      <c r="BJ46" s="3218"/>
      <c r="BK46" s="3218"/>
      <c r="BL46" s="3218"/>
      <c r="BM46" s="3218"/>
      <c r="BN46" s="3218"/>
      <c r="BO46" s="3218"/>
      <c r="BP46" s="3218"/>
      <c r="BQ46" s="3218"/>
      <c r="BR46" s="3218"/>
      <c r="BS46" s="3218"/>
      <c r="BT46" s="3218"/>
      <c r="BU46" s="3218"/>
      <c r="BV46" s="3218"/>
      <c r="BW46" s="3218"/>
      <c r="BX46" s="3218"/>
      <c r="BY46" s="3218"/>
      <c r="BZ46" s="3218"/>
      <c r="CA46" s="3218"/>
      <c r="CB46" s="3218"/>
      <c r="CC46" s="3218"/>
      <c r="CD46" s="3218"/>
      <c r="CE46" s="3218"/>
      <c r="CF46" s="3218"/>
      <c r="CG46" s="3218"/>
      <c r="CH46" s="3218"/>
      <c r="CI46" s="3225">
        <f t="shared" si="0"/>
        <v>0</v>
      </c>
    </row>
    <row r="47" spans="1:87">
      <c r="A47" s="473" t="s">
        <v>4801</v>
      </c>
      <c r="B47" s="508"/>
      <c r="C47" s="508" t="s">
        <v>1035</v>
      </c>
      <c r="D47" s="1487" t="s">
        <v>4219</v>
      </c>
      <c r="E47" s="1185" t="s">
        <v>288</v>
      </c>
      <c r="F47" s="1471"/>
      <c r="G47" s="1471"/>
      <c r="H47" s="421"/>
      <c r="I47" s="421"/>
      <c r="J47" s="421"/>
      <c r="K47" s="421"/>
      <c r="L47" s="283"/>
      <c r="M47" s="801"/>
      <c r="N47" s="283"/>
      <c r="O47" s="1493">
        <f>'9-A.Training Sub-Annex'!O209</f>
        <v>9.8453100000000013</v>
      </c>
      <c r="P47" s="422"/>
      <c r="Q47" s="391"/>
      <c r="R47" s="1456">
        <f>'9-A.Training Sub-Annex'!R209</f>
        <v>9.85</v>
      </c>
      <c r="BB47" s="3218"/>
      <c r="BC47" s="3218"/>
      <c r="BD47" s="3218"/>
      <c r="BE47" s="3218"/>
      <c r="BF47" s="3218"/>
      <c r="BG47" s="3218"/>
      <c r="BH47" s="3218"/>
      <c r="BI47" s="3218"/>
      <c r="BJ47" s="3218"/>
      <c r="BK47" s="3218"/>
      <c r="BL47" s="3218"/>
      <c r="BM47" s="3218"/>
      <c r="BN47" s="3218"/>
      <c r="BO47" s="3218"/>
      <c r="BP47" s="3218"/>
      <c r="BQ47" s="3218"/>
      <c r="BR47" s="3218"/>
      <c r="BS47" s="3218"/>
      <c r="BT47" s="3218"/>
      <c r="BU47" s="3218"/>
      <c r="BV47" s="3218"/>
      <c r="BW47" s="3218"/>
      <c r="BX47" s="3218"/>
      <c r="BY47" s="3218"/>
      <c r="BZ47" s="3218"/>
      <c r="CA47" s="3218"/>
      <c r="CB47" s="3218"/>
      <c r="CC47" s="3218"/>
      <c r="CD47" s="3218"/>
      <c r="CE47" s="3218"/>
      <c r="CF47" s="3218"/>
      <c r="CG47" s="3218"/>
      <c r="CH47" s="3218"/>
      <c r="CI47" s="3225">
        <f t="shared" si="0"/>
        <v>0</v>
      </c>
    </row>
    <row r="48" spans="1:87">
      <c r="A48" s="473" t="s">
        <v>4812</v>
      </c>
      <c r="B48" s="508"/>
      <c r="C48" s="508" t="s">
        <v>1055</v>
      </c>
      <c r="D48" s="1487" t="s">
        <v>4219</v>
      </c>
      <c r="E48" s="1185" t="s">
        <v>109</v>
      </c>
      <c r="F48" s="1471"/>
      <c r="G48" s="1471"/>
      <c r="H48" s="421"/>
      <c r="I48" s="421"/>
      <c r="J48" s="421"/>
      <c r="K48" s="421"/>
      <c r="L48" s="283"/>
      <c r="M48" s="801"/>
      <c r="N48" s="283"/>
      <c r="O48" s="1493">
        <f>'9-A.Training Sub-Annex'!O219</f>
        <v>5</v>
      </c>
      <c r="P48" s="422"/>
      <c r="Q48" s="391"/>
      <c r="R48" s="1456">
        <f>'9-A.Training Sub-Annex'!R219</f>
        <v>5</v>
      </c>
      <c r="BB48" s="3218"/>
      <c r="BC48" s="3218"/>
      <c r="BD48" s="3218"/>
      <c r="BE48" s="3218"/>
      <c r="BF48" s="3218"/>
      <c r="BG48" s="3218"/>
      <c r="BH48" s="3218"/>
      <c r="BI48" s="3218"/>
      <c r="BJ48" s="3218"/>
      <c r="BK48" s="3218"/>
      <c r="BL48" s="3218"/>
      <c r="BM48" s="3218"/>
      <c r="BN48" s="3218"/>
      <c r="BO48" s="3218"/>
      <c r="BP48" s="3218"/>
      <c r="BQ48" s="3218"/>
      <c r="BR48" s="3218"/>
      <c r="BS48" s="3218"/>
      <c r="BT48" s="3218"/>
      <c r="BU48" s="3218"/>
      <c r="BV48" s="3218"/>
      <c r="BW48" s="3218"/>
      <c r="BX48" s="3218"/>
      <c r="BY48" s="3218"/>
      <c r="BZ48" s="3218"/>
      <c r="CA48" s="3218"/>
      <c r="CB48" s="3218"/>
      <c r="CC48" s="3218"/>
      <c r="CD48" s="3218"/>
      <c r="CE48" s="3218"/>
      <c r="CF48" s="3218"/>
      <c r="CG48" s="3218"/>
      <c r="CH48" s="3218"/>
      <c r="CI48" s="3225">
        <f t="shared" si="0"/>
        <v>0</v>
      </c>
    </row>
    <row r="49" spans="1:87">
      <c r="A49" s="473" t="s">
        <v>4813</v>
      </c>
      <c r="B49" s="586"/>
      <c r="C49" s="508" t="s">
        <v>1075</v>
      </c>
      <c r="D49" s="1487" t="s">
        <v>4219</v>
      </c>
      <c r="E49" s="1185" t="s">
        <v>141</v>
      </c>
      <c r="F49" s="1471"/>
      <c r="G49" s="1471"/>
      <c r="H49" s="421"/>
      <c r="I49" s="421"/>
      <c r="J49" s="421"/>
      <c r="K49" s="421"/>
      <c r="L49" s="283"/>
      <c r="M49" s="801"/>
      <c r="N49" s="283"/>
      <c r="O49" s="1493">
        <f>'9-A.Training Sub-Annex'!O228</f>
        <v>7.83</v>
      </c>
      <c r="P49" s="422"/>
      <c r="Q49" s="391"/>
      <c r="R49" s="1456">
        <f>'9-A.Training Sub-Annex'!R228</f>
        <v>7.83</v>
      </c>
      <c r="BB49" s="3218"/>
      <c r="BC49" s="3218"/>
      <c r="BD49" s="3218"/>
      <c r="BE49" s="3218"/>
      <c r="BF49" s="3218"/>
      <c r="BG49" s="3218"/>
      <c r="BH49" s="3218"/>
      <c r="BI49" s="3218"/>
      <c r="BJ49" s="3218"/>
      <c r="BK49" s="3218"/>
      <c r="BL49" s="3218"/>
      <c r="BM49" s="3218"/>
      <c r="BN49" s="3218"/>
      <c r="BO49" s="3218"/>
      <c r="BP49" s="3218"/>
      <c r="BQ49" s="3218"/>
      <c r="BR49" s="3218"/>
      <c r="BS49" s="3218"/>
      <c r="BT49" s="3218"/>
      <c r="BU49" s="3218"/>
      <c r="BV49" s="3218"/>
      <c r="BW49" s="3218"/>
      <c r="BX49" s="3218"/>
      <c r="BY49" s="3218"/>
      <c r="BZ49" s="3218"/>
      <c r="CA49" s="3218"/>
      <c r="CB49" s="3218"/>
      <c r="CC49" s="3218"/>
      <c r="CD49" s="3218"/>
      <c r="CE49" s="3218"/>
      <c r="CF49" s="3218"/>
      <c r="CG49" s="3218"/>
      <c r="CH49" s="3218"/>
      <c r="CI49" s="3225">
        <f t="shared" si="0"/>
        <v>0</v>
      </c>
    </row>
    <row r="50" spans="1:87">
      <c r="A50" s="473" t="s">
        <v>4814</v>
      </c>
      <c r="B50" s="508"/>
      <c r="C50" s="508" t="s">
        <v>4638</v>
      </c>
      <c r="D50" s="1487" t="s">
        <v>4219</v>
      </c>
      <c r="E50" s="1185" t="s">
        <v>4525</v>
      </c>
      <c r="F50" s="1471"/>
      <c r="G50" s="1471"/>
      <c r="H50" s="421"/>
      <c r="I50" s="421"/>
      <c r="J50" s="421"/>
      <c r="K50" s="421"/>
      <c r="L50" s="283"/>
      <c r="M50" s="801"/>
      <c r="N50" s="283"/>
      <c r="O50" s="1493">
        <f>'9-A.Training Sub-Annex'!O231</f>
        <v>36.067149999999998</v>
      </c>
      <c r="P50" s="422"/>
      <c r="Q50" s="391"/>
      <c r="R50" s="1456">
        <f>'9-A.Training Sub-Annex'!R231</f>
        <v>36.07</v>
      </c>
      <c r="BB50" s="3218"/>
      <c r="BC50" s="3218"/>
      <c r="BD50" s="3218"/>
      <c r="BE50" s="3218"/>
      <c r="BF50" s="3218"/>
      <c r="BG50" s="3218"/>
      <c r="BH50" s="3218"/>
      <c r="BI50" s="3218"/>
      <c r="BJ50" s="3218"/>
      <c r="BK50" s="3218"/>
      <c r="BL50" s="3218"/>
      <c r="BM50" s="3218"/>
      <c r="BN50" s="3218"/>
      <c r="BO50" s="3218"/>
      <c r="BP50" s="3218"/>
      <c r="BQ50" s="3218"/>
      <c r="BR50" s="3218"/>
      <c r="BS50" s="3218"/>
      <c r="BT50" s="3218"/>
      <c r="BU50" s="3218"/>
      <c r="BV50" s="3218"/>
      <c r="BW50" s="3218"/>
      <c r="BX50" s="3218"/>
      <c r="BY50" s="3218"/>
      <c r="BZ50" s="3218"/>
      <c r="CA50" s="3218"/>
      <c r="CB50" s="3218"/>
      <c r="CC50" s="3218"/>
      <c r="CD50" s="3218"/>
      <c r="CE50" s="3218"/>
      <c r="CF50" s="3218"/>
      <c r="CG50" s="3218"/>
      <c r="CH50" s="3218"/>
      <c r="CI50" s="3225">
        <f t="shared" si="0"/>
        <v>0</v>
      </c>
    </row>
    <row r="51" spans="1:87">
      <c r="A51" s="473" t="s">
        <v>4815</v>
      </c>
      <c r="B51" s="508"/>
      <c r="C51" s="508" t="s">
        <v>3252</v>
      </c>
      <c r="D51" s="1487" t="s">
        <v>4219</v>
      </c>
      <c r="E51" s="1185" t="s">
        <v>3223</v>
      </c>
      <c r="F51" s="1483"/>
      <c r="G51" s="1193"/>
      <c r="H51" s="413"/>
      <c r="I51" s="413"/>
      <c r="J51" s="285"/>
      <c r="K51" s="285"/>
      <c r="L51" s="283"/>
      <c r="M51" s="801"/>
      <c r="N51" s="283"/>
      <c r="O51" s="1493">
        <f>'9-A.Training Sub-Annex'!O235</f>
        <v>0</v>
      </c>
      <c r="P51" s="362"/>
      <c r="Q51" s="391"/>
      <c r="R51" s="1456">
        <f>'9-A.Training Sub-Annex'!R235</f>
        <v>0</v>
      </c>
      <c r="BB51" s="3218"/>
      <c r="BC51" s="3218"/>
      <c r="BD51" s="3218"/>
      <c r="BE51" s="3218"/>
      <c r="BF51" s="3218"/>
      <c r="BG51" s="3218"/>
      <c r="BH51" s="3218"/>
      <c r="BI51" s="3218"/>
      <c r="BJ51" s="3218"/>
      <c r="BK51" s="3218"/>
      <c r="BL51" s="3218"/>
      <c r="BM51" s="3218"/>
      <c r="BN51" s="3218"/>
      <c r="BO51" s="3218"/>
      <c r="BP51" s="3218"/>
      <c r="BQ51" s="3218"/>
      <c r="BR51" s="3218"/>
      <c r="BS51" s="3218"/>
      <c r="BT51" s="3218"/>
      <c r="BU51" s="3218"/>
      <c r="BV51" s="3218"/>
      <c r="BW51" s="3218"/>
      <c r="BX51" s="3218"/>
      <c r="BY51" s="3218"/>
      <c r="BZ51" s="3218"/>
      <c r="CA51" s="3218"/>
      <c r="CB51" s="3218"/>
      <c r="CC51" s="3218"/>
      <c r="CD51" s="3218"/>
      <c r="CE51" s="3218"/>
      <c r="CF51" s="3218"/>
      <c r="CG51" s="3218"/>
      <c r="CH51" s="3218"/>
      <c r="CI51" s="3225">
        <f t="shared" si="0"/>
        <v>0</v>
      </c>
    </row>
    <row r="52" spans="1:87">
      <c r="A52" s="473" t="s">
        <v>4816</v>
      </c>
      <c r="B52" s="508"/>
      <c r="C52" s="508" t="s">
        <v>4758</v>
      </c>
      <c r="D52" s="1487" t="s">
        <v>4219</v>
      </c>
      <c r="E52" s="1185" t="s">
        <v>3855</v>
      </c>
      <c r="F52" s="1483"/>
      <c r="G52" s="1193"/>
      <c r="H52" s="413"/>
      <c r="I52" s="413"/>
      <c r="J52" s="285"/>
      <c r="K52" s="285"/>
      <c r="L52" s="283"/>
      <c r="M52" s="801"/>
      <c r="N52" s="283"/>
      <c r="O52" s="1493">
        <f>'9-A.Training Sub-Annex'!O243</f>
        <v>0</v>
      </c>
      <c r="P52" s="362"/>
      <c r="Q52" s="391"/>
      <c r="R52" s="1456">
        <f>'9-A.Training Sub-Annex'!R243</f>
        <v>0</v>
      </c>
      <c r="BB52" s="3218"/>
      <c r="BC52" s="3218"/>
      <c r="BD52" s="3218"/>
      <c r="BE52" s="3218"/>
      <c r="BF52" s="3218"/>
      <c r="BG52" s="3218"/>
      <c r="BH52" s="3218"/>
      <c r="BI52" s="3218"/>
      <c r="BJ52" s="3218"/>
      <c r="BK52" s="3218"/>
      <c r="BL52" s="3218"/>
      <c r="BM52" s="3218"/>
      <c r="BN52" s="3218"/>
      <c r="BO52" s="3218"/>
      <c r="BP52" s="3218"/>
      <c r="BQ52" s="3218"/>
      <c r="BR52" s="3218"/>
      <c r="BS52" s="3218"/>
      <c r="BT52" s="3218"/>
      <c r="BU52" s="3218"/>
      <c r="BV52" s="3218"/>
      <c r="BW52" s="3218"/>
      <c r="BX52" s="3218"/>
      <c r="BY52" s="3218"/>
      <c r="BZ52" s="3218"/>
      <c r="CA52" s="3218"/>
      <c r="CB52" s="3218"/>
      <c r="CC52" s="3218"/>
      <c r="CD52" s="3218"/>
      <c r="CE52" s="3218"/>
      <c r="CF52" s="3218"/>
      <c r="CG52" s="3218"/>
      <c r="CH52" s="3218"/>
      <c r="CI52" s="3225">
        <f t="shared" si="0"/>
        <v>0</v>
      </c>
    </row>
    <row r="53" spans="1:87">
      <c r="A53" s="473" t="s">
        <v>4817</v>
      </c>
      <c r="B53" s="586"/>
      <c r="C53" s="882" t="s">
        <v>4763</v>
      </c>
      <c r="D53" s="1487" t="s">
        <v>4219</v>
      </c>
      <c r="E53" s="1185" t="s">
        <v>4405</v>
      </c>
      <c r="F53" s="1471"/>
      <c r="G53" s="1471"/>
      <c r="H53" s="421"/>
      <c r="I53" s="421"/>
      <c r="J53" s="421"/>
      <c r="K53" s="421"/>
      <c r="L53" s="283"/>
      <c r="M53" s="801"/>
      <c r="N53" s="283"/>
      <c r="O53" s="1493">
        <f>'9-A.Training Sub-Annex'!O245</f>
        <v>0</v>
      </c>
      <c r="P53" s="422"/>
      <c r="Q53" s="391"/>
      <c r="R53" s="1456">
        <f>'9-A.Training Sub-Annex'!R245</f>
        <v>0</v>
      </c>
      <c r="BB53" s="3218"/>
      <c r="BC53" s="3218"/>
      <c r="BD53" s="3218"/>
      <c r="BE53" s="3218"/>
      <c r="BF53" s="3218"/>
      <c r="BG53" s="3218"/>
      <c r="BH53" s="3218"/>
      <c r="BI53" s="3218"/>
      <c r="BJ53" s="3218"/>
      <c r="BK53" s="3218"/>
      <c r="BL53" s="3218"/>
      <c r="BM53" s="3218"/>
      <c r="BN53" s="3218"/>
      <c r="BO53" s="3218"/>
      <c r="BP53" s="3218"/>
      <c r="BQ53" s="3218"/>
      <c r="BR53" s="3218"/>
      <c r="BS53" s="3218"/>
      <c r="BT53" s="3218"/>
      <c r="BU53" s="3218"/>
      <c r="BV53" s="3218"/>
      <c r="BW53" s="3218"/>
      <c r="BX53" s="3218"/>
      <c r="BY53" s="3218"/>
      <c r="BZ53" s="3218"/>
      <c r="CA53" s="3218"/>
      <c r="CB53" s="3218"/>
      <c r="CC53" s="3218"/>
      <c r="CD53" s="3218"/>
      <c r="CE53" s="3218"/>
      <c r="CF53" s="3218"/>
      <c r="CG53" s="3218"/>
      <c r="CH53" s="3218"/>
      <c r="CI53" s="3225">
        <f t="shared" si="0"/>
        <v>0</v>
      </c>
    </row>
    <row r="54" spans="1:87">
      <c r="A54" s="1299" t="s">
        <v>3720</v>
      </c>
      <c r="B54" s="1473"/>
      <c r="C54" s="1474" t="s">
        <v>4757</v>
      </c>
      <c r="D54" s="1475"/>
      <c r="E54" s="1476"/>
      <c r="F54" s="1485"/>
      <c r="G54" s="1478"/>
      <c r="H54" s="647"/>
      <c r="I54" s="647"/>
      <c r="J54" s="650"/>
      <c r="K54" s="651"/>
      <c r="L54" s="636"/>
      <c r="M54" s="1499"/>
      <c r="N54" s="636"/>
      <c r="O54" s="1500">
        <f>SUM(O55:O64)</f>
        <v>56.232469999999999</v>
      </c>
      <c r="P54" s="652"/>
      <c r="Q54" s="1479"/>
      <c r="R54" s="1486">
        <f>SUM(R55:R64)</f>
        <v>56.230000000000004</v>
      </c>
      <c r="BB54" s="3218"/>
      <c r="BC54" s="3218"/>
      <c r="BD54" s="3218"/>
      <c r="BE54" s="3218"/>
      <c r="BF54" s="3218"/>
      <c r="BG54" s="3218"/>
      <c r="BH54" s="3218"/>
      <c r="BI54" s="3218"/>
      <c r="BJ54" s="3218"/>
      <c r="BK54" s="3218"/>
      <c r="BL54" s="3218"/>
      <c r="BM54" s="3218"/>
      <c r="BN54" s="3218"/>
      <c r="BO54" s="3218"/>
      <c r="BP54" s="3218"/>
      <c r="BQ54" s="3218"/>
      <c r="BR54" s="3218"/>
      <c r="BS54" s="3218"/>
      <c r="BT54" s="3218"/>
      <c r="BU54" s="3218"/>
      <c r="BV54" s="3218"/>
      <c r="BW54" s="3218"/>
      <c r="BX54" s="3218"/>
      <c r="BY54" s="3218"/>
      <c r="BZ54" s="3218"/>
      <c r="CA54" s="3218"/>
      <c r="CB54" s="3218"/>
      <c r="CC54" s="3218"/>
      <c r="CD54" s="3218"/>
      <c r="CE54" s="3218"/>
      <c r="CF54" s="3218"/>
      <c r="CG54" s="3218"/>
      <c r="CH54" s="3218"/>
      <c r="CI54" s="3225">
        <f t="shared" si="0"/>
        <v>0</v>
      </c>
    </row>
    <row r="55" spans="1:87">
      <c r="A55" s="473" t="s">
        <v>4802</v>
      </c>
      <c r="B55" s="586"/>
      <c r="C55" s="882" t="s">
        <v>1084</v>
      </c>
      <c r="D55" s="911" t="s">
        <v>80</v>
      </c>
      <c r="E55" s="1185" t="s">
        <v>81</v>
      </c>
      <c r="F55" s="1267"/>
      <c r="G55" s="1193"/>
      <c r="H55" s="413"/>
      <c r="I55" s="413"/>
      <c r="J55" s="291"/>
      <c r="K55" s="325"/>
      <c r="L55" s="283"/>
      <c r="M55" s="801"/>
      <c r="N55" s="283"/>
      <c r="O55" s="1493">
        <f>'9-A.Training Sub-Annex'!O248</f>
        <v>0</v>
      </c>
      <c r="P55" s="649"/>
      <c r="Q55" s="391"/>
      <c r="R55" s="1456">
        <f>'9-A.Training Sub-Annex'!R248</f>
        <v>0</v>
      </c>
      <c r="BB55" s="3218"/>
      <c r="BC55" s="3218"/>
      <c r="BD55" s="3218"/>
      <c r="BE55" s="3218"/>
      <c r="BF55" s="3218"/>
      <c r="BG55" s="3218"/>
      <c r="BH55" s="3218"/>
      <c r="BI55" s="3218"/>
      <c r="BJ55" s="3218"/>
      <c r="BK55" s="3218"/>
      <c r="BL55" s="3218"/>
      <c r="BM55" s="3218"/>
      <c r="BN55" s="3218"/>
      <c r="BO55" s="3218"/>
      <c r="BP55" s="3218"/>
      <c r="BQ55" s="3218"/>
      <c r="BR55" s="3218"/>
      <c r="BS55" s="3218"/>
      <c r="BT55" s="3218"/>
      <c r="BU55" s="3218"/>
      <c r="BV55" s="3218"/>
      <c r="BW55" s="3218"/>
      <c r="BX55" s="3218"/>
      <c r="BY55" s="3218"/>
      <c r="BZ55" s="3218"/>
      <c r="CA55" s="3218"/>
      <c r="CB55" s="3218"/>
      <c r="CC55" s="3218"/>
      <c r="CD55" s="3218"/>
      <c r="CE55" s="3218"/>
      <c r="CF55" s="3218"/>
      <c r="CG55" s="3218"/>
      <c r="CH55" s="3218"/>
      <c r="CI55" s="3225">
        <f t="shared" si="0"/>
        <v>0</v>
      </c>
    </row>
    <row r="56" spans="1:87">
      <c r="A56" s="473" t="s">
        <v>4803</v>
      </c>
      <c r="B56" s="586"/>
      <c r="C56" s="882" t="s">
        <v>1089</v>
      </c>
      <c r="D56" s="911" t="s">
        <v>80</v>
      </c>
      <c r="E56" s="1185" t="s">
        <v>145</v>
      </c>
      <c r="F56" s="1192"/>
      <c r="G56" s="1193"/>
      <c r="H56" s="413"/>
      <c r="I56" s="413"/>
      <c r="J56" s="285"/>
      <c r="K56" s="285"/>
      <c r="L56" s="283"/>
      <c r="M56" s="801"/>
      <c r="N56" s="283"/>
      <c r="O56" s="1493">
        <f>'9-A.Training Sub-Annex'!O251</f>
        <v>21.03248</v>
      </c>
      <c r="P56" s="362"/>
      <c r="Q56" s="391"/>
      <c r="R56" s="1456">
        <f>'9-A.Training Sub-Annex'!R251</f>
        <v>21.03</v>
      </c>
      <c r="BB56" s="3218"/>
      <c r="BC56" s="3218"/>
      <c r="BD56" s="3218"/>
      <c r="BE56" s="3218"/>
      <c r="BF56" s="3218"/>
      <c r="BG56" s="3218"/>
      <c r="BH56" s="3218"/>
      <c r="BI56" s="3218"/>
      <c r="BJ56" s="3218"/>
      <c r="BK56" s="3218"/>
      <c r="BL56" s="3218"/>
      <c r="BM56" s="3218"/>
      <c r="BN56" s="3218"/>
      <c r="BO56" s="3218"/>
      <c r="BP56" s="3218"/>
      <c r="BQ56" s="3218"/>
      <c r="BR56" s="3218"/>
      <c r="BS56" s="3218"/>
      <c r="BT56" s="3218"/>
      <c r="BU56" s="3218"/>
      <c r="BV56" s="3218"/>
      <c r="BW56" s="3218"/>
      <c r="BX56" s="3218"/>
      <c r="BY56" s="3218"/>
      <c r="BZ56" s="3218"/>
      <c r="CA56" s="3218"/>
      <c r="CB56" s="3218"/>
      <c r="CC56" s="3218"/>
      <c r="CD56" s="3218"/>
      <c r="CE56" s="3218"/>
      <c r="CF56" s="3218"/>
      <c r="CG56" s="3218"/>
      <c r="CH56" s="3218"/>
      <c r="CI56" s="3225">
        <f t="shared" si="0"/>
        <v>0</v>
      </c>
    </row>
    <row r="57" spans="1:87">
      <c r="A57" s="473" t="s">
        <v>4804</v>
      </c>
      <c r="B57" s="586"/>
      <c r="C57" s="882" t="s">
        <v>1094</v>
      </c>
      <c r="D57" s="911" t="s">
        <v>80</v>
      </c>
      <c r="E57" s="1185" t="s">
        <v>394</v>
      </c>
      <c r="F57" s="1267"/>
      <c r="G57" s="1193"/>
      <c r="H57" s="413"/>
      <c r="I57" s="413"/>
      <c r="J57" s="77"/>
      <c r="K57" s="325"/>
      <c r="L57" s="283"/>
      <c r="M57" s="801"/>
      <c r="N57" s="283"/>
      <c r="O57" s="1493">
        <f>'9-A.Training Sub-Annex'!O254</f>
        <v>7</v>
      </c>
      <c r="P57" s="649"/>
      <c r="Q57" s="391"/>
      <c r="R57" s="1456">
        <f>'9-A.Training Sub-Annex'!R254</f>
        <v>7</v>
      </c>
      <c r="BB57" s="3218"/>
      <c r="BC57" s="3218"/>
      <c r="BD57" s="3218"/>
      <c r="BE57" s="3218"/>
      <c r="BF57" s="3218"/>
      <c r="BG57" s="3218"/>
      <c r="BH57" s="3218"/>
      <c r="BI57" s="3218"/>
      <c r="BJ57" s="3218"/>
      <c r="BK57" s="3218"/>
      <c r="BL57" s="3218"/>
      <c r="BM57" s="3218"/>
      <c r="BN57" s="3218"/>
      <c r="BO57" s="3218"/>
      <c r="BP57" s="3218"/>
      <c r="BQ57" s="3218"/>
      <c r="BR57" s="3218"/>
      <c r="BS57" s="3218"/>
      <c r="BT57" s="3218"/>
      <c r="BU57" s="3218"/>
      <c r="BV57" s="3218"/>
      <c r="BW57" s="3218"/>
      <c r="BX57" s="3218"/>
      <c r="BY57" s="3218"/>
      <c r="BZ57" s="3218"/>
      <c r="CA57" s="3218"/>
      <c r="CB57" s="3218"/>
      <c r="CC57" s="3218"/>
      <c r="CD57" s="3218"/>
      <c r="CE57" s="3218"/>
      <c r="CF57" s="3218"/>
      <c r="CG57" s="3218"/>
      <c r="CH57" s="3218"/>
      <c r="CI57" s="3225">
        <f t="shared" si="0"/>
        <v>0</v>
      </c>
    </row>
    <row r="58" spans="1:87">
      <c r="A58" s="473" t="s">
        <v>4805</v>
      </c>
      <c r="B58" s="586"/>
      <c r="C58" s="882" t="s">
        <v>1100</v>
      </c>
      <c r="D58" s="911" t="s">
        <v>80</v>
      </c>
      <c r="E58" s="1185" t="s">
        <v>147</v>
      </c>
      <c r="F58" s="1471"/>
      <c r="G58" s="1471"/>
      <c r="H58" s="421"/>
      <c r="I58" s="421"/>
      <c r="J58" s="421"/>
      <c r="K58" s="421"/>
      <c r="L58" s="283"/>
      <c r="M58" s="801"/>
      <c r="N58" s="283"/>
      <c r="O58" s="1493">
        <f>'9-A.Training Sub-Annex'!O259</f>
        <v>15</v>
      </c>
      <c r="P58" s="422"/>
      <c r="Q58" s="391"/>
      <c r="R58" s="1456">
        <f>'9-A.Training Sub-Annex'!R259</f>
        <v>15</v>
      </c>
      <c r="BB58" s="3218"/>
      <c r="BC58" s="3218"/>
      <c r="BD58" s="3218"/>
      <c r="BE58" s="3218"/>
      <c r="BF58" s="3218"/>
      <c r="BG58" s="3218"/>
      <c r="BH58" s="3218"/>
      <c r="BI58" s="3218"/>
      <c r="BJ58" s="3218"/>
      <c r="BK58" s="3218"/>
      <c r="BL58" s="3218"/>
      <c r="BM58" s="3218"/>
      <c r="BN58" s="3218"/>
      <c r="BO58" s="3218"/>
      <c r="BP58" s="3218"/>
      <c r="BQ58" s="3218"/>
      <c r="BR58" s="3218"/>
      <c r="BS58" s="3218"/>
      <c r="BT58" s="3218"/>
      <c r="BU58" s="3218"/>
      <c r="BV58" s="3218"/>
      <c r="BW58" s="3218"/>
      <c r="BX58" s="3218"/>
      <c r="BY58" s="3218"/>
      <c r="BZ58" s="3218"/>
      <c r="CA58" s="3218"/>
      <c r="CB58" s="3218"/>
      <c r="CC58" s="3218"/>
      <c r="CD58" s="3218"/>
      <c r="CE58" s="3218"/>
      <c r="CF58" s="3218"/>
      <c r="CG58" s="3218"/>
      <c r="CH58" s="3218"/>
      <c r="CI58" s="3225">
        <f t="shared" si="0"/>
        <v>0</v>
      </c>
    </row>
    <row r="59" spans="1:87">
      <c r="A59" s="473" t="s">
        <v>4806</v>
      </c>
      <c r="B59" s="586" t="s">
        <v>1106</v>
      </c>
      <c r="C59" s="882" t="s">
        <v>1107</v>
      </c>
      <c r="D59" s="911" t="s">
        <v>80</v>
      </c>
      <c r="E59" s="1185" t="s">
        <v>410</v>
      </c>
      <c r="F59" s="1471"/>
      <c r="G59" s="1471"/>
      <c r="H59" s="421"/>
      <c r="I59" s="421"/>
      <c r="J59" s="421"/>
      <c r="K59" s="421"/>
      <c r="L59" s="283"/>
      <c r="M59" s="801"/>
      <c r="N59" s="283"/>
      <c r="O59" s="1493">
        <f>'9-A.Training Sub-Annex'!O262</f>
        <v>10</v>
      </c>
      <c r="P59" s="422"/>
      <c r="Q59" s="391"/>
      <c r="R59" s="1456">
        <f>'9-A.Training Sub-Annex'!R262</f>
        <v>10</v>
      </c>
      <c r="BB59" s="3218"/>
      <c r="BC59" s="3218"/>
      <c r="BD59" s="3218"/>
      <c r="BE59" s="3218"/>
      <c r="BF59" s="3218"/>
      <c r="BG59" s="3218"/>
      <c r="BH59" s="3218"/>
      <c r="BI59" s="3218"/>
      <c r="BJ59" s="3218"/>
      <c r="BK59" s="3218"/>
      <c r="BL59" s="3218"/>
      <c r="BM59" s="3218"/>
      <c r="BN59" s="3218"/>
      <c r="BO59" s="3218"/>
      <c r="BP59" s="3218"/>
      <c r="BQ59" s="3218"/>
      <c r="BR59" s="3218"/>
      <c r="BS59" s="3218"/>
      <c r="BT59" s="3218"/>
      <c r="BU59" s="3218"/>
      <c r="BV59" s="3218"/>
      <c r="BW59" s="3218"/>
      <c r="BX59" s="3218"/>
      <c r="BY59" s="3218"/>
      <c r="BZ59" s="3218"/>
      <c r="CA59" s="3218"/>
      <c r="CB59" s="3218"/>
      <c r="CC59" s="3218"/>
      <c r="CD59" s="3218"/>
      <c r="CE59" s="3218"/>
      <c r="CF59" s="3218"/>
      <c r="CG59" s="3218"/>
      <c r="CH59" s="3218"/>
      <c r="CI59" s="3225">
        <f t="shared" si="0"/>
        <v>0</v>
      </c>
    </row>
    <row r="60" spans="1:87">
      <c r="A60" s="473" t="s">
        <v>4807</v>
      </c>
      <c r="B60" s="586"/>
      <c r="C60" s="882" t="s">
        <v>1012</v>
      </c>
      <c r="D60" s="911" t="s">
        <v>80</v>
      </c>
      <c r="E60" s="1185" t="s">
        <v>1014</v>
      </c>
      <c r="F60" s="1471"/>
      <c r="G60" s="1471"/>
      <c r="H60" s="421"/>
      <c r="I60" s="421"/>
      <c r="J60" s="421"/>
      <c r="K60" s="421"/>
      <c r="L60" s="283"/>
      <c r="M60" s="801"/>
      <c r="N60" s="283"/>
      <c r="O60" s="1493">
        <f>'9-A.Training Sub-Annex'!O267</f>
        <v>1</v>
      </c>
      <c r="P60" s="422"/>
      <c r="Q60" s="391"/>
      <c r="R60" s="1456">
        <f>'9-A.Training Sub-Annex'!R267</f>
        <v>1</v>
      </c>
      <c r="BB60" s="3218"/>
      <c r="BC60" s="3218"/>
      <c r="BD60" s="3218"/>
      <c r="BE60" s="3218"/>
      <c r="BF60" s="3218"/>
      <c r="BG60" s="3218"/>
      <c r="BH60" s="3218"/>
      <c r="BI60" s="3218"/>
      <c r="BJ60" s="3218"/>
      <c r="BK60" s="3218"/>
      <c r="BL60" s="3218"/>
      <c r="BM60" s="3218"/>
      <c r="BN60" s="3218"/>
      <c r="BO60" s="3218"/>
      <c r="BP60" s="3218"/>
      <c r="BQ60" s="3218"/>
      <c r="BR60" s="3218"/>
      <c r="BS60" s="3218"/>
      <c r="BT60" s="3218"/>
      <c r="BU60" s="3218"/>
      <c r="BV60" s="3218"/>
      <c r="BW60" s="3218"/>
      <c r="BX60" s="3218"/>
      <c r="BY60" s="3218"/>
      <c r="BZ60" s="3218"/>
      <c r="CA60" s="3218"/>
      <c r="CB60" s="3218"/>
      <c r="CC60" s="3218"/>
      <c r="CD60" s="3218"/>
      <c r="CE60" s="3218"/>
      <c r="CF60" s="3218"/>
      <c r="CG60" s="3218"/>
      <c r="CH60" s="3218"/>
      <c r="CI60" s="3225">
        <f t="shared" si="0"/>
        <v>0</v>
      </c>
    </row>
    <row r="61" spans="1:87">
      <c r="A61" s="473" t="s">
        <v>4808</v>
      </c>
      <c r="B61" s="508"/>
      <c r="C61" s="508" t="s">
        <v>1019</v>
      </c>
      <c r="D61" s="911" t="s">
        <v>80</v>
      </c>
      <c r="E61" s="1185" t="s">
        <v>309</v>
      </c>
      <c r="F61" s="1192"/>
      <c r="G61" s="1193"/>
      <c r="H61" s="413"/>
      <c r="I61" s="413"/>
      <c r="J61" s="653"/>
      <c r="K61" s="325"/>
      <c r="L61" s="283"/>
      <c r="M61" s="801"/>
      <c r="N61" s="283"/>
      <c r="O61" s="1493">
        <f>'9-A.Training Sub-Annex'!O272</f>
        <v>0</v>
      </c>
      <c r="P61" s="649"/>
      <c r="Q61" s="391"/>
      <c r="R61" s="1456">
        <f>'9-A.Training Sub-Annex'!R272</f>
        <v>0</v>
      </c>
      <c r="BB61" s="3218"/>
      <c r="BC61" s="3218"/>
      <c r="BD61" s="3218"/>
      <c r="BE61" s="3218"/>
      <c r="BF61" s="3218"/>
      <c r="BG61" s="3218"/>
      <c r="BH61" s="3218"/>
      <c r="BI61" s="3218"/>
      <c r="BJ61" s="3218"/>
      <c r="BK61" s="3218"/>
      <c r="BL61" s="3218"/>
      <c r="BM61" s="3218"/>
      <c r="BN61" s="3218"/>
      <c r="BO61" s="3218"/>
      <c r="BP61" s="3218"/>
      <c r="BQ61" s="3218"/>
      <c r="BR61" s="3218"/>
      <c r="BS61" s="3218"/>
      <c r="BT61" s="3218"/>
      <c r="BU61" s="3218"/>
      <c r="BV61" s="3218"/>
      <c r="BW61" s="3218"/>
      <c r="BX61" s="3218"/>
      <c r="BY61" s="3218"/>
      <c r="BZ61" s="3218"/>
      <c r="CA61" s="3218"/>
      <c r="CB61" s="3218"/>
      <c r="CC61" s="3218"/>
      <c r="CD61" s="3218"/>
      <c r="CE61" s="3218"/>
      <c r="CF61" s="3218"/>
      <c r="CG61" s="3218"/>
      <c r="CH61" s="3218"/>
      <c r="CI61" s="3225">
        <f t="shared" si="0"/>
        <v>0</v>
      </c>
    </row>
    <row r="62" spans="1:87" s="1101" customFormat="1">
      <c r="A62" s="473" t="s">
        <v>4809</v>
      </c>
      <c r="B62" s="1080"/>
      <c r="C62" s="1080" t="s">
        <v>1024</v>
      </c>
      <c r="D62" s="911" t="s">
        <v>80</v>
      </c>
      <c r="E62" s="1019" t="s">
        <v>1028</v>
      </c>
      <c r="F62" s="1488"/>
      <c r="G62" s="1488"/>
      <c r="H62" s="282"/>
      <c r="I62" s="282"/>
      <c r="J62" s="282"/>
      <c r="K62" s="282"/>
      <c r="L62" s="282"/>
      <c r="M62" s="1501"/>
      <c r="N62" s="641"/>
      <c r="O62" s="1493">
        <f>'9-A.Training Sub-Annex'!O275</f>
        <v>0</v>
      </c>
      <c r="P62" s="105"/>
      <c r="Q62" s="902"/>
      <c r="R62" s="1456">
        <f>'9-A.Training Sub-Annex'!R275</f>
        <v>0</v>
      </c>
      <c r="S62" s="1457"/>
      <c r="BB62" s="3225"/>
      <c r="BC62" s="3225"/>
      <c r="BD62" s="3225"/>
      <c r="BE62" s="3225"/>
      <c r="BF62" s="3225"/>
      <c r="BG62" s="3225"/>
      <c r="BH62" s="3225"/>
      <c r="BI62" s="3225"/>
      <c r="BJ62" s="3225"/>
      <c r="BK62" s="3225"/>
      <c r="BL62" s="3225"/>
      <c r="BM62" s="3225"/>
      <c r="BN62" s="3225"/>
      <c r="BO62" s="3225"/>
      <c r="BP62" s="3225"/>
      <c r="BQ62" s="3225"/>
      <c r="BR62" s="3225"/>
      <c r="BS62" s="3225"/>
      <c r="BT62" s="3225"/>
      <c r="BU62" s="3225"/>
      <c r="BV62" s="3225"/>
      <c r="BW62" s="3225"/>
      <c r="BX62" s="3225"/>
      <c r="BY62" s="3225"/>
      <c r="BZ62" s="3225"/>
      <c r="CA62" s="3225"/>
      <c r="CB62" s="3225"/>
      <c r="CC62" s="3225"/>
      <c r="CD62" s="3225"/>
      <c r="CE62" s="3225"/>
      <c r="CF62" s="3225"/>
      <c r="CG62" s="3225"/>
      <c r="CH62" s="3225"/>
      <c r="CI62" s="3225">
        <f t="shared" si="0"/>
        <v>0</v>
      </c>
    </row>
    <row r="63" spans="1:87">
      <c r="A63" s="473" t="s">
        <v>4810</v>
      </c>
      <c r="B63" s="1014"/>
      <c r="C63" s="509" t="s">
        <v>4762</v>
      </c>
      <c r="D63" s="911" t="s">
        <v>80</v>
      </c>
      <c r="E63" s="1185" t="s">
        <v>3989</v>
      </c>
      <c r="F63" s="1471"/>
      <c r="G63" s="1471"/>
      <c r="H63" s="421"/>
      <c r="I63" s="421"/>
      <c r="J63" s="421"/>
      <c r="K63" s="421"/>
      <c r="L63" s="283"/>
      <c r="M63" s="801"/>
      <c r="N63" s="283"/>
      <c r="O63" s="1493">
        <f>'9-A.Training Sub-Annex'!O278</f>
        <v>2.1999899999999997</v>
      </c>
      <c r="P63" s="422"/>
      <c r="Q63" s="391"/>
      <c r="R63" s="1456">
        <f>'9-A.Training Sub-Annex'!R278</f>
        <v>2.2000000000000002</v>
      </c>
      <c r="BB63" s="3218"/>
      <c r="BC63" s="3218"/>
      <c r="BD63" s="3218"/>
      <c r="BE63" s="3218"/>
      <c r="BF63" s="3218"/>
      <c r="BG63" s="3218"/>
      <c r="BH63" s="3218"/>
      <c r="BI63" s="3218"/>
      <c r="BJ63" s="3218"/>
      <c r="BK63" s="3218"/>
      <c r="BL63" s="3218"/>
      <c r="BM63" s="3218"/>
      <c r="BN63" s="3218"/>
      <c r="BO63" s="3218"/>
      <c r="BP63" s="3218"/>
      <c r="BQ63" s="3218"/>
      <c r="BR63" s="3218"/>
      <c r="BS63" s="3218"/>
      <c r="BT63" s="3218"/>
      <c r="BU63" s="3218"/>
      <c r="BV63" s="3218"/>
      <c r="BW63" s="3218"/>
      <c r="BX63" s="3218"/>
      <c r="BY63" s="3218"/>
      <c r="BZ63" s="3218"/>
      <c r="CA63" s="3218"/>
      <c r="CB63" s="3218"/>
      <c r="CC63" s="3218"/>
      <c r="CD63" s="3218"/>
      <c r="CE63" s="3218"/>
      <c r="CF63" s="3218"/>
      <c r="CG63" s="3218"/>
      <c r="CH63" s="3218"/>
      <c r="CI63" s="3225">
        <f t="shared" si="0"/>
        <v>0</v>
      </c>
    </row>
    <row r="64" spans="1:87" s="1101" customFormat="1">
      <c r="A64" s="473" t="s">
        <v>4811</v>
      </c>
      <c r="B64" s="1489"/>
      <c r="C64" s="501" t="s">
        <v>4800</v>
      </c>
      <c r="D64" s="911" t="s">
        <v>80</v>
      </c>
      <c r="E64" s="1185" t="s">
        <v>4668</v>
      </c>
      <c r="F64" s="1490"/>
      <c r="G64" s="1490"/>
      <c r="H64" s="414"/>
      <c r="I64" s="414"/>
      <c r="J64" s="414"/>
      <c r="K64" s="414"/>
      <c r="L64" s="283"/>
      <c r="M64" s="801"/>
      <c r="N64" s="283"/>
      <c r="O64" s="1493">
        <f>'9-A.Training Sub-Annex'!O281</f>
        <v>0</v>
      </c>
      <c r="P64" s="108"/>
      <c r="Q64" s="391"/>
      <c r="R64" s="1456">
        <f>'9-A.Training Sub-Annex'!R281</f>
        <v>0</v>
      </c>
      <c r="BB64" s="3225"/>
      <c r="BC64" s="3225"/>
      <c r="BD64" s="3225"/>
      <c r="BE64" s="3225"/>
      <c r="BF64" s="3225"/>
      <c r="BG64" s="3225"/>
      <c r="BH64" s="3225"/>
      <c r="BI64" s="3225"/>
      <c r="BJ64" s="3225"/>
      <c r="BK64" s="3225"/>
      <c r="BL64" s="3225"/>
      <c r="BM64" s="3225"/>
      <c r="BN64" s="3225"/>
      <c r="BO64" s="3225"/>
      <c r="BP64" s="3225"/>
      <c r="BQ64" s="3225"/>
      <c r="BR64" s="3225"/>
      <c r="BS64" s="3225"/>
      <c r="BT64" s="3225"/>
      <c r="BU64" s="3225"/>
      <c r="BV64" s="3225"/>
      <c r="BW64" s="3225"/>
      <c r="BX64" s="3225"/>
      <c r="BY64" s="3225"/>
      <c r="BZ64" s="3225"/>
      <c r="CA64" s="3225"/>
      <c r="CB64" s="3225"/>
      <c r="CC64" s="3225"/>
      <c r="CD64" s="3225"/>
      <c r="CE64" s="3225"/>
      <c r="CF64" s="3225"/>
      <c r="CG64" s="3225"/>
      <c r="CH64" s="3225"/>
      <c r="CI64" s="3225">
        <f t="shared" si="0"/>
        <v>0</v>
      </c>
    </row>
    <row r="65" spans="3:87">
      <c r="BB65" s="3218">
        <f>SUM(BB7:BB64)</f>
        <v>18.760000000000002</v>
      </c>
      <c r="BC65" s="3218"/>
      <c r="BD65" s="3218"/>
      <c r="BE65" s="3218"/>
      <c r="BF65" s="3218"/>
      <c r="BG65" s="3218"/>
      <c r="BH65" s="3218"/>
      <c r="BI65" s="3218"/>
      <c r="BJ65" s="3218"/>
      <c r="BK65" s="3218"/>
      <c r="BL65" s="3218"/>
      <c r="BM65" s="3218"/>
      <c r="BN65" s="3218"/>
      <c r="BO65" s="3218"/>
      <c r="BP65" s="3218"/>
      <c r="BQ65" s="3218"/>
      <c r="BR65" s="3218"/>
      <c r="BS65" s="3218"/>
      <c r="BT65" s="3218"/>
      <c r="BU65" s="3218"/>
      <c r="BV65" s="3218"/>
      <c r="BW65" s="3218"/>
      <c r="BX65" s="3218"/>
      <c r="BY65" s="3218"/>
      <c r="BZ65" s="3218"/>
      <c r="CA65" s="3218"/>
      <c r="CB65" s="3218"/>
      <c r="CC65" s="3218"/>
      <c r="CD65" s="3218"/>
      <c r="CE65" s="3218"/>
      <c r="CF65" s="3218"/>
      <c r="CG65" s="3218"/>
      <c r="CH65" s="3218"/>
      <c r="CI65" s="3225">
        <f t="shared" si="0"/>
        <v>18.760000000000002</v>
      </c>
    </row>
    <row r="66" spans="3:87">
      <c r="BB66" s="3218"/>
      <c r="BC66" s="3218"/>
      <c r="BD66" s="3218"/>
      <c r="BE66" s="3218"/>
      <c r="BF66" s="3218"/>
      <c r="BG66" s="3218"/>
      <c r="BH66" s="3218"/>
      <c r="BI66" s="3218"/>
      <c r="BJ66" s="3218"/>
      <c r="BK66" s="3218"/>
      <c r="BL66" s="3218"/>
      <c r="BM66" s="3218"/>
      <c r="BN66" s="3218"/>
      <c r="BO66" s="3218"/>
      <c r="BP66" s="3218"/>
      <c r="BQ66" s="3218"/>
      <c r="BR66" s="3218"/>
      <c r="BS66" s="3218"/>
      <c r="BT66" s="3218"/>
      <c r="BU66" s="3218"/>
      <c r="BV66" s="3218"/>
      <c r="BW66" s="3218"/>
      <c r="BX66" s="3218"/>
      <c r="BY66" s="3218"/>
      <c r="BZ66" s="3218"/>
      <c r="CA66" s="3218"/>
      <c r="CB66" s="3218"/>
      <c r="CC66" s="3218"/>
      <c r="CD66" s="3218"/>
      <c r="CE66" s="3218"/>
      <c r="CF66" s="3218"/>
      <c r="CG66" s="3218"/>
      <c r="CH66" s="3218"/>
      <c r="CI66" s="3225">
        <f t="shared" si="0"/>
        <v>0</v>
      </c>
    </row>
    <row r="67" spans="3:87">
      <c r="C67" s="1378"/>
    </row>
  </sheetData>
  <sheetProtection password="CC49" sheet="1" objects="1" scenarios="1" autoFilter="0"/>
  <autoFilter ref="A6:BA64"/>
  <mergeCells count="15">
    <mergeCell ref="K5:P5"/>
    <mergeCell ref="Q5:R5"/>
    <mergeCell ref="A5:A6"/>
    <mergeCell ref="B5:B6"/>
    <mergeCell ref="C5:C6"/>
    <mergeCell ref="D5:D6"/>
    <mergeCell ref="E5:E6"/>
    <mergeCell ref="F5:J5"/>
    <mergeCell ref="AP1:BA1"/>
    <mergeCell ref="A2:A4"/>
    <mergeCell ref="A1:C1"/>
    <mergeCell ref="E1:E2"/>
    <mergeCell ref="F1:N1"/>
    <mergeCell ref="O1:AH1"/>
    <mergeCell ref="AI1:AO1"/>
  </mergeCells>
  <phoneticPr fontId="68"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sheetPr codeName="Sheet7">
    <tabColor rgb="FF00B050"/>
  </sheetPr>
  <dimension ref="A1:CI285"/>
  <sheetViews>
    <sheetView zoomScale="70" zoomScaleNormal="70" workbookViewId="0">
      <pane xSplit="5" ySplit="4" topLeftCell="O5" activePane="bottomRight" state="frozen"/>
      <selection activeCell="A2" sqref="A2:A4"/>
      <selection pane="topRight" activeCell="A2" sqref="A2:A4"/>
      <selection pane="bottomLeft" activeCell="A2" sqref="A2:A4"/>
      <selection pane="bottomRight" activeCell="BC17" sqref="BC17"/>
    </sheetView>
  </sheetViews>
  <sheetFormatPr defaultColWidth="9.140625" defaultRowHeight="15"/>
  <cols>
    <col min="1" max="1" width="16.140625" style="1410" bestFit="1" customWidth="1"/>
    <col min="2" max="2" width="16.5703125" style="1491" bestFit="1" customWidth="1"/>
    <col min="3" max="3" width="34.7109375" style="1411" customWidth="1"/>
    <col min="4" max="4" width="10.140625" style="1130" bestFit="1" customWidth="1"/>
    <col min="5" max="5" width="18.140625" style="1130" hidden="1" customWidth="1"/>
    <col min="6" max="6" width="16.42578125" style="1196" hidden="1" customWidth="1"/>
    <col min="7" max="7" width="21.140625" style="1196" hidden="1" customWidth="1"/>
    <col min="8" max="8" width="15.85546875" style="1196" hidden="1" customWidth="1"/>
    <col min="9" max="9" width="16.42578125" style="1196" hidden="1" customWidth="1"/>
    <col min="10" max="10" width="16.140625" style="1196" hidden="1" customWidth="1"/>
    <col min="11" max="11" width="14.85546875" style="1378" hidden="1" customWidth="1"/>
    <col min="12" max="12" width="15.42578125" style="1378" hidden="1" customWidth="1"/>
    <col min="13" max="13" width="13.42578125" style="1378" hidden="1" customWidth="1"/>
    <col min="14" max="14" width="10.5703125" style="1378" hidden="1" customWidth="1"/>
    <col min="15" max="15" width="12.140625" style="1378" bestFit="1" customWidth="1"/>
    <col min="16" max="16" width="34" style="1410" customWidth="1"/>
    <col min="17" max="17" width="42.7109375" style="1410" customWidth="1"/>
    <col min="18" max="18" width="11.5703125" style="2937" customWidth="1"/>
    <col min="19" max="19" width="11" style="1378" hidden="1" customWidth="1"/>
    <col min="20" max="20" width="10.85546875" style="1378" hidden="1" customWidth="1"/>
    <col min="21" max="21" width="4" style="1378" hidden="1" customWidth="1"/>
    <col min="22" max="22" width="3.85546875" style="1378" hidden="1" customWidth="1"/>
    <col min="23" max="23" width="5.5703125" style="1378" hidden="1" customWidth="1"/>
    <col min="24" max="24" width="4.5703125" style="1378" hidden="1" customWidth="1"/>
    <col min="25" max="25" width="5.85546875" style="1378" hidden="1" customWidth="1"/>
    <col min="26" max="26" width="7.140625" style="1378" hidden="1" customWidth="1"/>
    <col min="27" max="27" width="3.7109375" style="1378" hidden="1" customWidth="1"/>
    <col min="28" max="28" width="8" style="1378" hidden="1" customWidth="1"/>
    <col min="29" max="29" width="4.140625" style="1378" hidden="1" customWidth="1"/>
    <col min="30" max="30" width="3.85546875" style="1378" hidden="1" customWidth="1"/>
    <col min="31" max="31" width="7.140625" style="1378" hidden="1" customWidth="1"/>
    <col min="32" max="32" width="3.42578125" style="1378" hidden="1" customWidth="1"/>
    <col min="33" max="34" width="7.140625" style="1378" hidden="1" customWidth="1"/>
    <col min="35" max="35" width="4.5703125" style="1378" hidden="1" customWidth="1"/>
    <col min="36" max="36" width="8" style="1378" hidden="1" customWidth="1"/>
    <col min="37" max="38" width="5.28515625" style="1378" hidden="1" customWidth="1"/>
    <col min="39" max="39" width="6.85546875" style="1378" hidden="1" customWidth="1"/>
    <col min="40" max="40" width="5.5703125" style="1378" hidden="1" customWidth="1"/>
    <col min="41" max="41" width="5.140625" style="1378" hidden="1" customWidth="1"/>
    <col min="42" max="42" width="5.5703125" style="1378" hidden="1" customWidth="1"/>
    <col min="43" max="43" width="6.28515625" style="1378" hidden="1" customWidth="1"/>
    <col min="44" max="44" width="6.5703125" style="1378" hidden="1" customWidth="1"/>
    <col min="45" max="45" width="5.42578125" style="1378" hidden="1" customWidth="1"/>
    <col min="46" max="46" width="7.5703125" style="1378" hidden="1" customWidth="1"/>
    <col min="47" max="47" width="7.42578125" style="1378" hidden="1" customWidth="1"/>
    <col min="48" max="48" width="8" style="1378" hidden="1" customWidth="1"/>
    <col min="49" max="49" width="6" style="1378" hidden="1" customWidth="1"/>
    <col min="50" max="50" width="5.5703125" style="1378" hidden="1" customWidth="1"/>
    <col min="51" max="51" width="6.42578125" style="1378" hidden="1" customWidth="1"/>
    <col min="52" max="53" width="6.7109375" style="1378" hidden="1" customWidth="1"/>
    <col min="54" max="54" width="12" style="1378" customWidth="1"/>
    <col min="55" max="55" width="18.5703125" style="1378" customWidth="1"/>
    <col min="56" max="56" width="18.28515625" style="1378" customWidth="1"/>
    <col min="57" max="57" width="14.28515625" style="1378" bestFit="1" customWidth="1"/>
    <col min="58" max="58" width="11.7109375" style="1378" bestFit="1" customWidth="1"/>
    <col min="59" max="59" width="12.140625" style="1378" bestFit="1" customWidth="1"/>
    <col min="60" max="60" width="9.28515625" style="1378" bestFit="1" customWidth="1"/>
    <col min="61" max="61" width="11.42578125" style="1378" bestFit="1" customWidth="1"/>
    <col min="62" max="62" width="9.28515625" style="1378" bestFit="1" customWidth="1"/>
    <col min="63" max="63" width="10.5703125" style="1378" bestFit="1" customWidth="1"/>
    <col min="64" max="64" width="12.5703125" style="1378" bestFit="1" customWidth="1"/>
    <col min="65" max="66" width="9.28515625" style="1378" bestFit="1" customWidth="1"/>
    <col min="67" max="67" width="9.140625" style="1378"/>
    <col min="68" max="68" width="10.28515625" style="1378" bestFit="1" customWidth="1"/>
    <col min="69" max="69" width="13" style="1378" bestFit="1" customWidth="1"/>
    <col min="70" max="70" width="14.28515625" style="1378" bestFit="1" customWidth="1"/>
    <col min="71" max="71" width="11.7109375" style="1378" bestFit="1" customWidth="1"/>
    <col min="72" max="72" width="12" style="1378" bestFit="1" customWidth="1"/>
    <col min="73" max="73" width="9.140625" style="1378"/>
    <col min="74" max="74" width="12" style="1378" bestFit="1" customWidth="1"/>
    <col min="75" max="75" width="11.7109375" style="1378" bestFit="1" customWidth="1"/>
    <col min="76" max="76" width="15" style="1378" bestFit="1" customWidth="1"/>
    <col min="77" max="78" width="9.140625" style="1378"/>
    <col min="79" max="79" width="10.7109375" style="1378" bestFit="1" customWidth="1"/>
    <col min="80" max="80" width="12" style="1378" bestFit="1" customWidth="1"/>
    <col min="81" max="81" width="10.140625" style="1378" bestFit="1" customWidth="1"/>
    <col min="82" max="82" width="10" style="1378" bestFit="1" customWidth="1"/>
    <col min="83" max="83" width="16.85546875" style="1378" bestFit="1" customWidth="1"/>
    <col min="84" max="84" width="9.140625" style="1378"/>
    <col min="85" max="86" width="11.7109375" style="1378" bestFit="1" customWidth="1"/>
    <col min="87" max="87" width="9.28515625" style="1378" bestFit="1" customWidth="1"/>
    <col min="88" max="16384" width="9.140625" style="1378"/>
  </cols>
  <sheetData>
    <row r="1" spans="1:87" s="1129" customFormat="1" ht="14.45" customHeight="1">
      <c r="A1" s="3919"/>
      <c r="B1" s="3919"/>
      <c r="C1" s="3920"/>
      <c r="E1" s="980"/>
      <c r="G1" s="1136"/>
      <c r="H1" s="1137"/>
      <c r="I1" s="1137"/>
      <c r="J1" s="1137"/>
      <c r="K1" s="1137"/>
      <c r="L1" s="1137"/>
      <c r="M1" s="1137"/>
      <c r="N1" s="1137"/>
      <c r="O1" s="1137"/>
      <c r="P1" s="1137"/>
      <c r="Q1" s="1137"/>
      <c r="R1" s="2916"/>
      <c r="S1" s="1137"/>
      <c r="T1" s="1137"/>
      <c r="U1" s="1137"/>
      <c r="V1" s="1137"/>
      <c r="W1" s="1137"/>
      <c r="X1" s="1137"/>
      <c r="Y1" s="1137"/>
      <c r="Z1" s="1137"/>
      <c r="AA1" s="1137"/>
      <c r="AB1" s="1137"/>
      <c r="AC1" s="1137"/>
      <c r="AD1" s="1137"/>
      <c r="AE1" s="1137"/>
      <c r="AF1" s="1137"/>
      <c r="AG1" s="1137"/>
      <c r="AH1" s="1137"/>
      <c r="AI1" s="1137"/>
      <c r="AJ1" s="1137"/>
      <c r="AK1" s="1137"/>
      <c r="AL1" s="1137"/>
      <c r="AM1" s="1137"/>
      <c r="AN1" s="1137"/>
      <c r="AO1" s="1137"/>
      <c r="AP1" s="1138"/>
      <c r="AQ1" s="1138"/>
      <c r="AR1" s="1138"/>
      <c r="AS1" s="1138"/>
      <c r="AT1" s="1138"/>
      <c r="AU1" s="1138"/>
      <c r="AV1" s="1138"/>
      <c r="AW1" s="1332"/>
      <c r="AX1" s="1332"/>
      <c r="AY1" s="1332"/>
      <c r="AZ1" s="1332"/>
      <c r="BA1" s="1332"/>
      <c r="BB1" s="1332"/>
      <c r="BC1" s="1332"/>
      <c r="BD1" s="1332"/>
    </row>
    <row r="2" spans="1:87" s="861" customFormat="1" ht="14.45" customHeight="1">
      <c r="A2" s="864" t="str">
        <f>HYPERLINK("#'Budget Summary I'!A1:AL1", "Budget Summary I")</f>
        <v>Budget Summary I</v>
      </c>
      <c r="B2" s="864" t="str">
        <f>HYPERLINK("#'Budget Summary II'!A3:B5", "Budget Summary II")</f>
        <v>Budget Summary II</v>
      </c>
      <c r="C2" s="1333" t="str">
        <f>HYPERLINK("#'Summary of Abstracts'!A2", "Summary of Abst.")</f>
        <v>Summary of Abst.</v>
      </c>
      <c r="E2" s="980"/>
      <c r="G2" s="1136"/>
      <c r="H2" s="1143"/>
      <c r="I2" s="1143"/>
      <c r="J2" s="1143"/>
      <c r="K2" s="1143"/>
      <c r="L2" s="1143"/>
      <c r="M2" s="1143"/>
      <c r="N2" s="1144"/>
      <c r="O2" s="1144"/>
      <c r="P2" s="1144"/>
      <c r="Q2" s="1145"/>
      <c r="R2" s="2917"/>
      <c r="S2" s="1145"/>
      <c r="T2" s="1145"/>
      <c r="U2" s="1145"/>
      <c r="V2" s="1145"/>
      <c r="W2" s="1145"/>
      <c r="X2" s="1145"/>
      <c r="Y2" s="1145"/>
      <c r="Z2" s="1145"/>
      <c r="AA2" s="1145"/>
      <c r="AB2" s="1145"/>
      <c r="AC2" s="1145"/>
      <c r="AD2" s="1145"/>
      <c r="AE2" s="1145"/>
      <c r="AF2" s="1145"/>
      <c r="AG2" s="1145"/>
      <c r="AH2" s="1145"/>
      <c r="AI2" s="1145"/>
      <c r="AJ2" s="1145"/>
      <c r="AK2" s="1145"/>
      <c r="AL2" s="1142"/>
      <c r="AM2" s="1142"/>
      <c r="AN2" s="1142"/>
      <c r="AO2" s="1142"/>
      <c r="AP2" s="1142"/>
      <c r="AQ2" s="1142"/>
      <c r="AR2" s="1142"/>
      <c r="AS2" s="1142"/>
      <c r="AT2" s="1142"/>
      <c r="AU2" s="1142"/>
      <c r="AV2" s="1142"/>
      <c r="AW2" s="1334"/>
      <c r="AX2" s="1334"/>
      <c r="AY2" s="1334"/>
      <c r="AZ2" s="1334"/>
      <c r="BA2" s="1334"/>
      <c r="BB2" s="1334"/>
      <c r="BC2" s="1334"/>
      <c r="BD2" s="1334"/>
    </row>
    <row r="3" spans="1:87" s="1130" customFormat="1" ht="12.75" customHeight="1">
      <c r="A3" s="3912" t="s">
        <v>49</v>
      </c>
      <c r="B3" s="3913"/>
      <c r="C3" s="3801" t="s">
        <v>50</v>
      </c>
      <c r="D3" s="3801" t="s">
        <v>51</v>
      </c>
      <c r="E3" s="3801" t="s">
        <v>52</v>
      </c>
      <c r="F3" s="3866" t="s">
        <v>4478</v>
      </c>
      <c r="G3" s="3866"/>
      <c r="H3" s="3866"/>
      <c r="I3" s="3866"/>
      <c r="J3" s="3866"/>
      <c r="K3" s="3894" t="s">
        <v>4484</v>
      </c>
      <c r="L3" s="3903"/>
      <c r="M3" s="3903"/>
      <c r="N3" s="3903"/>
      <c r="O3" s="3903"/>
      <c r="P3" s="3904"/>
      <c r="Q3" s="3912" t="s">
        <v>4514</v>
      </c>
      <c r="R3" s="3913"/>
    </row>
    <row r="4" spans="1:87" s="1450" customFormat="1" ht="45" customHeight="1">
      <c r="A4" s="3921"/>
      <c r="B4" s="3922"/>
      <c r="C4" s="3801"/>
      <c r="D4" s="3801"/>
      <c r="E4" s="3801"/>
      <c r="F4" s="918" t="s">
        <v>4479</v>
      </c>
      <c r="G4" s="918" t="s">
        <v>4482</v>
      </c>
      <c r="H4" s="918" t="s">
        <v>4480</v>
      </c>
      <c r="I4" s="918" t="s">
        <v>4483</v>
      </c>
      <c r="J4" s="918" t="s">
        <v>2448</v>
      </c>
      <c r="K4" s="919" t="s">
        <v>53</v>
      </c>
      <c r="L4" s="919" t="s">
        <v>54</v>
      </c>
      <c r="M4" s="1228" t="s">
        <v>55</v>
      </c>
      <c r="N4" s="919" t="s">
        <v>56</v>
      </c>
      <c r="O4" s="1228" t="s">
        <v>57</v>
      </c>
      <c r="P4" s="988" t="s">
        <v>5069</v>
      </c>
      <c r="Q4" s="1240" t="s">
        <v>2450</v>
      </c>
      <c r="R4" s="2918" t="s">
        <v>4515</v>
      </c>
      <c r="S4" s="1450" t="s">
        <v>4538</v>
      </c>
      <c r="BB4" s="3153" t="s">
        <v>5973</v>
      </c>
      <c r="BC4" s="3153" t="s">
        <v>5432</v>
      </c>
      <c r="BD4" s="3153" t="s">
        <v>5433</v>
      </c>
      <c r="BE4" s="3153" t="s">
        <v>5434</v>
      </c>
      <c r="BF4" s="3153" t="s">
        <v>5435</v>
      </c>
      <c r="BG4" s="3153" t="s">
        <v>5436</v>
      </c>
      <c r="BH4" s="3153" t="s">
        <v>5437</v>
      </c>
      <c r="BI4" s="3153" t="s">
        <v>5959</v>
      </c>
      <c r="BJ4" s="3153" t="s">
        <v>5438</v>
      </c>
      <c r="BK4" s="3153" t="s">
        <v>5439</v>
      </c>
      <c r="BL4" s="3153" t="s">
        <v>5960</v>
      </c>
      <c r="BM4" s="3153" t="s">
        <v>5440</v>
      </c>
      <c r="BN4" s="3153" t="s">
        <v>5441</v>
      </c>
      <c r="BO4" s="3153" t="s">
        <v>5961</v>
      </c>
      <c r="BP4" s="3153" t="s">
        <v>5974</v>
      </c>
      <c r="BQ4" s="3153" t="s">
        <v>5975</v>
      </c>
      <c r="BR4" s="3153" t="s">
        <v>5976</v>
      </c>
      <c r="BS4" s="3153" t="s">
        <v>5977</v>
      </c>
      <c r="BT4" s="3153" t="s">
        <v>5978</v>
      </c>
      <c r="BU4" s="3153" t="s">
        <v>5979</v>
      </c>
      <c r="BV4" s="3153" t="s">
        <v>5962</v>
      </c>
      <c r="BW4" s="3153" t="s">
        <v>5963</v>
      </c>
      <c r="BX4" s="3153" t="s">
        <v>5964</v>
      </c>
      <c r="BY4" s="3153" t="s">
        <v>5965</v>
      </c>
      <c r="BZ4" s="3153" t="s">
        <v>5966</v>
      </c>
      <c r="CA4" s="3153" t="s">
        <v>5967</v>
      </c>
      <c r="CB4" s="3153" t="s">
        <v>5968</v>
      </c>
      <c r="CC4" s="3153" t="s">
        <v>5969</v>
      </c>
      <c r="CD4" s="3153" t="s">
        <v>5970</v>
      </c>
      <c r="CE4" s="3153" t="s">
        <v>5980</v>
      </c>
      <c r="CF4" s="3153" t="s">
        <v>5971</v>
      </c>
      <c r="CG4" s="3153" t="s">
        <v>5981</v>
      </c>
      <c r="CH4" s="3153" t="s">
        <v>5982</v>
      </c>
      <c r="CI4" s="3153" t="s">
        <v>5972</v>
      </c>
    </row>
    <row r="5" spans="1:87" s="1101" customFormat="1" ht="75">
      <c r="A5" s="331">
        <v>9.1</v>
      </c>
      <c r="B5" s="1199"/>
      <c r="C5" s="1053" t="s">
        <v>4207</v>
      </c>
      <c r="D5" s="1245"/>
      <c r="E5" s="1245"/>
      <c r="F5" s="1246"/>
      <c r="G5" s="1246"/>
      <c r="H5" s="1246"/>
      <c r="I5" s="1246"/>
      <c r="J5" s="1246"/>
      <c r="K5" s="1246"/>
      <c r="L5" s="1246"/>
      <c r="M5" s="1452"/>
      <c r="N5" s="1452"/>
      <c r="O5" s="1503"/>
      <c r="P5" s="1249"/>
      <c r="Q5" s="1504"/>
      <c r="R5" s="2872"/>
      <c r="S5" s="1101">
        <f>S20</f>
        <v>23.28</v>
      </c>
      <c r="T5" s="1101">
        <f>T152</f>
        <v>0</v>
      </c>
      <c r="BB5" s="3225"/>
      <c r="BC5" s="3225"/>
      <c r="BD5" s="3225"/>
      <c r="BE5" s="3225"/>
      <c r="BF5" s="3225"/>
      <c r="BG5" s="3225"/>
      <c r="BH5" s="3225"/>
      <c r="BI5" s="3225"/>
      <c r="BJ5" s="3225"/>
      <c r="BK5" s="3225"/>
      <c r="BL5" s="3225"/>
      <c r="BM5" s="3225"/>
      <c r="BN5" s="3225"/>
      <c r="BO5" s="3225"/>
      <c r="BP5" s="3225"/>
      <c r="BQ5" s="3225"/>
      <c r="BR5" s="3225"/>
      <c r="BS5" s="3225"/>
      <c r="BT5" s="3225"/>
      <c r="BU5" s="3225"/>
      <c r="BV5" s="3225"/>
      <c r="BW5" s="3225"/>
      <c r="BX5" s="3225"/>
      <c r="BY5" s="3225"/>
      <c r="BZ5" s="3225"/>
      <c r="CA5" s="3225"/>
      <c r="CB5" s="3225"/>
      <c r="CC5" s="3225"/>
      <c r="CD5" s="3225"/>
      <c r="CE5" s="3225"/>
      <c r="CF5" s="3225"/>
      <c r="CG5" s="3225"/>
      <c r="CH5" s="3225"/>
      <c r="CI5" s="3225">
        <f>SUM(BB5:CH5)</f>
        <v>0</v>
      </c>
    </row>
    <row r="6" spans="1:87" s="1101" customFormat="1">
      <c r="A6" s="3958" t="s">
        <v>4748</v>
      </c>
      <c r="B6" s="3959"/>
      <c r="C6" s="3960"/>
      <c r="D6" s="1162"/>
      <c r="E6" s="1162"/>
      <c r="F6" s="1163"/>
      <c r="G6" s="1163"/>
      <c r="H6" s="1163"/>
      <c r="I6" s="1163"/>
      <c r="J6" s="1163"/>
      <c r="K6" s="1163"/>
      <c r="L6" s="1163"/>
      <c r="M6" s="1505"/>
      <c r="N6" s="1505"/>
      <c r="O6" s="1506">
        <f>SUM(O7:O11)</f>
        <v>0</v>
      </c>
      <c r="P6" s="1166"/>
      <c r="Q6" s="1167"/>
      <c r="R6" s="2919">
        <f>SUM(R7:R11)</f>
        <v>0</v>
      </c>
      <c r="BB6" s="3225"/>
      <c r="BC6" s="3225"/>
      <c r="BD6" s="3225"/>
      <c r="BE6" s="3225"/>
      <c r="BF6" s="3225"/>
      <c r="BG6" s="3225"/>
      <c r="BH6" s="3225"/>
      <c r="BI6" s="3225"/>
      <c r="BJ6" s="3225"/>
      <c r="BK6" s="3225"/>
      <c r="BL6" s="3225"/>
      <c r="BM6" s="3225"/>
      <c r="BN6" s="3225"/>
      <c r="BO6" s="3225"/>
      <c r="BP6" s="3225"/>
      <c r="BQ6" s="3225"/>
      <c r="BR6" s="3225"/>
      <c r="BS6" s="3225"/>
      <c r="BT6" s="3225"/>
      <c r="BU6" s="3225"/>
      <c r="BV6" s="3225"/>
      <c r="BW6" s="3225"/>
      <c r="BX6" s="3225"/>
      <c r="BY6" s="3225"/>
      <c r="BZ6" s="3225"/>
      <c r="CA6" s="3225"/>
      <c r="CB6" s="3225"/>
      <c r="CC6" s="3225"/>
      <c r="CD6" s="3225"/>
      <c r="CE6" s="3225"/>
      <c r="CF6" s="3225"/>
      <c r="CG6" s="3225"/>
      <c r="CH6" s="3225"/>
      <c r="CI6" s="3225">
        <f t="shared" ref="CI6:CI69" si="0">SUM(BB6:CH6)</f>
        <v>0</v>
      </c>
    </row>
    <row r="7" spans="1:87" s="1101" customFormat="1">
      <c r="A7" s="1407" t="s">
        <v>738</v>
      </c>
      <c r="B7" s="508" t="s">
        <v>739</v>
      </c>
      <c r="C7" s="508" t="s">
        <v>740</v>
      </c>
      <c r="D7" s="1454" t="s">
        <v>85</v>
      </c>
      <c r="E7" s="1120" t="s">
        <v>113</v>
      </c>
      <c r="F7" s="2211">
        <v>0</v>
      </c>
      <c r="G7" s="276"/>
      <c r="H7" s="2211">
        <v>0</v>
      </c>
      <c r="I7" s="276"/>
      <c r="J7" s="276"/>
      <c r="K7" s="276"/>
      <c r="L7" s="277"/>
      <c r="M7" s="281">
        <f>L7/100000</f>
        <v>0</v>
      </c>
      <c r="N7" s="277"/>
      <c r="O7" s="1507">
        <f>M7*N7</f>
        <v>0</v>
      </c>
      <c r="P7" s="744"/>
      <c r="Q7" s="1017" t="str">
        <f>'Ab1. RMNCH+A'!Q57</f>
        <v>-</v>
      </c>
      <c r="R7" s="2920">
        <f>'Ab1. RMNCH+A'!R57</f>
        <v>0</v>
      </c>
      <c r="BB7" s="3225"/>
      <c r="BC7" s="3225"/>
      <c r="BD7" s="3225"/>
      <c r="BE7" s="3225"/>
      <c r="BF7" s="3225"/>
      <c r="BG7" s="3225"/>
      <c r="BH7" s="3225"/>
      <c r="BI7" s="3225"/>
      <c r="BJ7" s="3225"/>
      <c r="BK7" s="3225"/>
      <c r="BL7" s="3225"/>
      <c r="BM7" s="3225"/>
      <c r="BN7" s="3225"/>
      <c r="BO7" s="3225"/>
      <c r="BP7" s="3225"/>
      <c r="BQ7" s="3225"/>
      <c r="BR7" s="3225"/>
      <c r="BS7" s="3225"/>
      <c r="BT7" s="3225"/>
      <c r="BU7" s="3225"/>
      <c r="BV7" s="3225"/>
      <c r="BW7" s="3225"/>
      <c r="BX7" s="3225"/>
      <c r="BY7" s="3225"/>
      <c r="BZ7" s="3225"/>
      <c r="CA7" s="3225"/>
      <c r="CB7" s="3225"/>
      <c r="CC7" s="3225"/>
      <c r="CD7" s="3225"/>
      <c r="CE7" s="3225"/>
      <c r="CF7" s="3225"/>
      <c r="CG7" s="3225"/>
      <c r="CH7" s="3225"/>
      <c r="CI7" s="3225">
        <f t="shared" si="0"/>
        <v>0</v>
      </c>
    </row>
    <row r="8" spans="1:87">
      <c r="A8" s="1407" t="s">
        <v>741</v>
      </c>
      <c r="B8" s="508" t="s">
        <v>742</v>
      </c>
      <c r="C8" s="508" t="s">
        <v>743</v>
      </c>
      <c r="D8" s="1454" t="s">
        <v>85</v>
      </c>
      <c r="E8" s="1120" t="s">
        <v>113</v>
      </c>
      <c r="F8" s="2211">
        <v>0</v>
      </c>
      <c r="G8" s="276"/>
      <c r="H8" s="2211">
        <v>0</v>
      </c>
      <c r="I8" s="276"/>
      <c r="J8" s="276"/>
      <c r="K8" s="276"/>
      <c r="L8" s="277"/>
      <c r="M8" s="281">
        <f>L8/100000</f>
        <v>0</v>
      </c>
      <c r="N8" s="277"/>
      <c r="O8" s="1507">
        <f>M8*N8</f>
        <v>0</v>
      </c>
      <c r="P8" s="744"/>
      <c r="Q8" s="1017" t="str">
        <f>'Ab1. RMNCH+A'!Q58</f>
        <v>-</v>
      </c>
      <c r="R8" s="2920">
        <f>'Ab1. RMNCH+A'!R58</f>
        <v>0</v>
      </c>
      <c r="BB8" s="3218"/>
      <c r="BC8" s="3218"/>
      <c r="BD8" s="3218"/>
      <c r="BE8" s="3218"/>
      <c r="BF8" s="3218"/>
      <c r="BG8" s="3218"/>
      <c r="BH8" s="3218"/>
      <c r="BI8" s="3218"/>
      <c r="BJ8" s="3218"/>
      <c r="BK8" s="3218"/>
      <c r="BL8" s="3218"/>
      <c r="BM8" s="3218"/>
      <c r="BN8" s="3218"/>
      <c r="BO8" s="3218"/>
      <c r="BP8" s="3218"/>
      <c r="BQ8" s="3218"/>
      <c r="BR8" s="3218"/>
      <c r="BS8" s="3218"/>
      <c r="BT8" s="3218"/>
      <c r="BU8" s="3218"/>
      <c r="BV8" s="3218"/>
      <c r="BW8" s="3218"/>
      <c r="BX8" s="3218"/>
      <c r="BY8" s="3218"/>
      <c r="BZ8" s="3218"/>
      <c r="CA8" s="3218"/>
      <c r="CB8" s="3218"/>
      <c r="CC8" s="3218"/>
      <c r="CD8" s="3218"/>
      <c r="CE8" s="3218"/>
      <c r="CF8" s="3218"/>
      <c r="CG8" s="3218"/>
      <c r="CH8" s="3218"/>
      <c r="CI8" s="3225">
        <f t="shared" si="0"/>
        <v>0</v>
      </c>
    </row>
    <row r="9" spans="1:87">
      <c r="A9" s="1407" t="s">
        <v>744</v>
      </c>
      <c r="B9" s="508" t="s">
        <v>745</v>
      </c>
      <c r="C9" s="508" t="s">
        <v>746</v>
      </c>
      <c r="D9" s="1454" t="s">
        <v>85</v>
      </c>
      <c r="E9" s="1120" t="s">
        <v>113</v>
      </c>
      <c r="F9" s="2211">
        <v>0</v>
      </c>
      <c r="G9" s="276"/>
      <c r="H9" s="2211">
        <v>0</v>
      </c>
      <c r="I9" s="276"/>
      <c r="J9" s="276"/>
      <c r="K9" s="276"/>
      <c r="L9" s="277"/>
      <c r="M9" s="281">
        <f>L9/100000</f>
        <v>0</v>
      </c>
      <c r="N9" s="277"/>
      <c r="O9" s="1507">
        <f>M9*N9</f>
        <v>0</v>
      </c>
      <c r="P9" s="744"/>
      <c r="Q9" s="1017" t="str">
        <f>'Ab1. RMNCH+A'!Q59</f>
        <v>-</v>
      </c>
      <c r="R9" s="2920">
        <f>'Ab1. RMNCH+A'!R59</f>
        <v>0</v>
      </c>
      <c r="BB9" s="3218"/>
      <c r="BC9" s="3218"/>
      <c r="BD9" s="3218"/>
      <c r="BE9" s="3218"/>
      <c r="BF9" s="3218"/>
      <c r="BG9" s="3218"/>
      <c r="BH9" s="3218"/>
      <c r="BI9" s="3218"/>
      <c r="BJ9" s="3218"/>
      <c r="BK9" s="3218"/>
      <c r="BL9" s="3218"/>
      <c r="BM9" s="3218"/>
      <c r="BN9" s="3218"/>
      <c r="BO9" s="3218"/>
      <c r="BP9" s="3218"/>
      <c r="BQ9" s="3218"/>
      <c r="BR9" s="3218"/>
      <c r="BS9" s="3218"/>
      <c r="BT9" s="3218"/>
      <c r="BU9" s="3218"/>
      <c r="BV9" s="3218"/>
      <c r="BW9" s="3218"/>
      <c r="BX9" s="3218"/>
      <c r="BY9" s="3218"/>
      <c r="BZ9" s="3218"/>
      <c r="CA9" s="3218"/>
      <c r="CB9" s="3218"/>
      <c r="CC9" s="3218"/>
      <c r="CD9" s="3218"/>
      <c r="CE9" s="3218"/>
      <c r="CF9" s="3218"/>
      <c r="CG9" s="3218"/>
      <c r="CH9" s="3218"/>
      <c r="CI9" s="3225">
        <f t="shared" si="0"/>
        <v>0</v>
      </c>
    </row>
    <row r="10" spans="1:87" ht="30">
      <c r="A10" s="1407" t="s">
        <v>747</v>
      </c>
      <c r="B10" s="508" t="s">
        <v>748</v>
      </c>
      <c r="C10" s="508" t="s">
        <v>749</v>
      </c>
      <c r="D10" s="1454" t="s">
        <v>85</v>
      </c>
      <c r="E10" s="1120" t="s">
        <v>113</v>
      </c>
      <c r="F10" s="2211">
        <v>0</v>
      </c>
      <c r="G10" s="276"/>
      <c r="H10" s="2211">
        <v>0</v>
      </c>
      <c r="I10" s="276"/>
      <c r="J10" s="276"/>
      <c r="K10" s="276"/>
      <c r="L10" s="277"/>
      <c r="M10" s="281">
        <f>L10/100000</f>
        <v>0</v>
      </c>
      <c r="N10" s="277"/>
      <c r="O10" s="1507">
        <f>M10*N10</f>
        <v>0</v>
      </c>
      <c r="P10" s="744"/>
      <c r="Q10" s="1017" t="str">
        <f>'Ab1. RMNCH+A'!Q60</f>
        <v>-</v>
      </c>
      <c r="R10" s="2920">
        <f>'Ab1. RMNCH+A'!R60</f>
        <v>0</v>
      </c>
      <c r="BB10" s="3218"/>
      <c r="BC10" s="3218"/>
      <c r="BD10" s="3218"/>
      <c r="BE10" s="3218"/>
      <c r="BF10" s="3218"/>
      <c r="BG10" s="3218"/>
      <c r="BH10" s="3218"/>
      <c r="BI10" s="3218"/>
      <c r="BJ10" s="3218"/>
      <c r="BK10" s="3218"/>
      <c r="BL10" s="3218"/>
      <c r="BM10" s="3218"/>
      <c r="BN10" s="3218"/>
      <c r="BO10" s="3218"/>
      <c r="BP10" s="3218"/>
      <c r="BQ10" s="3218"/>
      <c r="BR10" s="3218"/>
      <c r="BS10" s="3218"/>
      <c r="BT10" s="3218"/>
      <c r="BU10" s="3218"/>
      <c r="BV10" s="3218"/>
      <c r="BW10" s="3218"/>
      <c r="BX10" s="3218"/>
      <c r="BY10" s="3218"/>
      <c r="BZ10" s="3218"/>
      <c r="CA10" s="3218"/>
      <c r="CB10" s="3218"/>
      <c r="CC10" s="3218"/>
      <c r="CD10" s="3218"/>
      <c r="CE10" s="3218"/>
      <c r="CF10" s="3218"/>
      <c r="CG10" s="3218"/>
      <c r="CH10" s="3218"/>
      <c r="CI10" s="3225">
        <f t="shared" si="0"/>
        <v>0</v>
      </c>
    </row>
    <row r="11" spans="1:87" ht="45">
      <c r="A11" s="1407" t="s">
        <v>750</v>
      </c>
      <c r="B11" s="508" t="s">
        <v>751</v>
      </c>
      <c r="C11" s="508" t="s">
        <v>752</v>
      </c>
      <c r="D11" s="908" t="s">
        <v>65</v>
      </c>
      <c r="E11" s="1508" t="s">
        <v>5071</v>
      </c>
      <c r="F11" s="393">
        <v>1</v>
      </c>
      <c r="G11" s="393"/>
      <c r="H11" s="393">
        <v>10.25</v>
      </c>
      <c r="I11" s="393"/>
      <c r="J11" s="393">
        <v>10.25</v>
      </c>
      <c r="K11" s="252"/>
      <c r="L11" s="277"/>
      <c r="M11" s="281">
        <f>L11/100000</f>
        <v>0</v>
      </c>
      <c r="N11" s="277"/>
      <c r="O11" s="1507">
        <f>M11*N11</f>
        <v>0</v>
      </c>
      <c r="P11" s="707"/>
      <c r="Q11" s="1022"/>
      <c r="R11" s="2921"/>
      <c r="BB11" s="3218"/>
      <c r="BC11" s="3218"/>
      <c r="BD11" s="3218"/>
      <c r="BE11" s="3218"/>
      <c r="BF11" s="3218"/>
      <c r="BG11" s="3218"/>
      <c r="BH11" s="3218"/>
      <c r="BI11" s="3218"/>
      <c r="BJ11" s="3218"/>
      <c r="BK11" s="3218"/>
      <c r="BL11" s="3218"/>
      <c r="BM11" s="3218"/>
      <c r="BN11" s="3218"/>
      <c r="BO11" s="3218"/>
      <c r="BP11" s="3218"/>
      <c r="BQ11" s="3218"/>
      <c r="BR11" s="3218"/>
      <c r="BS11" s="3218"/>
      <c r="BT11" s="3218"/>
      <c r="BU11" s="3218"/>
      <c r="BV11" s="3218"/>
      <c r="BW11" s="3218"/>
      <c r="BX11" s="3218"/>
      <c r="BY11" s="3218"/>
      <c r="BZ11" s="3218"/>
      <c r="CA11" s="3218"/>
      <c r="CB11" s="3218"/>
      <c r="CC11" s="3218"/>
      <c r="CD11" s="3218"/>
      <c r="CE11" s="3218"/>
      <c r="CF11" s="3218"/>
      <c r="CG11" s="3218"/>
      <c r="CH11" s="3218"/>
      <c r="CI11" s="3225">
        <f t="shared" si="0"/>
        <v>0</v>
      </c>
    </row>
    <row r="12" spans="1:87">
      <c r="A12" s="469" t="s">
        <v>2484</v>
      </c>
      <c r="B12" s="513"/>
      <c r="C12" s="513" t="s">
        <v>4749</v>
      </c>
      <c r="D12" s="1509"/>
      <c r="E12" s="1509"/>
      <c r="F12" s="394"/>
      <c r="G12" s="394"/>
      <c r="H12" s="394"/>
      <c r="I12" s="394"/>
      <c r="J12" s="394"/>
      <c r="K12" s="394"/>
      <c r="L12" s="394"/>
      <c r="M12" s="1510"/>
      <c r="N12" s="395"/>
      <c r="O12" s="1510">
        <f>SUM(O13:O15)</f>
        <v>0</v>
      </c>
      <c r="P12" s="745"/>
      <c r="Q12" s="1012"/>
      <c r="R12" s="2922">
        <f>SUM(R13:R15)</f>
        <v>0</v>
      </c>
      <c r="BB12" s="3218"/>
      <c r="BC12" s="3218"/>
      <c r="BD12" s="3218"/>
      <c r="BE12" s="3218"/>
      <c r="BF12" s="3218"/>
      <c r="BG12" s="3218"/>
      <c r="BH12" s="3218"/>
      <c r="BI12" s="3218"/>
      <c r="BJ12" s="3218"/>
      <c r="BK12" s="3218"/>
      <c r="BL12" s="3218"/>
      <c r="BM12" s="3218"/>
      <c r="BN12" s="3218"/>
      <c r="BO12" s="3218"/>
      <c r="BP12" s="3218"/>
      <c r="BQ12" s="3218"/>
      <c r="BR12" s="3218"/>
      <c r="BS12" s="3218"/>
      <c r="BT12" s="3218"/>
      <c r="BU12" s="3218"/>
      <c r="BV12" s="3218"/>
      <c r="BW12" s="3218"/>
      <c r="BX12" s="3218"/>
      <c r="BY12" s="3218"/>
      <c r="BZ12" s="3218"/>
      <c r="CA12" s="3218"/>
      <c r="CB12" s="3218"/>
      <c r="CC12" s="3218"/>
      <c r="CD12" s="3218"/>
      <c r="CE12" s="3218"/>
      <c r="CF12" s="3218"/>
      <c r="CG12" s="3218"/>
      <c r="CH12" s="3218"/>
      <c r="CI12" s="3225">
        <f t="shared" si="0"/>
        <v>0</v>
      </c>
    </row>
    <row r="13" spans="1:87" ht="30">
      <c r="A13" s="473" t="s">
        <v>4410</v>
      </c>
      <c r="B13" s="958"/>
      <c r="C13" s="586" t="s">
        <v>4411</v>
      </c>
      <c r="D13" s="908" t="s">
        <v>65</v>
      </c>
      <c r="E13" s="1075" t="s">
        <v>4412</v>
      </c>
      <c r="F13" s="397">
        <v>0</v>
      </c>
      <c r="G13" s="397"/>
      <c r="H13" s="397">
        <v>0</v>
      </c>
      <c r="I13" s="397"/>
      <c r="J13" s="397"/>
      <c r="K13" s="397"/>
      <c r="L13" s="277"/>
      <c r="M13" s="281">
        <f>L13/100000</f>
        <v>0</v>
      </c>
      <c r="N13" s="277"/>
      <c r="O13" s="1472">
        <f>M13*N13</f>
        <v>0</v>
      </c>
      <c r="P13" s="746"/>
      <c r="Q13" s="1511"/>
      <c r="R13" s="2923"/>
      <c r="BB13" s="3218"/>
      <c r="BC13" s="3218"/>
      <c r="BD13" s="3218"/>
      <c r="BE13" s="3218"/>
      <c r="BF13" s="3218"/>
      <c r="BG13" s="3218"/>
      <c r="BH13" s="3218"/>
      <c r="BI13" s="3218"/>
      <c r="BJ13" s="3218"/>
      <c r="BK13" s="3218"/>
      <c r="BL13" s="3218"/>
      <c r="BM13" s="3218"/>
      <c r="BN13" s="3218"/>
      <c r="BO13" s="3218"/>
      <c r="BP13" s="3218"/>
      <c r="BQ13" s="3218"/>
      <c r="BR13" s="3218"/>
      <c r="BS13" s="3218"/>
      <c r="BT13" s="3218"/>
      <c r="BU13" s="3218"/>
      <c r="BV13" s="3218"/>
      <c r="BW13" s="3218"/>
      <c r="BX13" s="3218"/>
      <c r="BY13" s="3218"/>
      <c r="BZ13" s="3218"/>
      <c r="CA13" s="3218"/>
      <c r="CB13" s="3218"/>
      <c r="CC13" s="3218"/>
      <c r="CD13" s="3218"/>
      <c r="CE13" s="3218"/>
      <c r="CF13" s="3218"/>
      <c r="CG13" s="3218"/>
      <c r="CH13" s="3218"/>
      <c r="CI13" s="3225">
        <f t="shared" si="0"/>
        <v>0</v>
      </c>
    </row>
    <row r="14" spans="1:87" ht="30">
      <c r="A14" s="473" t="s">
        <v>4413</v>
      </c>
      <c r="B14" s="958"/>
      <c r="C14" s="586" t="s">
        <v>4414</v>
      </c>
      <c r="D14" s="908" t="s">
        <v>65</v>
      </c>
      <c r="E14" s="1075" t="s">
        <v>4412</v>
      </c>
      <c r="F14" s="397">
        <v>0</v>
      </c>
      <c r="G14" s="397"/>
      <c r="H14" s="397">
        <v>0</v>
      </c>
      <c r="I14" s="397"/>
      <c r="J14" s="397"/>
      <c r="K14" s="397"/>
      <c r="L14" s="277"/>
      <c r="M14" s="281">
        <f>L14/100000</f>
        <v>0</v>
      </c>
      <c r="N14" s="277"/>
      <c r="O14" s="1472">
        <f>M14*N14</f>
        <v>0</v>
      </c>
      <c r="P14" s="746"/>
      <c r="Q14" s="1511"/>
      <c r="R14" s="2923"/>
      <c r="BB14" s="3218"/>
      <c r="BC14" s="3218"/>
      <c r="BD14" s="3218"/>
      <c r="BE14" s="3218"/>
      <c r="BF14" s="3218"/>
      <c r="BG14" s="3218"/>
      <c r="BH14" s="3218"/>
      <c r="BI14" s="3218"/>
      <c r="BJ14" s="3218"/>
      <c r="BK14" s="3218"/>
      <c r="BL14" s="3218"/>
      <c r="BM14" s="3218"/>
      <c r="BN14" s="3218"/>
      <c r="BO14" s="3218"/>
      <c r="BP14" s="3218"/>
      <c r="BQ14" s="3218"/>
      <c r="BR14" s="3218"/>
      <c r="BS14" s="3218"/>
      <c r="BT14" s="3218"/>
      <c r="BU14" s="3218"/>
      <c r="BV14" s="3218"/>
      <c r="BW14" s="3218"/>
      <c r="BX14" s="3218"/>
      <c r="BY14" s="3218"/>
      <c r="BZ14" s="3218"/>
      <c r="CA14" s="3218"/>
      <c r="CB14" s="3218"/>
      <c r="CC14" s="3218"/>
      <c r="CD14" s="3218"/>
      <c r="CE14" s="3218"/>
      <c r="CF14" s="3218"/>
      <c r="CG14" s="3218"/>
      <c r="CH14" s="3218"/>
      <c r="CI14" s="3225">
        <f t="shared" si="0"/>
        <v>0</v>
      </c>
    </row>
    <row r="15" spans="1:87">
      <c r="A15" s="473" t="s">
        <v>4415</v>
      </c>
      <c r="B15" s="958"/>
      <c r="C15" s="586" t="s">
        <v>1304</v>
      </c>
      <c r="D15" s="908" t="s">
        <v>65</v>
      </c>
      <c r="E15" s="1075" t="s">
        <v>4412</v>
      </c>
      <c r="F15" s="397">
        <v>0</v>
      </c>
      <c r="G15" s="397"/>
      <c r="H15" s="397">
        <v>0</v>
      </c>
      <c r="I15" s="397"/>
      <c r="J15" s="397"/>
      <c r="K15" s="397"/>
      <c r="L15" s="277"/>
      <c r="M15" s="281">
        <f>L15/100000</f>
        <v>0</v>
      </c>
      <c r="N15" s="277"/>
      <c r="O15" s="1507">
        <f>M15*N15</f>
        <v>0</v>
      </c>
      <c r="P15" s="746"/>
      <c r="Q15" s="1511"/>
      <c r="R15" s="2923"/>
      <c r="BB15" s="3218"/>
      <c r="BC15" s="3218"/>
      <c r="BD15" s="3218"/>
      <c r="BE15" s="3218"/>
      <c r="BF15" s="3218"/>
      <c r="BG15" s="3218"/>
      <c r="BH15" s="3218"/>
      <c r="BI15" s="3218"/>
      <c r="BJ15" s="3218"/>
      <c r="BK15" s="3218"/>
      <c r="BL15" s="3218"/>
      <c r="BM15" s="3218"/>
      <c r="BN15" s="3218"/>
      <c r="BO15" s="3218"/>
      <c r="BP15" s="3218"/>
      <c r="BQ15" s="3218"/>
      <c r="BR15" s="3218"/>
      <c r="BS15" s="3218"/>
      <c r="BT15" s="3218"/>
      <c r="BU15" s="3218"/>
      <c r="BV15" s="3218"/>
      <c r="BW15" s="3218"/>
      <c r="BX15" s="3218"/>
      <c r="BY15" s="3218"/>
      <c r="BZ15" s="3218"/>
      <c r="CA15" s="3218"/>
      <c r="CB15" s="3218"/>
      <c r="CC15" s="3218"/>
      <c r="CD15" s="3218"/>
      <c r="CE15" s="3218"/>
      <c r="CF15" s="3218"/>
      <c r="CG15" s="3218"/>
      <c r="CH15" s="3218"/>
      <c r="CI15" s="3225">
        <f t="shared" si="0"/>
        <v>0</v>
      </c>
    </row>
    <row r="16" spans="1:87" s="1101" customFormat="1" ht="30">
      <c r="A16" s="331">
        <v>9.1999999999999993</v>
      </c>
      <c r="B16" s="1199"/>
      <c r="C16" s="1053" t="s">
        <v>3030</v>
      </c>
      <c r="D16" s="1245"/>
      <c r="E16" s="1245"/>
      <c r="F16" s="318"/>
      <c r="G16" s="318"/>
      <c r="H16" s="318"/>
      <c r="I16" s="318"/>
      <c r="J16" s="318"/>
      <c r="K16" s="318"/>
      <c r="L16" s="318"/>
      <c r="M16" s="1512"/>
      <c r="N16" s="400"/>
      <c r="O16" s="1503">
        <f>SUM(O17:O22)</f>
        <v>42.042299999999997</v>
      </c>
      <c r="P16" s="722"/>
      <c r="Q16" s="1504"/>
      <c r="R16" s="2872">
        <f>SUM(R17:R22)</f>
        <v>42.040000000000006</v>
      </c>
      <c r="BB16" s="3225"/>
      <c r="BC16" s="3225"/>
      <c r="BD16" s="3225"/>
      <c r="BE16" s="3225"/>
      <c r="BF16" s="3225"/>
      <c r="BG16" s="3225"/>
      <c r="BH16" s="3225"/>
      <c r="BI16" s="3225"/>
      <c r="BJ16" s="3225"/>
      <c r="BK16" s="3225"/>
      <c r="BL16" s="3225"/>
      <c r="BM16" s="3225"/>
      <c r="BN16" s="3225"/>
      <c r="BO16" s="3225"/>
      <c r="BP16" s="3225"/>
      <c r="BQ16" s="3225"/>
      <c r="BR16" s="3225"/>
      <c r="BS16" s="3225"/>
      <c r="BT16" s="3225"/>
      <c r="BU16" s="3225"/>
      <c r="BV16" s="3225"/>
      <c r="BW16" s="3225"/>
      <c r="BX16" s="3225"/>
      <c r="BY16" s="3225"/>
      <c r="BZ16" s="3225"/>
      <c r="CA16" s="3225"/>
      <c r="CB16" s="3225"/>
      <c r="CC16" s="3225"/>
      <c r="CD16" s="3225"/>
      <c r="CE16" s="3225"/>
      <c r="CF16" s="3225"/>
      <c r="CG16" s="3225"/>
      <c r="CH16" s="3225"/>
      <c r="CI16" s="3225">
        <f t="shared" si="0"/>
        <v>0</v>
      </c>
    </row>
    <row r="17" spans="1:87" s="1380" customFormat="1" ht="50.25" customHeight="1">
      <c r="A17" s="473" t="s">
        <v>758</v>
      </c>
      <c r="B17" s="586" t="s">
        <v>759</v>
      </c>
      <c r="C17" s="586" t="s">
        <v>760</v>
      </c>
      <c r="D17" s="982" t="s">
        <v>65</v>
      </c>
      <c r="E17" s="1075" t="s">
        <v>3768</v>
      </c>
      <c r="F17" s="285">
        <v>24</v>
      </c>
      <c r="G17" s="286">
        <v>4</v>
      </c>
      <c r="H17" s="413">
        <v>41.93</v>
      </c>
      <c r="I17" s="2442">
        <v>9.5500000000000007</v>
      </c>
      <c r="J17" s="2442">
        <v>10</v>
      </c>
      <c r="K17" s="285"/>
      <c r="L17" s="2442">
        <v>125082</v>
      </c>
      <c r="M17" s="2261">
        <f t="shared" ref="M17:M22" si="1">L17/100000</f>
        <v>1.25082</v>
      </c>
      <c r="N17" s="2442">
        <v>15</v>
      </c>
      <c r="O17" s="1472">
        <f t="shared" ref="O17:O22" si="2">M17*N17</f>
        <v>18.7623</v>
      </c>
      <c r="P17" s="2444"/>
      <c r="Q17" s="2263" t="str">
        <f>'Ab1. RMNCH+A'!Q61</f>
        <v>Ongoing activity: Recommended for approval for 15 positions in 3 skill labs @ 5 positions in each skill lab at: 1) SIHFW Parimahal Shimla; 2) RHFWTC Chebb Kangra; &amp;3) SLBSGMC Nerchowk Mandi)Recommended for approval of 12 positions for 12 months in principle. Budget has been approved as lumpsum.Lump sum amount of Rs 1.49  lakhs is recommended for support staff for 12 months in principle, which may be outsourced, to the extent possible.Details provided in HR Annexure. Actual remuneration is to be calculated by the state based on principles mentioned in the HR annexure.</v>
      </c>
      <c r="R17" s="2924">
        <f>'Ab1. RMNCH+A'!R61</f>
        <v>18.760000000000002</v>
      </c>
      <c r="BB17" s="3219">
        <v>18.760000000000002</v>
      </c>
      <c r="BC17" s="3219"/>
      <c r="BD17" s="3219"/>
      <c r="BE17" s="3219"/>
      <c r="BF17" s="3219"/>
      <c r="BG17" s="3219"/>
      <c r="BH17" s="3219"/>
      <c r="BI17" s="3219"/>
      <c r="BJ17" s="3219"/>
      <c r="BK17" s="3219"/>
      <c r="BL17" s="3219"/>
      <c r="BM17" s="3219"/>
      <c r="BN17" s="3219"/>
      <c r="BO17" s="3219"/>
      <c r="BP17" s="3219"/>
      <c r="BQ17" s="3219"/>
      <c r="BR17" s="3219"/>
      <c r="BS17" s="3219"/>
      <c r="BT17" s="3219"/>
      <c r="BU17" s="3219"/>
      <c r="BV17" s="3219"/>
      <c r="BW17" s="3219"/>
      <c r="BX17" s="3219"/>
      <c r="BY17" s="3219"/>
      <c r="BZ17" s="3219"/>
      <c r="CA17" s="3219"/>
      <c r="CB17" s="3219"/>
      <c r="CC17" s="3219"/>
      <c r="CD17" s="3219"/>
      <c r="CE17" s="3219"/>
      <c r="CF17" s="3219"/>
      <c r="CG17" s="3219"/>
      <c r="CH17" s="3219"/>
      <c r="CI17" s="3225">
        <f t="shared" si="0"/>
        <v>18.760000000000002</v>
      </c>
    </row>
    <row r="18" spans="1:87" ht="45">
      <c r="A18" s="1407" t="s">
        <v>2323</v>
      </c>
      <c r="B18" s="508" t="s">
        <v>3029</v>
      </c>
      <c r="C18" s="508" t="s">
        <v>4750</v>
      </c>
      <c r="D18" s="908" t="s">
        <v>65</v>
      </c>
      <c r="E18" s="1508" t="s">
        <v>5075</v>
      </c>
      <c r="F18" s="252">
        <v>0</v>
      </c>
      <c r="G18" s="253"/>
      <c r="H18" s="401">
        <v>0</v>
      </c>
      <c r="I18" s="401"/>
      <c r="J18" s="252"/>
      <c r="K18" s="252"/>
      <c r="L18" s="277"/>
      <c r="M18" s="281">
        <f t="shared" si="1"/>
        <v>0</v>
      </c>
      <c r="N18" s="277"/>
      <c r="O18" s="1507">
        <f t="shared" si="2"/>
        <v>0</v>
      </c>
      <c r="P18" s="707"/>
      <c r="Q18" s="1017" t="str">
        <f>'Ab1. RMNCH+A'!Q443</f>
        <v>--</v>
      </c>
      <c r="R18" s="2920">
        <f>'Ab1. RMNCH+A'!R443</f>
        <v>0</v>
      </c>
      <c r="BB18" s="3218"/>
      <c r="BC18" s="3218"/>
      <c r="BD18" s="3218"/>
      <c r="BE18" s="3218"/>
      <c r="BF18" s="3218"/>
      <c r="BG18" s="3218"/>
      <c r="BH18" s="3218"/>
      <c r="BI18" s="3218"/>
      <c r="BJ18" s="3218"/>
      <c r="BK18" s="3218"/>
      <c r="BL18" s="3218"/>
      <c r="BM18" s="3218"/>
      <c r="BN18" s="3218"/>
      <c r="BO18" s="3218"/>
      <c r="BP18" s="3218"/>
      <c r="BQ18" s="3218"/>
      <c r="BR18" s="3218"/>
      <c r="BS18" s="3218"/>
      <c r="BT18" s="3218"/>
      <c r="BU18" s="3218"/>
      <c r="BV18" s="3218"/>
      <c r="BW18" s="3218"/>
      <c r="BX18" s="3218"/>
      <c r="BY18" s="3218"/>
      <c r="BZ18" s="3218"/>
      <c r="CA18" s="3218"/>
      <c r="CB18" s="3218"/>
      <c r="CC18" s="3218"/>
      <c r="CD18" s="3218"/>
      <c r="CE18" s="3218"/>
      <c r="CF18" s="3218"/>
      <c r="CG18" s="3218"/>
      <c r="CH18" s="3218"/>
      <c r="CI18" s="3225">
        <f t="shared" si="0"/>
        <v>0</v>
      </c>
    </row>
    <row r="19" spans="1:87">
      <c r="A19" s="1407" t="s">
        <v>2485</v>
      </c>
      <c r="B19" s="586"/>
      <c r="C19" s="508" t="s">
        <v>3721</v>
      </c>
      <c r="D19" s="908" t="s">
        <v>65</v>
      </c>
      <c r="E19" s="1120" t="s">
        <v>3768</v>
      </c>
      <c r="F19" s="252">
        <v>7</v>
      </c>
      <c r="G19" s="253">
        <v>0</v>
      </c>
      <c r="H19" s="401">
        <v>44.4</v>
      </c>
      <c r="I19" s="401"/>
      <c r="J19" s="252"/>
      <c r="K19" s="252"/>
      <c r="L19" s="277">
        <v>0</v>
      </c>
      <c r="M19" s="281">
        <f t="shared" si="1"/>
        <v>0</v>
      </c>
      <c r="N19" s="277">
        <v>0</v>
      </c>
      <c r="O19" s="1507">
        <f t="shared" si="2"/>
        <v>0</v>
      </c>
      <c r="P19" s="707"/>
      <c r="Q19" s="1017">
        <f>'Ab1. RMNCH+A'!Q62</f>
        <v>0</v>
      </c>
      <c r="R19" s="2920">
        <f>'Ab1. RMNCH+A'!R62</f>
        <v>0</v>
      </c>
      <c r="BB19" s="3218"/>
      <c r="BC19" s="3218"/>
      <c r="BD19" s="3218"/>
      <c r="BE19" s="3218"/>
      <c r="BF19" s="3218"/>
      <c r="BG19" s="3218"/>
      <c r="BH19" s="3218"/>
      <c r="BI19" s="3218"/>
      <c r="BJ19" s="3218"/>
      <c r="BK19" s="3218"/>
      <c r="BL19" s="3218"/>
      <c r="BM19" s="3218"/>
      <c r="BN19" s="3218"/>
      <c r="BO19" s="3218"/>
      <c r="BP19" s="3218"/>
      <c r="BQ19" s="3218"/>
      <c r="BR19" s="3218"/>
      <c r="BS19" s="3218"/>
      <c r="BT19" s="3218"/>
      <c r="BU19" s="3218"/>
      <c r="BV19" s="3218"/>
      <c r="BW19" s="3218"/>
      <c r="BX19" s="3218"/>
      <c r="BY19" s="3218"/>
      <c r="BZ19" s="3218"/>
      <c r="CA19" s="3218"/>
      <c r="CB19" s="3218"/>
      <c r="CC19" s="3218"/>
      <c r="CD19" s="3218"/>
      <c r="CE19" s="3218"/>
      <c r="CF19" s="3218"/>
      <c r="CG19" s="3218"/>
      <c r="CH19" s="3218"/>
      <c r="CI19" s="3225">
        <f t="shared" si="0"/>
        <v>0</v>
      </c>
    </row>
    <row r="20" spans="1:87" s="1101" customFormat="1" ht="45.75" customHeight="1">
      <c r="A20" s="1407" t="s">
        <v>3720</v>
      </c>
      <c r="B20" s="958"/>
      <c r="C20" s="508" t="s">
        <v>1304</v>
      </c>
      <c r="D20" s="908" t="s">
        <v>65</v>
      </c>
      <c r="E20" s="1120" t="s">
        <v>3760</v>
      </c>
      <c r="F20" s="2212">
        <v>6</v>
      </c>
      <c r="G20" s="270">
        <v>6</v>
      </c>
      <c r="H20" s="2212">
        <v>21.12</v>
      </c>
      <c r="I20" s="270">
        <v>14.17</v>
      </c>
      <c r="J20" s="270">
        <v>6.95</v>
      </c>
      <c r="K20" s="270"/>
      <c r="L20" s="277">
        <v>388000</v>
      </c>
      <c r="M20" s="281">
        <f t="shared" si="1"/>
        <v>3.88</v>
      </c>
      <c r="N20" s="277">
        <v>6</v>
      </c>
      <c r="O20" s="1513">
        <f t="shared" si="2"/>
        <v>23.28</v>
      </c>
      <c r="P20" s="747"/>
      <c r="Q20" s="1022" t="s">
        <v>5822</v>
      </c>
      <c r="R20" s="2925">
        <v>23.28</v>
      </c>
      <c r="S20" s="1101">
        <v>23.28</v>
      </c>
      <c r="BB20" s="3225">
        <v>23.28</v>
      </c>
      <c r="BC20" s="3225"/>
      <c r="BD20" s="3225"/>
      <c r="BE20" s="3225"/>
      <c r="BF20" s="3225"/>
      <c r="BG20" s="3225"/>
      <c r="BH20" s="3225"/>
      <c r="BI20" s="3225"/>
      <c r="BJ20" s="3225"/>
      <c r="BK20" s="3225"/>
      <c r="BL20" s="3225"/>
      <c r="BM20" s="3225"/>
      <c r="BN20" s="3225"/>
      <c r="BO20" s="3225"/>
      <c r="BP20" s="3225"/>
      <c r="BQ20" s="3225"/>
      <c r="BR20" s="3225"/>
      <c r="BS20" s="3225"/>
      <c r="BT20" s="3225"/>
      <c r="BU20" s="3225"/>
      <c r="BV20" s="3225"/>
      <c r="BW20" s="3225"/>
      <c r="BX20" s="3225"/>
      <c r="BY20" s="3225"/>
      <c r="BZ20" s="3225"/>
      <c r="CA20" s="3225"/>
      <c r="CB20" s="3225"/>
      <c r="CC20" s="3225"/>
      <c r="CD20" s="3225"/>
      <c r="CE20" s="3225"/>
      <c r="CF20" s="3225"/>
      <c r="CG20" s="3225"/>
      <c r="CH20" s="3225"/>
      <c r="CI20" s="3225">
        <f t="shared" si="0"/>
        <v>23.28</v>
      </c>
    </row>
    <row r="21" spans="1:87" ht="30">
      <c r="A21" s="902">
        <v>9.3000000000000007</v>
      </c>
      <c r="B21" s="233"/>
      <c r="C21" s="1072" t="s">
        <v>3780</v>
      </c>
      <c r="D21" s="908" t="s">
        <v>65</v>
      </c>
      <c r="E21" s="1019" t="s">
        <v>3760</v>
      </c>
      <c r="F21" s="289">
        <v>0</v>
      </c>
      <c r="G21" s="289"/>
      <c r="H21" s="289">
        <v>0</v>
      </c>
      <c r="I21" s="289"/>
      <c r="J21" s="289"/>
      <c r="K21" s="289"/>
      <c r="L21" s="634"/>
      <c r="M21" s="1404">
        <f t="shared" si="1"/>
        <v>0</v>
      </c>
      <c r="N21" s="635"/>
      <c r="O21" s="1404">
        <f t="shared" si="2"/>
        <v>0</v>
      </c>
      <c r="P21" s="719"/>
      <c r="Q21" s="1551"/>
      <c r="R21" s="2925"/>
      <c r="BB21" s="3218"/>
      <c r="BC21" s="3218"/>
      <c r="BD21" s="3218"/>
      <c r="BE21" s="3218"/>
      <c r="BF21" s="3218"/>
      <c r="BG21" s="3218"/>
      <c r="BH21" s="3218"/>
      <c r="BI21" s="3218"/>
      <c r="BJ21" s="3218"/>
      <c r="BK21" s="3218"/>
      <c r="BL21" s="3218"/>
      <c r="BM21" s="3218"/>
      <c r="BN21" s="3218"/>
      <c r="BO21" s="3218"/>
      <c r="BP21" s="3218"/>
      <c r="BQ21" s="3218"/>
      <c r="BR21" s="3218"/>
      <c r="BS21" s="3218"/>
      <c r="BT21" s="3218"/>
      <c r="BU21" s="3218"/>
      <c r="BV21" s="3218"/>
      <c r="BW21" s="3218"/>
      <c r="BX21" s="3218"/>
      <c r="BY21" s="3218"/>
      <c r="BZ21" s="3218"/>
      <c r="CA21" s="3218"/>
      <c r="CB21" s="3218"/>
      <c r="CC21" s="3218"/>
      <c r="CD21" s="3218"/>
      <c r="CE21" s="3218"/>
      <c r="CF21" s="3218"/>
      <c r="CG21" s="3218"/>
      <c r="CH21" s="3218"/>
      <c r="CI21" s="3225">
        <f t="shared" si="0"/>
        <v>0</v>
      </c>
    </row>
    <row r="22" spans="1:87" ht="30">
      <c r="A22" s="902">
        <v>9.4</v>
      </c>
      <c r="B22" s="233"/>
      <c r="C22" s="1072" t="s">
        <v>713</v>
      </c>
      <c r="D22" s="908" t="s">
        <v>65</v>
      </c>
      <c r="E22" s="1019" t="s">
        <v>3760</v>
      </c>
      <c r="F22" s="289">
        <v>0</v>
      </c>
      <c r="G22" s="289"/>
      <c r="H22" s="289">
        <v>0</v>
      </c>
      <c r="I22" s="289"/>
      <c r="J22" s="289"/>
      <c r="K22" s="289"/>
      <c r="L22" s="634"/>
      <c r="M22" s="1404">
        <f t="shared" si="1"/>
        <v>0</v>
      </c>
      <c r="N22" s="635"/>
      <c r="O22" s="1404">
        <f t="shared" si="2"/>
        <v>0</v>
      </c>
      <c r="P22" s="719"/>
      <c r="Q22" s="1551"/>
      <c r="R22" s="2925"/>
      <c r="BB22" s="3218"/>
      <c r="BC22" s="3218"/>
      <c r="BD22" s="3218"/>
      <c r="BE22" s="3218"/>
      <c r="BF22" s="3218"/>
      <c r="BG22" s="3218"/>
      <c r="BH22" s="3218"/>
      <c r="BI22" s="3218"/>
      <c r="BJ22" s="3218"/>
      <c r="BK22" s="3218"/>
      <c r="BL22" s="3218"/>
      <c r="BM22" s="3218"/>
      <c r="BN22" s="3218"/>
      <c r="BO22" s="3218"/>
      <c r="BP22" s="3218"/>
      <c r="BQ22" s="3218"/>
      <c r="BR22" s="3218"/>
      <c r="BS22" s="3218"/>
      <c r="BT22" s="3218"/>
      <c r="BU22" s="3218"/>
      <c r="BV22" s="3218"/>
      <c r="BW22" s="3218"/>
      <c r="BX22" s="3218"/>
      <c r="BY22" s="3218"/>
      <c r="BZ22" s="3218"/>
      <c r="CA22" s="3218"/>
      <c r="CB22" s="3218"/>
      <c r="CC22" s="3218"/>
      <c r="CD22" s="3218"/>
      <c r="CE22" s="3218"/>
      <c r="CF22" s="3218"/>
      <c r="CG22" s="3218"/>
      <c r="CH22" s="3218"/>
      <c r="CI22" s="3225">
        <f t="shared" si="0"/>
        <v>0</v>
      </c>
    </row>
    <row r="23" spans="1:87" s="1101" customFormat="1" ht="60">
      <c r="A23" s="331">
        <v>9.5</v>
      </c>
      <c r="B23" s="1199"/>
      <c r="C23" s="1053" t="s">
        <v>4751</v>
      </c>
      <c r="D23" s="1245"/>
      <c r="E23" s="1245"/>
      <c r="F23" s="318"/>
      <c r="G23" s="318"/>
      <c r="H23" s="318"/>
      <c r="I23" s="318"/>
      <c r="J23" s="318"/>
      <c r="K23" s="318"/>
      <c r="L23" s="318"/>
      <c r="M23" s="464"/>
      <c r="N23" s="400"/>
      <c r="O23" s="464"/>
      <c r="P23" s="722"/>
      <c r="Q23" s="1504"/>
      <c r="R23" s="2926"/>
      <c r="BB23" s="3225"/>
      <c r="BC23" s="3225"/>
      <c r="BD23" s="3225"/>
      <c r="BE23" s="3225"/>
      <c r="BF23" s="3225"/>
      <c r="BG23" s="3225"/>
      <c r="BH23" s="3225"/>
      <c r="BI23" s="3225"/>
      <c r="BJ23" s="3225"/>
      <c r="BK23" s="3225"/>
      <c r="BL23" s="3225"/>
      <c r="BM23" s="3225"/>
      <c r="BN23" s="3225"/>
      <c r="BO23" s="3225"/>
      <c r="BP23" s="3225"/>
      <c r="BQ23" s="3225"/>
      <c r="BR23" s="3225"/>
      <c r="BS23" s="3225"/>
      <c r="BT23" s="3225"/>
      <c r="BU23" s="3225"/>
      <c r="BV23" s="3225"/>
      <c r="BW23" s="3225"/>
      <c r="BX23" s="3225"/>
      <c r="BY23" s="3225"/>
      <c r="BZ23" s="3225"/>
      <c r="CA23" s="3225"/>
      <c r="CB23" s="3225"/>
      <c r="CC23" s="3225"/>
      <c r="CD23" s="3225"/>
      <c r="CE23" s="3225"/>
      <c r="CF23" s="3225"/>
      <c r="CG23" s="3225"/>
      <c r="CH23" s="3225"/>
      <c r="CI23" s="3225">
        <f t="shared" si="0"/>
        <v>0</v>
      </c>
    </row>
    <row r="24" spans="1:87" s="1101" customFormat="1">
      <c r="A24" s="3958" t="s">
        <v>4752</v>
      </c>
      <c r="B24" s="3959"/>
      <c r="C24" s="3960"/>
      <c r="D24" s="1162"/>
      <c r="E24" s="1162"/>
      <c r="F24" s="301"/>
      <c r="G24" s="301"/>
      <c r="H24" s="301"/>
      <c r="I24" s="301"/>
      <c r="J24" s="301"/>
      <c r="K24" s="301"/>
      <c r="L24" s="301"/>
      <c r="M24" s="1514"/>
      <c r="N24" s="633"/>
      <c r="O24" s="1514"/>
      <c r="P24" s="715"/>
      <c r="Q24" s="1167"/>
      <c r="R24" s="2927"/>
      <c r="BB24" s="3225"/>
      <c r="BC24" s="3225"/>
      <c r="BD24" s="3225"/>
      <c r="BE24" s="3225"/>
      <c r="BF24" s="3225"/>
      <c r="BG24" s="3225"/>
      <c r="BH24" s="3225"/>
      <c r="BI24" s="3225"/>
      <c r="BJ24" s="3225"/>
      <c r="BK24" s="3225"/>
      <c r="BL24" s="3225"/>
      <c r="BM24" s="3225"/>
      <c r="BN24" s="3225"/>
      <c r="BO24" s="3225"/>
      <c r="BP24" s="3225"/>
      <c r="BQ24" s="3225"/>
      <c r="BR24" s="3225"/>
      <c r="BS24" s="3225"/>
      <c r="BT24" s="3225"/>
      <c r="BU24" s="3225"/>
      <c r="BV24" s="3225"/>
      <c r="BW24" s="3225"/>
      <c r="BX24" s="3225"/>
      <c r="BY24" s="3225"/>
      <c r="BZ24" s="3225"/>
      <c r="CA24" s="3225"/>
      <c r="CB24" s="3225"/>
      <c r="CC24" s="3225"/>
      <c r="CD24" s="3225"/>
      <c r="CE24" s="3225"/>
      <c r="CF24" s="3225"/>
      <c r="CG24" s="3225"/>
      <c r="CH24" s="3225"/>
      <c r="CI24" s="3225">
        <f t="shared" si="0"/>
        <v>0</v>
      </c>
    </row>
    <row r="25" spans="1:87" s="1101" customFormat="1">
      <c r="A25" s="880" t="s">
        <v>761</v>
      </c>
      <c r="B25" s="1194"/>
      <c r="C25" s="1061" t="s">
        <v>762</v>
      </c>
      <c r="D25" s="997"/>
      <c r="E25" s="997"/>
      <c r="F25" s="219"/>
      <c r="G25" s="219"/>
      <c r="H25" s="219"/>
      <c r="I25" s="219"/>
      <c r="J25" s="219"/>
      <c r="K25" s="219"/>
      <c r="L25" s="219"/>
      <c r="M25" s="1515"/>
      <c r="N25" s="404"/>
      <c r="O25" s="1516">
        <f>SUM(O26:O53)</f>
        <v>187.45150000000001</v>
      </c>
      <c r="P25" s="718"/>
      <c r="Q25" s="1157"/>
      <c r="R25" s="2875">
        <f>SUM(R26:R53)</f>
        <v>187.45149999999998</v>
      </c>
      <c r="BB25" s="3225"/>
      <c r="BC25" s="3225"/>
      <c r="BD25" s="3225"/>
      <c r="BE25" s="3225"/>
      <c r="BF25" s="3225"/>
      <c r="BG25" s="3225"/>
      <c r="BH25" s="3225"/>
      <c r="BI25" s="3225"/>
      <c r="BJ25" s="3225"/>
      <c r="BK25" s="3225"/>
      <c r="BL25" s="3225"/>
      <c r="BM25" s="3225"/>
      <c r="BN25" s="3225"/>
      <c r="BO25" s="3225"/>
      <c r="BP25" s="3225"/>
      <c r="BQ25" s="3225"/>
      <c r="BR25" s="3225"/>
      <c r="BS25" s="3225"/>
      <c r="BT25" s="3225"/>
      <c r="BU25" s="3225"/>
      <c r="BV25" s="3225"/>
      <c r="BW25" s="3225"/>
      <c r="BX25" s="3225"/>
      <c r="BY25" s="3225"/>
      <c r="BZ25" s="3225"/>
      <c r="CA25" s="3225"/>
      <c r="CB25" s="3225"/>
      <c r="CC25" s="3225"/>
      <c r="CD25" s="3225"/>
      <c r="CE25" s="3225"/>
      <c r="CF25" s="3225"/>
      <c r="CG25" s="3225"/>
      <c r="CH25" s="3225"/>
      <c r="CI25" s="3225">
        <f t="shared" si="0"/>
        <v>0</v>
      </c>
    </row>
    <row r="26" spans="1:87" ht="30">
      <c r="A26" s="1407" t="s">
        <v>753</v>
      </c>
      <c r="B26" s="508" t="s">
        <v>754</v>
      </c>
      <c r="C26" s="1517" t="s">
        <v>4753</v>
      </c>
      <c r="D26" s="908" t="s">
        <v>65</v>
      </c>
      <c r="E26" s="1464" t="s">
        <v>5072</v>
      </c>
      <c r="F26" s="2211">
        <v>0</v>
      </c>
      <c r="G26" s="276"/>
      <c r="H26" s="2211">
        <v>0</v>
      </c>
      <c r="I26" s="276"/>
      <c r="J26" s="276"/>
      <c r="K26" s="276"/>
      <c r="L26" s="277"/>
      <c r="M26" s="281">
        <f>L26/100000</f>
        <v>0</v>
      </c>
      <c r="N26" s="277"/>
      <c r="O26" s="1507">
        <f>M26*N26</f>
        <v>0</v>
      </c>
      <c r="P26" s="744"/>
      <c r="Q26" s="1022"/>
      <c r="R26" s="2921"/>
      <c r="BB26" s="3218"/>
      <c r="BC26" s="3218"/>
      <c r="BD26" s="3218"/>
      <c r="BE26" s="3218"/>
      <c r="BF26" s="3218"/>
      <c r="BG26" s="3218"/>
      <c r="BH26" s="3218"/>
      <c r="BI26" s="3218"/>
      <c r="BJ26" s="3218"/>
      <c r="BK26" s="3218"/>
      <c r="BL26" s="3218"/>
      <c r="BM26" s="3218"/>
      <c r="BN26" s="3218"/>
      <c r="BO26" s="3218"/>
      <c r="BP26" s="3218"/>
      <c r="BQ26" s="3218"/>
      <c r="BR26" s="3218"/>
      <c r="BS26" s="3218"/>
      <c r="BT26" s="3218"/>
      <c r="BU26" s="3218"/>
      <c r="BV26" s="3218"/>
      <c r="BW26" s="3218"/>
      <c r="BX26" s="3218"/>
      <c r="BY26" s="3218"/>
      <c r="BZ26" s="3218"/>
      <c r="CA26" s="3218"/>
      <c r="CB26" s="3218"/>
      <c r="CC26" s="3218"/>
      <c r="CD26" s="3218"/>
      <c r="CE26" s="3218"/>
      <c r="CF26" s="3218"/>
      <c r="CG26" s="3218"/>
      <c r="CH26" s="3218"/>
      <c r="CI26" s="3225">
        <f t="shared" si="0"/>
        <v>0</v>
      </c>
    </row>
    <row r="27" spans="1:87" s="1101" customFormat="1" ht="60">
      <c r="A27" s="1407" t="s">
        <v>763</v>
      </c>
      <c r="B27" s="1489" t="s">
        <v>764</v>
      </c>
      <c r="C27" s="509" t="s">
        <v>765</v>
      </c>
      <c r="D27" s="1454" t="s">
        <v>85</v>
      </c>
      <c r="E27" s="1120" t="s">
        <v>113</v>
      </c>
      <c r="F27" s="2211">
        <v>0</v>
      </c>
      <c r="G27" s="276"/>
      <c r="H27" s="2211">
        <v>0</v>
      </c>
      <c r="I27" s="276"/>
      <c r="J27" s="276"/>
      <c r="K27" s="276"/>
      <c r="L27" s="277">
        <v>58650</v>
      </c>
      <c r="M27" s="281">
        <f t="shared" ref="M27:M53" si="3">L27/100000</f>
        <v>0.58650000000000002</v>
      </c>
      <c r="N27" s="277">
        <v>12</v>
      </c>
      <c r="O27" s="1507">
        <f t="shared" ref="O27:O32" si="4">M27*N27</f>
        <v>7.0380000000000003</v>
      </c>
      <c r="P27" s="2506" t="s">
        <v>5387</v>
      </c>
      <c r="Q27" s="1017" t="str">
        <f>'Ab1. RMNCH+A'!Q63</f>
        <v>Ongoing activity: Recommended for approval for Rs.7.04 lakhs for MDR training @ Rs. 58650/- per batch for 12 batches; The State to ensure the training as per RCH norms.</v>
      </c>
      <c r="R27" s="2920">
        <f>'Ab1. RMNCH+A'!R63</f>
        <v>7.0380000000000003</v>
      </c>
      <c r="BB27" s="3225">
        <v>7.04</v>
      </c>
      <c r="BC27" s="3225"/>
      <c r="BD27" s="3225"/>
      <c r="BE27" s="3225"/>
      <c r="BF27" s="3225"/>
      <c r="BG27" s="3225"/>
      <c r="BH27" s="3225"/>
      <c r="BI27" s="3225"/>
      <c r="BJ27" s="3225"/>
      <c r="BK27" s="3225"/>
      <c r="BL27" s="3225"/>
      <c r="BM27" s="3225"/>
      <c r="BN27" s="3225"/>
      <c r="BO27" s="3225"/>
      <c r="BP27" s="3225"/>
      <c r="BQ27" s="3225"/>
      <c r="BR27" s="3225"/>
      <c r="BS27" s="3225"/>
      <c r="BT27" s="3225"/>
      <c r="BU27" s="3225"/>
      <c r="BV27" s="3225"/>
      <c r="BW27" s="3225"/>
      <c r="BX27" s="3225"/>
      <c r="BY27" s="3225"/>
      <c r="BZ27" s="3225"/>
      <c r="CA27" s="3225"/>
      <c r="CB27" s="3225"/>
      <c r="CC27" s="3225"/>
      <c r="CD27" s="3225"/>
      <c r="CE27" s="3225"/>
      <c r="CF27" s="3225"/>
      <c r="CG27" s="3225"/>
      <c r="CH27" s="3225"/>
      <c r="CI27" s="3225">
        <f t="shared" si="0"/>
        <v>7.04</v>
      </c>
    </row>
    <row r="28" spans="1:87" ht="75">
      <c r="A28" s="1407" t="s">
        <v>766</v>
      </c>
      <c r="B28" s="508" t="s">
        <v>767</v>
      </c>
      <c r="C28" s="508" t="s">
        <v>2315</v>
      </c>
      <c r="D28" s="1454" t="s">
        <v>85</v>
      </c>
      <c r="E28" s="1120" t="s">
        <v>113</v>
      </c>
      <c r="F28" s="2211">
        <v>88</v>
      </c>
      <c r="G28" s="276"/>
      <c r="H28" s="2211">
        <v>21.12</v>
      </c>
      <c r="I28" s="2507" t="s">
        <v>5388</v>
      </c>
      <c r="J28" s="265"/>
      <c r="K28" s="265">
        <v>1</v>
      </c>
      <c r="L28" s="265">
        <v>24000</v>
      </c>
      <c r="M28" s="281">
        <f t="shared" si="3"/>
        <v>0.24</v>
      </c>
      <c r="N28" s="277">
        <v>88</v>
      </c>
      <c r="O28" s="1507">
        <f t="shared" si="4"/>
        <v>21.119999999999997</v>
      </c>
      <c r="P28" s="2506" t="s">
        <v>5389</v>
      </c>
      <c r="Q28" s="1017" t="str">
        <f>'Ab1. RMNCH+A'!Q64</f>
        <v>Ongoing activity; Recommended for approval of Rs. 21.12 lakhs for Onsite mentoring at delivery points @ Rs. 24000/- per delivery point for 88 delivery points; state need to follow RCH norms.</v>
      </c>
      <c r="R28" s="2920">
        <f>'Ab1. RMNCH+A'!R64</f>
        <v>21.12</v>
      </c>
      <c r="BB28" s="3218">
        <v>21.12</v>
      </c>
      <c r="BC28" s="3218"/>
      <c r="BD28" s="3218"/>
      <c r="BE28" s="3218"/>
      <c r="BF28" s="3218"/>
      <c r="BG28" s="3218"/>
      <c r="BH28" s="3218"/>
      <c r="BI28" s="3218"/>
      <c r="BJ28" s="3218"/>
      <c r="BK28" s="3218"/>
      <c r="BL28" s="3218"/>
      <c r="BM28" s="3218"/>
      <c r="BN28" s="3218"/>
      <c r="BO28" s="3218"/>
      <c r="BP28" s="3218"/>
      <c r="BQ28" s="3218"/>
      <c r="BR28" s="3218"/>
      <c r="BS28" s="3218"/>
      <c r="BT28" s="3218"/>
      <c r="BU28" s="3218"/>
      <c r="BV28" s="3218"/>
      <c r="BW28" s="3218"/>
      <c r="BX28" s="3218"/>
      <c r="BY28" s="3218"/>
      <c r="BZ28" s="3218"/>
      <c r="CA28" s="3218"/>
      <c r="CB28" s="3218"/>
      <c r="CC28" s="3218"/>
      <c r="CD28" s="3218"/>
      <c r="CE28" s="3218"/>
      <c r="CF28" s="3218"/>
      <c r="CG28" s="3218"/>
      <c r="CH28" s="3218"/>
      <c r="CI28" s="3225">
        <f t="shared" si="0"/>
        <v>21.12</v>
      </c>
    </row>
    <row r="29" spans="1:87" s="1380" customFormat="1" ht="75">
      <c r="A29" s="473" t="s">
        <v>769</v>
      </c>
      <c r="B29" s="586"/>
      <c r="C29" s="586" t="s">
        <v>2317</v>
      </c>
      <c r="D29" s="1699" t="s">
        <v>85</v>
      </c>
      <c r="E29" s="1075" t="s">
        <v>113</v>
      </c>
      <c r="F29" s="285">
        <v>2</v>
      </c>
      <c r="G29" s="286"/>
      <c r="H29" s="413">
        <v>1.82</v>
      </c>
      <c r="I29" s="413"/>
      <c r="J29" s="285"/>
      <c r="K29" s="285"/>
      <c r="L29" s="2442">
        <v>91000</v>
      </c>
      <c r="M29" s="2261">
        <f t="shared" si="3"/>
        <v>0.91</v>
      </c>
      <c r="N29" s="2442">
        <v>2</v>
      </c>
      <c r="O29" s="1472">
        <f t="shared" si="4"/>
        <v>1.82</v>
      </c>
      <c r="P29" s="2444" t="s">
        <v>5274</v>
      </c>
      <c r="Q29" s="2263" t="str">
        <f>'Ab1. RMNCH+A'!Q65</f>
        <v>Ongoing activity: Recommended for approval for Rs. 1.82 lakhs for 2 batches of ToT for skill lab @ Rs. 91000/-  per batch for 6 participants per batch. The State to ensure the training as per RCH norms.</v>
      </c>
      <c r="R29" s="2924">
        <f>'Ab1. RMNCH+A'!R65</f>
        <v>1.82</v>
      </c>
      <c r="BB29" s="3219">
        <v>1.82</v>
      </c>
      <c r="BC29" s="3219"/>
      <c r="BD29" s="3219"/>
      <c r="BE29" s="3219"/>
      <c r="BF29" s="3219"/>
      <c r="BG29" s="3219"/>
      <c r="BH29" s="3219"/>
      <c r="BI29" s="3219"/>
      <c r="BJ29" s="3219"/>
      <c r="BK29" s="3219"/>
      <c r="BL29" s="3219"/>
      <c r="BM29" s="3219"/>
      <c r="BN29" s="3219"/>
      <c r="BO29" s="3219"/>
      <c r="BP29" s="3219"/>
      <c r="BQ29" s="3219"/>
      <c r="BR29" s="3219"/>
      <c r="BS29" s="3219"/>
      <c r="BT29" s="3219"/>
      <c r="BU29" s="3219"/>
      <c r="BV29" s="3219"/>
      <c r="BW29" s="3219"/>
      <c r="BX29" s="3219"/>
      <c r="BY29" s="3219"/>
      <c r="BZ29" s="3219"/>
      <c r="CA29" s="3219"/>
      <c r="CB29" s="3219"/>
      <c r="CC29" s="3219"/>
      <c r="CD29" s="3219"/>
      <c r="CE29" s="3219"/>
      <c r="CF29" s="3219"/>
      <c r="CG29" s="3219"/>
      <c r="CH29" s="3219"/>
      <c r="CI29" s="3225">
        <f t="shared" si="0"/>
        <v>1.82</v>
      </c>
    </row>
    <row r="30" spans="1:87" s="1380" customFormat="1" ht="63.75">
      <c r="A30" s="473" t="s">
        <v>772</v>
      </c>
      <c r="B30" s="586"/>
      <c r="C30" s="586" t="s">
        <v>2368</v>
      </c>
      <c r="D30" s="1699" t="s">
        <v>85</v>
      </c>
      <c r="E30" s="1075" t="s">
        <v>113</v>
      </c>
      <c r="F30" s="285">
        <v>99</v>
      </c>
      <c r="G30" s="2443"/>
      <c r="H30" s="413">
        <v>123.75</v>
      </c>
      <c r="I30" s="2443">
        <v>1.1599999999999999</v>
      </c>
      <c r="J30" s="642">
        <v>122.59</v>
      </c>
      <c r="K30" s="285"/>
      <c r="L30" s="2442">
        <v>132400</v>
      </c>
      <c r="M30" s="2261">
        <f t="shared" si="3"/>
        <v>1.3240000000000001</v>
      </c>
      <c r="N30" s="2442">
        <v>75</v>
      </c>
      <c r="O30" s="1472">
        <f t="shared" si="4"/>
        <v>99.300000000000011</v>
      </c>
      <c r="P30" s="2444" t="s">
        <v>5276</v>
      </c>
      <c r="Q30" s="2263" t="str">
        <f>'Ab1. RMNCH+A'!Q66</f>
        <v>Ongoing activity; Recommended for approval for Rs. 99.30 lakhs for trainings at skill lab @ Rs.132400/- per batch for 75 batches; The State need to follow RCH norms.</v>
      </c>
      <c r="R30" s="2924">
        <f>'Ab1. RMNCH+A'!R66</f>
        <v>99.3</v>
      </c>
      <c r="BB30" s="3219">
        <f>50.31+15.89</f>
        <v>66.2</v>
      </c>
      <c r="BC30" s="3219"/>
      <c r="BD30" s="3219"/>
      <c r="BE30" s="3219"/>
      <c r="BF30" s="3219"/>
      <c r="BG30" s="3219"/>
      <c r="BH30" s="3219"/>
      <c r="BI30" s="3219"/>
      <c r="BJ30" s="3219"/>
      <c r="BK30" s="3219"/>
      <c r="BL30" s="3219"/>
      <c r="BM30" s="3219"/>
      <c r="BN30" s="3219"/>
      <c r="BO30" s="3219"/>
      <c r="BP30" s="3219"/>
      <c r="BQ30" s="3219"/>
      <c r="BR30" s="3219"/>
      <c r="BS30" s="3219"/>
      <c r="BT30" s="3219"/>
      <c r="BU30" s="3219"/>
      <c r="BV30" s="3219"/>
      <c r="BW30" s="3219"/>
      <c r="BX30" s="3219"/>
      <c r="BY30" s="3219"/>
      <c r="BZ30" s="3219"/>
      <c r="CA30" s="3219"/>
      <c r="CB30" s="3219"/>
      <c r="CC30" s="3219"/>
      <c r="CD30" s="3219"/>
      <c r="CE30" s="3219"/>
      <c r="CF30" s="3219"/>
      <c r="CG30" s="3219">
        <v>33.1</v>
      </c>
      <c r="CH30" s="3219">
        <v>0</v>
      </c>
      <c r="CI30" s="3225">
        <f t="shared" si="0"/>
        <v>99.300000000000011</v>
      </c>
    </row>
    <row r="31" spans="1:87" s="1101" customFormat="1">
      <c r="A31" s="1407" t="s">
        <v>775</v>
      </c>
      <c r="B31" s="508" t="s">
        <v>770</v>
      </c>
      <c r="C31" s="508" t="s">
        <v>771</v>
      </c>
      <c r="D31" s="1454" t="s">
        <v>85</v>
      </c>
      <c r="E31" s="1120" t="s">
        <v>113</v>
      </c>
      <c r="F31" s="323">
        <v>0</v>
      </c>
      <c r="G31" s="405"/>
      <c r="H31" s="401">
        <v>0</v>
      </c>
      <c r="I31" s="401"/>
      <c r="J31" s="323"/>
      <c r="K31" s="252"/>
      <c r="L31" s="277"/>
      <c r="M31" s="281">
        <f t="shared" si="3"/>
        <v>0</v>
      </c>
      <c r="N31" s="277"/>
      <c r="O31" s="1507">
        <f t="shared" si="4"/>
        <v>0</v>
      </c>
      <c r="P31" s="729"/>
      <c r="Q31" s="1017" t="str">
        <f>'Ab1. RMNCH+A'!Q67</f>
        <v>-</v>
      </c>
      <c r="R31" s="2920">
        <f>'Ab1. RMNCH+A'!R67</f>
        <v>0</v>
      </c>
      <c r="BB31" s="3225"/>
      <c r="BC31" s="3225"/>
      <c r="BD31" s="3225"/>
      <c r="BE31" s="3225"/>
      <c r="BF31" s="3225"/>
      <c r="BG31" s="3225"/>
      <c r="BH31" s="3225"/>
      <c r="BI31" s="3225"/>
      <c r="BJ31" s="3225"/>
      <c r="BK31" s="3225"/>
      <c r="BL31" s="3225"/>
      <c r="BM31" s="3225"/>
      <c r="BN31" s="3225"/>
      <c r="BO31" s="3225"/>
      <c r="BP31" s="3225"/>
      <c r="BQ31" s="3225"/>
      <c r="BR31" s="3225"/>
      <c r="BS31" s="3225"/>
      <c r="BT31" s="3225"/>
      <c r="BU31" s="3225"/>
      <c r="BV31" s="3225"/>
      <c r="BW31" s="3225"/>
      <c r="BX31" s="3225"/>
      <c r="BY31" s="3225"/>
      <c r="BZ31" s="3225"/>
      <c r="CA31" s="3225"/>
      <c r="CB31" s="3225"/>
      <c r="CC31" s="3225"/>
      <c r="CD31" s="3225"/>
      <c r="CE31" s="3225"/>
      <c r="CF31" s="3225"/>
      <c r="CG31" s="3225"/>
      <c r="CH31" s="3225"/>
      <c r="CI31" s="3225">
        <f t="shared" si="0"/>
        <v>0</v>
      </c>
    </row>
    <row r="32" spans="1:87" s="1101" customFormat="1" ht="30">
      <c r="A32" s="1407" t="s">
        <v>778</v>
      </c>
      <c r="B32" s="508" t="s">
        <v>773</v>
      </c>
      <c r="C32" s="508" t="s">
        <v>774</v>
      </c>
      <c r="D32" s="1454" t="s">
        <v>85</v>
      </c>
      <c r="E32" s="1120" t="s">
        <v>113</v>
      </c>
      <c r="F32" s="323">
        <v>0</v>
      </c>
      <c r="G32" s="253"/>
      <c r="H32" s="401">
        <v>0</v>
      </c>
      <c r="I32" s="401"/>
      <c r="J32" s="252"/>
      <c r="K32" s="252"/>
      <c r="L32" s="277"/>
      <c r="M32" s="281">
        <f t="shared" si="3"/>
        <v>0</v>
      </c>
      <c r="N32" s="277"/>
      <c r="O32" s="1507">
        <f t="shared" si="4"/>
        <v>0</v>
      </c>
      <c r="P32" s="729"/>
      <c r="Q32" s="1017" t="str">
        <f>'Ab1. RMNCH+A'!Q68</f>
        <v>-</v>
      </c>
      <c r="R32" s="2920">
        <f>'Ab1. RMNCH+A'!R68</f>
        <v>0</v>
      </c>
      <c r="BB32" s="3225"/>
      <c r="BC32" s="3225"/>
      <c r="BD32" s="3225"/>
      <c r="BE32" s="3225"/>
      <c r="BF32" s="3225"/>
      <c r="BG32" s="3225"/>
      <c r="BH32" s="3225"/>
      <c r="BI32" s="3225"/>
      <c r="BJ32" s="3225"/>
      <c r="BK32" s="3225"/>
      <c r="BL32" s="3225"/>
      <c r="BM32" s="3225"/>
      <c r="BN32" s="3225"/>
      <c r="BO32" s="3225"/>
      <c r="BP32" s="3225"/>
      <c r="BQ32" s="3225"/>
      <c r="BR32" s="3225"/>
      <c r="BS32" s="3225"/>
      <c r="BT32" s="3225"/>
      <c r="BU32" s="3225"/>
      <c r="BV32" s="3225"/>
      <c r="BW32" s="3225"/>
      <c r="BX32" s="3225"/>
      <c r="BY32" s="3225"/>
      <c r="BZ32" s="3225"/>
      <c r="CA32" s="3225"/>
      <c r="CB32" s="3225"/>
      <c r="CC32" s="3225"/>
      <c r="CD32" s="3225"/>
      <c r="CE32" s="3225"/>
      <c r="CF32" s="3225"/>
      <c r="CG32" s="3225"/>
      <c r="CH32" s="3225"/>
      <c r="CI32" s="3225">
        <f t="shared" si="0"/>
        <v>0</v>
      </c>
    </row>
    <row r="33" spans="1:87">
      <c r="A33" s="1407" t="s">
        <v>781</v>
      </c>
      <c r="B33" s="508" t="s">
        <v>776</v>
      </c>
      <c r="C33" s="508" t="s">
        <v>777</v>
      </c>
      <c r="D33" s="1454" t="s">
        <v>85</v>
      </c>
      <c r="E33" s="1120" t="s">
        <v>113</v>
      </c>
      <c r="F33" s="2211">
        <v>0</v>
      </c>
      <c r="G33" s="276"/>
      <c r="H33" s="2211">
        <v>0</v>
      </c>
      <c r="I33" s="276"/>
      <c r="J33" s="276"/>
      <c r="K33" s="276"/>
      <c r="L33" s="277"/>
      <c r="M33" s="281">
        <f t="shared" si="3"/>
        <v>0</v>
      </c>
      <c r="N33" s="277"/>
      <c r="O33" s="1507">
        <f t="shared" ref="O33:O48" si="5">M33*N33</f>
        <v>0</v>
      </c>
      <c r="P33" s="744"/>
      <c r="Q33" s="1017" t="str">
        <f>'Ab1. RMNCH+A'!Q69</f>
        <v>-</v>
      </c>
      <c r="R33" s="2920">
        <f>'Ab1. RMNCH+A'!R69</f>
        <v>0</v>
      </c>
      <c r="BB33" s="3218"/>
      <c r="BC33" s="3218"/>
      <c r="BD33" s="3218"/>
      <c r="BE33" s="3218"/>
      <c r="BF33" s="3218"/>
      <c r="BG33" s="3218"/>
      <c r="BH33" s="3218"/>
      <c r="BI33" s="3218"/>
      <c r="BJ33" s="3218"/>
      <c r="BK33" s="3218"/>
      <c r="BL33" s="3218"/>
      <c r="BM33" s="3218"/>
      <c r="BN33" s="3218"/>
      <c r="BO33" s="3218"/>
      <c r="BP33" s="3218"/>
      <c r="BQ33" s="3218"/>
      <c r="BR33" s="3218"/>
      <c r="BS33" s="3218"/>
      <c r="BT33" s="3218"/>
      <c r="BU33" s="3218"/>
      <c r="BV33" s="3218"/>
      <c r="BW33" s="3218"/>
      <c r="BX33" s="3218"/>
      <c r="BY33" s="3218"/>
      <c r="BZ33" s="3218"/>
      <c r="CA33" s="3218"/>
      <c r="CB33" s="3218"/>
      <c r="CC33" s="3218"/>
      <c r="CD33" s="3218"/>
      <c r="CE33" s="3218"/>
      <c r="CF33" s="3218"/>
      <c r="CG33" s="3218"/>
      <c r="CH33" s="3218"/>
      <c r="CI33" s="3225">
        <f t="shared" si="0"/>
        <v>0</v>
      </c>
    </row>
    <row r="34" spans="1:87">
      <c r="A34" s="1407" t="s">
        <v>784</v>
      </c>
      <c r="B34" s="508" t="s">
        <v>779</v>
      </c>
      <c r="C34" s="508" t="s">
        <v>780</v>
      </c>
      <c r="D34" s="1454" t="s">
        <v>85</v>
      </c>
      <c r="E34" s="1120" t="s">
        <v>113</v>
      </c>
      <c r="F34" s="2211">
        <v>0</v>
      </c>
      <c r="G34" s="276"/>
      <c r="H34" s="2211">
        <v>0</v>
      </c>
      <c r="I34" s="276"/>
      <c r="J34" s="276"/>
      <c r="K34" s="276"/>
      <c r="L34" s="277"/>
      <c r="M34" s="281">
        <f t="shared" si="3"/>
        <v>0</v>
      </c>
      <c r="N34" s="277"/>
      <c r="O34" s="1507">
        <f t="shared" si="5"/>
        <v>0</v>
      </c>
      <c r="P34" s="744"/>
      <c r="Q34" s="1017" t="str">
        <f>'Ab1. RMNCH+A'!Q70</f>
        <v>-</v>
      </c>
      <c r="R34" s="2920">
        <f>'Ab1. RMNCH+A'!R70</f>
        <v>0</v>
      </c>
      <c r="BB34" s="3218"/>
      <c r="BC34" s="3218"/>
      <c r="BD34" s="3218"/>
      <c r="BE34" s="3218"/>
      <c r="BF34" s="3218"/>
      <c r="BG34" s="3218"/>
      <c r="BH34" s="3218"/>
      <c r="BI34" s="3218"/>
      <c r="BJ34" s="3218"/>
      <c r="BK34" s="3218"/>
      <c r="BL34" s="3218"/>
      <c r="BM34" s="3218"/>
      <c r="BN34" s="3218"/>
      <c r="BO34" s="3218"/>
      <c r="BP34" s="3218"/>
      <c r="BQ34" s="3218"/>
      <c r="BR34" s="3218"/>
      <c r="BS34" s="3218"/>
      <c r="BT34" s="3218"/>
      <c r="BU34" s="3218"/>
      <c r="BV34" s="3218"/>
      <c r="BW34" s="3218"/>
      <c r="BX34" s="3218"/>
      <c r="BY34" s="3218"/>
      <c r="BZ34" s="3218"/>
      <c r="CA34" s="3218"/>
      <c r="CB34" s="3218"/>
      <c r="CC34" s="3218"/>
      <c r="CD34" s="3218"/>
      <c r="CE34" s="3218"/>
      <c r="CF34" s="3218"/>
      <c r="CG34" s="3218"/>
      <c r="CH34" s="3218"/>
      <c r="CI34" s="3225">
        <f t="shared" si="0"/>
        <v>0</v>
      </c>
    </row>
    <row r="35" spans="1:87">
      <c r="A35" s="1407" t="s">
        <v>787</v>
      </c>
      <c r="B35" s="508" t="s">
        <v>782</v>
      </c>
      <c r="C35" s="508" t="s">
        <v>783</v>
      </c>
      <c r="D35" s="1454" t="s">
        <v>85</v>
      </c>
      <c r="E35" s="1120" t="s">
        <v>113</v>
      </c>
      <c r="F35" s="2211">
        <v>0</v>
      </c>
      <c r="G35" s="276"/>
      <c r="H35" s="2211">
        <v>0</v>
      </c>
      <c r="I35" s="276"/>
      <c r="J35" s="276"/>
      <c r="K35" s="276"/>
      <c r="L35" s="277"/>
      <c r="M35" s="281">
        <f t="shared" si="3"/>
        <v>0</v>
      </c>
      <c r="N35" s="277"/>
      <c r="O35" s="1507">
        <f t="shared" si="5"/>
        <v>0</v>
      </c>
      <c r="P35" s="744"/>
      <c r="Q35" s="1017" t="str">
        <f>'Ab1. RMNCH+A'!Q71</f>
        <v>-</v>
      </c>
      <c r="R35" s="2920">
        <f>'Ab1. RMNCH+A'!R71</f>
        <v>0</v>
      </c>
      <c r="BB35" s="3218"/>
      <c r="BC35" s="3218"/>
      <c r="BD35" s="3218"/>
      <c r="BE35" s="3218"/>
      <c r="BF35" s="3218"/>
      <c r="BG35" s="3218"/>
      <c r="BH35" s="3218"/>
      <c r="BI35" s="3218"/>
      <c r="BJ35" s="3218"/>
      <c r="BK35" s="3218"/>
      <c r="BL35" s="3218"/>
      <c r="BM35" s="3218"/>
      <c r="BN35" s="3218"/>
      <c r="BO35" s="3218"/>
      <c r="BP35" s="3218"/>
      <c r="BQ35" s="3218"/>
      <c r="BR35" s="3218"/>
      <c r="BS35" s="3218"/>
      <c r="BT35" s="3218"/>
      <c r="BU35" s="3218"/>
      <c r="BV35" s="3218"/>
      <c r="BW35" s="3218"/>
      <c r="BX35" s="3218"/>
      <c r="BY35" s="3218"/>
      <c r="BZ35" s="3218"/>
      <c r="CA35" s="3218"/>
      <c r="CB35" s="3218"/>
      <c r="CC35" s="3218"/>
      <c r="CD35" s="3218"/>
      <c r="CE35" s="3218"/>
      <c r="CF35" s="3218"/>
      <c r="CG35" s="3218"/>
      <c r="CH35" s="3218"/>
      <c r="CI35" s="3225">
        <f t="shared" si="0"/>
        <v>0</v>
      </c>
    </row>
    <row r="36" spans="1:87" ht="30">
      <c r="A36" s="1407" t="s">
        <v>790</v>
      </c>
      <c r="B36" s="508" t="s">
        <v>785</v>
      </c>
      <c r="C36" s="508" t="s">
        <v>786</v>
      </c>
      <c r="D36" s="1454" t="s">
        <v>85</v>
      </c>
      <c r="E36" s="1120" t="s">
        <v>113</v>
      </c>
      <c r="F36" s="2211">
        <v>0</v>
      </c>
      <c r="G36" s="276"/>
      <c r="H36" s="2211">
        <v>0</v>
      </c>
      <c r="I36" s="276"/>
      <c r="J36" s="276"/>
      <c r="K36" s="276"/>
      <c r="L36" s="277"/>
      <c r="M36" s="281">
        <f t="shared" si="3"/>
        <v>0</v>
      </c>
      <c r="N36" s="277"/>
      <c r="O36" s="1507">
        <f t="shared" si="5"/>
        <v>0</v>
      </c>
      <c r="P36" s="744"/>
      <c r="Q36" s="1017" t="str">
        <f>'Ab1. RMNCH+A'!Q72</f>
        <v>-</v>
      </c>
      <c r="R36" s="2920">
        <f>'Ab1. RMNCH+A'!R72</f>
        <v>0</v>
      </c>
      <c r="BB36" s="3218"/>
      <c r="BC36" s="3218"/>
      <c r="BD36" s="3218"/>
      <c r="BE36" s="3218"/>
      <c r="BF36" s="3218"/>
      <c r="BG36" s="3218"/>
      <c r="BH36" s="3218"/>
      <c r="BI36" s="3218"/>
      <c r="BJ36" s="3218"/>
      <c r="BK36" s="3218"/>
      <c r="BL36" s="3218"/>
      <c r="BM36" s="3218"/>
      <c r="BN36" s="3218"/>
      <c r="BO36" s="3218"/>
      <c r="BP36" s="3218"/>
      <c r="BQ36" s="3218"/>
      <c r="BR36" s="3218"/>
      <c r="BS36" s="3218"/>
      <c r="BT36" s="3218"/>
      <c r="BU36" s="3218"/>
      <c r="BV36" s="3218"/>
      <c r="BW36" s="3218"/>
      <c r="BX36" s="3218"/>
      <c r="BY36" s="3218"/>
      <c r="BZ36" s="3218"/>
      <c r="CA36" s="3218"/>
      <c r="CB36" s="3218"/>
      <c r="CC36" s="3218"/>
      <c r="CD36" s="3218"/>
      <c r="CE36" s="3218"/>
      <c r="CF36" s="3218"/>
      <c r="CG36" s="3218"/>
      <c r="CH36" s="3218"/>
      <c r="CI36" s="3225">
        <f t="shared" si="0"/>
        <v>0</v>
      </c>
    </row>
    <row r="37" spans="1:87" ht="45">
      <c r="A37" s="1407" t="s">
        <v>793</v>
      </c>
      <c r="B37" s="508" t="s">
        <v>788</v>
      </c>
      <c r="C37" s="508" t="s">
        <v>789</v>
      </c>
      <c r="D37" s="1454" t="s">
        <v>85</v>
      </c>
      <c r="E37" s="1120" t="s">
        <v>113</v>
      </c>
      <c r="F37" s="323">
        <v>0</v>
      </c>
      <c r="G37" s="253"/>
      <c r="H37" s="401">
        <v>0</v>
      </c>
      <c r="I37" s="401"/>
      <c r="J37" s="406"/>
      <c r="K37" s="229"/>
      <c r="L37" s="277"/>
      <c r="M37" s="281">
        <f t="shared" si="3"/>
        <v>0</v>
      </c>
      <c r="N37" s="277"/>
      <c r="O37" s="1507">
        <f t="shared" si="5"/>
        <v>0</v>
      </c>
      <c r="P37" s="711"/>
      <c r="Q37" s="1017" t="str">
        <f>'Ab1. RMNCH+A'!Q73</f>
        <v xml:space="preserve">The State to ensure the availability of pool of CAC Master Trainers for conducting CAC trainings. </v>
      </c>
      <c r="R37" s="2920">
        <f>'Ab1. RMNCH+A'!R73</f>
        <v>0</v>
      </c>
      <c r="BB37" s="3218"/>
      <c r="BC37" s="3218"/>
      <c r="BD37" s="3218"/>
      <c r="BE37" s="3218"/>
      <c r="BF37" s="3218"/>
      <c r="BG37" s="3218"/>
      <c r="BH37" s="3218"/>
      <c r="BI37" s="3218"/>
      <c r="BJ37" s="3218"/>
      <c r="BK37" s="3218"/>
      <c r="BL37" s="3218"/>
      <c r="BM37" s="3218"/>
      <c r="BN37" s="3218"/>
      <c r="BO37" s="3218"/>
      <c r="BP37" s="3218"/>
      <c r="BQ37" s="3218"/>
      <c r="BR37" s="3218"/>
      <c r="BS37" s="3218"/>
      <c r="BT37" s="3218"/>
      <c r="BU37" s="3218"/>
      <c r="BV37" s="3218"/>
      <c r="BW37" s="3218"/>
      <c r="BX37" s="3218"/>
      <c r="BY37" s="3218"/>
      <c r="BZ37" s="3218"/>
      <c r="CA37" s="3218"/>
      <c r="CB37" s="3218"/>
      <c r="CC37" s="3218"/>
      <c r="CD37" s="3218"/>
      <c r="CE37" s="3218"/>
      <c r="CF37" s="3218"/>
      <c r="CG37" s="3218"/>
      <c r="CH37" s="3218"/>
      <c r="CI37" s="3225">
        <f t="shared" si="0"/>
        <v>0</v>
      </c>
    </row>
    <row r="38" spans="1:87" s="1380" customFormat="1" ht="89.25">
      <c r="A38" s="473" t="s">
        <v>796</v>
      </c>
      <c r="B38" s="586" t="s">
        <v>791</v>
      </c>
      <c r="C38" s="586" t="s">
        <v>792</v>
      </c>
      <c r="D38" s="1699" t="s">
        <v>85</v>
      </c>
      <c r="E38" s="1075" t="s">
        <v>113</v>
      </c>
      <c r="F38" s="642">
        <v>0</v>
      </c>
      <c r="G38" s="286"/>
      <c r="H38" s="413">
        <v>0</v>
      </c>
      <c r="I38" s="413"/>
      <c r="J38" s="291"/>
      <c r="K38" s="325"/>
      <c r="L38" s="2442">
        <v>126615</v>
      </c>
      <c r="M38" s="2261">
        <f t="shared" si="3"/>
        <v>1.2661500000000001</v>
      </c>
      <c r="N38" s="283">
        <v>10</v>
      </c>
      <c r="O38" s="1472">
        <f t="shared" si="5"/>
        <v>12.6615</v>
      </c>
      <c r="P38" s="2444" t="s">
        <v>5277</v>
      </c>
      <c r="Q38" s="2263" t="str">
        <f>'Ab1. RMNCH+A'!Q74</f>
        <v>Ongoing Activity:Recommended for approval of Rs. 12.66 Lakhs for 10 batches of Medical Officer training (3 MOs per batch) on safe abortion services @ Rs. 1,26,615/- per batch</v>
      </c>
      <c r="R38" s="2924">
        <f>'Ab1. RMNCH+A'!R74</f>
        <v>12.6615</v>
      </c>
      <c r="BB38" s="3219">
        <v>12.66</v>
      </c>
      <c r="BC38" s="3219"/>
      <c r="BD38" s="3219"/>
      <c r="BE38" s="3219"/>
      <c r="BF38" s="3219"/>
      <c r="BG38" s="3219"/>
      <c r="BH38" s="3219"/>
      <c r="BI38" s="3219"/>
      <c r="BJ38" s="3219"/>
      <c r="BK38" s="3219"/>
      <c r="BL38" s="3219"/>
      <c r="BM38" s="3219"/>
      <c r="BN38" s="3219"/>
      <c r="BO38" s="3219"/>
      <c r="BP38" s="3219"/>
      <c r="BQ38" s="3219"/>
      <c r="BR38" s="3219"/>
      <c r="BS38" s="3219"/>
      <c r="BT38" s="3219"/>
      <c r="BU38" s="3219"/>
      <c r="BV38" s="3219"/>
      <c r="BW38" s="3219"/>
      <c r="BX38" s="3219"/>
      <c r="BY38" s="3219"/>
      <c r="BZ38" s="3219"/>
      <c r="CA38" s="3219"/>
      <c r="CB38" s="3219"/>
      <c r="CC38" s="3219"/>
      <c r="CD38" s="3219"/>
      <c r="CE38" s="3219"/>
      <c r="CF38" s="3219"/>
      <c r="CG38" s="3219"/>
      <c r="CH38" s="3219"/>
      <c r="CI38" s="3225">
        <f t="shared" si="0"/>
        <v>12.66</v>
      </c>
    </row>
    <row r="39" spans="1:87">
      <c r="A39" s="1407" t="s">
        <v>799</v>
      </c>
      <c r="B39" s="508" t="s">
        <v>794</v>
      </c>
      <c r="C39" s="508" t="s">
        <v>795</v>
      </c>
      <c r="D39" s="1454" t="s">
        <v>85</v>
      </c>
      <c r="E39" s="1120" t="s">
        <v>113</v>
      </c>
      <c r="F39" s="2211">
        <v>0</v>
      </c>
      <c r="G39" s="276"/>
      <c r="H39" s="2211">
        <v>0</v>
      </c>
      <c r="I39" s="276"/>
      <c r="J39" s="276"/>
      <c r="K39" s="276"/>
      <c r="L39" s="277"/>
      <c r="M39" s="281">
        <f t="shared" si="3"/>
        <v>0</v>
      </c>
      <c r="N39" s="277"/>
      <c r="O39" s="1507">
        <f t="shared" si="5"/>
        <v>0</v>
      </c>
      <c r="P39" s="744"/>
      <c r="Q39" s="1017" t="str">
        <f>'Ab1. RMNCH+A'!Q75</f>
        <v>-</v>
      </c>
      <c r="R39" s="2920">
        <f>'Ab1. RMNCH+A'!R75</f>
        <v>0</v>
      </c>
      <c r="BB39" s="3218"/>
      <c r="BC39" s="3218"/>
      <c r="BD39" s="3218"/>
      <c r="BE39" s="3218"/>
      <c r="BF39" s="3218"/>
      <c r="BG39" s="3218"/>
      <c r="BH39" s="3218"/>
      <c r="BI39" s="3218"/>
      <c r="BJ39" s="3218"/>
      <c r="BK39" s="3218"/>
      <c r="BL39" s="3218"/>
      <c r="BM39" s="3218"/>
      <c r="BN39" s="3218"/>
      <c r="BO39" s="3218"/>
      <c r="BP39" s="3218"/>
      <c r="BQ39" s="3218"/>
      <c r="BR39" s="3218"/>
      <c r="BS39" s="3218"/>
      <c r="BT39" s="3218"/>
      <c r="BU39" s="3218"/>
      <c r="BV39" s="3218"/>
      <c r="BW39" s="3218"/>
      <c r="BX39" s="3218"/>
      <c r="BY39" s="3218"/>
      <c r="BZ39" s="3218"/>
      <c r="CA39" s="3218"/>
      <c r="CB39" s="3218"/>
      <c r="CC39" s="3218"/>
      <c r="CD39" s="3218"/>
      <c r="CE39" s="3218"/>
      <c r="CF39" s="3218"/>
      <c r="CG39" s="3218"/>
      <c r="CH39" s="3218"/>
      <c r="CI39" s="3225">
        <f t="shared" si="0"/>
        <v>0</v>
      </c>
    </row>
    <row r="40" spans="1:87" ht="30">
      <c r="A40" s="1407" t="s">
        <v>802</v>
      </c>
      <c r="B40" s="508" t="s">
        <v>797</v>
      </c>
      <c r="C40" s="508" t="s">
        <v>798</v>
      </c>
      <c r="D40" s="1454" t="s">
        <v>85</v>
      </c>
      <c r="E40" s="1120" t="s">
        <v>113</v>
      </c>
      <c r="F40" s="2211">
        <v>0</v>
      </c>
      <c r="G40" s="276"/>
      <c r="H40" s="2211">
        <v>0</v>
      </c>
      <c r="I40" s="276"/>
      <c r="J40" s="276"/>
      <c r="K40" s="276"/>
      <c r="L40" s="277"/>
      <c r="M40" s="281">
        <f t="shared" si="3"/>
        <v>0</v>
      </c>
      <c r="N40" s="277"/>
      <c r="O40" s="1507">
        <f t="shared" si="5"/>
        <v>0</v>
      </c>
      <c r="P40" s="744"/>
      <c r="Q40" s="1017" t="str">
        <f>'Ab1. RMNCH+A'!Q76</f>
        <v>-</v>
      </c>
      <c r="R40" s="2920">
        <f>'Ab1. RMNCH+A'!R76</f>
        <v>0</v>
      </c>
      <c r="BB40" s="3218"/>
      <c r="BC40" s="3218"/>
      <c r="BD40" s="3218"/>
      <c r="BE40" s="3218"/>
      <c r="BF40" s="3218"/>
      <c r="BG40" s="3218"/>
      <c r="BH40" s="3218"/>
      <c r="BI40" s="3218"/>
      <c r="BJ40" s="3218"/>
      <c r="BK40" s="3218"/>
      <c r="BL40" s="3218"/>
      <c r="BM40" s="3218"/>
      <c r="BN40" s="3218"/>
      <c r="BO40" s="3218"/>
      <c r="BP40" s="3218"/>
      <c r="BQ40" s="3218"/>
      <c r="BR40" s="3218"/>
      <c r="BS40" s="3218"/>
      <c r="BT40" s="3218"/>
      <c r="BU40" s="3218"/>
      <c r="BV40" s="3218"/>
      <c r="BW40" s="3218"/>
      <c r="BX40" s="3218"/>
      <c r="BY40" s="3218"/>
      <c r="BZ40" s="3218"/>
      <c r="CA40" s="3218"/>
      <c r="CB40" s="3218"/>
      <c r="CC40" s="3218"/>
      <c r="CD40" s="3218"/>
      <c r="CE40" s="3218"/>
      <c r="CF40" s="3218"/>
      <c r="CG40" s="3218"/>
      <c r="CH40" s="3218"/>
      <c r="CI40" s="3225">
        <f t="shared" si="0"/>
        <v>0</v>
      </c>
    </row>
    <row r="41" spans="1:87" ht="30">
      <c r="A41" s="1407" t="s">
        <v>805</v>
      </c>
      <c r="B41" s="586"/>
      <c r="C41" s="508" t="s">
        <v>2369</v>
      </c>
      <c r="D41" s="1454" t="s">
        <v>85</v>
      </c>
      <c r="E41" s="1120" t="s">
        <v>113</v>
      </c>
      <c r="F41" s="2211">
        <v>0</v>
      </c>
      <c r="G41" s="276"/>
      <c r="H41" s="2211">
        <v>0</v>
      </c>
      <c r="I41" s="276"/>
      <c r="J41" s="276"/>
      <c r="K41" s="276"/>
      <c r="L41" s="277"/>
      <c r="M41" s="281">
        <f t="shared" si="3"/>
        <v>0</v>
      </c>
      <c r="N41" s="277"/>
      <c r="O41" s="1507">
        <f t="shared" si="5"/>
        <v>0</v>
      </c>
      <c r="P41" s="744"/>
      <c r="Q41" s="1017" t="str">
        <f>'Ab1. RMNCH+A'!Q77</f>
        <v>-</v>
      </c>
      <c r="R41" s="2920">
        <f>'Ab1. RMNCH+A'!R77</f>
        <v>0</v>
      </c>
      <c r="BB41" s="3218"/>
      <c r="BC41" s="3218"/>
      <c r="BD41" s="3218"/>
      <c r="BE41" s="3218"/>
      <c r="BF41" s="3218"/>
      <c r="BG41" s="3218"/>
      <c r="BH41" s="3218"/>
      <c r="BI41" s="3218"/>
      <c r="BJ41" s="3218"/>
      <c r="BK41" s="3218"/>
      <c r="BL41" s="3218"/>
      <c r="BM41" s="3218"/>
      <c r="BN41" s="3218"/>
      <c r="BO41" s="3218"/>
      <c r="BP41" s="3218"/>
      <c r="BQ41" s="3218"/>
      <c r="BR41" s="3218"/>
      <c r="BS41" s="3218"/>
      <c r="BT41" s="3218"/>
      <c r="BU41" s="3218"/>
      <c r="BV41" s="3218"/>
      <c r="BW41" s="3218"/>
      <c r="BX41" s="3218"/>
      <c r="BY41" s="3218"/>
      <c r="BZ41" s="3218"/>
      <c r="CA41" s="3218"/>
      <c r="CB41" s="3218"/>
      <c r="CC41" s="3218"/>
      <c r="CD41" s="3218"/>
      <c r="CE41" s="3218"/>
      <c r="CF41" s="3218"/>
      <c r="CG41" s="3218"/>
      <c r="CH41" s="3218"/>
      <c r="CI41" s="3225">
        <f t="shared" si="0"/>
        <v>0</v>
      </c>
    </row>
    <row r="42" spans="1:87" ht="30">
      <c r="A42" s="1407" t="s">
        <v>808</v>
      </c>
      <c r="B42" s="508" t="s">
        <v>800</v>
      </c>
      <c r="C42" s="508" t="s">
        <v>801</v>
      </c>
      <c r="D42" s="1454" t="s">
        <v>85</v>
      </c>
      <c r="E42" s="1120" t="s">
        <v>113</v>
      </c>
      <c r="F42" s="2211">
        <v>0</v>
      </c>
      <c r="G42" s="276"/>
      <c r="H42" s="2211">
        <v>0</v>
      </c>
      <c r="I42" s="276"/>
      <c r="J42" s="276"/>
      <c r="K42" s="276"/>
      <c r="L42" s="277"/>
      <c r="M42" s="281">
        <f t="shared" si="3"/>
        <v>0</v>
      </c>
      <c r="N42" s="277"/>
      <c r="O42" s="1507">
        <f t="shared" si="5"/>
        <v>0</v>
      </c>
      <c r="P42" s="744"/>
      <c r="Q42" s="1017" t="str">
        <f>'Ab1. RMNCH+A'!Q78</f>
        <v>-</v>
      </c>
      <c r="R42" s="2920">
        <f>'Ab1. RMNCH+A'!R78</f>
        <v>0</v>
      </c>
      <c r="BB42" s="3218"/>
      <c r="BC42" s="3218"/>
      <c r="BD42" s="3218"/>
      <c r="BE42" s="3218"/>
      <c r="BF42" s="3218"/>
      <c r="BG42" s="3218"/>
      <c r="BH42" s="3218"/>
      <c r="BI42" s="3218"/>
      <c r="BJ42" s="3218"/>
      <c r="BK42" s="3218"/>
      <c r="BL42" s="3218"/>
      <c r="BM42" s="3218"/>
      <c r="BN42" s="3218"/>
      <c r="BO42" s="3218"/>
      <c r="BP42" s="3218"/>
      <c r="BQ42" s="3218"/>
      <c r="BR42" s="3218"/>
      <c r="BS42" s="3218"/>
      <c r="BT42" s="3218"/>
      <c r="BU42" s="3218"/>
      <c r="BV42" s="3218"/>
      <c r="BW42" s="3218"/>
      <c r="BX42" s="3218"/>
      <c r="BY42" s="3218"/>
      <c r="BZ42" s="3218"/>
      <c r="CA42" s="3218"/>
      <c r="CB42" s="3218"/>
      <c r="CC42" s="3218"/>
      <c r="CD42" s="3218"/>
      <c r="CE42" s="3218"/>
      <c r="CF42" s="3218"/>
      <c r="CG42" s="3218"/>
      <c r="CH42" s="3218"/>
      <c r="CI42" s="3225">
        <f t="shared" si="0"/>
        <v>0</v>
      </c>
    </row>
    <row r="43" spans="1:87">
      <c r="A43" s="1407" t="s">
        <v>2278</v>
      </c>
      <c r="B43" s="508" t="s">
        <v>803</v>
      </c>
      <c r="C43" s="508" t="s">
        <v>804</v>
      </c>
      <c r="D43" s="1454" t="s">
        <v>85</v>
      </c>
      <c r="E43" s="1120" t="s">
        <v>113</v>
      </c>
      <c r="F43" s="323">
        <v>0</v>
      </c>
      <c r="G43" s="253"/>
      <c r="H43" s="401">
        <v>0</v>
      </c>
      <c r="I43" s="401"/>
      <c r="J43" s="252"/>
      <c r="K43" s="252"/>
      <c r="L43" s="277"/>
      <c r="M43" s="281">
        <f t="shared" si="3"/>
        <v>0</v>
      </c>
      <c r="N43" s="277"/>
      <c r="O43" s="1507">
        <f t="shared" si="5"/>
        <v>0</v>
      </c>
      <c r="P43" s="729"/>
      <c r="Q43" s="1017" t="str">
        <f>'Ab1. RMNCH+A'!Q79</f>
        <v>-</v>
      </c>
      <c r="R43" s="2920">
        <f>'Ab1. RMNCH+A'!R79</f>
        <v>0</v>
      </c>
      <c r="BB43" s="3218"/>
      <c r="BC43" s="3218"/>
      <c r="BD43" s="3218"/>
      <c r="BE43" s="3218"/>
      <c r="BF43" s="3218"/>
      <c r="BG43" s="3218"/>
      <c r="BH43" s="3218"/>
      <c r="BI43" s="3218"/>
      <c r="BJ43" s="3218"/>
      <c r="BK43" s="3218"/>
      <c r="BL43" s="3218"/>
      <c r="BM43" s="3218"/>
      <c r="BN43" s="3218"/>
      <c r="BO43" s="3218"/>
      <c r="BP43" s="3218"/>
      <c r="BQ43" s="3218"/>
      <c r="BR43" s="3218"/>
      <c r="BS43" s="3218"/>
      <c r="BT43" s="3218"/>
      <c r="BU43" s="3218"/>
      <c r="BV43" s="3218"/>
      <c r="BW43" s="3218"/>
      <c r="BX43" s="3218"/>
      <c r="BY43" s="3218"/>
      <c r="BZ43" s="3218"/>
      <c r="CA43" s="3218"/>
      <c r="CB43" s="3218"/>
      <c r="CC43" s="3218"/>
      <c r="CD43" s="3218"/>
      <c r="CE43" s="3218"/>
      <c r="CF43" s="3218"/>
      <c r="CG43" s="3218"/>
      <c r="CH43" s="3218"/>
      <c r="CI43" s="3225">
        <f t="shared" si="0"/>
        <v>0</v>
      </c>
    </row>
    <row r="44" spans="1:87">
      <c r="A44" s="1407" t="s">
        <v>2279</v>
      </c>
      <c r="B44" s="508" t="s">
        <v>806</v>
      </c>
      <c r="C44" s="508" t="s">
        <v>807</v>
      </c>
      <c r="D44" s="1454" t="s">
        <v>85</v>
      </c>
      <c r="E44" s="1120" t="s">
        <v>113</v>
      </c>
      <c r="F44" s="323">
        <v>0</v>
      </c>
      <c r="G44" s="253"/>
      <c r="H44" s="401">
        <v>0</v>
      </c>
      <c r="I44" s="401"/>
      <c r="J44" s="252"/>
      <c r="K44" s="252"/>
      <c r="L44" s="277"/>
      <c r="M44" s="281">
        <f t="shared" si="3"/>
        <v>0</v>
      </c>
      <c r="N44" s="277"/>
      <c r="O44" s="1507">
        <f t="shared" si="5"/>
        <v>0</v>
      </c>
      <c r="P44" s="729"/>
      <c r="Q44" s="1017" t="str">
        <f>'Ab1. RMNCH+A'!Q80</f>
        <v>-</v>
      </c>
      <c r="R44" s="2920">
        <f>'Ab1. RMNCH+A'!R80</f>
        <v>0</v>
      </c>
      <c r="BB44" s="3218"/>
      <c r="BC44" s="3218"/>
      <c r="BD44" s="3218"/>
      <c r="BE44" s="3218"/>
      <c r="BF44" s="3218"/>
      <c r="BG44" s="3218"/>
      <c r="BH44" s="3218"/>
      <c r="BI44" s="3218"/>
      <c r="BJ44" s="3218"/>
      <c r="BK44" s="3218"/>
      <c r="BL44" s="3218"/>
      <c r="BM44" s="3218"/>
      <c r="BN44" s="3218"/>
      <c r="BO44" s="3218"/>
      <c r="BP44" s="3218"/>
      <c r="BQ44" s="3218"/>
      <c r="BR44" s="3218"/>
      <c r="BS44" s="3218"/>
      <c r="BT44" s="3218"/>
      <c r="BU44" s="3218"/>
      <c r="BV44" s="3218"/>
      <c r="BW44" s="3218"/>
      <c r="BX44" s="3218"/>
      <c r="BY44" s="3218"/>
      <c r="BZ44" s="3218"/>
      <c r="CA44" s="3218"/>
      <c r="CB44" s="3218"/>
      <c r="CC44" s="3218"/>
      <c r="CD44" s="3218"/>
      <c r="CE44" s="3218"/>
      <c r="CF44" s="3218"/>
      <c r="CG44" s="3218"/>
      <c r="CH44" s="3218"/>
      <c r="CI44" s="3225">
        <f t="shared" si="0"/>
        <v>0</v>
      </c>
    </row>
    <row r="45" spans="1:87">
      <c r="A45" s="1407" t="s">
        <v>2280</v>
      </c>
      <c r="B45" s="586"/>
      <c r="C45" s="882" t="s">
        <v>2275</v>
      </c>
      <c r="D45" s="1454" t="s">
        <v>85</v>
      </c>
      <c r="E45" s="1120" t="s">
        <v>113</v>
      </c>
      <c r="F45" s="2211">
        <v>0</v>
      </c>
      <c r="G45" s="276"/>
      <c r="H45" s="2211">
        <v>0</v>
      </c>
      <c r="I45" s="276"/>
      <c r="J45" s="276"/>
      <c r="K45" s="276"/>
      <c r="L45" s="277"/>
      <c r="M45" s="281">
        <f t="shared" si="3"/>
        <v>0</v>
      </c>
      <c r="N45" s="277"/>
      <c r="O45" s="1507">
        <f t="shared" si="5"/>
        <v>0</v>
      </c>
      <c r="P45" s="744"/>
      <c r="Q45" s="1017" t="str">
        <f>'Ab1. RMNCH+A'!Q81</f>
        <v>-</v>
      </c>
      <c r="R45" s="2920">
        <f>'Ab1. RMNCH+A'!R81</f>
        <v>0</v>
      </c>
      <c r="BB45" s="3218"/>
      <c r="BC45" s="3218"/>
      <c r="BD45" s="3218"/>
      <c r="BE45" s="3218"/>
      <c r="BF45" s="3218"/>
      <c r="BG45" s="3218"/>
      <c r="BH45" s="3218"/>
      <c r="BI45" s="3218"/>
      <c r="BJ45" s="3218"/>
      <c r="BK45" s="3218"/>
      <c r="BL45" s="3218"/>
      <c r="BM45" s="3218"/>
      <c r="BN45" s="3218"/>
      <c r="BO45" s="3218"/>
      <c r="BP45" s="3218"/>
      <c r="BQ45" s="3218"/>
      <c r="BR45" s="3218"/>
      <c r="BS45" s="3218"/>
      <c r="BT45" s="3218"/>
      <c r="BU45" s="3218"/>
      <c r="BV45" s="3218"/>
      <c r="BW45" s="3218"/>
      <c r="BX45" s="3218"/>
      <c r="BY45" s="3218"/>
      <c r="BZ45" s="3218"/>
      <c r="CA45" s="3218"/>
      <c r="CB45" s="3218"/>
      <c r="CC45" s="3218"/>
      <c r="CD45" s="3218"/>
      <c r="CE45" s="3218"/>
      <c r="CF45" s="3218"/>
      <c r="CG45" s="3218"/>
      <c r="CH45" s="3218"/>
      <c r="CI45" s="3225">
        <f t="shared" si="0"/>
        <v>0</v>
      </c>
    </row>
    <row r="46" spans="1:87">
      <c r="A46" s="1407" t="s">
        <v>2281</v>
      </c>
      <c r="B46" s="586"/>
      <c r="C46" s="882" t="s">
        <v>2276</v>
      </c>
      <c r="D46" s="1454" t="s">
        <v>85</v>
      </c>
      <c r="E46" s="1120" t="s">
        <v>113</v>
      </c>
      <c r="F46" s="229">
        <v>0</v>
      </c>
      <c r="G46" s="253"/>
      <c r="H46" s="401">
        <v>0</v>
      </c>
      <c r="I46" s="401"/>
      <c r="J46" s="82"/>
      <c r="K46" s="229"/>
      <c r="L46" s="277"/>
      <c r="M46" s="281">
        <f t="shared" si="3"/>
        <v>0</v>
      </c>
      <c r="N46" s="277"/>
      <c r="O46" s="1507">
        <f t="shared" si="5"/>
        <v>0</v>
      </c>
      <c r="P46" s="748"/>
      <c r="Q46" s="1017" t="str">
        <f>'Ab1. RMNCH+A'!Q82</f>
        <v>-</v>
      </c>
      <c r="R46" s="2920">
        <f>'Ab1. RMNCH+A'!R82</f>
        <v>0</v>
      </c>
      <c r="BB46" s="3218"/>
      <c r="BC46" s="3218"/>
      <c r="BD46" s="3218"/>
      <c r="BE46" s="3218"/>
      <c r="BF46" s="3218"/>
      <c r="BG46" s="3218"/>
      <c r="BH46" s="3218"/>
      <c r="BI46" s="3218"/>
      <c r="BJ46" s="3218"/>
      <c r="BK46" s="3218"/>
      <c r="BL46" s="3218"/>
      <c r="BM46" s="3218"/>
      <c r="BN46" s="3218"/>
      <c r="BO46" s="3218"/>
      <c r="BP46" s="3218"/>
      <c r="BQ46" s="3218"/>
      <c r="BR46" s="3218"/>
      <c r="BS46" s="3218"/>
      <c r="BT46" s="3218"/>
      <c r="BU46" s="3218"/>
      <c r="BV46" s="3218"/>
      <c r="BW46" s="3218"/>
      <c r="BX46" s="3218"/>
      <c r="BY46" s="3218"/>
      <c r="BZ46" s="3218"/>
      <c r="CA46" s="3218"/>
      <c r="CB46" s="3218"/>
      <c r="CC46" s="3218"/>
      <c r="CD46" s="3218"/>
      <c r="CE46" s="3218"/>
      <c r="CF46" s="3218"/>
      <c r="CG46" s="3218"/>
      <c r="CH46" s="3218"/>
      <c r="CI46" s="3225">
        <f t="shared" si="0"/>
        <v>0</v>
      </c>
    </row>
    <row r="47" spans="1:87">
      <c r="A47" s="1407" t="s">
        <v>2316</v>
      </c>
      <c r="B47" s="586"/>
      <c r="C47" s="882" t="s">
        <v>2320</v>
      </c>
      <c r="D47" s="1454" t="s">
        <v>85</v>
      </c>
      <c r="E47" s="1120" t="s">
        <v>113</v>
      </c>
      <c r="F47" s="229">
        <v>264</v>
      </c>
      <c r="G47" s="253"/>
      <c r="H47" s="401">
        <v>5.28</v>
      </c>
      <c r="I47" s="401"/>
      <c r="J47" s="82"/>
      <c r="K47" s="229"/>
      <c r="L47" s="277"/>
      <c r="M47" s="281">
        <f t="shared" si="3"/>
        <v>0</v>
      </c>
      <c r="N47" s="277"/>
      <c r="O47" s="1507">
        <f t="shared" si="5"/>
        <v>0</v>
      </c>
      <c r="P47" s="711"/>
      <c r="Q47" s="1017" t="str">
        <f>'Ab1. RMNCH+A'!Q83</f>
        <v>-</v>
      </c>
      <c r="R47" s="2920">
        <f>'Ab1. RMNCH+A'!R83</f>
        <v>0</v>
      </c>
      <c r="BB47" s="3218"/>
      <c r="BC47" s="3218"/>
      <c r="BD47" s="3218"/>
      <c r="BE47" s="3218"/>
      <c r="BF47" s="3218"/>
      <c r="BG47" s="3218"/>
      <c r="BH47" s="3218"/>
      <c r="BI47" s="3218"/>
      <c r="BJ47" s="3218"/>
      <c r="BK47" s="3218"/>
      <c r="BL47" s="3218"/>
      <c r="BM47" s="3218"/>
      <c r="BN47" s="3218"/>
      <c r="BO47" s="3218"/>
      <c r="BP47" s="3218"/>
      <c r="BQ47" s="3218"/>
      <c r="BR47" s="3218"/>
      <c r="BS47" s="3218"/>
      <c r="BT47" s="3218"/>
      <c r="BU47" s="3218"/>
      <c r="BV47" s="3218"/>
      <c r="BW47" s="3218"/>
      <c r="BX47" s="3218"/>
      <c r="BY47" s="3218"/>
      <c r="BZ47" s="3218"/>
      <c r="CA47" s="3218"/>
      <c r="CB47" s="3218"/>
      <c r="CC47" s="3218"/>
      <c r="CD47" s="3218"/>
      <c r="CE47" s="3218"/>
      <c r="CF47" s="3218"/>
      <c r="CG47" s="3218"/>
      <c r="CH47" s="3218"/>
      <c r="CI47" s="3225">
        <f t="shared" si="0"/>
        <v>0</v>
      </c>
    </row>
    <row r="48" spans="1:87" s="1380" customFormat="1" ht="84" customHeight="1">
      <c r="A48" s="473" t="s">
        <v>2318</v>
      </c>
      <c r="B48" s="586"/>
      <c r="C48" s="1080" t="s">
        <v>2370</v>
      </c>
      <c r="D48" s="1699" t="s">
        <v>85</v>
      </c>
      <c r="E48" s="1075" t="s">
        <v>113</v>
      </c>
      <c r="F48" s="285">
        <v>5</v>
      </c>
      <c r="G48" s="286"/>
      <c r="H48" s="413">
        <v>4.88</v>
      </c>
      <c r="I48" s="2443" t="s">
        <v>5275</v>
      </c>
      <c r="J48" s="285"/>
      <c r="K48" s="285"/>
      <c r="L48" s="2442">
        <v>97520</v>
      </c>
      <c r="M48" s="2261">
        <f t="shared" si="3"/>
        <v>0.97519999999999996</v>
      </c>
      <c r="N48" s="283">
        <v>5</v>
      </c>
      <c r="O48" s="1472">
        <f t="shared" si="5"/>
        <v>4.8759999999999994</v>
      </c>
      <c r="P48" s="2444" t="s">
        <v>5278</v>
      </c>
      <c r="Q48" s="2263" t="str">
        <f>'Ab1. RMNCH+A'!Q84</f>
        <v>Ongoing activity: Recommended for approval of Rs. 4,87,600/- for 5 batches of LaQshya quality training @ Rs. 97,520/- (Rs.97520*5 = Rs.487600); The State need to follow RCH training norms</v>
      </c>
      <c r="R48" s="2924">
        <f>'Ab1. RMNCH+A'!R84</f>
        <v>4.8760000000000003</v>
      </c>
      <c r="BB48" s="3219">
        <v>4.88</v>
      </c>
      <c r="BC48" s="3219"/>
      <c r="BD48" s="3219"/>
      <c r="BE48" s="3219"/>
      <c r="BF48" s="3219"/>
      <c r="BG48" s="3219"/>
      <c r="BH48" s="3219"/>
      <c r="BI48" s="3219"/>
      <c r="BJ48" s="3219"/>
      <c r="BK48" s="3219"/>
      <c r="BL48" s="3219"/>
      <c r="BM48" s="3219"/>
      <c r="BN48" s="3219"/>
      <c r="BO48" s="3219"/>
      <c r="BP48" s="3219"/>
      <c r="BQ48" s="3219"/>
      <c r="BR48" s="3219"/>
      <c r="BS48" s="3219"/>
      <c r="BT48" s="3219"/>
      <c r="BU48" s="3219"/>
      <c r="BV48" s="3219"/>
      <c r="BW48" s="3219"/>
      <c r="BX48" s="3219"/>
      <c r="BY48" s="3219"/>
      <c r="BZ48" s="3219"/>
      <c r="CA48" s="3219"/>
      <c r="CB48" s="3219"/>
      <c r="CC48" s="3219"/>
      <c r="CD48" s="3219"/>
      <c r="CE48" s="3219"/>
      <c r="CF48" s="3219"/>
      <c r="CG48" s="3219"/>
      <c r="CH48" s="3219"/>
      <c r="CI48" s="3225">
        <f t="shared" si="0"/>
        <v>4.88</v>
      </c>
    </row>
    <row r="49" spans="1:87" s="1380" customFormat="1" ht="89.25">
      <c r="A49" s="473" t="s">
        <v>2319</v>
      </c>
      <c r="B49" s="586"/>
      <c r="C49" s="1080" t="s">
        <v>2277</v>
      </c>
      <c r="D49" s="1699" t="s">
        <v>85</v>
      </c>
      <c r="E49" s="1075" t="s">
        <v>113</v>
      </c>
      <c r="F49" s="325">
        <v>20</v>
      </c>
      <c r="G49" s="286"/>
      <c r="H49" s="413">
        <v>15.92</v>
      </c>
      <c r="I49" s="413"/>
      <c r="J49" s="77"/>
      <c r="K49" s="325"/>
      <c r="L49" s="2442">
        <v>79580</v>
      </c>
      <c r="M49" s="2261">
        <f t="shared" si="3"/>
        <v>0.79579999999999995</v>
      </c>
      <c r="N49" s="283">
        <v>20</v>
      </c>
      <c r="O49" s="1472">
        <f>M49*N49</f>
        <v>15.915999999999999</v>
      </c>
      <c r="P49" s="2444" t="s">
        <v>5279</v>
      </c>
      <c r="Q49" s="2263" t="str">
        <f>'Ab1. RMNCH+A'!Q85</f>
        <v>Ongoing activity; Recommended for approval Rs.15.92 lakh for Dakshata training of MOs/SNs @ Rs.79580/- per batch for 20 batches; The State need to follow RCH training norms.</v>
      </c>
      <c r="R49" s="2924">
        <f>'Ab1. RMNCH+A'!R85</f>
        <v>15.916</v>
      </c>
      <c r="BB49" s="3219">
        <v>15.92</v>
      </c>
      <c r="BC49" s="3219"/>
      <c r="BD49" s="3219"/>
      <c r="BE49" s="3219"/>
      <c r="BF49" s="3219"/>
      <c r="BG49" s="3219"/>
      <c r="BH49" s="3219"/>
      <c r="BI49" s="3219"/>
      <c r="BJ49" s="3219"/>
      <c r="BK49" s="3219"/>
      <c r="BL49" s="3219"/>
      <c r="BM49" s="3219"/>
      <c r="BN49" s="3219"/>
      <c r="BO49" s="3219"/>
      <c r="BP49" s="3219"/>
      <c r="BQ49" s="3219"/>
      <c r="BR49" s="3219"/>
      <c r="BS49" s="3219"/>
      <c r="BT49" s="3219"/>
      <c r="BU49" s="3219"/>
      <c r="BV49" s="3219"/>
      <c r="BW49" s="3219"/>
      <c r="BX49" s="3219"/>
      <c r="BY49" s="3219"/>
      <c r="BZ49" s="3219"/>
      <c r="CA49" s="3219"/>
      <c r="CB49" s="3219"/>
      <c r="CC49" s="3219"/>
      <c r="CD49" s="3219"/>
      <c r="CE49" s="3219"/>
      <c r="CF49" s="3219"/>
      <c r="CG49" s="3219">
        <v>0</v>
      </c>
      <c r="CH49" s="3219">
        <v>0</v>
      </c>
      <c r="CI49" s="3225">
        <f t="shared" si="0"/>
        <v>15.92</v>
      </c>
    </row>
    <row r="50" spans="1:87">
      <c r="A50" s="1407" t="s">
        <v>2321</v>
      </c>
      <c r="B50" s="586"/>
      <c r="C50" s="882" t="s">
        <v>768</v>
      </c>
      <c r="D50" s="1454" t="s">
        <v>85</v>
      </c>
      <c r="E50" s="1120" t="s">
        <v>113</v>
      </c>
      <c r="F50" s="2211">
        <v>0</v>
      </c>
      <c r="G50" s="276"/>
      <c r="H50" s="2211">
        <v>0</v>
      </c>
      <c r="I50" s="276"/>
      <c r="J50" s="276"/>
      <c r="K50" s="276"/>
      <c r="L50" s="277"/>
      <c r="M50" s="281">
        <f t="shared" si="3"/>
        <v>0</v>
      </c>
      <c r="N50" s="277"/>
      <c r="O50" s="1507">
        <f>M50*N50</f>
        <v>0</v>
      </c>
      <c r="P50" s="744"/>
      <c r="Q50" s="1017" t="str">
        <f>'Ab1. RMNCH+A'!Q86</f>
        <v>-</v>
      </c>
      <c r="R50" s="2920">
        <f>'Ab1. RMNCH+A'!R86</f>
        <v>0</v>
      </c>
      <c r="BB50" s="3218"/>
      <c r="BC50" s="3218"/>
      <c r="BD50" s="3218"/>
      <c r="BE50" s="3218"/>
      <c r="BF50" s="3218"/>
      <c r="BG50" s="3218"/>
      <c r="BH50" s="3218"/>
      <c r="BI50" s="3218"/>
      <c r="BJ50" s="3218"/>
      <c r="BK50" s="3218"/>
      <c r="BL50" s="3218"/>
      <c r="BM50" s="3218"/>
      <c r="BN50" s="3218"/>
      <c r="BO50" s="3218"/>
      <c r="BP50" s="3218"/>
      <c r="BQ50" s="3218"/>
      <c r="BR50" s="3218"/>
      <c r="BS50" s="3218"/>
      <c r="BT50" s="3218"/>
      <c r="BU50" s="3218"/>
      <c r="BV50" s="3218"/>
      <c r="BW50" s="3218"/>
      <c r="BX50" s="3218"/>
      <c r="BY50" s="3218"/>
      <c r="BZ50" s="3218"/>
      <c r="CA50" s="3218"/>
      <c r="CB50" s="3218"/>
      <c r="CC50" s="3218"/>
      <c r="CD50" s="3218"/>
      <c r="CE50" s="3218"/>
      <c r="CF50" s="3218"/>
      <c r="CG50" s="3218"/>
      <c r="CH50" s="3218"/>
      <c r="CI50" s="3225">
        <f t="shared" si="0"/>
        <v>0</v>
      </c>
    </row>
    <row r="51" spans="1:87" s="1380" customFormat="1" ht="75">
      <c r="A51" s="473" t="s">
        <v>2322</v>
      </c>
      <c r="B51" s="586"/>
      <c r="C51" s="1080" t="s">
        <v>3715</v>
      </c>
      <c r="D51" s="1699" t="s">
        <v>85</v>
      </c>
      <c r="E51" s="1075" t="s">
        <v>113</v>
      </c>
      <c r="F51" s="2216">
        <v>6</v>
      </c>
      <c r="G51" s="421"/>
      <c r="H51" s="2216">
        <v>24.72</v>
      </c>
      <c r="I51" s="421"/>
      <c r="J51" s="421"/>
      <c r="K51" s="421"/>
      <c r="L51" s="2442">
        <v>412000</v>
      </c>
      <c r="M51" s="2261">
        <f t="shared" si="3"/>
        <v>4.12</v>
      </c>
      <c r="N51" s="2442">
        <v>6</v>
      </c>
      <c r="O51" s="1472">
        <f>M51*N51</f>
        <v>24.72</v>
      </c>
      <c r="P51" s="2444" t="s">
        <v>5483</v>
      </c>
      <c r="Q51" s="2263" t="str">
        <f>'Ab1. RMNCH+A'!Q87</f>
        <v xml:space="preserve">Rs.24.72 lakhs for 6 midwifery educators as per guidelines as below:Activity 1:  Training cost of educators (Rs.400000*6 = Rs.24 lakhs)Activity 2: Travel cost (Rs.12000*6 = Rs.72000)Total = Rs.24.72 Lakhs </v>
      </c>
      <c r="R51" s="2924">
        <f>'Ab1. RMNCH+A'!R87</f>
        <v>24.72</v>
      </c>
      <c r="BB51" s="3219">
        <v>24.72</v>
      </c>
      <c r="BC51" s="3219"/>
      <c r="BD51" s="3219"/>
      <c r="BE51" s="3219"/>
      <c r="BF51" s="3219"/>
      <c r="BG51" s="3219"/>
      <c r="BH51" s="3219"/>
      <c r="BI51" s="3219"/>
      <c r="BJ51" s="3219"/>
      <c r="BK51" s="3219"/>
      <c r="BL51" s="3219"/>
      <c r="BM51" s="3219"/>
      <c r="BN51" s="3219"/>
      <c r="BO51" s="3219"/>
      <c r="BP51" s="3219"/>
      <c r="BQ51" s="3219"/>
      <c r="BR51" s="3219"/>
      <c r="BS51" s="3219"/>
      <c r="BT51" s="3219"/>
      <c r="BU51" s="3219"/>
      <c r="BV51" s="3219"/>
      <c r="BW51" s="3219"/>
      <c r="BX51" s="3219"/>
      <c r="BY51" s="3219"/>
      <c r="BZ51" s="3219"/>
      <c r="CA51" s="3219"/>
      <c r="CB51" s="3219"/>
      <c r="CC51" s="3219"/>
      <c r="CD51" s="3219"/>
      <c r="CE51" s="3219"/>
      <c r="CF51" s="3219"/>
      <c r="CG51" s="3219"/>
      <c r="CH51" s="3219"/>
      <c r="CI51" s="3225">
        <f t="shared" si="0"/>
        <v>24.72</v>
      </c>
    </row>
    <row r="52" spans="1:87" ht="30">
      <c r="A52" s="473" t="s">
        <v>3714</v>
      </c>
      <c r="B52" s="586"/>
      <c r="C52" s="882" t="s">
        <v>3716</v>
      </c>
      <c r="D52" s="1454" t="s">
        <v>85</v>
      </c>
      <c r="E52" s="1120" t="s">
        <v>113</v>
      </c>
      <c r="F52" s="2211">
        <v>30</v>
      </c>
      <c r="G52" s="276"/>
      <c r="H52" s="2211">
        <v>60</v>
      </c>
      <c r="I52" s="276"/>
      <c r="J52" s="276"/>
      <c r="K52" s="276"/>
      <c r="L52" s="277"/>
      <c r="M52" s="281">
        <f t="shared" si="3"/>
        <v>0</v>
      </c>
      <c r="N52" s="277"/>
      <c r="O52" s="1507">
        <f>M52*N52</f>
        <v>0</v>
      </c>
      <c r="P52" s="744"/>
      <c r="Q52" s="1017" t="str">
        <f>'Ab1. RMNCH+A'!Q88</f>
        <v>-</v>
      </c>
      <c r="R52" s="2920">
        <f>'Ab1. RMNCH+A'!R88</f>
        <v>0</v>
      </c>
      <c r="BB52" s="3218"/>
      <c r="BC52" s="3218"/>
      <c r="BD52" s="3218"/>
      <c r="BE52" s="3218"/>
      <c r="BF52" s="3218"/>
      <c r="BG52" s="3218"/>
      <c r="BH52" s="3218"/>
      <c r="BI52" s="3218"/>
      <c r="BJ52" s="3218"/>
      <c r="BK52" s="3218"/>
      <c r="BL52" s="3218"/>
      <c r="BM52" s="3218"/>
      <c r="BN52" s="3218"/>
      <c r="BO52" s="3218"/>
      <c r="BP52" s="3218"/>
      <c r="BQ52" s="3218"/>
      <c r="BR52" s="3218"/>
      <c r="BS52" s="3218"/>
      <c r="BT52" s="3218"/>
      <c r="BU52" s="3218"/>
      <c r="BV52" s="3218"/>
      <c r="BW52" s="3218"/>
      <c r="BX52" s="3218"/>
      <c r="BY52" s="3218"/>
      <c r="BZ52" s="3218"/>
      <c r="CA52" s="3218"/>
      <c r="CB52" s="3218"/>
      <c r="CC52" s="3218"/>
      <c r="CD52" s="3218"/>
      <c r="CE52" s="3218"/>
      <c r="CF52" s="3218"/>
      <c r="CG52" s="3218"/>
      <c r="CH52" s="3218"/>
      <c r="CI52" s="3225">
        <f t="shared" si="0"/>
        <v>0</v>
      </c>
    </row>
    <row r="53" spans="1:87" ht="30">
      <c r="A53" s="1407" t="s">
        <v>3717</v>
      </c>
      <c r="B53" s="508" t="s">
        <v>809</v>
      </c>
      <c r="C53" s="508" t="s">
        <v>2371</v>
      </c>
      <c r="D53" s="1454" t="s">
        <v>85</v>
      </c>
      <c r="E53" s="1120" t="s">
        <v>113</v>
      </c>
      <c r="F53" s="252">
        <v>0</v>
      </c>
      <c r="G53" s="253"/>
      <c r="H53" s="401">
        <v>0</v>
      </c>
      <c r="I53" s="401"/>
      <c r="J53" s="322"/>
      <c r="K53" s="229"/>
      <c r="L53" s="277"/>
      <c r="M53" s="281">
        <f t="shared" si="3"/>
        <v>0</v>
      </c>
      <c r="N53" s="277"/>
      <c r="O53" s="1507">
        <f>M53*N53</f>
        <v>0</v>
      </c>
      <c r="P53" s="711"/>
      <c r="Q53" s="1017" t="str">
        <f>'Ab1. RMNCH+A'!Q89</f>
        <v>-</v>
      </c>
      <c r="R53" s="2920">
        <f>'Ab1. RMNCH+A'!R89</f>
        <v>0</v>
      </c>
      <c r="BB53" s="3218"/>
      <c r="BC53" s="3218"/>
      <c r="BD53" s="3218"/>
      <c r="BE53" s="3218"/>
      <c r="BF53" s="3218"/>
      <c r="BG53" s="3218"/>
      <c r="BH53" s="3218"/>
      <c r="BI53" s="3218"/>
      <c r="BJ53" s="3218"/>
      <c r="BK53" s="3218"/>
      <c r="BL53" s="3218"/>
      <c r="BM53" s="3218"/>
      <c r="BN53" s="3218"/>
      <c r="BO53" s="3218"/>
      <c r="BP53" s="3218"/>
      <c r="BQ53" s="3218"/>
      <c r="BR53" s="3218"/>
      <c r="BS53" s="3218"/>
      <c r="BT53" s="3218"/>
      <c r="BU53" s="3218"/>
      <c r="BV53" s="3218"/>
      <c r="BW53" s="3218"/>
      <c r="BX53" s="3218"/>
      <c r="BY53" s="3218"/>
      <c r="BZ53" s="3218"/>
      <c r="CA53" s="3218"/>
      <c r="CB53" s="3218"/>
      <c r="CC53" s="3218"/>
      <c r="CD53" s="3218"/>
      <c r="CE53" s="3218"/>
      <c r="CF53" s="3218"/>
      <c r="CG53" s="3218"/>
      <c r="CH53" s="3218"/>
      <c r="CI53" s="3225">
        <f t="shared" si="0"/>
        <v>0</v>
      </c>
    </row>
    <row r="54" spans="1:87" s="1101" customFormat="1">
      <c r="A54" s="880" t="s">
        <v>821</v>
      </c>
      <c r="B54" s="1194"/>
      <c r="C54" s="1061" t="s">
        <v>822</v>
      </c>
      <c r="D54" s="997"/>
      <c r="E54" s="997"/>
      <c r="F54" s="219"/>
      <c r="G54" s="219"/>
      <c r="H54" s="219"/>
      <c r="I54" s="219"/>
      <c r="J54" s="219"/>
      <c r="K54" s="219"/>
      <c r="L54" s="219"/>
      <c r="M54" s="1515"/>
      <c r="N54" s="404"/>
      <c r="O54" s="1516">
        <f>SUM(O55:O80)</f>
        <v>65.600000000000009</v>
      </c>
      <c r="P54" s="718"/>
      <c r="Q54" s="1157"/>
      <c r="R54" s="2875">
        <f>SUM(R55:R80)</f>
        <v>65.600000000000009</v>
      </c>
      <c r="BB54" s="3225"/>
      <c r="BC54" s="3225"/>
      <c r="BD54" s="3225"/>
      <c r="BE54" s="3225"/>
      <c r="BF54" s="3225"/>
      <c r="BG54" s="3225"/>
      <c r="BH54" s="3225"/>
      <c r="BI54" s="3225"/>
      <c r="BJ54" s="3225"/>
      <c r="BK54" s="3225"/>
      <c r="BL54" s="3225"/>
      <c r="BM54" s="3225"/>
      <c r="BN54" s="3225"/>
      <c r="BO54" s="3225"/>
      <c r="BP54" s="3225"/>
      <c r="BQ54" s="3225"/>
      <c r="BR54" s="3225"/>
      <c r="BS54" s="3225"/>
      <c r="BT54" s="3225"/>
      <c r="BU54" s="3225"/>
      <c r="BV54" s="3225"/>
      <c r="BW54" s="3225"/>
      <c r="BX54" s="3225"/>
      <c r="BY54" s="3225"/>
      <c r="BZ54" s="3225"/>
      <c r="CA54" s="3225"/>
      <c r="CB54" s="3225"/>
      <c r="CC54" s="3225"/>
      <c r="CD54" s="3225"/>
      <c r="CE54" s="3225"/>
      <c r="CF54" s="3225"/>
      <c r="CG54" s="3225"/>
      <c r="CH54" s="3225"/>
      <c r="CI54" s="3225">
        <f t="shared" si="0"/>
        <v>0</v>
      </c>
    </row>
    <row r="55" spans="1:87" ht="75">
      <c r="A55" s="1407" t="s">
        <v>823</v>
      </c>
      <c r="B55" s="1014" t="s">
        <v>824</v>
      </c>
      <c r="C55" s="509" t="s">
        <v>825</v>
      </c>
      <c r="D55" s="1518" t="s">
        <v>85</v>
      </c>
      <c r="E55" s="1120" t="s">
        <v>126</v>
      </c>
      <c r="F55" s="2211">
        <v>0</v>
      </c>
      <c r="G55" s="276"/>
      <c r="H55" s="2211">
        <v>0</v>
      </c>
      <c r="I55" s="276"/>
      <c r="J55" s="276"/>
      <c r="K55" s="276"/>
      <c r="L55" s="277"/>
      <c r="M55" s="281">
        <f t="shared" ref="M55:M80" si="6">L55/100000</f>
        <v>0</v>
      </c>
      <c r="N55" s="277"/>
      <c r="O55" s="1507">
        <f t="shared" ref="O55:O80" si="7">M55*N55</f>
        <v>0</v>
      </c>
      <c r="P55" s="744"/>
      <c r="Q55" s="1017" t="str">
        <f>'Ab1. RMNCH+A'!Q147</f>
        <v>-</v>
      </c>
      <c r="R55" s="2920">
        <f>'Ab1. RMNCH+A'!R147</f>
        <v>0</v>
      </c>
      <c r="BB55" s="3218"/>
      <c r="BC55" s="3218"/>
      <c r="BD55" s="3218"/>
      <c r="BE55" s="3218"/>
      <c r="BF55" s="3218"/>
      <c r="BG55" s="3218"/>
      <c r="BH55" s="3218"/>
      <c r="BI55" s="3218"/>
      <c r="BJ55" s="3218"/>
      <c r="BK55" s="3218"/>
      <c r="BL55" s="3218"/>
      <c r="BM55" s="3218"/>
      <c r="BN55" s="3218"/>
      <c r="BO55" s="3218"/>
      <c r="BP55" s="3218"/>
      <c r="BQ55" s="3218"/>
      <c r="BR55" s="3218"/>
      <c r="BS55" s="3218"/>
      <c r="BT55" s="3218"/>
      <c r="BU55" s="3218"/>
      <c r="BV55" s="3218"/>
      <c r="BW55" s="3218"/>
      <c r="BX55" s="3218"/>
      <c r="BY55" s="3218"/>
      <c r="BZ55" s="3218"/>
      <c r="CA55" s="3218"/>
      <c r="CB55" s="3218"/>
      <c r="CC55" s="3218"/>
      <c r="CD55" s="3218"/>
      <c r="CE55" s="3218"/>
      <c r="CF55" s="3218"/>
      <c r="CG55" s="3218"/>
      <c r="CH55" s="3218"/>
      <c r="CI55" s="3225">
        <f t="shared" si="0"/>
        <v>0</v>
      </c>
    </row>
    <row r="56" spans="1:87" s="1380" customFormat="1" ht="30">
      <c r="A56" s="473"/>
      <c r="B56" s="1607"/>
      <c r="C56" s="521" t="s">
        <v>4754</v>
      </c>
      <c r="D56" s="2262" t="s">
        <v>85</v>
      </c>
      <c r="E56" s="1075" t="s">
        <v>126</v>
      </c>
      <c r="F56" s="421"/>
      <c r="G56" s="421"/>
      <c r="H56" s="421"/>
      <c r="I56" s="421"/>
      <c r="J56" s="421"/>
      <c r="K56" s="421"/>
      <c r="L56" s="283"/>
      <c r="M56" s="2261">
        <f>L56/100000</f>
        <v>0</v>
      </c>
      <c r="N56" s="283"/>
      <c r="O56" s="1472">
        <f>M56*N56</f>
        <v>0</v>
      </c>
      <c r="P56" s="761"/>
      <c r="Q56" s="2263" t="str">
        <f>'Ab1. RMNCH+A'!Q148</f>
        <v>-</v>
      </c>
      <c r="R56" s="2924">
        <f>'Ab1. RMNCH+A'!R148</f>
        <v>0</v>
      </c>
      <c r="BB56" s="3219"/>
      <c r="BC56" s="3219"/>
      <c r="BD56" s="3219"/>
      <c r="BE56" s="3219"/>
      <c r="BF56" s="3219"/>
      <c r="BG56" s="3219"/>
      <c r="BH56" s="3219"/>
      <c r="BI56" s="3219"/>
      <c r="BJ56" s="3219"/>
      <c r="BK56" s="3219"/>
      <c r="BL56" s="3219"/>
      <c r="BM56" s="3219"/>
      <c r="BN56" s="3219"/>
      <c r="BO56" s="3219"/>
      <c r="BP56" s="3219"/>
      <c r="BQ56" s="3219"/>
      <c r="BR56" s="3219"/>
      <c r="BS56" s="3219"/>
      <c r="BT56" s="3219"/>
      <c r="BU56" s="3219"/>
      <c r="BV56" s="3219"/>
      <c r="BW56" s="3219"/>
      <c r="BX56" s="3219"/>
      <c r="BY56" s="3219"/>
      <c r="BZ56" s="3219"/>
      <c r="CA56" s="3219"/>
      <c r="CB56" s="3219"/>
      <c r="CC56" s="3219"/>
      <c r="CD56" s="3219"/>
      <c r="CE56" s="3219"/>
      <c r="CF56" s="3219"/>
      <c r="CG56" s="3219"/>
      <c r="CH56" s="3219"/>
      <c r="CI56" s="3225">
        <f t="shared" si="0"/>
        <v>0</v>
      </c>
    </row>
    <row r="57" spans="1:87" s="1457" customFormat="1" ht="75">
      <c r="A57" s="473" t="s">
        <v>826</v>
      </c>
      <c r="B57" s="1482" t="s">
        <v>827</v>
      </c>
      <c r="C57" s="1347" t="s">
        <v>4222</v>
      </c>
      <c r="D57" s="2262" t="s">
        <v>85</v>
      </c>
      <c r="E57" s="1075" t="s">
        <v>126</v>
      </c>
      <c r="F57" s="414">
        <v>12</v>
      </c>
      <c r="G57" s="414"/>
      <c r="H57" s="414">
        <v>9</v>
      </c>
      <c r="I57" s="2559">
        <v>0.66</v>
      </c>
      <c r="J57" s="2559">
        <v>4</v>
      </c>
      <c r="K57" s="2559">
        <v>1</v>
      </c>
      <c r="L57" s="2504">
        <v>50000</v>
      </c>
      <c r="M57" s="2261">
        <f t="shared" si="6"/>
        <v>0.5</v>
      </c>
      <c r="N57" s="2504">
        <v>6</v>
      </c>
      <c r="O57" s="1472">
        <f t="shared" si="7"/>
        <v>3</v>
      </c>
      <c r="P57" s="2552" t="s">
        <v>5367</v>
      </c>
      <c r="Q57" s="2263" t="str">
        <f>'Ab1. RMNCH+A'!Q149</f>
        <v>Rs. 3.00 lakhs is recommended for approval for orientation of health staff and FLWs on activities of Intenified Diarrhoea Control Fortnight (IDCF) for 12 Districts @ Rs. 25,000 per District</v>
      </c>
      <c r="R57" s="2924">
        <f>'Ab1. RMNCH+A'!R149</f>
        <v>3</v>
      </c>
      <c r="BB57" s="3245">
        <v>0</v>
      </c>
      <c r="BC57" s="3245">
        <v>0.25</v>
      </c>
      <c r="BD57" s="3245">
        <v>0.25</v>
      </c>
      <c r="BE57" s="3245">
        <v>0.3</v>
      </c>
      <c r="BF57" s="3245">
        <v>0.3</v>
      </c>
      <c r="BG57" s="3245">
        <v>0.1</v>
      </c>
      <c r="BH57" s="3245">
        <v>0.25</v>
      </c>
      <c r="BI57" s="3245">
        <v>0.1</v>
      </c>
      <c r="BJ57" s="3245">
        <v>0.3</v>
      </c>
      <c r="BK57" s="3245">
        <v>0.3</v>
      </c>
      <c r="BL57" s="3245">
        <v>0.3</v>
      </c>
      <c r="BM57" s="3245">
        <v>0.3</v>
      </c>
      <c r="BN57" s="3245">
        <v>0.25</v>
      </c>
      <c r="BO57" s="3245"/>
      <c r="BP57" s="3245"/>
      <c r="BQ57" s="3245"/>
      <c r="BR57" s="3245"/>
      <c r="BS57" s="3245"/>
      <c r="BT57" s="3245"/>
      <c r="BU57" s="3245"/>
      <c r="BV57" s="3245"/>
      <c r="BW57" s="3245"/>
      <c r="BX57" s="3245"/>
      <c r="BY57" s="3245"/>
      <c r="BZ57" s="3245"/>
      <c r="CA57" s="3245"/>
      <c r="CB57" s="3245"/>
      <c r="CC57" s="3245"/>
      <c r="CD57" s="3245"/>
      <c r="CE57" s="3245"/>
      <c r="CF57" s="3245"/>
      <c r="CG57" s="3245"/>
      <c r="CH57" s="3245"/>
      <c r="CI57" s="3225">
        <f t="shared" si="0"/>
        <v>3</v>
      </c>
    </row>
    <row r="58" spans="1:87" s="1457" customFormat="1" ht="105">
      <c r="A58" s="473" t="s">
        <v>828</v>
      </c>
      <c r="B58" s="1482" t="s">
        <v>127</v>
      </c>
      <c r="C58" s="1347" t="s">
        <v>3967</v>
      </c>
      <c r="D58" s="2262" t="s">
        <v>85</v>
      </c>
      <c r="E58" s="1075" t="s">
        <v>126</v>
      </c>
      <c r="F58" s="414">
        <v>12</v>
      </c>
      <c r="G58" s="414"/>
      <c r="H58" s="414">
        <v>9.6</v>
      </c>
      <c r="I58" s="2559">
        <v>0</v>
      </c>
      <c r="J58" s="2559">
        <v>9.6</v>
      </c>
      <c r="K58" s="2559">
        <v>1</v>
      </c>
      <c r="L58" s="2504">
        <v>50000</v>
      </c>
      <c r="M58" s="2261">
        <f t="shared" si="6"/>
        <v>0.5</v>
      </c>
      <c r="N58" s="2504">
        <v>6</v>
      </c>
      <c r="O58" s="1472">
        <f t="shared" si="7"/>
        <v>3</v>
      </c>
      <c r="P58" s="2560" t="s">
        <v>5368</v>
      </c>
      <c r="Q58" s="2263" t="str">
        <f>'Ab1. RMNCH+A'!Q150</f>
        <v>New Activity: Recommended for approval of Rs.3.00 lakh for orientation of officals from from Health, Education and WCD from 12 Districts on AMB strategy @ Rs 25000/District. The State to follow revised RCH training norms and book the expemditure against actuals.</v>
      </c>
      <c r="R58" s="2924">
        <f>'Ab1. RMNCH+A'!R150</f>
        <v>3</v>
      </c>
      <c r="BB58" s="3245">
        <v>0</v>
      </c>
      <c r="BC58" s="3245">
        <v>0.25</v>
      </c>
      <c r="BD58" s="3245">
        <v>0.25</v>
      </c>
      <c r="BE58" s="3245">
        <v>0.3</v>
      </c>
      <c r="BF58" s="3245">
        <v>0.3</v>
      </c>
      <c r="BG58" s="3245">
        <v>0.1</v>
      </c>
      <c r="BH58" s="3245">
        <v>0.25</v>
      </c>
      <c r="BI58" s="3245">
        <v>0.1</v>
      </c>
      <c r="BJ58" s="3245">
        <v>0.3</v>
      </c>
      <c r="BK58" s="3245">
        <v>0.3</v>
      </c>
      <c r="BL58" s="3245">
        <v>0.3</v>
      </c>
      <c r="BM58" s="3245">
        <v>0.3</v>
      </c>
      <c r="BN58" s="3245">
        <v>0.25</v>
      </c>
      <c r="BO58" s="3245"/>
      <c r="BP58" s="3245"/>
      <c r="BQ58" s="3245"/>
      <c r="BR58" s="3245"/>
      <c r="BS58" s="3245"/>
      <c r="BT58" s="3245"/>
      <c r="BU58" s="3245"/>
      <c r="BV58" s="3245"/>
      <c r="BW58" s="3245"/>
      <c r="BX58" s="3245"/>
      <c r="BY58" s="3245"/>
      <c r="BZ58" s="3245"/>
      <c r="CA58" s="3245"/>
      <c r="CB58" s="3245"/>
      <c r="CC58" s="3245"/>
      <c r="CD58" s="3245"/>
      <c r="CE58" s="3245"/>
      <c r="CF58" s="3245"/>
      <c r="CG58" s="3245"/>
      <c r="CH58" s="3245"/>
      <c r="CI58" s="3225">
        <f t="shared" si="0"/>
        <v>3</v>
      </c>
    </row>
    <row r="59" spans="1:87" s="1457" customFormat="1" ht="45">
      <c r="A59" s="473" t="s">
        <v>829</v>
      </c>
      <c r="B59" s="1482" t="s">
        <v>830</v>
      </c>
      <c r="C59" s="2561" t="s">
        <v>831</v>
      </c>
      <c r="D59" s="1699" t="s">
        <v>85</v>
      </c>
      <c r="E59" s="1075" t="s">
        <v>126</v>
      </c>
      <c r="F59" s="285">
        <v>0</v>
      </c>
      <c r="G59" s="286"/>
      <c r="H59" s="413">
        <v>0</v>
      </c>
      <c r="I59" s="2367">
        <v>0</v>
      </c>
      <c r="J59" s="324">
        <v>0</v>
      </c>
      <c r="K59" s="324">
        <v>1</v>
      </c>
      <c r="L59" s="243">
        <v>50000</v>
      </c>
      <c r="M59" s="2261">
        <f t="shared" si="6"/>
        <v>0.5</v>
      </c>
      <c r="N59" s="2504">
        <v>3</v>
      </c>
      <c r="O59" s="1472">
        <f t="shared" si="7"/>
        <v>1.5</v>
      </c>
      <c r="P59" s="719" t="s">
        <v>5369</v>
      </c>
      <c r="Q59" s="2263" t="str">
        <f>'Ab1. RMNCH+A'!Q151</f>
        <v>Ongoing Activity:Recommended for approval of Rs. 1.5 Lakh for 3 Batches of CDR Training cum refresher @ Rs. 0.50 Lakh per batch.</v>
      </c>
      <c r="R59" s="2924">
        <f>'Ab1. RMNCH+A'!R151</f>
        <v>1.5</v>
      </c>
      <c r="BB59" s="3245">
        <v>1.5</v>
      </c>
      <c r="BC59" s="3245"/>
      <c r="BD59" s="3245"/>
      <c r="BE59" s="3245"/>
      <c r="BF59" s="3245"/>
      <c r="BG59" s="3245"/>
      <c r="BH59" s="3245"/>
      <c r="BI59" s="3245"/>
      <c r="BJ59" s="3245"/>
      <c r="BK59" s="3245"/>
      <c r="BL59" s="3245"/>
      <c r="BM59" s="3245"/>
      <c r="BN59" s="3245"/>
      <c r="BO59" s="3245"/>
      <c r="BP59" s="3245"/>
      <c r="BQ59" s="3245"/>
      <c r="BR59" s="3245"/>
      <c r="BS59" s="3245"/>
      <c r="BT59" s="3245"/>
      <c r="BU59" s="3245"/>
      <c r="BV59" s="3245"/>
      <c r="BW59" s="3245"/>
      <c r="BX59" s="3245"/>
      <c r="BY59" s="3245"/>
      <c r="BZ59" s="3245"/>
      <c r="CA59" s="3245"/>
      <c r="CB59" s="3245"/>
      <c r="CC59" s="3245"/>
      <c r="CD59" s="3245"/>
      <c r="CE59" s="3245"/>
      <c r="CF59" s="3245"/>
      <c r="CG59" s="3245"/>
      <c r="CH59" s="3245"/>
      <c r="CI59" s="3225">
        <f t="shared" si="0"/>
        <v>1.5</v>
      </c>
    </row>
    <row r="60" spans="1:87" s="1101" customFormat="1" ht="75">
      <c r="A60" s="1407" t="s">
        <v>832</v>
      </c>
      <c r="B60" s="508" t="s">
        <v>833</v>
      </c>
      <c r="C60" s="509" t="s">
        <v>834</v>
      </c>
      <c r="D60" s="1454" t="s">
        <v>85</v>
      </c>
      <c r="E60" s="1120" t="s">
        <v>126</v>
      </c>
      <c r="F60" s="407">
        <v>0</v>
      </c>
      <c r="G60" s="407"/>
      <c r="H60" s="409">
        <v>0</v>
      </c>
      <c r="I60" s="409"/>
      <c r="J60" s="407"/>
      <c r="K60" s="407"/>
      <c r="L60" s="277"/>
      <c r="M60" s="281">
        <f t="shared" si="6"/>
        <v>0</v>
      </c>
      <c r="N60" s="277"/>
      <c r="O60" s="1507">
        <f t="shared" si="7"/>
        <v>0</v>
      </c>
      <c r="P60" s="749"/>
      <c r="Q60" s="1017" t="str">
        <f>'Ab1. RMNCH+A'!Q152</f>
        <v>-</v>
      </c>
      <c r="R60" s="2920">
        <f>'Ab1. RMNCH+A'!R152</f>
        <v>0</v>
      </c>
      <c r="BB60" s="3225"/>
      <c r="BC60" s="3225"/>
      <c r="BD60" s="3225"/>
      <c r="BE60" s="3225"/>
      <c r="BF60" s="3225"/>
      <c r="BG60" s="3225"/>
      <c r="BH60" s="3225"/>
      <c r="BI60" s="3225"/>
      <c r="BJ60" s="3225"/>
      <c r="BK60" s="3225"/>
      <c r="BL60" s="3225"/>
      <c r="BM60" s="3225"/>
      <c r="BN60" s="3225"/>
      <c r="BO60" s="3225"/>
      <c r="BP60" s="3225"/>
      <c r="BQ60" s="3225"/>
      <c r="BR60" s="3225"/>
      <c r="BS60" s="3225"/>
      <c r="BT60" s="3225"/>
      <c r="BU60" s="3225"/>
      <c r="BV60" s="3225"/>
      <c r="BW60" s="3225"/>
      <c r="BX60" s="3225"/>
      <c r="BY60" s="3225"/>
      <c r="BZ60" s="3225"/>
      <c r="CA60" s="3225"/>
      <c r="CB60" s="3225"/>
      <c r="CC60" s="3225"/>
      <c r="CD60" s="3225"/>
      <c r="CE60" s="3225"/>
      <c r="CF60" s="3225"/>
      <c r="CG60" s="3225"/>
      <c r="CH60" s="3225"/>
      <c r="CI60" s="3225">
        <f t="shared" si="0"/>
        <v>0</v>
      </c>
    </row>
    <row r="61" spans="1:87" s="1380" customFormat="1" ht="105">
      <c r="A61" s="473" t="s">
        <v>835</v>
      </c>
      <c r="B61" s="586" t="s">
        <v>836</v>
      </c>
      <c r="C61" s="586" t="s">
        <v>837</v>
      </c>
      <c r="D61" s="1699" t="s">
        <v>85</v>
      </c>
      <c r="E61" s="1075" t="s">
        <v>126</v>
      </c>
      <c r="F61" s="2216">
        <v>0</v>
      </c>
      <c r="G61" s="613"/>
      <c r="H61" s="2367"/>
      <c r="I61" s="2367"/>
      <c r="J61" s="421"/>
      <c r="K61" s="324">
        <v>1</v>
      </c>
      <c r="L61" s="243">
        <v>95000</v>
      </c>
      <c r="M61" s="2261">
        <f t="shared" si="6"/>
        <v>0.95</v>
      </c>
      <c r="N61" s="243">
        <v>2</v>
      </c>
      <c r="O61" s="1472">
        <f t="shared" si="7"/>
        <v>1.9</v>
      </c>
      <c r="P61" s="719" t="s">
        <v>5370</v>
      </c>
      <c r="Q61" s="2263" t="str">
        <f>'Ab1. RMNCH+A'!Q153</f>
        <v>Ongoing Activity:Rs. 1.90 lakh is recommended for approval for 2 batches of IMNCI ToT @ Rs. 0.95 lakh each batch for 30 participants per batch.The State to ensure training following GoI module.The State to ensure all training related expenses as per actual following revised RCH training norms.</v>
      </c>
      <c r="R61" s="2924">
        <f>'Ab1. RMNCH+A'!R153</f>
        <v>1.9</v>
      </c>
      <c r="BB61" s="3219">
        <v>1.9</v>
      </c>
      <c r="BC61" s="3219"/>
      <c r="BD61" s="3219"/>
      <c r="BE61" s="3219"/>
      <c r="BF61" s="3219"/>
      <c r="BG61" s="3219"/>
      <c r="BH61" s="3219"/>
      <c r="BI61" s="3219"/>
      <c r="BJ61" s="3219"/>
      <c r="BK61" s="3219"/>
      <c r="BL61" s="3219"/>
      <c r="BM61" s="3219"/>
      <c r="BN61" s="3219"/>
      <c r="BO61" s="3219"/>
      <c r="BP61" s="3219"/>
      <c r="BQ61" s="3219"/>
      <c r="BR61" s="3219"/>
      <c r="BS61" s="3219"/>
      <c r="BT61" s="3219"/>
      <c r="BU61" s="3219"/>
      <c r="BV61" s="3219"/>
      <c r="BW61" s="3219"/>
      <c r="BX61" s="3219"/>
      <c r="BY61" s="3219"/>
      <c r="BZ61" s="3219"/>
      <c r="CA61" s="3219"/>
      <c r="CB61" s="3219"/>
      <c r="CC61" s="3219"/>
      <c r="CD61" s="3219"/>
      <c r="CE61" s="3219"/>
      <c r="CF61" s="3219"/>
      <c r="CG61" s="3219"/>
      <c r="CH61" s="3219"/>
      <c r="CI61" s="3225">
        <f t="shared" si="0"/>
        <v>1.9</v>
      </c>
    </row>
    <row r="62" spans="1:87" s="1380" customFormat="1" ht="105">
      <c r="A62" s="473" t="s">
        <v>838</v>
      </c>
      <c r="B62" s="586" t="s">
        <v>839</v>
      </c>
      <c r="C62" s="586" t="s">
        <v>840</v>
      </c>
      <c r="D62" s="1699" t="s">
        <v>85</v>
      </c>
      <c r="E62" s="1075" t="s">
        <v>126</v>
      </c>
      <c r="F62" s="285">
        <v>0</v>
      </c>
      <c r="G62" s="286"/>
      <c r="H62" s="413">
        <v>0</v>
      </c>
      <c r="I62" s="413"/>
      <c r="J62" s="285"/>
      <c r="K62" s="324">
        <v>1</v>
      </c>
      <c r="L62" s="243">
        <v>100000</v>
      </c>
      <c r="M62" s="2261">
        <f t="shared" si="6"/>
        <v>1</v>
      </c>
      <c r="N62" s="243">
        <v>6</v>
      </c>
      <c r="O62" s="1472">
        <f t="shared" si="7"/>
        <v>6</v>
      </c>
      <c r="P62" s="719" t="s">
        <v>5371</v>
      </c>
      <c r="Q62" s="2263" t="str">
        <f>'Ab1. RMNCH+A'!Q154</f>
        <v>Ongoing Activity:Rs. 6.00 lakh is recommended for approval for 6 batches of IMNCI trainings for ANM/LHVs @ Rs. 1 lakh each batch.The State to ensure training following GoI module and ensure all training related expenses following RCH training norms.</v>
      </c>
      <c r="R62" s="2924">
        <f>'Ab1. RMNCH+A'!R154</f>
        <v>6</v>
      </c>
      <c r="BB62" s="3219">
        <v>0</v>
      </c>
      <c r="BC62" s="3219"/>
      <c r="BD62" s="3219">
        <v>1</v>
      </c>
      <c r="BE62" s="3219"/>
      <c r="BF62" s="3219">
        <v>1</v>
      </c>
      <c r="BG62" s="3219"/>
      <c r="BH62" s="3219"/>
      <c r="BI62" s="3219"/>
      <c r="BJ62" s="3219">
        <v>1</v>
      </c>
      <c r="BK62" s="3219"/>
      <c r="BL62" s="3219">
        <v>1</v>
      </c>
      <c r="BM62" s="3219">
        <v>1</v>
      </c>
      <c r="BN62" s="3219">
        <v>1</v>
      </c>
      <c r="BO62" s="3219"/>
      <c r="BP62" s="3219"/>
      <c r="BQ62" s="3219"/>
      <c r="BR62" s="3219"/>
      <c r="BS62" s="3219"/>
      <c r="BT62" s="3219"/>
      <c r="BU62" s="3219"/>
      <c r="BV62" s="3219"/>
      <c r="BW62" s="3219"/>
      <c r="BX62" s="3219"/>
      <c r="BY62" s="3219"/>
      <c r="BZ62" s="3219"/>
      <c r="CA62" s="3219"/>
      <c r="CB62" s="3219"/>
      <c r="CC62" s="3219"/>
      <c r="CD62" s="3219"/>
      <c r="CE62" s="3219"/>
      <c r="CF62" s="3219"/>
      <c r="CG62" s="3219"/>
      <c r="CH62" s="3219"/>
      <c r="CI62" s="3225">
        <f t="shared" si="0"/>
        <v>6</v>
      </c>
    </row>
    <row r="63" spans="1:87">
      <c r="A63" s="1407" t="s">
        <v>841</v>
      </c>
      <c r="B63" s="508" t="s">
        <v>842</v>
      </c>
      <c r="C63" s="508" t="s">
        <v>843</v>
      </c>
      <c r="D63" s="1454" t="s">
        <v>85</v>
      </c>
      <c r="E63" s="1120" t="s">
        <v>126</v>
      </c>
      <c r="F63" s="2211">
        <v>0</v>
      </c>
      <c r="G63" s="276"/>
      <c r="H63" s="2214">
        <v>0</v>
      </c>
      <c r="I63" s="269"/>
      <c r="J63" s="276"/>
      <c r="K63" s="276"/>
      <c r="L63" s="277"/>
      <c r="M63" s="281">
        <f t="shared" si="6"/>
        <v>0</v>
      </c>
      <c r="N63" s="277"/>
      <c r="O63" s="1507">
        <f t="shared" si="7"/>
        <v>0</v>
      </c>
      <c r="P63" s="744"/>
      <c r="Q63" s="1017" t="str">
        <f>'Ab1. RMNCH+A'!Q155</f>
        <v>-</v>
      </c>
      <c r="R63" s="2920">
        <f>'Ab1. RMNCH+A'!R155</f>
        <v>0</v>
      </c>
      <c r="BB63" s="3218"/>
      <c r="BC63" s="3218"/>
      <c r="BD63" s="3218"/>
      <c r="BE63" s="3218"/>
      <c r="BF63" s="3218"/>
      <c r="BG63" s="3218"/>
      <c r="BH63" s="3218"/>
      <c r="BI63" s="3218"/>
      <c r="BJ63" s="3218"/>
      <c r="BK63" s="3218"/>
      <c r="BL63" s="3218"/>
      <c r="BM63" s="3218"/>
      <c r="BN63" s="3218"/>
      <c r="BO63" s="3218"/>
      <c r="BP63" s="3218"/>
      <c r="BQ63" s="3218"/>
      <c r="BR63" s="3218"/>
      <c r="BS63" s="3218"/>
      <c r="BT63" s="3218"/>
      <c r="BU63" s="3218"/>
      <c r="BV63" s="3218"/>
      <c r="BW63" s="3218"/>
      <c r="BX63" s="3218"/>
      <c r="BY63" s="3218"/>
      <c r="BZ63" s="3218"/>
      <c r="CA63" s="3218"/>
      <c r="CB63" s="3218"/>
      <c r="CC63" s="3218"/>
      <c r="CD63" s="3218"/>
      <c r="CE63" s="3218"/>
      <c r="CF63" s="3218"/>
      <c r="CG63" s="3218"/>
      <c r="CH63" s="3218"/>
      <c r="CI63" s="3225">
        <f t="shared" si="0"/>
        <v>0</v>
      </c>
    </row>
    <row r="64" spans="1:87">
      <c r="A64" s="1407" t="s">
        <v>844</v>
      </c>
      <c r="B64" s="508" t="s">
        <v>845</v>
      </c>
      <c r="C64" s="508" t="s">
        <v>846</v>
      </c>
      <c r="D64" s="1454" t="s">
        <v>85</v>
      </c>
      <c r="E64" s="1120" t="s">
        <v>126</v>
      </c>
      <c r="F64" s="2211">
        <v>0</v>
      </c>
      <c r="G64" s="276"/>
      <c r="H64" s="2214">
        <v>0</v>
      </c>
      <c r="I64" s="269"/>
      <c r="J64" s="276"/>
      <c r="K64" s="276"/>
      <c r="L64" s="277"/>
      <c r="M64" s="281">
        <f t="shared" si="6"/>
        <v>0</v>
      </c>
      <c r="N64" s="277"/>
      <c r="O64" s="1507">
        <f t="shared" si="7"/>
        <v>0</v>
      </c>
      <c r="P64" s="744"/>
      <c r="Q64" s="1017" t="str">
        <f>'Ab1. RMNCH+A'!Q156</f>
        <v>-</v>
      </c>
      <c r="R64" s="2920">
        <f>'Ab1. RMNCH+A'!R156</f>
        <v>0</v>
      </c>
      <c r="BB64" s="3218"/>
      <c r="BC64" s="3218"/>
      <c r="BD64" s="3218"/>
      <c r="BE64" s="3218"/>
      <c r="BF64" s="3218"/>
      <c r="BG64" s="3218"/>
      <c r="BH64" s="3218"/>
      <c r="BI64" s="3218"/>
      <c r="BJ64" s="3218"/>
      <c r="BK64" s="3218"/>
      <c r="BL64" s="3218"/>
      <c r="BM64" s="3218"/>
      <c r="BN64" s="3218"/>
      <c r="BO64" s="3218"/>
      <c r="BP64" s="3218"/>
      <c r="BQ64" s="3218"/>
      <c r="BR64" s="3218"/>
      <c r="BS64" s="3218"/>
      <c r="BT64" s="3218"/>
      <c r="BU64" s="3218"/>
      <c r="BV64" s="3218"/>
      <c r="BW64" s="3218"/>
      <c r="BX64" s="3218"/>
      <c r="BY64" s="3218"/>
      <c r="BZ64" s="3218"/>
      <c r="CA64" s="3218"/>
      <c r="CB64" s="3218"/>
      <c r="CC64" s="3218"/>
      <c r="CD64" s="3218"/>
      <c r="CE64" s="3218"/>
      <c r="CF64" s="3218"/>
      <c r="CG64" s="3218"/>
      <c r="CH64" s="3218"/>
      <c r="CI64" s="3225">
        <f t="shared" si="0"/>
        <v>0</v>
      </c>
    </row>
    <row r="65" spans="1:87">
      <c r="A65" s="1407" t="s">
        <v>847</v>
      </c>
      <c r="B65" s="508" t="s">
        <v>848</v>
      </c>
      <c r="C65" s="508" t="s">
        <v>849</v>
      </c>
      <c r="D65" s="1454" t="s">
        <v>85</v>
      </c>
      <c r="E65" s="1120" t="s">
        <v>126</v>
      </c>
      <c r="F65" s="2211">
        <v>0</v>
      </c>
      <c r="G65" s="276"/>
      <c r="H65" s="2214">
        <v>0</v>
      </c>
      <c r="I65" s="269"/>
      <c r="J65" s="276"/>
      <c r="K65" s="276"/>
      <c r="L65" s="277"/>
      <c r="M65" s="281">
        <f t="shared" si="6"/>
        <v>0</v>
      </c>
      <c r="N65" s="277"/>
      <c r="O65" s="1507">
        <f t="shared" si="7"/>
        <v>0</v>
      </c>
      <c r="P65" s="744"/>
      <c r="Q65" s="1017" t="str">
        <f>'Ab1. RMNCH+A'!Q157</f>
        <v>-</v>
      </c>
      <c r="R65" s="2920">
        <f>'Ab1. RMNCH+A'!R157</f>
        <v>0</v>
      </c>
      <c r="BB65" s="3218"/>
      <c r="BC65" s="3218"/>
      <c r="BD65" s="3218"/>
      <c r="BE65" s="3218"/>
      <c r="BF65" s="3218"/>
      <c r="BG65" s="3218"/>
      <c r="BH65" s="3218"/>
      <c r="BI65" s="3218"/>
      <c r="BJ65" s="3218"/>
      <c r="BK65" s="3218"/>
      <c r="BL65" s="3218"/>
      <c r="BM65" s="3218"/>
      <c r="BN65" s="3218"/>
      <c r="BO65" s="3218"/>
      <c r="BP65" s="3218"/>
      <c r="BQ65" s="3218"/>
      <c r="BR65" s="3218"/>
      <c r="BS65" s="3218"/>
      <c r="BT65" s="3218"/>
      <c r="BU65" s="3218"/>
      <c r="BV65" s="3218"/>
      <c r="BW65" s="3218"/>
      <c r="BX65" s="3218"/>
      <c r="BY65" s="3218"/>
      <c r="BZ65" s="3218"/>
      <c r="CA65" s="3218"/>
      <c r="CB65" s="3218"/>
      <c r="CC65" s="3218"/>
      <c r="CD65" s="3218"/>
      <c r="CE65" s="3218"/>
      <c r="CF65" s="3218"/>
      <c r="CG65" s="3218"/>
      <c r="CH65" s="3218"/>
      <c r="CI65" s="3225">
        <f t="shared" si="0"/>
        <v>0</v>
      </c>
    </row>
    <row r="66" spans="1:87" ht="45">
      <c r="A66" s="1407" t="s">
        <v>850</v>
      </c>
      <c r="B66" s="508" t="s">
        <v>853</v>
      </c>
      <c r="C66" s="508" t="s">
        <v>854</v>
      </c>
      <c r="D66" s="1454" t="s">
        <v>85</v>
      </c>
      <c r="E66" s="1120" t="s">
        <v>126</v>
      </c>
      <c r="F66" s="229">
        <v>0</v>
      </c>
      <c r="G66" s="252"/>
      <c r="H66" s="229">
        <v>0</v>
      </c>
      <c r="I66" s="229"/>
      <c r="J66" s="252"/>
      <c r="K66" s="252"/>
      <c r="L66" s="277"/>
      <c r="M66" s="281">
        <f t="shared" si="6"/>
        <v>0</v>
      </c>
      <c r="N66" s="277"/>
      <c r="O66" s="1507">
        <f t="shared" si="7"/>
        <v>0</v>
      </c>
      <c r="P66" s="729"/>
      <c r="Q66" s="1017" t="str">
        <f>'Ab1. RMNCH+A'!Q158</f>
        <v>-</v>
      </c>
      <c r="R66" s="2920">
        <f>'Ab1. RMNCH+A'!R158</f>
        <v>0</v>
      </c>
      <c r="BB66" s="3218"/>
      <c r="BC66" s="3218"/>
      <c r="BD66" s="3218"/>
      <c r="BE66" s="3218"/>
      <c r="BF66" s="3218"/>
      <c r="BG66" s="3218"/>
      <c r="BH66" s="3218"/>
      <c r="BI66" s="3218"/>
      <c r="BJ66" s="3218"/>
      <c r="BK66" s="3218"/>
      <c r="BL66" s="3218"/>
      <c r="BM66" s="3218"/>
      <c r="BN66" s="3218"/>
      <c r="BO66" s="3218"/>
      <c r="BP66" s="3218"/>
      <c r="BQ66" s="3218"/>
      <c r="BR66" s="3218"/>
      <c r="BS66" s="3218"/>
      <c r="BT66" s="3218"/>
      <c r="BU66" s="3218"/>
      <c r="BV66" s="3218"/>
      <c r="BW66" s="3218"/>
      <c r="BX66" s="3218"/>
      <c r="BY66" s="3218"/>
      <c r="BZ66" s="3218"/>
      <c r="CA66" s="3218"/>
      <c r="CB66" s="3218"/>
      <c r="CC66" s="3218"/>
      <c r="CD66" s="3218"/>
      <c r="CE66" s="3218"/>
      <c r="CF66" s="3218"/>
      <c r="CG66" s="3218"/>
      <c r="CH66" s="3218"/>
      <c r="CI66" s="3225">
        <f t="shared" si="0"/>
        <v>0</v>
      </c>
    </row>
    <row r="67" spans="1:87">
      <c r="A67" s="1407" t="s">
        <v>851</v>
      </c>
      <c r="B67" s="508" t="s">
        <v>856</v>
      </c>
      <c r="C67" s="508" t="s">
        <v>857</v>
      </c>
      <c r="D67" s="1454" t="s">
        <v>85</v>
      </c>
      <c r="E67" s="1120" t="s">
        <v>126</v>
      </c>
      <c r="F67" s="2211">
        <v>0</v>
      </c>
      <c r="G67" s="276"/>
      <c r="H67" s="2214">
        <v>0</v>
      </c>
      <c r="I67" s="269"/>
      <c r="J67" s="276"/>
      <c r="K67" s="276"/>
      <c r="L67" s="277"/>
      <c r="M67" s="281">
        <f t="shared" si="6"/>
        <v>0</v>
      </c>
      <c r="N67" s="277"/>
      <c r="O67" s="1507">
        <f t="shared" si="7"/>
        <v>0</v>
      </c>
      <c r="P67" s="744"/>
      <c r="Q67" s="1017" t="str">
        <f>'Ab1. RMNCH+A'!Q159</f>
        <v>-</v>
      </c>
      <c r="R67" s="2920">
        <f>'Ab1. RMNCH+A'!R159</f>
        <v>0</v>
      </c>
      <c r="BB67" s="3218"/>
      <c r="BC67" s="3218"/>
      <c r="BD67" s="3218"/>
      <c r="BE67" s="3218"/>
      <c r="BF67" s="3218"/>
      <c r="BG67" s="3218"/>
      <c r="BH67" s="3218"/>
      <c r="BI67" s="3218"/>
      <c r="BJ67" s="3218"/>
      <c r="BK67" s="3218"/>
      <c r="BL67" s="3218"/>
      <c r="BM67" s="3218"/>
      <c r="BN67" s="3218"/>
      <c r="BO67" s="3218"/>
      <c r="BP67" s="3218"/>
      <c r="BQ67" s="3218"/>
      <c r="BR67" s="3218"/>
      <c r="BS67" s="3218"/>
      <c r="BT67" s="3218"/>
      <c r="BU67" s="3218"/>
      <c r="BV67" s="3218"/>
      <c r="BW67" s="3218"/>
      <c r="BX67" s="3218"/>
      <c r="BY67" s="3218"/>
      <c r="BZ67" s="3218"/>
      <c r="CA67" s="3218"/>
      <c r="CB67" s="3218"/>
      <c r="CC67" s="3218"/>
      <c r="CD67" s="3218"/>
      <c r="CE67" s="3218"/>
      <c r="CF67" s="3218"/>
      <c r="CG67" s="3218"/>
      <c r="CH67" s="3218"/>
      <c r="CI67" s="3225">
        <f t="shared" si="0"/>
        <v>0</v>
      </c>
    </row>
    <row r="68" spans="1:87" s="1380" customFormat="1" ht="105">
      <c r="A68" s="473" t="s">
        <v>852</v>
      </c>
      <c r="B68" s="586" t="s">
        <v>859</v>
      </c>
      <c r="C68" s="586" t="s">
        <v>860</v>
      </c>
      <c r="D68" s="1699" t="s">
        <v>85</v>
      </c>
      <c r="E68" s="1075" t="s">
        <v>126</v>
      </c>
      <c r="F68" s="2216">
        <v>6</v>
      </c>
      <c r="G68" s="421"/>
      <c r="H68" s="2232">
        <v>3</v>
      </c>
      <c r="I68" s="2553">
        <v>0</v>
      </c>
      <c r="J68" s="324">
        <v>3</v>
      </c>
      <c r="K68" s="324">
        <v>1</v>
      </c>
      <c r="L68" s="243">
        <v>70000</v>
      </c>
      <c r="M68" s="2261">
        <f t="shared" si="6"/>
        <v>0.7</v>
      </c>
      <c r="N68" s="243">
        <v>6</v>
      </c>
      <c r="O68" s="1472">
        <f t="shared" si="7"/>
        <v>4.1999999999999993</v>
      </c>
      <c r="P68" s="2560" t="s">
        <v>5372</v>
      </c>
      <c r="Q68" s="2263" t="str">
        <f>'Ab1. RMNCH+A'!Q160</f>
        <v>Ongoing Activity:Rs. 4.2 lakh is recommended for approval for 6 batches of NSSK trainings for Medical Officers @ Rs. 0.7 lakh each batch.The State to ensure training following GoI revised NSSK training module and ensure all training related expenses following revised RCH training norms.</v>
      </c>
      <c r="R68" s="2924">
        <f>'Ab1. RMNCH+A'!R160</f>
        <v>4.1999999999999993</v>
      </c>
      <c r="BB68" s="3219">
        <v>0</v>
      </c>
      <c r="BC68" s="3219"/>
      <c r="BD68" s="3219">
        <v>0.7</v>
      </c>
      <c r="BE68" s="3219">
        <v>0.7</v>
      </c>
      <c r="BF68" s="3219">
        <v>0.7</v>
      </c>
      <c r="BG68" s="3219"/>
      <c r="BH68" s="3219">
        <v>0.7</v>
      </c>
      <c r="BI68" s="3219"/>
      <c r="BJ68" s="3219">
        <v>0.7</v>
      </c>
      <c r="BK68" s="3219">
        <v>0.7</v>
      </c>
      <c r="BL68" s="3219"/>
      <c r="BM68" s="3219"/>
      <c r="BN68" s="3219"/>
      <c r="BO68" s="3219"/>
      <c r="BP68" s="3219"/>
      <c r="BQ68" s="3219"/>
      <c r="BR68" s="3219"/>
      <c r="BS68" s="3219"/>
      <c r="BT68" s="3219"/>
      <c r="BU68" s="3219"/>
      <c r="BV68" s="3219"/>
      <c r="BW68" s="3219"/>
      <c r="BX68" s="3219"/>
      <c r="BY68" s="3219"/>
      <c r="BZ68" s="3219"/>
      <c r="CA68" s="3219"/>
      <c r="CB68" s="3219"/>
      <c r="CC68" s="3219"/>
      <c r="CD68" s="3219"/>
      <c r="CE68" s="3219"/>
      <c r="CF68" s="3219"/>
      <c r="CG68" s="3219"/>
      <c r="CH68" s="3219"/>
      <c r="CI68" s="3225">
        <f t="shared" si="0"/>
        <v>4.2</v>
      </c>
    </row>
    <row r="69" spans="1:87" s="1380" customFormat="1" ht="105">
      <c r="A69" s="473" t="s">
        <v>855</v>
      </c>
      <c r="B69" s="586" t="s">
        <v>862</v>
      </c>
      <c r="C69" s="586" t="s">
        <v>863</v>
      </c>
      <c r="D69" s="1699" t="s">
        <v>85</v>
      </c>
      <c r="E69" s="1075" t="s">
        <v>126</v>
      </c>
      <c r="F69" s="2216">
        <v>6</v>
      </c>
      <c r="G69" s="421"/>
      <c r="H69" s="2232">
        <v>2.1</v>
      </c>
      <c r="I69" s="2553">
        <v>0</v>
      </c>
      <c r="J69" s="324">
        <v>2.1</v>
      </c>
      <c r="K69" s="324"/>
      <c r="L69" s="243">
        <v>50000</v>
      </c>
      <c r="M69" s="2261">
        <f t="shared" si="6"/>
        <v>0.5</v>
      </c>
      <c r="N69" s="243">
        <v>6</v>
      </c>
      <c r="O69" s="1472">
        <f t="shared" si="7"/>
        <v>3</v>
      </c>
      <c r="P69" s="2560" t="s">
        <v>5373</v>
      </c>
      <c r="Q69" s="2263" t="str">
        <f>'Ab1. RMNCH+A'!Q161</f>
        <v>Ongoing Activity:Rs. 3.00 lakh is recommended for approval for 6 batches of NSSK trainings for Staff Nurses @ Rs.0.50 lakh each batch.The State to ensure training following GoI revised NSSK training module and ensure all training related expenses following revised RCH training norms.</v>
      </c>
      <c r="R69" s="2924">
        <f>'Ab1. RMNCH+A'!R161</f>
        <v>3</v>
      </c>
      <c r="BB69" s="3219"/>
      <c r="BC69" s="3219"/>
      <c r="BD69" s="3219">
        <v>0.5</v>
      </c>
      <c r="BE69" s="3219">
        <v>0.5</v>
      </c>
      <c r="BF69" s="3219">
        <v>0.5</v>
      </c>
      <c r="BG69" s="3219"/>
      <c r="BH69" s="3219">
        <v>0.5</v>
      </c>
      <c r="BI69" s="3219"/>
      <c r="BJ69" s="3219">
        <v>0.5</v>
      </c>
      <c r="BK69" s="3219">
        <v>0.5</v>
      </c>
      <c r="BL69" s="3219"/>
      <c r="BM69" s="3219"/>
      <c r="BN69" s="3219"/>
      <c r="BO69" s="3219"/>
      <c r="BP69" s="3219"/>
      <c r="BQ69" s="3219"/>
      <c r="BR69" s="3219"/>
      <c r="BS69" s="3219"/>
      <c r="BT69" s="3219"/>
      <c r="BU69" s="3219"/>
      <c r="BV69" s="3219"/>
      <c r="BW69" s="3219"/>
      <c r="BX69" s="3219"/>
      <c r="BY69" s="3219"/>
      <c r="BZ69" s="3219"/>
      <c r="CA69" s="3219"/>
      <c r="CB69" s="3219"/>
      <c r="CC69" s="3219"/>
      <c r="CD69" s="3219"/>
      <c r="CE69" s="3219"/>
      <c r="CF69" s="3219"/>
      <c r="CG69" s="3219"/>
      <c r="CH69" s="3219"/>
      <c r="CI69" s="3225">
        <f t="shared" si="0"/>
        <v>3</v>
      </c>
    </row>
    <row r="70" spans="1:87" s="1380" customFormat="1">
      <c r="A70" s="473" t="s">
        <v>858</v>
      </c>
      <c r="B70" s="586" t="s">
        <v>865</v>
      </c>
      <c r="C70" s="586" t="s">
        <v>866</v>
      </c>
      <c r="D70" s="1699" t="s">
        <v>85</v>
      </c>
      <c r="E70" s="1075" t="s">
        <v>126</v>
      </c>
      <c r="F70" s="2216">
        <v>0</v>
      </c>
      <c r="G70" s="421"/>
      <c r="H70" s="2232">
        <v>0</v>
      </c>
      <c r="I70" s="2562"/>
      <c r="J70" s="421"/>
      <c r="K70" s="421"/>
      <c r="L70" s="283"/>
      <c r="M70" s="2261">
        <f t="shared" si="6"/>
        <v>0</v>
      </c>
      <c r="N70" s="283"/>
      <c r="O70" s="1472">
        <f t="shared" si="7"/>
        <v>0</v>
      </c>
      <c r="P70" s="761"/>
      <c r="Q70" s="2263" t="str">
        <f>'Ab1. RMNCH+A'!Q162</f>
        <v>-</v>
      </c>
      <c r="R70" s="2924">
        <f>'Ab1. RMNCH+A'!R162</f>
        <v>0</v>
      </c>
      <c r="BB70" s="3219"/>
      <c r="BC70" s="3219"/>
      <c r="BD70" s="3219"/>
      <c r="BE70" s="3219"/>
      <c r="BF70" s="3219"/>
      <c r="BG70" s="3219"/>
      <c r="BH70" s="3219"/>
      <c r="BI70" s="3219"/>
      <c r="BJ70" s="3219"/>
      <c r="BK70" s="3219"/>
      <c r="BL70" s="3219"/>
      <c r="BM70" s="3219"/>
      <c r="BN70" s="3219"/>
      <c r="BO70" s="3219"/>
      <c r="BP70" s="3219"/>
      <c r="BQ70" s="3219"/>
      <c r="BR70" s="3219"/>
      <c r="BS70" s="3219"/>
      <c r="BT70" s="3219"/>
      <c r="BU70" s="3219"/>
      <c r="BV70" s="3219"/>
      <c r="BW70" s="3219"/>
      <c r="BX70" s="3219"/>
      <c r="BY70" s="3219"/>
      <c r="BZ70" s="3219"/>
      <c r="CA70" s="3219"/>
      <c r="CB70" s="3219"/>
      <c r="CC70" s="3219"/>
      <c r="CD70" s="3219"/>
      <c r="CE70" s="3219"/>
      <c r="CF70" s="3219"/>
      <c r="CG70" s="3219"/>
      <c r="CH70" s="3219"/>
      <c r="CI70" s="3225">
        <f t="shared" ref="CI70:CI133" si="8">SUM(BB70:CH70)</f>
        <v>0</v>
      </c>
    </row>
    <row r="71" spans="1:87" s="1380" customFormat="1" ht="120">
      <c r="A71" s="473" t="s">
        <v>861</v>
      </c>
      <c r="B71" s="586" t="s">
        <v>868</v>
      </c>
      <c r="C71" s="586" t="s">
        <v>3968</v>
      </c>
      <c r="D71" s="1699" t="s">
        <v>85</v>
      </c>
      <c r="E71" s="1075" t="s">
        <v>126</v>
      </c>
      <c r="F71" s="2216">
        <v>4</v>
      </c>
      <c r="G71" s="421"/>
      <c r="H71" s="2232">
        <v>2.4</v>
      </c>
      <c r="I71" s="2563">
        <v>0.12</v>
      </c>
      <c r="J71" s="2564">
        <v>2.2799999999999998</v>
      </c>
      <c r="K71" s="2564">
        <v>1</v>
      </c>
      <c r="L71" s="2504">
        <v>280000</v>
      </c>
      <c r="M71" s="2261">
        <f t="shared" si="6"/>
        <v>2.8</v>
      </c>
      <c r="N71" s="2504">
        <v>2</v>
      </c>
      <c r="O71" s="1472">
        <f t="shared" si="7"/>
        <v>5.6</v>
      </c>
      <c r="P71" s="2560" t="s">
        <v>5374</v>
      </c>
      <c r="Q71" s="2263" t="str">
        <f>'Ab1. RMNCH+A'!Q163</f>
        <v>Ongoing Activity:Rs. 5.6 lakh is recommended for approval for 2 batches of 4 days FBNC trainings @ Rs. 2.8 lakh each batch.The State to ensure training on GoI module.The State should share training calender at national level.All training related expenses to be ensured following revised RCH training norms.</v>
      </c>
      <c r="R71" s="2924">
        <f>'Ab1. RMNCH+A'!R163</f>
        <v>5.6</v>
      </c>
      <c r="BB71" s="3219">
        <v>5.6</v>
      </c>
      <c r="BC71" s="3219"/>
      <c r="BD71" s="3219"/>
      <c r="BE71" s="3219"/>
      <c r="BF71" s="3219"/>
      <c r="BG71" s="3219"/>
      <c r="BH71" s="3219"/>
      <c r="BI71" s="3219"/>
      <c r="BJ71" s="3219"/>
      <c r="BK71" s="3219"/>
      <c r="BL71" s="3219"/>
      <c r="BM71" s="3219"/>
      <c r="BN71" s="3219"/>
      <c r="BO71" s="3219"/>
      <c r="BP71" s="3219"/>
      <c r="BQ71" s="3219"/>
      <c r="BR71" s="3219"/>
      <c r="BS71" s="3219"/>
      <c r="BT71" s="3219"/>
      <c r="BU71" s="3219"/>
      <c r="BV71" s="3219"/>
      <c r="BW71" s="3219"/>
      <c r="BX71" s="3219"/>
      <c r="BY71" s="3219"/>
      <c r="BZ71" s="3219"/>
      <c r="CA71" s="3219"/>
      <c r="CB71" s="3219"/>
      <c r="CC71" s="3219"/>
      <c r="CD71" s="3219"/>
      <c r="CE71" s="3219"/>
      <c r="CF71" s="3219"/>
      <c r="CG71" s="3219"/>
      <c r="CH71" s="3219"/>
      <c r="CI71" s="3225">
        <f t="shared" si="8"/>
        <v>5.6</v>
      </c>
    </row>
    <row r="72" spans="1:87" s="1380" customFormat="1" ht="30">
      <c r="A72" s="473" t="s">
        <v>864</v>
      </c>
      <c r="B72" s="586" t="s">
        <v>870</v>
      </c>
      <c r="C72" s="586" t="s">
        <v>3969</v>
      </c>
      <c r="D72" s="1699" t="s">
        <v>85</v>
      </c>
      <c r="E72" s="1075" t="s">
        <v>126</v>
      </c>
      <c r="F72" s="2216">
        <v>2</v>
      </c>
      <c r="G72" s="421"/>
      <c r="H72" s="2232">
        <v>5.21</v>
      </c>
      <c r="I72" s="2565"/>
      <c r="J72" s="421"/>
      <c r="K72" s="421"/>
      <c r="L72" s="283"/>
      <c r="M72" s="2261">
        <f t="shared" si="6"/>
        <v>0</v>
      </c>
      <c r="N72" s="283"/>
      <c r="O72" s="1472">
        <f t="shared" si="7"/>
        <v>0</v>
      </c>
      <c r="P72" s="761"/>
      <c r="Q72" s="2263" t="str">
        <f>'Ab1. RMNCH+A'!Q164</f>
        <v>-</v>
      </c>
      <c r="R72" s="2924">
        <f>'Ab1. RMNCH+A'!R164</f>
        <v>0</v>
      </c>
      <c r="BB72" s="3219"/>
      <c r="BC72" s="3219"/>
      <c r="BD72" s="3219"/>
      <c r="BE72" s="3219"/>
      <c r="BF72" s="3219"/>
      <c r="BG72" s="3219"/>
      <c r="BH72" s="3219"/>
      <c r="BI72" s="3219"/>
      <c r="BJ72" s="3219"/>
      <c r="BK72" s="3219"/>
      <c r="BL72" s="3219"/>
      <c r="BM72" s="3219"/>
      <c r="BN72" s="3219"/>
      <c r="BO72" s="3219"/>
      <c r="BP72" s="3219"/>
      <c r="BQ72" s="3219"/>
      <c r="BR72" s="3219"/>
      <c r="BS72" s="3219"/>
      <c r="BT72" s="3219"/>
      <c r="BU72" s="3219"/>
      <c r="BV72" s="3219"/>
      <c r="BW72" s="3219"/>
      <c r="BX72" s="3219"/>
      <c r="BY72" s="3219"/>
      <c r="BZ72" s="3219"/>
      <c r="CA72" s="3219"/>
      <c r="CB72" s="3219"/>
      <c r="CC72" s="3219"/>
      <c r="CD72" s="3219"/>
      <c r="CE72" s="3219"/>
      <c r="CF72" s="3219"/>
      <c r="CG72" s="3219"/>
      <c r="CH72" s="3219"/>
      <c r="CI72" s="3225">
        <f t="shared" si="8"/>
        <v>0</v>
      </c>
    </row>
    <row r="73" spans="1:87" s="1380" customFormat="1" ht="90">
      <c r="A73" s="473" t="s">
        <v>867</v>
      </c>
      <c r="B73" s="586" t="s">
        <v>872</v>
      </c>
      <c r="C73" s="586" t="s">
        <v>2390</v>
      </c>
      <c r="D73" s="1699" t="s">
        <v>85</v>
      </c>
      <c r="E73" s="1075" t="s">
        <v>126</v>
      </c>
      <c r="F73" s="2216">
        <v>5</v>
      </c>
      <c r="G73" s="421"/>
      <c r="H73" s="2216">
        <v>14.84</v>
      </c>
      <c r="I73" s="324">
        <v>0</v>
      </c>
      <c r="J73" s="324">
        <v>5</v>
      </c>
      <c r="K73" s="324">
        <v>1</v>
      </c>
      <c r="L73" s="243">
        <v>280000</v>
      </c>
      <c r="M73" s="2261">
        <f t="shared" si="6"/>
        <v>2.8</v>
      </c>
      <c r="N73" s="243">
        <v>4</v>
      </c>
      <c r="O73" s="1472">
        <f t="shared" si="7"/>
        <v>11.2</v>
      </c>
      <c r="P73" s="719" t="s">
        <v>5375</v>
      </c>
      <c r="Q73" s="2263" t="str">
        <f>'Ab1. RMNCH+A'!Q165</f>
        <v>Rs. 11.2 lakhs is recommended for approval for conducting  4 batches of 4 days IYCF trainins of MOs/SNs/ANMs of Delivery Points and Sub Centres @ Rs. 2.8 lakhs per batch.The State to follow RCH norms and expenditure to be booked as per actual.</v>
      </c>
      <c r="R73" s="2924">
        <f>'Ab1. RMNCH+A'!R165</f>
        <v>11.2</v>
      </c>
      <c r="BB73" s="3219"/>
      <c r="BC73" s="3219">
        <v>1</v>
      </c>
      <c r="BD73" s="3219">
        <v>1</v>
      </c>
      <c r="BE73" s="3219">
        <v>1</v>
      </c>
      <c r="BF73" s="3219">
        <v>1.2</v>
      </c>
      <c r="BG73" s="3219">
        <v>0.5</v>
      </c>
      <c r="BH73" s="3219">
        <v>1</v>
      </c>
      <c r="BI73" s="3219">
        <v>0.5</v>
      </c>
      <c r="BJ73" s="3219">
        <v>1</v>
      </c>
      <c r="BK73" s="3219">
        <v>1</v>
      </c>
      <c r="BL73" s="3219">
        <v>1</v>
      </c>
      <c r="BM73" s="3219">
        <v>1</v>
      </c>
      <c r="BN73" s="3219">
        <v>1</v>
      </c>
      <c r="BO73" s="3219"/>
      <c r="BP73" s="3219"/>
      <c r="BQ73" s="3219"/>
      <c r="BR73" s="3219"/>
      <c r="BS73" s="3219"/>
      <c r="BT73" s="3219"/>
      <c r="BU73" s="3219"/>
      <c r="BV73" s="3219"/>
      <c r="BW73" s="3219"/>
      <c r="BX73" s="3219"/>
      <c r="BY73" s="3219"/>
      <c r="BZ73" s="3219"/>
      <c r="CA73" s="3219"/>
      <c r="CB73" s="3219"/>
      <c r="CC73" s="3219"/>
      <c r="CD73" s="3219"/>
      <c r="CE73" s="3219"/>
      <c r="CF73" s="3219"/>
      <c r="CG73" s="3219"/>
      <c r="CH73" s="3219"/>
      <c r="CI73" s="3225">
        <f t="shared" si="8"/>
        <v>11.2</v>
      </c>
    </row>
    <row r="74" spans="1:87" s="1380" customFormat="1" ht="75">
      <c r="A74" s="473" t="s">
        <v>869</v>
      </c>
      <c r="B74" s="586" t="s">
        <v>874</v>
      </c>
      <c r="C74" s="586" t="s">
        <v>875</v>
      </c>
      <c r="D74" s="1699" t="s">
        <v>85</v>
      </c>
      <c r="E74" s="1075" t="s">
        <v>126</v>
      </c>
      <c r="F74" s="285">
        <v>12</v>
      </c>
      <c r="G74" s="286"/>
      <c r="H74" s="413">
        <v>7.2</v>
      </c>
      <c r="I74" s="2367">
        <v>0.48</v>
      </c>
      <c r="J74" s="324">
        <v>6.72</v>
      </c>
      <c r="K74" s="324">
        <v>1</v>
      </c>
      <c r="L74" s="243">
        <v>60000</v>
      </c>
      <c r="M74" s="2261">
        <f t="shared" si="6"/>
        <v>0.6</v>
      </c>
      <c r="N74" s="243">
        <v>12</v>
      </c>
      <c r="O74" s="1472">
        <f t="shared" si="7"/>
        <v>7.1999999999999993</v>
      </c>
      <c r="P74" s="2566" t="s">
        <v>5500</v>
      </c>
      <c r="Q74" s="2263" t="str">
        <f>'Ab1. RMNCH+A'!Q166</f>
        <v>Continued activity: Rs. 7.20 Lakhs is recommended for approval for orientation of ANMs and Teachers on NDD @ Rs.100 per participants for 3600 participant for two rounds of NDD as per GoI guideline.</v>
      </c>
      <c r="R74" s="2924">
        <f>'Ab1. RMNCH+A'!R166</f>
        <v>7.2</v>
      </c>
      <c r="BB74" s="3219"/>
      <c r="BC74" s="3219">
        <v>0.6</v>
      </c>
      <c r="BD74" s="3219">
        <v>0.6</v>
      </c>
      <c r="BE74" s="3219">
        <v>0.6</v>
      </c>
      <c r="BF74" s="3219">
        <v>0.9</v>
      </c>
      <c r="BG74" s="3219">
        <v>0.4</v>
      </c>
      <c r="BH74" s="3219">
        <v>0.6</v>
      </c>
      <c r="BI74" s="3219">
        <v>0.3</v>
      </c>
      <c r="BJ74" s="3219">
        <v>0.8</v>
      </c>
      <c r="BK74" s="3219">
        <v>0.6</v>
      </c>
      <c r="BL74" s="3219">
        <v>0.6</v>
      </c>
      <c r="BM74" s="3219">
        <v>0.6</v>
      </c>
      <c r="BN74" s="3219">
        <v>0.6</v>
      </c>
      <c r="BO74" s="3219"/>
      <c r="BP74" s="3219"/>
      <c r="BQ74" s="3219"/>
      <c r="BR74" s="3219"/>
      <c r="BS74" s="3219"/>
      <c r="BT74" s="3219"/>
      <c r="BU74" s="3219"/>
      <c r="BV74" s="3219"/>
      <c r="BW74" s="3219"/>
      <c r="BX74" s="3219"/>
      <c r="BY74" s="3219"/>
      <c r="BZ74" s="3219"/>
      <c r="CA74" s="3219"/>
      <c r="CB74" s="3219"/>
      <c r="CC74" s="3219"/>
      <c r="CD74" s="3219"/>
      <c r="CE74" s="3219"/>
      <c r="CF74" s="3219"/>
      <c r="CG74" s="3219"/>
      <c r="CH74" s="3219"/>
      <c r="CI74" s="3225">
        <f t="shared" si="8"/>
        <v>7.1999999999999984</v>
      </c>
    </row>
    <row r="75" spans="1:87" s="1380" customFormat="1" ht="30">
      <c r="A75" s="473" t="s">
        <v>871</v>
      </c>
      <c r="B75" s="586"/>
      <c r="C75" s="586" t="s">
        <v>2382</v>
      </c>
      <c r="D75" s="1699" t="s">
        <v>85</v>
      </c>
      <c r="E75" s="1075" t="s">
        <v>126</v>
      </c>
      <c r="F75" s="2216">
        <v>10</v>
      </c>
      <c r="G75" s="421"/>
      <c r="H75" s="2216">
        <v>8</v>
      </c>
      <c r="I75" s="421"/>
      <c r="J75" s="421"/>
      <c r="K75" s="421"/>
      <c r="L75" s="283"/>
      <c r="M75" s="2261">
        <f t="shared" si="6"/>
        <v>0</v>
      </c>
      <c r="N75" s="283"/>
      <c r="O75" s="1472">
        <f t="shared" si="7"/>
        <v>0</v>
      </c>
      <c r="P75" s="761"/>
      <c r="Q75" s="2263" t="str">
        <f>'Ab1. RMNCH+A'!Q167</f>
        <v>-</v>
      </c>
      <c r="R75" s="2924">
        <f>'Ab1. RMNCH+A'!R167</f>
        <v>0</v>
      </c>
      <c r="BB75" s="3219"/>
      <c r="BC75" s="3219"/>
      <c r="BD75" s="3219"/>
      <c r="BE75" s="3219"/>
      <c r="BF75" s="3219"/>
      <c r="BG75" s="3219"/>
      <c r="BH75" s="3219"/>
      <c r="BI75" s="3219"/>
      <c r="BJ75" s="3219"/>
      <c r="BK75" s="3219"/>
      <c r="BL75" s="3219"/>
      <c r="BM75" s="3219"/>
      <c r="BN75" s="3219"/>
      <c r="BO75" s="3219"/>
      <c r="BP75" s="3219"/>
      <c r="BQ75" s="3219"/>
      <c r="BR75" s="3219"/>
      <c r="BS75" s="3219"/>
      <c r="BT75" s="3219"/>
      <c r="BU75" s="3219"/>
      <c r="BV75" s="3219"/>
      <c r="BW75" s="3219"/>
      <c r="BX75" s="3219"/>
      <c r="BY75" s="3219"/>
      <c r="BZ75" s="3219"/>
      <c r="CA75" s="3219"/>
      <c r="CB75" s="3219"/>
      <c r="CC75" s="3219"/>
      <c r="CD75" s="3219"/>
      <c r="CE75" s="3219"/>
      <c r="CF75" s="3219"/>
      <c r="CG75" s="3219"/>
      <c r="CH75" s="3219"/>
      <c r="CI75" s="3225">
        <f t="shared" si="8"/>
        <v>0</v>
      </c>
    </row>
    <row r="76" spans="1:87" s="1380" customFormat="1" ht="30">
      <c r="A76" s="473" t="s">
        <v>873</v>
      </c>
      <c r="B76" s="586"/>
      <c r="C76" s="586" t="s">
        <v>2383</v>
      </c>
      <c r="D76" s="1699" t="s">
        <v>85</v>
      </c>
      <c r="E76" s="1075" t="s">
        <v>126</v>
      </c>
      <c r="F76" s="2216">
        <v>6</v>
      </c>
      <c r="G76" s="421"/>
      <c r="H76" s="2216">
        <v>2.1</v>
      </c>
      <c r="I76" s="421"/>
      <c r="J76" s="421"/>
      <c r="K76" s="421">
        <v>1</v>
      </c>
      <c r="L76" s="283"/>
      <c r="M76" s="2261">
        <f t="shared" si="6"/>
        <v>0</v>
      </c>
      <c r="N76" s="283"/>
      <c r="O76" s="1472">
        <f t="shared" si="7"/>
        <v>0</v>
      </c>
      <c r="P76" s="761"/>
      <c r="Q76" s="2263" t="str">
        <f>'Ab1. RMNCH+A'!Q168</f>
        <v>-</v>
      </c>
      <c r="R76" s="2924">
        <f>'Ab1. RMNCH+A'!R168</f>
        <v>0</v>
      </c>
      <c r="BB76" s="3219"/>
      <c r="BC76" s="3219"/>
      <c r="BD76" s="3219"/>
      <c r="BE76" s="3219"/>
      <c r="BF76" s="3219"/>
      <c r="BG76" s="3219"/>
      <c r="BH76" s="3219"/>
      <c r="BI76" s="3219"/>
      <c r="BJ76" s="3219"/>
      <c r="BK76" s="3219"/>
      <c r="BL76" s="3219"/>
      <c r="BM76" s="3219"/>
      <c r="BN76" s="3219"/>
      <c r="BO76" s="3219"/>
      <c r="BP76" s="3219"/>
      <c r="BQ76" s="3219"/>
      <c r="BR76" s="3219"/>
      <c r="BS76" s="3219"/>
      <c r="BT76" s="3219"/>
      <c r="BU76" s="3219"/>
      <c r="BV76" s="3219"/>
      <c r="BW76" s="3219"/>
      <c r="BX76" s="3219"/>
      <c r="BY76" s="3219"/>
      <c r="BZ76" s="3219"/>
      <c r="CA76" s="3219"/>
      <c r="CB76" s="3219"/>
      <c r="CC76" s="3219"/>
      <c r="CD76" s="3219"/>
      <c r="CE76" s="3219"/>
      <c r="CF76" s="3219"/>
      <c r="CG76" s="3219"/>
      <c r="CH76" s="3219"/>
      <c r="CI76" s="3225">
        <f t="shared" si="8"/>
        <v>0</v>
      </c>
    </row>
    <row r="77" spans="1:87" s="1380" customFormat="1" ht="90">
      <c r="A77" s="473" t="s">
        <v>2381</v>
      </c>
      <c r="B77" s="586"/>
      <c r="C77" s="586" t="s">
        <v>2386</v>
      </c>
      <c r="D77" s="1699" t="s">
        <v>85</v>
      </c>
      <c r="E77" s="1075" t="s">
        <v>126</v>
      </c>
      <c r="F77" s="2216">
        <v>0</v>
      </c>
      <c r="G77" s="421"/>
      <c r="H77" s="2216">
        <v>0</v>
      </c>
      <c r="I77" s="324">
        <v>0</v>
      </c>
      <c r="J77" s="324">
        <v>0</v>
      </c>
      <c r="K77" s="324">
        <v>1</v>
      </c>
      <c r="L77" s="243">
        <v>350000</v>
      </c>
      <c r="M77" s="2261">
        <f t="shared" si="6"/>
        <v>3.5</v>
      </c>
      <c r="N77" s="243">
        <v>4</v>
      </c>
      <c r="O77" s="1472">
        <f t="shared" si="7"/>
        <v>14</v>
      </c>
      <c r="P77" s="719" t="s">
        <v>5376</v>
      </c>
      <c r="Q77" s="2263" t="str">
        <f>'Ab1. RMNCH+A'!Q169</f>
        <v>New Activity:Rs. 14.00 Lakh is recommended for approval for 4 batches of NBSU Training as per newly launched NBSU Training Package @ Rs.3.50 lakhs per batch.The State to book expenditure as per actuals and following RCH Training Norms</v>
      </c>
      <c r="R77" s="2924">
        <f>'Ab1. RMNCH+A'!R169</f>
        <v>14</v>
      </c>
      <c r="BB77" s="3219">
        <v>1.6</v>
      </c>
      <c r="BC77" s="3219">
        <v>1</v>
      </c>
      <c r="BD77" s="3219">
        <v>1</v>
      </c>
      <c r="BE77" s="3219">
        <v>1</v>
      </c>
      <c r="BF77" s="3219">
        <v>2</v>
      </c>
      <c r="BG77" s="3219">
        <v>0.4</v>
      </c>
      <c r="BH77" s="3219"/>
      <c r="BI77" s="3219"/>
      <c r="BJ77" s="3219">
        <v>2</v>
      </c>
      <c r="BK77" s="3219">
        <v>2</v>
      </c>
      <c r="BL77" s="3219">
        <v>1</v>
      </c>
      <c r="BM77" s="3219">
        <v>1</v>
      </c>
      <c r="BN77" s="3219">
        <v>1</v>
      </c>
      <c r="BO77" s="3219"/>
      <c r="BP77" s="3219"/>
      <c r="BQ77" s="3219"/>
      <c r="BR77" s="3219"/>
      <c r="BS77" s="3219"/>
      <c r="BT77" s="3219"/>
      <c r="BU77" s="3219"/>
      <c r="BV77" s="3219"/>
      <c r="BW77" s="3219"/>
      <c r="BX77" s="3219"/>
      <c r="BY77" s="3219"/>
      <c r="BZ77" s="3219"/>
      <c r="CA77" s="3219"/>
      <c r="CB77" s="3219"/>
      <c r="CC77" s="3219"/>
      <c r="CD77" s="3219"/>
      <c r="CE77" s="3219"/>
      <c r="CF77" s="3219"/>
      <c r="CG77" s="3219"/>
      <c r="CH77" s="3219"/>
      <c r="CI77" s="3225">
        <f t="shared" si="8"/>
        <v>14</v>
      </c>
    </row>
    <row r="78" spans="1:87" ht="90">
      <c r="A78" s="1519" t="s">
        <v>2486</v>
      </c>
      <c r="B78" s="586"/>
      <c r="C78" s="894" t="s">
        <v>3970</v>
      </c>
      <c r="D78" s="1454" t="s">
        <v>85</v>
      </c>
      <c r="E78" s="1120" t="s">
        <v>126</v>
      </c>
      <c r="F78" s="410">
        <v>6</v>
      </c>
      <c r="G78" s="253"/>
      <c r="H78" s="401">
        <v>2.7</v>
      </c>
      <c r="I78" s="401"/>
      <c r="J78" s="323"/>
      <c r="K78" s="252"/>
      <c r="L78" s="277"/>
      <c r="M78" s="281">
        <f t="shared" si="6"/>
        <v>0</v>
      </c>
      <c r="N78" s="277"/>
      <c r="O78" s="1507">
        <f t="shared" si="7"/>
        <v>0</v>
      </c>
      <c r="P78" s="750"/>
      <c r="Q78" s="1017" t="str">
        <f>'Ab1. RMNCH+A'!Q170</f>
        <v xml:space="preserve">The State to ensure training of FLWs and allied department workers on AMB as per revised RCH training norms. </v>
      </c>
      <c r="R78" s="2920">
        <f>'Ab1. RMNCH+A'!R170</f>
        <v>0</v>
      </c>
      <c r="BB78" s="3218"/>
      <c r="BC78" s="3218"/>
      <c r="BD78" s="3218"/>
      <c r="BE78" s="3218"/>
      <c r="BF78" s="3218"/>
      <c r="BG78" s="3218"/>
      <c r="BH78" s="3218"/>
      <c r="BI78" s="3218"/>
      <c r="BJ78" s="3218"/>
      <c r="BK78" s="3218"/>
      <c r="BL78" s="3218"/>
      <c r="BM78" s="3218"/>
      <c r="BN78" s="3218"/>
      <c r="BO78" s="3218"/>
      <c r="BP78" s="3218"/>
      <c r="BQ78" s="3218"/>
      <c r="BR78" s="3218"/>
      <c r="BS78" s="3218"/>
      <c r="BT78" s="3218"/>
      <c r="BU78" s="3218"/>
      <c r="BV78" s="3218"/>
      <c r="BW78" s="3218"/>
      <c r="BX78" s="3218"/>
      <c r="BY78" s="3218"/>
      <c r="BZ78" s="3218"/>
      <c r="CA78" s="3218"/>
      <c r="CB78" s="3218"/>
      <c r="CC78" s="3218"/>
      <c r="CD78" s="3218"/>
      <c r="CE78" s="3218"/>
      <c r="CF78" s="3218"/>
      <c r="CG78" s="3218"/>
      <c r="CH78" s="3218"/>
      <c r="CI78" s="3225">
        <f t="shared" si="8"/>
        <v>0</v>
      </c>
    </row>
    <row r="79" spans="1:87" s="1380" customFormat="1" ht="90">
      <c r="A79" s="2567" t="s">
        <v>3258</v>
      </c>
      <c r="B79" s="586"/>
      <c r="C79" s="3507" t="s">
        <v>4224</v>
      </c>
      <c r="D79" s="1699" t="s">
        <v>85</v>
      </c>
      <c r="E79" s="1075" t="s">
        <v>126</v>
      </c>
      <c r="F79" s="2568">
        <v>12</v>
      </c>
      <c r="G79" s="286"/>
      <c r="H79" s="413">
        <v>12</v>
      </c>
      <c r="I79" s="2367">
        <v>0.02</v>
      </c>
      <c r="J79" s="2569">
        <v>11.98</v>
      </c>
      <c r="K79" s="324">
        <v>1</v>
      </c>
      <c r="L79" s="243">
        <v>100000</v>
      </c>
      <c r="M79" s="2261">
        <f t="shared" si="6"/>
        <v>1</v>
      </c>
      <c r="N79" s="243">
        <v>5</v>
      </c>
      <c r="O79" s="1472">
        <f>M79*N79</f>
        <v>5</v>
      </c>
      <c r="P79" s="2570" t="s">
        <v>5377</v>
      </c>
      <c r="Q79" s="2263" t="str">
        <f>'Ab1. RMNCH+A'!Q171</f>
        <v>New Activity:Rs. 5.0 Lakh is recommended for approval for 5 batches of sensitization training on Pneumonia for frontline workers @ Rs.1.00 lakh per batch.The State to book expenditure as per actuals and following RCH Training Norms</v>
      </c>
      <c r="R79" s="2924">
        <f>'Ab1. RMNCH+A'!R171</f>
        <v>5</v>
      </c>
      <c r="BB79" s="3219">
        <v>1</v>
      </c>
      <c r="BC79" s="3219"/>
      <c r="BD79" s="3219">
        <v>1</v>
      </c>
      <c r="BE79" s="3219"/>
      <c r="BF79" s="3219">
        <v>1</v>
      </c>
      <c r="BG79" s="3219"/>
      <c r="BH79" s="3219"/>
      <c r="BI79" s="3219"/>
      <c r="BJ79" s="3219"/>
      <c r="BK79" s="3219"/>
      <c r="BL79" s="3219">
        <v>1</v>
      </c>
      <c r="BM79" s="3219">
        <v>1</v>
      </c>
      <c r="BN79" s="3219"/>
      <c r="BO79" s="3219"/>
      <c r="BP79" s="3219"/>
      <c r="BQ79" s="3219"/>
      <c r="BR79" s="3219"/>
      <c r="BS79" s="3219"/>
      <c r="BT79" s="3219"/>
      <c r="BU79" s="3219"/>
      <c r="BV79" s="3219"/>
      <c r="BW79" s="3219"/>
      <c r="BX79" s="3219"/>
      <c r="BY79" s="3219"/>
      <c r="BZ79" s="3219"/>
      <c r="CA79" s="3219"/>
      <c r="CB79" s="3219"/>
      <c r="CC79" s="3219"/>
      <c r="CD79" s="3219"/>
      <c r="CE79" s="3219"/>
      <c r="CF79" s="3219"/>
      <c r="CG79" s="3219"/>
      <c r="CH79" s="3219"/>
      <c r="CI79" s="3225">
        <f t="shared" si="8"/>
        <v>5</v>
      </c>
    </row>
    <row r="80" spans="1:87" s="1380" customFormat="1" ht="30">
      <c r="A80" s="2567" t="s">
        <v>4223</v>
      </c>
      <c r="B80" s="2567" t="s">
        <v>2486</v>
      </c>
      <c r="C80" s="586" t="s">
        <v>2487</v>
      </c>
      <c r="D80" s="1699" t="s">
        <v>85</v>
      </c>
      <c r="E80" s="1075" t="s">
        <v>126</v>
      </c>
      <c r="F80" s="2216">
        <v>0</v>
      </c>
      <c r="G80" s="421"/>
      <c r="H80" s="2216">
        <v>0</v>
      </c>
      <c r="I80" s="421"/>
      <c r="J80" s="421"/>
      <c r="K80" s="421"/>
      <c r="L80" s="283"/>
      <c r="M80" s="2261">
        <f t="shared" si="6"/>
        <v>0</v>
      </c>
      <c r="N80" s="283"/>
      <c r="O80" s="1472">
        <f t="shared" si="7"/>
        <v>0</v>
      </c>
      <c r="P80" s="761"/>
      <c r="Q80" s="2263" t="str">
        <f>'Ab1. RMNCH+A'!Q172</f>
        <v>-</v>
      </c>
      <c r="R80" s="2924">
        <f>'Ab1. RMNCH+A'!R172</f>
        <v>0</v>
      </c>
      <c r="BB80" s="3219"/>
      <c r="BC80" s="3219"/>
      <c r="BD80" s="3219"/>
      <c r="BE80" s="3219"/>
      <c r="BF80" s="3219"/>
      <c r="BG80" s="3219"/>
      <c r="BH80" s="3219"/>
      <c r="BI80" s="3219"/>
      <c r="BJ80" s="3219"/>
      <c r="BK80" s="3219"/>
      <c r="BL80" s="3219"/>
      <c r="BM80" s="3219"/>
      <c r="BN80" s="3219"/>
      <c r="BO80" s="3219"/>
      <c r="BP80" s="3219"/>
      <c r="BQ80" s="3219"/>
      <c r="BR80" s="3219"/>
      <c r="BS80" s="3219"/>
      <c r="BT80" s="3219"/>
      <c r="BU80" s="3219"/>
      <c r="BV80" s="3219"/>
      <c r="BW80" s="3219"/>
      <c r="BX80" s="3219"/>
      <c r="BY80" s="3219"/>
      <c r="BZ80" s="3219"/>
      <c r="CA80" s="3219"/>
      <c r="CB80" s="3219"/>
      <c r="CC80" s="3219"/>
      <c r="CD80" s="3219"/>
      <c r="CE80" s="3219"/>
      <c r="CF80" s="3219"/>
      <c r="CG80" s="3219"/>
      <c r="CH80" s="3219"/>
      <c r="CI80" s="3225">
        <f t="shared" si="8"/>
        <v>0</v>
      </c>
    </row>
    <row r="81" spans="1:87" s="1457" customFormat="1">
      <c r="A81" s="902" t="s">
        <v>876</v>
      </c>
      <c r="B81" s="1080"/>
      <c r="C81" s="1072" t="s">
        <v>877</v>
      </c>
      <c r="D81" s="2512"/>
      <c r="E81" s="2512"/>
      <c r="F81" s="235"/>
      <c r="G81" s="235"/>
      <c r="H81" s="235"/>
      <c r="I81" s="235"/>
      <c r="J81" s="235"/>
      <c r="K81" s="235"/>
      <c r="L81" s="235"/>
      <c r="M81" s="2571"/>
      <c r="N81" s="641"/>
      <c r="O81" s="2572">
        <f>SUM(O82:O109)</f>
        <v>7.5992499999999996</v>
      </c>
      <c r="P81" s="2573"/>
      <c r="Q81" s="2263"/>
      <c r="R81" s="2873">
        <f>SUM(R82:R109)</f>
        <v>4.12</v>
      </c>
      <c r="BB81" s="3245"/>
      <c r="BC81" s="3245"/>
      <c r="BD81" s="3245"/>
      <c r="BE81" s="3245"/>
      <c r="BF81" s="3245"/>
      <c r="BG81" s="3245"/>
      <c r="BH81" s="3245"/>
      <c r="BI81" s="3245"/>
      <c r="BJ81" s="3245"/>
      <c r="BK81" s="3245"/>
      <c r="BL81" s="3245"/>
      <c r="BM81" s="3245"/>
      <c r="BN81" s="3245"/>
      <c r="BO81" s="3245"/>
      <c r="BP81" s="3245"/>
      <c r="BQ81" s="3245"/>
      <c r="BR81" s="3245"/>
      <c r="BS81" s="3245"/>
      <c r="BT81" s="3245"/>
      <c r="BU81" s="3245"/>
      <c r="BV81" s="3245"/>
      <c r="BW81" s="3245"/>
      <c r="BX81" s="3245"/>
      <c r="BY81" s="3245"/>
      <c r="BZ81" s="3245"/>
      <c r="CA81" s="3245"/>
      <c r="CB81" s="3245"/>
      <c r="CC81" s="3245"/>
      <c r="CD81" s="3245"/>
      <c r="CE81" s="3245"/>
      <c r="CF81" s="3245"/>
      <c r="CG81" s="3245"/>
      <c r="CH81" s="3245"/>
      <c r="CI81" s="3225">
        <f t="shared" si="8"/>
        <v>0</v>
      </c>
    </row>
    <row r="82" spans="1:87" s="1380" customFormat="1" ht="30">
      <c r="A82" s="473" t="s">
        <v>755</v>
      </c>
      <c r="B82" s="586" t="s">
        <v>756</v>
      </c>
      <c r="C82" s="586" t="s">
        <v>757</v>
      </c>
      <c r="D82" s="1699" t="s">
        <v>85</v>
      </c>
      <c r="E82" s="1075" t="s">
        <v>86</v>
      </c>
      <c r="F82" s="2216">
        <v>0</v>
      </c>
      <c r="G82" s="421"/>
      <c r="H82" s="2216">
        <v>0</v>
      </c>
      <c r="I82" s="421"/>
      <c r="J82" s="421"/>
      <c r="K82" s="421"/>
      <c r="L82" s="283"/>
      <c r="M82" s="2261">
        <f>L82/100000</f>
        <v>0</v>
      </c>
      <c r="N82" s="283"/>
      <c r="O82" s="1472">
        <f>M82*N82</f>
        <v>0</v>
      </c>
      <c r="P82" s="761"/>
      <c r="Q82" s="2263" t="str">
        <f>'Ab1. RMNCH+A'!Q242</f>
        <v>--</v>
      </c>
      <c r="R82" s="2924">
        <f>'Ab1. RMNCH+A'!R242</f>
        <v>0</v>
      </c>
      <c r="BB82" s="3219"/>
      <c r="BC82" s="3219"/>
      <c r="BD82" s="3219"/>
      <c r="BE82" s="3219"/>
      <c r="BF82" s="3219"/>
      <c r="BG82" s="3219"/>
      <c r="BH82" s="3219"/>
      <c r="BI82" s="3219"/>
      <c r="BJ82" s="3219"/>
      <c r="BK82" s="3219"/>
      <c r="BL82" s="3219"/>
      <c r="BM82" s="3219"/>
      <c r="BN82" s="3219"/>
      <c r="BO82" s="3219"/>
      <c r="BP82" s="3219"/>
      <c r="BQ82" s="3219"/>
      <c r="BR82" s="3219"/>
      <c r="BS82" s="3219"/>
      <c r="BT82" s="3219"/>
      <c r="BU82" s="3219"/>
      <c r="BV82" s="3219"/>
      <c r="BW82" s="3219"/>
      <c r="BX82" s="3219"/>
      <c r="BY82" s="3219"/>
      <c r="BZ82" s="3219"/>
      <c r="CA82" s="3219"/>
      <c r="CB82" s="3219"/>
      <c r="CC82" s="3219"/>
      <c r="CD82" s="3219"/>
      <c r="CE82" s="3219"/>
      <c r="CF82" s="3219"/>
      <c r="CG82" s="3219"/>
      <c r="CH82" s="3219"/>
      <c r="CI82" s="3225">
        <f t="shared" si="8"/>
        <v>0</v>
      </c>
    </row>
    <row r="83" spans="1:87" s="1457" customFormat="1" ht="150">
      <c r="A83" s="473" t="s">
        <v>878</v>
      </c>
      <c r="B83" s="586" t="s">
        <v>221</v>
      </c>
      <c r="C83" s="521" t="s">
        <v>2400</v>
      </c>
      <c r="D83" s="1699" t="s">
        <v>85</v>
      </c>
      <c r="E83" s="1075" t="s">
        <v>86</v>
      </c>
      <c r="F83" s="2216">
        <v>10</v>
      </c>
      <c r="G83" s="421"/>
      <c r="H83" s="2216">
        <v>6.24</v>
      </c>
      <c r="I83" s="2564">
        <v>0</v>
      </c>
      <c r="J83" s="2564"/>
      <c r="K83" s="414">
        <v>1</v>
      </c>
      <c r="L83" s="2504">
        <v>62445</v>
      </c>
      <c r="M83" s="2261">
        <f t="shared" ref="M83:M109" si="9">L83/100000</f>
        <v>0.62444999999999995</v>
      </c>
      <c r="N83" s="283">
        <v>5</v>
      </c>
      <c r="O83" s="1472">
        <f t="shared" ref="O83:O109" si="10">M83*N83</f>
        <v>3.1222499999999997</v>
      </c>
      <c r="P83" s="2560" t="s">
        <v>5330</v>
      </c>
      <c r="Q83" s="2263" t="str">
        <f>'Ab1. RMNCH+A'!Q243</f>
        <v xml:space="preserve">Ongoing activity : Rs 3.12 lakhs is recommended for approval for training ANMs on FPLMIS in 5 batches  @ Rs 62400/batch </v>
      </c>
      <c r="R83" s="2924">
        <f>'Ab1. RMNCH+A'!R243</f>
        <v>3.12</v>
      </c>
      <c r="BB83" s="3245"/>
      <c r="BC83" s="3245">
        <v>0.15</v>
      </c>
      <c r="BD83" s="3245">
        <v>0.15</v>
      </c>
      <c r="BE83" s="3245">
        <v>0.15</v>
      </c>
      <c r="BF83" s="3245">
        <v>0.37</v>
      </c>
      <c r="BG83" s="3245">
        <v>0.1</v>
      </c>
      <c r="BH83" s="3245">
        <v>0.2</v>
      </c>
      <c r="BI83" s="3245">
        <v>0.1</v>
      </c>
      <c r="BJ83" s="3245">
        <v>0.35</v>
      </c>
      <c r="BK83" s="3245">
        <v>0.3</v>
      </c>
      <c r="BL83" s="3245">
        <v>0.15</v>
      </c>
      <c r="BM83" s="3245">
        <v>0.15</v>
      </c>
      <c r="BN83" s="3245">
        <v>0.15</v>
      </c>
      <c r="BO83" s="3245"/>
      <c r="BP83" s="3245"/>
      <c r="BQ83" s="3245"/>
      <c r="BR83" s="3245"/>
      <c r="BS83" s="3245"/>
      <c r="BT83" s="3245"/>
      <c r="BU83" s="3245">
        <v>0.8</v>
      </c>
      <c r="BV83" s="3245"/>
      <c r="BW83" s="3245"/>
      <c r="BX83" s="3245"/>
      <c r="BY83" s="3245"/>
      <c r="BZ83" s="3245"/>
      <c r="CA83" s="3245"/>
      <c r="CB83" s="3245"/>
      <c r="CC83" s="3245"/>
      <c r="CD83" s="3245"/>
      <c r="CE83" s="3245"/>
      <c r="CF83" s="3245"/>
      <c r="CG83" s="3245"/>
      <c r="CH83" s="3245"/>
      <c r="CI83" s="3225">
        <f t="shared" si="8"/>
        <v>3.12</v>
      </c>
    </row>
    <row r="84" spans="1:87" s="1101" customFormat="1" ht="30">
      <c r="A84" s="1407" t="s">
        <v>879</v>
      </c>
      <c r="B84" s="508" t="s">
        <v>880</v>
      </c>
      <c r="C84" s="509" t="s">
        <v>881</v>
      </c>
      <c r="D84" s="1454" t="s">
        <v>85</v>
      </c>
      <c r="E84" s="1120" t="s">
        <v>86</v>
      </c>
      <c r="F84" s="253">
        <v>43700</v>
      </c>
      <c r="G84" s="411"/>
      <c r="H84" s="401">
        <v>0.44</v>
      </c>
      <c r="I84" s="401"/>
      <c r="J84" s="411"/>
      <c r="K84" s="253"/>
      <c r="L84" s="277"/>
      <c r="M84" s="281">
        <f t="shared" si="9"/>
        <v>0</v>
      </c>
      <c r="N84" s="277"/>
      <c r="O84" s="1507">
        <f t="shared" si="10"/>
        <v>0</v>
      </c>
      <c r="P84" s="751"/>
      <c r="Q84" s="1017" t="str">
        <f>'Ab1. RMNCH+A'!Q244</f>
        <v>--</v>
      </c>
      <c r="R84" s="2920">
        <f>'Ab1. RMNCH+A'!R244</f>
        <v>0</v>
      </c>
      <c r="BB84" s="3225"/>
      <c r="BC84" s="3225"/>
      <c r="BD84" s="3225"/>
      <c r="BE84" s="3225"/>
      <c r="BF84" s="3225"/>
      <c r="BG84" s="3225"/>
      <c r="BH84" s="3225"/>
      <c r="BI84" s="3225"/>
      <c r="BJ84" s="3225"/>
      <c r="BK84" s="3225"/>
      <c r="BL84" s="3225"/>
      <c r="BM84" s="3225"/>
      <c r="BN84" s="3225"/>
      <c r="BO84" s="3225"/>
      <c r="BP84" s="3225"/>
      <c r="BQ84" s="3225"/>
      <c r="BR84" s="3225"/>
      <c r="BS84" s="3225"/>
      <c r="BT84" s="3225"/>
      <c r="BU84" s="3225"/>
      <c r="BV84" s="3225"/>
      <c r="BW84" s="3225"/>
      <c r="BX84" s="3225"/>
      <c r="BY84" s="3225"/>
      <c r="BZ84" s="3225"/>
      <c r="CA84" s="3225"/>
      <c r="CB84" s="3225"/>
      <c r="CC84" s="3225"/>
      <c r="CD84" s="3225"/>
      <c r="CE84" s="3225"/>
      <c r="CF84" s="3225"/>
      <c r="CG84" s="3225"/>
      <c r="CH84" s="3225"/>
      <c r="CI84" s="3225">
        <f t="shared" si="8"/>
        <v>0</v>
      </c>
    </row>
    <row r="85" spans="1:87">
      <c r="A85" s="1407" t="s">
        <v>882</v>
      </c>
      <c r="B85" s="508" t="s">
        <v>884</v>
      </c>
      <c r="C85" s="508" t="s">
        <v>885</v>
      </c>
      <c r="D85" s="1454" t="s">
        <v>85</v>
      </c>
      <c r="E85" s="1120" t="s">
        <v>86</v>
      </c>
      <c r="F85" s="253">
        <v>0</v>
      </c>
      <c r="G85" s="253"/>
      <c r="H85" s="401">
        <v>0</v>
      </c>
      <c r="I85" s="401"/>
      <c r="J85" s="323"/>
      <c r="K85" s="253"/>
      <c r="L85" s="277"/>
      <c r="M85" s="281">
        <f t="shared" si="9"/>
        <v>0</v>
      </c>
      <c r="N85" s="277"/>
      <c r="O85" s="1507">
        <f t="shared" si="10"/>
        <v>0</v>
      </c>
      <c r="P85" s="729"/>
      <c r="Q85" s="1017" t="str">
        <f>'Ab1. RMNCH+A'!Q245</f>
        <v>--</v>
      </c>
      <c r="R85" s="2920">
        <f>'Ab1. RMNCH+A'!R245</f>
        <v>0</v>
      </c>
      <c r="BB85" s="3218"/>
      <c r="BC85" s="3218"/>
      <c r="BD85" s="3218"/>
      <c r="BE85" s="3218"/>
      <c r="BF85" s="3218"/>
      <c r="BG85" s="3218"/>
      <c r="BH85" s="3218"/>
      <c r="BI85" s="3218"/>
      <c r="BJ85" s="3218"/>
      <c r="BK85" s="3218"/>
      <c r="BL85" s="3218"/>
      <c r="BM85" s="3218"/>
      <c r="BN85" s="3218"/>
      <c r="BO85" s="3218"/>
      <c r="BP85" s="3218"/>
      <c r="BQ85" s="3218"/>
      <c r="BR85" s="3218"/>
      <c r="BS85" s="3218"/>
      <c r="BT85" s="3218"/>
      <c r="BU85" s="3218"/>
      <c r="BV85" s="3218"/>
      <c r="BW85" s="3218"/>
      <c r="BX85" s="3218"/>
      <c r="BY85" s="3218"/>
      <c r="BZ85" s="3218"/>
      <c r="CA85" s="3218"/>
      <c r="CB85" s="3218"/>
      <c r="CC85" s="3218"/>
      <c r="CD85" s="3218"/>
      <c r="CE85" s="3218"/>
      <c r="CF85" s="3218"/>
      <c r="CG85" s="3218"/>
      <c r="CH85" s="3218"/>
      <c r="CI85" s="3225">
        <f t="shared" si="8"/>
        <v>0</v>
      </c>
    </row>
    <row r="86" spans="1:87" ht="45">
      <c r="A86" s="1407" t="s">
        <v>883</v>
      </c>
      <c r="B86" s="508" t="s">
        <v>887</v>
      </c>
      <c r="C86" s="508" t="s">
        <v>888</v>
      </c>
      <c r="D86" s="1454" t="s">
        <v>85</v>
      </c>
      <c r="E86" s="1120" t="s">
        <v>86</v>
      </c>
      <c r="F86" s="253">
        <v>0</v>
      </c>
      <c r="G86" s="253"/>
      <c r="H86" s="401">
        <v>0</v>
      </c>
      <c r="I86" s="401"/>
      <c r="J86" s="323"/>
      <c r="K86" s="253"/>
      <c r="L86" s="277"/>
      <c r="M86" s="281">
        <f t="shared" si="9"/>
        <v>0</v>
      </c>
      <c r="N86" s="277"/>
      <c r="O86" s="1507">
        <f t="shared" si="10"/>
        <v>0</v>
      </c>
      <c r="P86" s="729"/>
      <c r="Q86" s="1017" t="str">
        <f>'Ab1. RMNCH+A'!Q246</f>
        <v>--</v>
      </c>
      <c r="R86" s="2920">
        <f>'Ab1. RMNCH+A'!R246</f>
        <v>0</v>
      </c>
      <c r="BB86" s="3218"/>
      <c r="BC86" s="3218"/>
      <c r="BD86" s="3218"/>
      <c r="BE86" s="3218"/>
      <c r="BF86" s="3218"/>
      <c r="BG86" s="3218"/>
      <c r="BH86" s="3218"/>
      <c r="BI86" s="3218"/>
      <c r="BJ86" s="3218"/>
      <c r="BK86" s="3218"/>
      <c r="BL86" s="3218"/>
      <c r="BM86" s="3218"/>
      <c r="BN86" s="3218"/>
      <c r="BO86" s="3218"/>
      <c r="BP86" s="3218"/>
      <c r="BQ86" s="3218"/>
      <c r="BR86" s="3218"/>
      <c r="BS86" s="3218"/>
      <c r="BT86" s="3218"/>
      <c r="BU86" s="3218"/>
      <c r="BV86" s="3218"/>
      <c r="BW86" s="3218"/>
      <c r="BX86" s="3218"/>
      <c r="BY86" s="3218"/>
      <c r="BZ86" s="3218"/>
      <c r="CA86" s="3218"/>
      <c r="CB86" s="3218"/>
      <c r="CC86" s="3218"/>
      <c r="CD86" s="3218"/>
      <c r="CE86" s="3218"/>
      <c r="CF86" s="3218"/>
      <c r="CG86" s="3218"/>
      <c r="CH86" s="3218"/>
      <c r="CI86" s="3225">
        <f t="shared" si="8"/>
        <v>0</v>
      </c>
    </row>
    <row r="87" spans="1:87" s="1380" customFormat="1" ht="75">
      <c r="A87" s="473" t="s">
        <v>886</v>
      </c>
      <c r="B87" s="586" t="s">
        <v>890</v>
      </c>
      <c r="C87" s="586" t="s">
        <v>891</v>
      </c>
      <c r="D87" s="1699" t="s">
        <v>85</v>
      </c>
      <c r="E87" s="1075" t="s">
        <v>86</v>
      </c>
      <c r="F87" s="286">
        <v>0</v>
      </c>
      <c r="G87" s="286"/>
      <c r="H87" s="413">
        <v>0</v>
      </c>
      <c r="I87" s="413"/>
      <c r="J87" s="285"/>
      <c r="K87" s="634">
        <v>1</v>
      </c>
      <c r="L87" s="2504">
        <v>223850</v>
      </c>
      <c r="M87" s="2261">
        <f t="shared" si="9"/>
        <v>2.2385000000000002</v>
      </c>
      <c r="N87" s="283">
        <v>2</v>
      </c>
      <c r="O87" s="1472">
        <f t="shared" si="10"/>
        <v>4.4770000000000003</v>
      </c>
      <c r="P87" s="2560" t="s">
        <v>5331</v>
      </c>
      <c r="Q87" s="2263" t="str">
        <f>'Ab1. RMNCH+A'!Q247</f>
        <v>Ongoing activity : Rs 1 lakh is recommended for approval to conduct  refersher training on Laproscope sterlization  for 3 days @ Rs.50000/batch as per GoI guidelines and norms.</v>
      </c>
      <c r="R87" s="2924">
        <f>'Ab1. RMNCH+A'!R247</f>
        <v>1</v>
      </c>
      <c r="BB87" s="3219"/>
      <c r="BC87" s="3219"/>
      <c r="BD87" s="3219"/>
      <c r="BE87" s="3219"/>
      <c r="BF87" s="3219"/>
      <c r="BG87" s="3219"/>
      <c r="BH87" s="3219"/>
      <c r="BI87" s="3219"/>
      <c r="BJ87" s="3219"/>
      <c r="BK87" s="3219"/>
      <c r="BL87" s="3219"/>
      <c r="BM87" s="3219"/>
      <c r="BN87" s="3219"/>
      <c r="BO87" s="3219">
        <v>0.5</v>
      </c>
      <c r="BP87" s="3219"/>
      <c r="BQ87" s="3219"/>
      <c r="BR87" s="3219"/>
      <c r="BS87" s="3219"/>
      <c r="BT87" s="3219"/>
      <c r="BU87" s="3219"/>
      <c r="BV87" s="3219"/>
      <c r="BW87" s="3219"/>
      <c r="BX87" s="3219"/>
      <c r="BY87" s="3219"/>
      <c r="BZ87" s="3219">
        <v>0.5</v>
      </c>
      <c r="CA87" s="3219"/>
      <c r="CB87" s="3219"/>
      <c r="CC87" s="3219"/>
      <c r="CD87" s="3219"/>
      <c r="CE87" s="3219"/>
      <c r="CF87" s="3219"/>
      <c r="CG87" s="3219"/>
      <c r="CH87" s="3219"/>
      <c r="CI87" s="3225">
        <f t="shared" si="8"/>
        <v>1</v>
      </c>
    </row>
    <row r="88" spans="1:87">
      <c r="A88" s="1407" t="s">
        <v>889</v>
      </c>
      <c r="B88" s="508" t="s">
        <v>893</v>
      </c>
      <c r="C88" s="508" t="s">
        <v>894</v>
      </c>
      <c r="D88" s="1454" t="s">
        <v>85</v>
      </c>
      <c r="E88" s="1120" t="s">
        <v>86</v>
      </c>
      <c r="F88" s="2209">
        <v>0</v>
      </c>
      <c r="G88" s="392"/>
      <c r="H88" s="409">
        <v>0</v>
      </c>
      <c r="I88" s="409"/>
      <c r="J88" s="323"/>
      <c r="K88" s="392"/>
      <c r="L88" s="277"/>
      <c r="M88" s="281">
        <f t="shared" si="9"/>
        <v>0</v>
      </c>
      <c r="N88" s="277"/>
      <c r="O88" s="1507">
        <f t="shared" si="10"/>
        <v>0</v>
      </c>
      <c r="P88" s="744"/>
      <c r="Q88" s="1017" t="str">
        <f>'Ab1. RMNCH+A'!Q248</f>
        <v>--</v>
      </c>
      <c r="R88" s="2920">
        <f>'Ab1. RMNCH+A'!R248</f>
        <v>0</v>
      </c>
      <c r="BB88" s="3218"/>
      <c r="BC88" s="3218"/>
      <c r="BD88" s="3218"/>
      <c r="BE88" s="3218"/>
      <c r="BF88" s="3218"/>
      <c r="BG88" s="3218"/>
      <c r="BH88" s="3218"/>
      <c r="BI88" s="3218"/>
      <c r="BJ88" s="3218"/>
      <c r="BK88" s="3218"/>
      <c r="BL88" s="3218"/>
      <c r="BM88" s="3218"/>
      <c r="BN88" s="3218"/>
      <c r="BO88" s="3218"/>
      <c r="BP88" s="3218"/>
      <c r="BQ88" s="3218"/>
      <c r="BR88" s="3218"/>
      <c r="BS88" s="3218"/>
      <c r="BT88" s="3218"/>
      <c r="BU88" s="3218"/>
      <c r="BV88" s="3218"/>
      <c r="BW88" s="3218"/>
      <c r="BX88" s="3218"/>
      <c r="BY88" s="3218"/>
      <c r="BZ88" s="3218"/>
      <c r="CA88" s="3218"/>
      <c r="CB88" s="3218"/>
      <c r="CC88" s="3218"/>
      <c r="CD88" s="3218"/>
      <c r="CE88" s="3218"/>
      <c r="CF88" s="3218"/>
      <c r="CG88" s="3218"/>
      <c r="CH88" s="3218"/>
      <c r="CI88" s="3225">
        <f t="shared" si="8"/>
        <v>0</v>
      </c>
    </row>
    <row r="89" spans="1:87">
      <c r="A89" s="1407" t="s">
        <v>892</v>
      </c>
      <c r="B89" s="508" t="s">
        <v>896</v>
      </c>
      <c r="C89" s="508" t="s">
        <v>897</v>
      </c>
      <c r="D89" s="1454" t="s">
        <v>85</v>
      </c>
      <c r="E89" s="1120" t="s">
        <v>86</v>
      </c>
      <c r="F89" s="253">
        <v>0</v>
      </c>
      <c r="G89" s="253"/>
      <c r="H89" s="401">
        <v>0</v>
      </c>
      <c r="I89" s="401"/>
      <c r="J89" s="323"/>
      <c r="K89" s="253"/>
      <c r="L89" s="277"/>
      <c r="M89" s="281">
        <f t="shared" si="9"/>
        <v>0</v>
      </c>
      <c r="N89" s="277"/>
      <c r="O89" s="1507">
        <f t="shared" si="10"/>
        <v>0</v>
      </c>
      <c r="P89" s="729"/>
      <c r="Q89" s="1017" t="str">
        <f>'Ab1. RMNCH+A'!Q249</f>
        <v>--</v>
      </c>
      <c r="R89" s="2920">
        <f>'Ab1. RMNCH+A'!R249</f>
        <v>0</v>
      </c>
      <c r="BB89" s="3218"/>
      <c r="BC89" s="3218"/>
      <c r="BD89" s="3218"/>
      <c r="BE89" s="3218"/>
      <c r="BF89" s="3218"/>
      <c r="BG89" s="3218"/>
      <c r="BH89" s="3218"/>
      <c r="BI89" s="3218"/>
      <c r="BJ89" s="3218"/>
      <c r="BK89" s="3218"/>
      <c r="BL89" s="3218"/>
      <c r="BM89" s="3218"/>
      <c r="BN89" s="3218"/>
      <c r="BO89" s="3218"/>
      <c r="BP89" s="3218"/>
      <c r="BQ89" s="3218"/>
      <c r="BR89" s="3218"/>
      <c r="BS89" s="3218"/>
      <c r="BT89" s="3218"/>
      <c r="BU89" s="3218"/>
      <c r="BV89" s="3218"/>
      <c r="BW89" s="3218"/>
      <c r="BX89" s="3218"/>
      <c r="BY89" s="3218"/>
      <c r="BZ89" s="3218"/>
      <c r="CA89" s="3218"/>
      <c r="CB89" s="3218"/>
      <c r="CC89" s="3218"/>
      <c r="CD89" s="3218"/>
      <c r="CE89" s="3218"/>
      <c r="CF89" s="3218"/>
      <c r="CG89" s="3218"/>
      <c r="CH89" s="3218"/>
      <c r="CI89" s="3225">
        <f t="shared" si="8"/>
        <v>0</v>
      </c>
    </row>
    <row r="90" spans="1:87" ht="30">
      <c r="A90" s="1407" t="s">
        <v>895</v>
      </c>
      <c r="B90" s="508" t="s">
        <v>899</v>
      </c>
      <c r="C90" s="508" t="s">
        <v>900</v>
      </c>
      <c r="D90" s="1454" t="s">
        <v>85</v>
      </c>
      <c r="E90" s="1120" t="s">
        <v>86</v>
      </c>
      <c r="F90" s="253">
        <v>0</v>
      </c>
      <c r="G90" s="253"/>
      <c r="H90" s="401">
        <v>0</v>
      </c>
      <c r="I90" s="401"/>
      <c r="J90" s="252"/>
      <c r="K90" s="253"/>
      <c r="L90" s="277"/>
      <c r="M90" s="281">
        <f t="shared" si="9"/>
        <v>0</v>
      </c>
      <c r="N90" s="277"/>
      <c r="O90" s="1507">
        <f t="shared" si="10"/>
        <v>0</v>
      </c>
      <c r="P90" s="729"/>
      <c r="Q90" s="1017" t="str">
        <f>'Ab1. RMNCH+A'!Q250</f>
        <v>--</v>
      </c>
      <c r="R90" s="2920">
        <f>'Ab1. RMNCH+A'!R250</f>
        <v>0</v>
      </c>
      <c r="BB90" s="3218"/>
      <c r="BC90" s="3218"/>
      <c r="BD90" s="3218"/>
      <c r="BE90" s="3218"/>
      <c r="BF90" s="3218"/>
      <c r="BG90" s="3218"/>
      <c r="BH90" s="3218"/>
      <c r="BI90" s="3218"/>
      <c r="BJ90" s="3218"/>
      <c r="BK90" s="3218"/>
      <c r="BL90" s="3218"/>
      <c r="BM90" s="3218"/>
      <c r="BN90" s="3218"/>
      <c r="BO90" s="3218"/>
      <c r="BP90" s="3218"/>
      <c r="BQ90" s="3218"/>
      <c r="BR90" s="3218"/>
      <c r="BS90" s="3218"/>
      <c r="BT90" s="3218"/>
      <c r="BU90" s="3218"/>
      <c r="BV90" s="3218"/>
      <c r="BW90" s="3218"/>
      <c r="BX90" s="3218"/>
      <c r="BY90" s="3218"/>
      <c r="BZ90" s="3218"/>
      <c r="CA90" s="3218"/>
      <c r="CB90" s="3218"/>
      <c r="CC90" s="3218"/>
      <c r="CD90" s="3218"/>
      <c r="CE90" s="3218"/>
      <c r="CF90" s="3218"/>
      <c r="CG90" s="3218"/>
      <c r="CH90" s="3218"/>
      <c r="CI90" s="3225">
        <f t="shared" si="8"/>
        <v>0</v>
      </c>
    </row>
    <row r="91" spans="1:87">
      <c r="A91" s="1407" t="s">
        <v>898</v>
      </c>
      <c r="B91" s="508" t="s">
        <v>902</v>
      </c>
      <c r="C91" s="508" t="s">
        <v>903</v>
      </c>
      <c r="D91" s="1454" t="s">
        <v>85</v>
      </c>
      <c r="E91" s="1120" t="s">
        <v>86</v>
      </c>
      <c r="F91" s="253">
        <v>0</v>
      </c>
      <c r="G91" s="253"/>
      <c r="H91" s="401">
        <v>0</v>
      </c>
      <c r="I91" s="401"/>
      <c r="J91" s="323"/>
      <c r="K91" s="253"/>
      <c r="L91" s="277"/>
      <c r="M91" s="281">
        <f t="shared" si="9"/>
        <v>0</v>
      </c>
      <c r="N91" s="277"/>
      <c r="O91" s="1507">
        <f t="shared" si="10"/>
        <v>0</v>
      </c>
      <c r="P91" s="729"/>
      <c r="Q91" s="1017" t="str">
        <f>'Ab1. RMNCH+A'!Q251</f>
        <v>--</v>
      </c>
      <c r="R91" s="2920">
        <f>'Ab1. RMNCH+A'!R251</f>
        <v>0</v>
      </c>
      <c r="BB91" s="3218"/>
      <c r="BC91" s="3218"/>
      <c r="BD91" s="3218"/>
      <c r="BE91" s="3218"/>
      <c r="BF91" s="3218"/>
      <c r="BG91" s="3218"/>
      <c r="BH91" s="3218"/>
      <c r="BI91" s="3218"/>
      <c r="BJ91" s="3218"/>
      <c r="BK91" s="3218"/>
      <c r="BL91" s="3218"/>
      <c r="BM91" s="3218"/>
      <c r="BN91" s="3218"/>
      <c r="BO91" s="3218"/>
      <c r="BP91" s="3218"/>
      <c r="BQ91" s="3218"/>
      <c r="BR91" s="3218"/>
      <c r="BS91" s="3218"/>
      <c r="BT91" s="3218"/>
      <c r="BU91" s="3218"/>
      <c r="BV91" s="3218"/>
      <c r="BW91" s="3218"/>
      <c r="BX91" s="3218"/>
      <c r="BY91" s="3218"/>
      <c r="BZ91" s="3218"/>
      <c r="CA91" s="3218"/>
      <c r="CB91" s="3218"/>
      <c r="CC91" s="3218"/>
      <c r="CD91" s="3218"/>
      <c r="CE91" s="3218"/>
      <c r="CF91" s="3218"/>
      <c r="CG91" s="3218"/>
      <c r="CH91" s="3218"/>
      <c r="CI91" s="3225">
        <f t="shared" si="8"/>
        <v>0</v>
      </c>
    </row>
    <row r="92" spans="1:87" ht="30">
      <c r="A92" s="1407" t="s">
        <v>901</v>
      </c>
      <c r="B92" s="508" t="s">
        <v>905</v>
      </c>
      <c r="C92" s="508" t="s">
        <v>906</v>
      </c>
      <c r="D92" s="1454" t="s">
        <v>85</v>
      </c>
      <c r="E92" s="1120" t="s">
        <v>86</v>
      </c>
      <c r="F92" s="2211">
        <v>0</v>
      </c>
      <c r="G92" s="276"/>
      <c r="H92" s="2211">
        <v>0</v>
      </c>
      <c r="I92" s="276"/>
      <c r="J92" s="276"/>
      <c r="K92" s="276"/>
      <c r="L92" s="277"/>
      <c r="M92" s="281">
        <f t="shared" si="9"/>
        <v>0</v>
      </c>
      <c r="N92" s="277"/>
      <c r="O92" s="1507">
        <f t="shared" si="10"/>
        <v>0</v>
      </c>
      <c r="P92" s="744"/>
      <c r="Q92" s="1017" t="str">
        <f>'Ab1. RMNCH+A'!Q252</f>
        <v>--</v>
      </c>
      <c r="R92" s="2920">
        <f>'Ab1. RMNCH+A'!R252</f>
        <v>0</v>
      </c>
      <c r="BB92" s="3218"/>
      <c r="BC92" s="3218"/>
      <c r="BD92" s="3218"/>
      <c r="BE92" s="3218"/>
      <c r="BF92" s="3218"/>
      <c r="BG92" s="3218"/>
      <c r="BH92" s="3218"/>
      <c r="BI92" s="3218"/>
      <c r="BJ92" s="3218"/>
      <c r="BK92" s="3218"/>
      <c r="BL92" s="3218"/>
      <c r="BM92" s="3218"/>
      <c r="BN92" s="3218"/>
      <c r="BO92" s="3218"/>
      <c r="BP92" s="3218"/>
      <c r="BQ92" s="3218"/>
      <c r="BR92" s="3218"/>
      <c r="BS92" s="3218"/>
      <c r="BT92" s="3218"/>
      <c r="BU92" s="3218"/>
      <c r="BV92" s="3218"/>
      <c r="BW92" s="3218"/>
      <c r="BX92" s="3218"/>
      <c r="BY92" s="3218"/>
      <c r="BZ92" s="3218"/>
      <c r="CA92" s="3218"/>
      <c r="CB92" s="3218"/>
      <c r="CC92" s="3218"/>
      <c r="CD92" s="3218"/>
      <c r="CE92" s="3218"/>
      <c r="CF92" s="3218"/>
      <c r="CG92" s="3218"/>
      <c r="CH92" s="3218"/>
      <c r="CI92" s="3225">
        <f t="shared" si="8"/>
        <v>0</v>
      </c>
    </row>
    <row r="93" spans="1:87">
      <c r="A93" s="1407" t="s">
        <v>904</v>
      </c>
      <c r="B93" s="508" t="s">
        <v>908</v>
      </c>
      <c r="C93" s="508" t="s">
        <v>909</v>
      </c>
      <c r="D93" s="1454" t="s">
        <v>85</v>
      </c>
      <c r="E93" s="1120" t="s">
        <v>86</v>
      </c>
      <c r="F93" s="253">
        <v>0</v>
      </c>
      <c r="G93" s="253"/>
      <c r="H93" s="401">
        <v>0</v>
      </c>
      <c r="I93" s="401"/>
      <c r="J93" s="252"/>
      <c r="K93" s="253"/>
      <c r="L93" s="277"/>
      <c r="M93" s="281">
        <f t="shared" si="9"/>
        <v>0</v>
      </c>
      <c r="N93" s="277"/>
      <c r="O93" s="1507">
        <f t="shared" si="10"/>
        <v>0</v>
      </c>
      <c r="P93" s="729"/>
      <c r="Q93" s="1017" t="str">
        <f>'Ab1. RMNCH+A'!Q253</f>
        <v>--</v>
      </c>
      <c r="R93" s="2920">
        <f>'Ab1. RMNCH+A'!R253</f>
        <v>0</v>
      </c>
      <c r="BB93" s="3218"/>
      <c r="BC93" s="3218"/>
      <c r="BD93" s="3218"/>
      <c r="BE93" s="3218"/>
      <c r="BF93" s="3218"/>
      <c r="BG93" s="3218"/>
      <c r="BH93" s="3218"/>
      <c r="BI93" s="3218"/>
      <c r="BJ93" s="3218"/>
      <c r="BK93" s="3218"/>
      <c r="BL93" s="3218"/>
      <c r="BM93" s="3218"/>
      <c r="BN93" s="3218"/>
      <c r="BO93" s="3218"/>
      <c r="BP93" s="3218"/>
      <c r="BQ93" s="3218"/>
      <c r="BR93" s="3218"/>
      <c r="BS93" s="3218"/>
      <c r="BT93" s="3218"/>
      <c r="BU93" s="3218"/>
      <c r="BV93" s="3218"/>
      <c r="BW93" s="3218"/>
      <c r="BX93" s="3218"/>
      <c r="BY93" s="3218"/>
      <c r="BZ93" s="3218"/>
      <c r="CA93" s="3218"/>
      <c r="CB93" s="3218"/>
      <c r="CC93" s="3218"/>
      <c r="CD93" s="3218"/>
      <c r="CE93" s="3218"/>
      <c r="CF93" s="3218"/>
      <c r="CG93" s="3218"/>
      <c r="CH93" s="3218"/>
      <c r="CI93" s="3225">
        <f t="shared" si="8"/>
        <v>0</v>
      </c>
    </row>
    <row r="94" spans="1:87" ht="30">
      <c r="A94" s="1407" t="s">
        <v>907</v>
      </c>
      <c r="B94" s="508" t="s">
        <v>911</v>
      </c>
      <c r="C94" s="508" t="s">
        <v>912</v>
      </c>
      <c r="D94" s="1454" t="s">
        <v>85</v>
      </c>
      <c r="E94" s="1120" t="s">
        <v>86</v>
      </c>
      <c r="F94" s="253">
        <v>0</v>
      </c>
      <c r="G94" s="253"/>
      <c r="H94" s="401">
        <v>0</v>
      </c>
      <c r="I94" s="401"/>
      <c r="J94" s="252"/>
      <c r="K94" s="253"/>
      <c r="L94" s="277"/>
      <c r="M94" s="281">
        <f t="shared" si="9"/>
        <v>0</v>
      </c>
      <c r="N94" s="277"/>
      <c r="O94" s="1507">
        <f t="shared" si="10"/>
        <v>0</v>
      </c>
      <c r="P94" s="729"/>
      <c r="Q94" s="1017" t="str">
        <f>'Ab1. RMNCH+A'!Q254</f>
        <v>--</v>
      </c>
      <c r="R94" s="2920">
        <f>'Ab1. RMNCH+A'!R254</f>
        <v>0</v>
      </c>
      <c r="BB94" s="3218"/>
      <c r="BC94" s="3218"/>
      <c r="BD94" s="3218"/>
      <c r="BE94" s="3218"/>
      <c r="BF94" s="3218"/>
      <c r="BG94" s="3218"/>
      <c r="BH94" s="3218"/>
      <c r="BI94" s="3218"/>
      <c r="BJ94" s="3218"/>
      <c r="BK94" s="3218"/>
      <c r="BL94" s="3218"/>
      <c r="BM94" s="3218"/>
      <c r="BN94" s="3218"/>
      <c r="BO94" s="3218"/>
      <c r="BP94" s="3218"/>
      <c r="BQ94" s="3218"/>
      <c r="BR94" s="3218"/>
      <c r="BS94" s="3218"/>
      <c r="BT94" s="3218"/>
      <c r="BU94" s="3218"/>
      <c r="BV94" s="3218"/>
      <c r="BW94" s="3218"/>
      <c r="BX94" s="3218"/>
      <c r="BY94" s="3218"/>
      <c r="BZ94" s="3218"/>
      <c r="CA94" s="3218"/>
      <c r="CB94" s="3218"/>
      <c r="CC94" s="3218"/>
      <c r="CD94" s="3218"/>
      <c r="CE94" s="3218"/>
      <c r="CF94" s="3218"/>
      <c r="CG94" s="3218"/>
      <c r="CH94" s="3218"/>
      <c r="CI94" s="3225">
        <f t="shared" si="8"/>
        <v>0</v>
      </c>
    </row>
    <row r="95" spans="1:87" ht="30">
      <c r="A95" s="1407" t="s">
        <v>910</v>
      </c>
      <c r="B95" s="508" t="s">
        <v>914</v>
      </c>
      <c r="C95" s="508" t="s">
        <v>915</v>
      </c>
      <c r="D95" s="1454" t="s">
        <v>85</v>
      </c>
      <c r="E95" s="1120" t="s">
        <v>86</v>
      </c>
      <c r="F95" s="2209">
        <v>0</v>
      </c>
      <c r="G95" s="392"/>
      <c r="H95" s="409">
        <v>0</v>
      </c>
      <c r="I95" s="409"/>
      <c r="J95" s="276"/>
      <c r="K95" s="276"/>
      <c r="L95" s="277"/>
      <c r="M95" s="281">
        <f t="shared" si="9"/>
        <v>0</v>
      </c>
      <c r="N95" s="277"/>
      <c r="O95" s="1507">
        <f t="shared" si="10"/>
        <v>0</v>
      </c>
      <c r="P95" s="744"/>
      <c r="Q95" s="1017" t="str">
        <f>'Ab1. RMNCH+A'!Q255</f>
        <v>--</v>
      </c>
      <c r="R95" s="2920">
        <f>'Ab1. RMNCH+A'!R255</f>
        <v>0</v>
      </c>
      <c r="BB95" s="3218"/>
      <c r="BC95" s="3218"/>
      <c r="BD95" s="3218"/>
      <c r="BE95" s="3218"/>
      <c r="BF95" s="3218"/>
      <c r="BG95" s="3218"/>
      <c r="BH95" s="3218"/>
      <c r="BI95" s="3218"/>
      <c r="BJ95" s="3218"/>
      <c r="BK95" s="3218"/>
      <c r="BL95" s="3218"/>
      <c r="BM95" s="3218"/>
      <c r="BN95" s="3218"/>
      <c r="BO95" s="3218"/>
      <c r="BP95" s="3218"/>
      <c r="BQ95" s="3218"/>
      <c r="BR95" s="3218"/>
      <c r="BS95" s="3218"/>
      <c r="BT95" s="3218"/>
      <c r="BU95" s="3218"/>
      <c r="BV95" s="3218"/>
      <c r="BW95" s="3218"/>
      <c r="BX95" s="3218"/>
      <c r="BY95" s="3218"/>
      <c r="BZ95" s="3218"/>
      <c r="CA95" s="3218"/>
      <c r="CB95" s="3218"/>
      <c r="CC95" s="3218"/>
      <c r="CD95" s="3218"/>
      <c r="CE95" s="3218"/>
      <c r="CF95" s="3218"/>
      <c r="CG95" s="3218"/>
      <c r="CH95" s="3218"/>
      <c r="CI95" s="3225">
        <f t="shared" si="8"/>
        <v>0</v>
      </c>
    </row>
    <row r="96" spans="1:87" ht="45">
      <c r="A96" s="1407" t="s">
        <v>913</v>
      </c>
      <c r="B96" s="508" t="s">
        <v>917</v>
      </c>
      <c r="C96" s="508" t="s">
        <v>918</v>
      </c>
      <c r="D96" s="1454" t="s">
        <v>85</v>
      </c>
      <c r="E96" s="1120" t="s">
        <v>86</v>
      </c>
      <c r="F96" s="253">
        <v>0</v>
      </c>
      <c r="G96" s="253"/>
      <c r="H96" s="401">
        <v>0</v>
      </c>
      <c r="I96" s="401"/>
      <c r="J96" s="323"/>
      <c r="K96" s="253"/>
      <c r="L96" s="277"/>
      <c r="M96" s="281">
        <f t="shared" si="9"/>
        <v>0</v>
      </c>
      <c r="N96" s="277"/>
      <c r="O96" s="1507">
        <f t="shared" si="10"/>
        <v>0</v>
      </c>
      <c r="P96" s="729"/>
      <c r="Q96" s="1017" t="str">
        <f>'Ab1. RMNCH+A'!Q256</f>
        <v>--</v>
      </c>
      <c r="R96" s="2920">
        <f>'Ab1. RMNCH+A'!R256</f>
        <v>0</v>
      </c>
      <c r="BB96" s="3218"/>
      <c r="BC96" s="3218"/>
      <c r="BD96" s="3218"/>
      <c r="BE96" s="3218"/>
      <c r="BF96" s="3218"/>
      <c r="BG96" s="3218"/>
      <c r="BH96" s="3218"/>
      <c r="BI96" s="3218"/>
      <c r="BJ96" s="3218"/>
      <c r="BK96" s="3218"/>
      <c r="BL96" s="3218"/>
      <c r="BM96" s="3218"/>
      <c r="BN96" s="3218"/>
      <c r="BO96" s="3218"/>
      <c r="BP96" s="3218"/>
      <c r="BQ96" s="3218"/>
      <c r="BR96" s="3218"/>
      <c r="BS96" s="3218"/>
      <c r="BT96" s="3218"/>
      <c r="BU96" s="3218"/>
      <c r="BV96" s="3218"/>
      <c r="BW96" s="3218"/>
      <c r="BX96" s="3218"/>
      <c r="BY96" s="3218"/>
      <c r="BZ96" s="3218"/>
      <c r="CA96" s="3218"/>
      <c r="CB96" s="3218"/>
      <c r="CC96" s="3218"/>
      <c r="CD96" s="3218"/>
      <c r="CE96" s="3218"/>
      <c r="CF96" s="3218"/>
      <c r="CG96" s="3218"/>
      <c r="CH96" s="3218"/>
      <c r="CI96" s="3225">
        <f t="shared" si="8"/>
        <v>0</v>
      </c>
    </row>
    <row r="97" spans="1:87">
      <c r="A97" s="1407" t="s">
        <v>916</v>
      </c>
      <c r="B97" s="508" t="s">
        <v>920</v>
      </c>
      <c r="C97" s="508" t="s">
        <v>921</v>
      </c>
      <c r="D97" s="1454" t="s">
        <v>85</v>
      </c>
      <c r="E97" s="1120" t="s">
        <v>86</v>
      </c>
      <c r="F97" s="2211">
        <v>0</v>
      </c>
      <c r="G97" s="276"/>
      <c r="H97" s="2211">
        <v>0</v>
      </c>
      <c r="I97" s="276"/>
      <c r="J97" s="276"/>
      <c r="K97" s="276"/>
      <c r="L97" s="277"/>
      <c r="M97" s="281">
        <f t="shared" si="9"/>
        <v>0</v>
      </c>
      <c r="N97" s="277"/>
      <c r="O97" s="1507">
        <f t="shared" si="10"/>
        <v>0</v>
      </c>
      <c r="P97" s="744"/>
      <c r="Q97" s="1017" t="str">
        <f>'Ab1. RMNCH+A'!Q257</f>
        <v>--</v>
      </c>
      <c r="R97" s="2920">
        <f>'Ab1. RMNCH+A'!R257</f>
        <v>0</v>
      </c>
      <c r="BB97" s="3218"/>
      <c r="BC97" s="3218"/>
      <c r="BD97" s="3218"/>
      <c r="BE97" s="3218"/>
      <c r="BF97" s="3218"/>
      <c r="BG97" s="3218"/>
      <c r="BH97" s="3218"/>
      <c r="BI97" s="3218"/>
      <c r="BJ97" s="3218"/>
      <c r="BK97" s="3218"/>
      <c r="BL97" s="3218"/>
      <c r="BM97" s="3218"/>
      <c r="BN97" s="3218"/>
      <c r="BO97" s="3218"/>
      <c r="BP97" s="3218"/>
      <c r="BQ97" s="3218"/>
      <c r="BR97" s="3218"/>
      <c r="BS97" s="3218"/>
      <c r="BT97" s="3218"/>
      <c r="BU97" s="3218"/>
      <c r="BV97" s="3218"/>
      <c r="BW97" s="3218"/>
      <c r="BX97" s="3218"/>
      <c r="BY97" s="3218"/>
      <c r="BZ97" s="3218"/>
      <c r="CA97" s="3218"/>
      <c r="CB97" s="3218"/>
      <c r="CC97" s="3218"/>
      <c r="CD97" s="3218"/>
      <c r="CE97" s="3218"/>
      <c r="CF97" s="3218"/>
      <c r="CG97" s="3218"/>
      <c r="CH97" s="3218"/>
      <c r="CI97" s="3225">
        <f t="shared" si="8"/>
        <v>0</v>
      </c>
    </row>
    <row r="98" spans="1:87" ht="30">
      <c r="A98" s="1407" t="s">
        <v>919</v>
      </c>
      <c r="B98" s="508" t="s">
        <v>923</v>
      </c>
      <c r="C98" s="508" t="s">
        <v>924</v>
      </c>
      <c r="D98" s="1454" t="s">
        <v>85</v>
      </c>
      <c r="E98" s="1120" t="s">
        <v>86</v>
      </c>
      <c r="F98" s="2211">
        <v>0</v>
      </c>
      <c r="G98" s="276"/>
      <c r="H98" s="2211">
        <v>0</v>
      </c>
      <c r="I98" s="276"/>
      <c r="J98" s="276"/>
      <c r="K98" s="276"/>
      <c r="L98" s="277"/>
      <c r="M98" s="281">
        <f t="shared" si="9"/>
        <v>0</v>
      </c>
      <c r="N98" s="277"/>
      <c r="O98" s="1507">
        <f t="shared" si="10"/>
        <v>0</v>
      </c>
      <c r="P98" s="744"/>
      <c r="Q98" s="1017" t="str">
        <f>'Ab1. RMNCH+A'!Q258</f>
        <v>--</v>
      </c>
      <c r="R98" s="2920">
        <f>'Ab1. RMNCH+A'!R258</f>
        <v>0</v>
      </c>
      <c r="BB98" s="3218"/>
      <c r="BC98" s="3218"/>
      <c r="BD98" s="3218"/>
      <c r="BE98" s="3218"/>
      <c r="BF98" s="3218"/>
      <c r="BG98" s="3218"/>
      <c r="BH98" s="3218"/>
      <c r="BI98" s="3218"/>
      <c r="BJ98" s="3218"/>
      <c r="BK98" s="3218"/>
      <c r="BL98" s="3218"/>
      <c r="BM98" s="3218"/>
      <c r="BN98" s="3218"/>
      <c r="BO98" s="3218"/>
      <c r="BP98" s="3218"/>
      <c r="BQ98" s="3218"/>
      <c r="BR98" s="3218"/>
      <c r="BS98" s="3218"/>
      <c r="BT98" s="3218"/>
      <c r="BU98" s="3218"/>
      <c r="BV98" s="3218"/>
      <c r="BW98" s="3218"/>
      <c r="BX98" s="3218"/>
      <c r="BY98" s="3218"/>
      <c r="BZ98" s="3218"/>
      <c r="CA98" s="3218"/>
      <c r="CB98" s="3218"/>
      <c r="CC98" s="3218"/>
      <c r="CD98" s="3218"/>
      <c r="CE98" s="3218"/>
      <c r="CF98" s="3218"/>
      <c r="CG98" s="3218"/>
      <c r="CH98" s="3218"/>
      <c r="CI98" s="3225">
        <f t="shared" si="8"/>
        <v>0</v>
      </c>
    </row>
    <row r="99" spans="1:87" ht="30">
      <c r="A99" s="1407" t="s">
        <v>922</v>
      </c>
      <c r="B99" s="508" t="s">
        <v>926</v>
      </c>
      <c r="C99" s="508" t="s">
        <v>927</v>
      </c>
      <c r="D99" s="1454" t="s">
        <v>85</v>
      </c>
      <c r="E99" s="1120" t="s">
        <v>86</v>
      </c>
      <c r="F99" s="2211">
        <v>0</v>
      </c>
      <c r="G99" s="276"/>
      <c r="H99" s="2211">
        <v>0</v>
      </c>
      <c r="I99" s="276"/>
      <c r="J99" s="276"/>
      <c r="K99" s="276"/>
      <c r="L99" s="277"/>
      <c r="M99" s="281">
        <f t="shared" si="9"/>
        <v>0</v>
      </c>
      <c r="N99" s="277"/>
      <c r="O99" s="1507">
        <f t="shared" si="10"/>
        <v>0</v>
      </c>
      <c r="P99" s="744"/>
      <c r="Q99" s="1017" t="str">
        <f>'Ab1. RMNCH+A'!Q259</f>
        <v>--</v>
      </c>
      <c r="R99" s="2920">
        <f>'Ab1. RMNCH+A'!R259</f>
        <v>0</v>
      </c>
      <c r="BB99" s="3218"/>
      <c r="BC99" s="3218"/>
      <c r="BD99" s="3218"/>
      <c r="BE99" s="3218"/>
      <c r="BF99" s="3218"/>
      <c r="BG99" s="3218"/>
      <c r="BH99" s="3218"/>
      <c r="BI99" s="3218"/>
      <c r="BJ99" s="3218"/>
      <c r="BK99" s="3218"/>
      <c r="BL99" s="3218"/>
      <c r="BM99" s="3218"/>
      <c r="BN99" s="3218"/>
      <c r="BO99" s="3218"/>
      <c r="BP99" s="3218"/>
      <c r="BQ99" s="3218"/>
      <c r="BR99" s="3218"/>
      <c r="BS99" s="3218"/>
      <c r="BT99" s="3218"/>
      <c r="BU99" s="3218"/>
      <c r="BV99" s="3218"/>
      <c r="BW99" s="3218"/>
      <c r="BX99" s="3218"/>
      <c r="BY99" s="3218"/>
      <c r="BZ99" s="3218"/>
      <c r="CA99" s="3218"/>
      <c r="CB99" s="3218"/>
      <c r="CC99" s="3218"/>
      <c r="CD99" s="3218"/>
      <c r="CE99" s="3218"/>
      <c r="CF99" s="3218"/>
      <c r="CG99" s="3218"/>
      <c r="CH99" s="3218"/>
      <c r="CI99" s="3225">
        <f t="shared" si="8"/>
        <v>0</v>
      </c>
    </row>
    <row r="100" spans="1:87" ht="45">
      <c r="A100" s="1407" t="s">
        <v>925</v>
      </c>
      <c r="B100" s="508" t="s">
        <v>929</v>
      </c>
      <c r="C100" s="508" t="s">
        <v>930</v>
      </c>
      <c r="D100" s="1454" t="s">
        <v>85</v>
      </c>
      <c r="E100" s="1120" t="s">
        <v>86</v>
      </c>
      <c r="F100" s="2211">
        <v>0</v>
      </c>
      <c r="G100" s="276"/>
      <c r="H100" s="2211">
        <v>0</v>
      </c>
      <c r="I100" s="276"/>
      <c r="J100" s="276"/>
      <c r="K100" s="276"/>
      <c r="L100" s="277"/>
      <c r="M100" s="281">
        <f t="shared" si="9"/>
        <v>0</v>
      </c>
      <c r="N100" s="277"/>
      <c r="O100" s="1507">
        <f t="shared" si="10"/>
        <v>0</v>
      </c>
      <c r="P100" s="744"/>
      <c r="Q100" s="1017" t="str">
        <f>'Ab1. RMNCH+A'!Q260</f>
        <v>--</v>
      </c>
      <c r="R100" s="2920">
        <f>'Ab1. RMNCH+A'!R260</f>
        <v>0</v>
      </c>
      <c r="BB100" s="3218"/>
      <c r="BC100" s="3218"/>
      <c r="BD100" s="3218"/>
      <c r="BE100" s="3218"/>
      <c r="BF100" s="3218"/>
      <c r="BG100" s="3218"/>
      <c r="BH100" s="3218"/>
      <c r="BI100" s="3218"/>
      <c r="BJ100" s="3218"/>
      <c r="BK100" s="3218"/>
      <c r="BL100" s="3218"/>
      <c r="BM100" s="3218"/>
      <c r="BN100" s="3218"/>
      <c r="BO100" s="3218"/>
      <c r="BP100" s="3218"/>
      <c r="BQ100" s="3218"/>
      <c r="BR100" s="3218"/>
      <c r="BS100" s="3218"/>
      <c r="BT100" s="3218"/>
      <c r="BU100" s="3218"/>
      <c r="BV100" s="3218"/>
      <c r="BW100" s="3218"/>
      <c r="BX100" s="3218"/>
      <c r="BY100" s="3218"/>
      <c r="BZ100" s="3218"/>
      <c r="CA100" s="3218"/>
      <c r="CB100" s="3218"/>
      <c r="CC100" s="3218"/>
      <c r="CD100" s="3218"/>
      <c r="CE100" s="3218"/>
      <c r="CF100" s="3218"/>
      <c r="CG100" s="3218"/>
      <c r="CH100" s="3218"/>
      <c r="CI100" s="3225">
        <f t="shared" si="8"/>
        <v>0</v>
      </c>
    </row>
    <row r="101" spans="1:87" ht="30">
      <c r="A101" s="1407" t="s">
        <v>928</v>
      </c>
      <c r="B101" s="508" t="s">
        <v>932</v>
      </c>
      <c r="C101" s="508" t="s">
        <v>933</v>
      </c>
      <c r="D101" s="1454" t="s">
        <v>85</v>
      </c>
      <c r="E101" s="1120" t="s">
        <v>86</v>
      </c>
      <c r="F101" s="2211">
        <v>0</v>
      </c>
      <c r="G101" s="276"/>
      <c r="H101" s="2211">
        <v>0</v>
      </c>
      <c r="I101" s="276"/>
      <c r="J101" s="276"/>
      <c r="K101" s="276"/>
      <c r="L101" s="277"/>
      <c r="M101" s="281">
        <f t="shared" si="9"/>
        <v>0</v>
      </c>
      <c r="N101" s="277"/>
      <c r="O101" s="1507">
        <f t="shared" si="10"/>
        <v>0</v>
      </c>
      <c r="P101" s="744"/>
      <c r="Q101" s="1017" t="str">
        <f>'Ab1. RMNCH+A'!Q261</f>
        <v>--</v>
      </c>
      <c r="R101" s="2920">
        <f>'Ab1. RMNCH+A'!R261</f>
        <v>0</v>
      </c>
      <c r="BB101" s="3218"/>
      <c r="BC101" s="3218"/>
      <c r="BD101" s="3218"/>
      <c r="BE101" s="3218"/>
      <c r="BF101" s="3218"/>
      <c r="BG101" s="3218"/>
      <c r="BH101" s="3218"/>
      <c r="BI101" s="3218"/>
      <c r="BJ101" s="3218"/>
      <c r="BK101" s="3218"/>
      <c r="BL101" s="3218"/>
      <c r="BM101" s="3218"/>
      <c r="BN101" s="3218"/>
      <c r="BO101" s="3218"/>
      <c r="BP101" s="3218"/>
      <c r="BQ101" s="3218"/>
      <c r="BR101" s="3218"/>
      <c r="BS101" s="3218"/>
      <c r="BT101" s="3218"/>
      <c r="BU101" s="3218"/>
      <c r="BV101" s="3218"/>
      <c r="BW101" s="3218"/>
      <c r="BX101" s="3218"/>
      <c r="BY101" s="3218"/>
      <c r="BZ101" s="3218"/>
      <c r="CA101" s="3218"/>
      <c r="CB101" s="3218"/>
      <c r="CC101" s="3218"/>
      <c r="CD101" s="3218"/>
      <c r="CE101" s="3218"/>
      <c r="CF101" s="3218"/>
      <c r="CG101" s="3218"/>
      <c r="CH101" s="3218"/>
      <c r="CI101" s="3225">
        <f t="shared" si="8"/>
        <v>0</v>
      </c>
    </row>
    <row r="102" spans="1:87" ht="30">
      <c r="A102" s="1407" t="s">
        <v>931</v>
      </c>
      <c r="B102" s="508" t="s">
        <v>935</v>
      </c>
      <c r="C102" s="508" t="s">
        <v>936</v>
      </c>
      <c r="D102" s="1454" t="s">
        <v>85</v>
      </c>
      <c r="E102" s="1120" t="s">
        <v>86</v>
      </c>
      <c r="F102" s="253">
        <v>0</v>
      </c>
      <c r="G102" s="253"/>
      <c r="H102" s="401">
        <v>0</v>
      </c>
      <c r="I102" s="401"/>
      <c r="J102" s="323"/>
      <c r="K102" s="253"/>
      <c r="L102" s="277"/>
      <c r="M102" s="281">
        <f t="shared" si="9"/>
        <v>0</v>
      </c>
      <c r="N102" s="277"/>
      <c r="O102" s="1507">
        <f t="shared" si="10"/>
        <v>0</v>
      </c>
      <c r="P102" s="729"/>
      <c r="Q102" s="1017" t="str">
        <f>'Ab1. RMNCH+A'!Q262</f>
        <v>--</v>
      </c>
      <c r="R102" s="2920">
        <f>'Ab1. RMNCH+A'!R262</f>
        <v>0</v>
      </c>
      <c r="BB102" s="3218"/>
      <c r="BC102" s="3218"/>
      <c r="BD102" s="3218"/>
      <c r="BE102" s="3218"/>
      <c r="BF102" s="3218"/>
      <c r="BG102" s="3218"/>
      <c r="BH102" s="3218"/>
      <c r="BI102" s="3218"/>
      <c r="BJ102" s="3218"/>
      <c r="BK102" s="3218"/>
      <c r="BL102" s="3218"/>
      <c r="BM102" s="3218"/>
      <c r="BN102" s="3218"/>
      <c r="BO102" s="3218"/>
      <c r="BP102" s="3218"/>
      <c r="BQ102" s="3218"/>
      <c r="BR102" s="3218"/>
      <c r="BS102" s="3218"/>
      <c r="BT102" s="3218"/>
      <c r="BU102" s="3218"/>
      <c r="BV102" s="3218"/>
      <c r="BW102" s="3218"/>
      <c r="BX102" s="3218"/>
      <c r="BY102" s="3218"/>
      <c r="BZ102" s="3218"/>
      <c r="CA102" s="3218"/>
      <c r="CB102" s="3218"/>
      <c r="CC102" s="3218"/>
      <c r="CD102" s="3218"/>
      <c r="CE102" s="3218"/>
      <c r="CF102" s="3218"/>
      <c r="CG102" s="3218"/>
      <c r="CH102" s="3218"/>
      <c r="CI102" s="3225">
        <f t="shared" si="8"/>
        <v>0</v>
      </c>
    </row>
    <row r="103" spans="1:87" ht="30">
      <c r="A103" s="1407" t="s">
        <v>934</v>
      </c>
      <c r="B103" s="508" t="s">
        <v>938</v>
      </c>
      <c r="C103" s="508" t="s">
        <v>3971</v>
      </c>
      <c r="D103" s="1454" t="s">
        <v>85</v>
      </c>
      <c r="E103" s="1120" t="s">
        <v>86</v>
      </c>
      <c r="F103" s="253">
        <v>0</v>
      </c>
      <c r="G103" s="253"/>
      <c r="H103" s="401">
        <v>0</v>
      </c>
      <c r="I103" s="401"/>
      <c r="J103" s="252"/>
      <c r="K103" s="253"/>
      <c r="L103" s="277"/>
      <c r="M103" s="281">
        <f t="shared" si="9"/>
        <v>0</v>
      </c>
      <c r="N103" s="277"/>
      <c r="O103" s="1507">
        <f t="shared" si="10"/>
        <v>0</v>
      </c>
      <c r="P103" s="729"/>
      <c r="Q103" s="1017" t="str">
        <f>'Ab1. RMNCH+A'!Q263</f>
        <v>--</v>
      </c>
      <c r="R103" s="2920">
        <f>'Ab1. RMNCH+A'!R263</f>
        <v>0</v>
      </c>
      <c r="BB103" s="3218"/>
      <c r="BC103" s="3218"/>
      <c r="BD103" s="3218"/>
      <c r="BE103" s="3218"/>
      <c r="BF103" s="3218"/>
      <c r="BG103" s="3218"/>
      <c r="BH103" s="3218"/>
      <c r="BI103" s="3218"/>
      <c r="BJ103" s="3218"/>
      <c r="BK103" s="3218"/>
      <c r="BL103" s="3218"/>
      <c r="BM103" s="3218"/>
      <c r="BN103" s="3218"/>
      <c r="BO103" s="3218"/>
      <c r="BP103" s="3218"/>
      <c r="BQ103" s="3218"/>
      <c r="BR103" s="3218"/>
      <c r="BS103" s="3218"/>
      <c r="BT103" s="3218"/>
      <c r="BU103" s="3218"/>
      <c r="BV103" s="3218"/>
      <c r="BW103" s="3218"/>
      <c r="BX103" s="3218"/>
      <c r="BY103" s="3218"/>
      <c r="BZ103" s="3218"/>
      <c r="CA103" s="3218"/>
      <c r="CB103" s="3218"/>
      <c r="CC103" s="3218"/>
      <c r="CD103" s="3218"/>
      <c r="CE103" s="3218"/>
      <c r="CF103" s="3218"/>
      <c r="CG103" s="3218"/>
      <c r="CH103" s="3218"/>
      <c r="CI103" s="3225">
        <f t="shared" si="8"/>
        <v>0</v>
      </c>
    </row>
    <row r="104" spans="1:87" ht="30">
      <c r="A104" s="1407" t="s">
        <v>937</v>
      </c>
      <c r="B104" s="508" t="s">
        <v>940</v>
      </c>
      <c r="C104" s="508" t="s">
        <v>3972</v>
      </c>
      <c r="D104" s="1454" t="s">
        <v>85</v>
      </c>
      <c r="E104" s="1120" t="s">
        <v>86</v>
      </c>
      <c r="F104" s="253">
        <v>0</v>
      </c>
      <c r="G104" s="253"/>
      <c r="H104" s="401">
        <v>0</v>
      </c>
      <c r="I104" s="401"/>
      <c r="J104" s="252"/>
      <c r="K104" s="253"/>
      <c r="L104" s="277"/>
      <c r="M104" s="281">
        <f t="shared" si="9"/>
        <v>0</v>
      </c>
      <c r="N104" s="277"/>
      <c r="O104" s="1507">
        <f t="shared" si="10"/>
        <v>0</v>
      </c>
      <c r="P104" s="729"/>
      <c r="Q104" s="1017" t="str">
        <f>'Ab1. RMNCH+A'!Q264</f>
        <v>--</v>
      </c>
      <c r="R104" s="2920">
        <f>'Ab1. RMNCH+A'!R264</f>
        <v>0</v>
      </c>
      <c r="BB104" s="3218"/>
      <c r="BC104" s="3218"/>
      <c r="BD104" s="3218"/>
      <c r="BE104" s="3218"/>
      <c r="BF104" s="3218"/>
      <c r="BG104" s="3218"/>
      <c r="BH104" s="3218"/>
      <c r="BI104" s="3218"/>
      <c r="BJ104" s="3218"/>
      <c r="BK104" s="3218"/>
      <c r="BL104" s="3218"/>
      <c r="BM104" s="3218"/>
      <c r="BN104" s="3218"/>
      <c r="BO104" s="3218"/>
      <c r="BP104" s="3218"/>
      <c r="BQ104" s="3218"/>
      <c r="BR104" s="3218"/>
      <c r="BS104" s="3218"/>
      <c r="BT104" s="3218"/>
      <c r="BU104" s="3218"/>
      <c r="BV104" s="3218"/>
      <c r="BW104" s="3218"/>
      <c r="BX104" s="3218"/>
      <c r="BY104" s="3218"/>
      <c r="BZ104" s="3218"/>
      <c r="CA104" s="3218"/>
      <c r="CB104" s="3218"/>
      <c r="CC104" s="3218"/>
      <c r="CD104" s="3218"/>
      <c r="CE104" s="3218"/>
      <c r="CF104" s="3218"/>
      <c r="CG104" s="3218"/>
      <c r="CH104" s="3218"/>
      <c r="CI104" s="3225">
        <f t="shared" si="8"/>
        <v>0</v>
      </c>
    </row>
    <row r="105" spans="1:87" ht="30">
      <c r="A105" s="1407" t="s">
        <v>939</v>
      </c>
      <c r="B105" s="508" t="s">
        <v>942</v>
      </c>
      <c r="C105" s="508" t="s">
        <v>3973</v>
      </c>
      <c r="D105" s="1454" t="s">
        <v>85</v>
      </c>
      <c r="E105" s="1120" t="s">
        <v>86</v>
      </c>
      <c r="F105" s="2209">
        <v>0</v>
      </c>
      <c r="G105" s="392"/>
      <c r="H105" s="409">
        <v>0</v>
      </c>
      <c r="I105" s="409"/>
      <c r="J105" s="276"/>
      <c r="K105" s="276"/>
      <c r="L105" s="277"/>
      <c r="M105" s="281">
        <f t="shared" si="9"/>
        <v>0</v>
      </c>
      <c r="N105" s="277"/>
      <c r="O105" s="1507">
        <f t="shared" si="10"/>
        <v>0</v>
      </c>
      <c r="P105" s="744"/>
      <c r="Q105" s="1017" t="str">
        <f>'Ab1. RMNCH+A'!Q265</f>
        <v>--</v>
      </c>
      <c r="R105" s="2920">
        <f>'Ab1. RMNCH+A'!R265</f>
        <v>0</v>
      </c>
      <c r="BB105" s="3218"/>
      <c r="BC105" s="3218"/>
      <c r="BD105" s="3218"/>
      <c r="BE105" s="3218"/>
      <c r="BF105" s="3218"/>
      <c r="BG105" s="3218"/>
      <c r="BH105" s="3218"/>
      <c r="BI105" s="3218"/>
      <c r="BJ105" s="3218"/>
      <c r="BK105" s="3218"/>
      <c r="BL105" s="3218"/>
      <c r="BM105" s="3218"/>
      <c r="BN105" s="3218"/>
      <c r="BO105" s="3218"/>
      <c r="BP105" s="3218"/>
      <c r="BQ105" s="3218"/>
      <c r="BR105" s="3218"/>
      <c r="BS105" s="3218"/>
      <c r="BT105" s="3218"/>
      <c r="BU105" s="3218"/>
      <c r="BV105" s="3218"/>
      <c r="BW105" s="3218"/>
      <c r="BX105" s="3218"/>
      <c r="BY105" s="3218"/>
      <c r="BZ105" s="3218"/>
      <c r="CA105" s="3218"/>
      <c r="CB105" s="3218"/>
      <c r="CC105" s="3218"/>
      <c r="CD105" s="3218"/>
      <c r="CE105" s="3218"/>
      <c r="CF105" s="3218"/>
      <c r="CG105" s="3218"/>
      <c r="CH105" s="3218"/>
      <c r="CI105" s="3225">
        <f t="shared" si="8"/>
        <v>0</v>
      </c>
    </row>
    <row r="106" spans="1:87" ht="45">
      <c r="A106" s="1407" t="s">
        <v>941</v>
      </c>
      <c r="B106" s="508" t="s">
        <v>944</v>
      </c>
      <c r="C106" s="508" t="s">
        <v>3974</v>
      </c>
      <c r="D106" s="1454" t="s">
        <v>85</v>
      </c>
      <c r="E106" s="1120" t="s">
        <v>86</v>
      </c>
      <c r="F106" s="253">
        <v>0</v>
      </c>
      <c r="G106" s="253"/>
      <c r="H106" s="401">
        <v>0</v>
      </c>
      <c r="I106" s="401"/>
      <c r="J106" s="252"/>
      <c r="K106" s="253"/>
      <c r="L106" s="277"/>
      <c r="M106" s="281">
        <f t="shared" si="9"/>
        <v>0</v>
      </c>
      <c r="N106" s="277"/>
      <c r="O106" s="1507">
        <f t="shared" si="10"/>
        <v>0</v>
      </c>
      <c r="P106" s="729"/>
      <c r="Q106" s="1017" t="str">
        <f>'Ab1. RMNCH+A'!Q266</f>
        <v>--</v>
      </c>
      <c r="R106" s="2920">
        <f>'Ab1. RMNCH+A'!R266</f>
        <v>0</v>
      </c>
      <c r="BB106" s="3218"/>
      <c r="BC106" s="3218"/>
      <c r="BD106" s="3218"/>
      <c r="BE106" s="3218"/>
      <c r="BF106" s="3218"/>
      <c r="BG106" s="3218"/>
      <c r="BH106" s="3218"/>
      <c r="BI106" s="3218"/>
      <c r="BJ106" s="3218"/>
      <c r="BK106" s="3218"/>
      <c r="BL106" s="3218"/>
      <c r="BM106" s="3218"/>
      <c r="BN106" s="3218"/>
      <c r="BO106" s="3218"/>
      <c r="BP106" s="3218"/>
      <c r="BQ106" s="3218"/>
      <c r="BR106" s="3218"/>
      <c r="BS106" s="3218"/>
      <c r="BT106" s="3218"/>
      <c r="BU106" s="3218"/>
      <c r="BV106" s="3218"/>
      <c r="BW106" s="3218"/>
      <c r="BX106" s="3218"/>
      <c r="BY106" s="3218"/>
      <c r="BZ106" s="3218"/>
      <c r="CA106" s="3218"/>
      <c r="CB106" s="3218"/>
      <c r="CC106" s="3218"/>
      <c r="CD106" s="3218"/>
      <c r="CE106" s="3218"/>
      <c r="CF106" s="3218"/>
      <c r="CG106" s="3218"/>
      <c r="CH106" s="3218"/>
      <c r="CI106" s="3225">
        <f t="shared" si="8"/>
        <v>0</v>
      </c>
    </row>
    <row r="107" spans="1:87">
      <c r="A107" s="1407" t="s">
        <v>943</v>
      </c>
      <c r="B107" s="508" t="s">
        <v>946</v>
      </c>
      <c r="C107" s="508" t="s">
        <v>947</v>
      </c>
      <c r="D107" s="1454" t="s">
        <v>85</v>
      </c>
      <c r="E107" s="1120" t="s">
        <v>86</v>
      </c>
      <c r="F107" s="2209">
        <v>0</v>
      </c>
      <c r="G107" s="392"/>
      <c r="H107" s="409">
        <v>0</v>
      </c>
      <c r="I107" s="409"/>
      <c r="J107" s="276"/>
      <c r="K107" s="276"/>
      <c r="L107" s="277"/>
      <c r="M107" s="281">
        <f t="shared" si="9"/>
        <v>0</v>
      </c>
      <c r="N107" s="277"/>
      <c r="O107" s="1507">
        <f t="shared" si="10"/>
        <v>0</v>
      </c>
      <c r="P107" s="744"/>
      <c r="Q107" s="1017" t="str">
        <f>'Ab1. RMNCH+A'!Q267</f>
        <v>--</v>
      </c>
      <c r="R107" s="2920">
        <f>'Ab1. RMNCH+A'!R267</f>
        <v>0</v>
      </c>
      <c r="BB107" s="3218"/>
      <c r="BC107" s="3218"/>
      <c r="BD107" s="3218"/>
      <c r="BE107" s="3218"/>
      <c r="BF107" s="3218"/>
      <c r="BG107" s="3218"/>
      <c r="BH107" s="3218"/>
      <c r="BI107" s="3218"/>
      <c r="BJ107" s="3218"/>
      <c r="BK107" s="3218"/>
      <c r="BL107" s="3218"/>
      <c r="BM107" s="3218"/>
      <c r="BN107" s="3218"/>
      <c r="BO107" s="3218"/>
      <c r="BP107" s="3218"/>
      <c r="BQ107" s="3218"/>
      <c r="BR107" s="3218"/>
      <c r="BS107" s="3218"/>
      <c r="BT107" s="3218"/>
      <c r="BU107" s="3218"/>
      <c r="BV107" s="3218"/>
      <c r="BW107" s="3218"/>
      <c r="BX107" s="3218"/>
      <c r="BY107" s="3218"/>
      <c r="BZ107" s="3218"/>
      <c r="CA107" s="3218"/>
      <c r="CB107" s="3218"/>
      <c r="CC107" s="3218"/>
      <c r="CD107" s="3218"/>
      <c r="CE107" s="3218"/>
      <c r="CF107" s="3218"/>
      <c r="CG107" s="3218"/>
      <c r="CH107" s="3218"/>
      <c r="CI107" s="3225">
        <f t="shared" si="8"/>
        <v>0</v>
      </c>
    </row>
    <row r="108" spans="1:87">
      <c r="A108" s="1407" t="s">
        <v>945</v>
      </c>
      <c r="B108" s="586"/>
      <c r="C108" s="508" t="s">
        <v>2401</v>
      </c>
      <c r="D108" s="1454" t="s">
        <v>85</v>
      </c>
      <c r="E108" s="1120" t="s">
        <v>86</v>
      </c>
      <c r="F108" s="253">
        <v>0</v>
      </c>
      <c r="G108" s="253"/>
      <c r="H108" s="401">
        <v>0</v>
      </c>
      <c r="I108" s="401"/>
      <c r="J108" s="323"/>
      <c r="K108" s="253"/>
      <c r="L108" s="277"/>
      <c r="M108" s="281">
        <f t="shared" si="9"/>
        <v>0</v>
      </c>
      <c r="N108" s="277"/>
      <c r="O108" s="1507">
        <f t="shared" si="10"/>
        <v>0</v>
      </c>
      <c r="P108" s="729"/>
      <c r="Q108" s="1017" t="str">
        <f>'Ab1. RMNCH+A'!Q268</f>
        <v>--</v>
      </c>
      <c r="R108" s="2920">
        <f>'Ab1. RMNCH+A'!R268</f>
        <v>0</v>
      </c>
      <c r="BB108" s="3218"/>
      <c r="BC108" s="3218"/>
      <c r="BD108" s="3218"/>
      <c r="BE108" s="3218"/>
      <c r="BF108" s="3218"/>
      <c r="BG108" s="3218"/>
      <c r="BH108" s="3218"/>
      <c r="BI108" s="3218"/>
      <c r="BJ108" s="3218"/>
      <c r="BK108" s="3218"/>
      <c r="BL108" s="3218"/>
      <c r="BM108" s="3218"/>
      <c r="BN108" s="3218"/>
      <c r="BO108" s="3218"/>
      <c r="BP108" s="3218"/>
      <c r="BQ108" s="3218"/>
      <c r="BR108" s="3218"/>
      <c r="BS108" s="3218"/>
      <c r="BT108" s="3218"/>
      <c r="BU108" s="3218"/>
      <c r="BV108" s="3218"/>
      <c r="BW108" s="3218"/>
      <c r="BX108" s="3218"/>
      <c r="BY108" s="3218"/>
      <c r="BZ108" s="3218"/>
      <c r="CA108" s="3218"/>
      <c r="CB108" s="3218"/>
      <c r="CC108" s="3218"/>
      <c r="CD108" s="3218"/>
      <c r="CE108" s="3218"/>
      <c r="CF108" s="3218"/>
      <c r="CG108" s="3218"/>
      <c r="CH108" s="3218"/>
      <c r="CI108" s="3225">
        <f t="shared" si="8"/>
        <v>0</v>
      </c>
    </row>
    <row r="109" spans="1:87" ht="30">
      <c r="A109" s="1407" t="s">
        <v>2488</v>
      </c>
      <c r="B109" s="586"/>
      <c r="C109" s="508" t="s">
        <v>2489</v>
      </c>
      <c r="D109" s="1454" t="s">
        <v>85</v>
      </c>
      <c r="E109" s="1120" t="s">
        <v>86</v>
      </c>
      <c r="F109" s="253">
        <v>0</v>
      </c>
      <c r="G109" s="253"/>
      <c r="H109" s="401">
        <v>0</v>
      </c>
      <c r="I109" s="401"/>
      <c r="J109" s="252"/>
      <c r="K109" s="252"/>
      <c r="L109" s="277"/>
      <c r="M109" s="281">
        <f t="shared" si="9"/>
        <v>0</v>
      </c>
      <c r="N109" s="277"/>
      <c r="O109" s="1507">
        <f t="shared" si="10"/>
        <v>0</v>
      </c>
      <c r="P109" s="729"/>
      <c r="Q109" s="1017" t="str">
        <f>'Ab1. RMNCH+A'!Q269</f>
        <v>--</v>
      </c>
      <c r="R109" s="2920">
        <f>'Ab1. RMNCH+A'!R269</f>
        <v>0</v>
      </c>
      <c r="BB109" s="3218"/>
      <c r="BC109" s="3218"/>
      <c r="BD109" s="3218"/>
      <c r="BE109" s="3218"/>
      <c r="BF109" s="3218"/>
      <c r="BG109" s="3218"/>
      <c r="BH109" s="3218"/>
      <c r="BI109" s="3218"/>
      <c r="BJ109" s="3218"/>
      <c r="BK109" s="3218"/>
      <c r="BL109" s="3218"/>
      <c r="BM109" s="3218"/>
      <c r="BN109" s="3218"/>
      <c r="BO109" s="3218"/>
      <c r="BP109" s="3218"/>
      <c r="BQ109" s="3218"/>
      <c r="BR109" s="3218"/>
      <c r="BS109" s="3218"/>
      <c r="BT109" s="3218"/>
      <c r="BU109" s="3218"/>
      <c r="BV109" s="3218"/>
      <c r="BW109" s="3218"/>
      <c r="BX109" s="3218"/>
      <c r="BY109" s="3218"/>
      <c r="BZ109" s="3218"/>
      <c r="CA109" s="3218"/>
      <c r="CB109" s="3218"/>
      <c r="CC109" s="3218"/>
      <c r="CD109" s="3218"/>
      <c r="CE109" s="3218"/>
      <c r="CF109" s="3218"/>
      <c r="CG109" s="3218"/>
      <c r="CH109" s="3218"/>
      <c r="CI109" s="3225">
        <f t="shared" si="8"/>
        <v>0</v>
      </c>
    </row>
    <row r="110" spans="1:87" s="1101" customFormat="1">
      <c r="A110" s="880" t="s">
        <v>948</v>
      </c>
      <c r="B110" s="1194"/>
      <c r="C110" s="1061" t="s">
        <v>949</v>
      </c>
      <c r="D110" s="997"/>
      <c r="E110" s="997"/>
      <c r="F110" s="219"/>
      <c r="G110" s="219"/>
      <c r="H110" s="219"/>
      <c r="I110" s="219"/>
      <c r="J110" s="219"/>
      <c r="K110" s="219"/>
      <c r="L110" s="219"/>
      <c r="M110" s="1515"/>
      <c r="N110" s="404"/>
      <c r="O110" s="1516">
        <f>SUM(O111:O123)+O127</f>
        <v>286.19659999999999</v>
      </c>
      <c r="P110" s="718"/>
      <c r="Q110" s="1157"/>
      <c r="R110" s="2875">
        <f>SUM(R111:R123)+R127</f>
        <v>286.19460000000004</v>
      </c>
      <c r="BB110" s="3225"/>
      <c r="BC110" s="3225"/>
      <c r="BD110" s="3225"/>
      <c r="BE110" s="3225"/>
      <c r="BF110" s="3225"/>
      <c r="BG110" s="3225"/>
      <c r="BH110" s="3225"/>
      <c r="BI110" s="3225"/>
      <c r="BJ110" s="3225"/>
      <c r="BK110" s="3225"/>
      <c r="BL110" s="3225"/>
      <c r="BM110" s="3225"/>
      <c r="BN110" s="3225"/>
      <c r="BO110" s="3225"/>
      <c r="BP110" s="3225"/>
      <c r="BQ110" s="3225"/>
      <c r="BR110" s="3225"/>
      <c r="BS110" s="3225"/>
      <c r="BT110" s="3225"/>
      <c r="BU110" s="3225"/>
      <c r="BV110" s="3225"/>
      <c r="BW110" s="3225"/>
      <c r="BX110" s="3225"/>
      <c r="BY110" s="3225"/>
      <c r="BZ110" s="3225"/>
      <c r="CA110" s="3225"/>
      <c r="CB110" s="3225"/>
      <c r="CC110" s="3225"/>
      <c r="CD110" s="3225"/>
      <c r="CE110" s="3225"/>
      <c r="CF110" s="3225"/>
      <c r="CG110" s="3225"/>
      <c r="CH110" s="3225"/>
      <c r="CI110" s="3225">
        <f t="shared" si="8"/>
        <v>0</v>
      </c>
    </row>
    <row r="111" spans="1:87" s="1457" customFormat="1" ht="60">
      <c r="A111" s="473" t="s">
        <v>950</v>
      </c>
      <c r="B111" s="586" t="s">
        <v>951</v>
      </c>
      <c r="C111" s="521" t="s">
        <v>952</v>
      </c>
      <c r="D111" s="1699" t="s">
        <v>85</v>
      </c>
      <c r="E111" s="1075" t="s">
        <v>188</v>
      </c>
      <c r="F111" s="2458">
        <v>1</v>
      </c>
      <c r="G111" s="2458"/>
      <c r="H111" s="413">
        <v>2</v>
      </c>
      <c r="I111" s="413"/>
      <c r="J111" s="2458">
        <v>2</v>
      </c>
      <c r="K111" s="286"/>
      <c r="L111" s="2459">
        <v>200000</v>
      </c>
      <c r="M111" s="2261">
        <f t="shared" ref="M111:M122" si="11">L111/100000</f>
        <v>2</v>
      </c>
      <c r="N111" s="283">
        <v>1</v>
      </c>
      <c r="O111" s="1472">
        <f t="shared" ref="O111:O122" si="12">M111*N111</f>
        <v>2</v>
      </c>
      <c r="P111" s="2460" t="s">
        <v>5235</v>
      </c>
      <c r="Q111" s="2263" t="str">
        <f>'Ab1. RMNCH+A'!Q314</f>
        <v xml:space="preserve">Continued activityRecommended for approval of Rs 2 lakhs for one State level  dissemination workshop under RKSK @ Rs 200000 </v>
      </c>
      <c r="R111" s="2924">
        <f>'Ab1. RMNCH+A'!R314</f>
        <v>2</v>
      </c>
      <c r="BB111" s="3541">
        <v>2</v>
      </c>
      <c r="BC111" s="3245"/>
      <c r="BD111" s="3245"/>
      <c r="BE111" s="3245"/>
      <c r="BF111" s="3245"/>
      <c r="BG111" s="3245"/>
      <c r="BH111" s="3245"/>
      <c r="BI111" s="3245"/>
      <c r="BJ111" s="3245"/>
      <c r="BK111" s="3245"/>
      <c r="BL111" s="3245"/>
      <c r="BM111" s="3245"/>
      <c r="BN111" s="3245"/>
      <c r="BO111" s="3245"/>
      <c r="BP111" s="3245"/>
      <c r="BQ111" s="3245"/>
      <c r="BR111" s="3245"/>
      <c r="BS111" s="3245"/>
      <c r="BT111" s="3245"/>
      <c r="BU111" s="3245"/>
      <c r="BV111" s="3245"/>
      <c r="BW111" s="3245"/>
      <c r="BX111" s="3245"/>
      <c r="BY111" s="3245"/>
      <c r="BZ111" s="3245"/>
      <c r="CA111" s="3245"/>
      <c r="CB111" s="3245"/>
      <c r="CC111" s="3245"/>
      <c r="CD111" s="3245"/>
      <c r="CE111" s="3245"/>
      <c r="CF111" s="3245"/>
      <c r="CG111" s="3245"/>
      <c r="CH111" s="3245"/>
      <c r="CI111" s="3225">
        <f t="shared" si="8"/>
        <v>2</v>
      </c>
    </row>
    <row r="112" spans="1:87" s="1380" customFormat="1" ht="30">
      <c r="A112" s="473" t="s">
        <v>953</v>
      </c>
      <c r="B112" s="586" t="s">
        <v>954</v>
      </c>
      <c r="C112" s="586" t="s">
        <v>955</v>
      </c>
      <c r="D112" s="1699" t="s">
        <v>85</v>
      </c>
      <c r="E112" s="1075" t="s">
        <v>188</v>
      </c>
      <c r="F112" s="285">
        <v>0</v>
      </c>
      <c r="G112" s="286"/>
      <c r="H112" s="413">
        <v>0</v>
      </c>
      <c r="I112" s="413"/>
      <c r="K112" s="285"/>
      <c r="L112" s="2459"/>
      <c r="M112" s="2261">
        <f t="shared" si="11"/>
        <v>0</v>
      </c>
      <c r="N112" s="283"/>
      <c r="O112" s="1472">
        <f t="shared" si="12"/>
        <v>0</v>
      </c>
      <c r="P112" s="2461"/>
      <c r="Q112" s="2263" t="str">
        <f>'Ab1. RMNCH+A'!Q315</f>
        <v>--</v>
      </c>
      <c r="R112" s="2924">
        <f>'Ab1. RMNCH+A'!R315</f>
        <v>0</v>
      </c>
      <c r="BB112" s="3219"/>
      <c r="BC112" s="3219"/>
      <c r="BD112" s="3219"/>
      <c r="BE112" s="3219"/>
      <c r="BF112" s="3219"/>
      <c r="BG112" s="3219"/>
      <c r="BH112" s="3219"/>
      <c r="BI112" s="3219"/>
      <c r="BJ112" s="3219"/>
      <c r="BK112" s="3219"/>
      <c r="BL112" s="3219"/>
      <c r="BM112" s="3219"/>
      <c r="BN112" s="3219"/>
      <c r="BO112" s="3219"/>
      <c r="BP112" s="3219"/>
      <c r="BQ112" s="3219"/>
      <c r="BR112" s="3219"/>
      <c r="BS112" s="3219"/>
      <c r="BT112" s="3219"/>
      <c r="BU112" s="3219"/>
      <c r="BV112" s="3219"/>
      <c r="BW112" s="3219"/>
      <c r="BX112" s="3219"/>
      <c r="BY112" s="3219"/>
      <c r="BZ112" s="3219"/>
      <c r="CA112" s="3219"/>
      <c r="CB112" s="3219"/>
      <c r="CC112" s="3219"/>
      <c r="CD112" s="3219"/>
      <c r="CE112" s="3219"/>
      <c r="CF112" s="3219"/>
      <c r="CG112" s="3219"/>
      <c r="CH112" s="3219"/>
      <c r="CI112" s="3225">
        <f t="shared" si="8"/>
        <v>0</v>
      </c>
    </row>
    <row r="113" spans="1:87" s="1380" customFormat="1" ht="60">
      <c r="A113" s="473" t="s">
        <v>956</v>
      </c>
      <c r="B113" s="586" t="s">
        <v>957</v>
      </c>
      <c r="C113" s="586" t="s">
        <v>958</v>
      </c>
      <c r="D113" s="1699" t="s">
        <v>85</v>
      </c>
      <c r="E113" s="1075" t="s">
        <v>188</v>
      </c>
      <c r="F113" s="285">
        <v>3</v>
      </c>
      <c r="G113" s="286"/>
      <c r="H113" s="413">
        <v>4.3099999999999996</v>
      </c>
      <c r="I113" s="413"/>
      <c r="J113" s="285">
        <v>0.45</v>
      </c>
      <c r="K113" s="285"/>
      <c r="L113" s="2459">
        <v>255200</v>
      </c>
      <c r="M113" s="2261">
        <f t="shared" si="11"/>
        <v>2.552</v>
      </c>
      <c r="N113" s="283">
        <v>1</v>
      </c>
      <c r="O113" s="1472">
        <f t="shared" si="12"/>
        <v>2.552</v>
      </c>
      <c r="P113" s="2460" t="s">
        <v>5236</v>
      </c>
      <c r="Q113" s="2263" t="str">
        <f>'Ab1. RMNCH+A'!Q316</f>
        <v>Continued activityRecommended  for approval of Rs 2.55 lakhs for  one batch of 4 day training of MOs on AFHS @ Rs255000/batch</v>
      </c>
      <c r="R113" s="2924">
        <f>'Ab1. RMNCH+A'!R316</f>
        <v>2.5499999999999998</v>
      </c>
      <c r="BB113" s="3219">
        <v>2.5499999999999998</v>
      </c>
      <c r="BC113" s="3219"/>
      <c r="BD113" s="3219"/>
      <c r="BE113" s="3219"/>
      <c r="BF113" s="3219"/>
      <c r="BG113" s="3219"/>
      <c r="BH113" s="3219"/>
      <c r="BI113" s="3219"/>
      <c r="BJ113" s="3219"/>
      <c r="BK113" s="3219"/>
      <c r="BL113" s="3219"/>
      <c r="BM113" s="3219"/>
      <c r="BN113" s="3219"/>
      <c r="BO113" s="3219"/>
      <c r="BP113" s="3219"/>
      <c r="BQ113" s="3219"/>
      <c r="BR113" s="3219"/>
      <c r="BS113" s="3219"/>
      <c r="BT113" s="3219"/>
      <c r="BU113" s="3219"/>
      <c r="BV113" s="3219"/>
      <c r="BW113" s="3219"/>
      <c r="BX113" s="3219"/>
      <c r="BY113" s="3219"/>
      <c r="BZ113" s="3219"/>
      <c r="CA113" s="3219"/>
      <c r="CB113" s="3219"/>
      <c r="CC113" s="3219"/>
      <c r="CD113" s="3219"/>
      <c r="CE113" s="3219"/>
      <c r="CF113" s="3219"/>
      <c r="CG113" s="3219"/>
      <c r="CH113" s="3219"/>
      <c r="CI113" s="3225">
        <f t="shared" si="8"/>
        <v>2.5499999999999998</v>
      </c>
    </row>
    <row r="114" spans="1:87" s="1380" customFormat="1" ht="75">
      <c r="A114" s="473" t="s">
        <v>959</v>
      </c>
      <c r="B114" s="586" t="s">
        <v>960</v>
      </c>
      <c r="C114" s="586" t="s">
        <v>2408</v>
      </c>
      <c r="D114" s="1699" t="s">
        <v>85</v>
      </c>
      <c r="E114" s="1075" t="s">
        <v>188</v>
      </c>
      <c r="F114" s="285">
        <v>6</v>
      </c>
      <c r="G114" s="2462"/>
      <c r="H114" s="413">
        <v>12.08</v>
      </c>
      <c r="I114" s="413"/>
      <c r="J114" s="285">
        <v>0.9</v>
      </c>
      <c r="K114" s="285"/>
      <c r="L114" s="2459">
        <v>200000</v>
      </c>
      <c r="M114" s="2261">
        <f t="shared" si="11"/>
        <v>2</v>
      </c>
      <c r="N114" s="283">
        <v>6</v>
      </c>
      <c r="O114" s="1472">
        <f t="shared" si="12"/>
        <v>12</v>
      </c>
      <c r="P114" s="2463" t="s">
        <v>5237</v>
      </c>
      <c r="Q114" s="2263" t="str">
        <f>'Ab1. RMNCH+A'!Q317</f>
        <v>Continued activityRecomended for approval of Rs 12 lakhs for 6 batches of 30 each of ANM/LHV/MPW/ paramedics for 5 day training on AFHS  @ Rs.200000/ batch</v>
      </c>
      <c r="R114" s="2924">
        <f>'Ab1. RMNCH+A'!R317</f>
        <v>12</v>
      </c>
      <c r="BB114" s="3219">
        <v>12</v>
      </c>
      <c r="BC114" s="3219"/>
      <c r="BD114" s="3219"/>
      <c r="BE114" s="3219"/>
      <c r="BF114" s="3219"/>
      <c r="BG114" s="3219"/>
      <c r="BH114" s="3219"/>
      <c r="BI114" s="3219"/>
      <c r="BJ114" s="3219"/>
      <c r="BK114" s="3219"/>
      <c r="BL114" s="3219"/>
      <c r="BM114" s="3219"/>
      <c r="BN114" s="3219"/>
      <c r="BO114" s="3219"/>
      <c r="BP114" s="3219"/>
      <c r="BQ114" s="3219"/>
      <c r="BR114" s="3219"/>
      <c r="BS114" s="3219"/>
      <c r="BT114" s="3219"/>
      <c r="BU114" s="3219"/>
      <c r="BV114" s="3219"/>
      <c r="BW114" s="3219"/>
      <c r="BX114" s="3219"/>
      <c r="BY114" s="3219"/>
      <c r="BZ114" s="3219"/>
      <c r="CA114" s="3219"/>
      <c r="CB114" s="3219"/>
      <c r="CC114" s="3219"/>
      <c r="CD114" s="3219"/>
      <c r="CE114" s="3219"/>
      <c r="CF114" s="3219"/>
      <c r="CG114" s="3219"/>
      <c r="CH114" s="3219"/>
      <c r="CI114" s="3225">
        <f t="shared" si="8"/>
        <v>12</v>
      </c>
    </row>
    <row r="115" spans="1:87" s="1380" customFormat="1" ht="60">
      <c r="A115" s="473" t="s">
        <v>2490</v>
      </c>
      <c r="B115" s="586" t="s">
        <v>962</v>
      </c>
      <c r="C115" s="586" t="s">
        <v>963</v>
      </c>
      <c r="D115" s="1699" t="s">
        <v>85</v>
      </c>
      <c r="E115" s="1075" t="s">
        <v>188</v>
      </c>
      <c r="F115" s="2216">
        <v>2</v>
      </c>
      <c r="G115" s="421"/>
      <c r="H115" s="2216">
        <v>4.03</v>
      </c>
      <c r="I115" s="421"/>
      <c r="J115" s="653">
        <v>0.15</v>
      </c>
      <c r="K115" s="421"/>
      <c r="L115" s="2459">
        <v>200000</v>
      </c>
      <c r="M115" s="2261">
        <f t="shared" si="11"/>
        <v>2</v>
      </c>
      <c r="N115" s="283">
        <v>1</v>
      </c>
      <c r="O115" s="1472">
        <f t="shared" si="12"/>
        <v>2</v>
      </c>
      <c r="P115" s="2464" t="s">
        <v>5238</v>
      </c>
      <c r="Q115" s="2263" t="str">
        <f>'Ab1. RMNCH+A'!Q318</f>
        <v>Continued activityRecommended for approval of Rs 2 lakhs for one batch of 6 day training of AH counsellors on AFHS @ Rs.200000/batch</v>
      </c>
      <c r="R115" s="2924">
        <f>'Ab1. RMNCH+A'!R318</f>
        <v>2</v>
      </c>
      <c r="BB115" s="3219">
        <v>2</v>
      </c>
      <c r="BC115" s="3219"/>
      <c r="BD115" s="3219"/>
      <c r="BE115" s="3219"/>
      <c r="BF115" s="3219"/>
      <c r="BG115" s="3219"/>
      <c r="BH115" s="3219"/>
      <c r="BI115" s="3219"/>
      <c r="BJ115" s="3219"/>
      <c r="BK115" s="3219"/>
      <c r="BL115" s="3219"/>
      <c r="BM115" s="3219"/>
      <c r="BN115" s="3219"/>
      <c r="BO115" s="3219"/>
      <c r="BP115" s="3219"/>
      <c r="BQ115" s="3219"/>
      <c r="BR115" s="3219"/>
      <c r="BS115" s="3219"/>
      <c r="BT115" s="3219"/>
      <c r="BU115" s="3219"/>
      <c r="BV115" s="3219"/>
      <c r="BW115" s="3219"/>
      <c r="BX115" s="3219"/>
      <c r="BY115" s="3219"/>
      <c r="BZ115" s="3219"/>
      <c r="CA115" s="3219"/>
      <c r="CB115" s="3219"/>
      <c r="CC115" s="3219"/>
      <c r="CD115" s="3219"/>
      <c r="CE115" s="3219"/>
      <c r="CF115" s="3219"/>
      <c r="CG115" s="3219"/>
      <c r="CH115" s="3219"/>
      <c r="CI115" s="3225">
        <f t="shared" si="8"/>
        <v>2</v>
      </c>
    </row>
    <row r="116" spans="1:87" s="1380" customFormat="1" ht="75">
      <c r="A116" s="473" t="s">
        <v>961</v>
      </c>
      <c r="B116" s="586" t="s">
        <v>965</v>
      </c>
      <c r="C116" s="586" t="s">
        <v>966</v>
      </c>
      <c r="D116" s="1699" t="s">
        <v>85</v>
      </c>
      <c r="E116" s="1075" t="s">
        <v>188</v>
      </c>
      <c r="F116" s="2216">
        <v>1</v>
      </c>
      <c r="G116" s="421"/>
      <c r="H116" s="2216">
        <v>2.0099999999999998</v>
      </c>
      <c r="I116" s="421"/>
      <c r="J116" s="2465">
        <v>0</v>
      </c>
      <c r="K116" s="2465"/>
      <c r="L116" s="2459">
        <v>200000</v>
      </c>
      <c r="M116" s="2261">
        <f t="shared" si="11"/>
        <v>2</v>
      </c>
      <c r="N116" s="2459">
        <v>1</v>
      </c>
      <c r="O116" s="1472">
        <f t="shared" si="12"/>
        <v>2</v>
      </c>
      <c r="P116" s="2464" t="s">
        <v>5239</v>
      </c>
      <c r="Q116" s="2263" t="str">
        <f>'Ab1. RMNCH+A'!Q319</f>
        <v>Continued activityRecommended for approval of Rs 2 lakhs for one batch of 30 as TOT for Medical officers and Health Educators on PE programme</v>
      </c>
      <c r="R116" s="2924">
        <f>'Ab1. RMNCH+A'!R319</f>
        <v>2</v>
      </c>
      <c r="BB116" s="3219">
        <v>2</v>
      </c>
      <c r="BC116" s="3219"/>
      <c r="BD116" s="3219"/>
      <c r="BE116" s="3219"/>
      <c r="BF116" s="3219"/>
      <c r="BG116" s="3219"/>
      <c r="BH116" s="3219"/>
      <c r="BI116" s="3219"/>
      <c r="BJ116" s="3219"/>
      <c r="BK116" s="3219"/>
      <c r="BL116" s="3219"/>
      <c r="BM116" s="3219"/>
      <c r="BN116" s="3219"/>
      <c r="BO116" s="3219"/>
      <c r="BP116" s="3219"/>
      <c r="BQ116" s="3219"/>
      <c r="BR116" s="3219"/>
      <c r="BS116" s="3219"/>
      <c r="BT116" s="3219"/>
      <c r="BU116" s="3219"/>
      <c r="BV116" s="3219"/>
      <c r="BW116" s="3219"/>
      <c r="BX116" s="3219"/>
      <c r="BY116" s="3219"/>
      <c r="BZ116" s="3219"/>
      <c r="CA116" s="3219"/>
      <c r="CB116" s="3219"/>
      <c r="CC116" s="3219"/>
      <c r="CD116" s="3219"/>
      <c r="CE116" s="3219"/>
      <c r="CF116" s="3219"/>
      <c r="CG116" s="3219"/>
      <c r="CH116" s="3219"/>
      <c r="CI116" s="3225">
        <f t="shared" si="8"/>
        <v>2</v>
      </c>
    </row>
    <row r="117" spans="1:87" s="1380" customFormat="1" ht="75">
      <c r="A117" s="473" t="s">
        <v>964</v>
      </c>
      <c r="B117" s="586" t="s">
        <v>968</v>
      </c>
      <c r="C117" s="586" t="s">
        <v>969</v>
      </c>
      <c r="D117" s="1699" t="s">
        <v>85</v>
      </c>
      <c r="E117" s="1075" t="s">
        <v>188</v>
      </c>
      <c r="F117" s="2216">
        <v>4</v>
      </c>
      <c r="G117" s="421"/>
      <c r="H117" s="2216">
        <v>7.91</v>
      </c>
      <c r="I117" s="421"/>
      <c r="J117" s="2465">
        <v>7.91</v>
      </c>
      <c r="K117" s="2465"/>
      <c r="L117" s="2459">
        <v>197000</v>
      </c>
      <c r="M117" s="2261">
        <f t="shared" si="11"/>
        <v>1.97</v>
      </c>
      <c r="N117" s="2459">
        <v>3</v>
      </c>
      <c r="O117" s="1472">
        <f t="shared" si="12"/>
        <v>5.91</v>
      </c>
      <c r="P117" s="2464" t="s">
        <v>5419</v>
      </c>
      <c r="Q117" s="2263" t="str">
        <f>'Ab1. RMNCH+A'!Q320</f>
        <v>Continued activityRecommended for approval of Rs 5.91 lakhs for 3 batches of 30 each for  ANM training on PE programme for Chamba District and Shimla District @ Rs 197000/batch</v>
      </c>
      <c r="R117" s="2924">
        <f>'Ab1. RMNCH+A'!R320</f>
        <v>5.91</v>
      </c>
      <c r="BB117" s="3219">
        <v>5.91</v>
      </c>
      <c r="BC117" s="3219"/>
      <c r="BD117" s="3219"/>
      <c r="BE117" s="3219"/>
      <c r="BF117" s="3219"/>
      <c r="BG117" s="3219"/>
      <c r="BH117" s="3219"/>
      <c r="BI117" s="3219"/>
      <c r="BJ117" s="3219"/>
      <c r="BK117" s="3219"/>
      <c r="BL117" s="3219"/>
      <c r="BM117" s="3219"/>
      <c r="BN117" s="3219"/>
      <c r="BO117" s="3219"/>
      <c r="BP117" s="3219"/>
      <c r="BQ117" s="3219"/>
      <c r="BR117" s="3219"/>
      <c r="BS117" s="3219"/>
      <c r="BT117" s="3219"/>
      <c r="BU117" s="3219"/>
      <c r="BV117" s="3219"/>
      <c r="BW117" s="3219"/>
      <c r="BX117" s="3219"/>
      <c r="BY117" s="3219"/>
      <c r="BZ117" s="3219"/>
      <c r="CA117" s="3219"/>
      <c r="CB117" s="3219"/>
      <c r="CC117" s="3219"/>
      <c r="CD117" s="3219"/>
      <c r="CE117" s="3219"/>
      <c r="CF117" s="3219"/>
      <c r="CG117" s="3219"/>
      <c r="CH117" s="3219"/>
      <c r="CI117" s="3225">
        <f t="shared" si="8"/>
        <v>5.91</v>
      </c>
    </row>
    <row r="118" spans="1:87" s="1380" customFormat="1" ht="60">
      <c r="A118" s="473" t="s">
        <v>967</v>
      </c>
      <c r="B118" s="586" t="s">
        <v>971</v>
      </c>
      <c r="C118" s="1556" t="s">
        <v>972</v>
      </c>
      <c r="D118" s="1699" t="s">
        <v>85</v>
      </c>
      <c r="E118" s="1075" t="s">
        <v>188</v>
      </c>
      <c r="F118" s="2216">
        <v>37</v>
      </c>
      <c r="G118" s="421"/>
      <c r="H118" s="2216">
        <v>25.9</v>
      </c>
      <c r="I118" s="421">
        <v>0.41</v>
      </c>
      <c r="J118" s="2465">
        <v>25.49</v>
      </c>
      <c r="K118" s="2465"/>
      <c r="L118" s="2459">
        <v>70000</v>
      </c>
      <c r="M118" s="2261">
        <f t="shared" si="11"/>
        <v>0.7</v>
      </c>
      <c r="N118" s="2459">
        <v>66</v>
      </c>
      <c r="O118" s="1472">
        <f t="shared" si="12"/>
        <v>46.199999999999996</v>
      </c>
      <c r="P118" s="2464" t="s">
        <v>5240</v>
      </c>
      <c r="Q118" s="2263" t="str">
        <f>'Ab1. RMNCH+A'!Q321</f>
        <v>Continued activityRecommended for approval of Rs 46.2  lakhs for 66 batches of 6 day PE training @ Rs 70000/batch for a batch of 40 participants (32 PEs + 8 ASHAs)</v>
      </c>
      <c r="R118" s="2924">
        <f>'Ab1. RMNCH+A'!R321</f>
        <v>46.2</v>
      </c>
      <c r="BB118" s="3219">
        <v>46.2</v>
      </c>
      <c r="BC118" s="3219"/>
      <c r="BD118" s="3219"/>
      <c r="BE118" s="3219"/>
      <c r="BF118" s="3219"/>
      <c r="BG118" s="3219"/>
      <c r="BH118" s="3219"/>
      <c r="BI118" s="3219"/>
      <c r="BJ118" s="3219"/>
      <c r="BK118" s="3219"/>
      <c r="BL118" s="3219"/>
      <c r="BM118" s="3219"/>
      <c r="BN118" s="3219"/>
      <c r="BO118" s="3219"/>
      <c r="BP118" s="3219"/>
      <c r="BQ118" s="3219"/>
      <c r="BR118" s="3219"/>
      <c r="BS118" s="3219"/>
      <c r="BT118" s="3219"/>
      <c r="BU118" s="3219"/>
      <c r="BV118" s="3219"/>
      <c r="BW118" s="3219"/>
      <c r="BX118" s="3219"/>
      <c r="BY118" s="3219"/>
      <c r="BZ118" s="3219"/>
      <c r="CA118" s="3219"/>
      <c r="CB118" s="3219"/>
      <c r="CC118" s="3219"/>
      <c r="CD118" s="3219"/>
      <c r="CE118" s="3219"/>
      <c r="CF118" s="3219"/>
      <c r="CG118" s="3219"/>
      <c r="CH118" s="3219"/>
      <c r="CI118" s="3225">
        <f t="shared" si="8"/>
        <v>46.2</v>
      </c>
    </row>
    <row r="119" spans="1:87" s="1380" customFormat="1">
      <c r="A119" s="473" t="s">
        <v>970</v>
      </c>
      <c r="B119" s="586" t="s">
        <v>974</v>
      </c>
      <c r="C119" s="586" t="s">
        <v>975</v>
      </c>
      <c r="D119" s="1699" t="s">
        <v>85</v>
      </c>
      <c r="E119" s="1075" t="s">
        <v>188</v>
      </c>
      <c r="F119" s="285">
        <v>0</v>
      </c>
      <c r="G119" s="286"/>
      <c r="H119" s="413">
        <v>0</v>
      </c>
      <c r="I119" s="413"/>
      <c r="J119" s="2465"/>
      <c r="K119" s="2465"/>
      <c r="L119" s="2459"/>
      <c r="M119" s="2261">
        <f t="shared" si="11"/>
        <v>0</v>
      </c>
      <c r="N119" s="2459"/>
      <c r="O119" s="1472">
        <f t="shared" si="12"/>
        <v>0</v>
      </c>
      <c r="P119" s="2466"/>
      <c r="Q119" s="2263" t="str">
        <f>'Ab1. RMNCH+A'!Q322</f>
        <v>--</v>
      </c>
      <c r="R119" s="2924">
        <f>'Ab1. RMNCH+A'!R322</f>
        <v>0</v>
      </c>
      <c r="BB119" s="3219"/>
      <c r="BC119" s="3219"/>
      <c r="BD119" s="3219"/>
      <c r="BE119" s="3219"/>
      <c r="BF119" s="3219"/>
      <c r="BG119" s="3219"/>
      <c r="BH119" s="3219"/>
      <c r="BI119" s="3219"/>
      <c r="BJ119" s="3219"/>
      <c r="BK119" s="3219"/>
      <c r="BL119" s="3219"/>
      <c r="BM119" s="3219"/>
      <c r="BN119" s="3219"/>
      <c r="BO119" s="3219"/>
      <c r="BP119" s="3219"/>
      <c r="BQ119" s="3219"/>
      <c r="BR119" s="3219"/>
      <c r="BS119" s="3219"/>
      <c r="BT119" s="3219"/>
      <c r="BU119" s="3219"/>
      <c r="BV119" s="3219"/>
      <c r="BW119" s="3219"/>
      <c r="BX119" s="3219"/>
      <c r="BY119" s="3219"/>
      <c r="BZ119" s="3219"/>
      <c r="CA119" s="3219"/>
      <c r="CB119" s="3219"/>
      <c r="CC119" s="3219"/>
      <c r="CD119" s="3219"/>
      <c r="CE119" s="3219"/>
      <c r="CF119" s="3219"/>
      <c r="CG119" s="3219"/>
      <c r="CH119" s="3219"/>
      <c r="CI119" s="3225">
        <f t="shared" si="8"/>
        <v>0</v>
      </c>
    </row>
    <row r="120" spans="1:87" s="1380" customFormat="1" ht="90">
      <c r="A120" s="473" t="s">
        <v>973</v>
      </c>
      <c r="B120" s="586" t="s">
        <v>977</v>
      </c>
      <c r="C120" s="586" t="s">
        <v>978</v>
      </c>
      <c r="D120" s="1699" t="s">
        <v>85</v>
      </c>
      <c r="E120" s="1075" t="s">
        <v>188</v>
      </c>
      <c r="F120" s="285">
        <v>76</v>
      </c>
      <c r="G120" s="286"/>
      <c r="H120" s="413">
        <v>15.2</v>
      </c>
      <c r="I120" s="413"/>
      <c r="J120" s="2465">
        <v>5</v>
      </c>
      <c r="K120" s="2465"/>
      <c r="L120" s="2459">
        <v>20000</v>
      </c>
      <c r="M120" s="2261">
        <f t="shared" si="11"/>
        <v>0.2</v>
      </c>
      <c r="N120" s="2459">
        <v>75</v>
      </c>
      <c r="O120" s="1472">
        <f t="shared" si="12"/>
        <v>15</v>
      </c>
      <c r="P120" s="2467" t="s">
        <v>5241</v>
      </c>
      <c r="Q120" s="2263" t="str">
        <f>'Ab1. RMNCH+A'!Q323</f>
        <v>Continued activityRecommended for approval of Rs 15 lakhs for half day orientation of nodal teachers at Block level @ Rs 20000/Block for 75 Blocks. The State to ensure coverage of menstrual hygiene along with WIFS.</v>
      </c>
      <c r="R120" s="2924">
        <f>'Ab1. RMNCH+A'!R323</f>
        <v>15</v>
      </c>
      <c r="BB120" s="3219">
        <v>15</v>
      </c>
      <c r="BC120" s="3219"/>
      <c r="BD120" s="3219"/>
      <c r="BE120" s="3219"/>
      <c r="BF120" s="3219"/>
      <c r="BG120" s="3219"/>
      <c r="BH120" s="3219"/>
      <c r="BI120" s="3219"/>
      <c r="BJ120" s="3219"/>
      <c r="BK120" s="3219"/>
      <c r="BL120" s="3219"/>
      <c r="BM120" s="3219"/>
      <c r="BN120" s="3219"/>
      <c r="BO120" s="3219"/>
      <c r="BP120" s="3219"/>
      <c r="BQ120" s="3219"/>
      <c r="BR120" s="3219"/>
      <c r="BS120" s="3219"/>
      <c r="BT120" s="3219"/>
      <c r="BU120" s="3219"/>
      <c r="BV120" s="3219"/>
      <c r="BW120" s="3219"/>
      <c r="BX120" s="3219"/>
      <c r="BY120" s="3219"/>
      <c r="BZ120" s="3219"/>
      <c r="CA120" s="3219"/>
      <c r="CB120" s="3219"/>
      <c r="CC120" s="3219"/>
      <c r="CD120" s="3219"/>
      <c r="CE120" s="3219"/>
      <c r="CF120" s="3219"/>
      <c r="CG120" s="3219"/>
      <c r="CH120" s="3219"/>
      <c r="CI120" s="3225">
        <f t="shared" si="8"/>
        <v>15</v>
      </c>
    </row>
    <row r="121" spans="1:87">
      <c r="A121" s="1407" t="s">
        <v>976</v>
      </c>
      <c r="B121" s="508" t="s">
        <v>980</v>
      </c>
      <c r="C121" s="508" t="s">
        <v>981</v>
      </c>
      <c r="D121" s="1454" t="s">
        <v>85</v>
      </c>
      <c r="E121" s="1120" t="s">
        <v>188</v>
      </c>
      <c r="F121" s="2211">
        <v>0</v>
      </c>
      <c r="G121" s="276"/>
      <c r="H121" s="2211">
        <v>0</v>
      </c>
      <c r="I121" s="276"/>
      <c r="J121" s="276"/>
      <c r="K121" s="276"/>
      <c r="L121" s="277"/>
      <c r="M121" s="281">
        <f t="shared" si="11"/>
        <v>0</v>
      </c>
      <c r="N121" s="277"/>
      <c r="O121" s="1507">
        <f t="shared" si="12"/>
        <v>0</v>
      </c>
      <c r="P121" s="744"/>
      <c r="Q121" s="1017" t="str">
        <f>'Ab1. RMNCH+A'!Q324</f>
        <v>--</v>
      </c>
      <c r="R121" s="2920">
        <f>'Ab1. RMNCH+A'!R324</f>
        <v>0</v>
      </c>
      <c r="BB121" s="3218"/>
      <c r="BC121" s="3218"/>
      <c r="BD121" s="3218"/>
      <c r="BE121" s="3218"/>
      <c r="BF121" s="3218"/>
      <c r="BG121" s="3218"/>
      <c r="BH121" s="3218"/>
      <c r="BI121" s="3218"/>
      <c r="BJ121" s="3218"/>
      <c r="BK121" s="3218"/>
      <c r="BL121" s="3218"/>
      <c r="BM121" s="3218"/>
      <c r="BN121" s="3218"/>
      <c r="BO121" s="3218"/>
      <c r="BP121" s="3218"/>
      <c r="BQ121" s="3218"/>
      <c r="BR121" s="3218"/>
      <c r="BS121" s="3218"/>
      <c r="BT121" s="3218"/>
      <c r="BU121" s="3218"/>
      <c r="BV121" s="3218"/>
      <c r="BW121" s="3218"/>
      <c r="BX121" s="3218"/>
      <c r="BY121" s="3218"/>
      <c r="BZ121" s="3218"/>
      <c r="CA121" s="3218"/>
      <c r="CB121" s="3218"/>
      <c r="CC121" s="3218"/>
      <c r="CD121" s="3218"/>
      <c r="CE121" s="3218"/>
      <c r="CF121" s="3218"/>
      <c r="CG121" s="3218"/>
      <c r="CH121" s="3218"/>
      <c r="CI121" s="3225">
        <f t="shared" si="8"/>
        <v>0</v>
      </c>
    </row>
    <row r="122" spans="1:87">
      <c r="A122" s="1407" t="s">
        <v>979</v>
      </c>
      <c r="B122" s="508" t="s">
        <v>983</v>
      </c>
      <c r="C122" s="508" t="s">
        <v>984</v>
      </c>
      <c r="D122" s="1454" t="s">
        <v>85</v>
      </c>
      <c r="E122" s="1120" t="s">
        <v>188</v>
      </c>
      <c r="F122" s="2211">
        <v>0</v>
      </c>
      <c r="G122" s="276"/>
      <c r="H122" s="2211">
        <v>0</v>
      </c>
      <c r="I122" s="276"/>
      <c r="J122" s="276"/>
      <c r="K122" s="276"/>
      <c r="L122" s="277"/>
      <c r="M122" s="281">
        <f t="shared" si="11"/>
        <v>0</v>
      </c>
      <c r="N122" s="277"/>
      <c r="O122" s="1507">
        <f t="shared" si="12"/>
        <v>0</v>
      </c>
      <c r="P122" s="744"/>
      <c r="Q122" s="1017" t="str">
        <f>'Ab1. RMNCH+A'!Q325</f>
        <v>--</v>
      </c>
      <c r="R122" s="2920">
        <f>'Ab1. RMNCH+A'!R325</f>
        <v>0</v>
      </c>
      <c r="BB122" s="3218"/>
      <c r="BC122" s="3218"/>
      <c r="BD122" s="3218"/>
      <c r="BE122" s="3218"/>
      <c r="BF122" s="3218"/>
      <c r="BG122" s="3218"/>
      <c r="BH122" s="3218"/>
      <c r="BI122" s="3218"/>
      <c r="BJ122" s="3218"/>
      <c r="BK122" s="3218"/>
      <c r="BL122" s="3218"/>
      <c r="BM122" s="3218"/>
      <c r="BN122" s="3218"/>
      <c r="BO122" s="3218"/>
      <c r="BP122" s="3218"/>
      <c r="BQ122" s="3218"/>
      <c r="BR122" s="3218"/>
      <c r="BS122" s="3218"/>
      <c r="BT122" s="3218"/>
      <c r="BU122" s="3218"/>
      <c r="BV122" s="3218"/>
      <c r="BW122" s="3218"/>
      <c r="BX122" s="3218"/>
      <c r="BY122" s="3218"/>
      <c r="BZ122" s="3218"/>
      <c r="CA122" s="3218"/>
      <c r="CB122" s="3218"/>
      <c r="CC122" s="3218"/>
      <c r="CD122" s="3218"/>
      <c r="CE122" s="3218"/>
      <c r="CF122" s="3218"/>
      <c r="CG122" s="3218"/>
      <c r="CH122" s="3218"/>
      <c r="CI122" s="3225">
        <f t="shared" si="8"/>
        <v>0</v>
      </c>
    </row>
    <row r="123" spans="1:87">
      <c r="A123" s="513" t="s">
        <v>982</v>
      </c>
      <c r="B123" s="513" t="s">
        <v>1001</v>
      </c>
      <c r="C123" s="513" t="s">
        <v>4006</v>
      </c>
      <c r="D123" s="1454"/>
      <c r="E123" s="1521"/>
      <c r="F123" s="415"/>
      <c r="G123" s="415"/>
      <c r="H123" s="415"/>
      <c r="I123" s="415"/>
      <c r="J123" s="415"/>
      <c r="K123" s="415"/>
      <c r="L123" s="415"/>
      <c r="M123" s="1522"/>
      <c r="N123" s="416"/>
      <c r="O123" s="1522">
        <f>SUM(O124:O126)</f>
        <v>198.53459999999998</v>
      </c>
      <c r="P123" s="752"/>
      <c r="Q123" s="1012"/>
      <c r="R123" s="2928">
        <f>SUM(R124:R126)</f>
        <v>198.53460000000001</v>
      </c>
      <c r="BB123" s="3218"/>
      <c r="BC123" s="3218"/>
      <c r="BD123" s="3218"/>
      <c r="BE123" s="3218"/>
      <c r="BF123" s="3218"/>
      <c r="BG123" s="3218"/>
      <c r="BH123" s="3218"/>
      <c r="BI123" s="3218"/>
      <c r="BJ123" s="3218"/>
      <c r="BK123" s="3218"/>
      <c r="BL123" s="3218"/>
      <c r="BM123" s="3218"/>
      <c r="BN123" s="3218"/>
      <c r="BO123" s="3218"/>
      <c r="BP123" s="3218"/>
      <c r="BQ123" s="3218"/>
      <c r="BR123" s="3218"/>
      <c r="BS123" s="3218"/>
      <c r="BT123" s="3218"/>
      <c r="BU123" s="3218"/>
      <c r="BV123" s="3218"/>
      <c r="BW123" s="3218"/>
      <c r="BX123" s="3218"/>
      <c r="BY123" s="3218"/>
      <c r="BZ123" s="3218"/>
      <c r="CA123" s="3218"/>
      <c r="CB123" s="3218"/>
      <c r="CC123" s="3218"/>
      <c r="CD123" s="3218"/>
      <c r="CE123" s="3218"/>
      <c r="CF123" s="3218"/>
      <c r="CG123" s="3218"/>
      <c r="CH123" s="3218"/>
      <c r="CI123" s="3225">
        <f t="shared" si="8"/>
        <v>0</v>
      </c>
    </row>
    <row r="124" spans="1:87" s="1380" customFormat="1" ht="30">
      <c r="A124" s="473" t="s">
        <v>4188</v>
      </c>
      <c r="B124" s="586" t="s">
        <v>1002</v>
      </c>
      <c r="C124" s="2325" t="s">
        <v>3248</v>
      </c>
      <c r="D124" s="1699" t="s">
        <v>85</v>
      </c>
      <c r="E124" s="1185" t="s">
        <v>188</v>
      </c>
      <c r="F124" s="2216">
        <v>35</v>
      </c>
      <c r="G124" s="421"/>
      <c r="H124" s="2216">
        <v>3.5</v>
      </c>
      <c r="I124" s="421"/>
      <c r="J124" s="421"/>
      <c r="K124" s="421"/>
      <c r="L124" s="283"/>
      <c r="M124" s="2261">
        <f>L124/100000</f>
        <v>0</v>
      </c>
      <c r="N124" s="283"/>
      <c r="O124" s="1472">
        <f>M124*N124</f>
        <v>0</v>
      </c>
      <c r="P124" s="761"/>
      <c r="Q124" s="2263" t="str">
        <f>'Ab1. RMNCH+A'!Q326</f>
        <v>--</v>
      </c>
      <c r="R124" s="2924">
        <f>'Ab1. RMNCH+A'!R326</f>
        <v>0</v>
      </c>
      <c r="BB124" s="3219"/>
      <c r="BC124" s="3219"/>
      <c r="BD124" s="3219"/>
      <c r="BE124" s="3219"/>
      <c r="BF124" s="3219"/>
      <c r="BG124" s="3219"/>
      <c r="BH124" s="3219"/>
      <c r="BI124" s="3219"/>
      <c r="BJ124" s="3219"/>
      <c r="BK124" s="3219"/>
      <c r="BL124" s="3219"/>
      <c r="BM124" s="3219"/>
      <c r="BN124" s="3219"/>
      <c r="BO124" s="3219"/>
      <c r="BP124" s="3219"/>
      <c r="BQ124" s="3219"/>
      <c r="BR124" s="3219"/>
      <c r="BS124" s="3219"/>
      <c r="BT124" s="3219"/>
      <c r="BU124" s="3219"/>
      <c r="BV124" s="3219"/>
      <c r="BW124" s="3219"/>
      <c r="BX124" s="3219"/>
      <c r="BY124" s="3219"/>
      <c r="BZ124" s="3219"/>
      <c r="CA124" s="3219"/>
      <c r="CB124" s="3219"/>
      <c r="CC124" s="3219"/>
      <c r="CD124" s="3219"/>
      <c r="CE124" s="3219"/>
      <c r="CF124" s="3219"/>
      <c r="CG124" s="3219"/>
      <c r="CH124" s="3219"/>
      <c r="CI124" s="3225">
        <f t="shared" si="8"/>
        <v>0</v>
      </c>
    </row>
    <row r="125" spans="1:87" s="1380" customFormat="1" ht="75">
      <c r="A125" s="473" t="s">
        <v>4189</v>
      </c>
      <c r="B125" s="586" t="s">
        <v>1003</v>
      </c>
      <c r="C125" s="586" t="s">
        <v>1004</v>
      </c>
      <c r="D125" s="1699" t="s">
        <v>85</v>
      </c>
      <c r="E125" s="1185" t="s">
        <v>188</v>
      </c>
      <c r="F125" s="285">
        <v>3176</v>
      </c>
      <c r="G125" s="286"/>
      <c r="H125" s="413">
        <v>222.32</v>
      </c>
      <c r="I125" s="413"/>
      <c r="J125" s="2465">
        <v>100</v>
      </c>
      <c r="K125" s="2465"/>
      <c r="L125" s="2459">
        <v>178860</v>
      </c>
      <c r="M125" s="2261">
        <f>L125/100000</f>
        <v>1.7886</v>
      </c>
      <c r="N125" s="283">
        <v>111</v>
      </c>
      <c r="O125" s="1472">
        <f>M125*N125</f>
        <v>198.53459999999998</v>
      </c>
      <c r="P125" s="2464" t="s">
        <v>5242</v>
      </c>
      <c r="Q125" s="2263" t="str">
        <f>'Ab1. RMNCH+A'!Q327</f>
        <v>Continued activityRecommended for approval of Rs 198.53 lakhs for trainings of 111 batches of 30 each for HWAs across 6 Districts implementing School Health Program-Ayushman Bharat @ Rs.178860/batch</v>
      </c>
      <c r="R125" s="2924">
        <f>'Ab1. RMNCH+A'!R327</f>
        <v>198.53460000000001</v>
      </c>
      <c r="BB125" s="3219">
        <v>198.53</v>
      </c>
      <c r="BC125" s="3219"/>
      <c r="BD125" s="3219"/>
      <c r="BE125" s="3219"/>
      <c r="BF125" s="3219"/>
      <c r="BG125" s="3219"/>
      <c r="BH125" s="3219"/>
      <c r="BI125" s="3219"/>
      <c r="BJ125" s="3219"/>
      <c r="BK125" s="3219"/>
      <c r="BL125" s="3219"/>
      <c r="BM125" s="3219"/>
      <c r="BN125" s="3219"/>
      <c r="BO125" s="3219"/>
      <c r="BP125" s="3219"/>
      <c r="BQ125" s="3219"/>
      <c r="BR125" s="3219"/>
      <c r="BS125" s="3219"/>
      <c r="BT125" s="3219"/>
      <c r="BU125" s="3219"/>
      <c r="BV125" s="3219"/>
      <c r="BW125" s="3219"/>
      <c r="BX125" s="3219"/>
      <c r="BY125" s="3219"/>
      <c r="BZ125" s="3219"/>
      <c r="CA125" s="3219"/>
      <c r="CB125" s="3219"/>
      <c r="CC125" s="3219"/>
      <c r="CD125" s="3219"/>
      <c r="CE125" s="3219"/>
      <c r="CF125" s="3219"/>
      <c r="CG125" s="3219"/>
      <c r="CH125" s="3219"/>
      <c r="CI125" s="3225">
        <f t="shared" si="8"/>
        <v>198.53</v>
      </c>
    </row>
    <row r="126" spans="1:87" s="1380" customFormat="1">
      <c r="A126" s="473" t="s">
        <v>4190</v>
      </c>
      <c r="B126" s="586"/>
      <c r="C126" s="586" t="s">
        <v>1304</v>
      </c>
      <c r="D126" s="1699" t="s">
        <v>85</v>
      </c>
      <c r="E126" s="1185" t="s">
        <v>188</v>
      </c>
      <c r="F126" s="2216">
        <v>0</v>
      </c>
      <c r="G126" s="421"/>
      <c r="H126" s="2216">
        <v>0</v>
      </c>
      <c r="I126" s="421"/>
      <c r="J126" s="421"/>
      <c r="K126" s="421"/>
      <c r="L126" s="283"/>
      <c r="M126" s="2261">
        <f>L126/100000</f>
        <v>0</v>
      </c>
      <c r="N126" s="283"/>
      <c r="O126" s="1472">
        <f>M126*N126</f>
        <v>0</v>
      </c>
      <c r="P126" s="2468"/>
      <c r="Q126" s="2263" t="str">
        <f>'Ab1. RMNCH+A'!Q328</f>
        <v>--</v>
      </c>
      <c r="R126" s="2924">
        <f>'Ab1. RMNCH+A'!R328</f>
        <v>0</v>
      </c>
      <c r="BB126" s="3219"/>
      <c r="BC126" s="3219"/>
      <c r="BD126" s="3219"/>
      <c r="BE126" s="3219"/>
      <c r="BF126" s="3219"/>
      <c r="BG126" s="3219"/>
      <c r="BH126" s="3219"/>
      <c r="BI126" s="3219"/>
      <c r="BJ126" s="3219"/>
      <c r="BK126" s="3219"/>
      <c r="BL126" s="3219"/>
      <c r="BM126" s="3219"/>
      <c r="BN126" s="3219"/>
      <c r="BO126" s="3219"/>
      <c r="BP126" s="3219"/>
      <c r="BQ126" s="3219"/>
      <c r="BR126" s="3219"/>
      <c r="BS126" s="3219"/>
      <c r="BT126" s="3219"/>
      <c r="BU126" s="3219"/>
      <c r="BV126" s="3219"/>
      <c r="BW126" s="3219"/>
      <c r="BX126" s="3219"/>
      <c r="BY126" s="3219"/>
      <c r="BZ126" s="3219"/>
      <c r="CA126" s="3219"/>
      <c r="CB126" s="3219"/>
      <c r="CC126" s="3219"/>
      <c r="CD126" s="3219"/>
      <c r="CE126" s="3219"/>
      <c r="CF126" s="3219"/>
      <c r="CG126" s="3219"/>
      <c r="CH126" s="3219"/>
      <c r="CI126" s="3225">
        <f t="shared" si="8"/>
        <v>0</v>
      </c>
    </row>
    <row r="127" spans="1:87" ht="30">
      <c r="A127" s="1407" t="s">
        <v>2764</v>
      </c>
      <c r="B127" s="508" t="s">
        <v>985</v>
      </c>
      <c r="C127" s="508" t="s">
        <v>2491</v>
      </c>
      <c r="D127" s="1454" t="s">
        <v>85</v>
      </c>
      <c r="E127" s="1120" t="s">
        <v>188</v>
      </c>
      <c r="F127" s="2211">
        <v>0</v>
      </c>
      <c r="G127" s="276"/>
      <c r="H127" s="2211">
        <v>0</v>
      </c>
      <c r="I127" s="276"/>
      <c r="J127" s="276"/>
      <c r="K127" s="276"/>
      <c r="L127" s="277"/>
      <c r="M127" s="281">
        <f>L127/100000</f>
        <v>0</v>
      </c>
      <c r="N127" s="277"/>
      <c r="O127" s="1507">
        <f>M127*N127</f>
        <v>0</v>
      </c>
      <c r="P127" s="744"/>
      <c r="Q127" s="1017" t="str">
        <f>'Ab1. RMNCH+A'!Q329</f>
        <v>--</v>
      </c>
      <c r="R127" s="2920">
        <f>'Ab1. RMNCH+A'!R329</f>
        <v>0</v>
      </c>
      <c r="BB127" s="3218"/>
      <c r="BC127" s="3218"/>
      <c r="BD127" s="3218"/>
      <c r="BE127" s="3218"/>
      <c r="BF127" s="3218"/>
      <c r="BG127" s="3218"/>
      <c r="BH127" s="3218"/>
      <c r="BI127" s="3218"/>
      <c r="BJ127" s="3218"/>
      <c r="BK127" s="3218"/>
      <c r="BL127" s="3218"/>
      <c r="BM127" s="3218"/>
      <c r="BN127" s="3218"/>
      <c r="BO127" s="3218"/>
      <c r="BP127" s="3218"/>
      <c r="BQ127" s="3218"/>
      <c r="BR127" s="3218"/>
      <c r="BS127" s="3218"/>
      <c r="BT127" s="3218"/>
      <c r="BU127" s="3218"/>
      <c r="BV127" s="3218"/>
      <c r="BW127" s="3218"/>
      <c r="BX127" s="3218"/>
      <c r="BY127" s="3218"/>
      <c r="BZ127" s="3218"/>
      <c r="CA127" s="3218"/>
      <c r="CB127" s="3218"/>
      <c r="CC127" s="3218"/>
      <c r="CD127" s="3218"/>
      <c r="CE127" s="3218"/>
      <c r="CF127" s="3218"/>
      <c r="CG127" s="3218"/>
      <c r="CH127" s="3218"/>
      <c r="CI127" s="3225">
        <f t="shared" si="8"/>
        <v>0</v>
      </c>
    </row>
    <row r="128" spans="1:87" s="1101" customFormat="1">
      <c r="A128" s="880" t="s">
        <v>986</v>
      </c>
      <c r="B128" s="1194"/>
      <c r="C128" s="1061" t="s">
        <v>2492</v>
      </c>
      <c r="D128" s="997"/>
      <c r="E128" s="997"/>
      <c r="F128" s="219"/>
      <c r="G128" s="219"/>
      <c r="H128" s="219"/>
      <c r="I128" s="219"/>
      <c r="J128" s="219"/>
      <c r="K128" s="219"/>
      <c r="L128" s="219"/>
      <c r="M128" s="1515"/>
      <c r="N128" s="404"/>
      <c r="O128" s="1516">
        <f>SUM(O129:O133)</f>
        <v>14.8</v>
      </c>
      <c r="P128" s="718"/>
      <c r="Q128" s="1157"/>
      <c r="R128" s="2875">
        <f>SUM(R129:R133)</f>
        <v>14.8</v>
      </c>
      <c r="BB128" s="3225"/>
      <c r="BC128" s="3225"/>
      <c r="BD128" s="3225"/>
      <c r="BE128" s="3225"/>
      <c r="BF128" s="3225"/>
      <c r="BG128" s="3225"/>
      <c r="BH128" s="3225"/>
      <c r="BI128" s="3225"/>
      <c r="BJ128" s="3225"/>
      <c r="BK128" s="3225"/>
      <c r="BL128" s="3225"/>
      <c r="BM128" s="3225"/>
      <c r="BN128" s="3225"/>
      <c r="BO128" s="3225"/>
      <c r="BP128" s="3225"/>
      <c r="BQ128" s="3225"/>
      <c r="BR128" s="3225"/>
      <c r="BS128" s="3225"/>
      <c r="BT128" s="3225"/>
      <c r="BU128" s="3225"/>
      <c r="BV128" s="3225"/>
      <c r="BW128" s="3225"/>
      <c r="BX128" s="3225"/>
      <c r="BY128" s="3225"/>
      <c r="BZ128" s="3225"/>
      <c r="CA128" s="3225"/>
      <c r="CB128" s="3225"/>
      <c r="CC128" s="3225"/>
      <c r="CD128" s="3225"/>
      <c r="CE128" s="3225"/>
      <c r="CF128" s="3225"/>
      <c r="CG128" s="3225"/>
      <c r="CH128" s="3225"/>
      <c r="CI128" s="3225">
        <f t="shared" si="8"/>
        <v>0</v>
      </c>
    </row>
    <row r="129" spans="1:87" s="1380" customFormat="1" ht="135">
      <c r="A129" s="473" t="s">
        <v>987</v>
      </c>
      <c r="B129" s="586" t="s">
        <v>988</v>
      </c>
      <c r="C129" s="586" t="s">
        <v>989</v>
      </c>
      <c r="D129" s="1699" t="s">
        <v>85</v>
      </c>
      <c r="E129" s="1075" t="s">
        <v>91</v>
      </c>
      <c r="F129" s="285">
        <v>4</v>
      </c>
      <c r="G129" s="286"/>
      <c r="H129" s="413">
        <v>10.4</v>
      </c>
      <c r="I129" s="413"/>
      <c r="J129" s="285">
        <v>5</v>
      </c>
      <c r="K129" s="324">
        <v>1</v>
      </c>
      <c r="L129" s="243">
        <v>320000</v>
      </c>
      <c r="M129" s="2261">
        <f>L129/100000</f>
        <v>3.2</v>
      </c>
      <c r="N129" s="243">
        <v>4</v>
      </c>
      <c r="O129" s="1472">
        <f>M129*N129</f>
        <v>12.8</v>
      </c>
      <c r="P129" s="2552" t="s">
        <v>5378</v>
      </c>
      <c r="Q129" s="2263" t="str">
        <f>'Ab1. RMNCH+A'!Q365</f>
        <v xml:space="preserve">Recommended for approval of Rs.12.80 lakhs for training of RBSK MHts in 4 batches @ Rs 3.2 lakhs per batch as proposed by the State. Expenditure will be as per actuals and according to RCH training norms. The State to ensure that teams are trained in 5 days training as per RBSK guidelnes with field visit. Rs. 5.00 lakhs kept as unspent committed to be used in FY 2021-22. </v>
      </c>
      <c r="R129" s="2924">
        <f>'Ab1. RMNCH+A'!R365</f>
        <v>12.8</v>
      </c>
      <c r="BB129" s="3219">
        <v>12.8</v>
      </c>
      <c r="BC129" s="3219"/>
      <c r="BD129" s="3219"/>
      <c r="BE129" s="3219"/>
      <c r="BF129" s="3219"/>
      <c r="BG129" s="3219"/>
      <c r="BH129" s="3219"/>
      <c r="BI129" s="3219"/>
      <c r="BJ129" s="3219"/>
      <c r="BK129" s="3219"/>
      <c r="BL129" s="3219"/>
      <c r="BM129" s="3219"/>
      <c r="BN129" s="3219"/>
      <c r="BO129" s="3219"/>
      <c r="BP129" s="3219"/>
      <c r="BQ129" s="3219"/>
      <c r="BR129" s="3219"/>
      <c r="BS129" s="3219"/>
      <c r="BT129" s="3219"/>
      <c r="BU129" s="3219"/>
      <c r="BV129" s="3219"/>
      <c r="BW129" s="3219"/>
      <c r="BX129" s="3219"/>
      <c r="BY129" s="3219"/>
      <c r="BZ129" s="3219"/>
      <c r="CA129" s="3219"/>
      <c r="CB129" s="3219"/>
      <c r="CC129" s="3219"/>
      <c r="CD129" s="3219"/>
      <c r="CE129" s="3219"/>
      <c r="CF129" s="3219"/>
      <c r="CG129" s="3219"/>
      <c r="CH129" s="3219"/>
      <c r="CI129" s="3225">
        <f t="shared" si="8"/>
        <v>12.8</v>
      </c>
    </row>
    <row r="130" spans="1:87" s="1380" customFormat="1" ht="120">
      <c r="A130" s="473" t="s">
        <v>990</v>
      </c>
      <c r="B130" s="586" t="s">
        <v>991</v>
      </c>
      <c r="C130" s="586" t="s">
        <v>992</v>
      </c>
      <c r="D130" s="1699" t="s">
        <v>85</v>
      </c>
      <c r="E130" s="1075" t="s">
        <v>91</v>
      </c>
      <c r="F130" s="285">
        <v>3</v>
      </c>
      <c r="G130" s="286"/>
      <c r="H130" s="413">
        <v>6</v>
      </c>
      <c r="I130" s="413"/>
      <c r="J130" s="285">
        <v>3</v>
      </c>
      <c r="K130" s="324">
        <v>1</v>
      </c>
      <c r="L130" s="243">
        <v>200000</v>
      </c>
      <c r="M130" s="2261">
        <f>L130/100000</f>
        <v>2</v>
      </c>
      <c r="N130" s="243">
        <v>1</v>
      </c>
      <c r="O130" s="1472">
        <f>M130*N130</f>
        <v>2</v>
      </c>
      <c r="P130" s="719" t="s">
        <v>5379</v>
      </c>
      <c r="Q130" s="2263" t="str">
        <f>'Ab1. RMNCH+A'!Q366</f>
        <v xml:space="preserve">Recommended for approval of Rs.2.00 lakhs for  training of HR from 1 DEIC for 15 days in basic DEIC training at RBSK Nodal Centre @ Rs.2 lakhs per batch as proposed by the State. Expenditure will be as per actuals and according to RCH training norm. Rs 3.00 lakhs kept as unspent committed to be used in FY 2021-22. </v>
      </c>
      <c r="R130" s="2924">
        <f>'Ab1. RMNCH+A'!R366</f>
        <v>2</v>
      </c>
      <c r="BB130" s="3219">
        <v>2</v>
      </c>
      <c r="BC130" s="3219"/>
      <c r="BD130" s="3219"/>
      <c r="BE130" s="3219"/>
      <c r="BF130" s="3219"/>
      <c r="BG130" s="3219"/>
      <c r="BH130" s="3219"/>
      <c r="BI130" s="3219"/>
      <c r="BJ130" s="3219"/>
      <c r="BK130" s="3219"/>
      <c r="BL130" s="3219"/>
      <c r="BM130" s="3219"/>
      <c r="BN130" s="3219"/>
      <c r="BO130" s="3219"/>
      <c r="BP130" s="3219"/>
      <c r="BQ130" s="3219"/>
      <c r="BR130" s="3219"/>
      <c r="BS130" s="3219"/>
      <c r="BT130" s="3219"/>
      <c r="BU130" s="3219"/>
      <c r="BV130" s="3219"/>
      <c r="BW130" s="3219"/>
      <c r="BX130" s="3219"/>
      <c r="BY130" s="3219"/>
      <c r="BZ130" s="3219"/>
      <c r="CA130" s="3219"/>
      <c r="CB130" s="3219"/>
      <c r="CC130" s="3219"/>
      <c r="CD130" s="3219"/>
      <c r="CE130" s="3219"/>
      <c r="CF130" s="3219"/>
      <c r="CG130" s="3219"/>
      <c r="CH130" s="3219"/>
      <c r="CI130" s="3225">
        <f t="shared" si="8"/>
        <v>2</v>
      </c>
    </row>
    <row r="131" spans="1:87" ht="180">
      <c r="A131" s="1407" t="s">
        <v>993</v>
      </c>
      <c r="B131" s="508" t="s">
        <v>994</v>
      </c>
      <c r="C131" s="508" t="s">
        <v>995</v>
      </c>
      <c r="D131" s="1454" t="s">
        <v>85</v>
      </c>
      <c r="E131" s="1120" t="s">
        <v>91</v>
      </c>
      <c r="F131" s="252">
        <v>30</v>
      </c>
      <c r="G131" s="253"/>
      <c r="H131" s="401">
        <v>15</v>
      </c>
      <c r="I131" s="401"/>
      <c r="J131" s="252">
        <v>5</v>
      </c>
      <c r="K131" s="252"/>
      <c r="L131" s="277"/>
      <c r="M131" s="281">
        <f>L131/100000</f>
        <v>0</v>
      </c>
      <c r="N131" s="277"/>
      <c r="O131" s="1507">
        <f>M131*N131</f>
        <v>0</v>
      </c>
      <c r="P131" s="729"/>
      <c r="Q131" s="1017" t="str">
        <f>'Ab1. RMNCH+A'!Q367</f>
        <v xml:space="preserve">The State to ensure that MOs and ANMs from delivery ponts are training in conducting and eporting of RBSK Comprehensive Newborn Screening. The State to update on acheivement of Rs 15 lakhs approved in FY 2020-21 for training of HR - MO and SN and ANMs who are conducting delivery at functional delivery points in 2 days comprehensive newborn screening in 30 batches @ Rs 50000 per batch as proposed by the State. Rs 5.00 lakhs kept as unspent committed to be used in FY 2021-22. </v>
      </c>
      <c r="R131" s="2920">
        <f>'Ab1. RMNCH+A'!R367</f>
        <v>0</v>
      </c>
      <c r="BB131" s="3218"/>
      <c r="BC131" s="3218"/>
      <c r="BD131" s="3218"/>
      <c r="BE131" s="3218"/>
      <c r="BF131" s="3218"/>
      <c r="BG131" s="3218"/>
      <c r="BH131" s="3218"/>
      <c r="BI131" s="3218"/>
      <c r="BJ131" s="3218"/>
      <c r="BK131" s="3218"/>
      <c r="BL131" s="3218"/>
      <c r="BM131" s="3218"/>
      <c r="BN131" s="3218"/>
      <c r="BO131" s="3218"/>
      <c r="BP131" s="3218"/>
      <c r="BQ131" s="3218"/>
      <c r="BR131" s="3218"/>
      <c r="BS131" s="3218"/>
      <c r="BT131" s="3218"/>
      <c r="BU131" s="3218"/>
      <c r="BV131" s="3218"/>
      <c r="BW131" s="3218"/>
      <c r="BX131" s="3218"/>
      <c r="BY131" s="3218"/>
      <c r="BZ131" s="3218"/>
      <c r="CA131" s="3218"/>
      <c r="CB131" s="3218"/>
      <c r="CC131" s="3218"/>
      <c r="CD131" s="3218"/>
      <c r="CE131" s="3218"/>
      <c r="CF131" s="3218"/>
      <c r="CG131" s="3218"/>
      <c r="CH131" s="3218"/>
      <c r="CI131" s="3225">
        <f t="shared" si="8"/>
        <v>0</v>
      </c>
    </row>
    <row r="132" spans="1:87" ht="30">
      <c r="A132" s="1407" t="s">
        <v>996</v>
      </c>
      <c r="B132" s="508" t="s">
        <v>997</v>
      </c>
      <c r="C132" s="508" t="s">
        <v>998</v>
      </c>
      <c r="D132" s="1454" t="s">
        <v>85</v>
      </c>
      <c r="E132" s="1120" t="s">
        <v>91</v>
      </c>
      <c r="F132" s="2211">
        <v>0</v>
      </c>
      <c r="G132" s="276"/>
      <c r="H132" s="2211">
        <v>0</v>
      </c>
      <c r="I132" s="276"/>
      <c r="J132" s="276"/>
      <c r="K132" s="276"/>
      <c r="L132" s="277"/>
      <c r="M132" s="281">
        <f>L132/100000</f>
        <v>0</v>
      </c>
      <c r="N132" s="277"/>
      <c r="O132" s="1507">
        <f>M132*N132</f>
        <v>0</v>
      </c>
      <c r="P132" s="744"/>
      <c r="Q132" s="1017" t="str">
        <f>'Ab1. RMNCH+A'!Q368</f>
        <v>-</v>
      </c>
      <c r="R132" s="2920">
        <f>'Ab1. RMNCH+A'!R368</f>
        <v>0</v>
      </c>
      <c r="BB132" s="3218"/>
      <c r="BC132" s="3218"/>
      <c r="BD132" s="3218"/>
      <c r="BE132" s="3218"/>
      <c r="BF132" s="3218"/>
      <c r="BG132" s="3218"/>
      <c r="BH132" s="3218"/>
      <c r="BI132" s="3218"/>
      <c r="BJ132" s="3218"/>
      <c r="BK132" s="3218"/>
      <c r="BL132" s="3218"/>
      <c r="BM132" s="3218"/>
      <c r="BN132" s="3218"/>
      <c r="BO132" s="3218"/>
      <c r="BP132" s="3218"/>
      <c r="BQ132" s="3218"/>
      <c r="BR132" s="3218"/>
      <c r="BS132" s="3218"/>
      <c r="BT132" s="3218"/>
      <c r="BU132" s="3218"/>
      <c r="BV132" s="3218"/>
      <c r="BW132" s="3218"/>
      <c r="BX132" s="3218"/>
      <c r="BY132" s="3218"/>
      <c r="BZ132" s="3218"/>
      <c r="CA132" s="3218"/>
      <c r="CB132" s="3218"/>
      <c r="CC132" s="3218"/>
      <c r="CD132" s="3218"/>
      <c r="CE132" s="3218"/>
      <c r="CF132" s="3218"/>
      <c r="CG132" s="3218"/>
      <c r="CH132" s="3218"/>
      <c r="CI132" s="3225">
        <f t="shared" si="8"/>
        <v>0</v>
      </c>
    </row>
    <row r="133" spans="1:87">
      <c r="A133" s="1407" t="s">
        <v>2493</v>
      </c>
      <c r="B133" s="586"/>
      <c r="C133" s="508" t="s">
        <v>2494</v>
      </c>
      <c r="D133" s="1454" t="s">
        <v>85</v>
      </c>
      <c r="E133" s="1120" t="s">
        <v>91</v>
      </c>
      <c r="F133" s="2211">
        <v>7500</v>
      </c>
      <c r="G133" s="276"/>
      <c r="H133" s="2211">
        <v>0</v>
      </c>
      <c r="I133" s="276"/>
      <c r="J133" s="276"/>
      <c r="K133" s="276"/>
      <c r="L133" s="277"/>
      <c r="M133" s="281">
        <f>L133/100000</f>
        <v>0</v>
      </c>
      <c r="N133" s="277"/>
      <c r="O133" s="1507">
        <f>M133*N133</f>
        <v>0</v>
      </c>
      <c r="P133" s="744"/>
      <c r="Q133" s="1017" t="str">
        <f>'Ab1. RMNCH+A'!Q369</f>
        <v>-</v>
      </c>
      <c r="R133" s="2920">
        <f>'Ab1. RMNCH+A'!R369</f>
        <v>0</v>
      </c>
      <c r="BB133" s="3218"/>
      <c r="BC133" s="3218"/>
      <c r="BD133" s="3218"/>
      <c r="BE133" s="3218"/>
      <c r="BF133" s="3218"/>
      <c r="BG133" s="3218"/>
      <c r="BH133" s="3218"/>
      <c r="BI133" s="3218"/>
      <c r="BJ133" s="3218"/>
      <c r="BK133" s="3218"/>
      <c r="BL133" s="3218"/>
      <c r="BM133" s="3218"/>
      <c r="BN133" s="3218"/>
      <c r="BO133" s="3218"/>
      <c r="BP133" s="3218"/>
      <c r="BQ133" s="3218"/>
      <c r="BR133" s="3218"/>
      <c r="BS133" s="3218"/>
      <c r="BT133" s="3218"/>
      <c r="BU133" s="3218"/>
      <c r="BV133" s="3218"/>
      <c r="BW133" s="3218"/>
      <c r="BX133" s="3218"/>
      <c r="BY133" s="3218"/>
      <c r="BZ133" s="3218"/>
      <c r="CA133" s="3218"/>
      <c r="CB133" s="3218"/>
      <c r="CC133" s="3218"/>
      <c r="CD133" s="3218"/>
      <c r="CE133" s="3218"/>
      <c r="CF133" s="3218"/>
      <c r="CG133" s="3218"/>
      <c r="CH133" s="3218"/>
      <c r="CI133" s="3225">
        <f t="shared" si="8"/>
        <v>0</v>
      </c>
    </row>
    <row r="134" spans="1:87">
      <c r="A134" s="880" t="s">
        <v>1124</v>
      </c>
      <c r="B134" s="1194"/>
      <c r="C134" s="1061" t="s">
        <v>1125</v>
      </c>
      <c r="D134" s="997"/>
      <c r="E134" s="997"/>
      <c r="F134" s="219"/>
      <c r="G134" s="219"/>
      <c r="H134" s="219"/>
      <c r="I134" s="219"/>
      <c r="J134" s="219"/>
      <c r="K134" s="219"/>
      <c r="L134" s="219"/>
      <c r="M134" s="1515"/>
      <c r="N134" s="404"/>
      <c r="O134" s="1516">
        <f>SUM(O135:O138)</f>
        <v>0</v>
      </c>
      <c r="P134" s="718"/>
      <c r="Q134" s="1157"/>
      <c r="R134" s="2929">
        <f>SUM(R135:R138)</f>
        <v>0</v>
      </c>
      <c r="BB134" s="3218"/>
      <c r="BC134" s="3218"/>
      <c r="BD134" s="3218"/>
      <c r="BE134" s="3218"/>
      <c r="BF134" s="3218"/>
      <c r="BG134" s="3218"/>
      <c r="BH134" s="3218"/>
      <c r="BI134" s="3218"/>
      <c r="BJ134" s="3218"/>
      <c r="BK134" s="3218"/>
      <c r="BL134" s="3218"/>
      <c r="BM134" s="3218"/>
      <c r="BN134" s="3218"/>
      <c r="BO134" s="3218"/>
      <c r="BP134" s="3218"/>
      <c r="BQ134" s="3218"/>
      <c r="BR134" s="3218"/>
      <c r="BS134" s="3218"/>
      <c r="BT134" s="3218"/>
      <c r="BU134" s="3218"/>
      <c r="BV134" s="3218"/>
      <c r="BW134" s="3218"/>
      <c r="BX134" s="3218"/>
      <c r="BY134" s="3218"/>
      <c r="BZ134" s="3218"/>
      <c r="CA134" s="3218"/>
      <c r="CB134" s="3218"/>
      <c r="CC134" s="3218"/>
      <c r="CD134" s="3218"/>
      <c r="CE134" s="3218"/>
      <c r="CF134" s="3218"/>
      <c r="CG134" s="3218"/>
      <c r="CH134" s="3218"/>
      <c r="CI134" s="3225">
        <f t="shared" ref="CI134:CI197" si="13">SUM(BB134:CH134)</f>
        <v>0</v>
      </c>
    </row>
    <row r="135" spans="1:87" ht="45">
      <c r="A135" s="1519" t="s">
        <v>1126</v>
      </c>
      <c r="B135" s="508" t="s">
        <v>1127</v>
      </c>
      <c r="C135" s="1523" t="s">
        <v>3249</v>
      </c>
      <c r="D135" s="1524" t="s">
        <v>85</v>
      </c>
      <c r="E135" s="1525" t="s">
        <v>1128</v>
      </c>
      <c r="F135" s="2211">
        <v>0</v>
      </c>
      <c r="G135" s="276"/>
      <c r="H135" s="2211">
        <v>0</v>
      </c>
      <c r="I135" s="276"/>
      <c r="J135" s="276"/>
      <c r="K135" s="276"/>
      <c r="L135" s="277"/>
      <c r="M135" s="281">
        <f>L135/100000</f>
        <v>0</v>
      </c>
      <c r="N135" s="277"/>
      <c r="O135" s="1507">
        <f>M135*N135</f>
        <v>0</v>
      </c>
      <c r="P135" s="744"/>
      <c r="Q135" s="1017" t="str">
        <f>'Ab1. RMNCH+A'!Q379</f>
        <v>-</v>
      </c>
      <c r="R135" s="2920">
        <f>'Ab1. RMNCH+A'!R379</f>
        <v>0</v>
      </c>
      <c r="BB135" s="3218"/>
      <c r="BC135" s="3218"/>
      <c r="BD135" s="3218"/>
      <c r="BE135" s="3218"/>
      <c r="BF135" s="3218"/>
      <c r="BG135" s="3218"/>
      <c r="BH135" s="3218"/>
      <c r="BI135" s="3218"/>
      <c r="BJ135" s="3218"/>
      <c r="BK135" s="3218"/>
      <c r="BL135" s="3218"/>
      <c r="BM135" s="3218"/>
      <c r="BN135" s="3218"/>
      <c r="BO135" s="3218"/>
      <c r="BP135" s="3218"/>
      <c r="BQ135" s="3218"/>
      <c r="BR135" s="3218"/>
      <c r="BS135" s="3218"/>
      <c r="BT135" s="3218"/>
      <c r="BU135" s="3218"/>
      <c r="BV135" s="3218"/>
      <c r="BW135" s="3218"/>
      <c r="BX135" s="3218"/>
      <c r="BY135" s="3218"/>
      <c r="BZ135" s="3218"/>
      <c r="CA135" s="3218"/>
      <c r="CB135" s="3218"/>
      <c r="CC135" s="3218"/>
      <c r="CD135" s="3218"/>
      <c r="CE135" s="3218"/>
      <c r="CF135" s="3218"/>
      <c r="CG135" s="3218"/>
      <c r="CH135" s="3218"/>
      <c r="CI135" s="3225">
        <f t="shared" si="13"/>
        <v>0</v>
      </c>
    </row>
    <row r="136" spans="1:87" ht="45">
      <c r="A136" s="1519" t="s">
        <v>2290</v>
      </c>
      <c r="B136" s="586"/>
      <c r="C136" s="894" t="s">
        <v>3250</v>
      </c>
      <c r="D136" s="1524" t="s">
        <v>85</v>
      </c>
      <c r="E136" s="1525" t="s">
        <v>1128</v>
      </c>
      <c r="F136" s="2211">
        <v>0</v>
      </c>
      <c r="G136" s="276"/>
      <c r="H136" s="2211">
        <v>0</v>
      </c>
      <c r="I136" s="276"/>
      <c r="J136" s="276"/>
      <c r="K136" s="276"/>
      <c r="L136" s="277"/>
      <c r="M136" s="281">
        <f>L136/100000</f>
        <v>0</v>
      </c>
      <c r="N136" s="277"/>
      <c r="O136" s="1507">
        <f>M136*N136</f>
        <v>0</v>
      </c>
      <c r="P136" s="744"/>
      <c r="Q136" s="1017" t="str">
        <f>'Ab1. RMNCH+A'!Q380</f>
        <v>-</v>
      </c>
      <c r="R136" s="2920">
        <f>'Ab1. RMNCH+A'!R380</f>
        <v>0</v>
      </c>
      <c r="BB136" s="3218"/>
      <c r="BC136" s="3218"/>
      <c r="BD136" s="3218"/>
      <c r="BE136" s="3218"/>
      <c r="BF136" s="3218"/>
      <c r="BG136" s="3218"/>
      <c r="BH136" s="3218"/>
      <c r="BI136" s="3218"/>
      <c r="BJ136" s="3218"/>
      <c r="BK136" s="3218"/>
      <c r="BL136" s="3218"/>
      <c r="BM136" s="3218"/>
      <c r="BN136" s="3218"/>
      <c r="BO136" s="3218"/>
      <c r="BP136" s="3218"/>
      <c r="BQ136" s="3218"/>
      <c r="BR136" s="3218"/>
      <c r="BS136" s="3218"/>
      <c r="BT136" s="3218"/>
      <c r="BU136" s="3218"/>
      <c r="BV136" s="3218"/>
      <c r="BW136" s="3218"/>
      <c r="BX136" s="3218"/>
      <c r="BY136" s="3218"/>
      <c r="BZ136" s="3218"/>
      <c r="CA136" s="3218"/>
      <c r="CB136" s="3218"/>
      <c r="CC136" s="3218"/>
      <c r="CD136" s="3218"/>
      <c r="CE136" s="3218"/>
      <c r="CF136" s="3218"/>
      <c r="CG136" s="3218"/>
      <c r="CH136" s="3218"/>
      <c r="CI136" s="3225">
        <f t="shared" si="13"/>
        <v>0</v>
      </c>
    </row>
    <row r="137" spans="1:87">
      <c r="A137" s="1519" t="s">
        <v>3259</v>
      </c>
      <c r="B137" s="586"/>
      <c r="C137" s="894" t="s">
        <v>3251</v>
      </c>
      <c r="D137" s="1524" t="s">
        <v>85</v>
      </c>
      <c r="E137" s="1525" t="s">
        <v>1128</v>
      </c>
      <c r="F137" s="2211">
        <v>0</v>
      </c>
      <c r="G137" s="276"/>
      <c r="H137" s="2211">
        <v>0</v>
      </c>
      <c r="I137" s="276"/>
      <c r="J137" s="276"/>
      <c r="K137" s="276"/>
      <c r="L137" s="277"/>
      <c r="M137" s="281">
        <f>L137/100000</f>
        <v>0</v>
      </c>
      <c r="N137" s="277"/>
      <c r="O137" s="1507">
        <f>M137*N137</f>
        <v>0</v>
      </c>
      <c r="P137" s="744"/>
      <c r="Q137" s="1017" t="str">
        <f>'Ab1. RMNCH+A'!Q381</f>
        <v>-</v>
      </c>
      <c r="R137" s="2920">
        <f>'Ab1. RMNCH+A'!R381</f>
        <v>0</v>
      </c>
      <c r="BB137" s="3218"/>
      <c r="BC137" s="3218"/>
      <c r="BD137" s="3218"/>
      <c r="BE137" s="3218"/>
      <c r="BF137" s="3218"/>
      <c r="BG137" s="3218"/>
      <c r="BH137" s="3218"/>
      <c r="BI137" s="3218"/>
      <c r="BJ137" s="3218"/>
      <c r="BK137" s="3218"/>
      <c r="BL137" s="3218"/>
      <c r="BM137" s="3218"/>
      <c r="BN137" s="3218"/>
      <c r="BO137" s="3218"/>
      <c r="BP137" s="3218"/>
      <c r="BQ137" s="3218"/>
      <c r="BR137" s="3218"/>
      <c r="BS137" s="3218"/>
      <c r="BT137" s="3218"/>
      <c r="BU137" s="3218"/>
      <c r="BV137" s="3218"/>
      <c r="BW137" s="3218"/>
      <c r="BX137" s="3218"/>
      <c r="BY137" s="3218"/>
      <c r="BZ137" s="3218"/>
      <c r="CA137" s="3218"/>
      <c r="CB137" s="3218"/>
      <c r="CC137" s="3218"/>
      <c r="CD137" s="3218"/>
      <c r="CE137" s="3218"/>
      <c r="CF137" s="3218"/>
      <c r="CG137" s="3218"/>
      <c r="CH137" s="3218"/>
      <c r="CI137" s="3225">
        <f t="shared" si="13"/>
        <v>0</v>
      </c>
    </row>
    <row r="138" spans="1:87">
      <c r="A138" s="1519" t="s">
        <v>3260</v>
      </c>
      <c r="B138" s="1519" t="s">
        <v>2290</v>
      </c>
      <c r="C138" s="1526" t="s">
        <v>1304</v>
      </c>
      <c r="D138" s="1527" t="s">
        <v>85</v>
      </c>
      <c r="E138" s="1528" t="s">
        <v>1128</v>
      </c>
      <c r="F138" s="2211">
        <v>0</v>
      </c>
      <c r="G138" s="276"/>
      <c r="H138" s="2211">
        <v>0</v>
      </c>
      <c r="I138" s="276"/>
      <c r="J138" s="276"/>
      <c r="K138" s="276"/>
      <c r="L138" s="277"/>
      <c r="M138" s="281">
        <f>L138/100000</f>
        <v>0</v>
      </c>
      <c r="N138" s="277"/>
      <c r="O138" s="1507">
        <f>M138*N138</f>
        <v>0</v>
      </c>
      <c r="P138" s="744"/>
      <c r="Q138" s="1017" t="str">
        <f>'Ab1. RMNCH+A'!Q382</f>
        <v>-</v>
      </c>
      <c r="R138" s="2920">
        <f>'Ab1. RMNCH+A'!R382</f>
        <v>0</v>
      </c>
      <c r="BB138" s="3218"/>
      <c r="BC138" s="3218"/>
      <c r="BD138" s="3218"/>
      <c r="BE138" s="3218"/>
      <c r="BF138" s="3218"/>
      <c r="BG138" s="3218"/>
      <c r="BH138" s="3218"/>
      <c r="BI138" s="3218"/>
      <c r="BJ138" s="3218"/>
      <c r="BK138" s="3218"/>
      <c r="BL138" s="3218"/>
      <c r="BM138" s="3218"/>
      <c r="BN138" s="3218"/>
      <c r="BO138" s="3218"/>
      <c r="BP138" s="3218"/>
      <c r="BQ138" s="3218"/>
      <c r="BR138" s="3218"/>
      <c r="BS138" s="3218"/>
      <c r="BT138" s="3218"/>
      <c r="BU138" s="3218"/>
      <c r="BV138" s="3218"/>
      <c r="BW138" s="3218"/>
      <c r="BX138" s="3218"/>
      <c r="BY138" s="3218"/>
      <c r="BZ138" s="3218"/>
      <c r="CA138" s="3218"/>
      <c r="CB138" s="3218"/>
      <c r="CC138" s="3218"/>
      <c r="CD138" s="3218"/>
      <c r="CE138" s="3218"/>
      <c r="CF138" s="3218"/>
      <c r="CG138" s="3218"/>
      <c r="CH138" s="3218"/>
      <c r="CI138" s="3225">
        <f t="shared" si="13"/>
        <v>0</v>
      </c>
    </row>
    <row r="139" spans="1:87" ht="30">
      <c r="A139" s="880" t="s">
        <v>1029</v>
      </c>
      <c r="B139" s="1194"/>
      <c r="C139" s="1061" t="s">
        <v>1030</v>
      </c>
      <c r="D139" s="997"/>
      <c r="E139" s="997"/>
      <c r="F139" s="219"/>
      <c r="G139" s="219"/>
      <c r="H139" s="219"/>
      <c r="I139" s="219"/>
      <c r="J139" s="219"/>
      <c r="K139" s="219"/>
      <c r="L139" s="219"/>
      <c r="M139" s="1515"/>
      <c r="N139" s="404"/>
      <c r="O139" s="1516">
        <f>SUM(O140:O141)</f>
        <v>75</v>
      </c>
      <c r="P139" s="718"/>
      <c r="Q139" s="1157"/>
      <c r="R139" s="2929">
        <f>SUM(R140:R141)</f>
        <v>75</v>
      </c>
      <c r="BB139" s="3218"/>
      <c r="BC139" s="3218"/>
      <c r="BD139" s="3218"/>
      <c r="BE139" s="3218"/>
      <c r="BF139" s="3218"/>
      <c r="BG139" s="3218"/>
      <c r="BH139" s="3218"/>
      <c r="BI139" s="3218"/>
      <c r="BJ139" s="3218"/>
      <c r="BK139" s="3218"/>
      <c r="BL139" s="3218"/>
      <c r="BM139" s="3218"/>
      <c r="BN139" s="3218"/>
      <c r="BO139" s="3218"/>
      <c r="BP139" s="3218"/>
      <c r="BQ139" s="3218"/>
      <c r="BR139" s="3218"/>
      <c r="BS139" s="3218"/>
      <c r="BT139" s="3218"/>
      <c r="BU139" s="3218"/>
      <c r="BV139" s="3218"/>
      <c r="BW139" s="3218"/>
      <c r="BX139" s="3218"/>
      <c r="BY139" s="3218"/>
      <c r="BZ139" s="3218"/>
      <c r="CA139" s="3218"/>
      <c r="CB139" s="3218"/>
      <c r="CC139" s="3218"/>
      <c r="CD139" s="3218"/>
      <c r="CE139" s="3218"/>
      <c r="CF139" s="3218"/>
      <c r="CG139" s="3218"/>
      <c r="CH139" s="3218"/>
      <c r="CI139" s="3225">
        <f t="shared" si="13"/>
        <v>0</v>
      </c>
    </row>
    <row r="140" spans="1:87" s="1380" customFormat="1" ht="75">
      <c r="A140" s="586" t="s">
        <v>1031</v>
      </c>
      <c r="B140" s="586" t="s">
        <v>1032</v>
      </c>
      <c r="C140" s="586" t="s">
        <v>1033</v>
      </c>
      <c r="D140" s="1699" t="s">
        <v>85</v>
      </c>
      <c r="E140" s="1075" t="s">
        <v>200</v>
      </c>
      <c r="F140" s="2216">
        <v>1</v>
      </c>
      <c r="G140" s="421"/>
      <c r="H140" s="2367">
        <v>80</v>
      </c>
      <c r="I140" s="2367"/>
      <c r="J140" s="324">
        <v>50</v>
      </c>
      <c r="K140" s="324">
        <v>1</v>
      </c>
      <c r="L140" s="2520">
        <v>375000</v>
      </c>
      <c r="M140" s="2261">
        <f>L140/100000</f>
        <v>3.75</v>
      </c>
      <c r="N140" s="283">
        <v>20</v>
      </c>
      <c r="O140" s="1472">
        <f>M140*N140</f>
        <v>75</v>
      </c>
      <c r="P140" s="719" t="s">
        <v>5406</v>
      </c>
      <c r="Q140" s="2263" t="str">
        <f>'Ab1. RMNCH+A'!Q415</f>
        <v>Recommended for approval of Rs.75.00 lakhs for training of VCCM, cold chain handlers, MO and multipurpose workers on immunization.Expenditure to be as per RCH norms.</v>
      </c>
      <c r="R140" s="2924">
        <f>'Ab1. RMNCH+A'!R415</f>
        <v>75</v>
      </c>
      <c r="BB140" s="3219">
        <v>3.77</v>
      </c>
      <c r="BC140" s="3219">
        <v>4.68</v>
      </c>
      <c r="BD140" s="3219">
        <v>5.64</v>
      </c>
      <c r="BE140" s="3219">
        <v>4.3</v>
      </c>
      <c r="BF140" s="3219">
        <v>12.37</v>
      </c>
      <c r="BG140" s="3219">
        <v>2.42</v>
      </c>
      <c r="BH140" s="3219">
        <v>3.59</v>
      </c>
      <c r="BI140" s="3219">
        <v>1.86</v>
      </c>
      <c r="BJ140" s="3219">
        <v>10.44</v>
      </c>
      <c r="BK140" s="3219">
        <v>11.63</v>
      </c>
      <c r="BL140" s="3219">
        <v>4.78</v>
      </c>
      <c r="BM140" s="3219">
        <v>5.43</v>
      </c>
      <c r="BN140" s="3219">
        <v>4.09</v>
      </c>
      <c r="BO140" s="3219"/>
      <c r="BP140" s="3219"/>
      <c r="BQ140" s="3219"/>
      <c r="BR140" s="3219"/>
      <c r="BS140" s="3219"/>
      <c r="BT140" s="3219"/>
      <c r="BU140" s="3219"/>
      <c r="BV140" s="3219"/>
      <c r="BW140" s="3219"/>
      <c r="BX140" s="3219"/>
      <c r="BY140" s="3219"/>
      <c r="BZ140" s="3219"/>
      <c r="CA140" s="3219"/>
      <c r="CB140" s="3219"/>
      <c r="CC140" s="3219"/>
      <c r="CD140" s="3219"/>
      <c r="CE140" s="3219"/>
      <c r="CF140" s="3219"/>
      <c r="CG140" s="3219"/>
      <c r="CH140" s="3219"/>
      <c r="CI140" s="3225">
        <f t="shared" si="13"/>
        <v>75</v>
      </c>
    </row>
    <row r="141" spans="1:87">
      <c r="A141" s="508" t="s">
        <v>2500</v>
      </c>
      <c r="B141" s="586"/>
      <c r="C141" s="508" t="s">
        <v>1304</v>
      </c>
      <c r="D141" s="1454" t="s">
        <v>85</v>
      </c>
      <c r="E141" s="1120" t="s">
        <v>200</v>
      </c>
      <c r="F141" s="2211">
        <v>0</v>
      </c>
      <c r="G141" s="276"/>
      <c r="H141" s="2211">
        <v>0</v>
      </c>
      <c r="I141" s="276"/>
      <c r="J141" s="276"/>
      <c r="K141" s="276"/>
      <c r="L141" s="277"/>
      <c r="M141" s="281">
        <f>L141/100000</f>
        <v>0</v>
      </c>
      <c r="N141" s="277"/>
      <c r="O141" s="1507">
        <f>M141*N141</f>
        <v>0</v>
      </c>
      <c r="P141" s="744"/>
      <c r="Q141" s="1017" t="str">
        <f>'Ab1. RMNCH+A'!Q416</f>
        <v>--</v>
      </c>
      <c r="R141" s="2920">
        <f>'Ab1. RMNCH+A'!R416</f>
        <v>0</v>
      </c>
      <c r="BB141" s="3218"/>
      <c r="BC141" s="3218"/>
      <c r="BD141" s="3218"/>
      <c r="BE141" s="3218"/>
      <c r="BF141" s="3218"/>
      <c r="BG141" s="3218"/>
      <c r="BH141" s="3218"/>
      <c r="BI141" s="3218"/>
      <c r="BJ141" s="3218"/>
      <c r="BK141" s="3218"/>
      <c r="BL141" s="3218"/>
      <c r="BM141" s="3218"/>
      <c r="BN141" s="3218"/>
      <c r="BO141" s="3218"/>
      <c r="BP141" s="3218"/>
      <c r="BQ141" s="3218"/>
      <c r="BR141" s="3218"/>
      <c r="BS141" s="3218"/>
      <c r="BT141" s="3218"/>
      <c r="BU141" s="3218"/>
      <c r="BV141" s="3218"/>
      <c r="BW141" s="3218"/>
      <c r="BX141" s="3218"/>
      <c r="BY141" s="3218"/>
      <c r="BZ141" s="3218"/>
      <c r="CA141" s="3218"/>
      <c r="CB141" s="3218"/>
      <c r="CC141" s="3218"/>
      <c r="CD141" s="3218"/>
      <c r="CE141" s="3218"/>
      <c r="CF141" s="3218"/>
      <c r="CG141" s="3218"/>
      <c r="CH141" s="3218"/>
      <c r="CI141" s="3225">
        <f t="shared" si="13"/>
        <v>0</v>
      </c>
    </row>
    <row r="142" spans="1:87">
      <c r="A142" s="1529"/>
      <c r="B142" s="1529"/>
      <c r="C142" s="1529" t="s">
        <v>4765</v>
      </c>
      <c r="D142" s="951"/>
      <c r="E142" s="951"/>
      <c r="F142" s="420"/>
      <c r="G142" s="420"/>
      <c r="H142" s="420"/>
      <c r="I142" s="420"/>
      <c r="J142" s="420"/>
      <c r="K142" s="420"/>
      <c r="L142" s="420"/>
      <c r="M142" s="1530"/>
      <c r="N142" s="434"/>
      <c r="O142" s="1531">
        <f>SUM(O143:O144)</f>
        <v>0</v>
      </c>
      <c r="P142" s="753"/>
      <c r="Q142" s="1000"/>
      <c r="R142" s="2929">
        <f>SUM(R143:R144)</f>
        <v>0</v>
      </c>
      <c r="BB142" s="3218"/>
      <c r="BC142" s="3218"/>
      <c r="BD142" s="3218"/>
      <c r="BE142" s="3218"/>
      <c r="BF142" s="3218"/>
      <c r="BG142" s="3218"/>
      <c r="BH142" s="3218"/>
      <c r="BI142" s="3218"/>
      <c r="BJ142" s="3218"/>
      <c r="BK142" s="3218"/>
      <c r="BL142" s="3218"/>
      <c r="BM142" s="3218"/>
      <c r="BN142" s="3218"/>
      <c r="BO142" s="3218"/>
      <c r="BP142" s="3218"/>
      <c r="BQ142" s="3218"/>
      <c r="BR142" s="3218"/>
      <c r="BS142" s="3218"/>
      <c r="BT142" s="3218"/>
      <c r="BU142" s="3218"/>
      <c r="BV142" s="3218"/>
      <c r="BW142" s="3218"/>
      <c r="BX142" s="3218"/>
      <c r="BY142" s="3218"/>
      <c r="BZ142" s="3218"/>
      <c r="CA142" s="3218"/>
      <c r="CB142" s="3218"/>
      <c r="CC142" s="3218"/>
      <c r="CD142" s="3218"/>
      <c r="CE142" s="3218"/>
      <c r="CF142" s="3218"/>
      <c r="CG142" s="3218"/>
      <c r="CH142" s="3218"/>
      <c r="CI142" s="3225">
        <f t="shared" si="13"/>
        <v>0</v>
      </c>
    </row>
    <row r="143" spans="1:87" ht="60">
      <c r="A143" s="1532" t="s">
        <v>3266</v>
      </c>
      <c r="B143" s="586"/>
      <c r="C143" s="1532" t="s">
        <v>3975</v>
      </c>
      <c r="D143" s="1524" t="s">
        <v>85</v>
      </c>
      <c r="E143" s="1533" t="s">
        <v>85</v>
      </c>
      <c r="F143" s="2211">
        <v>0</v>
      </c>
      <c r="G143" s="276"/>
      <c r="H143" s="2211">
        <v>0</v>
      </c>
      <c r="I143" s="276"/>
      <c r="J143" s="276"/>
      <c r="K143" s="276"/>
      <c r="L143" s="277"/>
      <c r="M143" s="281">
        <f>L143/100000</f>
        <v>0</v>
      </c>
      <c r="N143" s="277"/>
      <c r="O143" s="1507">
        <f>M143*N143</f>
        <v>0</v>
      </c>
      <c r="P143" s="744"/>
      <c r="Q143" s="1017" t="str">
        <f>'Ab1. RMNCH+A'!Q441</f>
        <v>--</v>
      </c>
      <c r="R143" s="2920">
        <f>'Ab1. RMNCH+A'!R441</f>
        <v>0</v>
      </c>
      <c r="BB143" s="3218"/>
      <c r="BC143" s="3218"/>
      <c r="BD143" s="3218"/>
      <c r="BE143" s="3218"/>
      <c r="BF143" s="3218"/>
      <c r="BG143" s="3218"/>
      <c r="BH143" s="3218"/>
      <c r="BI143" s="3218"/>
      <c r="BJ143" s="3218"/>
      <c r="BK143" s="3218"/>
      <c r="BL143" s="3218"/>
      <c r="BM143" s="3218"/>
      <c r="BN143" s="3218"/>
      <c r="BO143" s="3218"/>
      <c r="BP143" s="3218"/>
      <c r="BQ143" s="3218"/>
      <c r="BR143" s="3218"/>
      <c r="BS143" s="3218"/>
      <c r="BT143" s="3218"/>
      <c r="BU143" s="3218"/>
      <c r="BV143" s="3218"/>
      <c r="BW143" s="3218"/>
      <c r="BX143" s="3218"/>
      <c r="BY143" s="3218"/>
      <c r="BZ143" s="3218"/>
      <c r="CA143" s="3218"/>
      <c r="CB143" s="3218"/>
      <c r="CC143" s="3218"/>
      <c r="CD143" s="3218"/>
      <c r="CE143" s="3218"/>
      <c r="CF143" s="3218"/>
      <c r="CG143" s="3218"/>
      <c r="CH143" s="3218"/>
      <c r="CI143" s="3225">
        <f t="shared" si="13"/>
        <v>0</v>
      </c>
    </row>
    <row r="144" spans="1:87">
      <c r="A144" s="586" t="s">
        <v>4404</v>
      </c>
      <c r="B144" s="473"/>
      <c r="C144" s="1534" t="s">
        <v>1304</v>
      </c>
      <c r="D144" s="1524" t="s">
        <v>85</v>
      </c>
      <c r="E144" s="1533" t="s">
        <v>85</v>
      </c>
      <c r="F144" s="2212">
        <v>0</v>
      </c>
      <c r="G144" s="270"/>
      <c r="H144" s="2212">
        <v>0</v>
      </c>
      <c r="I144" s="270"/>
      <c r="J144" s="270"/>
      <c r="K144" s="426"/>
      <c r="L144" s="277"/>
      <c r="M144" s="281">
        <f>L144/100000</f>
        <v>0</v>
      </c>
      <c r="N144" s="277"/>
      <c r="O144" s="1513">
        <f>M144*N144</f>
        <v>0</v>
      </c>
      <c r="P144" s="754"/>
      <c r="Q144" s="1017" t="str">
        <f>'Ab1. RMNCH+A'!Q442</f>
        <v>--</v>
      </c>
      <c r="R144" s="2920">
        <f>'Ab1. RMNCH+A'!R442</f>
        <v>0</v>
      </c>
      <c r="BB144" s="3218"/>
      <c r="BC144" s="3218"/>
      <c r="BD144" s="3218"/>
      <c r="BE144" s="3218"/>
      <c r="BF144" s="3218"/>
      <c r="BG144" s="3218"/>
      <c r="BH144" s="3218"/>
      <c r="BI144" s="3218"/>
      <c r="BJ144" s="3218"/>
      <c r="BK144" s="3218"/>
      <c r="BL144" s="3218"/>
      <c r="BM144" s="3218"/>
      <c r="BN144" s="3218"/>
      <c r="BO144" s="3218"/>
      <c r="BP144" s="3218"/>
      <c r="BQ144" s="3218"/>
      <c r="BR144" s="3218"/>
      <c r="BS144" s="3218"/>
      <c r="BT144" s="3218"/>
      <c r="BU144" s="3218"/>
      <c r="BV144" s="3218"/>
      <c r="BW144" s="3218"/>
      <c r="BX144" s="3218"/>
      <c r="BY144" s="3218"/>
      <c r="BZ144" s="3218"/>
      <c r="CA144" s="3218"/>
      <c r="CB144" s="3218"/>
      <c r="CC144" s="3218"/>
      <c r="CD144" s="3218"/>
      <c r="CE144" s="3218"/>
      <c r="CF144" s="3218"/>
      <c r="CG144" s="3218"/>
      <c r="CH144" s="3218"/>
      <c r="CI144" s="3225">
        <f t="shared" si="13"/>
        <v>0</v>
      </c>
    </row>
    <row r="145" spans="1:87" s="1101" customFormat="1">
      <c r="A145" s="3958" t="s">
        <v>4755</v>
      </c>
      <c r="B145" s="3959"/>
      <c r="C145" s="3960"/>
      <c r="D145" s="1162"/>
      <c r="E145" s="1162"/>
      <c r="F145" s="301"/>
      <c r="G145" s="301"/>
      <c r="H145" s="301"/>
      <c r="I145" s="301"/>
      <c r="J145" s="301"/>
      <c r="K145" s="301"/>
      <c r="L145" s="301"/>
      <c r="M145" s="1514"/>
      <c r="N145" s="633"/>
      <c r="O145" s="1514"/>
      <c r="P145" s="715"/>
      <c r="Q145" s="1167"/>
      <c r="R145" s="2927"/>
      <c r="BB145" s="3225"/>
      <c r="BC145" s="3225"/>
      <c r="BD145" s="3225"/>
      <c r="BE145" s="3225"/>
      <c r="BF145" s="3225"/>
      <c r="BG145" s="3225"/>
      <c r="BH145" s="3225"/>
      <c r="BI145" s="3225"/>
      <c r="BJ145" s="3225"/>
      <c r="BK145" s="3225"/>
      <c r="BL145" s="3225"/>
      <c r="BM145" s="3225"/>
      <c r="BN145" s="3225"/>
      <c r="BO145" s="3225"/>
      <c r="BP145" s="3225"/>
      <c r="BQ145" s="3225"/>
      <c r="BR145" s="3225"/>
      <c r="BS145" s="3225"/>
      <c r="BT145" s="3225"/>
      <c r="BU145" s="3225"/>
      <c r="BV145" s="3225"/>
      <c r="BW145" s="3225"/>
      <c r="BX145" s="3225"/>
      <c r="BY145" s="3225"/>
      <c r="BZ145" s="3225"/>
      <c r="CA145" s="3225"/>
      <c r="CB145" s="3225"/>
      <c r="CC145" s="3225"/>
      <c r="CD145" s="3225"/>
      <c r="CE145" s="3225"/>
      <c r="CF145" s="3225"/>
      <c r="CG145" s="3225"/>
      <c r="CH145" s="3225"/>
      <c r="CI145" s="3225">
        <f t="shared" si="13"/>
        <v>0</v>
      </c>
    </row>
    <row r="146" spans="1:87" ht="30">
      <c r="A146" s="880" t="s">
        <v>1005</v>
      </c>
      <c r="B146" s="1194"/>
      <c r="C146" s="1061" t="s">
        <v>2495</v>
      </c>
      <c r="D146" s="938"/>
      <c r="E146" s="938"/>
      <c r="F146" s="90"/>
      <c r="G146" s="90"/>
      <c r="H146" s="90"/>
      <c r="I146" s="90"/>
      <c r="J146" s="90"/>
      <c r="K146" s="90"/>
      <c r="L146" s="90"/>
      <c r="M146" s="1536"/>
      <c r="N146" s="417"/>
      <c r="O146" s="1537">
        <f>SUM(O147:O149)</f>
        <v>1.8</v>
      </c>
      <c r="P146" s="755"/>
      <c r="Q146" s="1157"/>
      <c r="R146" s="2875">
        <f>SUM(R147:R149)</f>
        <v>1.8</v>
      </c>
      <c r="BB146" s="3218"/>
      <c r="BC146" s="3218"/>
      <c r="BD146" s="3218"/>
      <c r="BE146" s="3218"/>
      <c r="BF146" s="3218"/>
      <c r="BG146" s="3218"/>
      <c r="BH146" s="3218"/>
      <c r="BI146" s="3218"/>
      <c r="BJ146" s="3218"/>
      <c r="BK146" s="3218"/>
      <c r="BL146" s="3218"/>
      <c r="BM146" s="3218"/>
      <c r="BN146" s="3218"/>
      <c r="BO146" s="3218"/>
      <c r="BP146" s="3218"/>
      <c r="BQ146" s="3218"/>
      <c r="BR146" s="3218"/>
      <c r="BS146" s="3218"/>
      <c r="BT146" s="3218"/>
      <c r="BU146" s="3218"/>
      <c r="BV146" s="3218"/>
      <c r="BW146" s="3218"/>
      <c r="BX146" s="3218"/>
      <c r="BY146" s="3218"/>
      <c r="BZ146" s="3218"/>
      <c r="CA146" s="3218"/>
      <c r="CB146" s="3218"/>
      <c r="CC146" s="3218"/>
      <c r="CD146" s="3218"/>
      <c r="CE146" s="3218"/>
      <c r="CF146" s="3218"/>
      <c r="CG146" s="3218"/>
      <c r="CH146" s="3218"/>
      <c r="CI146" s="3225">
        <f t="shared" si="13"/>
        <v>0</v>
      </c>
    </row>
    <row r="147" spans="1:87" s="1380" customFormat="1" ht="60">
      <c r="A147" s="473" t="s">
        <v>1006</v>
      </c>
      <c r="B147" s="586" t="s">
        <v>810</v>
      </c>
      <c r="C147" s="586" t="s">
        <v>811</v>
      </c>
      <c r="D147" s="982" t="s">
        <v>65</v>
      </c>
      <c r="E147" s="1075" t="s">
        <v>2081</v>
      </c>
      <c r="F147" s="285">
        <v>2</v>
      </c>
      <c r="G147" s="286"/>
      <c r="H147" s="642">
        <v>1.67</v>
      </c>
      <c r="I147" s="2569">
        <v>0.06</v>
      </c>
      <c r="J147" s="285">
        <v>1.61</v>
      </c>
      <c r="K147" s="324">
        <v>1</v>
      </c>
      <c r="L147" s="2504">
        <v>90000</v>
      </c>
      <c r="M147" s="2261">
        <f>L147/100000</f>
        <v>0.9</v>
      </c>
      <c r="N147" s="283">
        <v>2</v>
      </c>
      <c r="O147" s="1472">
        <f>M147*N147</f>
        <v>1.8</v>
      </c>
      <c r="P147" s="2560" t="s">
        <v>5332</v>
      </c>
      <c r="Q147" s="2263" t="str">
        <f>'Abs5. Blood services &amp; Disorder'!Q20</f>
        <v>Recommended @ Rs 90,000 for 2 batches of BB/BSU training for MOs &amp; LTs (batch size =30)</v>
      </c>
      <c r="R147" s="2930">
        <f>'Abs5. Blood services &amp; Disorder'!R20</f>
        <v>1.8</v>
      </c>
      <c r="BB147" s="3219"/>
      <c r="BC147" s="3219"/>
      <c r="BD147" s="3219"/>
      <c r="BE147" s="3219"/>
      <c r="BF147" s="3219"/>
      <c r="BG147" s="3219"/>
      <c r="BH147" s="3219"/>
      <c r="BI147" s="3219"/>
      <c r="BJ147" s="3219"/>
      <c r="BK147" s="3219"/>
      <c r="BL147" s="3219"/>
      <c r="BM147" s="3219"/>
      <c r="BN147" s="3219"/>
      <c r="BO147" s="3219">
        <v>1.8</v>
      </c>
      <c r="BP147" s="3219"/>
      <c r="BQ147" s="3219"/>
      <c r="BR147" s="3219"/>
      <c r="BS147" s="3219"/>
      <c r="BT147" s="3219"/>
      <c r="BU147" s="3219"/>
      <c r="BV147" s="3219"/>
      <c r="BW147" s="3219"/>
      <c r="BX147" s="3219"/>
      <c r="BY147" s="3219"/>
      <c r="BZ147" s="3219"/>
      <c r="CA147" s="3219"/>
      <c r="CB147" s="3219"/>
      <c r="CC147" s="3219"/>
      <c r="CD147" s="3219"/>
      <c r="CE147" s="3219"/>
      <c r="CF147" s="3219"/>
      <c r="CG147" s="3219"/>
      <c r="CH147" s="3219"/>
      <c r="CI147" s="3245">
        <f t="shared" si="13"/>
        <v>1.8</v>
      </c>
    </row>
    <row r="148" spans="1:87">
      <c r="A148" s="1407" t="s">
        <v>2092</v>
      </c>
      <c r="B148" s="508" t="s">
        <v>810</v>
      </c>
      <c r="C148" s="508" t="s">
        <v>2284</v>
      </c>
      <c r="D148" s="908" t="s">
        <v>65</v>
      </c>
      <c r="E148" s="1120" t="s">
        <v>2081</v>
      </c>
      <c r="F148" s="2211">
        <v>2</v>
      </c>
      <c r="G148" s="276"/>
      <c r="H148" s="2211">
        <v>2.59</v>
      </c>
      <c r="I148" s="276"/>
      <c r="J148" s="276"/>
      <c r="K148" s="276"/>
      <c r="L148" s="277"/>
      <c r="M148" s="281">
        <f>L148/100000</f>
        <v>0</v>
      </c>
      <c r="N148" s="277"/>
      <c r="O148" s="1507">
        <f>M148*N148</f>
        <v>0</v>
      </c>
      <c r="P148" s="744"/>
      <c r="Q148" s="1017">
        <f>'Abs5. Blood services &amp; Disorder'!Q21</f>
        <v>0</v>
      </c>
      <c r="R148" s="2931">
        <f>'Abs5. Blood services &amp; Disorder'!R21</f>
        <v>0</v>
      </c>
      <c r="BB148" s="3218"/>
      <c r="BC148" s="3218"/>
      <c r="BD148" s="3218"/>
      <c r="BE148" s="3218"/>
      <c r="BF148" s="3218"/>
      <c r="BG148" s="3218"/>
      <c r="BH148" s="3218"/>
      <c r="BI148" s="3218"/>
      <c r="BJ148" s="3218"/>
      <c r="BK148" s="3218"/>
      <c r="BL148" s="3218"/>
      <c r="BM148" s="3218"/>
      <c r="BN148" s="3218"/>
      <c r="BO148" s="3218"/>
      <c r="BP148" s="3218"/>
      <c r="BQ148" s="3218"/>
      <c r="BR148" s="3218"/>
      <c r="BS148" s="3218"/>
      <c r="BT148" s="3218"/>
      <c r="BU148" s="3218"/>
      <c r="BV148" s="3218"/>
      <c r="BW148" s="3218"/>
      <c r="BX148" s="3218"/>
      <c r="BY148" s="3218"/>
      <c r="BZ148" s="3218"/>
      <c r="CA148" s="3218"/>
      <c r="CB148" s="3218"/>
      <c r="CC148" s="3218"/>
      <c r="CD148" s="3218"/>
      <c r="CE148" s="3218"/>
      <c r="CF148" s="3218"/>
      <c r="CG148" s="3218"/>
      <c r="CH148" s="3218"/>
      <c r="CI148" s="3225">
        <f t="shared" si="13"/>
        <v>0</v>
      </c>
    </row>
    <row r="149" spans="1:87" ht="30">
      <c r="A149" s="1407" t="s">
        <v>2496</v>
      </c>
      <c r="B149" s="586"/>
      <c r="C149" s="508" t="s">
        <v>4233</v>
      </c>
      <c r="D149" s="908" t="s">
        <v>65</v>
      </c>
      <c r="E149" s="1120" t="s">
        <v>2081</v>
      </c>
      <c r="F149" s="2211">
        <v>0</v>
      </c>
      <c r="G149" s="276"/>
      <c r="H149" s="2211">
        <v>0</v>
      </c>
      <c r="I149" s="276"/>
      <c r="J149" s="276"/>
      <c r="K149" s="276"/>
      <c r="L149" s="277"/>
      <c r="M149" s="281">
        <f>L149/100000</f>
        <v>0</v>
      </c>
      <c r="N149" s="277"/>
      <c r="O149" s="1507">
        <f>M149*N149</f>
        <v>0</v>
      </c>
      <c r="P149" s="744"/>
      <c r="Q149" s="1017">
        <f>'Abs5. Blood services &amp; Disorder'!Q22</f>
        <v>0</v>
      </c>
      <c r="R149" s="2931">
        <f>'Abs5. Blood services &amp; Disorder'!R22</f>
        <v>0</v>
      </c>
      <c r="BB149" s="3218"/>
      <c r="BC149" s="3218"/>
      <c r="BD149" s="3218"/>
      <c r="BE149" s="3218"/>
      <c r="BF149" s="3218"/>
      <c r="BG149" s="3218"/>
      <c r="BH149" s="3218"/>
      <c r="BI149" s="3218"/>
      <c r="BJ149" s="3218"/>
      <c r="BK149" s="3218"/>
      <c r="BL149" s="3218"/>
      <c r="BM149" s="3218"/>
      <c r="BN149" s="3218"/>
      <c r="BO149" s="3218"/>
      <c r="BP149" s="3218"/>
      <c r="BQ149" s="3218"/>
      <c r="BR149" s="3218"/>
      <c r="BS149" s="3218"/>
      <c r="BT149" s="3218"/>
      <c r="BU149" s="3218"/>
      <c r="BV149" s="3218"/>
      <c r="BW149" s="3218"/>
      <c r="BX149" s="3218"/>
      <c r="BY149" s="3218"/>
      <c r="BZ149" s="3218"/>
      <c r="CA149" s="3218"/>
      <c r="CB149" s="3218"/>
      <c r="CC149" s="3218"/>
      <c r="CD149" s="3218"/>
      <c r="CE149" s="3218"/>
      <c r="CF149" s="3218"/>
      <c r="CG149" s="3218"/>
      <c r="CH149" s="3218"/>
      <c r="CI149" s="3225">
        <f t="shared" si="13"/>
        <v>0</v>
      </c>
    </row>
    <row r="150" spans="1:87">
      <c r="A150" s="880" t="s">
        <v>1114</v>
      </c>
      <c r="B150" s="1194"/>
      <c r="C150" s="1061" t="s">
        <v>1115</v>
      </c>
      <c r="D150" s="997"/>
      <c r="E150" s="997"/>
      <c r="F150" s="219"/>
      <c r="G150" s="219"/>
      <c r="H150" s="219"/>
      <c r="I150" s="219"/>
      <c r="J150" s="219"/>
      <c r="K150" s="219"/>
      <c r="L150" s="219"/>
      <c r="M150" s="1515"/>
      <c r="N150" s="404"/>
      <c r="O150" s="1516">
        <f>O151+O155+O159</f>
        <v>110</v>
      </c>
      <c r="P150" s="718"/>
      <c r="Q150" s="1157"/>
      <c r="R150" s="2875">
        <f>R151+R155+R159</f>
        <v>10</v>
      </c>
      <c r="BB150" s="3218"/>
      <c r="BC150" s="3218"/>
      <c r="BD150" s="3218"/>
      <c r="BE150" s="3218"/>
      <c r="BF150" s="3218"/>
      <c r="BG150" s="3218"/>
      <c r="BH150" s="3218"/>
      <c r="BI150" s="3218"/>
      <c r="BJ150" s="3218"/>
      <c r="BK150" s="3218"/>
      <c r="BL150" s="3218"/>
      <c r="BM150" s="3218"/>
      <c r="BN150" s="3218"/>
      <c r="BO150" s="3218"/>
      <c r="BP150" s="3218"/>
      <c r="BQ150" s="3218"/>
      <c r="BR150" s="3218"/>
      <c r="BS150" s="3218"/>
      <c r="BT150" s="3218"/>
      <c r="BU150" s="3218"/>
      <c r="BV150" s="3218"/>
      <c r="BW150" s="3218"/>
      <c r="BX150" s="3218"/>
      <c r="BY150" s="3218"/>
      <c r="BZ150" s="3218"/>
      <c r="CA150" s="3218"/>
      <c r="CB150" s="3218"/>
      <c r="CC150" s="3218"/>
      <c r="CD150" s="3218"/>
      <c r="CE150" s="3218"/>
      <c r="CF150" s="3218"/>
      <c r="CG150" s="3218"/>
      <c r="CH150" s="3218"/>
      <c r="CI150" s="3225">
        <f t="shared" si="13"/>
        <v>0</v>
      </c>
    </row>
    <row r="151" spans="1:87" s="1101" customFormat="1">
      <c r="A151" s="1427" t="s">
        <v>1116</v>
      </c>
      <c r="B151" s="1427" t="s">
        <v>1117</v>
      </c>
      <c r="C151" s="1427" t="s">
        <v>1118</v>
      </c>
      <c r="D151" s="1428"/>
      <c r="E151" s="1428"/>
      <c r="F151" s="109"/>
      <c r="G151" s="109"/>
      <c r="H151" s="109"/>
      <c r="I151" s="109"/>
      <c r="J151" s="109"/>
      <c r="K151" s="109"/>
      <c r="L151" s="109"/>
      <c r="M151" s="1538"/>
      <c r="N151" s="419"/>
      <c r="O151" s="1539">
        <f>SUM(O152:O154)</f>
        <v>10</v>
      </c>
      <c r="P151" s="756"/>
      <c r="Q151" s="1344"/>
      <c r="R151" s="2932">
        <f>SUM(R152:R154)</f>
        <v>10</v>
      </c>
      <c r="BB151" s="3225"/>
      <c r="BC151" s="3225"/>
      <c r="BD151" s="3225"/>
      <c r="BE151" s="3225"/>
      <c r="BF151" s="3225"/>
      <c r="BG151" s="3225"/>
      <c r="BH151" s="3225"/>
      <c r="BI151" s="3225"/>
      <c r="BJ151" s="3225"/>
      <c r="BK151" s="3225"/>
      <c r="BL151" s="3225"/>
      <c r="BM151" s="3225"/>
      <c r="BN151" s="3225"/>
      <c r="BO151" s="3225"/>
      <c r="BP151" s="3225"/>
      <c r="BQ151" s="3225"/>
      <c r="BR151" s="3225"/>
      <c r="BS151" s="3225"/>
      <c r="BT151" s="3225"/>
      <c r="BU151" s="3225"/>
      <c r="BV151" s="3225"/>
      <c r="BW151" s="3225"/>
      <c r="BX151" s="3225"/>
      <c r="BY151" s="3225"/>
      <c r="BZ151" s="3225"/>
      <c r="CA151" s="3225"/>
      <c r="CB151" s="3225"/>
      <c r="CC151" s="3225"/>
      <c r="CD151" s="3225"/>
      <c r="CE151" s="3225"/>
      <c r="CF151" s="3225"/>
      <c r="CG151" s="3225"/>
      <c r="CH151" s="3225"/>
      <c r="CI151" s="3225">
        <f t="shared" si="13"/>
        <v>0</v>
      </c>
    </row>
    <row r="152" spans="1:87" ht="30">
      <c r="A152" s="1407" t="s">
        <v>4191</v>
      </c>
      <c r="B152" s="586"/>
      <c r="C152" s="508" t="s">
        <v>2817</v>
      </c>
      <c r="D152" s="908" t="s">
        <v>65</v>
      </c>
      <c r="E152" s="1120" t="s">
        <v>3828</v>
      </c>
      <c r="F152" s="2211">
        <v>2</v>
      </c>
      <c r="G152" s="276"/>
      <c r="H152" s="2211">
        <v>0</v>
      </c>
      <c r="I152" s="276"/>
      <c r="J152" s="276"/>
      <c r="K152" s="276"/>
      <c r="L152" s="277">
        <v>1000000</v>
      </c>
      <c r="M152" s="281">
        <f>L152/100000</f>
        <v>10</v>
      </c>
      <c r="N152" s="277">
        <v>1</v>
      </c>
      <c r="O152" s="1507">
        <f>M152*N152</f>
        <v>10</v>
      </c>
      <c r="P152" s="2620" t="s">
        <v>5428</v>
      </c>
      <c r="Q152" s="3108" t="s">
        <v>5752</v>
      </c>
      <c r="R152" s="2921">
        <v>10</v>
      </c>
      <c r="S152" s="1101"/>
      <c r="T152" s="1101"/>
      <c r="BB152" s="3218">
        <v>10</v>
      </c>
      <c r="BC152" s="3218"/>
      <c r="BD152" s="3218"/>
      <c r="BE152" s="3218"/>
      <c r="BF152" s="3218"/>
      <c r="BG152" s="3218"/>
      <c r="BH152" s="3218"/>
      <c r="BI152" s="3218"/>
      <c r="BJ152" s="3218"/>
      <c r="BK152" s="3218"/>
      <c r="BL152" s="3218"/>
      <c r="BM152" s="3218"/>
      <c r="BN152" s="3218"/>
      <c r="BO152" s="3218"/>
      <c r="BP152" s="3218"/>
      <c r="BQ152" s="3218"/>
      <c r="BR152" s="3218"/>
      <c r="BS152" s="3218"/>
      <c r="BT152" s="3218"/>
      <c r="BU152" s="3218"/>
      <c r="BV152" s="3218"/>
      <c r="BW152" s="3218"/>
      <c r="BX152" s="3218"/>
      <c r="BY152" s="3218"/>
      <c r="BZ152" s="3218"/>
      <c r="CA152" s="3218"/>
      <c r="CB152" s="3218"/>
      <c r="CC152" s="3218"/>
      <c r="CD152" s="3218"/>
      <c r="CE152" s="3218"/>
      <c r="CF152" s="3218"/>
      <c r="CG152" s="3218"/>
      <c r="CH152" s="3218"/>
      <c r="CI152" s="3225">
        <f t="shared" si="13"/>
        <v>10</v>
      </c>
    </row>
    <row r="153" spans="1:87">
      <c r="A153" s="1407" t="s">
        <v>4192</v>
      </c>
      <c r="B153" s="586"/>
      <c r="C153" s="508" t="s">
        <v>2818</v>
      </c>
      <c r="D153" s="908" t="s">
        <v>65</v>
      </c>
      <c r="E153" s="1120" t="s">
        <v>3826</v>
      </c>
      <c r="F153" s="2211">
        <v>0</v>
      </c>
      <c r="G153" s="276"/>
      <c r="H153" s="2211">
        <v>0</v>
      </c>
      <c r="I153" s="276"/>
      <c r="J153" s="276"/>
      <c r="K153" s="276"/>
      <c r="L153" s="277"/>
      <c r="M153" s="281">
        <f>L153/100000</f>
        <v>0</v>
      </c>
      <c r="N153" s="277"/>
      <c r="O153" s="1507">
        <f>M153*N153</f>
        <v>0</v>
      </c>
      <c r="P153" s="744"/>
      <c r="Q153" s="1022"/>
      <c r="R153" s="2921"/>
      <c r="BB153" s="3218"/>
      <c r="BC153" s="3218"/>
      <c r="BD153" s="3218"/>
      <c r="BE153" s="3218"/>
      <c r="BF153" s="3218"/>
      <c r="BG153" s="3218"/>
      <c r="BH153" s="3218"/>
      <c r="BI153" s="3218"/>
      <c r="BJ153" s="3218"/>
      <c r="BK153" s="3218"/>
      <c r="BL153" s="3218"/>
      <c r="BM153" s="3218"/>
      <c r="BN153" s="3218"/>
      <c r="BO153" s="3218"/>
      <c r="BP153" s="3218"/>
      <c r="BQ153" s="3218"/>
      <c r="BR153" s="3218"/>
      <c r="BS153" s="3218"/>
      <c r="BT153" s="3218"/>
      <c r="BU153" s="3218"/>
      <c r="BV153" s="3218"/>
      <c r="BW153" s="3218"/>
      <c r="BX153" s="3218"/>
      <c r="BY153" s="3218"/>
      <c r="BZ153" s="3218"/>
      <c r="CA153" s="3218"/>
      <c r="CB153" s="3218"/>
      <c r="CC153" s="3218"/>
      <c r="CD153" s="3218"/>
      <c r="CE153" s="3218"/>
      <c r="CF153" s="3218"/>
      <c r="CG153" s="3218"/>
      <c r="CH153" s="3218"/>
      <c r="CI153" s="3225">
        <f t="shared" si="13"/>
        <v>0</v>
      </c>
    </row>
    <row r="154" spans="1:87">
      <c r="A154" s="1407" t="s">
        <v>4193</v>
      </c>
      <c r="B154" s="586"/>
      <c r="C154" s="390" t="s">
        <v>1304</v>
      </c>
      <c r="D154" s="908" t="s">
        <v>65</v>
      </c>
      <c r="E154" s="1120" t="s">
        <v>65</v>
      </c>
      <c r="F154" s="2211">
        <v>0</v>
      </c>
      <c r="G154" s="276"/>
      <c r="H154" s="2211">
        <v>0</v>
      </c>
      <c r="I154" s="276"/>
      <c r="J154" s="276"/>
      <c r="K154" s="276"/>
      <c r="L154" s="277"/>
      <c r="M154" s="281">
        <f>L154/100000</f>
        <v>0</v>
      </c>
      <c r="N154" s="277"/>
      <c r="O154" s="1507">
        <f>M154*N154</f>
        <v>0</v>
      </c>
      <c r="P154" s="744"/>
      <c r="Q154" s="1022"/>
      <c r="R154" s="2921"/>
      <c r="BB154" s="3218"/>
      <c r="BC154" s="3218"/>
      <c r="BD154" s="3218"/>
      <c r="BE154" s="3218"/>
      <c r="BF154" s="3218"/>
      <c r="BG154" s="3218"/>
      <c r="BH154" s="3218"/>
      <c r="BI154" s="3218"/>
      <c r="BJ154" s="3218"/>
      <c r="BK154" s="3218"/>
      <c r="BL154" s="3218"/>
      <c r="BM154" s="3218"/>
      <c r="BN154" s="3218"/>
      <c r="BO154" s="3218"/>
      <c r="BP154" s="3218"/>
      <c r="BQ154" s="3218"/>
      <c r="BR154" s="3218"/>
      <c r="BS154" s="3218"/>
      <c r="BT154" s="3218"/>
      <c r="BU154" s="3218"/>
      <c r="BV154" s="3218"/>
      <c r="BW154" s="3218"/>
      <c r="BX154" s="3218"/>
      <c r="BY154" s="3218"/>
      <c r="BZ154" s="3218"/>
      <c r="CA154" s="3218"/>
      <c r="CB154" s="3218"/>
      <c r="CC154" s="3218"/>
      <c r="CD154" s="3218"/>
      <c r="CE154" s="3218"/>
      <c r="CF154" s="3218"/>
      <c r="CG154" s="3218"/>
      <c r="CH154" s="3218"/>
      <c r="CI154" s="3225">
        <f t="shared" si="13"/>
        <v>0</v>
      </c>
    </row>
    <row r="155" spans="1:87" s="1101" customFormat="1">
      <c r="A155" s="1427" t="s">
        <v>1119</v>
      </c>
      <c r="B155" s="1427" t="s">
        <v>1120</v>
      </c>
      <c r="C155" s="1427" t="s">
        <v>1121</v>
      </c>
      <c r="D155" s="1428"/>
      <c r="E155" s="1428"/>
      <c r="F155" s="109"/>
      <c r="G155" s="109"/>
      <c r="H155" s="109"/>
      <c r="I155" s="109"/>
      <c r="J155" s="109"/>
      <c r="K155" s="109"/>
      <c r="L155" s="109"/>
      <c r="M155" s="1538"/>
      <c r="N155" s="419"/>
      <c r="O155" s="1539">
        <f>SUM(O156:O158)</f>
        <v>0</v>
      </c>
      <c r="P155" s="756"/>
      <c r="Q155" s="1344"/>
      <c r="R155" s="2932">
        <f>SUM(R156:R158)</f>
        <v>0</v>
      </c>
      <c r="BB155" s="3225"/>
      <c r="BC155" s="3225"/>
      <c r="BD155" s="3225"/>
      <c r="BE155" s="3225"/>
      <c r="BF155" s="3225"/>
      <c r="BG155" s="3225"/>
      <c r="BH155" s="3225"/>
      <c r="BI155" s="3225"/>
      <c r="BJ155" s="3225"/>
      <c r="BK155" s="3225"/>
      <c r="BL155" s="3225"/>
      <c r="BM155" s="3225"/>
      <c r="BN155" s="3225"/>
      <c r="BO155" s="3225"/>
      <c r="BP155" s="3225"/>
      <c r="BQ155" s="3225"/>
      <c r="BR155" s="3225"/>
      <c r="BS155" s="3225"/>
      <c r="BT155" s="3225"/>
      <c r="BU155" s="3225"/>
      <c r="BV155" s="3225"/>
      <c r="BW155" s="3225"/>
      <c r="BX155" s="3225"/>
      <c r="BY155" s="3225"/>
      <c r="BZ155" s="3225"/>
      <c r="CA155" s="3225"/>
      <c r="CB155" s="3225"/>
      <c r="CC155" s="3225"/>
      <c r="CD155" s="3225"/>
      <c r="CE155" s="3225"/>
      <c r="CF155" s="3225"/>
      <c r="CG155" s="3225"/>
      <c r="CH155" s="3225"/>
      <c r="CI155" s="3225">
        <f t="shared" si="13"/>
        <v>0</v>
      </c>
    </row>
    <row r="156" spans="1:87">
      <c r="A156" s="1407" t="s">
        <v>4194</v>
      </c>
      <c r="B156" s="586"/>
      <c r="C156" s="508" t="s">
        <v>2817</v>
      </c>
      <c r="D156" s="908" t="s">
        <v>65</v>
      </c>
      <c r="E156" s="1120" t="s">
        <v>3828</v>
      </c>
      <c r="F156" s="2211">
        <v>0</v>
      </c>
      <c r="G156" s="276"/>
      <c r="H156" s="2211">
        <v>0</v>
      </c>
      <c r="I156" s="276"/>
      <c r="J156" s="276"/>
      <c r="K156" s="276"/>
      <c r="L156" s="277"/>
      <c r="M156" s="281">
        <f>L156/100000</f>
        <v>0</v>
      </c>
      <c r="N156" s="277"/>
      <c r="O156" s="1507">
        <f>M156*N156</f>
        <v>0</v>
      </c>
      <c r="P156" s="744"/>
      <c r="Q156" s="1022"/>
      <c r="R156" s="2921"/>
      <c r="BB156" s="3218"/>
      <c r="BC156" s="3218"/>
      <c r="BD156" s="3218"/>
      <c r="BE156" s="3218"/>
      <c r="BF156" s="3218"/>
      <c r="BG156" s="3218"/>
      <c r="BH156" s="3218"/>
      <c r="BI156" s="3218"/>
      <c r="BJ156" s="3218"/>
      <c r="BK156" s="3218"/>
      <c r="BL156" s="3218"/>
      <c r="BM156" s="3218"/>
      <c r="BN156" s="3218"/>
      <c r="BO156" s="3218"/>
      <c r="BP156" s="3218"/>
      <c r="BQ156" s="3218"/>
      <c r="BR156" s="3218"/>
      <c r="BS156" s="3218"/>
      <c r="BT156" s="3218"/>
      <c r="BU156" s="3218"/>
      <c r="BV156" s="3218"/>
      <c r="BW156" s="3218"/>
      <c r="BX156" s="3218"/>
      <c r="BY156" s="3218"/>
      <c r="BZ156" s="3218"/>
      <c r="CA156" s="3218"/>
      <c r="CB156" s="3218"/>
      <c r="CC156" s="3218"/>
      <c r="CD156" s="3218"/>
      <c r="CE156" s="3218"/>
      <c r="CF156" s="3218"/>
      <c r="CG156" s="3218"/>
      <c r="CH156" s="3218"/>
      <c r="CI156" s="3225">
        <f t="shared" si="13"/>
        <v>0</v>
      </c>
    </row>
    <row r="157" spans="1:87">
      <c r="A157" s="1407" t="s">
        <v>4195</v>
      </c>
      <c r="B157" s="586"/>
      <c r="C157" s="508" t="s">
        <v>2818</v>
      </c>
      <c r="D157" s="908" t="s">
        <v>65</v>
      </c>
      <c r="E157" s="1120" t="s">
        <v>3826</v>
      </c>
      <c r="F157" s="2211">
        <v>12</v>
      </c>
      <c r="G157" s="276"/>
      <c r="H157" s="2211">
        <v>0</v>
      </c>
      <c r="I157" s="276"/>
      <c r="J157" s="276"/>
      <c r="K157" s="276"/>
      <c r="L157" s="277"/>
      <c r="M157" s="281">
        <f>L157/100000</f>
        <v>0</v>
      </c>
      <c r="N157" s="277"/>
      <c r="O157" s="1507">
        <f>M157*N157</f>
        <v>0</v>
      </c>
      <c r="P157" s="744"/>
      <c r="Q157" s="1022"/>
      <c r="R157" s="2921"/>
      <c r="BB157" s="3218"/>
      <c r="BC157" s="3218"/>
      <c r="BD157" s="3218"/>
      <c r="BE157" s="3218"/>
      <c r="BF157" s="3218"/>
      <c r="BG157" s="3218"/>
      <c r="BH157" s="3218"/>
      <c r="BI157" s="3218"/>
      <c r="BJ157" s="3218"/>
      <c r="BK157" s="3218"/>
      <c r="BL157" s="3218"/>
      <c r="BM157" s="3218"/>
      <c r="BN157" s="3218"/>
      <c r="BO157" s="3218"/>
      <c r="BP157" s="3218"/>
      <c r="BQ157" s="3218"/>
      <c r="BR157" s="3218"/>
      <c r="BS157" s="3218"/>
      <c r="BT157" s="3218"/>
      <c r="BU157" s="3218"/>
      <c r="BV157" s="3218"/>
      <c r="BW157" s="3218"/>
      <c r="BX157" s="3218"/>
      <c r="BY157" s="3218"/>
      <c r="BZ157" s="3218"/>
      <c r="CA157" s="3218"/>
      <c r="CB157" s="3218"/>
      <c r="CC157" s="3218"/>
      <c r="CD157" s="3218"/>
      <c r="CE157" s="3218"/>
      <c r="CF157" s="3218"/>
      <c r="CG157" s="3218"/>
      <c r="CH157" s="3218"/>
      <c r="CI157" s="3225">
        <f t="shared" si="13"/>
        <v>0</v>
      </c>
    </row>
    <row r="158" spans="1:87">
      <c r="A158" s="1407" t="s">
        <v>4196</v>
      </c>
      <c r="B158" s="586"/>
      <c r="C158" s="390" t="s">
        <v>1304</v>
      </c>
      <c r="D158" s="908" t="s">
        <v>65</v>
      </c>
      <c r="E158" s="1120" t="s">
        <v>65</v>
      </c>
      <c r="F158" s="2211">
        <v>0</v>
      </c>
      <c r="G158" s="276"/>
      <c r="H158" s="2211">
        <v>0</v>
      </c>
      <c r="I158" s="276"/>
      <c r="J158" s="276"/>
      <c r="K158" s="276"/>
      <c r="L158" s="277"/>
      <c r="M158" s="281">
        <f>L158/100000</f>
        <v>0</v>
      </c>
      <c r="N158" s="277"/>
      <c r="O158" s="1507">
        <f>M158*N158</f>
        <v>0</v>
      </c>
      <c r="P158" s="744"/>
      <c r="Q158" s="1022"/>
      <c r="R158" s="2921"/>
      <c r="BB158" s="3218"/>
      <c r="BC158" s="3218"/>
      <c r="BD158" s="3218"/>
      <c r="BE158" s="3218"/>
      <c r="BF158" s="3218"/>
      <c r="BG158" s="3218"/>
      <c r="BH158" s="3218"/>
      <c r="BI158" s="3218"/>
      <c r="BJ158" s="3218"/>
      <c r="BK158" s="3218"/>
      <c r="BL158" s="3218"/>
      <c r="BM158" s="3218"/>
      <c r="BN158" s="3218"/>
      <c r="BO158" s="3218"/>
      <c r="BP158" s="3218"/>
      <c r="BQ158" s="3218"/>
      <c r="BR158" s="3218"/>
      <c r="BS158" s="3218"/>
      <c r="BT158" s="3218"/>
      <c r="BU158" s="3218"/>
      <c r="BV158" s="3218"/>
      <c r="BW158" s="3218"/>
      <c r="BX158" s="3218"/>
      <c r="BY158" s="3218"/>
      <c r="BZ158" s="3218"/>
      <c r="CA158" s="3218"/>
      <c r="CB158" s="3218"/>
      <c r="CC158" s="3218"/>
      <c r="CD158" s="3218"/>
      <c r="CE158" s="3218"/>
      <c r="CF158" s="3218"/>
      <c r="CG158" s="3218"/>
      <c r="CH158" s="3218"/>
      <c r="CI158" s="3225">
        <f t="shared" si="13"/>
        <v>0</v>
      </c>
    </row>
    <row r="159" spans="1:87" s="1101" customFormat="1">
      <c r="A159" s="1427" t="s">
        <v>2516</v>
      </c>
      <c r="B159" s="1427" t="s">
        <v>1122</v>
      </c>
      <c r="C159" s="1427" t="s">
        <v>1123</v>
      </c>
      <c r="D159" s="1428"/>
      <c r="E159" s="1428"/>
      <c r="F159" s="109"/>
      <c r="G159" s="109"/>
      <c r="H159" s="109"/>
      <c r="I159" s="109"/>
      <c r="J159" s="109"/>
      <c r="K159" s="109"/>
      <c r="L159" s="109"/>
      <c r="M159" s="1538"/>
      <c r="N159" s="419"/>
      <c r="O159" s="1539">
        <f>SUM(O160:O162)</f>
        <v>100</v>
      </c>
      <c r="P159" s="756"/>
      <c r="Q159" s="1344"/>
      <c r="R159" s="2932">
        <f>SUM(R160:R162)</f>
        <v>0</v>
      </c>
      <c r="BB159" s="3225"/>
      <c r="BC159" s="3225"/>
      <c r="BD159" s="3225"/>
      <c r="BE159" s="3225"/>
      <c r="BF159" s="3225"/>
      <c r="BG159" s="3225"/>
      <c r="BH159" s="3225"/>
      <c r="BI159" s="3225"/>
      <c r="BJ159" s="3225"/>
      <c r="BK159" s="3225"/>
      <c r="BL159" s="3225"/>
      <c r="BM159" s="3225"/>
      <c r="BN159" s="3225"/>
      <c r="BO159" s="3225"/>
      <c r="BP159" s="3225"/>
      <c r="BQ159" s="3225"/>
      <c r="BR159" s="3225"/>
      <c r="BS159" s="3225"/>
      <c r="BT159" s="3225"/>
      <c r="BU159" s="3225"/>
      <c r="BV159" s="3225"/>
      <c r="BW159" s="3225"/>
      <c r="BX159" s="3225"/>
      <c r="BY159" s="3225"/>
      <c r="BZ159" s="3225"/>
      <c r="CA159" s="3225"/>
      <c r="CB159" s="3225"/>
      <c r="CC159" s="3225"/>
      <c r="CD159" s="3225"/>
      <c r="CE159" s="3225"/>
      <c r="CF159" s="3225"/>
      <c r="CG159" s="3225"/>
      <c r="CH159" s="3225"/>
      <c r="CI159" s="3225">
        <f t="shared" si="13"/>
        <v>0</v>
      </c>
    </row>
    <row r="160" spans="1:87">
      <c r="A160" s="1407" t="s">
        <v>4197</v>
      </c>
      <c r="B160" s="586"/>
      <c r="C160" s="508" t="s">
        <v>2817</v>
      </c>
      <c r="D160" s="908" t="s">
        <v>65</v>
      </c>
      <c r="E160" s="1120" t="s">
        <v>3828</v>
      </c>
      <c r="F160" s="2211">
        <v>76</v>
      </c>
      <c r="G160" s="276"/>
      <c r="H160" s="2211">
        <v>0</v>
      </c>
      <c r="I160" s="276"/>
      <c r="J160" s="276"/>
      <c r="K160" s="276"/>
      <c r="L160" s="277"/>
      <c r="M160" s="281">
        <f>L160/100000</f>
        <v>0</v>
      </c>
      <c r="N160" s="277"/>
      <c r="O160" s="1507">
        <f>M160*N160</f>
        <v>0</v>
      </c>
      <c r="P160" s="744"/>
      <c r="Q160" s="1022"/>
      <c r="R160" s="2921"/>
      <c r="BB160" s="3218"/>
      <c r="BC160" s="3218"/>
      <c r="BD160" s="3218"/>
      <c r="BE160" s="3218"/>
      <c r="BF160" s="3218"/>
      <c r="BG160" s="3218"/>
      <c r="BH160" s="3218"/>
      <c r="BI160" s="3218"/>
      <c r="BJ160" s="3218"/>
      <c r="BK160" s="3218"/>
      <c r="BL160" s="3218"/>
      <c r="BM160" s="3218"/>
      <c r="BN160" s="3218"/>
      <c r="BO160" s="3218"/>
      <c r="BP160" s="3218"/>
      <c r="BQ160" s="3218"/>
      <c r="BR160" s="3218"/>
      <c r="BS160" s="3218"/>
      <c r="BT160" s="3218"/>
      <c r="BU160" s="3218"/>
      <c r="BV160" s="3218"/>
      <c r="BW160" s="3218"/>
      <c r="BX160" s="3218"/>
      <c r="BY160" s="3218"/>
      <c r="BZ160" s="3218"/>
      <c r="CA160" s="3218"/>
      <c r="CB160" s="3218"/>
      <c r="CC160" s="3218"/>
      <c r="CD160" s="3218"/>
      <c r="CE160" s="3218"/>
      <c r="CF160" s="3218"/>
      <c r="CG160" s="3218"/>
      <c r="CH160" s="3218"/>
      <c r="CI160" s="3225">
        <f t="shared" si="13"/>
        <v>0</v>
      </c>
    </row>
    <row r="161" spans="1:87">
      <c r="A161" s="1407" t="s">
        <v>4198</v>
      </c>
      <c r="B161" s="586"/>
      <c r="C161" s="508" t="s">
        <v>2818</v>
      </c>
      <c r="D161" s="908" t="s">
        <v>65</v>
      </c>
      <c r="E161" s="1120" t="s">
        <v>3826</v>
      </c>
      <c r="F161" s="2211">
        <v>0</v>
      </c>
      <c r="G161" s="276"/>
      <c r="H161" s="2211">
        <v>0</v>
      </c>
      <c r="I161" s="276"/>
      <c r="J161" s="276"/>
      <c r="K161" s="276"/>
      <c r="L161" s="277"/>
      <c r="M161" s="281">
        <f>L161/100000</f>
        <v>0</v>
      </c>
      <c r="N161" s="277"/>
      <c r="O161" s="1507">
        <f>M161*N161</f>
        <v>0</v>
      </c>
      <c r="P161" s="744"/>
      <c r="Q161" s="1022"/>
      <c r="R161" s="2921"/>
      <c r="BB161" s="3218"/>
      <c r="BC161" s="3218"/>
      <c r="BD161" s="3218"/>
      <c r="BE161" s="3218"/>
      <c r="BF161" s="3218"/>
      <c r="BG161" s="3218"/>
      <c r="BH161" s="3218"/>
      <c r="BI161" s="3218"/>
      <c r="BJ161" s="3218"/>
      <c r="BK161" s="3218"/>
      <c r="BL161" s="3218"/>
      <c r="BM161" s="3218"/>
      <c r="BN161" s="3218"/>
      <c r="BO161" s="3218"/>
      <c r="BP161" s="3218"/>
      <c r="BQ161" s="3218"/>
      <c r="BR161" s="3218"/>
      <c r="BS161" s="3218"/>
      <c r="BT161" s="3218"/>
      <c r="BU161" s="3218"/>
      <c r="BV161" s="3218"/>
      <c r="BW161" s="3218"/>
      <c r="BX161" s="3218"/>
      <c r="BY161" s="3218"/>
      <c r="BZ161" s="3218"/>
      <c r="CA161" s="3218"/>
      <c r="CB161" s="3218"/>
      <c r="CC161" s="3218"/>
      <c r="CD161" s="3218"/>
      <c r="CE161" s="3218"/>
      <c r="CF161" s="3218"/>
      <c r="CG161" s="3218"/>
      <c r="CH161" s="3218"/>
      <c r="CI161" s="3225">
        <f t="shared" si="13"/>
        <v>0</v>
      </c>
    </row>
    <row r="162" spans="1:87" s="1380" customFormat="1" ht="75">
      <c r="A162" s="473" t="s">
        <v>4199</v>
      </c>
      <c r="B162" s="586"/>
      <c r="C162" s="391" t="s">
        <v>1304</v>
      </c>
      <c r="D162" s="982" t="s">
        <v>65</v>
      </c>
      <c r="E162" s="1075" t="s">
        <v>65</v>
      </c>
      <c r="F162" s="2216">
        <v>1</v>
      </c>
      <c r="G162" s="421"/>
      <c r="H162" s="2216">
        <v>0</v>
      </c>
      <c r="I162" s="421"/>
      <c r="J162" s="421"/>
      <c r="K162" s="421"/>
      <c r="L162" s="2448">
        <v>10000000</v>
      </c>
      <c r="M162" s="2261">
        <f>L162/100000</f>
        <v>100</v>
      </c>
      <c r="N162" s="283">
        <v>1</v>
      </c>
      <c r="O162" s="1472">
        <f>M162*N162</f>
        <v>100</v>
      </c>
      <c r="P162" s="2468" t="s">
        <v>5243</v>
      </c>
      <c r="Q162" s="2834" t="s">
        <v>5893</v>
      </c>
      <c r="R162" s="3018">
        <v>0</v>
      </c>
      <c r="BB162" s="3219"/>
      <c r="BC162" s="3219"/>
      <c r="BD162" s="3219"/>
      <c r="BE162" s="3219"/>
      <c r="BF162" s="3219"/>
      <c r="BG162" s="3219"/>
      <c r="BH162" s="3219"/>
      <c r="BI162" s="3219"/>
      <c r="BJ162" s="3219"/>
      <c r="BK162" s="3219"/>
      <c r="BL162" s="3219"/>
      <c r="BM162" s="3219"/>
      <c r="BN162" s="3219"/>
      <c r="BO162" s="3219"/>
      <c r="BP162" s="3219"/>
      <c r="BQ162" s="3219"/>
      <c r="BR162" s="3219"/>
      <c r="BS162" s="3219"/>
      <c r="BT162" s="3219"/>
      <c r="BU162" s="3219"/>
      <c r="BV162" s="3219"/>
      <c r="BW162" s="3219"/>
      <c r="BX162" s="3219"/>
      <c r="BY162" s="3219"/>
      <c r="BZ162" s="3219"/>
      <c r="CA162" s="3219"/>
      <c r="CB162" s="3219"/>
      <c r="CC162" s="3219"/>
      <c r="CD162" s="3219"/>
      <c r="CE162" s="3219"/>
      <c r="CF162" s="3219"/>
      <c r="CG162" s="3219"/>
      <c r="CH162" s="3219"/>
      <c r="CI162" s="3225">
        <f t="shared" si="13"/>
        <v>0</v>
      </c>
    </row>
    <row r="163" spans="1:87">
      <c r="A163" s="1540" t="s">
        <v>1129</v>
      </c>
      <c r="B163" s="1541"/>
      <c r="C163" s="1542" t="s">
        <v>2518</v>
      </c>
      <c r="D163" s="938"/>
      <c r="E163" s="938"/>
      <c r="F163" s="295"/>
      <c r="G163" s="295"/>
      <c r="H163" s="295"/>
      <c r="I163" s="295"/>
      <c r="J163" s="295"/>
      <c r="K163" s="295"/>
      <c r="L163" s="295"/>
      <c r="M163" s="1537"/>
      <c r="N163" s="417"/>
      <c r="O163" s="1537">
        <f>SUM(O164:O168)</f>
        <v>0</v>
      </c>
      <c r="P163" s="757"/>
      <c r="Q163" s="1000"/>
      <c r="R163" s="2875">
        <f>SUM(R164:R168)</f>
        <v>0</v>
      </c>
      <c r="BB163" s="3218"/>
      <c r="BC163" s="3218"/>
      <c r="BD163" s="3218"/>
      <c r="BE163" s="3218"/>
      <c r="BF163" s="3218"/>
      <c r="BG163" s="3218"/>
      <c r="BH163" s="3218"/>
      <c r="BI163" s="3218"/>
      <c r="BJ163" s="3218"/>
      <c r="BK163" s="3218"/>
      <c r="BL163" s="3218"/>
      <c r="BM163" s="3218"/>
      <c r="BN163" s="3218"/>
      <c r="BO163" s="3218"/>
      <c r="BP163" s="3218"/>
      <c r="BQ163" s="3218"/>
      <c r="BR163" s="3218"/>
      <c r="BS163" s="3218"/>
      <c r="BT163" s="3218"/>
      <c r="BU163" s="3218"/>
      <c r="BV163" s="3218"/>
      <c r="BW163" s="3218"/>
      <c r="BX163" s="3218"/>
      <c r="BY163" s="3218"/>
      <c r="BZ163" s="3218"/>
      <c r="CA163" s="3218"/>
      <c r="CB163" s="3218"/>
      <c r="CC163" s="3218"/>
      <c r="CD163" s="3218"/>
      <c r="CE163" s="3218"/>
      <c r="CF163" s="3218"/>
      <c r="CG163" s="3218"/>
      <c r="CH163" s="3218"/>
      <c r="CI163" s="3225">
        <f t="shared" si="13"/>
        <v>0</v>
      </c>
    </row>
    <row r="164" spans="1:87">
      <c r="A164" s="508" t="s">
        <v>1130</v>
      </c>
      <c r="B164" s="508" t="s">
        <v>1133</v>
      </c>
      <c r="C164" s="508" t="s">
        <v>2819</v>
      </c>
      <c r="D164" s="908" t="s">
        <v>65</v>
      </c>
      <c r="E164" s="1543" t="s">
        <v>4723</v>
      </c>
      <c r="F164" s="2211">
        <v>0</v>
      </c>
      <c r="G164" s="276"/>
      <c r="H164" s="2211">
        <v>0</v>
      </c>
      <c r="I164" s="276"/>
      <c r="J164" s="276"/>
      <c r="K164" s="276"/>
      <c r="L164" s="277"/>
      <c r="M164" s="281">
        <f>L164/100000</f>
        <v>0</v>
      </c>
      <c r="N164" s="277"/>
      <c r="O164" s="1507">
        <f>M164*N164</f>
        <v>0</v>
      </c>
      <c r="P164" s="744"/>
      <c r="Q164" s="1017">
        <f>'Ab3. ASHA'!Q89</f>
        <v>0</v>
      </c>
      <c r="R164" s="2931">
        <f>'Ab3. ASHA'!R89</f>
        <v>0</v>
      </c>
      <c r="BB164" s="3218"/>
      <c r="BC164" s="3218"/>
      <c r="BD164" s="3218"/>
      <c r="BE164" s="3218"/>
      <c r="BF164" s="3218"/>
      <c r="BG164" s="3218"/>
      <c r="BH164" s="3218"/>
      <c r="BI164" s="3218"/>
      <c r="BJ164" s="3218"/>
      <c r="BK164" s="3218"/>
      <c r="BL164" s="3218"/>
      <c r="BM164" s="3218"/>
      <c r="BN164" s="3218"/>
      <c r="BO164" s="3218"/>
      <c r="BP164" s="3218"/>
      <c r="BQ164" s="3218"/>
      <c r="BR164" s="3218"/>
      <c r="BS164" s="3218"/>
      <c r="BT164" s="3218"/>
      <c r="BU164" s="3218"/>
      <c r="BV164" s="3218"/>
      <c r="BW164" s="3218"/>
      <c r="BX164" s="3218"/>
      <c r="BY164" s="3218"/>
      <c r="BZ164" s="3218"/>
      <c r="CA164" s="3218"/>
      <c r="CB164" s="3218"/>
      <c r="CC164" s="3218"/>
      <c r="CD164" s="3218"/>
      <c r="CE164" s="3218"/>
      <c r="CF164" s="3218"/>
      <c r="CG164" s="3218"/>
      <c r="CH164" s="3218"/>
      <c r="CI164" s="3225">
        <f t="shared" si="13"/>
        <v>0</v>
      </c>
    </row>
    <row r="165" spans="1:87" ht="30">
      <c r="A165" s="508" t="s">
        <v>4200</v>
      </c>
      <c r="B165" s="508" t="s">
        <v>1134</v>
      </c>
      <c r="C165" s="508" t="s">
        <v>4759</v>
      </c>
      <c r="D165" s="908" t="s">
        <v>65</v>
      </c>
      <c r="E165" s="1543" t="s">
        <v>4723</v>
      </c>
      <c r="F165" s="2212">
        <v>0</v>
      </c>
      <c r="G165" s="270"/>
      <c r="H165" s="2212">
        <v>0</v>
      </c>
      <c r="I165" s="270"/>
      <c r="J165" s="270"/>
      <c r="K165" s="270"/>
      <c r="L165" s="277"/>
      <c r="M165" s="281">
        <f>L165/100000</f>
        <v>0</v>
      </c>
      <c r="N165" s="277"/>
      <c r="O165" s="1513">
        <f>M165*N165</f>
        <v>0</v>
      </c>
      <c r="P165" s="758"/>
      <c r="Q165" s="1017">
        <f>'Ab3. ASHA'!Q90</f>
        <v>0</v>
      </c>
      <c r="R165" s="2931">
        <f>'Ab3. ASHA'!R90</f>
        <v>0</v>
      </c>
      <c r="BB165" s="3218"/>
      <c r="BC165" s="3218"/>
      <c r="BD165" s="3218"/>
      <c r="BE165" s="3218"/>
      <c r="BF165" s="3218"/>
      <c r="BG165" s="3218"/>
      <c r="BH165" s="3218"/>
      <c r="BI165" s="3218"/>
      <c r="BJ165" s="3218"/>
      <c r="BK165" s="3218"/>
      <c r="BL165" s="3218"/>
      <c r="BM165" s="3218"/>
      <c r="BN165" s="3218"/>
      <c r="BO165" s="3218"/>
      <c r="BP165" s="3218"/>
      <c r="BQ165" s="3218"/>
      <c r="BR165" s="3218"/>
      <c r="BS165" s="3218"/>
      <c r="BT165" s="3218"/>
      <c r="BU165" s="3218"/>
      <c r="BV165" s="3218"/>
      <c r="BW165" s="3218"/>
      <c r="BX165" s="3218"/>
      <c r="BY165" s="3218"/>
      <c r="BZ165" s="3218"/>
      <c r="CA165" s="3218"/>
      <c r="CB165" s="3218"/>
      <c r="CC165" s="3218"/>
      <c r="CD165" s="3218"/>
      <c r="CE165" s="3218"/>
      <c r="CF165" s="3218"/>
      <c r="CG165" s="3218"/>
      <c r="CH165" s="3218"/>
      <c r="CI165" s="3225">
        <f t="shared" si="13"/>
        <v>0</v>
      </c>
    </row>
    <row r="166" spans="1:87" ht="30">
      <c r="A166" s="508" t="s">
        <v>4201</v>
      </c>
      <c r="B166" s="508" t="s">
        <v>1135</v>
      </c>
      <c r="C166" s="508" t="s">
        <v>4760</v>
      </c>
      <c r="D166" s="908" t="s">
        <v>65</v>
      </c>
      <c r="E166" s="1543" t="s">
        <v>4723</v>
      </c>
      <c r="F166" s="2212">
        <v>0</v>
      </c>
      <c r="G166" s="270"/>
      <c r="H166" s="2212">
        <v>0</v>
      </c>
      <c r="I166" s="270"/>
      <c r="J166" s="270"/>
      <c r="K166" s="270"/>
      <c r="L166" s="277"/>
      <c r="M166" s="281">
        <f>L166/100000</f>
        <v>0</v>
      </c>
      <c r="N166" s="277"/>
      <c r="O166" s="1513">
        <f>M166*N166</f>
        <v>0</v>
      </c>
      <c r="P166" s="758"/>
      <c r="Q166" s="1017">
        <f>'Ab3. ASHA'!Q91</f>
        <v>0</v>
      </c>
      <c r="R166" s="2931">
        <f>'Ab3. ASHA'!R91</f>
        <v>0</v>
      </c>
      <c r="BB166" s="3218"/>
      <c r="BC166" s="3218"/>
      <c r="BD166" s="3218"/>
      <c r="BE166" s="3218"/>
      <c r="BF166" s="3218"/>
      <c r="BG166" s="3218"/>
      <c r="BH166" s="3218"/>
      <c r="BI166" s="3218"/>
      <c r="BJ166" s="3218"/>
      <c r="BK166" s="3218"/>
      <c r="BL166" s="3218"/>
      <c r="BM166" s="3218"/>
      <c r="BN166" s="3218"/>
      <c r="BO166" s="3218"/>
      <c r="BP166" s="3218"/>
      <c r="BQ166" s="3218"/>
      <c r="BR166" s="3218"/>
      <c r="BS166" s="3218"/>
      <c r="BT166" s="3218"/>
      <c r="BU166" s="3218"/>
      <c r="BV166" s="3218"/>
      <c r="BW166" s="3218"/>
      <c r="BX166" s="3218"/>
      <c r="BY166" s="3218"/>
      <c r="BZ166" s="3218"/>
      <c r="CA166" s="3218"/>
      <c r="CB166" s="3218"/>
      <c r="CC166" s="3218"/>
      <c r="CD166" s="3218"/>
      <c r="CE166" s="3218"/>
      <c r="CF166" s="3218"/>
      <c r="CG166" s="3218"/>
      <c r="CH166" s="3218"/>
      <c r="CI166" s="3225">
        <f t="shared" si="13"/>
        <v>0</v>
      </c>
    </row>
    <row r="167" spans="1:87" ht="30">
      <c r="A167" s="508" t="s">
        <v>4202</v>
      </c>
      <c r="B167" s="508" t="s">
        <v>1136</v>
      </c>
      <c r="C167" s="508" t="s">
        <v>4761</v>
      </c>
      <c r="D167" s="908" t="s">
        <v>65</v>
      </c>
      <c r="E167" s="1543" t="s">
        <v>4723</v>
      </c>
      <c r="F167" s="2212">
        <v>0</v>
      </c>
      <c r="G167" s="270"/>
      <c r="H167" s="2212">
        <v>0</v>
      </c>
      <c r="I167" s="270"/>
      <c r="J167" s="270"/>
      <c r="K167" s="270"/>
      <c r="L167" s="277"/>
      <c r="M167" s="281">
        <f>L167/100000</f>
        <v>0</v>
      </c>
      <c r="N167" s="277"/>
      <c r="O167" s="1513">
        <f>M167*N167</f>
        <v>0</v>
      </c>
      <c r="P167" s="758"/>
      <c r="Q167" s="1017">
        <f>'Ab3. ASHA'!Q92</f>
        <v>0</v>
      </c>
      <c r="R167" s="2931">
        <f>'Ab3. ASHA'!R92</f>
        <v>0</v>
      </c>
      <c r="BB167" s="3218"/>
      <c r="BC167" s="3218"/>
      <c r="BD167" s="3218"/>
      <c r="BE167" s="3218"/>
      <c r="BF167" s="3218"/>
      <c r="BG167" s="3218"/>
      <c r="BH167" s="3218"/>
      <c r="BI167" s="3218"/>
      <c r="BJ167" s="3218"/>
      <c r="BK167" s="3218"/>
      <c r="BL167" s="3218"/>
      <c r="BM167" s="3218"/>
      <c r="BN167" s="3218"/>
      <c r="BO167" s="3218"/>
      <c r="BP167" s="3218"/>
      <c r="BQ167" s="3218"/>
      <c r="BR167" s="3218"/>
      <c r="BS167" s="3218"/>
      <c r="BT167" s="3218"/>
      <c r="BU167" s="3218"/>
      <c r="BV167" s="3218"/>
      <c r="BW167" s="3218"/>
      <c r="BX167" s="3218"/>
      <c r="BY167" s="3218"/>
      <c r="BZ167" s="3218"/>
      <c r="CA167" s="3218"/>
      <c r="CB167" s="3218"/>
      <c r="CC167" s="3218"/>
      <c r="CD167" s="3218"/>
      <c r="CE167" s="3218"/>
      <c r="CF167" s="3218"/>
      <c r="CG167" s="3218"/>
      <c r="CH167" s="3218"/>
      <c r="CI167" s="3225">
        <f t="shared" si="13"/>
        <v>0</v>
      </c>
    </row>
    <row r="168" spans="1:87">
      <c r="A168" s="508" t="s">
        <v>2517</v>
      </c>
      <c r="B168" s="586"/>
      <c r="C168" s="508" t="s">
        <v>1304</v>
      </c>
      <c r="D168" s="908" t="s">
        <v>65</v>
      </c>
      <c r="E168" s="1543" t="s">
        <v>4723</v>
      </c>
      <c r="F168" s="2212">
        <v>0</v>
      </c>
      <c r="G168" s="270"/>
      <c r="H168" s="2212">
        <v>0</v>
      </c>
      <c r="I168" s="270"/>
      <c r="J168" s="270"/>
      <c r="K168" s="270"/>
      <c r="L168" s="277"/>
      <c r="M168" s="281">
        <f>L168/100000</f>
        <v>0</v>
      </c>
      <c r="N168" s="277"/>
      <c r="O168" s="1513">
        <f>M168*N168</f>
        <v>0</v>
      </c>
      <c r="P168" s="758"/>
      <c r="Q168" s="1017">
        <f>'Ab3. ASHA'!Q93</f>
        <v>0</v>
      </c>
      <c r="R168" s="2931">
        <f>'Ab3. ASHA'!R93</f>
        <v>0</v>
      </c>
      <c r="BB168" s="3218"/>
      <c r="BC168" s="3218"/>
      <c r="BD168" s="3218"/>
      <c r="BE168" s="3218"/>
      <c r="BF168" s="3218"/>
      <c r="BG168" s="3218"/>
      <c r="BH168" s="3218"/>
      <c r="BI168" s="3218"/>
      <c r="BJ168" s="3218"/>
      <c r="BK168" s="3218"/>
      <c r="BL168" s="3218"/>
      <c r="BM168" s="3218"/>
      <c r="BN168" s="3218"/>
      <c r="BO168" s="3218"/>
      <c r="BP168" s="3218"/>
      <c r="BQ168" s="3218"/>
      <c r="BR168" s="3218"/>
      <c r="BS168" s="3218"/>
      <c r="BT168" s="3218"/>
      <c r="BU168" s="3218"/>
      <c r="BV168" s="3218"/>
      <c r="BW168" s="3218"/>
      <c r="BX168" s="3218"/>
      <c r="BY168" s="3218"/>
      <c r="BZ168" s="3218"/>
      <c r="CA168" s="3218"/>
      <c r="CB168" s="3218"/>
      <c r="CC168" s="3218"/>
      <c r="CD168" s="3218"/>
      <c r="CE168" s="3218"/>
      <c r="CF168" s="3218"/>
      <c r="CG168" s="3218"/>
      <c r="CH168" s="3218"/>
      <c r="CI168" s="3225">
        <f t="shared" si="13"/>
        <v>0</v>
      </c>
    </row>
    <row r="169" spans="1:87">
      <c r="A169" s="1540" t="s">
        <v>2101</v>
      </c>
      <c r="B169" s="1541"/>
      <c r="C169" s="1542" t="s">
        <v>4820</v>
      </c>
      <c r="D169" s="938"/>
      <c r="E169" s="938"/>
      <c r="F169" s="295"/>
      <c r="G169" s="295"/>
      <c r="H169" s="295"/>
      <c r="I169" s="295"/>
      <c r="J169" s="295"/>
      <c r="K169" s="295"/>
      <c r="L169" s="295"/>
      <c r="M169" s="1537"/>
      <c r="N169" s="417"/>
      <c r="O169" s="1537">
        <f>SUM(O170:O173)</f>
        <v>0</v>
      </c>
      <c r="P169" s="757"/>
      <c r="Q169" s="1000"/>
      <c r="R169" s="2929">
        <f>SUM(R170:R173)</f>
        <v>0</v>
      </c>
      <c r="BB169" s="3218"/>
      <c r="BC169" s="3218"/>
      <c r="BD169" s="3218"/>
      <c r="BE169" s="3218"/>
      <c r="BF169" s="3218"/>
      <c r="BG169" s="3218"/>
      <c r="BH169" s="3218"/>
      <c r="BI169" s="3218"/>
      <c r="BJ169" s="3218"/>
      <c r="BK169" s="3218"/>
      <c r="BL169" s="3218"/>
      <c r="BM169" s="3218"/>
      <c r="BN169" s="3218"/>
      <c r="BO169" s="3218"/>
      <c r="BP169" s="3218"/>
      <c r="BQ169" s="3218"/>
      <c r="BR169" s="3218"/>
      <c r="BS169" s="3218"/>
      <c r="BT169" s="3218"/>
      <c r="BU169" s="3218"/>
      <c r="BV169" s="3218"/>
      <c r="BW169" s="3218"/>
      <c r="BX169" s="3218"/>
      <c r="BY169" s="3218"/>
      <c r="BZ169" s="3218"/>
      <c r="CA169" s="3218"/>
      <c r="CB169" s="3218"/>
      <c r="CC169" s="3218"/>
      <c r="CD169" s="3218"/>
      <c r="CE169" s="3218"/>
      <c r="CF169" s="3218"/>
      <c r="CG169" s="3218"/>
      <c r="CH169" s="3218"/>
      <c r="CI169" s="3225">
        <f t="shared" si="13"/>
        <v>0</v>
      </c>
    </row>
    <row r="170" spans="1:87">
      <c r="A170" s="508" t="s">
        <v>2102</v>
      </c>
      <c r="B170" s="508" t="s">
        <v>1137</v>
      </c>
      <c r="C170" s="508" t="s">
        <v>1138</v>
      </c>
      <c r="D170" s="908" t="s">
        <v>65</v>
      </c>
      <c r="E170" s="1120" t="s">
        <v>65</v>
      </c>
      <c r="F170" s="2212">
        <v>0</v>
      </c>
      <c r="G170" s="270"/>
      <c r="H170" s="2212">
        <v>0</v>
      </c>
      <c r="I170" s="270"/>
      <c r="J170" s="270"/>
      <c r="K170" s="270"/>
      <c r="L170" s="277"/>
      <c r="M170" s="281">
        <f>L170/100000</f>
        <v>0</v>
      </c>
      <c r="N170" s="277"/>
      <c r="O170" s="1513">
        <f>M170*N170</f>
        <v>0</v>
      </c>
      <c r="P170" s="758"/>
      <c r="Q170" s="1022"/>
      <c r="R170" s="2921"/>
      <c r="BB170" s="3218"/>
      <c r="BC170" s="3218"/>
      <c r="BD170" s="3218"/>
      <c r="BE170" s="3218"/>
      <c r="BF170" s="3218"/>
      <c r="BG170" s="3218"/>
      <c r="BH170" s="3218"/>
      <c r="BI170" s="3218"/>
      <c r="BJ170" s="3218"/>
      <c r="BK170" s="3218"/>
      <c r="BL170" s="3218"/>
      <c r="BM170" s="3218"/>
      <c r="BN170" s="3218"/>
      <c r="BO170" s="3218"/>
      <c r="BP170" s="3218"/>
      <c r="BQ170" s="3218"/>
      <c r="BR170" s="3218"/>
      <c r="BS170" s="3218"/>
      <c r="BT170" s="3218"/>
      <c r="BU170" s="3218"/>
      <c r="BV170" s="3218"/>
      <c r="BW170" s="3218"/>
      <c r="BX170" s="3218"/>
      <c r="BY170" s="3218"/>
      <c r="BZ170" s="3218"/>
      <c r="CA170" s="3218"/>
      <c r="CB170" s="3218"/>
      <c r="CC170" s="3218"/>
      <c r="CD170" s="3218"/>
      <c r="CE170" s="3218"/>
      <c r="CF170" s="3218"/>
      <c r="CG170" s="3218"/>
      <c r="CH170" s="3218"/>
      <c r="CI170" s="3225">
        <f t="shared" si="13"/>
        <v>0</v>
      </c>
    </row>
    <row r="171" spans="1:87">
      <c r="A171" s="508" t="s">
        <v>2103</v>
      </c>
      <c r="B171" s="508" t="s">
        <v>1139</v>
      </c>
      <c r="C171" s="508" t="s">
        <v>1140</v>
      </c>
      <c r="D171" s="908" t="s">
        <v>65</v>
      </c>
      <c r="E171" s="1120" t="s">
        <v>65</v>
      </c>
      <c r="F171" s="2212">
        <v>0</v>
      </c>
      <c r="G171" s="270"/>
      <c r="H171" s="2212">
        <v>0</v>
      </c>
      <c r="I171" s="270"/>
      <c r="J171" s="270"/>
      <c r="K171" s="270"/>
      <c r="L171" s="277"/>
      <c r="M171" s="281">
        <f>L171/100000</f>
        <v>0</v>
      </c>
      <c r="N171" s="277"/>
      <c r="O171" s="1513">
        <f>M171*N171</f>
        <v>0</v>
      </c>
      <c r="P171" s="758"/>
      <c r="Q171" s="1022"/>
      <c r="R171" s="2921"/>
      <c r="BB171" s="3218"/>
      <c r="BC171" s="3218"/>
      <c r="BD171" s="3218"/>
      <c r="BE171" s="3218"/>
      <c r="BF171" s="3218"/>
      <c r="BG171" s="3218"/>
      <c r="BH171" s="3218"/>
      <c r="BI171" s="3218"/>
      <c r="BJ171" s="3218"/>
      <c r="BK171" s="3218"/>
      <c r="BL171" s="3218"/>
      <c r="BM171" s="3218"/>
      <c r="BN171" s="3218"/>
      <c r="BO171" s="3218"/>
      <c r="BP171" s="3218"/>
      <c r="BQ171" s="3218"/>
      <c r="BR171" s="3218"/>
      <c r="BS171" s="3218"/>
      <c r="BT171" s="3218"/>
      <c r="BU171" s="3218"/>
      <c r="BV171" s="3218"/>
      <c r="BW171" s="3218"/>
      <c r="BX171" s="3218"/>
      <c r="BY171" s="3218"/>
      <c r="BZ171" s="3218"/>
      <c r="CA171" s="3218"/>
      <c r="CB171" s="3218"/>
      <c r="CC171" s="3218"/>
      <c r="CD171" s="3218"/>
      <c r="CE171" s="3218"/>
      <c r="CF171" s="3218"/>
      <c r="CG171" s="3218"/>
      <c r="CH171" s="3218"/>
      <c r="CI171" s="3225">
        <f t="shared" si="13"/>
        <v>0</v>
      </c>
    </row>
    <row r="172" spans="1:87">
      <c r="A172" s="508" t="s">
        <v>2104</v>
      </c>
      <c r="B172" s="508" t="s">
        <v>1141</v>
      </c>
      <c r="C172" s="508" t="s">
        <v>1142</v>
      </c>
      <c r="D172" s="908" t="s">
        <v>65</v>
      </c>
      <c r="E172" s="1120" t="s">
        <v>65</v>
      </c>
      <c r="F172" s="2212">
        <v>0</v>
      </c>
      <c r="G172" s="270"/>
      <c r="H172" s="2212">
        <v>0</v>
      </c>
      <c r="I172" s="270"/>
      <c r="J172" s="270"/>
      <c r="K172" s="270"/>
      <c r="L172" s="277"/>
      <c r="M172" s="281">
        <f>L172/100000</f>
        <v>0</v>
      </c>
      <c r="N172" s="277"/>
      <c r="O172" s="1513">
        <f>M172*N172</f>
        <v>0</v>
      </c>
      <c r="P172" s="758"/>
      <c r="Q172" s="1022"/>
      <c r="R172" s="2921"/>
      <c r="BB172" s="3218"/>
      <c r="BC172" s="3218"/>
      <c r="BD172" s="3218"/>
      <c r="BE172" s="3218"/>
      <c r="BF172" s="3218"/>
      <c r="BG172" s="3218"/>
      <c r="BH172" s="3218"/>
      <c r="BI172" s="3218"/>
      <c r="BJ172" s="3218"/>
      <c r="BK172" s="3218"/>
      <c r="BL172" s="3218"/>
      <c r="BM172" s="3218"/>
      <c r="BN172" s="3218"/>
      <c r="BO172" s="3218"/>
      <c r="BP172" s="3218"/>
      <c r="BQ172" s="3218"/>
      <c r="BR172" s="3218"/>
      <c r="BS172" s="3218"/>
      <c r="BT172" s="3218"/>
      <c r="BU172" s="3218"/>
      <c r="BV172" s="3218"/>
      <c r="BW172" s="3218"/>
      <c r="BX172" s="3218"/>
      <c r="BY172" s="3218"/>
      <c r="BZ172" s="3218"/>
      <c r="CA172" s="3218"/>
      <c r="CB172" s="3218"/>
      <c r="CC172" s="3218"/>
      <c r="CD172" s="3218"/>
      <c r="CE172" s="3218"/>
      <c r="CF172" s="3218"/>
      <c r="CG172" s="3218"/>
      <c r="CH172" s="3218"/>
      <c r="CI172" s="3225">
        <f t="shared" si="13"/>
        <v>0</v>
      </c>
    </row>
    <row r="173" spans="1:87">
      <c r="A173" s="508" t="s">
        <v>2519</v>
      </c>
      <c r="B173" s="586"/>
      <c r="C173" s="508" t="s">
        <v>1304</v>
      </c>
      <c r="D173" s="908" t="s">
        <v>65</v>
      </c>
      <c r="E173" s="1120" t="s">
        <v>65</v>
      </c>
      <c r="F173" s="2212">
        <v>0</v>
      </c>
      <c r="G173" s="270"/>
      <c r="H173" s="2212">
        <v>0</v>
      </c>
      <c r="I173" s="270"/>
      <c r="J173" s="270"/>
      <c r="K173" s="270"/>
      <c r="L173" s="277"/>
      <c r="M173" s="281">
        <f>L173/100000</f>
        <v>0</v>
      </c>
      <c r="N173" s="277"/>
      <c r="O173" s="1513">
        <f>M173*N173</f>
        <v>0</v>
      </c>
      <c r="P173" s="758"/>
      <c r="Q173" s="1022"/>
      <c r="R173" s="2921"/>
      <c r="BB173" s="3218"/>
      <c r="BC173" s="3218"/>
      <c r="BD173" s="3218"/>
      <c r="BE173" s="3218"/>
      <c r="BF173" s="3218"/>
      <c r="BG173" s="3218"/>
      <c r="BH173" s="3218"/>
      <c r="BI173" s="3218"/>
      <c r="BJ173" s="3218"/>
      <c r="BK173" s="3218"/>
      <c r="BL173" s="3218"/>
      <c r="BM173" s="3218"/>
      <c r="BN173" s="3218"/>
      <c r="BO173" s="3218"/>
      <c r="BP173" s="3218"/>
      <c r="BQ173" s="3218"/>
      <c r="BR173" s="3218"/>
      <c r="BS173" s="3218"/>
      <c r="BT173" s="3218"/>
      <c r="BU173" s="3218"/>
      <c r="BV173" s="3218"/>
      <c r="BW173" s="3218"/>
      <c r="BX173" s="3218"/>
      <c r="BY173" s="3218"/>
      <c r="BZ173" s="3218"/>
      <c r="CA173" s="3218"/>
      <c r="CB173" s="3218"/>
      <c r="CC173" s="3218"/>
      <c r="CD173" s="3218"/>
      <c r="CE173" s="3218"/>
      <c r="CF173" s="3218"/>
      <c r="CG173" s="3218"/>
      <c r="CH173" s="3218"/>
      <c r="CI173" s="3225">
        <f t="shared" si="13"/>
        <v>0</v>
      </c>
    </row>
    <row r="174" spans="1:87">
      <c r="A174" s="1540" t="s">
        <v>2105</v>
      </c>
      <c r="B174" s="1541"/>
      <c r="C174" s="1542" t="s">
        <v>1143</v>
      </c>
      <c r="D174" s="938"/>
      <c r="E174" s="938"/>
      <c r="F174" s="295"/>
      <c r="G174" s="295"/>
      <c r="H174" s="295"/>
      <c r="I174" s="295"/>
      <c r="J174" s="295"/>
      <c r="K174" s="295"/>
      <c r="L174" s="295"/>
      <c r="M174" s="1537"/>
      <c r="N174" s="417"/>
      <c r="O174" s="1537">
        <f>SUM(O175:O176)</f>
        <v>0</v>
      </c>
      <c r="P174" s="757"/>
      <c r="Q174" s="1000"/>
      <c r="R174" s="2929">
        <f>SUM(R175:R176)</f>
        <v>0</v>
      </c>
      <c r="BB174" s="3218"/>
      <c r="BC174" s="3218"/>
      <c r="BD174" s="3218"/>
      <c r="BE174" s="3218"/>
      <c r="BF174" s="3218"/>
      <c r="BG174" s="3218"/>
      <c r="BH174" s="3218"/>
      <c r="BI174" s="3218"/>
      <c r="BJ174" s="3218"/>
      <c r="BK174" s="3218"/>
      <c r="BL174" s="3218"/>
      <c r="BM174" s="3218"/>
      <c r="BN174" s="3218"/>
      <c r="BO174" s="3218"/>
      <c r="BP174" s="3218"/>
      <c r="BQ174" s="3218"/>
      <c r="BR174" s="3218"/>
      <c r="BS174" s="3218"/>
      <c r="BT174" s="3218"/>
      <c r="BU174" s="3218"/>
      <c r="BV174" s="3218"/>
      <c r="BW174" s="3218"/>
      <c r="BX174" s="3218"/>
      <c r="BY174" s="3218"/>
      <c r="BZ174" s="3218"/>
      <c r="CA174" s="3218"/>
      <c r="CB174" s="3218"/>
      <c r="CC174" s="3218"/>
      <c r="CD174" s="3218"/>
      <c r="CE174" s="3218"/>
      <c r="CF174" s="3218"/>
      <c r="CG174" s="3218"/>
      <c r="CH174" s="3218"/>
      <c r="CI174" s="3225">
        <f t="shared" si="13"/>
        <v>0</v>
      </c>
    </row>
    <row r="175" spans="1:87">
      <c r="A175" s="508" t="s">
        <v>2106</v>
      </c>
      <c r="B175" s="508" t="s">
        <v>1144</v>
      </c>
      <c r="C175" s="508" t="s">
        <v>1145</v>
      </c>
      <c r="D175" s="908" t="s">
        <v>65</v>
      </c>
      <c r="E175" s="1120" t="s">
        <v>2765</v>
      </c>
      <c r="F175" s="2212">
        <v>0</v>
      </c>
      <c r="G175" s="270"/>
      <c r="H175" s="2212">
        <v>0</v>
      </c>
      <c r="I175" s="270"/>
      <c r="J175" s="270"/>
      <c r="K175" s="270"/>
      <c r="L175" s="277"/>
      <c r="M175" s="281">
        <f>L175/100000</f>
        <v>0</v>
      </c>
      <c r="N175" s="277"/>
      <c r="O175" s="1513">
        <f>M175*N175</f>
        <v>0</v>
      </c>
      <c r="P175" s="758"/>
      <c r="Q175" s="1017">
        <f>'Abs7. AYUSH'!Q12</f>
        <v>0</v>
      </c>
      <c r="R175" s="2931">
        <f>'Abs7. AYUSH'!R12</f>
        <v>0</v>
      </c>
      <c r="BB175" s="3218"/>
      <c r="BC175" s="3218"/>
      <c r="BD175" s="3218"/>
      <c r="BE175" s="3218"/>
      <c r="BF175" s="3218"/>
      <c r="BG175" s="3218"/>
      <c r="BH175" s="3218"/>
      <c r="BI175" s="3218"/>
      <c r="BJ175" s="3218"/>
      <c r="BK175" s="3218"/>
      <c r="BL175" s="3218"/>
      <c r="BM175" s="3218"/>
      <c r="BN175" s="3218"/>
      <c r="BO175" s="3218"/>
      <c r="BP175" s="3218"/>
      <c r="BQ175" s="3218"/>
      <c r="BR175" s="3218"/>
      <c r="BS175" s="3218"/>
      <c r="BT175" s="3218"/>
      <c r="BU175" s="3218"/>
      <c r="BV175" s="3218"/>
      <c r="BW175" s="3218"/>
      <c r="BX175" s="3218"/>
      <c r="BY175" s="3218"/>
      <c r="BZ175" s="3218"/>
      <c r="CA175" s="3218"/>
      <c r="CB175" s="3218"/>
      <c r="CC175" s="3218"/>
      <c r="CD175" s="3218"/>
      <c r="CE175" s="3218"/>
      <c r="CF175" s="3218"/>
      <c r="CG175" s="3218"/>
      <c r="CH175" s="3218"/>
      <c r="CI175" s="3225">
        <f t="shared" si="13"/>
        <v>0</v>
      </c>
    </row>
    <row r="176" spans="1:87">
      <c r="A176" s="508" t="s">
        <v>2291</v>
      </c>
      <c r="B176" s="586"/>
      <c r="C176" s="508" t="s">
        <v>1304</v>
      </c>
      <c r="D176" s="908" t="s">
        <v>65</v>
      </c>
      <c r="E176" s="1120" t="s">
        <v>2765</v>
      </c>
      <c r="F176" s="2212">
        <v>0</v>
      </c>
      <c r="G176" s="270"/>
      <c r="H176" s="2212">
        <v>0</v>
      </c>
      <c r="I176" s="270"/>
      <c r="J176" s="270"/>
      <c r="K176" s="270"/>
      <c r="L176" s="277"/>
      <c r="M176" s="281">
        <f>L176/100000</f>
        <v>0</v>
      </c>
      <c r="N176" s="277"/>
      <c r="O176" s="1513">
        <f>M176*N176</f>
        <v>0</v>
      </c>
      <c r="P176" s="758"/>
      <c r="Q176" s="1017">
        <f>'Abs7. AYUSH'!Q13</f>
        <v>0</v>
      </c>
      <c r="R176" s="2931">
        <f>'Abs7. AYUSH'!R13</f>
        <v>0</v>
      </c>
      <c r="BB176" s="3218"/>
      <c r="BC176" s="3218"/>
      <c r="BD176" s="3218"/>
      <c r="BE176" s="3218"/>
      <c r="BF176" s="3218"/>
      <c r="BG176" s="3218"/>
      <c r="BH176" s="3218"/>
      <c r="BI176" s="3218"/>
      <c r="BJ176" s="3218"/>
      <c r="BK176" s="3218"/>
      <c r="BL176" s="3218"/>
      <c r="BM176" s="3218"/>
      <c r="BN176" s="3218"/>
      <c r="BO176" s="3218"/>
      <c r="BP176" s="3218"/>
      <c r="BQ176" s="3218"/>
      <c r="BR176" s="3218"/>
      <c r="BS176" s="3218"/>
      <c r="BT176" s="3218"/>
      <c r="BU176" s="3218"/>
      <c r="BV176" s="3218"/>
      <c r="BW176" s="3218"/>
      <c r="BX176" s="3218"/>
      <c r="BY176" s="3218"/>
      <c r="BZ176" s="3218"/>
      <c r="CA176" s="3218"/>
      <c r="CB176" s="3218"/>
      <c r="CC176" s="3218"/>
      <c r="CD176" s="3218"/>
      <c r="CE176" s="3218"/>
      <c r="CF176" s="3218"/>
      <c r="CG176" s="3218"/>
      <c r="CH176" s="3218"/>
      <c r="CI176" s="3225">
        <f t="shared" si="13"/>
        <v>0</v>
      </c>
    </row>
    <row r="177" spans="1:87">
      <c r="A177" s="1540" t="s">
        <v>2107</v>
      </c>
      <c r="B177" s="1541"/>
      <c r="C177" s="1542" t="s">
        <v>1146</v>
      </c>
      <c r="D177" s="938"/>
      <c r="E177" s="938"/>
      <c r="F177" s="295"/>
      <c r="G177" s="295"/>
      <c r="H177" s="295"/>
      <c r="I177" s="295"/>
      <c r="J177" s="295"/>
      <c r="K177" s="295"/>
      <c r="L177" s="295"/>
      <c r="M177" s="1537"/>
      <c r="N177" s="417"/>
      <c r="O177" s="1537">
        <f>SUM(O178:O183)</f>
        <v>29.399045599999997</v>
      </c>
      <c r="P177" s="757"/>
      <c r="Q177" s="1000"/>
      <c r="R177" s="2929">
        <f>SUM(R178:R183)</f>
        <v>19.52</v>
      </c>
      <c r="BB177" s="3218"/>
      <c r="BC177" s="3218"/>
      <c r="BD177" s="3218"/>
      <c r="BE177" s="3218"/>
      <c r="BF177" s="3218"/>
      <c r="BG177" s="3218"/>
      <c r="BH177" s="3218"/>
      <c r="BI177" s="3218"/>
      <c r="BJ177" s="3218"/>
      <c r="BK177" s="3218"/>
      <c r="BL177" s="3218"/>
      <c r="BM177" s="3218"/>
      <c r="BN177" s="3218"/>
      <c r="BO177" s="3218"/>
      <c r="BP177" s="3218"/>
      <c r="BQ177" s="3218"/>
      <c r="BR177" s="3218"/>
      <c r="BS177" s="3218"/>
      <c r="BT177" s="3218"/>
      <c r="BU177" s="3218"/>
      <c r="BV177" s="3218"/>
      <c r="BW177" s="3218"/>
      <c r="BX177" s="3218"/>
      <c r="BY177" s="3218"/>
      <c r="BZ177" s="3218"/>
      <c r="CA177" s="3218"/>
      <c r="CB177" s="3218"/>
      <c r="CC177" s="3218"/>
      <c r="CD177" s="3218"/>
      <c r="CE177" s="3218"/>
      <c r="CF177" s="3218"/>
      <c r="CG177" s="3218"/>
      <c r="CH177" s="3218"/>
      <c r="CI177" s="3225">
        <f t="shared" si="13"/>
        <v>0</v>
      </c>
    </row>
    <row r="178" spans="1:87" s="1380" customFormat="1" ht="66.75" customHeight="1">
      <c r="A178" s="586" t="s">
        <v>2108</v>
      </c>
      <c r="B178" s="586" t="s">
        <v>1147</v>
      </c>
      <c r="C178" s="3270" t="s">
        <v>4235</v>
      </c>
      <c r="D178" s="3226" t="s">
        <v>65</v>
      </c>
      <c r="E178" s="3271" t="s">
        <v>3769</v>
      </c>
      <c r="F178" s="3272">
        <v>3</v>
      </c>
      <c r="G178" s="3273">
        <v>2</v>
      </c>
      <c r="H178" s="3274">
        <v>10.050000000000001</v>
      </c>
      <c r="I178" s="3274">
        <v>1.33</v>
      </c>
      <c r="J178" s="3275">
        <v>8.7200000000000006</v>
      </c>
      <c r="K178" s="3272"/>
      <c r="L178" s="3276">
        <v>234000</v>
      </c>
      <c r="M178" s="3201">
        <f t="shared" ref="M178:M183" si="14">L178/100000</f>
        <v>2.34</v>
      </c>
      <c r="N178" s="3200">
        <v>4</v>
      </c>
      <c r="O178" s="3277">
        <f t="shared" ref="O178:O183" si="15">M178*N178</f>
        <v>9.36</v>
      </c>
      <c r="P178" s="2470" t="s">
        <v>5212</v>
      </c>
      <c r="Q178" s="3278" t="s">
        <v>5767</v>
      </c>
      <c r="R178" s="2933">
        <v>9.36</v>
      </c>
      <c r="BB178" s="3219">
        <v>9.36</v>
      </c>
      <c r="BC178" s="3219"/>
      <c r="BD178" s="3219"/>
      <c r="BE178" s="3219"/>
      <c r="BF178" s="3219"/>
      <c r="BG178" s="3219"/>
      <c r="BH178" s="3219"/>
      <c r="BI178" s="3219"/>
      <c r="BJ178" s="3219"/>
      <c r="BK178" s="3219"/>
      <c r="BL178" s="3219"/>
      <c r="BM178" s="3219"/>
      <c r="BN178" s="3219"/>
      <c r="BO178" s="3219"/>
      <c r="BP178" s="3219"/>
      <c r="BQ178" s="3219"/>
      <c r="BR178" s="3219"/>
      <c r="BS178" s="3219"/>
      <c r="BT178" s="3219"/>
      <c r="BU178" s="3219"/>
      <c r="BV178" s="3219"/>
      <c r="BW178" s="3219"/>
      <c r="BX178" s="3219"/>
      <c r="BY178" s="3219"/>
      <c r="BZ178" s="3219"/>
      <c r="CA178" s="3219"/>
      <c r="CB178" s="3219"/>
      <c r="CC178" s="3219"/>
      <c r="CD178" s="3219"/>
      <c r="CE178" s="3219"/>
      <c r="CF178" s="3219"/>
      <c r="CG178" s="3219"/>
      <c r="CH178" s="3219"/>
      <c r="CI178" s="3225">
        <f t="shared" si="13"/>
        <v>9.36</v>
      </c>
    </row>
    <row r="179" spans="1:87" s="1380" customFormat="1" ht="30">
      <c r="A179" s="586" t="s">
        <v>2520</v>
      </c>
      <c r="B179" s="586" t="s">
        <v>1148</v>
      </c>
      <c r="C179" s="586" t="s">
        <v>4468</v>
      </c>
      <c r="D179" s="982" t="s">
        <v>65</v>
      </c>
      <c r="E179" s="1075" t="s">
        <v>3769</v>
      </c>
      <c r="F179" s="285">
        <v>3</v>
      </c>
      <c r="G179" s="286"/>
      <c r="H179" s="413">
        <v>5.25</v>
      </c>
      <c r="I179" s="413"/>
      <c r="J179" s="285">
        <v>5.25</v>
      </c>
      <c r="K179" s="285"/>
      <c r="L179" s="283"/>
      <c r="M179" s="2261">
        <f t="shared" si="14"/>
        <v>0</v>
      </c>
      <c r="N179" s="283"/>
      <c r="O179" s="1472">
        <f t="shared" si="15"/>
        <v>0</v>
      </c>
      <c r="P179" s="2471"/>
      <c r="Q179" s="2315"/>
      <c r="R179" s="2933"/>
      <c r="BB179" s="3219"/>
      <c r="BC179" s="3219"/>
      <c r="BD179" s="3219"/>
      <c r="BE179" s="3219"/>
      <c r="BF179" s="3219"/>
      <c r="BG179" s="3219"/>
      <c r="BH179" s="3219"/>
      <c r="BI179" s="3219"/>
      <c r="BJ179" s="3219"/>
      <c r="BK179" s="3219"/>
      <c r="BL179" s="3219"/>
      <c r="BM179" s="3219"/>
      <c r="BN179" s="3219"/>
      <c r="BO179" s="3219"/>
      <c r="BP179" s="3219"/>
      <c r="BQ179" s="3219"/>
      <c r="BR179" s="3219"/>
      <c r="BS179" s="3219"/>
      <c r="BT179" s="3219"/>
      <c r="BU179" s="3219"/>
      <c r="BV179" s="3219"/>
      <c r="BW179" s="3219"/>
      <c r="BX179" s="3219"/>
      <c r="BY179" s="3219"/>
      <c r="BZ179" s="3219"/>
      <c r="CA179" s="3219"/>
      <c r="CB179" s="3219"/>
      <c r="CC179" s="3219"/>
      <c r="CD179" s="3219"/>
      <c r="CE179" s="3219"/>
      <c r="CF179" s="3219"/>
      <c r="CG179" s="3219"/>
      <c r="CH179" s="3219"/>
      <c r="CI179" s="3225">
        <f t="shared" si="13"/>
        <v>0</v>
      </c>
    </row>
    <row r="180" spans="1:87" s="1380" customFormat="1" ht="48.75" customHeight="1">
      <c r="A180" s="586" t="s">
        <v>2521</v>
      </c>
      <c r="B180" s="586" t="s">
        <v>1149</v>
      </c>
      <c r="C180" s="586" t="s">
        <v>1150</v>
      </c>
      <c r="D180" s="982" t="s">
        <v>65</v>
      </c>
      <c r="E180" s="1075" t="s">
        <v>3769</v>
      </c>
      <c r="F180" s="2216">
        <v>12</v>
      </c>
      <c r="G180" s="421">
        <v>4</v>
      </c>
      <c r="H180" s="2216">
        <v>4.8</v>
      </c>
      <c r="I180" s="2472">
        <v>0.94</v>
      </c>
      <c r="J180" s="2472">
        <f>H180-I180</f>
        <v>3.86</v>
      </c>
      <c r="K180" s="421"/>
      <c r="L180" s="2469">
        <v>18904.759999999998</v>
      </c>
      <c r="M180" s="2261">
        <f t="shared" si="14"/>
        <v>0.18904759999999998</v>
      </c>
      <c r="N180" s="283">
        <v>106</v>
      </c>
      <c r="O180" s="1472">
        <f t="shared" si="15"/>
        <v>20.039045599999998</v>
      </c>
      <c r="P180" s="2473" t="s">
        <v>5213</v>
      </c>
      <c r="Q180" s="2315" t="s">
        <v>5768</v>
      </c>
      <c r="R180" s="2933">
        <f>0.4+3.4+1.8+4.56</f>
        <v>10.16</v>
      </c>
      <c r="BB180" s="3219">
        <v>0.6</v>
      </c>
      <c r="BC180" s="3219">
        <v>0.39</v>
      </c>
      <c r="BD180" s="3219">
        <v>0.56999999999999995</v>
      </c>
      <c r="BE180" s="3219">
        <v>0.51</v>
      </c>
      <c r="BF180" s="3219">
        <v>0.93</v>
      </c>
      <c r="BG180" s="3219">
        <v>0.53</v>
      </c>
      <c r="BH180" s="3219">
        <v>0.45</v>
      </c>
      <c r="BI180" s="3219">
        <v>0.47</v>
      </c>
      <c r="BJ180" s="3219">
        <v>0.81</v>
      </c>
      <c r="BK180" s="3219">
        <v>0.75</v>
      </c>
      <c r="BL180" s="3219">
        <v>0.45</v>
      </c>
      <c r="BM180" s="3219">
        <v>0.45</v>
      </c>
      <c r="BN180" s="3219">
        <v>0.45</v>
      </c>
      <c r="BO180" s="3220">
        <v>0.2</v>
      </c>
      <c r="BP180" s="3219">
        <v>0.2</v>
      </c>
      <c r="BQ180" s="3219">
        <v>0.2</v>
      </c>
      <c r="BR180" s="3219">
        <v>0.2</v>
      </c>
      <c r="BS180" s="3219">
        <v>0.2</v>
      </c>
      <c r="BT180" s="3219">
        <v>0.2</v>
      </c>
      <c r="BU180" s="3219"/>
      <c r="BV180" s="3219">
        <v>0.2</v>
      </c>
      <c r="BW180" s="3219">
        <v>0.2</v>
      </c>
      <c r="BX180" s="3219"/>
      <c r="BY180" s="3219">
        <v>0.2</v>
      </c>
      <c r="BZ180" s="3219">
        <v>0.2</v>
      </c>
      <c r="CA180" s="3219">
        <v>0.2</v>
      </c>
      <c r="CB180" s="3219"/>
      <c r="CC180" s="3219"/>
      <c r="CD180" s="3219">
        <v>0.2</v>
      </c>
      <c r="CE180" s="3219">
        <v>0.2</v>
      </c>
      <c r="CF180" s="3219">
        <v>0.2</v>
      </c>
      <c r="CG180" s="3219"/>
      <c r="CH180" s="3219"/>
      <c r="CI180" s="3225">
        <f>SUM(BB180:CH180)</f>
        <v>10.159999999999993</v>
      </c>
    </row>
    <row r="181" spans="1:87" s="1380" customFormat="1">
      <c r="A181" s="586" t="s">
        <v>2522</v>
      </c>
      <c r="B181" s="586"/>
      <c r="C181" s="586" t="s">
        <v>3882</v>
      </c>
      <c r="D181" s="982" t="s">
        <v>65</v>
      </c>
      <c r="E181" s="1075" t="s">
        <v>3769</v>
      </c>
      <c r="F181" s="2216">
        <v>25</v>
      </c>
      <c r="G181" s="421"/>
      <c r="H181" s="2216">
        <v>2.4</v>
      </c>
      <c r="I181" s="421">
        <v>0.02</v>
      </c>
      <c r="J181" s="421">
        <v>2.38</v>
      </c>
      <c r="K181" s="421"/>
      <c r="L181" s="283"/>
      <c r="M181" s="2261">
        <f t="shared" si="14"/>
        <v>0</v>
      </c>
      <c r="N181" s="283"/>
      <c r="O181" s="1472">
        <f>M181*N181</f>
        <v>0</v>
      </c>
      <c r="Q181" s="2315"/>
      <c r="R181" s="2933"/>
      <c r="BB181" s="3219"/>
      <c r="BC181" s="3219"/>
      <c r="BD181" s="3219"/>
      <c r="BE181" s="3219"/>
      <c r="BF181" s="3219"/>
      <c r="BG181" s="3219"/>
      <c r="BH181" s="3219"/>
      <c r="BI181" s="3219"/>
      <c r="BJ181" s="3219"/>
      <c r="BK181" s="3219"/>
      <c r="BL181" s="3219"/>
      <c r="BM181" s="3219"/>
      <c r="BN181" s="3219"/>
      <c r="BO181" s="3219"/>
      <c r="BP181" s="3219"/>
      <c r="BQ181" s="3219"/>
      <c r="BR181" s="3219"/>
      <c r="BS181" s="3219"/>
      <c r="BT181" s="3219"/>
      <c r="BU181" s="3219"/>
      <c r="BV181" s="3219"/>
      <c r="BW181" s="3219"/>
      <c r="BX181" s="3219"/>
      <c r="BY181" s="3219"/>
      <c r="BZ181" s="3219"/>
      <c r="CA181" s="3219"/>
      <c r="CB181" s="3219"/>
      <c r="CC181" s="3219"/>
      <c r="CD181" s="3219"/>
      <c r="CE181" s="3219"/>
      <c r="CF181" s="3219"/>
      <c r="CG181" s="3219"/>
      <c r="CH181" s="3219"/>
      <c r="CI181" s="3225">
        <f t="shared" si="13"/>
        <v>0</v>
      </c>
    </row>
    <row r="182" spans="1:87" s="1380" customFormat="1">
      <c r="A182" s="586" t="s">
        <v>3884</v>
      </c>
      <c r="B182" s="586"/>
      <c r="C182" s="586" t="s">
        <v>3883</v>
      </c>
      <c r="D182" s="982" t="s">
        <v>65</v>
      </c>
      <c r="E182" s="1075" t="s">
        <v>3769</v>
      </c>
      <c r="F182" s="2216">
        <v>0</v>
      </c>
      <c r="G182" s="421"/>
      <c r="H182" s="2216">
        <v>0</v>
      </c>
      <c r="I182" s="421"/>
      <c r="J182" s="421"/>
      <c r="K182" s="421"/>
      <c r="L182" s="283"/>
      <c r="M182" s="2261">
        <f t="shared" si="14"/>
        <v>0</v>
      </c>
      <c r="N182" s="283"/>
      <c r="O182" s="1472">
        <f>M182*N182</f>
        <v>0</v>
      </c>
      <c r="P182" s="2474"/>
      <c r="Q182" s="2315"/>
      <c r="R182" s="2933"/>
      <c r="BB182" s="3219"/>
      <c r="BC182" s="3219"/>
      <c r="BD182" s="3219"/>
      <c r="BE182" s="3219"/>
      <c r="BF182" s="3219"/>
      <c r="BG182" s="3219"/>
      <c r="BH182" s="3219"/>
      <c r="BI182" s="3219"/>
      <c r="BJ182" s="3219"/>
      <c r="BK182" s="3219"/>
      <c r="BL182" s="3219"/>
      <c r="BM182" s="3219"/>
      <c r="BN182" s="3219"/>
      <c r="BO182" s="3219"/>
      <c r="BP182" s="3219"/>
      <c r="BQ182" s="3219"/>
      <c r="BR182" s="3219"/>
      <c r="BS182" s="3219"/>
      <c r="BT182" s="3219"/>
      <c r="BU182" s="3219"/>
      <c r="BV182" s="3219"/>
      <c r="BW182" s="3219"/>
      <c r="BX182" s="3219"/>
      <c r="BY182" s="3219"/>
      <c r="BZ182" s="3219"/>
      <c r="CA182" s="3219"/>
      <c r="CB182" s="3219"/>
      <c r="CC182" s="3219"/>
      <c r="CD182" s="3219"/>
      <c r="CE182" s="3219"/>
      <c r="CF182" s="3219"/>
      <c r="CG182" s="3219"/>
      <c r="CH182" s="3219"/>
      <c r="CI182" s="3225">
        <f t="shared" si="13"/>
        <v>0</v>
      </c>
    </row>
    <row r="183" spans="1:87" s="1380" customFormat="1">
      <c r="A183" s="586" t="s">
        <v>3885</v>
      </c>
      <c r="B183" s="586"/>
      <c r="C183" s="586" t="s">
        <v>1304</v>
      </c>
      <c r="D183" s="982" t="s">
        <v>65</v>
      </c>
      <c r="E183" s="1075" t="s">
        <v>3769</v>
      </c>
      <c r="F183" s="2216">
        <v>0</v>
      </c>
      <c r="G183" s="421"/>
      <c r="H183" s="2216">
        <v>0</v>
      </c>
      <c r="I183" s="421"/>
      <c r="J183" s="421"/>
      <c r="K183" s="421"/>
      <c r="L183" s="283"/>
      <c r="M183" s="2261">
        <f t="shared" si="14"/>
        <v>0</v>
      </c>
      <c r="N183" s="283"/>
      <c r="O183" s="1472">
        <f t="shared" si="15"/>
        <v>0</v>
      </c>
      <c r="P183" s="2474" t="s">
        <v>5214</v>
      </c>
      <c r="Q183" s="2315"/>
      <c r="R183" s="2933"/>
      <c r="BB183" s="3219"/>
      <c r="BC183" s="3219"/>
      <c r="BD183" s="3219"/>
      <c r="BE183" s="3219"/>
      <c r="BF183" s="3219"/>
      <c r="BG183" s="3219"/>
      <c r="BH183" s="3219"/>
      <c r="BI183" s="3219"/>
      <c r="BJ183" s="3219"/>
      <c r="BK183" s="3219"/>
      <c r="BL183" s="3219"/>
      <c r="BM183" s="3219"/>
      <c r="BN183" s="3219"/>
      <c r="BO183" s="3219"/>
      <c r="BP183" s="3219"/>
      <c r="BQ183" s="3219"/>
      <c r="BR183" s="3219"/>
      <c r="BS183" s="3219"/>
      <c r="BT183" s="3219"/>
      <c r="BU183" s="3219"/>
      <c r="BV183" s="3219"/>
      <c r="BW183" s="3219"/>
      <c r="BX183" s="3219"/>
      <c r="BY183" s="3219"/>
      <c r="BZ183" s="3219"/>
      <c r="CA183" s="3219"/>
      <c r="CB183" s="3219"/>
      <c r="CC183" s="3219"/>
      <c r="CD183" s="3219"/>
      <c r="CE183" s="3219"/>
      <c r="CF183" s="3219"/>
      <c r="CG183" s="3219"/>
      <c r="CH183" s="3219"/>
      <c r="CI183" s="3225">
        <f t="shared" si="13"/>
        <v>0</v>
      </c>
    </row>
    <row r="184" spans="1:87">
      <c r="A184" s="1540" t="s">
        <v>2109</v>
      </c>
      <c r="B184" s="1541"/>
      <c r="C184" s="1542" t="s">
        <v>2766</v>
      </c>
      <c r="D184" s="938"/>
      <c r="E184" s="938"/>
      <c r="F184" s="295"/>
      <c r="G184" s="295"/>
      <c r="H184" s="295"/>
      <c r="I184" s="295"/>
      <c r="J184" s="295"/>
      <c r="K184" s="295"/>
      <c r="L184" s="295"/>
      <c r="M184" s="1537"/>
      <c r="N184" s="417"/>
      <c r="O184" s="1537">
        <f>SUM(O185:O188)</f>
        <v>30.605990000000006</v>
      </c>
      <c r="P184" s="757"/>
      <c r="Q184" s="1000"/>
      <c r="R184" s="2929">
        <f>SUM(R185:R188)</f>
        <v>30.61</v>
      </c>
      <c r="BB184" s="3218"/>
      <c r="BC184" s="3218"/>
      <c r="BD184" s="3218"/>
      <c r="BE184" s="3218"/>
      <c r="BF184" s="3218"/>
      <c r="BG184" s="3218"/>
      <c r="BH184" s="3218"/>
      <c r="BI184" s="3218"/>
      <c r="BJ184" s="3218"/>
      <c r="BK184" s="3218"/>
      <c r="BL184" s="3218"/>
      <c r="BM184" s="3218"/>
      <c r="BN184" s="3218"/>
      <c r="BO184" s="3218"/>
      <c r="BP184" s="3218"/>
      <c r="BQ184" s="3218"/>
      <c r="BR184" s="3218"/>
      <c r="BS184" s="3218"/>
      <c r="BT184" s="3218"/>
      <c r="BU184" s="3218"/>
      <c r="BV184" s="3218"/>
      <c r="BW184" s="3218"/>
      <c r="BX184" s="3218"/>
      <c r="BY184" s="3218"/>
      <c r="BZ184" s="3218"/>
      <c r="CA184" s="3218"/>
      <c r="CB184" s="3218"/>
      <c r="CC184" s="3218"/>
      <c r="CD184" s="3218"/>
      <c r="CE184" s="3218"/>
      <c r="CF184" s="3218"/>
      <c r="CG184" s="3218"/>
      <c r="CH184" s="3218"/>
      <c r="CI184" s="3225">
        <f t="shared" si="13"/>
        <v>0</v>
      </c>
    </row>
    <row r="185" spans="1:87" s="1380" customFormat="1" ht="72.75" customHeight="1">
      <c r="A185" s="586" t="s">
        <v>2110</v>
      </c>
      <c r="B185" s="586" t="s">
        <v>1151</v>
      </c>
      <c r="C185" s="586" t="s">
        <v>1152</v>
      </c>
      <c r="D185" s="982" t="s">
        <v>65</v>
      </c>
      <c r="E185" s="1075" t="s">
        <v>2293</v>
      </c>
      <c r="F185" s="291">
        <v>3</v>
      </c>
      <c r="G185" s="286"/>
      <c r="H185" s="413">
        <v>3.72</v>
      </c>
      <c r="I185" s="413">
        <v>0.62</v>
      </c>
      <c r="J185" s="179">
        <v>3.1</v>
      </c>
      <c r="K185" s="179" t="s">
        <v>5187</v>
      </c>
      <c r="L185" s="283">
        <v>123933</v>
      </c>
      <c r="M185" s="2261">
        <f>L185/100000</f>
        <v>1.23933</v>
      </c>
      <c r="N185" s="283">
        <v>3</v>
      </c>
      <c r="O185" s="1472">
        <f>M185*N185</f>
        <v>3.7179900000000004</v>
      </c>
      <c r="P185" s="2358" t="s">
        <v>5185</v>
      </c>
      <c r="Q185" s="2263" t="str">
        <f>'Ab4. HMIS-MCTS'!Q9</f>
        <v>Approved Rs 3.72 Lakh for 2 State level 3 days training cum review meetings per year for HMIS/new HMIS &amp; MCTS / RCH portal / ANMOL if launched. Expenses for food to participants, accommodation for trainers, accommodation for participants, including incidental expenses as per extent RCH rules. Expected participants: 10 from State and 5 from each District.</v>
      </c>
      <c r="R185" s="2924">
        <f>'Ab4. HMIS-MCTS'!R9</f>
        <v>3.72</v>
      </c>
      <c r="BB185" s="3219">
        <v>3.72</v>
      </c>
      <c r="BC185" s="3219"/>
      <c r="BD185" s="3219"/>
      <c r="BE185" s="3219"/>
      <c r="BF185" s="3219"/>
      <c r="BG185" s="3219"/>
      <c r="BH185" s="3219"/>
      <c r="BI185" s="3219"/>
      <c r="BJ185" s="3219"/>
      <c r="BK185" s="3219"/>
      <c r="BL185" s="3219"/>
      <c r="BM185" s="3219"/>
      <c r="BN185" s="3219"/>
      <c r="BO185" s="3219"/>
      <c r="BP185" s="3219"/>
      <c r="BQ185" s="3219"/>
      <c r="BR185" s="3219"/>
      <c r="BS185" s="3219"/>
      <c r="BT185" s="3219"/>
      <c r="BU185" s="3219"/>
      <c r="BV185" s="3219"/>
      <c r="BW185" s="3219"/>
      <c r="BX185" s="3219"/>
      <c r="BY185" s="3219"/>
      <c r="BZ185" s="3219"/>
      <c r="CA185" s="3219"/>
      <c r="CB185" s="3219"/>
      <c r="CC185" s="3219"/>
      <c r="CD185" s="3219"/>
      <c r="CE185" s="3219"/>
      <c r="CF185" s="3219"/>
      <c r="CG185" s="3219"/>
      <c r="CH185" s="3219"/>
      <c r="CI185" s="3225">
        <f t="shared" si="13"/>
        <v>3.72</v>
      </c>
    </row>
    <row r="186" spans="1:87" s="1380" customFormat="1" ht="59.25" customHeight="1">
      <c r="A186" s="586" t="s">
        <v>2111</v>
      </c>
      <c r="B186" s="586" t="s">
        <v>1153</v>
      </c>
      <c r="C186" s="586" t="s">
        <v>1154</v>
      </c>
      <c r="D186" s="982" t="s">
        <v>65</v>
      </c>
      <c r="E186" s="1075" t="s">
        <v>2293</v>
      </c>
      <c r="F186" s="291">
        <v>12</v>
      </c>
      <c r="G186" s="286"/>
      <c r="H186" s="413">
        <v>5.29</v>
      </c>
      <c r="I186" s="413">
        <v>0.22</v>
      </c>
      <c r="J186" s="179">
        <v>5.07</v>
      </c>
      <c r="K186" s="179" t="s">
        <v>5187</v>
      </c>
      <c r="L186" s="283">
        <v>44067</v>
      </c>
      <c r="M186" s="2261">
        <f>L186/100000</f>
        <v>0.44067000000000001</v>
      </c>
      <c r="N186" s="283">
        <v>12</v>
      </c>
      <c r="O186" s="1472">
        <f>M186*N186</f>
        <v>5.2880400000000005</v>
      </c>
      <c r="P186" s="2358" t="s">
        <v>5186</v>
      </c>
      <c r="Q186" s="2263" t="str">
        <f>'Ab4. HMIS-MCTS'!Q10</f>
        <v>Approved Rs 5.29 Lakh for District level 3 days training cum review meeting per quarter for HMIS/new HMIS &amp; MCTS / RCH portal / ANMOL if launched. Expenses for food to participants, accommodation for trainers, accommodation for participants including incidental expenses as per extent RCH rules. Expected participants: 5 from District and 2 from each Block.</v>
      </c>
      <c r="R186" s="2924">
        <f>'Ab4. HMIS-MCTS'!R10</f>
        <v>5.29</v>
      </c>
      <c r="BB186" s="3219">
        <v>2.64</v>
      </c>
      <c r="BC186" s="3219">
        <v>0.14000000000000001</v>
      </c>
      <c r="BD186" s="3219">
        <v>0.24</v>
      </c>
      <c r="BE186" s="3219">
        <v>0.21</v>
      </c>
      <c r="BF186" s="3219">
        <v>0.45</v>
      </c>
      <c r="BG186" s="3219">
        <v>0.1</v>
      </c>
      <c r="BH186" s="3219">
        <v>0.17</v>
      </c>
      <c r="BI186" s="3219">
        <v>7.0000000000000007E-2</v>
      </c>
      <c r="BJ186" s="3219">
        <v>0.38</v>
      </c>
      <c r="BK186" s="3219">
        <v>0.35</v>
      </c>
      <c r="BL186" s="3219">
        <v>0.18</v>
      </c>
      <c r="BM186" s="3219">
        <v>0.18</v>
      </c>
      <c r="BN186" s="3219">
        <v>0.18</v>
      </c>
      <c r="BO186" s="3219"/>
      <c r="BP186" s="3219"/>
      <c r="BQ186" s="3219"/>
      <c r="BR186" s="3219"/>
      <c r="BS186" s="3219"/>
      <c r="BT186" s="3219"/>
      <c r="BU186" s="3219"/>
      <c r="BV186" s="3219"/>
      <c r="BW186" s="3219"/>
      <c r="BX186" s="3219"/>
      <c r="BY186" s="3219"/>
      <c r="BZ186" s="3219"/>
      <c r="CA186" s="3219"/>
      <c r="CB186" s="3219"/>
      <c r="CC186" s="3219"/>
      <c r="CD186" s="3219"/>
      <c r="CE186" s="3219"/>
      <c r="CF186" s="3219"/>
      <c r="CG186" s="3219"/>
      <c r="CH186" s="3219"/>
      <c r="CI186" s="3225">
        <f t="shared" si="13"/>
        <v>5.2899999999999991</v>
      </c>
    </row>
    <row r="187" spans="1:87" s="1380" customFormat="1" ht="52.5" customHeight="1">
      <c r="A187" s="586" t="s">
        <v>2112</v>
      </c>
      <c r="B187" s="586" t="s">
        <v>1155</v>
      </c>
      <c r="C187" s="586" t="s">
        <v>1156</v>
      </c>
      <c r="D187" s="982" t="s">
        <v>65</v>
      </c>
      <c r="E187" s="1075" t="s">
        <v>2293</v>
      </c>
      <c r="F187" s="2359">
        <v>152</v>
      </c>
      <c r="G187" s="286"/>
      <c r="H187" s="413">
        <v>21.6</v>
      </c>
      <c r="I187" s="413">
        <v>0.99</v>
      </c>
      <c r="J187" s="2360">
        <v>20.61</v>
      </c>
      <c r="K187" s="179" t="s">
        <v>5187</v>
      </c>
      <c r="L187" s="283">
        <v>28421</v>
      </c>
      <c r="M187" s="2261">
        <f>L187/100000</f>
        <v>0.28421000000000002</v>
      </c>
      <c r="N187" s="283">
        <v>76</v>
      </c>
      <c r="O187" s="1472">
        <f>M187*N187</f>
        <v>21.599960000000003</v>
      </c>
      <c r="P187" s="2361" t="s">
        <v>5188</v>
      </c>
      <c r="Q187" s="2263" t="str">
        <f>'Ab4. HMIS-MCTS'!Q11</f>
        <v xml:space="preserve">HMIS: Approved Rs 21.60 Lakh for Block level 1 day training cum review meeting per month for HMIS/new HMIS  &amp; MCTS / RCH portal / ANMOL in launched. including incidental expenses as per extent RCH rules. Expected participants: 2 from each Block and 1 from each PHC and Sub Centre.MMP cell: ANMOL Training: Recommended Rs 9.41 lakhs for refresher training of ANMOL for 3138 participants (ANMs/Block level officials) @Rs 300 per participant. </v>
      </c>
      <c r="R187" s="2924">
        <f>'Ab4. HMIS-MCTS'!R11</f>
        <v>21.6</v>
      </c>
      <c r="BB187" s="3219">
        <v>12.09</v>
      </c>
      <c r="BC187" s="3219">
        <v>0.5</v>
      </c>
      <c r="BD187" s="3219">
        <v>0.88</v>
      </c>
      <c r="BE187" s="3219">
        <v>0.75</v>
      </c>
      <c r="BF187" s="3219">
        <v>1.62</v>
      </c>
      <c r="BG187" s="3219">
        <v>0.38</v>
      </c>
      <c r="BH187" s="3219">
        <v>0.63</v>
      </c>
      <c r="BI187" s="3219">
        <v>0.25</v>
      </c>
      <c r="BJ187" s="3219">
        <v>1.37</v>
      </c>
      <c r="BK187" s="3219">
        <v>1.25</v>
      </c>
      <c r="BL187" s="3219">
        <v>0.63</v>
      </c>
      <c r="BM187" s="3219">
        <v>0.63</v>
      </c>
      <c r="BN187" s="3219">
        <v>0.62</v>
      </c>
      <c r="BO187" s="3219"/>
      <c r="BP187" s="3219"/>
      <c r="BQ187" s="3219"/>
      <c r="BR187" s="3219"/>
      <c r="BS187" s="3219"/>
      <c r="BT187" s="3219"/>
      <c r="BU187" s="3219"/>
      <c r="BV187" s="3219"/>
      <c r="BW187" s="3219"/>
      <c r="BX187" s="3219"/>
      <c r="BY187" s="3219"/>
      <c r="BZ187" s="3219"/>
      <c r="CA187" s="3219"/>
      <c r="CB187" s="3219"/>
      <c r="CC187" s="3219"/>
      <c r="CD187" s="3219"/>
      <c r="CE187" s="3219"/>
      <c r="CF187" s="3219"/>
      <c r="CG187" s="3219"/>
      <c r="CH187" s="3219"/>
      <c r="CI187" s="3225">
        <f t="shared" si="13"/>
        <v>21.599999999999998</v>
      </c>
    </row>
    <row r="188" spans="1:87">
      <c r="A188" s="508" t="s">
        <v>2523</v>
      </c>
      <c r="B188" s="586"/>
      <c r="C188" s="508" t="s">
        <v>1304</v>
      </c>
      <c r="D188" s="908" t="s">
        <v>65</v>
      </c>
      <c r="E188" s="1120" t="s">
        <v>2293</v>
      </c>
      <c r="F188" s="2211">
        <v>0</v>
      </c>
      <c r="G188" s="276"/>
      <c r="H188" s="2211">
        <v>0</v>
      </c>
      <c r="I188" s="276"/>
      <c r="J188" s="276"/>
      <c r="K188" s="276"/>
      <c r="L188" s="277"/>
      <c r="M188" s="281">
        <f>L188/100000</f>
        <v>0</v>
      </c>
      <c r="N188" s="277"/>
      <c r="O188" s="1507">
        <f>M188*N188</f>
        <v>0</v>
      </c>
      <c r="P188" s="744"/>
      <c r="Q188" s="1017">
        <f>'Ab4. HMIS-MCTS'!Q12</f>
        <v>0</v>
      </c>
      <c r="R188" s="2920">
        <f>'Ab4. HMIS-MCTS'!R12</f>
        <v>0</v>
      </c>
      <c r="BB188" s="3218"/>
      <c r="BC188" s="3218"/>
      <c r="BD188" s="3218"/>
      <c r="BE188" s="3218"/>
      <c r="BF188" s="3218"/>
      <c r="BG188" s="3218"/>
      <c r="BH188" s="3218"/>
      <c r="BI188" s="3218"/>
      <c r="BJ188" s="3218"/>
      <c r="BK188" s="3218"/>
      <c r="BL188" s="3218"/>
      <c r="BM188" s="3218"/>
      <c r="BN188" s="3218"/>
      <c r="BO188" s="3218"/>
      <c r="BP188" s="3218"/>
      <c r="BQ188" s="3218"/>
      <c r="BR188" s="3218"/>
      <c r="BS188" s="3218"/>
      <c r="BT188" s="3218"/>
      <c r="BU188" s="3218"/>
      <c r="BV188" s="3218"/>
      <c r="BW188" s="3218"/>
      <c r="BX188" s="3218"/>
      <c r="BY188" s="3218"/>
      <c r="BZ188" s="3218"/>
      <c r="CA188" s="3218"/>
      <c r="CB188" s="3218"/>
      <c r="CC188" s="3218"/>
      <c r="CD188" s="3218"/>
      <c r="CE188" s="3218"/>
      <c r="CF188" s="3218"/>
      <c r="CG188" s="3218"/>
      <c r="CH188" s="3218"/>
      <c r="CI188" s="3225">
        <f t="shared" si="13"/>
        <v>0</v>
      </c>
    </row>
    <row r="189" spans="1:87" ht="45">
      <c r="A189" s="1540" t="s">
        <v>2113</v>
      </c>
      <c r="B189" s="1541"/>
      <c r="C189" s="1542" t="s">
        <v>4467</v>
      </c>
      <c r="D189" s="938"/>
      <c r="E189" s="938"/>
      <c r="F189" s="295"/>
      <c r="G189" s="295"/>
      <c r="H189" s="295"/>
      <c r="I189" s="295"/>
      <c r="J189" s="295"/>
      <c r="K189" s="295"/>
      <c r="L189" s="295"/>
      <c r="M189" s="1537"/>
      <c r="N189" s="417"/>
      <c r="O189" s="1537">
        <f>SUM(O190:O194)</f>
        <v>263</v>
      </c>
      <c r="P189" s="757"/>
      <c r="Q189" s="1000"/>
      <c r="R189" s="2929">
        <f>SUM(R190:R194)</f>
        <v>262.02</v>
      </c>
      <c r="BB189" s="3218"/>
      <c r="BC189" s="3218"/>
      <c r="BD189" s="3218"/>
      <c r="BE189" s="3218"/>
      <c r="BF189" s="3218"/>
      <c r="BG189" s="3218"/>
      <c r="BH189" s="3218"/>
      <c r="BI189" s="3218"/>
      <c r="BJ189" s="3218"/>
      <c r="BK189" s="3218"/>
      <c r="BL189" s="3218"/>
      <c r="BM189" s="3218"/>
      <c r="BN189" s="3218"/>
      <c r="BO189" s="3218"/>
      <c r="BP189" s="3218"/>
      <c r="BQ189" s="3218"/>
      <c r="BR189" s="3218"/>
      <c r="BS189" s="3218"/>
      <c r="BT189" s="3218"/>
      <c r="BU189" s="3218"/>
      <c r="BV189" s="3218"/>
      <c r="BW189" s="3218"/>
      <c r="BX189" s="3218"/>
      <c r="BY189" s="3218"/>
      <c r="BZ189" s="3218"/>
      <c r="CA189" s="3218"/>
      <c r="CB189" s="3218"/>
      <c r="CC189" s="3218"/>
      <c r="CD189" s="3218"/>
      <c r="CE189" s="3218"/>
      <c r="CF189" s="3218"/>
      <c r="CG189" s="3218"/>
      <c r="CH189" s="3218"/>
      <c r="CI189" s="3225">
        <f t="shared" si="13"/>
        <v>0</v>
      </c>
    </row>
    <row r="190" spans="1:87">
      <c r="A190" s="508" t="s">
        <v>2114</v>
      </c>
      <c r="B190" s="875" t="s">
        <v>2031</v>
      </c>
      <c r="C190" s="508" t="s">
        <v>4571</v>
      </c>
      <c r="D190" s="908" t="s">
        <v>65</v>
      </c>
      <c r="E190" s="1543" t="s">
        <v>4218</v>
      </c>
      <c r="F190" s="2211">
        <v>76</v>
      </c>
      <c r="G190" s="276"/>
      <c r="H190" s="2211">
        <v>0</v>
      </c>
      <c r="I190" s="276"/>
      <c r="J190" s="276"/>
      <c r="K190" s="276"/>
      <c r="L190" s="277"/>
      <c r="M190" s="281">
        <f>L190/100000</f>
        <v>0</v>
      </c>
      <c r="N190" s="277"/>
      <c r="O190" s="1507">
        <f>M190*N190</f>
        <v>0</v>
      </c>
      <c r="P190" s="744"/>
      <c r="Q190" s="1017">
        <f>'Abs6. CPHC'!Q23</f>
        <v>0</v>
      </c>
      <c r="R190" s="2931">
        <f>'Abs6. CPHC'!R23</f>
        <v>0</v>
      </c>
      <c r="BB190" s="3218"/>
      <c r="BC190" s="3218"/>
      <c r="BD190" s="3218"/>
      <c r="BE190" s="3218"/>
      <c r="BF190" s="3218"/>
      <c r="BG190" s="3218"/>
      <c r="BH190" s="3218"/>
      <c r="BI190" s="3218"/>
      <c r="BJ190" s="3218"/>
      <c r="BK190" s="3218"/>
      <c r="BL190" s="3218"/>
      <c r="BM190" s="3218"/>
      <c r="BN190" s="3218"/>
      <c r="BO190" s="3218"/>
      <c r="BP190" s="3218"/>
      <c r="BQ190" s="3218"/>
      <c r="BR190" s="3218"/>
      <c r="BS190" s="3218"/>
      <c r="BT190" s="3218"/>
      <c r="BU190" s="3218"/>
      <c r="BV190" s="3218"/>
      <c r="BW190" s="3218"/>
      <c r="BX190" s="3218"/>
      <c r="BY190" s="3218"/>
      <c r="BZ190" s="3218"/>
      <c r="CA190" s="3218"/>
      <c r="CB190" s="3218"/>
      <c r="CC190" s="3218"/>
      <c r="CD190" s="3218"/>
      <c r="CE190" s="3218"/>
      <c r="CF190" s="3218"/>
      <c r="CG190" s="3218"/>
      <c r="CH190" s="3218"/>
      <c r="CI190" s="3225">
        <f t="shared" si="13"/>
        <v>0</v>
      </c>
    </row>
    <row r="191" spans="1:87" s="1380" customFormat="1" ht="59.25" customHeight="1">
      <c r="A191" s="586" t="s">
        <v>2115</v>
      </c>
      <c r="B191" s="2627" t="s">
        <v>2031</v>
      </c>
      <c r="C191" s="586" t="s">
        <v>4572</v>
      </c>
      <c r="D191" s="982" t="s">
        <v>65</v>
      </c>
      <c r="E191" s="2301" t="s">
        <v>4218</v>
      </c>
      <c r="F191" s="2216">
        <v>550</v>
      </c>
      <c r="G191" s="421"/>
      <c r="H191" s="2216">
        <v>110</v>
      </c>
      <c r="I191" s="421">
        <v>100.69</v>
      </c>
      <c r="J191" s="421"/>
      <c r="K191" s="421">
        <v>1</v>
      </c>
      <c r="L191" s="283">
        <v>7500</v>
      </c>
      <c r="M191" s="2261">
        <f>L191/100000</f>
        <v>7.4999999999999997E-2</v>
      </c>
      <c r="N191" s="283">
        <v>2104</v>
      </c>
      <c r="O191" s="1472">
        <f>M191*N191</f>
        <v>157.79999999999998</v>
      </c>
      <c r="P191" s="2299" t="s">
        <v>5444</v>
      </c>
      <c r="Q191" s="2263" t="str">
        <f>'Abs6. CPHC'!Q24</f>
        <v xml:space="preserve">Recommended for approvalRs. 156.82 @ Rs. 7500 for multiskilling of 2091 (SHC &amp; PHC HWC) staffApproval for UPHC has been given under FMR U.9.2.7.2State to ensure all the training of all the cadre ASHA, MPW, CHO, SN and MO in all the packagesState may propose for  additional funds in Supplementary PIP if required. </v>
      </c>
      <c r="R191" s="2930">
        <f>'Abs6. CPHC'!R24</f>
        <v>156.82</v>
      </c>
      <c r="BB191" s="3219">
        <v>156.82</v>
      </c>
      <c r="BC191" s="3219"/>
      <c r="BD191" s="3219"/>
      <c r="BE191" s="3219"/>
      <c r="BF191" s="3219"/>
      <c r="BG191" s="3219"/>
      <c r="BH191" s="3219"/>
      <c r="BI191" s="3219"/>
      <c r="BJ191" s="3219"/>
      <c r="BK191" s="3219"/>
      <c r="BL191" s="3219"/>
      <c r="BM191" s="3219"/>
      <c r="BN191" s="3219"/>
      <c r="BO191" s="3219"/>
      <c r="BP191" s="3219"/>
      <c r="BQ191" s="3219"/>
      <c r="BR191" s="3219"/>
      <c r="BS191" s="3219"/>
      <c r="BT191" s="3219"/>
      <c r="BU191" s="3219"/>
      <c r="BV191" s="3219"/>
      <c r="BW191" s="3219"/>
      <c r="BX191" s="3219"/>
      <c r="BY191" s="3219"/>
      <c r="BZ191" s="3219"/>
      <c r="CA191" s="3219"/>
      <c r="CB191" s="3219"/>
      <c r="CC191" s="3219"/>
      <c r="CD191" s="3219"/>
      <c r="CE191" s="3219"/>
      <c r="CF191" s="3219"/>
      <c r="CG191" s="3219"/>
      <c r="CH191" s="3219"/>
      <c r="CI191" s="3225">
        <f t="shared" si="13"/>
        <v>156.82</v>
      </c>
    </row>
    <row r="192" spans="1:87">
      <c r="A192" s="508" t="s">
        <v>2116</v>
      </c>
      <c r="B192" s="508" t="s">
        <v>1159</v>
      </c>
      <c r="C192" s="508" t="s">
        <v>4573</v>
      </c>
      <c r="D192" s="908" t="s">
        <v>65</v>
      </c>
      <c r="E192" s="1543" t="s">
        <v>4218</v>
      </c>
      <c r="F192" s="2211">
        <v>840</v>
      </c>
      <c r="G192" s="276"/>
      <c r="H192" s="2211">
        <v>868.56</v>
      </c>
      <c r="I192" s="276">
        <v>63</v>
      </c>
      <c r="J192" s="276">
        <v>855.56</v>
      </c>
      <c r="K192" s="276"/>
      <c r="L192" s="277"/>
      <c r="M192" s="281">
        <f>L192/100000</f>
        <v>0</v>
      </c>
      <c r="N192" s="277"/>
      <c r="O192" s="1507">
        <f>M192*N192</f>
        <v>0</v>
      </c>
      <c r="P192" s="744"/>
      <c r="Q192" s="1017">
        <f>'Abs6. CPHC'!Q25</f>
        <v>0</v>
      </c>
      <c r="R192" s="2931">
        <f>'Abs6. CPHC'!R25</f>
        <v>0</v>
      </c>
      <c r="BB192" s="3218"/>
      <c r="BC192" s="3218"/>
      <c r="BD192" s="3218"/>
      <c r="BE192" s="3218"/>
      <c r="BF192" s="3218"/>
      <c r="BG192" s="3218"/>
      <c r="BH192" s="3218"/>
      <c r="BI192" s="3218"/>
      <c r="BJ192" s="3218"/>
      <c r="BK192" s="3218"/>
      <c r="BL192" s="3218"/>
      <c r="BM192" s="3218"/>
      <c r="BN192" s="3218"/>
      <c r="BO192" s="3218"/>
      <c r="BP192" s="3218"/>
      <c r="BQ192" s="3218"/>
      <c r="BR192" s="3218"/>
      <c r="BS192" s="3218"/>
      <c r="BT192" s="3218"/>
      <c r="BU192" s="3218"/>
      <c r="BV192" s="3218"/>
      <c r="BW192" s="3218"/>
      <c r="BX192" s="3218"/>
      <c r="BY192" s="3218"/>
      <c r="BZ192" s="3218"/>
      <c r="CA192" s="3218"/>
      <c r="CB192" s="3218"/>
      <c r="CC192" s="3218"/>
      <c r="CD192" s="3218"/>
      <c r="CE192" s="3218"/>
      <c r="CF192" s="3218"/>
      <c r="CG192" s="3218"/>
      <c r="CH192" s="3218"/>
      <c r="CI192" s="3225">
        <f t="shared" si="13"/>
        <v>0</v>
      </c>
    </row>
    <row r="193" spans="1:87" ht="14.25" customHeight="1">
      <c r="A193" s="1544"/>
      <c r="B193" s="1544"/>
      <c r="C193" s="586" t="s">
        <v>4574</v>
      </c>
      <c r="D193" s="908" t="s">
        <v>65</v>
      </c>
      <c r="E193" s="1543" t="s">
        <v>4218</v>
      </c>
      <c r="F193" s="2213"/>
      <c r="G193" s="276"/>
      <c r="H193" s="2213"/>
      <c r="I193" s="276"/>
      <c r="J193" s="276"/>
      <c r="K193" s="276"/>
      <c r="L193" s="277"/>
      <c r="M193" s="281">
        <f>L193/100000</f>
        <v>0</v>
      </c>
      <c r="N193" s="277"/>
      <c r="O193" s="1507">
        <f>M193*N193</f>
        <v>0</v>
      </c>
      <c r="P193" s="744"/>
      <c r="Q193" s="1017">
        <f>'Abs6. CPHC'!Q26</f>
        <v>0</v>
      </c>
      <c r="R193" s="2931">
        <f>'Abs6. CPHC'!R26</f>
        <v>0</v>
      </c>
      <c r="BB193" s="3218"/>
      <c r="BC193" s="3218"/>
      <c r="BD193" s="3218"/>
      <c r="BE193" s="3218"/>
      <c r="BF193" s="3218"/>
      <c r="BG193" s="3218"/>
      <c r="BH193" s="3218"/>
      <c r="BI193" s="3218"/>
      <c r="BJ193" s="3218"/>
      <c r="BK193" s="3218"/>
      <c r="BL193" s="3218"/>
      <c r="BM193" s="3218"/>
      <c r="BN193" s="3218"/>
      <c r="BO193" s="3218"/>
      <c r="BP193" s="3218"/>
      <c r="BQ193" s="3218"/>
      <c r="BR193" s="3218"/>
      <c r="BS193" s="3218"/>
      <c r="BT193" s="3218"/>
      <c r="BU193" s="3218"/>
      <c r="BV193" s="3218"/>
      <c r="BW193" s="3218"/>
      <c r="BX193" s="3218"/>
      <c r="BY193" s="3218"/>
      <c r="BZ193" s="3218"/>
      <c r="CA193" s="3218"/>
      <c r="CB193" s="3218"/>
      <c r="CC193" s="3218"/>
      <c r="CD193" s="3218"/>
      <c r="CE193" s="3218"/>
      <c r="CF193" s="3218"/>
      <c r="CG193" s="3218"/>
      <c r="CH193" s="3218"/>
      <c r="CI193" s="3225">
        <f t="shared" si="13"/>
        <v>0</v>
      </c>
    </row>
    <row r="194" spans="1:87" s="1380" customFormat="1" ht="57.75" customHeight="1">
      <c r="A194" s="586" t="s">
        <v>2524</v>
      </c>
      <c r="B194" s="586"/>
      <c r="C194" s="2628" t="s">
        <v>5152</v>
      </c>
      <c r="D194" s="982" t="s">
        <v>65</v>
      </c>
      <c r="E194" s="2301" t="s">
        <v>4218</v>
      </c>
      <c r="F194" s="285">
        <v>250</v>
      </c>
      <c r="G194" s="286"/>
      <c r="H194" s="413">
        <v>87.67</v>
      </c>
      <c r="I194" s="413">
        <v>0.08</v>
      </c>
      <c r="J194" s="285">
        <v>87.59</v>
      </c>
      <c r="K194" s="285">
        <v>1</v>
      </c>
      <c r="L194" s="283">
        <v>5000</v>
      </c>
      <c r="M194" s="2261">
        <f>L194/100000</f>
        <v>0.05</v>
      </c>
      <c r="N194" s="283">
        <v>2104</v>
      </c>
      <c r="O194" s="1472">
        <f>M194*N194</f>
        <v>105.2</v>
      </c>
      <c r="P194" s="2299" t="s">
        <v>5445</v>
      </c>
      <c r="Q194" s="2263" t="str">
        <f>'Abs6. CPHC'!Q27</f>
        <v>Recommended for approvalRs. 105.20 L for -1) 80 L @ Rs. 250 per Yoga session for 10 sessions in a month 2) Rs. 25.20 L @ Rs. 30000 per Medical College for 12 months (As per State Guidelines)State has shared that each Medical college will mentor 5 PHCs and 5 SHC- HWCs through monthly visits.</v>
      </c>
      <c r="R194" s="2930">
        <f>'Abs6. CPHC'!R27</f>
        <v>105.2</v>
      </c>
      <c r="BB194" s="3219">
        <f>80+3.6</f>
        <v>83.6</v>
      </c>
      <c r="BC194" s="3219"/>
      <c r="BD194" s="3219"/>
      <c r="BE194" s="3219"/>
      <c r="BF194" s="3219"/>
      <c r="BG194" s="3219"/>
      <c r="BH194" s="3219"/>
      <c r="BI194" s="3219"/>
      <c r="BJ194" s="3219"/>
      <c r="BK194" s="3219"/>
      <c r="BL194" s="3219"/>
      <c r="BM194" s="3219"/>
      <c r="BN194" s="3219"/>
      <c r="BO194" s="3219">
        <v>3.6</v>
      </c>
      <c r="BP194" s="3219">
        <v>3.6</v>
      </c>
      <c r="BQ194" s="3219">
        <v>3.6</v>
      </c>
      <c r="BR194" s="3219">
        <v>3.6</v>
      </c>
      <c r="BS194" s="3219">
        <v>3.6</v>
      </c>
      <c r="BT194" s="3219">
        <v>3.6</v>
      </c>
      <c r="BU194" s="3219"/>
      <c r="BV194" s="3219"/>
      <c r="BW194" s="3219"/>
      <c r="BX194" s="3219"/>
      <c r="BY194" s="3219"/>
      <c r="BZ194" s="3219"/>
      <c r="CA194" s="3219"/>
      <c r="CB194" s="3219"/>
      <c r="CC194" s="3219"/>
      <c r="CD194" s="3219"/>
      <c r="CE194" s="3219"/>
      <c r="CF194" s="3219"/>
      <c r="CG194" s="3219"/>
      <c r="CH194" s="3219"/>
      <c r="CI194" s="3225">
        <f t="shared" si="13"/>
        <v>105.19999999999996</v>
      </c>
    </row>
    <row r="195" spans="1:87">
      <c r="A195" s="1529" t="s">
        <v>3265</v>
      </c>
      <c r="B195" s="1529" t="s">
        <v>812</v>
      </c>
      <c r="C195" s="1529" t="s">
        <v>813</v>
      </c>
      <c r="D195" s="951"/>
      <c r="E195" s="951"/>
      <c r="F195" s="420"/>
      <c r="G195" s="420"/>
      <c r="H195" s="420"/>
      <c r="I195" s="420"/>
      <c r="J195" s="420"/>
      <c r="K195" s="420"/>
      <c r="L195" s="420"/>
      <c r="M195" s="1531"/>
      <c r="N195" s="434"/>
      <c r="O195" s="1531">
        <f>SUM(O196:O199)</f>
        <v>0</v>
      </c>
      <c r="P195" s="753"/>
      <c r="Q195" s="1000"/>
      <c r="R195" s="2929">
        <f>SUM(R196:R199)</f>
        <v>0</v>
      </c>
      <c r="BB195" s="3218"/>
      <c r="BC195" s="3218"/>
      <c r="BD195" s="3218"/>
      <c r="BE195" s="3218"/>
      <c r="BF195" s="3218"/>
      <c r="BG195" s="3218"/>
      <c r="BH195" s="3218"/>
      <c r="BI195" s="3218"/>
      <c r="BJ195" s="3218"/>
      <c r="BK195" s="3218"/>
      <c r="BL195" s="3218"/>
      <c r="BM195" s="3218"/>
      <c r="BN195" s="3218"/>
      <c r="BO195" s="3218"/>
      <c r="BP195" s="3218"/>
      <c r="BQ195" s="3218"/>
      <c r="BR195" s="3218"/>
      <c r="BS195" s="3218"/>
      <c r="BT195" s="3218"/>
      <c r="BU195" s="3218"/>
      <c r="BV195" s="3218"/>
      <c r="BW195" s="3218"/>
      <c r="BX195" s="3218"/>
      <c r="BY195" s="3218"/>
      <c r="BZ195" s="3218"/>
      <c r="CA195" s="3218"/>
      <c r="CB195" s="3218"/>
      <c r="CC195" s="3218"/>
      <c r="CD195" s="3218"/>
      <c r="CE195" s="3218"/>
      <c r="CF195" s="3218"/>
      <c r="CG195" s="3218"/>
      <c r="CH195" s="3218"/>
      <c r="CI195" s="3225">
        <f t="shared" si="13"/>
        <v>0</v>
      </c>
    </row>
    <row r="196" spans="1:87">
      <c r="A196" s="508" t="s">
        <v>4203</v>
      </c>
      <c r="B196" s="508" t="s">
        <v>814</v>
      </c>
      <c r="C196" s="508" t="s">
        <v>815</v>
      </c>
      <c r="D196" s="908" t="s">
        <v>65</v>
      </c>
      <c r="E196" s="1525" t="s">
        <v>65</v>
      </c>
      <c r="F196" s="2215">
        <v>0</v>
      </c>
      <c r="G196" s="384"/>
      <c r="H196" s="186">
        <v>0</v>
      </c>
      <c r="I196" s="423"/>
      <c r="J196" s="384"/>
      <c r="K196" s="424"/>
      <c r="L196" s="277"/>
      <c r="M196" s="281">
        <f>L196/100000</f>
        <v>0</v>
      </c>
      <c r="N196" s="277"/>
      <c r="O196" s="1507">
        <f>M196*N196</f>
        <v>0</v>
      </c>
      <c r="P196" s="759"/>
      <c r="Q196" s="1022"/>
      <c r="R196" s="2921"/>
      <c r="BB196" s="3218"/>
      <c r="BC196" s="3218"/>
      <c r="BD196" s="3218"/>
      <c r="BE196" s="3218"/>
      <c r="BF196" s="3218"/>
      <c r="BG196" s="3218"/>
      <c r="BH196" s="3218"/>
      <c r="BI196" s="3218"/>
      <c r="BJ196" s="3218"/>
      <c r="BK196" s="3218"/>
      <c r="BL196" s="3218"/>
      <c r="BM196" s="3218"/>
      <c r="BN196" s="3218"/>
      <c r="BO196" s="3218"/>
      <c r="BP196" s="3218"/>
      <c r="BQ196" s="3218"/>
      <c r="BR196" s="3218"/>
      <c r="BS196" s="3218"/>
      <c r="BT196" s="3218"/>
      <c r="BU196" s="3218"/>
      <c r="BV196" s="3218"/>
      <c r="BW196" s="3218"/>
      <c r="BX196" s="3218"/>
      <c r="BY196" s="3218"/>
      <c r="BZ196" s="3218"/>
      <c r="CA196" s="3218"/>
      <c r="CB196" s="3218"/>
      <c r="CC196" s="3218"/>
      <c r="CD196" s="3218"/>
      <c r="CE196" s="3218"/>
      <c r="CF196" s="3218"/>
      <c r="CG196" s="3218"/>
      <c r="CH196" s="3218"/>
      <c r="CI196" s="3225">
        <f t="shared" si="13"/>
        <v>0</v>
      </c>
    </row>
    <row r="197" spans="1:87" ht="30">
      <c r="A197" s="508" t="s">
        <v>4204</v>
      </c>
      <c r="B197" s="508" t="s">
        <v>816</v>
      </c>
      <c r="C197" s="508" t="s">
        <v>817</v>
      </c>
      <c r="D197" s="908" t="s">
        <v>65</v>
      </c>
      <c r="E197" s="1525" t="s">
        <v>65</v>
      </c>
      <c r="F197" s="2215">
        <v>0</v>
      </c>
      <c r="G197" s="384"/>
      <c r="H197" s="186">
        <v>0</v>
      </c>
      <c r="I197" s="423"/>
      <c r="J197" s="384"/>
      <c r="K197" s="424"/>
      <c r="L197" s="277"/>
      <c r="M197" s="281">
        <f>L197/100000</f>
        <v>0</v>
      </c>
      <c r="N197" s="277"/>
      <c r="O197" s="1507">
        <f>M197*N197</f>
        <v>0</v>
      </c>
      <c r="P197" s="759"/>
      <c r="Q197" s="1022"/>
      <c r="R197" s="2921"/>
      <c r="BB197" s="3218"/>
      <c r="BC197" s="3218"/>
      <c r="BD197" s="3218"/>
      <c r="BE197" s="3218"/>
      <c r="BF197" s="3218"/>
      <c r="BG197" s="3218"/>
      <c r="BH197" s="3218"/>
      <c r="BI197" s="3218"/>
      <c r="BJ197" s="3218"/>
      <c r="BK197" s="3218"/>
      <c r="BL197" s="3218"/>
      <c r="BM197" s="3218"/>
      <c r="BN197" s="3218"/>
      <c r="BO197" s="3218"/>
      <c r="BP197" s="3218"/>
      <c r="BQ197" s="3218"/>
      <c r="BR197" s="3218"/>
      <c r="BS197" s="3218"/>
      <c r="BT197" s="3218"/>
      <c r="BU197" s="3218"/>
      <c r="BV197" s="3218"/>
      <c r="BW197" s="3218"/>
      <c r="BX197" s="3218"/>
      <c r="BY197" s="3218"/>
      <c r="BZ197" s="3218"/>
      <c r="CA197" s="3218"/>
      <c r="CB197" s="3218"/>
      <c r="CC197" s="3218"/>
      <c r="CD197" s="3218"/>
      <c r="CE197" s="3218"/>
      <c r="CF197" s="3218"/>
      <c r="CG197" s="3218"/>
      <c r="CH197" s="3218"/>
      <c r="CI197" s="3225">
        <f t="shared" si="13"/>
        <v>0</v>
      </c>
    </row>
    <row r="198" spans="1:87">
      <c r="A198" s="508" t="s">
        <v>4205</v>
      </c>
      <c r="B198" s="508" t="s">
        <v>818</v>
      </c>
      <c r="C198" s="508" t="s">
        <v>819</v>
      </c>
      <c r="D198" s="908" t="s">
        <v>65</v>
      </c>
      <c r="E198" s="1525" t="s">
        <v>65</v>
      </c>
      <c r="F198" s="2215">
        <v>0</v>
      </c>
      <c r="G198" s="384"/>
      <c r="H198" s="186">
        <v>0</v>
      </c>
      <c r="I198" s="423"/>
      <c r="J198" s="384"/>
      <c r="K198" s="424"/>
      <c r="L198" s="277"/>
      <c r="M198" s="281">
        <f>L198/100000</f>
        <v>0</v>
      </c>
      <c r="N198" s="277"/>
      <c r="O198" s="1507">
        <f>M198*N198</f>
        <v>0</v>
      </c>
      <c r="P198" s="707"/>
      <c r="Q198" s="1022"/>
      <c r="R198" s="2921"/>
      <c r="BB198" s="3218"/>
      <c r="BC198" s="3218"/>
      <c r="BD198" s="3218"/>
      <c r="BE198" s="3218"/>
      <c r="BF198" s="3218"/>
      <c r="BG198" s="3218"/>
      <c r="BH198" s="3218"/>
      <c r="BI198" s="3218"/>
      <c r="BJ198" s="3218"/>
      <c r="BK198" s="3218"/>
      <c r="BL198" s="3218"/>
      <c r="BM198" s="3218"/>
      <c r="BN198" s="3218"/>
      <c r="BO198" s="3218"/>
      <c r="BP198" s="3218"/>
      <c r="BQ198" s="3218"/>
      <c r="BR198" s="3218"/>
      <c r="BS198" s="3218"/>
      <c r="BT198" s="3218"/>
      <c r="BU198" s="3218"/>
      <c r="BV198" s="3218"/>
      <c r="BW198" s="3218"/>
      <c r="BX198" s="3218"/>
      <c r="BY198" s="3218"/>
      <c r="BZ198" s="3218"/>
      <c r="CA198" s="3218"/>
      <c r="CB198" s="3218"/>
      <c r="CC198" s="3218"/>
      <c r="CD198" s="3218"/>
      <c r="CE198" s="3218"/>
      <c r="CF198" s="3218"/>
      <c r="CG198" s="3218"/>
      <c r="CH198" s="3218"/>
      <c r="CI198" s="3225">
        <f t="shared" ref="CI198:CI261" si="16">SUM(BB198:CH198)</f>
        <v>0</v>
      </c>
    </row>
    <row r="199" spans="1:87">
      <c r="A199" s="508" t="s">
        <v>4206</v>
      </c>
      <c r="B199" s="508" t="s">
        <v>820</v>
      </c>
      <c r="C199" s="1532" t="s">
        <v>1760</v>
      </c>
      <c r="D199" s="908" t="s">
        <v>65</v>
      </c>
      <c r="E199" s="1533" t="s">
        <v>65</v>
      </c>
      <c r="F199" s="2211">
        <v>0</v>
      </c>
      <c r="G199" s="276"/>
      <c r="H199" s="2211">
        <v>0</v>
      </c>
      <c r="I199" s="276"/>
      <c r="J199" s="276"/>
      <c r="K199" s="276"/>
      <c r="L199" s="277"/>
      <c r="M199" s="281">
        <f>L199/100000</f>
        <v>0</v>
      </c>
      <c r="N199" s="277"/>
      <c r="O199" s="1507">
        <f>M199*N199</f>
        <v>0</v>
      </c>
      <c r="P199" s="744"/>
      <c r="Q199" s="1022"/>
      <c r="R199" s="2921"/>
      <c r="BB199" s="3218"/>
      <c r="BC199" s="3218"/>
      <c r="BD199" s="3218"/>
      <c r="BE199" s="3218"/>
      <c r="BF199" s="3218"/>
      <c r="BG199" s="3218"/>
      <c r="BH199" s="3218"/>
      <c r="BI199" s="3218"/>
      <c r="BJ199" s="3218"/>
      <c r="BK199" s="3218"/>
      <c r="BL199" s="3218"/>
      <c r="BM199" s="3218"/>
      <c r="BN199" s="3218"/>
      <c r="BO199" s="3218"/>
      <c r="BP199" s="3218"/>
      <c r="BQ199" s="3218"/>
      <c r="BR199" s="3218"/>
      <c r="BS199" s="3218"/>
      <c r="BT199" s="3218"/>
      <c r="BU199" s="3218"/>
      <c r="BV199" s="3218"/>
      <c r="BW199" s="3218"/>
      <c r="BX199" s="3218"/>
      <c r="BY199" s="3218"/>
      <c r="BZ199" s="3218"/>
      <c r="CA199" s="3218"/>
      <c r="CB199" s="3218"/>
      <c r="CC199" s="3218"/>
      <c r="CD199" s="3218"/>
      <c r="CE199" s="3218"/>
      <c r="CF199" s="3218"/>
      <c r="CG199" s="3218"/>
      <c r="CH199" s="3218"/>
      <c r="CI199" s="3225">
        <f t="shared" si="16"/>
        <v>0</v>
      </c>
    </row>
    <row r="200" spans="1:87">
      <c r="A200" s="1529"/>
      <c r="B200" s="1529"/>
      <c r="C200" s="1529" t="s">
        <v>4764</v>
      </c>
      <c r="D200" s="975"/>
      <c r="E200" s="1545"/>
      <c r="F200" s="382"/>
      <c r="G200" s="382"/>
      <c r="H200" s="382"/>
      <c r="I200" s="382"/>
      <c r="J200" s="382"/>
      <c r="K200" s="382"/>
      <c r="L200" s="51"/>
      <c r="M200" s="52"/>
      <c r="N200" s="51"/>
      <c r="O200" s="1546">
        <f>SUM(O201:O207)</f>
        <v>0</v>
      </c>
      <c r="P200" s="760"/>
      <c r="Q200" s="1000"/>
      <c r="R200" s="1546">
        <f>SUM(R201:R207)</f>
        <v>0</v>
      </c>
      <c r="BB200" s="3218"/>
      <c r="BC200" s="3218"/>
      <c r="BD200" s="3218"/>
      <c r="BE200" s="3218"/>
      <c r="BF200" s="3218"/>
      <c r="BG200" s="3218"/>
      <c r="BH200" s="3218"/>
      <c r="BI200" s="3218"/>
      <c r="BJ200" s="3218"/>
      <c r="BK200" s="3218"/>
      <c r="BL200" s="3218"/>
      <c r="BM200" s="3218"/>
      <c r="BN200" s="3218"/>
      <c r="BO200" s="3218"/>
      <c r="BP200" s="3218"/>
      <c r="BQ200" s="3218"/>
      <c r="BR200" s="3218"/>
      <c r="BS200" s="3218"/>
      <c r="BT200" s="3218"/>
      <c r="BU200" s="3218"/>
      <c r="BV200" s="3218"/>
      <c r="BW200" s="3218"/>
      <c r="BX200" s="3218"/>
      <c r="BY200" s="3218"/>
      <c r="BZ200" s="3218"/>
      <c r="CA200" s="3218"/>
      <c r="CB200" s="3218"/>
      <c r="CC200" s="3218"/>
      <c r="CD200" s="3218"/>
      <c r="CE200" s="3218"/>
      <c r="CF200" s="3218"/>
      <c r="CG200" s="3218"/>
      <c r="CH200" s="3218"/>
      <c r="CI200" s="3225">
        <f t="shared" si="16"/>
        <v>0</v>
      </c>
    </row>
    <row r="201" spans="1:87">
      <c r="A201" s="1519" t="s">
        <v>3261</v>
      </c>
      <c r="B201" s="508" t="s">
        <v>1157</v>
      </c>
      <c r="C201" s="508" t="s">
        <v>1158</v>
      </c>
      <c r="D201" s="908" t="s">
        <v>65</v>
      </c>
      <c r="E201" s="1120" t="s">
        <v>65</v>
      </c>
      <c r="F201" s="2211">
        <v>0</v>
      </c>
      <c r="G201" s="276"/>
      <c r="H201" s="2211">
        <v>0</v>
      </c>
      <c r="I201" s="276"/>
      <c r="J201" s="276"/>
      <c r="K201" s="276"/>
      <c r="L201" s="277"/>
      <c r="M201" s="281">
        <f t="shared" ref="M201:M207" si="17">L201/100000</f>
        <v>0</v>
      </c>
      <c r="N201" s="277"/>
      <c r="O201" s="1507">
        <f t="shared" ref="O201:O206" si="18">M201*N201</f>
        <v>0</v>
      </c>
      <c r="P201" s="744"/>
      <c r="Q201" s="1022"/>
      <c r="R201" s="2921"/>
      <c r="BB201" s="3218"/>
      <c r="BC201" s="3218"/>
      <c r="BD201" s="3218"/>
      <c r="BE201" s="3218"/>
      <c r="BF201" s="3218"/>
      <c r="BG201" s="3218"/>
      <c r="BH201" s="3218"/>
      <c r="BI201" s="3218"/>
      <c r="BJ201" s="3218"/>
      <c r="BK201" s="3218"/>
      <c r="BL201" s="3218"/>
      <c r="BM201" s="3218"/>
      <c r="BN201" s="3218"/>
      <c r="BO201" s="3218"/>
      <c r="BP201" s="3218"/>
      <c r="BQ201" s="3218"/>
      <c r="BR201" s="3218"/>
      <c r="BS201" s="3218"/>
      <c r="BT201" s="3218"/>
      <c r="BU201" s="3218"/>
      <c r="BV201" s="3218"/>
      <c r="BW201" s="3218"/>
      <c r="BX201" s="3218"/>
      <c r="BY201" s="3218"/>
      <c r="BZ201" s="3218"/>
      <c r="CA201" s="3218"/>
      <c r="CB201" s="3218"/>
      <c r="CC201" s="3218"/>
      <c r="CD201" s="3218"/>
      <c r="CE201" s="3218"/>
      <c r="CF201" s="3218"/>
      <c r="CG201" s="3218"/>
      <c r="CH201" s="3218"/>
      <c r="CI201" s="3225">
        <f t="shared" si="16"/>
        <v>0</v>
      </c>
    </row>
    <row r="202" spans="1:87" ht="30">
      <c r="A202" s="1519" t="s">
        <v>3262</v>
      </c>
      <c r="B202" s="508" t="s">
        <v>1160</v>
      </c>
      <c r="C202" s="1520" t="s">
        <v>1161</v>
      </c>
      <c r="D202" s="908" t="s">
        <v>65</v>
      </c>
      <c r="E202" s="1120" t="s">
        <v>65</v>
      </c>
      <c r="F202" s="2211">
        <v>0</v>
      </c>
      <c r="G202" s="276"/>
      <c r="H202" s="2211">
        <v>0</v>
      </c>
      <c r="I202" s="276"/>
      <c r="J202" s="276"/>
      <c r="K202" s="276"/>
      <c r="L202" s="277"/>
      <c r="M202" s="281">
        <f t="shared" si="17"/>
        <v>0</v>
      </c>
      <c r="N202" s="277"/>
      <c r="O202" s="1507">
        <f t="shared" si="18"/>
        <v>0</v>
      </c>
      <c r="P202" s="761"/>
      <c r="Q202" s="1022"/>
      <c r="R202" s="2921"/>
      <c r="BB202" s="3218"/>
      <c r="BC202" s="3218"/>
      <c r="BD202" s="3218"/>
      <c r="BE202" s="3218"/>
      <c r="BF202" s="3218"/>
      <c r="BG202" s="3218"/>
      <c r="BH202" s="3218"/>
      <c r="BI202" s="3218"/>
      <c r="BJ202" s="3218"/>
      <c r="BK202" s="3218"/>
      <c r="BL202" s="3218"/>
      <c r="BM202" s="3218"/>
      <c r="BN202" s="3218"/>
      <c r="BO202" s="3218"/>
      <c r="BP202" s="3218"/>
      <c r="BQ202" s="3218"/>
      <c r="BR202" s="3218"/>
      <c r="BS202" s="3218"/>
      <c r="BT202" s="3218"/>
      <c r="BU202" s="3218"/>
      <c r="BV202" s="3218"/>
      <c r="BW202" s="3218"/>
      <c r="BX202" s="3218"/>
      <c r="BY202" s="3218"/>
      <c r="BZ202" s="3218"/>
      <c r="CA202" s="3218"/>
      <c r="CB202" s="3218"/>
      <c r="CC202" s="3218"/>
      <c r="CD202" s="3218"/>
      <c r="CE202" s="3218"/>
      <c r="CF202" s="3218"/>
      <c r="CG202" s="3218"/>
      <c r="CH202" s="3218"/>
      <c r="CI202" s="3225">
        <f t="shared" si="16"/>
        <v>0</v>
      </c>
    </row>
    <row r="203" spans="1:87" ht="30">
      <c r="A203" s="1519" t="s">
        <v>3263</v>
      </c>
      <c r="B203" s="508" t="s">
        <v>1007</v>
      </c>
      <c r="C203" s="508" t="s">
        <v>1008</v>
      </c>
      <c r="D203" s="908" t="s">
        <v>65</v>
      </c>
      <c r="E203" s="1120" t="s">
        <v>65</v>
      </c>
      <c r="F203" s="2211">
        <v>0</v>
      </c>
      <c r="G203" s="276"/>
      <c r="H203" s="2211">
        <v>0</v>
      </c>
      <c r="I203" s="276"/>
      <c r="J203" s="276"/>
      <c r="K203" s="276"/>
      <c r="L203" s="277"/>
      <c r="M203" s="281">
        <f t="shared" si="17"/>
        <v>0</v>
      </c>
      <c r="N203" s="277"/>
      <c r="O203" s="1507">
        <f t="shared" si="18"/>
        <v>0</v>
      </c>
      <c r="P203" s="761"/>
      <c r="Q203" s="1022"/>
      <c r="R203" s="2921"/>
      <c r="BB203" s="3218"/>
      <c r="BC203" s="3218"/>
      <c r="BD203" s="3218"/>
      <c r="BE203" s="3218"/>
      <c r="BF203" s="3218"/>
      <c r="BG203" s="3218"/>
      <c r="BH203" s="3218"/>
      <c r="BI203" s="3218"/>
      <c r="BJ203" s="3218"/>
      <c r="BK203" s="3218"/>
      <c r="BL203" s="3218"/>
      <c r="BM203" s="3218"/>
      <c r="BN203" s="3218"/>
      <c r="BO203" s="3218"/>
      <c r="BP203" s="3218"/>
      <c r="BQ203" s="3218"/>
      <c r="BR203" s="3218"/>
      <c r="BS203" s="3218"/>
      <c r="BT203" s="3218"/>
      <c r="BU203" s="3218"/>
      <c r="BV203" s="3218"/>
      <c r="BW203" s="3218"/>
      <c r="BX203" s="3218"/>
      <c r="BY203" s="3218"/>
      <c r="BZ203" s="3218"/>
      <c r="CA203" s="3218"/>
      <c r="CB203" s="3218"/>
      <c r="CC203" s="3218"/>
      <c r="CD203" s="3218"/>
      <c r="CE203" s="3218"/>
      <c r="CF203" s="3218"/>
      <c r="CG203" s="3218"/>
      <c r="CH203" s="3218"/>
      <c r="CI203" s="3225">
        <f t="shared" si="16"/>
        <v>0</v>
      </c>
    </row>
    <row r="204" spans="1:87" ht="30">
      <c r="A204" s="1519" t="s">
        <v>3264</v>
      </c>
      <c r="B204" s="508" t="s">
        <v>1009</v>
      </c>
      <c r="C204" s="508" t="s">
        <v>1010</v>
      </c>
      <c r="D204" s="908" t="s">
        <v>65</v>
      </c>
      <c r="E204" s="1120" t="s">
        <v>65</v>
      </c>
      <c r="F204" s="2211">
        <v>0</v>
      </c>
      <c r="G204" s="276"/>
      <c r="H204" s="2211">
        <v>0</v>
      </c>
      <c r="I204" s="276"/>
      <c r="J204" s="276"/>
      <c r="K204" s="276"/>
      <c r="L204" s="277"/>
      <c r="M204" s="281">
        <f t="shared" si="17"/>
        <v>0</v>
      </c>
      <c r="N204" s="277"/>
      <c r="O204" s="1507">
        <f t="shared" si="18"/>
        <v>0</v>
      </c>
      <c r="P204" s="761"/>
      <c r="Q204" s="1022"/>
      <c r="R204" s="2921"/>
      <c r="BB204" s="3218"/>
      <c r="BC204" s="3218"/>
      <c r="BD204" s="3218"/>
      <c r="BE204" s="3218"/>
      <c r="BF204" s="3218"/>
      <c r="BG204" s="3218"/>
      <c r="BH204" s="3218"/>
      <c r="BI204" s="3218"/>
      <c r="BJ204" s="3218"/>
      <c r="BK204" s="3218"/>
      <c r="BL204" s="3218"/>
      <c r="BM204" s="3218"/>
      <c r="BN204" s="3218"/>
      <c r="BO204" s="3218"/>
      <c r="BP204" s="3218"/>
      <c r="BQ204" s="3218"/>
      <c r="BR204" s="3218"/>
      <c r="BS204" s="3218"/>
      <c r="BT204" s="3218"/>
      <c r="BU204" s="3218"/>
      <c r="BV204" s="3218"/>
      <c r="BW204" s="3218"/>
      <c r="BX204" s="3218"/>
      <c r="BY204" s="3218"/>
      <c r="BZ204" s="3218"/>
      <c r="CA204" s="3218"/>
      <c r="CB204" s="3218"/>
      <c r="CC204" s="3218"/>
      <c r="CD204" s="3218"/>
      <c r="CE204" s="3218"/>
      <c r="CF204" s="3218"/>
      <c r="CG204" s="3218"/>
      <c r="CH204" s="3218"/>
      <c r="CI204" s="3225">
        <f t="shared" si="16"/>
        <v>0</v>
      </c>
    </row>
    <row r="205" spans="1:87" s="1380" customFormat="1" ht="30">
      <c r="A205" s="586" t="s">
        <v>4356</v>
      </c>
      <c r="B205" s="586"/>
      <c r="C205" s="586" t="s">
        <v>4358</v>
      </c>
      <c r="D205" s="908" t="s">
        <v>65</v>
      </c>
      <c r="E205" s="1464" t="s">
        <v>5072</v>
      </c>
      <c r="F205" s="2216">
        <v>0</v>
      </c>
      <c r="G205" s="421"/>
      <c r="H205" s="2216">
        <v>0</v>
      </c>
      <c r="I205" s="421"/>
      <c r="J205" s="421"/>
      <c r="K205" s="421"/>
      <c r="L205" s="277"/>
      <c r="M205" s="281">
        <f t="shared" si="17"/>
        <v>0</v>
      </c>
      <c r="N205" s="277"/>
      <c r="O205" s="1472">
        <f t="shared" si="18"/>
        <v>0</v>
      </c>
      <c r="P205" s="761"/>
      <c r="Q205" s="1017"/>
      <c r="R205" s="2931"/>
      <c r="BB205" s="3219"/>
      <c r="BC205" s="3219"/>
      <c r="BD205" s="3219"/>
      <c r="BE205" s="3219"/>
      <c r="BF205" s="3219"/>
      <c r="BG205" s="3219"/>
      <c r="BH205" s="3219"/>
      <c r="BI205" s="3219"/>
      <c r="BJ205" s="3219"/>
      <c r="BK205" s="3219"/>
      <c r="BL205" s="3219"/>
      <c r="BM205" s="3219"/>
      <c r="BN205" s="3219"/>
      <c r="BO205" s="3219"/>
      <c r="BP205" s="3219"/>
      <c r="BQ205" s="3219"/>
      <c r="BR205" s="3219"/>
      <c r="BS205" s="3219"/>
      <c r="BT205" s="3219"/>
      <c r="BU205" s="3219"/>
      <c r="BV205" s="3219"/>
      <c r="BW205" s="3219"/>
      <c r="BX205" s="3219"/>
      <c r="BY205" s="3219"/>
      <c r="BZ205" s="3219"/>
      <c r="CA205" s="3219"/>
      <c r="CB205" s="3219"/>
      <c r="CC205" s="3219"/>
      <c r="CD205" s="3219"/>
      <c r="CE205" s="3219"/>
      <c r="CF205" s="3219"/>
      <c r="CG205" s="3219"/>
      <c r="CH205" s="3219"/>
      <c r="CI205" s="3225">
        <f t="shared" si="16"/>
        <v>0</v>
      </c>
    </row>
    <row r="206" spans="1:87" s="1380" customFormat="1" ht="75">
      <c r="A206" s="586" t="s">
        <v>4357</v>
      </c>
      <c r="B206" s="586"/>
      <c r="C206" s="586" t="s">
        <v>4402</v>
      </c>
      <c r="D206" s="908" t="s">
        <v>65</v>
      </c>
      <c r="E206" s="1547" t="s">
        <v>4668</v>
      </c>
      <c r="F206" s="2216">
        <v>0</v>
      </c>
      <c r="G206" s="421"/>
      <c r="H206" s="2216">
        <v>0</v>
      </c>
      <c r="I206" s="421"/>
      <c r="J206" s="421"/>
      <c r="K206" s="421"/>
      <c r="L206" s="277"/>
      <c r="M206" s="281">
        <f t="shared" si="17"/>
        <v>0</v>
      </c>
      <c r="N206" s="277"/>
      <c r="O206" s="1472">
        <f t="shared" si="18"/>
        <v>0</v>
      </c>
      <c r="P206" s="761"/>
      <c r="Q206" s="1017"/>
      <c r="R206" s="2931"/>
      <c r="BB206" s="3219"/>
      <c r="BC206" s="3219"/>
      <c r="BD206" s="3219"/>
      <c r="BE206" s="3219"/>
      <c r="BF206" s="3219"/>
      <c r="BG206" s="3219"/>
      <c r="BH206" s="3219"/>
      <c r="BI206" s="3219"/>
      <c r="BJ206" s="3219"/>
      <c r="BK206" s="3219"/>
      <c r="BL206" s="3219"/>
      <c r="BM206" s="3219"/>
      <c r="BN206" s="3219"/>
      <c r="BO206" s="3219"/>
      <c r="BP206" s="3219"/>
      <c r="BQ206" s="3219"/>
      <c r="BR206" s="3219"/>
      <c r="BS206" s="3219"/>
      <c r="BT206" s="3219"/>
      <c r="BU206" s="3219"/>
      <c r="BV206" s="3219"/>
      <c r="BW206" s="3219"/>
      <c r="BX206" s="3219"/>
      <c r="BY206" s="3219"/>
      <c r="BZ206" s="3219"/>
      <c r="CA206" s="3219"/>
      <c r="CB206" s="3219"/>
      <c r="CC206" s="3219"/>
      <c r="CD206" s="3219"/>
      <c r="CE206" s="3219"/>
      <c r="CF206" s="3219"/>
      <c r="CG206" s="3219"/>
      <c r="CH206" s="3219"/>
      <c r="CI206" s="3225">
        <f t="shared" si="16"/>
        <v>0</v>
      </c>
    </row>
    <row r="207" spans="1:87">
      <c r="A207" s="586" t="s">
        <v>4404</v>
      </c>
      <c r="B207" s="473"/>
      <c r="C207" s="1534" t="s">
        <v>1304</v>
      </c>
      <c r="D207" s="908" t="s">
        <v>65</v>
      </c>
      <c r="E207" s="1547" t="s">
        <v>4668</v>
      </c>
      <c r="F207" s="2212">
        <v>0</v>
      </c>
      <c r="G207" s="270"/>
      <c r="H207" s="2212">
        <v>0</v>
      </c>
      <c r="I207" s="270"/>
      <c r="J207" s="270"/>
      <c r="K207" s="426"/>
      <c r="L207" s="277"/>
      <c r="M207" s="281">
        <f t="shared" si="17"/>
        <v>0</v>
      </c>
      <c r="N207" s="277"/>
      <c r="O207" s="1513">
        <f>M207*N207</f>
        <v>0</v>
      </c>
      <c r="P207" s="754"/>
      <c r="Q207" s="1377"/>
      <c r="R207" s="2934"/>
      <c r="BB207" s="3218"/>
      <c r="BC207" s="3218"/>
      <c r="BD207" s="3218"/>
      <c r="BE207" s="3218"/>
      <c r="BF207" s="3218"/>
      <c r="BG207" s="3218"/>
      <c r="BH207" s="3218"/>
      <c r="BI207" s="3218"/>
      <c r="BJ207" s="3218"/>
      <c r="BK207" s="3218"/>
      <c r="BL207" s="3218"/>
      <c r="BM207" s="3218"/>
      <c r="BN207" s="3218"/>
      <c r="BO207" s="3218"/>
      <c r="BP207" s="3218"/>
      <c r="BQ207" s="3218"/>
      <c r="BR207" s="3218"/>
      <c r="BS207" s="3218"/>
      <c r="BT207" s="3218"/>
      <c r="BU207" s="3218"/>
      <c r="BV207" s="3218"/>
      <c r="BW207" s="3218"/>
      <c r="BX207" s="3218"/>
      <c r="BY207" s="3218"/>
      <c r="BZ207" s="3218"/>
      <c r="CA207" s="3218"/>
      <c r="CB207" s="3218"/>
      <c r="CC207" s="3218"/>
      <c r="CD207" s="3218"/>
      <c r="CE207" s="3218"/>
      <c r="CF207" s="3218"/>
      <c r="CG207" s="3218"/>
      <c r="CH207" s="3218"/>
      <c r="CI207" s="3225">
        <f t="shared" si="16"/>
        <v>0</v>
      </c>
    </row>
    <row r="208" spans="1:87">
      <c r="A208" s="3958" t="s">
        <v>4756</v>
      </c>
      <c r="B208" s="3959"/>
      <c r="C208" s="3960"/>
      <c r="D208" s="1162"/>
      <c r="E208" s="1162"/>
      <c r="F208" s="301"/>
      <c r="G208" s="301"/>
      <c r="H208" s="301"/>
      <c r="I208" s="301"/>
      <c r="J208" s="301"/>
      <c r="K208" s="301"/>
      <c r="L208" s="301"/>
      <c r="M208" s="1514"/>
      <c r="N208" s="633"/>
      <c r="O208" s="1514"/>
      <c r="P208" s="715"/>
      <c r="Q208" s="1167"/>
      <c r="R208" s="2927"/>
      <c r="BB208" s="3218"/>
      <c r="BC208" s="3218"/>
      <c r="BD208" s="3218"/>
      <c r="BE208" s="3218"/>
      <c r="BF208" s="3218"/>
      <c r="BG208" s="3218"/>
      <c r="BH208" s="3218"/>
      <c r="BI208" s="3218"/>
      <c r="BJ208" s="3218"/>
      <c r="BK208" s="3218"/>
      <c r="BL208" s="3218"/>
      <c r="BM208" s="3218"/>
      <c r="BN208" s="3218"/>
      <c r="BO208" s="3218"/>
      <c r="BP208" s="3218"/>
      <c r="BQ208" s="3218"/>
      <c r="BR208" s="3218"/>
      <c r="BS208" s="3218"/>
      <c r="BT208" s="3218"/>
      <c r="BU208" s="3218"/>
      <c r="BV208" s="3218"/>
      <c r="BW208" s="3218"/>
      <c r="BX208" s="3218"/>
      <c r="BY208" s="3218"/>
      <c r="BZ208" s="3218"/>
      <c r="CA208" s="3218"/>
      <c r="CB208" s="3218"/>
      <c r="CC208" s="3218"/>
      <c r="CD208" s="3218"/>
      <c r="CE208" s="3218"/>
      <c r="CF208" s="3218"/>
      <c r="CG208" s="3218"/>
      <c r="CH208" s="3218"/>
      <c r="CI208" s="3225">
        <f t="shared" si="16"/>
        <v>0</v>
      </c>
    </row>
    <row r="209" spans="1:87">
      <c r="A209" s="880" t="s">
        <v>1034</v>
      </c>
      <c r="B209" s="1194"/>
      <c r="C209" s="1061" t="s">
        <v>1035</v>
      </c>
      <c r="D209" s="997"/>
      <c r="E209" s="997"/>
      <c r="F209" s="219"/>
      <c r="G209" s="219"/>
      <c r="H209" s="219"/>
      <c r="I209" s="219"/>
      <c r="J209" s="219"/>
      <c r="K209" s="219"/>
      <c r="L209" s="219"/>
      <c r="M209" s="1515"/>
      <c r="N209" s="404"/>
      <c r="O209" s="1516">
        <f>SUM(O210:O218)</f>
        <v>9.8453100000000013</v>
      </c>
      <c r="P209" s="718"/>
      <c r="Q209" s="1157"/>
      <c r="R209" s="2875">
        <f>SUM(R210:R218)</f>
        <v>9.85</v>
      </c>
      <c r="BB209" s="3218"/>
      <c r="BC209" s="3218"/>
      <c r="BD209" s="3218"/>
      <c r="BE209" s="3218"/>
      <c r="BF209" s="3218"/>
      <c r="BG209" s="3218"/>
      <c r="BH209" s="3218"/>
      <c r="BI209" s="3218"/>
      <c r="BJ209" s="3218"/>
      <c r="BK209" s="3218"/>
      <c r="BL209" s="3218"/>
      <c r="BM209" s="3218"/>
      <c r="BN209" s="3218"/>
      <c r="BO209" s="3218"/>
      <c r="BP209" s="3218"/>
      <c r="BQ209" s="3218"/>
      <c r="BR209" s="3218"/>
      <c r="BS209" s="3218"/>
      <c r="BT209" s="3218"/>
      <c r="BU209" s="3218"/>
      <c r="BV209" s="3218"/>
      <c r="BW209" s="3218"/>
      <c r="BX209" s="3218"/>
      <c r="BY209" s="3218"/>
      <c r="BZ209" s="3218"/>
      <c r="CA209" s="3218"/>
      <c r="CB209" s="3218"/>
      <c r="CC209" s="3218"/>
      <c r="CD209" s="3218"/>
      <c r="CE209" s="3218"/>
      <c r="CF209" s="3218"/>
      <c r="CG209" s="3218"/>
      <c r="CH209" s="3218"/>
      <c r="CI209" s="3225">
        <f t="shared" si="16"/>
        <v>0</v>
      </c>
    </row>
    <row r="210" spans="1:87" s="1380" customFormat="1" ht="30">
      <c r="A210" s="586" t="s">
        <v>1036</v>
      </c>
      <c r="B210" s="391" t="s">
        <v>1037</v>
      </c>
      <c r="C210" s="391" t="s">
        <v>1038</v>
      </c>
      <c r="D210" s="2254" t="s">
        <v>4219</v>
      </c>
      <c r="E210" s="1075" t="s">
        <v>288</v>
      </c>
      <c r="F210" s="2216">
        <v>3</v>
      </c>
      <c r="G210" s="421">
        <v>1</v>
      </c>
      <c r="H210" s="2216">
        <v>1.71</v>
      </c>
      <c r="I210" s="2574">
        <v>0.15</v>
      </c>
      <c r="J210" s="2574">
        <v>1</v>
      </c>
      <c r="K210" s="2574">
        <v>5</v>
      </c>
      <c r="L210" s="2545">
        <v>57145</v>
      </c>
      <c r="M210" s="2261">
        <f t="shared" ref="M210:M218" si="19">L210/100000</f>
        <v>0.57145000000000001</v>
      </c>
      <c r="N210" s="283">
        <v>5</v>
      </c>
      <c r="O210" s="1472">
        <f t="shared" ref="O210:O218" si="20">M210*N210</f>
        <v>2.8572500000000001</v>
      </c>
      <c r="P210" s="2575"/>
      <c r="Q210" s="2263" t="str">
        <f>'Abs8. IDSP'!Q13</f>
        <v xml:space="preserve">Recommended. Training to be done where logistics are in place. </v>
      </c>
      <c r="R210" s="2930">
        <f>'Abs8. IDSP'!R13</f>
        <v>2.86</v>
      </c>
      <c r="BB210" s="3219"/>
      <c r="BC210" s="3219"/>
      <c r="BD210" s="3219"/>
      <c r="BE210" s="3219">
        <v>0.5</v>
      </c>
      <c r="BF210" s="3219">
        <v>0.6</v>
      </c>
      <c r="BG210" s="3219">
        <v>0.2</v>
      </c>
      <c r="BH210" s="3219"/>
      <c r="BI210" s="3219"/>
      <c r="BJ210" s="3219">
        <v>0.5</v>
      </c>
      <c r="BK210" s="3219">
        <v>0.5</v>
      </c>
      <c r="BL210" s="3219"/>
      <c r="BM210" s="3219">
        <v>0.56000000000000005</v>
      </c>
      <c r="BN210" s="3219"/>
      <c r="BO210" s="3219"/>
      <c r="BP210" s="3219"/>
      <c r="BQ210" s="3219"/>
      <c r="BR210" s="3219"/>
      <c r="BS210" s="3219"/>
      <c r="BT210" s="3219"/>
      <c r="BU210" s="3219"/>
      <c r="BV210" s="3219"/>
      <c r="BW210" s="3219"/>
      <c r="BX210" s="3219"/>
      <c r="BY210" s="3219"/>
      <c r="BZ210" s="3219"/>
      <c r="CA210" s="3219"/>
      <c r="CB210" s="3219"/>
      <c r="CC210" s="3219"/>
      <c r="CD210" s="3219"/>
      <c r="CE210" s="3219"/>
      <c r="CF210" s="3219"/>
      <c r="CG210" s="3219"/>
      <c r="CH210" s="3219"/>
      <c r="CI210" s="3225">
        <f t="shared" si="16"/>
        <v>2.86</v>
      </c>
    </row>
    <row r="211" spans="1:87" s="1380" customFormat="1">
      <c r="A211" s="586" t="s">
        <v>2501</v>
      </c>
      <c r="B211" s="391" t="s">
        <v>1039</v>
      </c>
      <c r="C211" s="391" t="s">
        <v>1040</v>
      </c>
      <c r="D211" s="2254" t="s">
        <v>4219</v>
      </c>
      <c r="E211" s="1075" t="s">
        <v>288</v>
      </c>
      <c r="F211" s="2216">
        <v>0</v>
      </c>
      <c r="G211" s="421"/>
      <c r="H211" s="2216">
        <v>0</v>
      </c>
      <c r="I211" s="421"/>
      <c r="J211" s="421"/>
      <c r="K211" s="421"/>
      <c r="L211" s="283"/>
      <c r="M211" s="2261">
        <f t="shared" si="19"/>
        <v>0</v>
      </c>
      <c r="N211" s="283"/>
      <c r="O211" s="1472">
        <f t="shared" si="20"/>
        <v>0</v>
      </c>
      <c r="P211" s="761"/>
      <c r="Q211" s="2263">
        <f>'Abs8. IDSP'!Q14</f>
        <v>0</v>
      </c>
      <c r="R211" s="2930">
        <f>'Abs8. IDSP'!R14</f>
        <v>0</v>
      </c>
      <c r="BB211" s="3219"/>
      <c r="BC211" s="3219"/>
      <c r="BD211" s="3219"/>
      <c r="BE211" s="3219"/>
      <c r="BF211" s="3219"/>
      <c r="BG211" s="3219"/>
      <c r="BH211" s="3219"/>
      <c r="BI211" s="3219"/>
      <c r="BJ211" s="3219"/>
      <c r="BK211" s="3219"/>
      <c r="BL211" s="3219"/>
      <c r="BM211" s="3219"/>
      <c r="BN211" s="3219"/>
      <c r="BO211" s="3219"/>
      <c r="BP211" s="3219"/>
      <c r="BQ211" s="3219"/>
      <c r="BR211" s="3219"/>
      <c r="BS211" s="3219"/>
      <c r="BT211" s="3219"/>
      <c r="BU211" s="3219"/>
      <c r="BV211" s="3219"/>
      <c r="BW211" s="3219"/>
      <c r="BX211" s="3219"/>
      <c r="BY211" s="3219"/>
      <c r="BZ211" s="3219"/>
      <c r="CA211" s="3219"/>
      <c r="CB211" s="3219"/>
      <c r="CC211" s="3219"/>
      <c r="CD211" s="3219"/>
      <c r="CE211" s="3219"/>
      <c r="CF211" s="3219"/>
      <c r="CG211" s="3219"/>
      <c r="CH211" s="3219"/>
      <c r="CI211" s="3225">
        <f t="shared" si="16"/>
        <v>0</v>
      </c>
    </row>
    <row r="212" spans="1:87" s="1380" customFormat="1" ht="30">
      <c r="A212" s="586" t="s">
        <v>2502</v>
      </c>
      <c r="B212" s="391" t="s">
        <v>1041</v>
      </c>
      <c r="C212" s="391" t="s">
        <v>1042</v>
      </c>
      <c r="D212" s="2254" t="s">
        <v>4219</v>
      </c>
      <c r="E212" s="1075" t="s">
        <v>288</v>
      </c>
      <c r="F212" s="2216">
        <v>3</v>
      </c>
      <c r="G212" s="421">
        <v>0</v>
      </c>
      <c r="H212" s="2216">
        <v>1.23</v>
      </c>
      <c r="I212" s="2574">
        <v>0</v>
      </c>
      <c r="J212" s="2574">
        <v>0.5</v>
      </c>
      <c r="K212" s="2574">
        <v>5</v>
      </c>
      <c r="L212" s="2545">
        <v>41114</v>
      </c>
      <c r="M212" s="2261">
        <f t="shared" si="19"/>
        <v>0.41114000000000001</v>
      </c>
      <c r="N212" s="2545">
        <v>5</v>
      </c>
      <c r="O212" s="1472">
        <f t="shared" si="20"/>
        <v>2.0556999999999999</v>
      </c>
      <c r="P212" s="2575"/>
      <c r="Q212" s="2263" t="str">
        <f>'Abs8. IDSP'!Q15</f>
        <v xml:space="preserve">Recommended. Training to be done where logistics are in place. </v>
      </c>
      <c r="R212" s="2930">
        <f>'Abs8. IDSP'!R15</f>
        <v>2.06</v>
      </c>
      <c r="BB212" s="3219"/>
      <c r="BC212" s="3219"/>
      <c r="BD212" s="3219"/>
      <c r="BE212" s="3219">
        <v>0.4</v>
      </c>
      <c r="BF212" s="3219">
        <v>0.4</v>
      </c>
      <c r="BG212" s="3219">
        <v>0.2</v>
      </c>
      <c r="BH212" s="3219"/>
      <c r="BI212" s="3219"/>
      <c r="BJ212" s="3219">
        <v>0.4</v>
      </c>
      <c r="BK212" s="3219">
        <v>0.2</v>
      </c>
      <c r="BL212" s="3219">
        <v>0.46</v>
      </c>
      <c r="BM212" s="3219"/>
      <c r="BN212" s="3219"/>
      <c r="BO212" s="3219"/>
      <c r="BP212" s="3219"/>
      <c r="BQ212" s="3219"/>
      <c r="BR212" s="3219"/>
      <c r="BS212" s="3219"/>
      <c r="BT212" s="3219"/>
      <c r="BU212" s="3219"/>
      <c r="BV212" s="3219"/>
      <c r="BW212" s="3219"/>
      <c r="BX212" s="3219"/>
      <c r="BY212" s="3219"/>
      <c r="BZ212" s="3219"/>
      <c r="CA212" s="3219"/>
      <c r="CB212" s="3219"/>
      <c r="CC212" s="3219"/>
      <c r="CD212" s="3219"/>
      <c r="CE212" s="3219"/>
      <c r="CF212" s="3219"/>
      <c r="CG212" s="3219"/>
      <c r="CH212" s="3219"/>
      <c r="CI212" s="3225">
        <f t="shared" si="16"/>
        <v>2.06</v>
      </c>
    </row>
    <row r="213" spans="1:87" s="1380" customFormat="1">
      <c r="A213" s="586" t="s">
        <v>2503</v>
      </c>
      <c r="B213" s="391" t="s">
        <v>1043</v>
      </c>
      <c r="C213" s="391" t="s">
        <v>1044</v>
      </c>
      <c r="D213" s="2254" t="s">
        <v>4219</v>
      </c>
      <c r="E213" s="1075" t="s">
        <v>288</v>
      </c>
      <c r="F213" s="2216">
        <v>3</v>
      </c>
      <c r="G213" s="421"/>
      <c r="H213" s="2216">
        <v>1.23</v>
      </c>
      <c r="I213" s="421"/>
      <c r="J213" s="421">
        <v>0.5</v>
      </c>
      <c r="K213" s="421"/>
      <c r="L213" s="283"/>
      <c r="M213" s="2261">
        <f t="shared" si="19"/>
        <v>0</v>
      </c>
      <c r="N213" s="283"/>
      <c r="O213" s="1472">
        <f t="shared" si="20"/>
        <v>0</v>
      </c>
      <c r="P213" s="761"/>
      <c r="Q213" s="2263">
        <f>'Abs8. IDSP'!Q16</f>
        <v>0</v>
      </c>
      <c r="R213" s="2930">
        <f>'Abs8. IDSP'!R16</f>
        <v>0</v>
      </c>
      <c r="BB213" s="3219"/>
      <c r="BC213" s="3219"/>
      <c r="BD213" s="3219"/>
      <c r="BE213" s="3219"/>
      <c r="BF213" s="3219"/>
      <c r="BG213" s="3219"/>
      <c r="BH213" s="3219"/>
      <c r="BI213" s="3219"/>
      <c r="BJ213" s="3219"/>
      <c r="BK213" s="3219"/>
      <c r="BL213" s="3219"/>
      <c r="BM213" s="3219"/>
      <c r="BN213" s="3219"/>
      <c r="BO213" s="3219"/>
      <c r="BP213" s="3219"/>
      <c r="BQ213" s="3219"/>
      <c r="BR213" s="3219"/>
      <c r="BS213" s="3219"/>
      <c r="BT213" s="3219"/>
      <c r="BU213" s="3219"/>
      <c r="BV213" s="3219"/>
      <c r="BW213" s="3219"/>
      <c r="BX213" s="3219"/>
      <c r="BY213" s="3219"/>
      <c r="BZ213" s="3219"/>
      <c r="CA213" s="3219"/>
      <c r="CB213" s="3219"/>
      <c r="CC213" s="3219"/>
      <c r="CD213" s="3219"/>
      <c r="CE213" s="3219"/>
      <c r="CF213" s="3219"/>
      <c r="CG213" s="3219"/>
      <c r="CH213" s="3219"/>
      <c r="CI213" s="3225">
        <f t="shared" si="16"/>
        <v>0</v>
      </c>
    </row>
    <row r="214" spans="1:87" s="1380" customFormat="1">
      <c r="A214" s="586" t="s">
        <v>2504</v>
      </c>
      <c r="B214" s="391" t="s">
        <v>1045</v>
      </c>
      <c r="C214" s="391" t="s">
        <v>1046</v>
      </c>
      <c r="D214" s="2254" t="s">
        <v>4219</v>
      </c>
      <c r="E214" s="1075" t="s">
        <v>288</v>
      </c>
      <c r="F214" s="2216">
        <v>0</v>
      </c>
      <c r="G214" s="421"/>
      <c r="H214" s="2216">
        <v>0</v>
      </c>
      <c r="I214" s="421"/>
      <c r="J214" s="421"/>
      <c r="K214" s="421"/>
      <c r="L214" s="283"/>
      <c r="M214" s="2261">
        <f t="shared" si="19"/>
        <v>0</v>
      </c>
      <c r="N214" s="283"/>
      <c r="O214" s="1472">
        <f t="shared" si="20"/>
        <v>0</v>
      </c>
      <c r="P214" s="761"/>
      <c r="Q214" s="2263">
        <f>'Abs8. IDSP'!Q17</f>
        <v>0</v>
      </c>
      <c r="R214" s="2930">
        <f>'Abs8. IDSP'!R17</f>
        <v>0</v>
      </c>
      <c r="BB214" s="3219"/>
      <c r="BC214" s="3219"/>
      <c r="BD214" s="3219"/>
      <c r="BE214" s="3219"/>
      <c r="BF214" s="3219"/>
      <c r="BG214" s="3219"/>
      <c r="BH214" s="3219"/>
      <c r="BI214" s="3219"/>
      <c r="BJ214" s="3219"/>
      <c r="BK214" s="3219"/>
      <c r="BL214" s="3219"/>
      <c r="BM214" s="3219"/>
      <c r="BN214" s="3219"/>
      <c r="BO214" s="3219"/>
      <c r="BP214" s="3219"/>
      <c r="BQ214" s="3219"/>
      <c r="BR214" s="3219"/>
      <c r="BS214" s="3219"/>
      <c r="BT214" s="3219"/>
      <c r="BU214" s="3219"/>
      <c r="BV214" s="3219"/>
      <c r="BW214" s="3219"/>
      <c r="BX214" s="3219"/>
      <c r="BY214" s="3219"/>
      <c r="BZ214" s="3219"/>
      <c r="CA214" s="3219"/>
      <c r="CB214" s="3219"/>
      <c r="CC214" s="3219"/>
      <c r="CD214" s="3219"/>
      <c r="CE214" s="3219"/>
      <c r="CF214" s="3219"/>
      <c r="CG214" s="3219"/>
      <c r="CH214" s="3219"/>
      <c r="CI214" s="3225">
        <f t="shared" si="16"/>
        <v>0</v>
      </c>
    </row>
    <row r="215" spans="1:87" s="1380" customFormat="1" ht="30">
      <c r="A215" s="586" t="s">
        <v>2505</v>
      </c>
      <c r="B215" s="391" t="s">
        <v>1047</v>
      </c>
      <c r="C215" s="391" t="s">
        <v>1048</v>
      </c>
      <c r="D215" s="2254" t="s">
        <v>4219</v>
      </c>
      <c r="E215" s="1075" t="s">
        <v>288</v>
      </c>
      <c r="F215" s="2216">
        <v>1</v>
      </c>
      <c r="G215" s="421"/>
      <c r="H215" s="2216">
        <v>0.93</v>
      </c>
      <c r="I215" s="421"/>
      <c r="J215" s="421">
        <v>0.5</v>
      </c>
      <c r="K215" s="421"/>
      <c r="L215" s="283"/>
      <c r="M215" s="2261">
        <f t="shared" si="19"/>
        <v>0</v>
      </c>
      <c r="N215" s="283"/>
      <c r="O215" s="1472">
        <f t="shared" si="20"/>
        <v>0</v>
      </c>
      <c r="P215" s="761"/>
      <c r="Q215" s="2263">
        <f>'Abs8. IDSP'!Q18</f>
        <v>0</v>
      </c>
      <c r="R215" s="2930">
        <f>'Abs8. IDSP'!R18</f>
        <v>0</v>
      </c>
      <c r="BB215" s="3219"/>
      <c r="BC215" s="3219"/>
      <c r="BD215" s="3219"/>
      <c r="BE215" s="3219"/>
      <c r="BF215" s="3219"/>
      <c r="BG215" s="3219"/>
      <c r="BH215" s="3219"/>
      <c r="BI215" s="3219"/>
      <c r="BJ215" s="3219"/>
      <c r="BK215" s="3219"/>
      <c r="BL215" s="3219"/>
      <c r="BM215" s="3219"/>
      <c r="BN215" s="3219"/>
      <c r="BO215" s="3219"/>
      <c r="BP215" s="3219"/>
      <c r="BQ215" s="3219"/>
      <c r="BR215" s="3219"/>
      <c r="BS215" s="3219"/>
      <c r="BT215" s="3219"/>
      <c r="BU215" s="3219"/>
      <c r="BV215" s="3219"/>
      <c r="BW215" s="3219"/>
      <c r="BX215" s="3219"/>
      <c r="BY215" s="3219"/>
      <c r="BZ215" s="3219"/>
      <c r="CA215" s="3219"/>
      <c r="CB215" s="3219"/>
      <c r="CC215" s="3219"/>
      <c r="CD215" s="3219"/>
      <c r="CE215" s="3219"/>
      <c r="CF215" s="3219"/>
      <c r="CG215" s="3219"/>
      <c r="CH215" s="3219"/>
      <c r="CI215" s="3225">
        <f t="shared" si="16"/>
        <v>0</v>
      </c>
    </row>
    <row r="216" spans="1:87" s="1380" customFormat="1" ht="30">
      <c r="A216" s="586" t="s">
        <v>2506</v>
      </c>
      <c r="B216" s="391" t="s">
        <v>1049</v>
      </c>
      <c r="C216" s="391" t="s">
        <v>1050</v>
      </c>
      <c r="D216" s="2254" t="s">
        <v>4219</v>
      </c>
      <c r="E216" s="1075" t="s">
        <v>288</v>
      </c>
      <c r="F216" s="2216">
        <v>10</v>
      </c>
      <c r="G216" s="421"/>
      <c r="H216" s="2216">
        <v>4.1100000000000003</v>
      </c>
      <c r="I216" s="421"/>
      <c r="J216" s="421">
        <v>2</v>
      </c>
      <c r="K216" s="2574">
        <v>12</v>
      </c>
      <c r="L216" s="2545">
        <v>41103</v>
      </c>
      <c r="M216" s="2261">
        <f t="shared" si="19"/>
        <v>0.41103000000000001</v>
      </c>
      <c r="N216" s="2545">
        <v>12</v>
      </c>
      <c r="O216" s="1472">
        <f t="shared" si="20"/>
        <v>4.9323600000000001</v>
      </c>
      <c r="P216" s="2575"/>
      <c r="Q216" s="2263" t="str">
        <f>'Abs8. IDSP'!Q19</f>
        <v xml:space="preserve">Recommended. Training to be done where logistics are in place. </v>
      </c>
      <c r="R216" s="2930">
        <f>'Abs8. IDSP'!R19</f>
        <v>4.93</v>
      </c>
      <c r="BB216" s="3219"/>
      <c r="BC216" s="3219">
        <v>0.5</v>
      </c>
      <c r="BD216" s="3219">
        <v>0.43</v>
      </c>
      <c r="BE216" s="3219">
        <v>0.4</v>
      </c>
      <c r="BF216" s="3219">
        <v>0.6</v>
      </c>
      <c r="BG216" s="3219">
        <v>0.2</v>
      </c>
      <c r="BH216" s="3219">
        <v>0.3</v>
      </c>
      <c r="BI216" s="3219">
        <v>0.2</v>
      </c>
      <c r="BJ216" s="3219">
        <v>0.5</v>
      </c>
      <c r="BK216" s="3219">
        <v>0.5</v>
      </c>
      <c r="BL216" s="3219">
        <v>0.4</v>
      </c>
      <c r="BM216" s="3219">
        <v>0.4</v>
      </c>
      <c r="BN216" s="3219">
        <v>0.5</v>
      </c>
      <c r="BO216" s="3219"/>
      <c r="BP216" s="3219"/>
      <c r="BQ216" s="3219"/>
      <c r="BR216" s="3219"/>
      <c r="BS216" s="3219"/>
      <c r="BT216" s="3219"/>
      <c r="BU216" s="3219"/>
      <c r="BV216" s="3219"/>
      <c r="BW216" s="3219"/>
      <c r="BX216" s="3219"/>
      <c r="BY216" s="3219"/>
      <c r="BZ216" s="3219"/>
      <c r="CA216" s="3219"/>
      <c r="CB216" s="3219"/>
      <c r="CC216" s="3219"/>
      <c r="CD216" s="3219"/>
      <c r="CE216" s="3219"/>
      <c r="CF216" s="3219"/>
      <c r="CG216" s="3219"/>
      <c r="CH216" s="3219"/>
      <c r="CI216" s="3225">
        <f t="shared" si="16"/>
        <v>4.9300000000000006</v>
      </c>
    </row>
    <row r="217" spans="1:87" s="1380" customFormat="1" ht="60">
      <c r="A217" s="586" t="s">
        <v>2507</v>
      </c>
      <c r="B217" s="391" t="s">
        <v>1051</v>
      </c>
      <c r="C217" s="391" t="s">
        <v>1052</v>
      </c>
      <c r="D217" s="2254" t="s">
        <v>4219</v>
      </c>
      <c r="E217" s="1075" t="s">
        <v>288</v>
      </c>
      <c r="F217" s="2216">
        <v>2</v>
      </c>
      <c r="G217" s="421">
        <v>0</v>
      </c>
      <c r="H217" s="2216">
        <v>0.82</v>
      </c>
      <c r="I217" s="421"/>
      <c r="J217" s="421">
        <v>0.82</v>
      </c>
      <c r="K217" s="421"/>
      <c r="L217" s="283"/>
      <c r="M217" s="2261">
        <f t="shared" si="19"/>
        <v>0</v>
      </c>
      <c r="N217" s="283"/>
      <c r="O217" s="1472">
        <f t="shared" si="20"/>
        <v>0</v>
      </c>
      <c r="P217" s="2575"/>
      <c r="Q217" s="2263">
        <f>'Abs8. IDSP'!Q20</f>
        <v>0</v>
      </c>
      <c r="R217" s="2930">
        <f>'Abs8. IDSP'!R20</f>
        <v>0</v>
      </c>
      <c r="BB217" s="3219"/>
      <c r="BC217" s="3219"/>
      <c r="BD217" s="3219"/>
      <c r="BE217" s="3219"/>
      <c r="BF217" s="3219"/>
      <c r="BG217" s="3219"/>
      <c r="BH217" s="3219"/>
      <c r="BI217" s="3219"/>
      <c r="BJ217" s="3219"/>
      <c r="BK217" s="3219"/>
      <c r="BL217" s="3219"/>
      <c r="BM217" s="3219"/>
      <c r="BN217" s="3219"/>
      <c r="BO217" s="3219"/>
      <c r="BP217" s="3219"/>
      <c r="BQ217" s="3219"/>
      <c r="BR217" s="3219"/>
      <c r="BS217" s="3219"/>
      <c r="BT217" s="3219"/>
      <c r="BU217" s="3219"/>
      <c r="BV217" s="3219"/>
      <c r="BW217" s="3219"/>
      <c r="BX217" s="3219"/>
      <c r="BY217" s="3219"/>
      <c r="BZ217" s="3219"/>
      <c r="CA217" s="3219"/>
      <c r="CB217" s="3219"/>
      <c r="CC217" s="3219"/>
      <c r="CD217" s="3219"/>
      <c r="CE217" s="3219"/>
      <c r="CF217" s="3219"/>
      <c r="CG217" s="3219"/>
      <c r="CH217" s="3219"/>
      <c r="CI217" s="3225">
        <f t="shared" si="16"/>
        <v>0</v>
      </c>
    </row>
    <row r="218" spans="1:87">
      <c r="A218" s="508" t="s">
        <v>2508</v>
      </c>
      <c r="B218" s="390" t="s">
        <v>1053</v>
      </c>
      <c r="C218" s="390" t="s">
        <v>1304</v>
      </c>
      <c r="D218" s="1007" t="s">
        <v>4219</v>
      </c>
      <c r="E218" s="1120" t="s">
        <v>288</v>
      </c>
      <c r="F218" s="2211">
        <v>0</v>
      </c>
      <c r="G218" s="276"/>
      <c r="H218" s="2211">
        <v>0</v>
      </c>
      <c r="I218" s="276"/>
      <c r="J218" s="276"/>
      <c r="K218" s="276"/>
      <c r="L218" s="277"/>
      <c r="M218" s="281">
        <f t="shared" si="19"/>
        <v>0</v>
      </c>
      <c r="N218" s="277"/>
      <c r="O218" s="1507">
        <f t="shared" si="20"/>
        <v>0</v>
      </c>
      <c r="P218" s="744"/>
      <c r="Q218" s="1017">
        <f>'Abs8. IDSP'!Q21</f>
        <v>0</v>
      </c>
      <c r="R218" s="2931">
        <f>'Abs8. IDSP'!R21</f>
        <v>0</v>
      </c>
      <c r="BB218" s="3218"/>
      <c r="BC218" s="3218"/>
      <c r="BD218" s="3218"/>
      <c r="BE218" s="3218"/>
      <c r="BF218" s="3218"/>
      <c r="BG218" s="3218"/>
      <c r="BH218" s="3218"/>
      <c r="BI218" s="3218"/>
      <c r="BJ218" s="3218"/>
      <c r="BK218" s="3218"/>
      <c r="BL218" s="3218"/>
      <c r="BM218" s="3218"/>
      <c r="BN218" s="3218"/>
      <c r="BO218" s="3218"/>
      <c r="BP218" s="3218"/>
      <c r="BQ218" s="3218"/>
      <c r="BR218" s="3218"/>
      <c r="BS218" s="3218"/>
      <c r="BT218" s="3218"/>
      <c r="BU218" s="3218"/>
      <c r="BV218" s="3218"/>
      <c r="BW218" s="3218"/>
      <c r="BX218" s="3218"/>
      <c r="BY218" s="3218"/>
      <c r="BZ218" s="3218"/>
      <c r="CA218" s="3218"/>
      <c r="CB218" s="3218"/>
      <c r="CC218" s="3218"/>
      <c r="CD218" s="3218"/>
      <c r="CE218" s="3218"/>
      <c r="CF218" s="3218"/>
      <c r="CG218" s="3218"/>
      <c r="CH218" s="3218"/>
      <c r="CI218" s="3225">
        <f t="shared" si="16"/>
        <v>0</v>
      </c>
    </row>
    <row r="219" spans="1:87">
      <c r="A219" s="880" t="s">
        <v>1054</v>
      </c>
      <c r="B219" s="1194"/>
      <c r="C219" s="1061" t="s">
        <v>1055</v>
      </c>
      <c r="D219" s="997"/>
      <c r="E219" s="997"/>
      <c r="F219" s="219"/>
      <c r="G219" s="219"/>
      <c r="H219" s="219"/>
      <c r="I219" s="219"/>
      <c r="J219" s="219"/>
      <c r="K219" s="219"/>
      <c r="L219" s="219"/>
      <c r="M219" s="1515"/>
      <c r="N219" s="404"/>
      <c r="O219" s="1516">
        <f>SUM(O220:O227)</f>
        <v>5</v>
      </c>
      <c r="P219" s="718"/>
      <c r="Q219" s="1157"/>
      <c r="R219" s="2929">
        <f>SUM(R220:R227)</f>
        <v>5</v>
      </c>
      <c r="BB219" s="3218"/>
      <c r="BC219" s="3218"/>
      <c r="BD219" s="3218"/>
      <c r="BE219" s="3218"/>
      <c r="BF219" s="3218"/>
      <c r="BG219" s="3218"/>
      <c r="BH219" s="3218"/>
      <c r="BI219" s="3218"/>
      <c r="BJ219" s="3218"/>
      <c r="BK219" s="3218"/>
      <c r="BL219" s="3218"/>
      <c r="BM219" s="3218"/>
      <c r="BN219" s="3218"/>
      <c r="BO219" s="3218"/>
      <c r="BP219" s="3218"/>
      <c r="BQ219" s="3218"/>
      <c r="BR219" s="3218"/>
      <c r="BS219" s="3218"/>
      <c r="BT219" s="3218"/>
      <c r="BU219" s="3218"/>
      <c r="BV219" s="3218"/>
      <c r="BW219" s="3218"/>
      <c r="BX219" s="3218"/>
      <c r="BY219" s="3218"/>
      <c r="BZ219" s="3218"/>
      <c r="CA219" s="3218"/>
      <c r="CB219" s="3218"/>
      <c r="CC219" s="3218"/>
      <c r="CD219" s="3218"/>
      <c r="CE219" s="3218"/>
      <c r="CF219" s="3218"/>
      <c r="CG219" s="3218"/>
      <c r="CH219" s="3218"/>
      <c r="CI219" s="3225">
        <f t="shared" si="16"/>
        <v>0</v>
      </c>
    </row>
    <row r="220" spans="1:87" s="1380" customFormat="1">
      <c r="A220" s="586" t="s">
        <v>1056</v>
      </c>
      <c r="B220" s="391" t="s">
        <v>1057</v>
      </c>
      <c r="C220" s="391" t="s">
        <v>1058</v>
      </c>
      <c r="D220" s="2254" t="s">
        <v>4219</v>
      </c>
      <c r="E220" s="1185" t="s">
        <v>4714</v>
      </c>
      <c r="F220" s="285">
        <v>10</v>
      </c>
      <c r="G220" s="286">
        <v>0</v>
      </c>
      <c r="H220" s="413">
        <v>10</v>
      </c>
      <c r="I220" s="2367">
        <v>1.75</v>
      </c>
      <c r="J220" s="324">
        <v>5</v>
      </c>
      <c r="K220" s="324">
        <v>10</v>
      </c>
      <c r="L220" s="243">
        <v>50000</v>
      </c>
      <c r="M220" s="2261">
        <f t="shared" ref="M220:M227" si="21">L220/100000</f>
        <v>0.5</v>
      </c>
      <c r="N220" s="243">
        <v>10</v>
      </c>
      <c r="O220" s="1472">
        <f t="shared" ref="O220:O227" si="22">M220*N220</f>
        <v>5</v>
      </c>
      <c r="P220" s="2471"/>
      <c r="Q220" s="2263" t="str">
        <f>'Abs9. NVBDCP'!Q62</f>
        <v xml:space="preserve">Activity Recommended.  </v>
      </c>
      <c r="R220" s="2930">
        <f>'Abs9. NVBDCP'!R62</f>
        <v>5</v>
      </c>
      <c r="BB220" s="3219"/>
      <c r="BC220" s="3219">
        <v>0.5</v>
      </c>
      <c r="BD220" s="3219">
        <v>0.5</v>
      </c>
      <c r="BE220" s="3219">
        <v>0.5</v>
      </c>
      <c r="BF220" s="3219">
        <v>0.6</v>
      </c>
      <c r="BG220" s="3219">
        <v>0</v>
      </c>
      <c r="BH220" s="3219">
        <v>0.4</v>
      </c>
      <c r="BI220" s="3219">
        <v>0</v>
      </c>
      <c r="BJ220" s="3219">
        <v>0.5</v>
      </c>
      <c r="BK220" s="3219">
        <v>0.5</v>
      </c>
      <c r="BL220" s="3219">
        <v>0.5</v>
      </c>
      <c r="BM220" s="3219">
        <v>0.5</v>
      </c>
      <c r="BN220" s="3219">
        <v>0.5</v>
      </c>
      <c r="BO220" s="3219"/>
      <c r="BP220" s="3219"/>
      <c r="BQ220" s="3219"/>
      <c r="BR220" s="3219"/>
      <c r="BS220" s="3219"/>
      <c r="BT220" s="3219"/>
      <c r="BU220" s="3219"/>
      <c r="BV220" s="3219"/>
      <c r="BW220" s="3219"/>
      <c r="BX220" s="3219"/>
      <c r="BY220" s="3219"/>
      <c r="BZ220" s="3219"/>
      <c r="CA220" s="3219"/>
      <c r="CB220" s="3219"/>
      <c r="CC220" s="3219"/>
      <c r="CD220" s="3219"/>
      <c r="CE220" s="3219"/>
      <c r="CF220" s="3219"/>
      <c r="CG220" s="3219"/>
      <c r="CH220" s="3219"/>
      <c r="CI220" s="3225">
        <f t="shared" si="16"/>
        <v>5</v>
      </c>
    </row>
    <row r="221" spans="1:87" ht="30">
      <c r="A221" s="508" t="s">
        <v>1059</v>
      </c>
      <c r="B221" s="390" t="s">
        <v>1060</v>
      </c>
      <c r="C221" s="390" t="s">
        <v>1061</v>
      </c>
      <c r="D221" s="1007" t="s">
        <v>4219</v>
      </c>
      <c r="E221" s="1171" t="s">
        <v>4709</v>
      </c>
      <c r="F221" s="252">
        <v>10</v>
      </c>
      <c r="G221" s="253"/>
      <c r="H221" s="401">
        <v>0</v>
      </c>
      <c r="I221" s="401"/>
      <c r="J221" s="252"/>
      <c r="K221" s="252"/>
      <c r="L221" s="277"/>
      <c r="M221" s="281">
        <f t="shared" si="21"/>
        <v>0</v>
      </c>
      <c r="N221" s="277"/>
      <c r="O221" s="1507">
        <f t="shared" si="22"/>
        <v>0</v>
      </c>
      <c r="P221" s="729"/>
      <c r="Q221" s="1017">
        <f>'Abs9. NVBDCP'!Q63</f>
        <v>0</v>
      </c>
      <c r="R221" s="2931">
        <f>'Abs9. NVBDCP'!R63</f>
        <v>0</v>
      </c>
      <c r="BB221" s="3218"/>
      <c r="BC221" s="3218"/>
      <c r="BD221" s="3218"/>
      <c r="BE221" s="3218"/>
      <c r="BF221" s="3218"/>
      <c r="BG221" s="3218"/>
      <c r="BH221" s="3218"/>
      <c r="BI221" s="3218"/>
      <c r="BJ221" s="3218"/>
      <c r="BK221" s="3218"/>
      <c r="BL221" s="3218"/>
      <c r="BM221" s="3218"/>
      <c r="BN221" s="3218"/>
      <c r="BO221" s="3218"/>
      <c r="BP221" s="3218"/>
      <c r="BQ221" s="3218"/>
      <c r="BR221" s="3218"/>
      <c r="BS221" s="3218"/>
      <c r="BT221" s="3218"/>
      <c r="BU221" s="3218"/>
      <c r="BV221" s="3218"/>
      <c r="BW221" s="3218"/>
      <c r="BX221" s="3218"/>
      <c r="BY221" s="3218"/>
      <c r="BZ221" s="3218"/>
      <c r="CA221" s="3218"/>
      <c r="CB221" s="3218"/>
      <c r="CC221" s="3218"/>
      <c r="CD221" s="3218"/>
      <c r="CE221" s="3218"/>
      <c r="CF221" s="3218"/>
      <c r="CG221" s="3218"/>
      <c r="CH221" s="3218"/>
      <c r="CI221" s="3225">
        <f t="shared" si="16"/>
        <v>0</v>
      </c>
    </row>
    <row r="222" spans="1:87">
      <c r="A222" s="508" t="s">
        <v>1062</v>
      </c>
      <c r="B222" s="390" t="s">
        <v>1063</v>
      </c>
      <c r="C222" s="390" t="s">
        <v>1064</v>
      </c>
      <c r="D222" s="1007" t="s">
        <v>4219</v>
      </c>
      <c r="E222" s="1171" t="s">
        <v>4710</v>
      </c>
      <c r="F222" s="2211">
        <v>0</v>
      </c>
      <c r="G222" s="276"/>
      <c r="H222" s="2211">
        <v>0</v>
      </c>
      <c r="I222" s="276"/>
      <c r="J222" s="276"/>
      <c r="K222" s="276"/>
      <c r="L222" s="277"/>
      <c r="M222" s="281">
        <f t="shared" si="21"/>
        <v>0</v>
      </c>
      <c r="N222" s="277"/>
      <c r="O222" s="1507">
        <f t="shared" si="22"/>
        <v>0</v>
      </c>
      <c r="P222" s="744"/>
      <c r="Q222" s="1017">
        <f>'Abs9. NVBDCP'!Q64</f>
        <v>0</v>
      </c>
      <c r="R222" s="2931">
        <f>'Abs9. NVBDCP'!R64</f>
        <v>0</v>
      </c>
      <c r="BB222" s="3218"/>
      <c r="BC222" s="3218"/>
      <c r="BD222" s="3218"/>
      <c r="BE222" s="3218"/>
      <c r="BF222" s="3218"/>
      <c r="BG222" s="3218"/>
      <c r="BH222" s="3218"/>
      <c r="BI222" s="3218"/>
      <c r="BJ222" s="3218"/>
      <c r="BK222" s="3218"/>
      <c r="BL222" s="3218"/>
      <c r="BM222" s="3218"/>
      <c r="BN222" s="3218"/>
      <c r="BO222" s="3218"/>
      <c r="BP222" s="3218"/>
      <c r="BQ222" s="3218"/>
      <c r="BR222" s="3218"/>
      <c r="BS222" s="3218"/>
      <c r="BT222" s="3218"/>
      <c r="BU222" s="3218"/>
      <c r="BV222" s="3218"/>
      <c r="BW222" s="3218"/>
      <c r="BX222" s="3218"/>
      <c r="BY222" s="3218"/>
      <c r="BZ222" s="3218"/>
      <c r="CA222" s="3218"/>
      <c r="CB222" s="3218"/>
      <c r="CC222" s="3218"/>
      <c r="CD222" s="3218"/>
      <c r="CE222" s="3218"/>
      <c r="CF222" s="3218"/>
      <c r="CG222" s="3218"/>
      <c r="CH222" s="3218"/>
      <c r="CI222" s="3225">
        <f t="shared" si="16"/>
        <v>0</v>
      </c>
    </row>
    <row r="223" spans="1:87" ht="30">
      <c r="A223" s="508" t="s">
        <v>1065</v>
      </c>
      <c r="B223" s="390" t="s">
        <v>1066</v>
      </c>
      <c r="C223" s="390" t="s">
        <v>1067</v>
      </c>
      <c r="D223" s="1007" t="s">
        <v>4219</v>
      </c>
      <c r="E223" s="1171" t="s">
        <v>4710</v>
      </c>
      <c r="F223" s="2211">
        <v>0</v>
      </c>
      <c r="G223" s="276"/>
      <c r="H223" s="2211">
        <v>0</v>
      </c>
      <c r="I223" s="276"/>
      <c r="J223" s="276"/>
      <c r="K223" s="276"/>
      <c r="L223" s="277"/>
      <c r="M223" s="281">
        <f t="shared" si="21"/>
        <v>0</v>
      </c>
      <c r="N223" s="277"/>
      <c r="O223" s="1507">
        <f t="shared" si="22"/>
        <v>0</v>
      </c>
      <c r="P223" s="744"/>
      <c r="Q223" s="1017">
        <f>'Abs9. NVBDCP'!Q65</f>
        <v>0</v>
      </c>
      <c r="R223" s="2931">
        <f>'Abs9. NVBDCP'!R65</f>
        <v>0</v>
      </c>
      <c r="BB223" s="3218"/>
      <c r="BC223" s="3218"/>
      <c r="BD223" s="3218"/>
      <c r="BE223" s="3218"/>
      <c r="BF223" s="3218"/>
      <c r="BG223" s="3218"/>
      <c r="BH223" s="3218"/>
      <c r="BI223" s="3218"/>
      <c r="BJ223" s="3218"/>
      <c r="BK223" s="3218"/>
      <c r="BL223" s="3218"/>
      <c r="BM223" s="3218"/>
      <c r="BN223" s="3218"/>
      <c r="BO223" s="3218"/>
      <c r="BP223" s="3218"/>
      <c r="BQ223" s="3218"/>
      <c r="BR223" s="3218"/>
      <c r="BS223" s="3218"/>
      <c r="BT223" s="3218"/>
      <c r="BU223" s="3218"/>
      <c r="BV223" s="3218"/>
      <c r="BW223" s="3218"/>
      <c r="BX223" s="3218"/>
      <c r="BY223" s="3218"/>
      <c r="BZ223" s="3218"/>
      <c r="CA223" s="3218"/>
      <c r="CB223" s="3218"/>
      <c r="CC223" s="3218"/>
      <c r="CD223" s="3218"/>
      <c r="CE223" s="3218"/>
      <c r="CF223" s="3218"/>
      <c r="CG223" s="3218"/>
      <c r="CH223" s="3218"/>
      <c r="CI223" s="3225">
        <f t="shared" si="16"/>
        <v>0</v>
      </c>
    </row>
    <row r="224" spans="1:87" ht="30">
      <c r="A224" s="508" t="s">
        <v>1068</v>
      </c>
      <c r="B224" s="390" t="s">
        <v>1069</v>
      </c>
      <c r="C224" s="390" t="s">
        <v>1070</v>
      </c>
      <c r="D224" s="1007" t="s">
        <v>4219</v>
      </c>
      <c r="E224" s="1171" t="s">
        <v>4710</v>
      </c>
      <c r="F224" s="2211">
        <v>0</v>
      </c>
      <c r="G224" s="276"/>
      <c r="H224" s="2211">
        <v>0</v>
      </c>
      <c r="I224" s="276"/>
      <c r="J224" s="276"/>
      <c r="K224" s="276"/>
      <c r="L224" s="277"/>
      <c r="M224" s="281">
        <f t="shared" si="21"/>
        <v>0</v>
      </c>
      <c r="N224" s="277"/>
      <c r="O224" s="1507">
        <f t="shared" si="22"/>
        <v>0</v>
      </c>
      <c r="P224" s="744"/>
      <c r="Q224" s="1017">
        <f>'Abs9. NVBDCP'!Q66</f>
        <v>0</v>
      </c>
      <c r="R224" s="2931">
        <f>'Abs9. NVBDCP'!R66</f>
        <v>0</v>
      </c>
      <c r="BB224" s="3218"/>
      <c r="BC224" s="3218"/>
      <c r="BD224" s="3218"/>
      <c r="BE224" s="3218"/>
      <c r="BF224" s="3218"/>
      <c r="BG224" s="3218"/>
      <c r="BH224" s="3218"/>
      <c r="BI224" s="3218"/>
      <c r="BJ224" s="3218"/>
      <c r="BK224" s="3218"/>
      <c r="BL224" s="3218"/>
      <c r="BM224" s="3218"/>
      <c r="BN224" s="3218"/>
      <c r="BO224" s="3218"/>
      <c r="BP224" s="3218"/>
      <c r="BQ224" s="3218"/>
      <c r="BR224" s="3218"/>
      <c r="BS224" s="3218"/>
      <c r="BT224" s="3218"/>
      <c r="BU224" s="3218"/>
      <c r="BV224" s="3218"/>
      <c r="BW224" s="3218"/>
      <c r="BX224" s="3218"/>
      <c r="BY224" s="3218"/>
      <c r="BZ224" s="3218"/>
      <c r="CA224" s="3218"/>
      <c r="CB224" s="3218"/>
      <c r="CC224" s="3218"/>
      <c r="CD224" s="3218"/>
      <c r="CE224" s="3218"/>
      <c r="CF224" s="3218"/>
      <c r="CG224" s="3218"/>
      <c r="CH224" s="3218"/>
      <c r="CI224" s="3225">
        <f t="shared" si="16"/>
        <v>0</v>
      </c>
    </row>
    <row r="225" spans="1:87" ht="60">
      <c r="A225" s="508" t="s">
        <v>1071</v>
      </c>
      <c r="B225" s="390" t="s">
        <v>1072</v>
      </c>
      <c r="C225" s="390" t="s">
        <v>1073</v>
      </c>
      <c r="D225" s="1007" t="s">
        <v>4219</v>
      </c>
      <c r="E225" s="1171" t="s">
        <v>4710</v>
      </c>
      <c r="F225" s="2211">
        <v>0</v>
      </c>
      <c r="G225" s="276"/>
      <c r="H225" s="2211">
        <v>0</v>
      </c>
      <c r="I225" s="276"/>
      <c r="J225" s="276"/>
      <c r="K225" s="276"/>
      <c r="L225" s="277"/>
      <c r="M225" s="281">
        <f t="shared" si="21"/>
        <v>0</v>
      </c>
      <c r="N225" s="277"/>
      <c r="O225" s="1507">
        <f t="shared" si="22"/>
        <v>0</v>
      </c>
      <c r="P225" s="744"/>
      <c r="Q225" s="1017">
        <f>'Abs9. NVBDCP'!Q67</f>
        <v>0</v>
      </c>
      <c r="R225" s="2931">
        <f>'Abs9. NVBDCP'!R67</f>
        <v>0</v>
      </c>
      <c r="BB225" s="3218"/>
      <c r="BC225" s="3218"/>
      <c r="BD225" s="3218"/>
      <c r="BE225" s="3218"/>
      <c r="BF225" s="3218"/>
      <c r="BG225" s="3218"/>
      <c r="BH225" s="3218"/>
      <c r="BI225" s="3218"/>
      <c r="BJ225" s="3218"/>
      <c r="BK225" s="3218"/>
      <c r="BL225" s="3218"/>
      <c r="BM225" s="3218"/>
      <c r="BN225" s="3218"/>
      <c r="BO225" s="3218"/>
      <c r="BP225" s="3218"/>
      <c r="BQ225" s="3218"/>
      <c r="BR225" s="3218"/>
      <c r="BS225" s="3218"/>
      <c r="BT225" s="3218"/>
      <c r="BU225" s="3218"/>
      <c r="BV225" s="3218"/>
      <c r="BW225" s="3218"/>
      <c r="BX225" s="3218"/>
      <c r="BY225" s="3218"/>
      <c r="BZ225" s="3218"/>
      <c r="CA225" s="3218"/>
      <c r="CB225" s="3218"/>
      <c r="CC225" s="3218"/>
      <c r="CD225" s="3218"/>
      <c r="CE225" s="3218"/>
      <c r="CF225" s="3218"/>
      <c r="CG225" s="3218"/>
      <c r="CH225" s="3218"/>
      <c r="CI225" s="3225">
        <f t="shared" si="16"/>
        <v>0</v>
      </c>
    </row>
    <row r="226" spans="1:87">
      <c r="A226" s="508" t="s">
        <v>2287</v>
      </c>
      <c r="B226" s="391"/>
      <c r="C226" s="390" t="s">
        <v>3725</v>
      </c>
      <c r="D226" s="1007" t="s">
        <v>4219</v>
      </c>
      <c r="E226" s="1171" t="s">
        <v>4714</v>
      </c>
      <c r="F226" s="2211">
        <v>0</v>
      </c>
      <c r="G226" s="276"/>
      <c r="H226" s="2211">
        <v>0</v>
      </c>
      <c r="I226" s="276"/>
      <c r="J226" s="276"/>
      <c r="K226" s="276"/>
      <c r="L226" s="277"/>
      <c r="M226" s="281">
        <f t="shared" si="21"/>
        <v>0</v>
      </c>
      <c r="N226" s="277"/>
      <c r="O226" s="1507">
        <f>M226*N226</f>
        <v>0</v>
      </c>
      <c r="P226" s="744"/>
      <c r="Q226" s="1017">
        <f>'Abs9. NVBDCP'!Q68</f>
        <v>0</v>
      </c>
      <c r="R226" s="2931">
        <f>'Abs9. NVBDCP'!R68</f>
        <v>0</v>
      </c>
      <c r="BB226" s="3218"/>
      <c r="BC226" s="3218"/>
      <c r="BD226" s="3218"/>
      <c r="BE226" s="3218"/>
      <c r="BF226" s="3218"/>
      <c r="BG226" s="3218"/>
      <c r="BH226" s="3218"/>
      <c r="BI226" s="3218"/>
      <c r="BJ226" s="3218"/>
      <c r="BK226" s="3218"/>
      <c r="BL226" s="3218"/>
      <c r="BM226" s="3218"/>
      <c r="BN226" s="3218"/>
      <c r="BO226" s="3218"/>
      <c r="BP226" s="3218"/>
      <c r="BQ226" s="3218"/>
      <c r="BR226" s="3218"/>
      <c r="BS226" s="3218"/>
      <c r="BT226" s="3218"/>
      <c r="BU226" s="3218"/>
      <c r="BV226" s="3218"/>
      <c r="BW226" s="3218"/>
      <c r="BX226" s="3218"/>
      <c r="BY226" s="3218"/>
      <c r="BZ226" s="3218"/>
      <c r="CA226" s="3218"/>
      <c r="CB226" s="3218"/>
      <c r="CC226" s="3218"/>
      <c r="CD226" s="3218"/>
      <c r="CE226" s="3218"/>
      <c r="CF226" s="3218"/>
      <c r="CG226" s="3218"/>
      <c r="CH226" s="3218"/>
      <c r="CI226" s="3225">
        <f t="shared" si="16"/>
        <v>0</v>
      </c>
    </row>
    <row r="227" spans="1:87">
      <c r="A227" s="508" t="s">
        <v>3724</v>
      </c>
      <c r="B227" s="391"/>
      <c r="C227" s="390" t="s">
        <v>1304</v>
      </c>
      <c r="D227" s="1007" t="s">
        <v>4219</v>
      </c>
      <c r="E227" s="1171" t="s">
        <v>109</v>
      </c>
      <c r="F227" s="2211">
        <v>0</v>
      </c>
      <c r="G227" s="276"/>
      <c r="H227" s="2211">
        <v>0</v>
      </c>
      <c r="I227" s="276"/>
      <c r="J227" s="276"/>
      <c r="K227" s="276"/>
      <c r="L227" s="277"/>
      <c r="M227" s="281">
        <f t="shared" si="21"/>
        <v>0</v>
      </c>
      <c r="N227" s="277"/>
      <c r="O227" s="1507">
        <f t="shared" si="22"/>
        <v>0</v>
      </c>
      <c r="P227" s="744"/>
      <c r="Q227" s="1017">
        <f>'Abs9. NVBDCP'!Q69</f>
        <v>0</v>
      </c>
      <c r="R227" s="2931">
        <f>'Abs9. NVBDCP'!R69</f>
        <v>0</v>
      </c>
      <c r="BB227" s="3218"/>
      <c r="BC227" s="3218"/>
      <c r="BD227" s="3218"/>
      <c r="BE227" s="3218"/>
      <c r="BF227" s="3218"/>
      <c r="BG227" s="3218"/>
      <c r="BH227" s="3218"/>
      <c r="BI227" s="3218"/>
      <c r="BJ227" s="3218"/>
      <c r="BK227" s="3218"/>
      <c r="BL227" s="3218"/>
      <c r="BM227" s="3218"/>
      <c r="BN227" s="3218"/>
      <c r="BO227" s="3218"/>
      <c r="BP227" s="3218"/>
      <c r="BQ227" s="3218"/>
      <c r="BR227" s="3218"/>
      <c r="BS227" s="3218"/>
      <c r="BT227" s="3218"/>
      <c r="BU227" s="3218"/>
      <c r="BV227" s="3218"/>
      <c r="BW227" s="3218"/>
      <c r="BX227" s="3218"/>
      <c r="BY227" s="3218"/>
      <c r="BZ227" s="3218"/>
      <c r="CA227" s="3218"/>
      <c r="CB227" s="3218"/>
      <c r="CC227" s="3218"/>
      <c r="CD227" s="3218"/>
      <c r="CE227" s="3218"/>
      <c r="CF227" s="3218"/>
      <c r="CG227" s="3218"/>
      <c r="CH227" s="3218"/>
      <c r="CI227" s="3225">
        <f t="shared" si="16"/>
        <v>0</v>
      </c>
    </row>
    <row r="228" spans="1:87">
      <c r="A228" s="880" t="s">
        <v>1074</v>
      </c>
      <c r="B228" s="1194"/>
      <c r="C228" s="1061" t="s">
        <v>1075</v>
      </c>
      <c r="D228" s="997"/>
      <c r="E228" s="997"/>
      <c r="F228" s="219"/>
      <c r="G228" s="219"/>
      <c r="H228" s="219"/>
      <c r="I228" s="219"/>
      <c r="J228" s="219"/>
      <c r="K228" s="219"/>
      <c r="L228" s="219"/>
      <c r="M228" s="1515"/>
      <c r="N228" s="404"/>
      <c r="O228" s="1516">
        <f>(O229+O230)</f>
        <v>7.83</v>
      </c>
      <c r="P228" s="718"/>
      <c r="Q228" s="1157"/>
      <c r="R228" s="2929">
        <f>(R229+R230)</f>
        <v>7.83</v>
      </c>
      <c r="BB228" s="3218"/>
      <c r="BC228" s="3218"/>
      <c r="BD228" s="3218"/>
      <c r="BE228" s="3218"/>
      <c r="BF228" s="3218"/>
      <c r="BG228" s="3218"/>
      <c r="BH228" s="3218"/>
      <c r="BI228" s="3218"/>
      <c r="BJ228" s="3218"/>
      <c r="BK228" s="3218"/>
      <c r="BL228" s="3218"/>
      <c r="BM228" s="3218"/>
      <c r="BN228" s="3218"/>
      <c r="BO228" s="3218"/>
      <c r="BP228" s="3218"/>
      <c r="BQ228" s="3218"/>
      <c r="BR228" s="3218"/>
      <c r="BS228" s="3218"/>
      <c r="BT228" s="3218"/>
      <c r="BU228" s="3218"/>
      <c r="BV228" s="3218"/>
      <c r="BW228" s="3218"/>
      <c r="BX228" s="3218"/>
      <c r="BY228" s="3218"/>
      <c r="BZ228" s="3218"/>
      <c r="CA228" s="3218"/>
      <c r="CB228" s="3218"/>
      <c r="CC228" s="3218"/>
      <c r="CD228" s="3218"/>
      <c r="CE228" s="3218"/>
      <c r="CF228" s="3218"/>
      <c r="CG228" s="3218"/>
      <c r="CH228" s="3218"/>
      <c r="CI228" s="3225">
        <f t="shared" si="16"/>
        <v>0</v>
      </c>
    </row>
    <row r="229" spans="1:87" s="1380" customFormat="1" ht="45">
      <c r="A229" s="391" t="s">
        <v>1076</v>
      </c>
      <c r="B229" s="391" t="s">
        <v>1077</v>
      </c>
      <c r="C229" s="391" t="s">
        <v>1078</v>
      </c>
      <c r="D229" s="2254" t="s">
        <v>4219</v>
      </c>
      <c r="E229" s="1075" t="s">
        <v>141</v>
      </c>
      <c r="F229" s="2362">
        <v>30</v>
      </c>
      <c r="G229" s="2363">
        <v>11</v>
      </c>
      <c r="H229" s="2362">
        <v>16.8</v>
      </c>
      <c r="I229" s="2363">
        <v>0</v>
      </c>
      <c r="J229" s="2363">
        <v>5</v>
      </c>
      <c r="K229" s="2363">
        <v>0</v>
      </c>
      <c r="L229" s="283">
        <v>43500</v>
      </c>
      <c r="M229" s="2261">
        <f>L229/100000</f>
        <v>0.435</v>
      </c>
      <c r="N229" s="283">
        <v>18</v>
      </c>
      <c r="O229" s="2364">
        <f>M229*N229</f>
        <v>7.83</v>
      </c>
      <c r="P229" s="2365" t="s">
        <v>5204</v>
      </c>
      <c r="Q229" s="2263" t="str">
        <f>'Abs10. NLEP'!Q24</f>
        <v xml:space="preserve">Recommended </v>
      </c>
      <c r="R229" s="2930">
        <f>'Abs10. NLEP'!R24</f>
        <v>7.83</v>
      </c>
      <c r="BB229" s="3219">
        <v>0.38</v>
      </c>
      <c r="BC229" s="3219">
        <v>0.5</v>
      </c>
      <c r="BD229" s="3219">
        <v>0.7</v>
      </c>
      <c r="BE229" s="3219">
        <v>0.5</v>
      </c>
      <c r="BF229" s="3219">
        <v>1.2</v>
      </c>
      <c r="BG229" s="3219">
        <v>0.4</v>
      </c>
      <c r="BH229" s="3219">
        <v>0.5</v>
      </c>
      <c r="BI229" s="3219">
        <v>0.2</v>
      </c>
      <c r="BJ229" s="3219">
        <v>0.8</v>
      </c>
      <c r="BK229" s="3219">
        <v>0.8</v>
      </c>
      <c r="BL229" s="3219">
        <v>0.75</v>
      </c>
      <c r="BM229" s="3219">
        <v>0.6</v>
      </c>
      <c r="BN229" s="3219">
        <v>0.5</v>
      </c>
      <c r="BO229" s="3219"/>
      <c r="BP229" s="3219"/>
      <c r="BQ229" s="3219"/>
      <c r="BR229" s="3219"/>
      <c r="BS229" s="3219"/>
      <c r="BT229" s="3219"/>
      <c r="BU229" s="3219"/>
      <c r="BV229" s="3219"/>
      <c r="BW229" s="3219"/>
      <c r="BX229" s="3219"/>
      <c r="BY229" s="3219"/>
      <c r="BZ229" s="3219"/>
      <c r="CA229" s="3219"/>
      <c r="CB229" s="3219"/>
      <c r="CC229" s="3219"/>
      <c r="CD229" s="3219"/>
      <c r="CE229" s="3219"/>
      <c r="CF229" s="3219"/>
      <c r="CG229" s="3219"/>
      <c r="CH229" s="3219"/>
      <c r="CI229" s="3225">
        <f t="shared" si="16"/>
        <v>7.8299999999999992</v>
      </c>
    </row>
    <row r="230" spans="1:87">
      <c r="A230" s="390" t="s">
        <v>2288</v>
      </c>
      <c r="B230" s="391"/>
      <c r="C230" s="390" t="s">
        <v>1304</v>
      </c>
      <c r="D230" s="1007" t="s">
        <v>4219</v>
      </c>
      <c r="E230" s="1120" t="s">
        <v>141</v>
      </c>
      <c r="F230" s="2211">
        <v>0</v>
      </c>
      <c r="G230" s="276"/>
      <c r="H230" s="2211">
        <v>0</v>
      </c>
      <c r="I230" s="276"/>
      <c r="J230" s="276"/>
      <c r="K230" s="276"/>
      <c r="L230" s="277"/>
      <c r="M230" s="281">
        <f>L230/100000</f>
        <v>0</v>
      </c>
      <c r="N230" s="277"/>
      <c r="O230" s="1507">
        <f>M230*N230</f>
        <v>0</v>
      </c>
      <c r="P230" s="744"/>
      <c r="Q230" s="1017">
        <f>'Abs10. NLEP'!Q25</f>
        <v>0</v>
      </c>
      <c r="R230" s="2931">
        <f>'Abs10. NLEP'!R25</f>
        <v>0</v>
      </c>
      <c r="BB230" s="3218"/>
      <c r="BC230" s="3218"/>
      <c r="BD230" s="3218"/>
      <c r="BE230" s="3218"/>
      <c r="BF230" s="3218"/>
      <c r="BG230" s="3218"/>
      <c r="BH230" s="3218"/>
      <c r="BI230" s="3218"/>
      <c r="BJ230" s="3218"/>
      <c r="BK230" s="3218"/>
      <c r="BL230" s="3218"/>
      <c r="BM230" s="3218"/>
      <c r="BN230" s="3218"/>
      <c r="BO230" s="3218"/>
      <c r="BP230" s="3218"/>
      <c r="BQ230" s="3218"/>
      <c r="BR230" s="3218"/>
      <c r="BS230" s="3218"/>
      <c r="BT230" s="3218"/>
      <c r="BU230" s="3218"/>
      <c r="BV230" s="3218"/>
      <c r="BW230" s="3218"/>
      <c r="BX230" s="3218"/>
      <c r="BY230" s="3218"/>
      <c r="BZ230" s="3218"/>
      <c r="CA230" s="3218"/>
      <c r="CB230" s="3218"/>
      <c r="CC230" s="3218"/>
      <c r="CD230" s="3218"/>
      <c r="CE230" s="3218"/>
      <c r="CF230" s="3218"/>
      <c r="CG230" s="3218"/>
      <c r="CH230" s="3218"/>
      <c r="CI230" s="3225">
        <f t="shared" si="16"/>
        <v>0</v>
      </c>
    </row>
    <row r="231" spans="1:87">
      <c r="A231" s="880" t="s">
        <v>1079</v>
      </c>
      <c r="B231" s="1194"/>
      <c r="C231" s="1061" t="s">
        <v>4638</v>
      </c>
      <c r="D231" s="997"/>
      <c r="E231" s="997"/>
      <c r="F231" s="219"/>
      <c r="G231" s="219"/>
      <c r="H231" s="219"/>
      <c r="I231" s="219"/>
      <c r="J231" s="219"/>
      <c r="K231" s="219"/>
      <c r="L231" s="219"/>
      <c r="M231" s="1515"/>
      <c r="N231" s="404"/>
      <c r="O231" s="1516">
        <f>SUM(O232:O234)</f>
        <v>36.067149999999998</v>
      </c>
      <c r="P231" s="718"/>
      <c r="Q231" s="1157"/>
      <c r="R231" s="2929">
        <f>SUM(R232:R234)</f>
        <v>36.07</v>
      </c>
      <c r="BB231" s="3218"/>
      <c r="BC231" s="3218"/>
      <c r="BD231" s="3218"/>
      <c r="BE231" s="3218"/>
      <c r="BF231" s="3218"/>
      <c r="BG231" s="3218"/>
      <c r="BH231" s="3218"/>
      <c r="BI231" s="3218"/>
      <c r="BJ231" s="3218"/>
      <c r="BK231" s="3218"/>
      <c r="BL231" s="3218"/>
      <c r="BM231" s="3218"/>
      <c r="BN231" s="3218"/>
      <c r="BO231" s="3218"/>
      <c r="BP231" s="3218"/>
      <c r="BQ231" s="3218"/>
      <c r="BR231" s="3218"/>
      <c r="BS231" s="3218"/>
      <c r="BT231" s="3218"/>
      <c r="BU231" s="3218"/>
      <c r="BV231" s="3218"/>
      <c r="BW231" s="3218"/>
      <c r="BX231" s="3218"/>
      <c r="BY231" s="3218"/>
      <c r="BZ231" s="3218"/>
      <c r="CA231" s="3218"/>
      <c r="CB231" s="3218"/>
      <c r="CC231" s="3218"/>
      <c r="CD231" s="3218"/>
      <c r="CE231" s="3218"/>
      <c r="CF231" s="3218"/>
      <c r="CG231" s="3218"/>
      <c r="CH231" s="3218"/>
      <c r="CI231" s="3225">
        <f t="shared" si="16"/>
        <v>0</v>
      </c>
    </row>
    <row r="232" spans="1:87" s="1114" customFormat="1" ht="26.25" customHeight="1">
      <c r="A232" s="1004" t="s">
        <v>1080</v>
      </c>
      <c r="B232" s="233" t="s">
        <v>1081</v>
      </c>
      <c r="C232" s="1004" t="s">
        <v>4638</v>
      </c>
      <c r="D232" s="2254" t="s">
        <v>4219</v>
      </c>
      <c r="E232" s="1074" t="s">
        <v>4525</v>
      </c>
      <c r="F232" s="324">
        <v>87</v>
      </c>
      <c r="G232" s="3521">
        <v>132</v>
      </c>
      <c r="H232" s="2367">
        <v>26.62</v>
      </c>
      <c r="I232" s="3521">
        <v>8.59</v>
      </c>
      <c r="J232" s="3522">
        <v>18</v>
      </c>
      <c r="K232" s="3523">
        <v>1</v>
      </c>
      <c r="L232" s="3524">
        <v>30597</v>
      </c>
      <c r="M232" s="3525">
        <f>L232/100000</f>
        <v>0.30597000000000002</v>
      </c>
      <c r="N232" s="3524">
        <v>95</v>
      </c>
      <c r="O232" s="3526">
        <f>M232*N232</f>
        <v>29.067150000000002</v>
      </c>
      <c r="P232" s="3527" t="s">
        <v>5991</v>
      </c>
      <c r="Q232" s="2257" t="str">
        <f>'Abs11. NTEP'!Q33</f>
        <v>Recommended rs 29.07 lakhs towards trainings under NTEP as per training plan shared by the State</v>
      </c>
      <c r="R232" s="3014">
        <f>'Abs11. NTEP'!R33</f>
        <v>29.07</v>
      </c>
      <c r="BB232" s="833">
        <v>1.86</v>
      </c>
      <c r="BC232" s="833">
        <v>0.82</v>
      </c>
      <c r="BD232" s="833">
        <v>0.92</v>
      </c>
      <c r="BE232" s="833">
        <v>0.82</v>
      </c>
      <c r="BF232" s="833">
        <v>1.22</v>
      </c>
      <c r="BG232" s="833">
        <v>0.4</v>
      </c>
      <c r="BH232" s="833">
        <v>0.92</v>
      </c>
      <c r="BI232" s="833">
        <v>0.4</v>
      </c>
      <c r="BJ232" s="833">
        <v>1.22</v>
      </c>
      <c r="BK232" s="833">
        <v>1.22</v>
      </c>
      <c r="BL232" s="833">
        <v>1.22</v>
      </c>
      <c r="BM232" s="833">
        <v>1.22</v>
      </c>
      <c r="BN232" s="833">
        <v>0.92</v>
      </c>
      <c r="BO232" s="833"/>
      <c r="BP232" s="833"/>
      <c r="BQ232" s="833"/>
      <c r="BR232" s="833"/>
      <c r="BS232" s="833"/>
      <c r="BT232" s="833"/>
      <c r="BU232" s="833"/>
      <c r="BV232" s="833"/>
      <c r="BW232" s="833"/>
      <c r="BX232" s="833"/>
      <c r="BY232" s="833"/>
      <c r="BZ232" s="833"/>
      <c r="CA232" s="833"/>
      <c r="CB232" s="833"/>
      <c r="CC232" s="833"/>
      <c r="CD232" s="833"/>
      <c r="CE232" s="833">
        <v>6.73</v>
      </c>
      <c r="CF232" s="833"/>
      <c r="CG232" s="833">
        <v>5.51</v>
      </c>
      <c r="CH232" s="833">
        <v>3.67</v>
      </c>
      <c r="CI232" s="3263">
        <f t="shared" si="16"/>
        <v>29.07</v>
      </c>
    </row>
    <row r="233" spans="1:87" s="1380" customFormat="1" ht="18" customHeight="1">
      <c r="A233" s="586" t="s">
        <v>2509</v>
      </c>
      <c r="B233" s="391" t="s">
        <v>1082</v>
      </c>
      <c r="C233" s="586" t="s">
        <v>2267</v>
      </c>
      <c r="D233" s="2254" t="s">
        <v>4219</v>
      </c>
      <c r="E233" s="1075" t="s">
        <v>4525</v>
      </c>
      <c r="F233" s="285">
        <v>957</v>
      </c>
      <c r="G233" s="286">
        <v>3</v>
      </c>
      <c r="H233" s="413">
        <v>7.1</v>
      </c>
      <c r="I233" s="2367">
        <v>2</v>
      </c>
      <c r="J233" s="324">
        <v>3</v>
      </c>
      <c r="K233" s="2340">
        <v>14</v>
      </c>
      <c r="L233" s="2368">
        <v>50000</v>
      </c>
      <c r="M233" s="2261">
        <f>L233/100000</f>
        <v>0.5</v>
      </c>
      <c r="N233" s="2368">
        <v>14</v>
      </c>
      <c r="O233" s="1472">
        <f>M233*N233</f>
        <v>7</v>
      </c>
      <c r="P233" s="719" t="s">
        <v>5171</v>
      </c>
      <c r="Q233" s="2263" t="str">
        <f>'Abs11. NTEP'!Q34</f>
        <v>Recommended Rs 7 lakhs towards CMEs</v>
      </c>
      <c r="R233" s="2930">
        <f>'Abs11. NTEP'!R34</f>
        <v>7</v>
      </c>
      <c r="BB233" s="3219">
        <v>7</v>
      </c>
      <c r="BC233" s="3219"/>
      <c r="BD233" s="3219"/>
      <c r="BE233" s="3219"/>
      <c r="BF233" s="3219"/>
      <c r="BG233" s="3219"/>
      <c r="BH233" s="3219"/>
      <c r="BI233" s="3219"/>
      <c r="BJ233" s="3219"/>
      <c r="BK233" s="3219"/>
      <c r="BL233" s="3219"/>
      <c r="BM233" s="3219"/>
      <c r="BN233" s="3219"/>
      <c r="BO233" s="3219"/>
      <c r="BP233" s="3219"/>
      <c r="BQ233" s="3219"/>
      <c r="BR233" s="3219"/>
      <c r="BS233" s="3219"/>
      <c r="BT233" s="3219"/>
      <c r="BU233" s="3219"/>
      <c r="BV233" s="3219"/>
      <c r="BW233" s="3219"/>
      <c r="BX233" s="3219"/>
      <c r="BY233" s="3219"/>
      <c r="BZ233" s="3219"/>
      <c r="CA233" s="3219"/>
      <c r="CB233" s="3219"/>
      <c r="CC233" s="3219"/>
      <c r="CD233" s="3219"/>
      <c r="CE233" s="3219"/>
      <c r="CF233" s="3219"/>
      <c r="CG233" s="3219"/>
      <c r="CH233" s="3219"/>
      <c r="CI233" s="3225">
        <f t="shared" si="16"/>
        <v>7</v>
      </c>
    </row>
    <row r="234" spans="1:87">
      <c r="A234" s="508" t="s">
        <v>2510</v>
      </c>
      <c r="B234" s="391"/>
      <c r="C234" s="508" t="s">
        <v>1304</v>
      </c>
      <c r="D234" s="1007" t="s">
        <v>4219</v>
      </c>
      <c r="E234" s="1120" t="s">
        <v>4525</v>
      </c>
      <c r="F234" s="249">
        <v>0</v>
      </c>
      <c r="G234" s="249"/>
      <c r="H234" s="249">
        <v>0</v>
      </c>
      <c r="I234" s="249"/>
      <c r="J234" s="249"/>
      <c r="K234" s="276"/>
      <c r="L234" s="277"/>
      <c r="M234" s="281">
        <f>L234/100000</f>
        <v>0</v>
      </c>
      <c r="N234" s="277"/>
      <c r="O234" s="1507">
        <f>M234*N234</f>
        <v>0</v>
      </c>
      <c r="P234" s="744"/>
      <c r="Q234" s="1017">
        <f>'Abs11. NTEP'!Q35</f>
        <v>0</v>
      </c>
      <c r="R234" s="2931">
        <f>'Abs11. NTEP'!R35</f>
        <v>0</v>
      </c>
      <c r="BB234" s="3218"/>
      <c r="BC234" s="3218"/>
      <c r="BD234" s="3218"/>
      <c r="BE234" s="3218"/>
      <c r="BF234" s="3218"/>
      <c r="BG234" s="3218"/>
      <c r="BH234" s="3218"/>
      <c r="BI234" s="3218"/>
      <c r="BJ234" s="3218"/>
      <c r="BK234" s="3218"/>
      <c r="BL234" s="3218"/>
      <c r="BM234" s="3218"/>
      <c r="BN234" s="3218"/>
      <c r="BO234" s="3218"/>
      <c r="BP234" s="3218"/>
      <c r="BQ234" s="3218"/>
      <c r="BR234" s="3218"/>
      <c r="BS234" s="3218"/>
      <c r="BT234" s="3218"/>
      <c r="BU234" s="3218"/>
      <c r="BV234" s="3218"/>
      <c r="BW234" s="3218"/>
      <c r="BX234" s="3218"/>
      <c r="BY234" s="3218"/>
      <c r="BZ234" s="3218"/>
      <c r="CA234" s="3218"/>
      <c r="CB234" s="3218"/>
      <c r="CC234" s="3218"/>
      <c r="CD234" s="3218"/>
      <c r="CE234" s="3218"/>
      <c r="CF234" s="3218"/>
      <c r="CG234" s="3218"/>
      <c r="CH234" s="3218"/>
      <c r="CI234" s="3225">
        <f t="shared" si="16"/>
        <v>0</v>
      </c>
    </row>
    <row r="235" spans="1:87">
      <c r="A235" s="1529" t="s">
        <v>2292</v>
      </c>
      <c r="B235" s="1194"/>
      <c r="C235" s="1529" t="s">
        <v>3252</v>
      </c>
      <c r="D235" s="951"/>
      <c r="E235" s="951"/>
      <c r="F235" s="420"/>
      <c r="G235" s="420"/>
      <c r="H235" s="420"/>
      <c r="I235" s="420"/>
      <c r="J235" s="420"/>
      <c r="K235" s="420"/>
      <c r="L235" s="420"/>
      <c r="M235" s="1529"/>
      <c r="N235" s="420"/>
      <c r="O235" s="1537">
        <f>SUM(O236:O242)</f>
        <v>0</v>
      </c>
      <c r="P235" s="753"/>
      <c r="Q235" s="1000"/>
      <c r="R235" s="2875">
        <f>SUM(R236:R242)</f>
        <v>0</v>
      </c>
      <c r="BB235" s="3218"/>
      <c r="BC235" s="3218"/>
      <c r="BD235" s="3218"/>
      <c r="BE235" s="3218"/>
      <c r="BF235" s="3218"/>
      <c r="BG235" s="3218"/>
      <c r="BH235" s="3218"/>
      <c r="BI235" s="3218"/>
      <c r="BJ235" s="3218"/>
      <c r="BK235" s="3218"/>
      <c r="BL235" s="3218"/>
      <c r="BM235" s="3218"/>
      <c r="BN235" s="3218"/>
      <c r="BO235" s="3218"/>
      <c r="BP235" s="3218"/>
      <c r="BQ235" s="3218"/>
      <c r="BR235" s="3218"/>
      <c r="BS235" s="3218"/>
      <c r="BT235" s="3218"/>
      <c r="BU235" s="3218"/>
      <c r="BV235" s="3218"/>
      <c r="BW235" s="3218"/>
      <c r="BX235" s="3218"/>
      <c r="BY235" s="3218"/>
      <c r="BZ235" s="3218"/>
      <c r="CA235" s="3218"/>
      <c r="CB235" s="3218"/>
      <c r="CC235" s="3218"/>
      <c r="CD235" s="3218"/>
      <c r="CE235" s="3218"/>
      <c r="CF235" s="3218"/>
      <c r="CG235" s="3218"/>
      <c r="CH235" s="3218"/>
      <c r="CI235" s="3225">
        <f t="shared" si="16"/>
        <v>0</v>
      </c>
    </row>
    <row r="236" spans="1:87" ht="45">
      <c r="A236" s="508" t="s">
        <v>2525</v>
      </c>
      <c r="B236" s="586"/>
      <c r="C236" s="1532" t="s">
        <v>3253</v>
      </c>
      <c r="D236" s="1007" t="s">
        <v>4219</v>
      </c>
      <c r="E236" s="1548" t="s">
        <v>3223</v>
      </c>
      <c r="F236" s="2211">
        <v>1</v>
      </c>
      <c r="G236" s="276"/>
      <c r="H236" s="2211">
        <v>2.5</v>
      </c>
      <c r="I236" s="276"/>
      <c r="J236" s="276"/>
      <c r="K236" s="276"/>
      <c r="L236" s="277"/>
      <c r="M236" s="281">
        <f t="shared" ref="M236:M242" si="23">L236/100000</f>
        <v>0</v>
      </c>
      <c r="N236" s="277"/>
      <c r="O236" s="1507">
        <f t="shared" ref="O236:O242" si="24">M236*N236</f>
        <v>0</v>
      </c>
      <c r="P236" s="744"/>
      <c r="Q236" s="1017">
        <f>'Abs12. NVHCP'!Q25</f>
        <v>0</v>
      </c>
      <c r="R236" s="2931">
        <f>'Abs12. NVHCP'!R25</f>
        <v>0</v>
      </c>
      <c r="BB236" s="3218"/>
      <c r="BC236" s="3218"/>
      <c r="BD236" s="3218"/>
      <c r="BE236" s="3218"/>
      <c r="BF236" s="3218"/>
      <c r="BG236" s="3218"/>
      <c r="BH236" s="3218"/>
      <c r="BI236" s="3218"/>
      <c r="BJ236" s="3218"/>
      <c r="BK236" s="3218"/>
      <c r="BL236" s="3218"/>
      <c r="BM236" s="3218"/>
      <c r="BN236" s="3218"/>
      <c r="BO236" s="3218"/>
      <c r="BP236" s="3218"/>
      <c r="BQ236" s="3218"/>
      <c r="BR236" s="3218"/>
      <c r="BS236" s="3218"/>
      <c r="BT236" s="3218"/>
      <c r="BU236" s="3218"/>
      <c r="BV236" s="3218"/>
      <c r="BW236" s="3218"/>
      <c r="BX236" s="3218"/>
      <c r="BY236" s="3218"/>
      <c r="BZ236" s="3218"/>
      <c r="CA236" s="3218"/>
      <c r="CB236" s="3218"/>
      <c r="CC236" s="3218"/>
      <c r="CD236" s="3218"/>
      <c r="CE236" s="3218"/>
      <c r="CF236" s="3218"/>
      <c r="CG236" s="3218"/>
      <c r="CH236" s="3218"/>
      <c r="CI236" s="3225">
        <f t="shared" si="16"/>
        <v>0</v>
      </c>
    </row>
    <row r="237" spans="1:87" ht="30">
      <c r="A237" s="508" t="s">
        <v>2526</v>
      </c>
      <c r="B237" s="586"/>
      <c r="C237" s="1532" t="s">
        <v>3254</v>
      </c>
      <c r="D237" s="1007" t="s">
        <v>4219</v>
      </c>
      <c r="E237" s="1548" t="s">
        <v>3223</v>
      </c>
      <c r="F237" s="2211">
        <v>1</v>
      </c>
      <c r="G237" s="276"/>
      <c r="H237" s="2211">
        <v>2.5</v>
      </c>
      <c r="I237" s="276"/>
      <c r="J237" s="276">
        <v>2.5</v>
      </c>
      <c r="K237" s="276"/>
      <c r="L237" s="277"/>
      <c r="M237" s="281">
        <f t="shared" si="23"/>
        <v>0</v>
      </c>
      <c r="N237" s="277"/>
      <c r="O237" s="1507">
        <f t="shared" si="24"/>
        <v>0</v>
      </c>
      <c r="P237" s="729"/>
      <c r="Q237" s="1017">
        <f>'Abs12. NVHCP'!Q26</f>
        <v>0</v>
      </c>
      <c r="R237" s="2931">
        <f>'Abs12. NVHCP'!R26</f>
        <v>0</v>
      </c>
      <c r="BB237" s="3218"/>
      <c r="BC237" s="3218"/>
      <c r="BD237" s="3218"/>
      <c r="BE237" s="3218"/>
      <c r="BF237" s="3218"/>
      <c r="BG237" s="3218"/>
      <c r="BH237" s="3218"/>
      <c r="BI237" s="3218"/>
      <c r="BJ237" s="3218"/>
      <c r="BK237" s="3218"/>
      <c r="BL237" s="3218"/>
      <c r="BM237" s="3218"/>
      <c r="BN237" s="3218"/>
      <c r="BO237" s="3218"/>
      <c r="BP237" s="3218"/>
      <c r="BQ237" s="3218"/>
      <c r="BR237" s="3218"/>
      <c r="BS237" s="3218"/>
      <c r="BT237" s="3218"/>
      <c r="BU237" s="3218"/>
      <c r="BV237" s="3218"/>
      <c r="BW237" s="3218"/>
      <c r="BX237" s="3218"/>
      <c r="BY237" s="3218"/>
      <c r="BZ237" s="3218"/>
      <c r="CA237" s="3218"/>
      <c r="CB237" s="3218"/>
      <c r="CC237" s="3218"/>
      <c r="CD237" s="3218"/>
      <c r="CE237" s="3218"/>
      <c r="CF237" s="3218"/>
      <c r="CG237" s="3218"/>
      <c r="CH237" s="3218"/>
      <c r="CI237" s="3225">
        <f t="shared" si="16"/>
        <v>0</v>
      </c>
    </row>
    <row r="238" spans="1:87" ht="30">
      <c r="A238" s="508" t="s">
        <v>2527</v>
      </c>
      <c r="B238" s="586"/>
      <c r="C238" s="1532" t="s">
        <v>3255</v>
      </c>
      <c r="D238" s="1007" t="s">
        <v>4219</v>
      </c>
      <c r="E238" s="1548" t="s">
        <v>3223</v>
      </c>
      <c r="F238" s="2211">
        <v>0</v>
      </c>
      <c r="G238" s="276"/>
      <c r="H238" s="2211">
        <v>0</v>
      </c>
      <c r="I238" s="276"/>
      <c r="J238" s="276"/>
      <c r="K238" s="276"/>
      <c r="L238" s="277"/>
      <c r="M238" s="281">
        <f t="shared" si="23"/>
        <v>0</v>
      </c>
      <c r="N238" s="277"/>
      <c r="O238" s="1507">
        <f t="shared" si="24"/>
        <v>0</v>
      </c>
      <c r="P238" s="744">
        <v>9</v>
      </c>
      <c r="Q238" s="1017">
        <f>'Abs12. NVHCP'!Q27</f>
        <v>0</v>
      </c>
      <c r="R238" s="2931">
        <f>'Abs12. NVHCP'!R27</f>
        <v>0</v>
      </c>
      <c r="BB238" s="3218"/>
      <c r="BC238" s="3218"/>
      <c r="BD238" s="3218"/>
      <c r="BE238" s="3218"/>
      <c r="BF238" s="3218"/>
      <c r="BG238" s="3218"/>
      <c r="BH238" s="3218"/>
      <c r="BI238" s="3218"/>
      <c r="BJ238" s="3218"/>
      <c r="BK238" s="3218"/>
      <c r="BL238" s="3218"/>
      <c r="BM238" s="3218"/>
      <c r="BN238" s="3218"/>
      <c r="BO238" s="3218"/>
      <c r="BP238" s="3218"/>
      <c r="BQ238" s="3218"/>
      <c r="BR238" s="3218"/>
      <c r="BS238" s="3218"/>
      <c r="BT238" s="3218"/>
      <c r="BU238" s="3218"/>
      <c r="BV238" s="3218"/>
      <c r="BW238" s="3218"/>
      <c r="BX238" s="3218"/>
      <c r="BY238" s="3218"/>
      <c r="BZ238" s="3218"/>
      <c r="CA238" s="3218"/>
      <c r="CB238" s="3218"/>
      <c r="CC238" s="3218"/>
      <c r="CD238" s="3218"/>
      <c r="CE238" s="3218"/>
      <c r="CF238" s="3218"/>
      <c r="CG238" s="3218"/>
      <c r="CH238" s="3218"/>
      <c r="CI238" s="3225">
        <f t="shared" si="16"/>
        <v>0</v>
      </c>
    </row>
    <row r="239" spans="1:87" ht="30">
      <c r="A239" s="508" t="s">
        <v>2528</v>
      </c>
      <c r="B239" s="586"/>
      <c r="C239" s="1532" t="s">
        <v>3256</v>
      </c>
      <c r="D239" s="1007" t="s">
        <v>4219</v>
      </c>
      <c r="E239" s="1548" t="s">
        <v>3223</v>
      </c>
      <c r="F239" s="2211">
        <v>0</v>
      </c>
      <c r="G239" s="276"/>
      <c r="H239" s="2211">
        <v>0</v>
      </c>
      <c r="I239" s="276"/>
      <c r="J239" s="276"/>
      <c r="K239" s="276"/>
      <c r="L239" s="277"/>
      <c r="M239" s="281">
        <f t="shared" si="23"/>
        <v>0</v>
      </c>
      <c r="N239" s="277"/>
      <c r="O239" s="1507">
        <f t="shared" si="24"/>
        <v>0</v>
      </c>
      <c r="P239" s="744"/>
      <c r="Q239" s="1017">
        <f>'Abs12. NVHCP'!Q28</f>
        <v>0</v>
      </c>
      <c r="R239" s="2931">
        <f>'Abs12. NVHCP'!R28</f>
        <v>0</v>
      </c>
      <c r="BB239" s="3218"/>
      <c r="BC239" s="3218"/>
      <c r="BD239" s="3218"/>
      <c r="BE239" s="3218"/>
      <c r="BF239" s="3218"/>
      <c r="BG239" s="3218"/>
      <c r="BH239" s="3218"/>
      <c r="BI239" s="3218"/>
      <c r="BJ239" s="3218"/>
      <c r="BK239" s="3218"/>
      <c r="BL239" s="3218"/>
      <c r="BM239" s="3218"/>
      <c r="BN239" s="3218"/>
      <c r="BO239" s="3218"/>
      <c r="BP239" s="3218"/>
      <c r="BQ239" s="3218"/>
      <c r="BR239" s="3218"/>
      <c r="BS239" s="3218"/>
      <c r="BT239" s="3218"/>
      <c r="BU239" s="3218"/>
      <c r="BV239" s="3218"/>
      <c r="BW239" s="3218"/>
      <c r="BX239" s="3218"/>
      <c r="BY239" s="3218"/>
      <c r="BZ239" s="3218"/>
      <c r="CA239" s="3218"/>
      <c r="CB239" s="3218"/>
      <c r="CC239" s="3218"/>
      <c r="CD239" s="3218"/>
      <c r="CE239" s="3218"/>
      <c r="CF239" s="3218"/>
      <c r="CG239" s="3218"/>
      <c r="CH239" s="3218"/>
      <c r="CI239" s="3225">
        <f t="shared" si="16"/>
        <v>0</v>
      </c>
    </row>
    <row r="240" spans="1:87" ht="30">
      <c r="A240" s="508" t="s">
        <v>2529</v>
      </c>
      <c r="B240" s="586"/>
      <c r="C240" s="1532" t="s">
        <v>3257</v>
      </c>
      <c r="D240" s="1007" t="s">
        <v>4219</v>
      </c>
      <c r="E240" s="1548" t="s">
        <v>3223</v>
      </c>
      <c r="F240" s="2211">
        <v>0</v>
      </c>
      <c r="G240" s="276"/>
      <c r="H240" s="2211">
        <v>0</v>
      </c>
      <c r="I240" s="276"/>
      <c r="J240" s="276"/>
      <c r="K240" s="276"/>
      <c r="L240" s="277"/>
      <c r="M240" s="281">
        <f t="shared" si="23"/>
        <v>0</v>
      </c>
      <c r="N240" s="277"/>
      <c r="O240" s="1507">
        <f t="shared" si="24"/>
        <v>0</v>
      </c>
      <c r="P240" s="744"/>
      <c r="Q240" s="1017">
        <f>'Abs12. NVHCP'!Q29</f>
        <v>0</v>
      </c>
      <c r="R240" s="2931">
        <f>'Abs12. NVHCP'!R29</f>
        <v>0</v>
      </c>
      <c r="BB240" s="3218"/>
      <c r="BC240" s="3218"/>
      <c r="BD240" s="3218"/>
      <c r="BE240" s="3218"/>
      <c r="BF240" s="3218"/>
      <c r="BG240" s="3218"/>
      <c r="BH240" s="3218"/>
      <c r="BI240" s="3218"/>
      <c r="BJ240" s="3218"/>
      <c r="BK240" s="3218"/>
      <c r="BL240" s="3218"/>
      <c r="BM240" s="3218"/>
      <c r="BN240" s="3218"/>
      <c r="BO240" s="3218"/>
      <c r="BP240" s="3218"/>
      <c r="BQ240" s="3218"/>
      <c r="BR240" s="3218"/>
      <c r="BS240" s="3218"/>
      <c r="BT240" s="3218"/>
      <c r="BU240" s="3218"/>
      <c r="BV240" s="3218"/>
      <c r="BW240" s="3218"/>
      <c r="BX240" s="3218"/>
      <c r="BY240" s="3218"/>
      <c r="BZ240" s="3218"/>
      <c r="CA240" s="3218"/>
      <c r="CB240" s="3218"/>
      <c r="CC240" s="3218"/>
      <c r="CD240" s="3218"/>
      <c r="CE240" s="3218"/>
      <c r="CF240" s="3218"/>
      <c r="CG240" s="3218"/>
      <c r="CH240" s="3218"/>
      <c r="CI240" s="3225">
        <f t="shared" si="16"/>
        <v>0</v>
      </c>
    </row>
    <row r="241" spans="1:87">
      <c r="A241" s="586" t="s">
        <v>2530</v>
      </c>
      <c r="B241" s="586"/>
      <c r="C241" s="586" t="s">
        <v>4265</v>
      </c>
      <c r="D241" s="1007" t="s">
        <v>4219</v>
      </c>
      <c r="E241" s="1548" t="s">
        <v>3223</v>
      </c>
      <c r="F241" s="2216">
        <v>0</v>
      </c>
      <c r="G241" s="421"/>
      <c r="H241" s="2216">
        <v>0</v>
      </c>
      <c r="I241" s="421"/>
      <c r="J241" s="421"/>
      <c r="K241" s="421"/>
      <c r="L241" s="277"/>
      <c r="M241" s="281">
        <f t="shared" si="23"/>
        <v>0</v>
      </c>
      <c r="N241" s="277"/>
      <c r="O241" s="1507">
        <f t="shared" si="24"/>
        <v>0</v>
      </c>
      <c r="P241" s="761"/>
      <c r="Q241" s="1017">
        <f>'Abs12. NVHCP'!Q30</f>
        <v>0</v>
      </c>
      <c r="R241" s="2931">
        <f>'Abs12. NVHCP'!R30</f>
        <v>0</v>
      </c>
      <c r="BB241" s="3218"/>
      <c r="BC241" s="3218"/>
      <c r="BD241" s="3218"/>
      <c r="BE241" s="3218"/>
      <c r="BF241" s="3218"/>
      <c r="BG241" s="3218"/>
      <c r="BH241" s="3218"/>
      <c r="BI241" s="3218"/>
      <c r="BJ241" s="3218"/>
      <c r="BK241" s="3218"/>
      <c r="BL241" s="3218"/>
      <c r="BM241" s="3218"/>
      <c r="BN241" s="3218"/>
      <c r="BO241" s="3218"/>
      <c r="BP241" s="3218"/>
      <c r="BQ241" s="3218"/>
      <c r="BR241" s="3218"/>
      <c r="BS241" s="3218"/>
      <c r="BT241" s="3218"/>
      <c r="BU241" s="3218"/>
      <c r="BV241" s="3218"/>
      <c r="BW241" s="3218"/>
      <c r="BX241" s="3218"/>
      <c r="BY241" s="3218"/>
      <c r="BZ241" s="3218"/>
      <c r="CA241" s="3218"/>
      <c r="CB241" s="3218"/>
      <c r="CC241" s="3218"/>
      <c r="CD241" s="3218"/>
      <c r="CE241" s="3218"/>
      <c r="CF241" s="3218"/>
      <c r="CG241" s="3218"/>
      <c r="CH241" s="3218"/>
      <c r="CI241" s="3225">
        <f t="shared" si="16"/>
        <v>0</v>
      </c>
    </row>
    <row r="242" spans="1:87">
      <c r="A242" s="1380" t="s">
        <v>4264</v>
      </c>
      <c r="B242" s="586"/>
      <c r="C242" s="586" t="s">
        <v>1304</v>
      </c>
      <c r="D242" s="1007" t="s">
        <v>4219</v>
      </c>
      <c r="E242" s="1548" t="s">
        <v>3223</v>
      </c>
      <c r="F242" s="2216">
        <v>0</v>
      </c>
      <c r="G242" s="421"/>
      <c r="H242" s="2216">
        <v>0</v>
      </c>
      <c r="I242" s="421"/>
      <c r="J242" s="421"/>
      <c r="K242" s="421"/>
      <c r="L242" s="277"/>
      <c r="M242" s="281">
        <f t="shared" si="23"/>
        <v>0</v>
      </c>
      <c r="N242" s="277"/>
      <c r="O242" s="1472">
        <f t="shared" si="24"/>
        <v>0</v>
      </c>
      <c r="P242" s="761"/>
      <c r="Q242" s="1017">
        <f>'Abs12. NVHCP'!Q31</f>
        <v>0</v>
      </c>
      <c r="R242" s="2931">
        <f>'Abs12. NVHCP'!R31</f>
        <v>0</v>
      </c>
      <c r="BB242" s="3218"/>
      <c r="BC242" s="3218"/>
      <c r="BD242" s="3218"/>
      <c r="BE242" s="3218"/>
      <c r="BF242" s="3218"/>
      <c r="BG242" s="3218"/>
      <c r="BH242" s="3218"/>
      <c r="BI242" s="3218"/>
      <c r="BJ242" s="3218"/>
      <c r="BK242" s="3218"/>
      <c r="BL242" s="3218"/>
      <c r="BM242" s="3218"/>
      <c r="BN242" s="3218"/>
      <c r="BO242" s="3218"/>
      <c r="BP242" s="3218"/>
      <c r="BQ242" s="3218"/>
      <c r="BR242" s="3218"/>
      <c r="BS242" s="3218"/>
      <c r="BT242" s="3218"/>
      <c r="BU242" s="3218"/>
      <c r="BV242" s="3218"/>
      <c r="BW242" s="3218"/>
      <c r="BX242" s="3218"/>
      <c r="BY242" s="3218"/>
      <c r="BZ242" s="3218"/>
      <c r="CA242" s="3218"/>
      <c r="CB242" s="3218"/>
      <c r="CC242" s="3218"/>
      <c r="CD242" s="3218"/>
      <c r="CE242" s="3218"/>
      <c r="CF242" s="3218"/>
      <c r="CG242" s="3218"/>
      <c r="CH242" s="3218"/>
      <c r="CI242" s="3225">
        <f t="shared" si="16"/>
        <v>0</v>
      </c>
    </row>
    <row r="243" spans="1:87">
      <c r="A243" s="1529" t="s">
        <v>2292</v>
      </c>
      <c r="B243" s="1194"/>
      <c r="C243" s="1529" t="s">
        <v>4758</v>
      </c>
      <c r="D243" s="951"/>
      <c r="E243" s="951"/>
      <c r="F243" s="420"/>
      <c r="G243" s="420"/>
      <c r="H243" s="420"/>
      <c r="I243" s="420"/>
      <c r="J243" s="420"/>
      <c r="K243" s="420"/>
      <c r="L243" s="420"/>
      <c r="M243" s="1529"/>
      <c r="N243" s="420"/>
      <c r="O243" s="1537">
        <f>O244</f>
        <v>0</v>
      </c>
      <c r="P243" s="753"/>
      <c r="Q243" s="1000"/>
      <c r="R243" s="2875">
        <f>R244</f>
        <v>0</v>
      </c>
      <c r="BB243" s="3218"/>
      <c r="BC243" s="3218"/>
      <c r="BD243" s="3218"/>
      <c r="BE243" s="3218"/>
      <c r="BF243" s="3218"/>
      <c r="BG243" s="3218"/>
      <c r="BH243" s="3218"/>
      <c r="BI243" s="3218"/>
      <c r="BJ243" s="3218"/>
      <c r="BK243" s="3218"/>
      <c r="BL243" s="3218"/>
      <c r="BM243" s="3218"/>
      <c r="BN243" s="3218"/>
      <c r="BO243" s="3218"/>
      <c r="BP243" s="3218"/>
      <c r="BQ243" s="3218"/>
      <c r="BR243" s="3218"/>
      <c r="BS243" s="3218"/>
      <c r="BT243" s="3218"/>
      <c r="BU243" s="3218"/>
      <c r="BV243" s="3218"/>
      <c r="BW243" s="3218"/>
      <c r="BX243" s="3218"/>
      <c r="BY243" s="3218"/>
      <c r="BZ243" s="3218"/>
      <c r="CA243" s="3218"/>
      <c r="CB243" s="3218"/>
      <c r="CC243" s="3218"/>
      <c r="CD243" s="3218"/>
      <c r="CE243" s="3218"/>
      <c r="CF243" s="3218"/>
      <c r="CG243" s="3218"/>
      <c r="CH243" s="3218"/>
      <c r="CI243" s="3225">
        <f t="shared" si="16"/>
        <v>0</v>
      </c>
    </row>
    <row r="244" spans="1:87" ht="30">
      <c r="A244" s="508" t="s">
        <v>3267</v>
      </c>
      <c r="B244" s="586"/>
      <c r="C244" s="1532" t="s">
        <v>3993</v>
      </c>
      <c r="D244" s="1007" t="s">
        <v>4219</v>
      </c>
      <c r="E244" s="1533" t="s">
        <v>3855</v>
      </c>
      <c r="F244" s="2211">
        <v>0</v>
      </c>
      <c r="G244" s="276"/>
      <c r="H244" s="2211">
        <v>0</v>
      </c>
      <c r="I244" s="276"/>
      <c r="J244" s="276"/>
      <c r="K244" s="276"/>
      <c r="L244" s="277"/>
      <c r="M244" s="281">
        <f>L244/100000</f>
        <v>0</v>
      </c>
      <c r="N244" s="277"/>
      <c r="O244" s="1507">
        <f>M244*N244</f>
        <v>0</v>
      </c>
      <c r="P244" s="744"/>
      <c r="Q244" s="1017">
        <f>'Abs13. NRCP'!Q10</f>
        <v>0</v>
      </c>
      <c r="R244" s="2931">
        <f>'Abs13. NRCP'!R10</f>
        <v>0</v>
      </c>
      <c r="BB244" s="3218"/>
      <c r="BC244" s="3218"/>
      <c r="BD244" s="3218"/>
      <c r="BE244" s="3218"/>
      <c r="BF244" s="3218"/>
      <c r="BG244" s="3218"/>
      <c r="BH244" s="3218"/>
      <c r="BI244" s="3218"/>
      <c r="BJ244" s="3218"/>
      <c r="BK244" s="3218"/>
      <c r="BL244" s="3218"/>
      <c r="BM244" s="3218"/>
      <c r="BN244" s="3218"/>
      <c r="BO244" s="3218"/>
      <c r="BP244" s="3218"/>
      <c r="BQ244" s="3218"/>
      <c r="BR244" s="3218"/>
      <c r="BS244" s="3218"/>
      <c r="BT244" s="3218"/>
      <c r="BU244" s="3218"/>
      <c r="BV244" s="3218"/>
      <c r="BW244" s="3218"/>
      <c r="BX244" s="3218"/>
      <c r="BY244" s="3218"/>
      <c r="BZ244" s="3218"/>
      <c r="CA244" s="3218"/>
      <c r="CB244" s="3218"/>
      <c r="CC244" s="3218"/>
      <c r="CD244" s="3218"/>
      <c r="CE244" s="3218"/>
      <c r="CF244" s="3218"/>
      <c r="CG244" s="3218"/>
      <c r="CH244" s="3218"/>
      <c r="CI244" s="3225">
        <f t="shared" si="16"/>
        <v>0</v>
      </c>
    </row>
    <row r="245" spans="1:87">
      <c r="A245" s="1529" t="s">
        <v>2292</v>
      </c>
      <c r="B245" s="1194"/>
      <c r="C245" s="1529" t="s">
        <v>4763</v>
      </c>
      <c r="D245" s="951"/>
      <c r="E245" s="951"/>
      <c r="F245" s="420"/>
      <c r="G245" s="420"/>
      <c r="H245" s="420"/>
      <c r="I245" s="420"/>
      <c r="J245" s="420"/>
      <c r="K245" s="420"/>
      <c r="L245" s="420"/>
      <c r="M245" s="1529"/>
      <c r="N245" s="420"/>
      <c r="O245" s="1537">
        <f>O246</f>
        <v>0</v>
      </c>
      <c r="P245" s="753"/>
      <c r="Q245" s="1000"/>
      <c r="R245" s="2875">
        <f>R246</f>
        <v>0</v>
      </c>
      <c r="BB245" s="3218"/>
      <c r="BC245" s="3218"/>
      <c r="BD245" s="3218"/>
      <c r="BE245" s="3218"/>
      <c r="BF245" s="3218"/>
      <c r="BG245" s="3218"/>
      <c r="BH245" s="3218"/>
      <c r="BI245" s="3218"/>
      <c r="BJ245" s="3218"/>
      <c r="BK245" s="3218"/>
      <c r="BL245" s="3218"/>
      <c r="BM245" s="3218"/>
      <c r="BN245" s="3218"/>
      <c r="BO245" s="3218"/>
      <c r="BP245" s="3218"/>
      <c r="BQ245" s="3218"/>
      <c r="BR245" s="3218"/>
      <c r="BS245" s="3218"/>
      <c r="BT245" s="3218"/>
      <c r="BU245" s="3218"/>
      <c r="BV245" s="3218"/>
      <c r="BW245" s="3218"/>
      <c r="BX245" s="3218"/>
      <c r="BY245" s="3218"/>
      <c r="BZ245" s="3218"/>
      <c r="CA245" s="3218"/>
      <c r="CB245" s="3218"/>
      <c r="CC245" s="3218"/>
      <c r="CD245" s="3218"/>
      <c r="CE245" s="3218"/>
      <c r="CF245" s="3218"/>
      <c r="CG245" s="3218"/>
      <c r="CH245" s="3218"/>
      <c r="CI245" s="3225">
        <f t="shared" si="16"/>
        <v>0</v>
      </c>
    </row>
    <row r="246" spans="1:87" s="1380" customFormat="1" ht="45">
      <c r="A246" s="586" t="s">
        <v>3995</v>
      </c>
      <c r="B246" s="586"/>
      <c r="C246" s="586" t="s">
        <v>4348</v>
      </c>
      <c r="D246" s="1007" t="s">
        <v>4219</v>
      </c>
      <c r="E246" s="1548" t="s">
        <v>4405</v>
      </c>
      <c r="F246" s="2211">
        <v>0</v>
      </c>
      <c r="G246" s="421"/>
      <c r="H246" s="2211">
        <v>0</v>
      </c>
      <c r="I246" s="421"/>
      <c r="J246" s="421"/>
      <c r="K246" s="421"/>
      <c r="L246" s="277"/>
      <c r="M246" s="281">
        <f>L246/100000</f>
        <v>0</v>
      </c>
      <c r="N246" s="277"/>
      <c r="O246" s="1472">
        <f>M246*N246</f>
        <v>0</v>
      </c>
      <c r="P246" s="761"/>
      <c r="Q246" s="1017">
        <f>'Abs14. PPCL'!Q10</f>
        <v>0</v>
      </c>
      <c r="R246" s="2931">
        <f>'Abs14. PPCL'!R10</f>
        <v>0</v>
      </c>
      <c r="BB246" s="3219"/>
      <c r="BC246" s="3219"/>
      <c r="BD246" s="3219"/>
      <c r="BE246" s="3219"/>
      <c r="BF246" s="3219"/>
      <c r="BG246" s="3219"/>
      <c r="BH246" s="3219"/>
      <c r="BI246" s="3219"/>
      <c r="BJ246" s="3219"/>
      <c r="BK246" s="3219"/>
      <c r="BL246" s="3219"/>
      <c r="BM246" s="3219"/>
      <c r="BN246" s="3219"/>
      <c r="BO246" s="3219"/>
      <c r="BP246" s="3219"/>
      <c r="BQ246" s="3219"/>
      <c r="BR246" s="3219"/>
      <c r="BS246" s="3219"/>
      <c r="BT246" s="3219"/>
      <c r="BU246" s="3219"/>
      <c r="BV246" s="3219"/>
      <c r="BW246" s="3219"/>
      <c r="BX246" s="3219"/>
      <c r="BY246" s="3219"/>
      <c r="BZ246" s="3219"/>
      <c r="CA246" s="3219"/>
      <c r="CB246" s="3219"/>
      <c r="CC246" s="3219"/>
      <c r="CD246" s="3219"/>
      <c r="CE246" s="3219"/>
      <c r="CF246" s="3219"/>
      <c r="CG246" s="3219"/>
      <c r="CH246" s="3219"/>
      <c r="CI246" s="3225">
        <f t="shared" si="16"/>
        <v>0</v>
      </c>
    </row>
    <row r="247" spans="1:87">
      <c r="A247" s="3958" t="s">
        <v>4757</v>
      </c>
      <c r="B247" s="3959"/>
      <c r="C247" s="3960"/>
      <c r="D247" s="1162"/>
      <c r="E247" s="1162"/>
      <c r="F247" s="301"/>
      <c r="G247" s="301"/>
      <c r="H247" s="301"/>
      <c r="I247" s="301"/>
      <c r="J247" s="301"/>
      <c r="K247" s="301"/>
      <c r="L247" s="301"/>
      <c r="M247" s="1514"/>
      <c r="N247" s="633"/>
      <c r="O247" s="1514"/>
      <c r="P247" s="715"/>
      <c r="Q247" s="1167"/>
      <c r="R247" s="2927"/>
      <c r="BB247" s="3218"/>
      <c r="BC247" s="3218"/>
      <c r="BD247" s="3218"/>
      <c r="BE247" s="3218"/>
      <c r="BF247" s="3218"/>
      <c r="BG247" s="3218"/>
      <c r="BH247" s="3218"/>
      <c r="BI247" s="3218"/>
      <c r="BJ247" s="3218"/>
      <c r="BK247" s="3218"/>
      <c r="BL247" s="3218"/>
      <c r="BM247" s="3218"/>
      <c r="BN247" s="3218"/>
      <c r="BO247" s="3218"/>
      <c r="BP247" s="3218"/>
      <c r="BQ247" s="3218"/>
      <c r="BR247" s="3218"/>
      <c r="BS247" s="3218"/>
      <c r="BT247" s="3218"/>
      <c r="BU247" s="3218"/>
      <c r="BV247" s="3218"/>
      <c r="BW247" s="3218"/>
      <c r="BX247" s="3218"/>
      <c r="BY247" s="3218"/>
      <c r="BZ247" s="3218"/>
      <c r="CA247" s="3218"/>
      <c r="CB247" s="3218"/>
      <c r="CC247" s="3218"/>
      <c r="CD247" s="3218"/>
      <c r="CE247" s="3218"/>
      <c r="CF247" s="3218"/>
      <c r="CG247" s="3218"/>
      <c r="CH247" s="3218"/>
      <c r="CI247" s="3225">
        <f t="shared" si="16"/>
        <v>0</v>
      </c>
    </row>
    <row r="248" spans="1:87">
      <c r="A248" s="880" t="s">
        <v>1083</v>
      </c>
      <c r="B248" s="1194"/>
      <c r="C248" s="1061" t="s">
        <v>1084</v>
      </c>
      <c r="D248" s="997"/>
      <c r="E248" s="997"/>
      <c r="F248" s="219"/>
      <c r="G248" s="219"/>
      <c r="H248" s="219"/>
      <c r="I248" s="219"/>
      <c r="J248" s="219"/>
      <c r="K248" s="219"/>
      <c r="L248" s="219"/>
      <c r="M248" s="1515"/>
      <c r="N248" s="404"/>
      <c r="O248" s="1516">
        <f>SUM(O249:O250)</f>
        <v>0</v>
      </c>
      <c r="P248" s="718"/>
      <c r="Q248" s="1157"/>
      <c r="R248" s="2929">
        <f>SUM(R249:R250)</f>
        <v>0</v>
      </c>
      <c r="BB248" s="3218"/>
      <c r="BC248" s="3218"/>
      <c r="BD248" s="3218"/>
      <c r="BE248" s="3218"/>
      <c r="BF248" s="3218"/>
      <c r="BG248" s="3218"/>
      <c r="BH248" s="3218"/>
      <c r="BI248" s="3218"/>
      <c r="BJ248" s="3218"/>
      <c r="BK248" s="3218"/>
      <c r="BL248" s="3218"/>
      <c r="BM248" s="3218"/>
      <c r="BN248" s="3218"/>
      <c r="BO248" s="3218"/>
      <c r="BP248" s="3218"/>
      <c r="BQ248" s="3218"/>
      <c r="BR248" s="3218"/>
      <c r="BS248" s="3218"/>
      <c r="BT248" s="3218"/>
      <c r="BU248" s="3218"/>
      <c r="BV248" s="3218"/>
      <c r="BW248" s="3218"/>
      <c r="BX248" s="3218"/>
      <c r="BY248" s="3218"/>
      <c r="BZ248" s="3218"/>
      <c r="CA248" s="3218"/>
      <c r="CB248" s="3218"/>
      <c r="CC248" s="3218"/>
      <c r="CD248" s="3218"/>
      <c r="CE248" s="3218"/>
      <c r="CF248" s="3218"/>
      <c r="CG248" s="3218"/>
      <c r="CH248" s="3218"/>
      <c r="CI248" s="3225">
        <f t="shared" si="16"/>
        <v>0</v>
      </c>
    </row>
    <row r="249" spans="1:87">
      <c r="A249" s="508" t="s">
        <v>1085</v>
      </c>
      <c r="B249" s="390" t="s">
        <v>1086</v>
      </c>
      <c r="C249" s="390" t="s">
        <v>1087</v>
      </c>
      <c r="D249" s="1549" t="s">
        <v>80</v>
      </c>
      <c r="E249" s="1120" t="s">
        <v>81</v>
      </c>
      <c r="F249" s="2211">
        <v>0</v>
      </c>
      <c r="G249" s="276"/>
      <c r="H249" s="2211">
        <v>0</v>
      </c>
      <c r="I249" s="276"/>
      <c r="J249" s="276"/>
      <c r="K249" s="276"/>
      <c r="L249" s="277"/>
      <c r="M249" s="281">
        <f>L249/100000</f>
        <v>0</v>
      </c>
      <c r="N249" s="277"/>
      <c r="O249" s="1507">
        <f>M249*N249</f>
        <v>0</v>
      </c>
      <c r="P249" s="744"/>
      <c r="Q249" s="1017">
        <f>'Abs15. NPCB'!Q23</f>
        <v>0</v>
      </c>
      <c r="R249" s="2931">
        <f>'Abs15. NPCB'!R23</f>
        <v>0</v>
      </c>
      <c r="BB249" s="3218"/>
      <c r="BC249" s="3218"/>
      <c r="BD249" s="3218"/>
      <c r="BE249" s="3218"/>
      <c r="BF249" s="3218"/>
      <c r="BG249" s="3218"/>
      <c r="BH249" s="3218"/>
      <c r="BI249" s="3218"/>
      <c r="BJ249" s="3218"/>
      <c r="BK249" s="3218"/>
      <c r="BL249" s="3218"/>
      <c r="BM249" s="3218"/>
      <c r="BN249" s="3218"/>
      <c r="BO249" s="3218"/>
      <c r="BP249" s="3218"/>
      <c r="BQ249" s="3218"/>
      <c r="BR249" s="3218"/>
      <c r="BS249" s="3218"/>
      <c r="BT249" s="3218"/>
      <c r="BU249" s="3218"/>
      <c r="BV249" s="3218"/>
      <c r="BW249" s="3218"/>
      <c r="BX249" s="3218"/>
      <c r="BY249" s="3218"/>
      <c r="BZ249" s="3218"/>
      <c r="CA249" s="3218"/>
      <c r="CB249" s="3218"/>
      <c r="CC249" s="3218"/>
      <c r="CD249" s="3218"/>
      <c r="CE249" s="3218"/>
      <c r="CF249" s="3218"/>
      <c r="CG249" s="3218"/>
      <c r="CH249" s="3218"/>
      <c r="CI249" s="3225">
        <f t="shared" si="16"/>
        <v>0</v>
      </c>
    </row>
    <row r="250" spans="1:87">
      <c r="A250" s="508" t="s">
        <v>2289</v>
      </c>
      <c r="B250" s="391"/>
      <c r="C250" s="508" t="s">
        <v>1304</v>
      </c>
      <c r="D250" s="1549" t="s">
        <v>80</v>
      </c>
      <c r="E250" s="1120" t="s">
        <v>81</v>
      </c>
      <c r="F250" s="2211">
        <v>0</v>
      </c>
      <c r="G250" s="276"/>
      <c r="H250" s="2211">
        <v>0</v>
      </c>
      <c r="I250" s="276"/>
      <c r="J250" s="276"/>
      <c r="K250" s="276"/>
      <c r="L250" s="277"/>
      <c r="M250" s="281">
        <f>L250/100000</f>
        <v>0</v>
      </c>
      <c r="N250" s="277"/>
      <c r="O250" s="1507">
        <f>M250*N250</f>
        <v>0</v>
      </c>
      <c r="P250" s="744"/>
      <c r="Q250" s="1017">
        <f>'Abs15. NPCB'!Q24</f>
        <v>0</v>
      </c>
      <c r="R250" s="2931">
        <f>'Abs15. NPCB'!R24</f>
        <v>0</v>
      </c>
      <c r="BB250" s="3218"/>
      <c r="BC250" s="3218"/>
      <c r="BD250" s="3218"/>
      <c r="BE250" s="3218"/>
      <c r="BF250" s="3218"/>
      <c r="BG250" s="3218"/>
      <c r="BH250" s="3218"/>
      <c r="BI250" s="3218"/>
      <c r="BJ250" s="3218"/>
      <c r="BK250" s="3218"/>
      <c r="BL250" s="3218"/>
      <c r="BM250" s="3218"/>
      <c r="BN250" s="3218"/>
      <c r="BO250" s="3218"/>
      <c r="BP250" s="3218"/>
      <c r="BQ250" s="3218"/>
      <c r="BR250" s="3218"/>
      <c r="BS250" s="3218"/>
      <c r="BT250" s="3218"/>
      <c r="BU250" s="3218"/>
      <c r="BV250" s="3218"/>
      <c r="BW250" s="3218"/>
      <c r="BX250" s="3218"/>
      <c r="BY250" s="3218"/>
      <c r="BZ250" s="3218"/>
      <c r="CA250" s="3218"/>
      <c r="CB250" s="3218"/>
      <c r="CC250" s="3218"/>
      <c r="CD250" s="3218"/>
      <c r="CE250" s="3218"/>
      <c r="CF250" s="3218"/>
      <c r="CG250" s="3218"/>
      <c r="CH250" s="3218"/>
      <c r="CI250" s="3225">
        <f t="shared" si="16"/>
        <v>0</v>
      </c>
    </row>
    <row r="251" spans="1:87">
      <c r="A251" s="880" t="s">
        <v>1088</v>
      </c>
      <c r="B251" s="1194"/>
      <c r="C251" s="1061" t="s">
        <v>1089</v>
      </c>
      <c r="D251" s="997"/>
      <c r="E251" s="997"/>
      <c r="F251" s="219"/>
      <c r="G251" s="219"/>
      <c r="H251" s="219"/>
      <c r="I251" s="219"/>
      <c r="J251" s="219"/>
      <c r="K251" s="219"/>
      <c r="L251" s="219"/>
      <c r="M251" s="1515"/>
      <c r="N251" s="404"/>
      <c r="O251" s="1516">
        <f>SUM(O252:O253)</f>
        <v>21.03248</v>
      </c>
      <c r="P251" s="718"/>
      <c r="Q251" s="1157"/>
      <c r="R251" s="1516">
        <v>21.03</v>
      </c>
      <c r="BB251" s="3218"/>
      <c r="BC251" s="3218"/>
      <c r="BD251" s="3218"/>
      <c r="BE251" s="3218"/>
      <c r="BF251" s="3218"/>
      <c r="BG251" s="3218"/>
      <c r="BH251" s="3218"/>
      <c r="BI251" s="3218"/>
      <c r="BJ251" s="3218"/>
      <c r="BK251" s="3218"/>
      <c r="BL251" s="3218"/>
      <c r="BM251" s="3218"/>
      <c r="BN251" s="3218"/>
      <c r="BO251" s="3218"/>
      <c r="BP251" s="3218"/>
      <c r="BQ251" s="3218"/>
      <c r="BR251" s="3218"/>
      <c r="BS251" s="3218"/>
      <c r="BT251" s="3218"/>
      <c r="BU251" s="3218"/>
      <c r="BV251" s="3218"/>
      <c r="BW251" s="3218"/>
      <c r="BX251" s="3218"/>
      <c r="BY251" s="3218"/>
      <c r="BZ251" s="3218"/>
      <c r="CA251" s="3218"/>
      <c r="CB251" s="3218"/>
      <c r="CC251" s="3218"/>
      <c r="CD251" s="3218"/>
      <c r="CE251" s="3218"/>
      <c r="CF251" s="3218"/>
      <c r="CG251" s="3218"/>
      <c r="CH251" s="3218"/>
      <c r="CI251" s="3225">
        <f t="shared" si="16"/>
        <v>0</v>
      </c>
    </row>
    <row r="252" spans="1:87" s="1380" customFormat="1" ht="60">
      <c r="A252" s="586" t="s">
        <v>1090</v>
      </c>
      <c r="B252" s="473" t="s">
        <v>1091</v>
      </c>
      <c r="C252" s="391" t="s">
        <v>1092</v>
      </c>
      <c r="D252" s="2264" t="s">
        <v>80</v>
      </c>
      <c r="E252" s="1075" t="s">
        <v>145</v>
      </c>
      <c r="F252" s="285">
        <v>8</v>
      </c>
      <c r="G252" s="286">
        <v>3</v>
      </c>
      <c r="H252" s="413">
        <v>24.92</v>
      </c>
      <c r="I252" s="413"/>
      <c r="J252" s="653">
        <v>10</v>
      </c>
      <c r="K252" s="285"/>
      <c r="L252" s="2448">
        <v>262906</v>
      </c>
      <c r="M252" s="2261">
        <f>L252/100000</f>
        <v>2.62906</v>
      </c>
      <c r="N252" s="283">
        <v>8</v>
      </c>
      <c r="O252" s="1472">
        <f>M252*N252</f>
        <v>21.03248</v>
      </c>
      <c r="P252" s="719" t="s">
        <v>5244</v>
      </c>
      <c r="Q252" s="2263" t="str">
        <f>'Abs16. NMHP'!Q19</f>
        <v> Recommended</v>
      </c>
      <c r="R252" s="3046">
        <f>'Abs16. NMHP'!R19</f>
        <v>21.03</v>
      </c>
      <c r="BB252" s="3219">
        <v>21.03</v>
      </c>
      <c r="BC252" s="3219"/>
      <c r="BD252" s="3219"/>
      <c r="BE252" s="3219"/>
      <c r="BF252" s="3219"/>
      <c r="BG252" s="3219"/>
      <c r="BH252" s="3219"/>
      <c r="BI252" s="3219"/>
      <c r="BJ252" s="3219"/>
      <c r="BK252" s="3219"/>
      <c r="BL252" s="3219"/>
      <c r="BM252" s="3219"/>
      <c r="BN252" s="3219"/>
      <c r="BO252" s="3219"/>
      <c r="BP252" s="3219"/>
      <c r="BQ252" s="3219"/>
      <c r="BR252" s="3219"/>
      <c r="BS252" s="3219"/>
      <c r="BT252" s="3219"/>
      <c r="BU252" s="3219"/>
      <c r="BV252" s="3219"/>
      <c r="BW252" s="3219"/>
      <c r="BX252" s="3219"/>
      <c r="BY252" s="3219"/>
      <c r="BZ252" s="3219"/>
      <c r="CA252" s="3219"/>
      <c r="CB252" s="3219"/>
      <c r="CC252" s="3219"/>
      <c r="CD252" s="3219"/>
      <c r="CE252" s="3219"/>
      <c r="CF252" s="3219"/>
      <c r="CG252" s="3219"/>
      <c r="CH252" s="3219"/>
      <c r="CI252" s="3225">
        <f t="shared" si="16"/>
        <v>21.03</v>
      </c>
    </row>
    <row r="253" spans="1:87">
      <c r="A253" s="508" t="s">
        <v>2511</v>
      </c>
      <c r="B253" s="473"/>
      <c r="C253" s="508" t="s">
        <v>1304</v>
      </c>
      <c r="D253" s="1549" t="s">
        <v>80</v>
      </c>
      <c r="E253" s="1120" t="s">
        <v>145</v>
      </c>
      <c r="F253" s="2211">
        <v>0</v>
      </c>
      <c r="G253" s="276"/>
      <c r="H253" s="2211">
        <v>0</v>
      </c>
      <c r="I253" s="276"/>
      <c r="J253" s="276"/>
      <c r="K253" s="276"/>
      <c r="L253" s="277"/>
      <c r="M253" s="281">
        <f>L253/100000</f>
        <v>0</v>
      </c>
      <c r="N253" s="277"/>
      <c r="O253" s="1507">
        <f>M253*N253</f>
        <v>0</v>
      </c>
      <c r="P253" s="744"/>
      <c r="Q253" s="1017">
        <f>'Abs16. NMHP'!Q20</f>
        <v>0</v>
      </c>
      <c r="R253" s="2931">
        <f>'Abs16. NMHP'!R20</f>
        <v>0</v>
      </c>
      <c r="BB253" s="3218"/>
      <c r="BC253" s="3218"/>
      <c r="BD253" s="3218"/>
      <c r="BE253" s="3218"/>
      <c r="BF253" s="3218"/>
      <c r="BG253" s="3218"/>
      <c r="BH253" s="3218"/>
      <c r="BI253" s="3218"/>
      <c r="BJ253" s="3218"/>
      <c r="BK253" s="3218"/>
      <c r="BL253" s="3218"/>
      <c r="BM253" s="3218"/>
      <c r="BN253" s="3218"/>
      <c r="BO253" s="3218"/>
      <c r="BP253" s="3218"/>
      <c r="BQ253" s="3218"/>
      <c r="BR253" s="3218"/>
      <c r="BS253" s="3218"/>
      <c r="BT253" s="3218"/>
      <c r="BU253" s="3218"/>
      <c r="BV253" s="3218"/>
      <c r="BW253" s="3218"/>
      <c r="BX253" s="3218"/>
      <c r="BY253" s="3218"/>
      <c r="BZ253" s="3218"/>
      <c r="CA253" s="3218"/>
      <c r="CB253" s="3218"/>
      <c r="CC253" s="3218"/>
      <c r="CD253" s="3218"/>
      <c r="CE253" s="3218"/>
      <c r="CF253" s="3218"/>
      <c r="CG253" s="3218"/>
      <c r="CH253" s="3218"/>
      <c r="CI253" s="3225">
        <f t="shared" si="16"/>
        <v>0</v>
      </c>
    </row>
    <row r="254" spans="1:87">
      <c r="A254" s="880" t="s">
        <v>1093</v>
      </c>
      <c r="B254" s="1194"/>
      <c r="C254" s="1061" t="s">
        <v>1094</v>
      </c>
      <c r="D254" s="997"/>
      <c r="E254" s="997"/>
      <c r="F254" s="219"/>
      <c r="G254" s="219"/>
      <c r="H254" s="219"/>
      <c r="I254" s="219"/>
      <c r="J254" s="219"/>
      <c r="K254" s="219"/>
      <c r="L254" s="219"/>
      <c r="M254" s="1515"/>
      <c r="N254" s="404"/>
      <c r="O254" s="1516">
        <f>SUM(O255:O258)</f>
        <v>7</v>
      </c>
      <c r="P254" s="718"/>
      <c r="Q254" s="1157"/>
      <c r="R254" s="2929">
        <f>SUM(R255:R258)</f>
        <v>7</v>
      </c>
      <c r="BB254" s="3218"/>
      <c r="BC254" s="3218"/>
      <c r="BD254" s="3218"/>
      <c r="BE254" s="3218"/>
      <c r="BF254" s="3218"/>
      <c r="BG254" s="3218"/>
      <c r="BH254" s="3218"/>
      <c r="BI254" s="3218"/>
      <c r="BJ254" s="3218"/>
      <c r="BK254" s="3218"/>
      <c r="BL254" s="3218"/>
      <c r="BM254" s="3218"/>
      <c r="BN254" s="3218"/>
      <c r="BO254" s="3218"/>
      <c r="BP254" s="3218"/>
      <c r="BQ254" s="3218"/>
      <c r="BR254" s="3218"/>
      <c r="BS254" s="3218"/>
      <c r="BT254" s="3218"/>
      <c r="BU254" s="3218"/>
      <c r="BV254" s="3218"/>
      <c r="BW254" s="3218"/>
      <c r="BX254" s="3218"/>
      <c r="BY254" s="3218"/>
      <c r="BZ254" s="3218"/>
      <c r="CA254" s="3218"/>
      <c r="CB254" s="3218"/>
      <c r="CC254" s="3218"/>
      <c r="CD254" s="3218"/>
      <c r="CE254" s="3218"/>
      <c r="CF254" s="3218"/>
      <c r="CG254" s="3218"/>
      <c r="CH254" s="3218"/>
      <c r="CI254" s="3225">
        <f t="shared" si="16"/>
        <v>0</v>
      </c>
    </row>
    <row r="255" spans="1:87" ht="32.25" customHeight="1">
      <c r="A255" s="508" t="s">
        <v>1095</v>
      </c>
      <c r="B255" s="1407" t="s">
        <v>1096</v>
      </c>
      <c r="C255" s="390" t="s">
        <v>4277</v>
      </c>
      <c r="D255" s="1549" t="s">
        <v>80</v>
      </c>
      <c r="E255" s="1120" t="s">
        <v>394</v>
      </c>
      <c r="F255" s="252">
        <v>1</v>
      </c>
      <c r="G255" s="253"/>
      <c r="H255" s="401">
        <v>1.5</v>
      </c>
      <c r="I255" s="401"/>
      <c r="J255" s="323">
        <v>1.5</v>
      </c>
      <c r="K255" s="252"/>
      <c r="L255" s="277"/>
      <c r="M255" s="281">
        <f>L255/100000</f>
        <v>0</v>
      </c>
      <c r="N255" s="277"/>
      <c r="O255" s="1507">
        <f>M255*N255</f>
        <v>0</v>
      </c>
      <c r="P255" s="729"/>
      <c r="Q255" s="1017">
        <f>'Abs17. NPHCE'!Q21</f>
        <v>0</v>
      </c>
      <c r="R255" s="2931">
        <f>'Abs17. NPHCE'!R21</f>
        <v>0</v>
      </c>
      <c r="BB255" s="3218"/>
      <c r="BC255" s="3218"/>
      <c r="BD255" s="3218"/>
      <c r="BE255" s="3218"/>
      <c r="BF255" s="3218"/>
      <c r="BG255" s="3218"/>
      <c r="BH255" s="3218"/>
      <c r="BI255" s="3218"/>
      <c r="BJ255" s="3218"/>
      <c r="BK255" s="3218"/>
      <c r="BL255" s="3218"/>
      <c r="BM255" s="3218"/>
      <c r="BN255" s="3218"/>
      <c r="BO255" s="3218"/>
      <c r="BP255" s="3218"/>
      <c r="BQ255" s="3218"/>
      <c r="BR255" s="3218"/>
      <c r="BS255" s="3218"/>
      <c r="BT255" s="3218"/>
      <c r="BU255" s="3218"/>
      <c r="BV255" s="3218"/>
      <c r="BW255" s="3218"/>
      <c r="BX255" s="3218"/>
      <c r="BY255" s="3218"/>
      <c r="BZ255" s="3218"/>
      <c r="CA255" s="3218"/>
      <c r="CB255" s="3218"/>
      <c r="CC255" s="3218"/>
      <c r="CD255" s="3218"/>
      <c r="CE255" s="3218"/>
      <c r="CF255" s="3218"/>
      <c r="CG255" s="3218"/>
      <c r="CH255" s="3218"/>
      <c r="CI255" s="3225">
        <f t="shared" si="16"/>
        <v>0</v>
      </c>
    </row>
    <row r="256" spans="1:87" s="1114" customFormat="1" ht="51.75" customHeight="1">
      <c r="A256" s="1004" t="s">
        <v>2512</v>
      </c>
      <c r="B256" s="1079" t="s">
        <v>1097</v>
      </c>
      <c r="C256" s="233" t="s">
        <v>4278</v>
      </c>
      <c r="D256" s="2264" t="s">
        <v>80</v>
      </c>
      <c r="E256" s="1074" t="s">
        <v>394</v>
      </c>
      <c r="F256" s="324">
        <v>0</v>
      </c>
      <c r="G256" s="324"/>
      <c r="H256" s="324">
        <v>0</v>
      </c>
      <c r="I256" s="324"/>
      <c r="J256" s="324"/>
      <c r="K256" s="324">
        <v>1</v>
      </c>
      <c r="L256" s="243">
        <v>1000</v>
      </c>
      <c r="M256" s="3525">
        <f>L256/100000</f>
        <v>0.01</v>
      </c>
      <c r="N256" s="243">
        <v>200</v>
      </c>
      <c r="O256" s="3526">
        <f>M256*N256</f>
        <v>2</v>
      </c>
      <c r="P256" s="719" t="s">
        <v>5990</v>
      </c>
      <c r="Q256" s="2257" t="str">
        <f>'Abs17. NPHCE'!Q22</f>
        <v xml:space="preserve"> Recommended for 3 days Modular trainings on Comprehensive Geriatric Assessment &amp; Care of All Medical Officers &amp; Staff Nurses at DH &amp; CHCs (30 participants per batch). As per information by SPO, training is being conducted under NCDs Training for NPCDCS. 3 days Modular trainings for CGA&amp;C using MO &amp; SN training Module needs to be conducted along with hands-on/skill based training session at DH/CHC for Geriatric Patient Care. In RoP 20-21 Rs. 1.50 lakhs were sanctioned for trainings, state may utilize this fund for printing of Training Modules before March 21.</v>
      </c>
      <c r="R256" s="3014">
        <f>'Abs17. NPHCE'!R22</f>
        <v>2</v>
      </c>
      <c r="BB256" s="833">
        <v>2</v>
      </c>
      <c r="BC256" s="833"/>
      <c r="BD256" s="833"/>
      <c r="BE256" s="833"/>
      <c r="BF256" s="833"/>
      <c r="BG256" s="833"/>
      <c r="BH256" s="833"/>
      <c r="BI256" s="833"/>
      <c r="BJ256" s="833"/>
      <c r="BK256" s="833"/>
      <c r="BL256" s="833"/>
      <c r="BM256" s="833"/>
      <c r="BN256" s="1113"/>
      <c r="BO256" s="833"/>
      <c r="BP256" s="833"/>
      <c r="BQ256" s="833"/>
      <c r="BR256" s="833"/>
      <c r="BS256" s="833"/>
      <c r="BT256" s="833"/>
      <c r="BU256" s="833"/>
      <c r="BV256" s="833"/>
      <c r="BW256" s="833"/>
      <c r="BX256" s="833"/>
      <c r="BY256" s="833"/>
      <c r="BZ256" s="833"/>
      <c r="CA256" s="833"/>
      <c r="CB256" s="833"/>
      <c r="CC256" s="833"/>
      <c r="CD256" s="833"/>
      <c r="CE256" s="833"/>
      <c r="CF256" s="833"/>
      <c r="CG256" s="833"/>
      <c r="CH256" s="833"/>
      <c r="CI256" s="834">
        <f>SUM(BB256:CH256)</f>
        <v>2</v>
      </c>
    </row>
    <row r="257" spans="1:87" s="1114" customFormat="1" ht="41.25" customHeight="1">
      <c r="A257" s="1004" t="s">
        <v>2513</v>
      </c>
      <c r="B257" s="1079" t="s">
        <v>1098</v>
      </c>
      <c r="C257" s="233" t="s">
        <v>4279</v>
      </c>
      <c r="D257" s="2264" t="s">
        <v>80</v>
      </c>
      <c r="E257" s="1074" t="s">
        <v>394</v>
      </c>
      <c r="F257" s="324">
        <v>0</v>
      </c>
      <c r="G257" s="324"/>
      <c r="H257" s="324">
        <v>0</v>
      </c>
      <c r="I257" s="324"/>
      <c r="J257" s="324"/>
      <c r="K257" s="324">
        <v>1</v>
      </c>
      <c r="L257" s="243">
        <v>1000</v>
      </c>
      <c r="M257" s="3525">
        <f>L257/100000</f>
        <v>0.01</v>
      </c>
      <c r="N257" s="243">
        <v>500</v>
      </c>
      <c r="O257" s="3526">
        <f>M257*N257</f>
        <v>5</v>
      </c>
      <c r="P257" s="719" t="s">
        <v>5465</v>
      </c>
      <c r="Q257" s="2257" t="str">
        <f>'Abs17. NPHCE'!Q23</f>
        <v>Recommended for 3 days Modular trainings on Comprehensive Geriatric Assessment &amp; Care of All Medical Officers &amp; Staff Nurses at PHCs (30 participants per batch).</v>
      </c>
      <c r="R257" s="3014">
        <f>'Abs17. NPHCE'!R23</f>
        <v>5</v>
      </c>
      <c r="BB257" s="833">
        <v>5</v>
      </c>
      <c r="BC257" s="833"/>
      <c r="BD257" s="833"/>
      <c r="BE257" s="833"/>
      <c r="BF257" s="833"/>
      <c r="BG257" s="833"/>
      <c r="BH257" s="833"/>
      <c r="BI257" s="833"/>
      <c r="BJ257" s="833"/>
      <c r="BK257" s="833"/>
      <c r="BL257" s="833"/>
      <c r="BM257" s="833"/>
      <c r="BN257" s="833"/>
      <c r="BO257" s="833"/>
      <c r="BP257" s="833"/>
      <c r="BQ257" s="833"/>
      <c r="BR257" s="833"/>
      <c r="BS257" s="833"/>
      <c r="BT257" s="833"/>
      <c r="BU257" s="833"/>
      <c r="BV257" s="833"/>
      <c r="BW257" s="833"/>
      <c r="BX257" s="833"/>
      <c r="BY257" s="833"/>
      <c r="BZ257" s="833"/>
      <c r="CA257" s="833"/>
      <c r="CB257" s="833"/>
      <c r="CC257" s="833"/>
      <c r="CD257" s="833"/>
      <c r="CE257" s="833"/>
      <c r="CF257" s="833"/>
      <c r="CG257" s="833"/>
      <c r="CH257" s="833"/>
      <c r="CI257" s="834">
        <f t="shared" si="16"/>
        <v>5</v>
      </c>
    </row>
    <row r="258" spans="1:87">
      <c r="A258" s="508" t="s">
        <v>2514</v>
      </c>
      <c r="B258" s="473"/>
      <c r="C258" s="508" t="s">
        <v>1304</v>
      </c>
      <c r="D258" s="1549" t="s">
        <v>80</v>
      </c>
      <c r="E258" s="1120" t="s">
        <v>394</v>
      </c>
      <c r="F258" s="2211">
        <v>0</v>
      </c>
      <c r="G258" s="276"/>
      <c r="H258" s="2211">
        <v>0</v>
      </c>
      <c r="I258" s="276"/>
      <c r="J258" s="276"/>
      <c r="K258" s="276"/>
      <c r="L258" s="277"/>
      <c r="M258" s="281">
        <f>L258/100000</f>
        <v>0</v>
      </c>
      <c r="N258" s="277"/>
      <c r="O258" s="1507">
        <f>M258*N258</f>
        <v>0</v>
      </c>
      <c r="P258" s="744"/>
      <c r="Q258" s="1017">
        <f>'Abs17. NPHCE'!Q24</f>
        <v>0</v>
      </c>
      <c r="R258" s="2931">
        <f>'Abs17. NPHCE'!R24</f>
        <v>0</v>
      </c>
      <c r="BB258" s="3218"/>
      <c r="BC258" s="3218"/>
      <c r="BD258" s="3218"/>
      <c r="BE258" s="3218"/>
      <c r="BF258" s="3218"/>
      <c r="BG258" s="3218"/>
      <c r="BH258" s="3218"/>
      <c r="BI258" s="3218"/>
      <c r="BJ258" s="3218"/>
      <c r="BK258" s="3218"/>
      <c r="BL258" s="3218"/>
      <c r="BM258" s="3218"/>
      <c r="BN258" s="3218"/>
      <c r="BO258" s="3218"/>
      <c r="BP258" s="3218"/>
      <c r="BQ258" s="3218"/>
      <c r="BR258" s="3218"/>
      <c r="BS258" s="3218"/>
      <c r="BT258" s="3218"/>
      <c r="BU258" s="3218"/>
      <c r="BV258" s="3218"/>
      <c r="BW258" s="3218"/>
      <c r="BX258" s="3218"/>
      <c r="BY258" s="3218"/>
      <c r="BZ258" s="3218"/>
      <c r="CA258" s="3218"/>
      <c r="CB258" s="3218"/>
      <c r="CC258" s="3218"/>
      <c r="CD258" s="3218"/>
      <c r="CE258" s="3218"/>
      <c r="CF258" s="3218"/>
      <c r="CG258" s="3218"/>
      <c r="CH258" s="3218"/>
      <c r="CI258" s="3225">
        <f t="shared" si="16"/>
        <v>0</v>
      </c>
    </row>
    <row r="259" spans="1:87">
      <c r="A259" s="880" t="s">
        <v>1099</v>
      </c>
      <c r="B259" s="1194"/>
      <c r="C259" s="1061" t="s">
        <v>1100</v>
      </c>
      <c r="D259" s="997"/>
      <c r="E259" s="997"/>
      <c r="F259" s="219"/>
      <c r="G259" s="219"/>
      <c r="H259" s="219"/>
      <c r="I259" s="219"/>
      <c r="J259" s="219"/>
      <c r="K259" s="219"/>
      <c r="L259" s="219"/>
      <c r="M259" s="1515"/>
      <c r="N259" s="404"/>
      <c r="O259" s="1516">
        <f>SUM(O260:O261)</f>
        <v>15</v>
      </c>
      <c r="P259" s="718"/>
      <c r="Q259" s="1157"/>
      <c r="R259" s="2875">
        <f>SUM(R260:R261)</f>
        <v>15</v>
      </c>
      <c r="BB259" s="3218"/>
      <c r="BC259" s="3218"/>
      <c r="BD259" s="3218"/>
      <c r="BE259" s="3218"/>
      <c r="BF259" s="3218"/>
      <c r="BG259" s="3218"/>
      <c r="BH259" s="3218"/>
      <c r="BI259" s="3218"/>
      <c r="BJ259" s="3218"/>
      <c r="BK259" s="3218"/>
      <c r="BL259" s="3218"/>
      <c r="BM259" s="3218"/>
      <c r="BN259" s="3218"/>
      <c r="BO259" s="3218"/>
      <c r="BP259" s="3218"/>
      <c r="BQ259" s="3218"/>
      <c r="BR259" s="3218"/>
      <c r="BS259" s="3218"/>
      <c r="BT259" s="3218"/>
      <c r="BU259" s="3218"/>
      <c r="BV259" s="3218"/>
      <c r="BW259" s="3218"/>
      <c r="BX259" s="3218"/>
      <c r="BY259" s="3218"/>
      <c r="BZ259" s="3218"/>
      <c r="CA259" s="3218"/>
      <c r="CB259" s="3218"/>
      <c r="CC259" s="3218"/>
      <c r="CD259" s="3218"/>
      <c r="CE259" s="3218"/>
      <c r="CF259" s="3218"/>
      <c r="CG259" s="3218"/>
      <c r="CH259" s="3218"/>
      <c r="CI259" s="3225">
        <f t="shared" si="16"/>
        <v>0</v>
      </c>
    </row>
    <row r="260" spans="1:87" s="1380" customFormat="1" ht="75.75" customHeight="1">
      <c r="A260" s="1080" t="s">
        <v>1101</v>
      </c>
      <c r="B260" s="1080" t="s">
        <v>1102</v>
      </c>
      <c r="C260" s="1080" t="s">
        <v>4971</v>
      </c>
      <c r="D260" s="2576" t="s">
        <v>80</v>
      </c>
      <c r="E260" s="1170" t="s">
        <v>147</v>
      </c>
      <c r="F260" s="290">
        <v>0</v>
      </c>
      <c r="G260" s="290"/>
      <c r="H260" s="290">
        <v>10</v>
      </c>
      <c r="I260" s="290"/>
      <c r="J260" s="290">
        <v>5</v>
      </c>
      <c r="K260" s="290">
        <v>1</v>
      </c>
      <c r="L260" s="2510">
        <v>10000</v>
      </c>
      <c r="M260" s="2261">
        <f>L260/100000</f>
        <v>0.1</v>
      </c>
      <c r="N260" s="283">
        <v>100</v>
      </c>
      <c r="O260" s="1472">
        <f>M260*N260</f>
        <v>10</v>
      </c>
      <c r="P260" s="762" t="s">
        <v>5394</v>
      </c>
      <c r="Q260" s="2257" t="str">
        <f>'Abs18. NTCP'!Q18</f>
        <v>As per the PIP Guidelines for NTCP, there is a provision of Rs. 5.00 lakh/district for implementation of training/sensitization programmes. Budget proposed by the State is Recommended for approval.</v>
      </c>
      <c r="R260" s="2935">
        <f>'Abs18. NTCP'!R18</f>
        <v>10</v>
      </c>
      <c r="BB260" s="3219">
        <v>10</v>
      </c>
      <c r="BC260" s="3219"/>
      <c r="BD260" s="3219"/>
      <c r="BE260" s="3219"/>
      <c r="BF260" s="3219"/>
      <c r="BG260" s="3219"/>
      <c r="BH260" s="3219"/>
      <c r="BI260" s="3219"/>
      <c r="BJ260" s="3219"/>
      <c r="BK260" s="3219"/>
      <c r="BL260" s="3219"/>
      <c r="BM260" s="3219"/>
      <c r="BN260" s="3219"/>
      <c r="BO260" s="3219"/>
      <c r="BP260" s="3219"/>
      <c r="BQ260" s="3219"/>
      <c r="BR260" s="3219"/>
      <c r="BS260" s="3219"/>
      <c r="BT260" s="3219"/>
      <c r="BU260" s="3219"/>
      <c r="BV260" s="3219"/>
      <c r="BW260" s="3219"/>
      <c r="BX260" s="3219"/>
      <c r="BY260" s="3219"/>
      <c r="BZ260" s="3219"/>
      <c r="CA260" s="3219"/>
      <c r="CB260" s="3219"/>
      <c r="CC260" s="3219"/>
      <c r="CD260" s="3219"/>
      <c r="CE260" s="3219"/>
      <c r="CF260" s="3219"/>
      <c r="CG260" s="3219"/>
      <c r="CH260" s="3219"/>
      <c r="CI260" s="3225">
        <f t="shared" si="16"/>
        <v>10</v>
      </c>
    </row>
    <row r="261" spans="1:87" s="1380" customFormat="1" ht="55.5" customHeight="1">
      <c r="A261" s="1080" t="s">
        <v>1103</v>
      </c>
      <c r="B261" s="1080" t="s">
        <v>1104</v>
      </c>
      <c r="C261" s="1080" t="s">
        <v>4972</v>
      </c>
      <c r="D261" s="1550" t="s">
        <v>80</v>
      </c>
      <c r="E261" s="1170" t="s">
        <v>147</v>
      </c>
      <c r="F261" s="290">
        <v>0</v>
      </c>
      <c r="G261" s="290"/>
      <c r="H261" s="290">
        <v>0</v>
      </c>
      <c r="I261" s="290"/>
      <c r="J261" s="290"/>
      <c r="K261" s="290"/>
      <c r="L261" s="277">
        <v>1000</v>
      </c>
      <c r="M261" s="281">
        <f>L261/100000</f>
        <v>0.01</v>
      </c>
      <c r="N261" s="277">
        <v>500</v>
      </c>
      <c r="O261" s="1507">
        <f>M261*N261</f>
        <v>5</v>
      </c>
      <c r="P261" s="762" t="s">
        <v>5423</v>
      </c>
      <c r="Q261" s="1003" t="str">
        <f>'Abs18. NTCP'!Q19</f>
        <v>Recommended for Approval</v>
      </c>
      <c r="R261" s="2936">
        <f>'Abs18. NTCP'!R19</f>
        <v>5</v>
      </c>
      <c r="BB261" s="3219">
        <v>0.5</v>
      </c>
      <c r="BC261" s="3219">
        <v>0.4</v>
      </c>
      <c r="BD261" s="3219">
        <v>0.4</v>
      </c>
      <c r="BE261" s="3219">
        <v>0.4</v>
      </c>
      <c r="BF261" s="3219">
        <v>0.5</v>
      </c>
      <c r="BG261" s="3219">
        <v>0.1</v>
      </c>
      <c r="BH261" s="3219">
        <v>0.4</v>
      </c>
      <c r="BI261" s="3219">
        <v>0.1</v>
      </c>
      <c r="BJ261" s="3219">
        <v>0.5</v>
      </c>
      <c r="BK261" s="3219">
        <v>0.5</v>
      </c>
      <c r="BL261" s="3219">
        <v>0.4</v>
      </c>
      <c r="BM261" s="3219">
        <v>0.4</v>
      </c>
      <c r="BN261" s="3219">
        <v>0.4</v>
      </c>
      <c r="BO261" s="3219"/>
      <c r="BP261" s="3219"/>
      <c r="BQ261" s="3219"/>
      <c r="BR261" s="3219"/>
      <c r="BS261" s="3219"/>
      <c r="BT261" s="3219"/>
      <c r="BU261" s="3219"/>
      <c r="BV261" s="3219"/>
      <c r="BW261" s="3219"/>
      <c r="BX261" s="3219"/>
      <c r="BY261" s="3219"/>
      <c r="BZ261" s="3219"/>
      <c r="CA261" s="3219"/>
      <c r="CB261" s="3219"/>
      <c r="CC261" s="3219"/>
      <c r="CD261" s="3219"/>
      <c r="CE261" s="3219"/>
      <c r="CF261" s="3219"/>
      <c r="CG261" s="3219"/>
      <c r="CH261" s="3219"/>
      <c r="CI261" s="3225">
        <f t="shared" si="16"/>
        <v>5.0000000000000009</v>
      </c>
    </row>
    <row r="262" spans="1:87">
      <c r="A262" s="880" t="s">
        <v>1105</v>
      </c>
      <c r="B262" s="1194" t="s">
        <v>1106</v>
      </c>
      <c r="C262" s="1061" t="s">
        <v>1107</v>
      </c>
      <c r="D262" s="997"/>
      <c r="E262" s="997"/>
      <c r="F262" s="219"/>
      <c r="G262" s="219"/>
      <c r="H262" s="219"/>
      <c r="I262" s="219"/>
      <c r="J262" s="219"/>
      <c r="K262" s="219"/>
      <c r="L262" s="219"/>
      <c r="M262" s="1515"/>
      <c r="N262" s="404"/>
      <c r="O262" s="1516">
        <f>SUM(O263:O266)</f>
        <v>10</v>
      </c>
      <c r="P262" s="718"/>
      <c r="Q262" s="1157"/>
      <c r="R262" s="2929">
        <f>SUM(R263:R266)</f>
        <v>10</v>
      </c>
      <c r="BB262" s="3218"/>
      <c r="BC262" s="3218"/>
      <c r="BD262" s="3218"/>
      <c r="BE262" s="3218"/>
      <c r="BF262" s="3218"/>
      <c r="BG262" s="3218"/>
      <c r="BH262" s="3218"/>
      <c r="BI262" s="3218"/>
      <c r="BJ262" s="3218"/>
      <c r="BK262" s="3218"/>
      <c r="BL262" s="3218"/>
      <c r="BM262" s="3218"/>
      <c r="BN262" s="3218"/>
      <c r="BO262" s="3218"/>
      <c r="BP262" s="3218"/>
      <c r="BQ262" s="3218"/>
      <c r="BR262" s="3218"/>
      <c r="BS262" s="3218"/>
      <c r="BT262" s="3218"/>
      <c r="BU262" s="3218"/>
      <c r="BV262" s="3218"/>
      <c r="BW262" s="3218"/>
      <c r="BX262" s="3218"/>
      <c r="BY262" s="3218"/>
      <c r="BZ262" s="3218"/>
      <c r="CA262" s="3218"/>
      <c r="CB262" s="3218"/>
      <c r="CC262" s="3218"/>
      <c r="CD262" s="3218"/>
      <c r="CE262" s="3218"/>
      <c r="CF262" s="3218"/>
      <c r="CG262" s="3218"/>
      <c r="CH262" s="3218"/>
      <c r="CI262" s="3225">
        <f t="shared" ref="CI262:CI283" si="25">SUM(BB262:CH262)</f>
        <v>0</v>
      </c>
    </row>
    <row r="263" spans="1:87" s="1380" customFormat="1" ht="180">
      <c r="A263" s="473" t="s">
        <v>1108</v>
      </c>
      <c r="B263" s="473" t="s">
        <v>1109</v>
      </c>
      <c r="C263" s="391" t="s">
        <v>1110</v>
      </c>
      <c r="D263" s="2264" t="s">
        <v>80</v>
      </c>
      <c r="E263" s="1075" t="s">
        <v>410</v>
      </c>
      <c r="F263" s="2216">
        <v>1</v>
      </c>
      <c r="G263" s="421"/>
      <c r="H263" s="2216">
        <v>10</v>
      </c>
      <c r="I263" s="421"/>
      <c r="J263" s="421">
        <v>5</v>
      </c>
      <c r="K263" s="2652">
        <v>1</v>
      </c>
      <c r="L263" s="2510">
        <v>10000</v>
      </c>
      <c r="M263" s="2261">
        <f>L263/100000</f>
        <v>0.1</v>
      </c>
      <c r="N263" s="283">
        <v>100</v>
      </c>
      <c r="O263" s="1472">
        <f>M263*N263</f>
        <v>10</v>
      </c>
      <c r="P263" s="3304" t="s">
        <v>5478</v>
      </c>
      <c r="Q263" s="2263" t="str">
        <f>'Abs19. NPCDCS'!Q36</f>
        <v>Recommended for approval</v>
      </c>
      <c r="R263" s="2930">
        <f>'Abs19. NPCDCS'!R36</f>
        <v>10</v>
      </c>
      <c r="BB263" s="3219">
        <v>1</v>
      </c>
      <c r="BC263" s="3219">
        <v>0.75</v>
      </c>
      <c r="BD263" s="3219">
        <v>0.75</v>
      </c>
      <c r="BE263" s="3219">
        <v>0.75</v>
      </c>
      <c r="BF263" s="3219">
        <v>1</v>
      </c>
      <c r="BG263" s="3219">
        <v>0.5</v>
      </c>
      <c r="BH263" s="3219">
        <v>0.75</v>
      </c>
      <c r="BI263" s="3219">
        <v>0.25</v>
      </c>
      <c r="BJ263" s="3219">
        <v>1</v>
      </c>
      <c r="BK263" s="3219">
        <v>1</v>
      </c>
      <c r="BL263" s="3219">
        <v>0.75</v>
      </c>
      <c r="BM263" s="3219">
        <v>0.75</v>
      </c>
      <c r="BN263" s="3219">
        <v>0.75</v>
      </c>
      <c r="BO263" s="3219"/>
      <c r="BP263" s="3219"/>
      <c r="BQ263" s="3219"/>
      <c r="BR263" s="3219"/>
      <c r="BS263" s="3219"/>
      <c r="BT263" s="3219"/>
      <c r="BU263" s="3219"/>
      <c r="BV263" s="3219"/>
      <c r="BW263" s="3219"/>
      <c r="BX263" s="3219"/>
      <c r="BY263" s="3219"/>
      <c r="BZ263" s="3219"/>
      <c r="CA263" s="3219"/>
      <c r="CB263" s="3219"/>
      <c r="CC263" s="3219"/>
      <c r="CD263" s="3219"/>
      <c r="CE263" s="3219"/>
      <c r="CF263" s="3219"/>
      <c r="CG263" s="3219"/>
      <c r="CH263" s="3219"/>
      <c r="CI263" s="3225">
        <f t="shared" si="25"/>
        <v>10</v>
      </c>
    </row>
    <row r="264" spans="1:87">
      <c r="A264" s="1407" t="s">
        <v>1111</v>
      </c>
      <c r="B264" s="1407" t="s">
        <v>1112</v>
      </c>
      <c r="C264" s="390" t="s">
        <v>1113</v>
      </c>
      <c r="D264" s="1549" t="s">
        <v>80</v>
      </c>
      <c r="E264" s="1120" t="s">
        <v>410</v>
      </c>
      <c r="F264" s="2211">
        <v>0</v>
      </c>
      <c r="G264" s="276"/>
      <c r="H264" s="2211">
        <v>0</v>
      </c>
      <c r="I264" s="276"/>
      <c r="J264" s="276"/>
      <c r="K264" s="276"/>
      <c r="L264" s="277"/>
      <c r="M264" s="281">
        <f>L264/100000</f>
        <v>0</v>
      </c>
      <c r="N264" s="277"/>
      <c r="O264" s="1507">
        <f>M264*N264</f>
        <v>0</v>
      </c>
      <c r="P264" s="744"/>
      <c r="Q264" s="1017">
        <f>'Abs19. NPCDCS'!Q37</f>
        <v>0</v>
      </c>
      <c r="R264" s="2931">
        <f>'Abs19. NPCDCS'!R37</f>
        <v>0</v>
      </c>
      <c r="BB264" s="3218"/>
      <c r="BC264" s="3218"/>
      <c r="BD264" s="3218"/>
      <c r="BE264" s="3218"/>
      <c r="BF264" s="3218"/>
      <c r="BG264" s="3218"/>
      <c r="BH264" s="3218"/>
      <c r="BI264" s="3218"/>
      <c r="BJ264" s="3218"/>
      <c r="BK264" s="3218"/>
      <c r="BL264" s="3218"/>
      <c r="BM264" s="3218"/>
      <c r="BN264" s="3218"/>
      <c r="BO264" s="3218"/>
      <c r="BP264" s="3218"/>
      <c r="BQ264" s="3218"/>
      <c r="BR264" s="3218"/>
      <c r="BS264" s="3218"/>
      <c r="BT264" s="3218"/>
      <c r="BU264" s="3218"/>
      <c r="BV264" s="3218"/>
      <c r="BW264" s="3218"/>
      <c r="BX264" s="3218"/>
      <c r="BY264" s="3218"/>
      <c r="BZ264" s="3218"/>
      <c r="CA264" s="3218"/>
      <c r="CB264" s="3218"/>
      <c r="CC264" s="3218"/>
      <c r="CD264" s="3218"/>
      <c r="CE264" s="3218"/>
      <c r="CF264" s="3218"/>
      <c r="CG264" s="3218"/>
      <c r="CH264" s="3218"/>
      <c r="CI264" s="3225">
        <f t="shared" si="25"/>
        <v>0</v>
      </c>
    </row>
    <row r="265" spans="1:87" ht="30">
      <c r="A265" s="1407" t="s">
        <v>2515</v>
      </c>
      <c r="B265" s="473"/>
      <c r="C265" s="390" t="s">
        <v>2451</v>
      </c>
      <c r="D265" s="1549" t="s">
        <v>80</v>
      </c>
      <c r="E265" s="1120" t="s">
        <v>410</v>
      </c>
      <c r="F265" s="2211">
        <v>0</v>
      </c>
      <c r="G265" s="276"/>
      <c r="H265" s="2211">
        <v>0</v>
      </c>
      <c r="I265" s="276"/>
      <c r="J265" s="418"/>
      <c r="K265" s="418"/>
      <c r="L265" s="277"/>
      <c r="M265" s="281">
        <f>L265/100000</f>
        <v>0</v>
      </c>
      <c r="N265" s="277"/>
      <c r="O265" s="1507">
        <f>M265*N265</f>
        <v>0</v>
      </c>
      <c r="P265" s="763"/>
      <c r="Q265" s="1017">
        <f>'Abs19. NPCDCS'!Q38</f>
        <v>0</v>
      </c>
      <c r="R265" s="2931">
        <f>'Abs19. NPCDCS'!R38</f>
        <v>0</v>
      </c>
      <c r="BB265" s="3218"/>
      <c r="BC265" s="3218"/>
      <c r="BD265" s="3218"/>
      <c r="BE265" s="3218"/>
      <c r="BF265" s="3218"/>
      <c r="BG265" s="3218"/>
      <c r="BH265" s="3218"/>
      <c r="BI265" s="3218"/>
      <c r="BJ265" s="3218"/>
      <c r="BK265" s="3218"/>
      <c r="BL265" s="3218"/>
      <c r="BM265" s="3218"/>
      <c r="BN265" s="3218"/>
      <c r="BO265" s="3218"/>
      <c r="BP265" s="3218"/>
      <c r="BQ265" s="3218"/>
      <c r="BR265" s="3218"/>
      <c r="BS265" s="3218"/>
      <c r="BT265" s="3218"/>
      <c r="BU265" s="3218"/>
      <c r="BV265" s="3218"/>
      <c r="BW265" s="3218"/>
      <c r="BX265" s="3218"/>
      <c r="BY265" s="3218"/>
      <c r="BZ265" s="3218"/>
      <c r="CA265" s="3218"/>
      <c r="CB265" s="3218"/>
      <c r="CC265" s="3218"/>
      <c r="CD265" s="3218"/>
      <c r="CE265" s="3218"/>
      <c r="CF265" s="3218"/>
      <c r="CG265" s="3218"/>
      <c r="CH265" s="3218"/>
      <c r="CI265" s="3225">
        <f t="shared" si="25"/>
        <v>0</v>
      </c>
    </row>
    <row r="266" spans="1:87">
      <c r="A266" s="1407" t="s">
        <v>2767</v>
      </c>
      <c r="B266" s="473"/>
      <c r="C266" s="390" t="s">
        <v>1304</v>
      </c>
      <c r="D266" s="1549" t="s">
        <v>80</v>
      </c>
      <c r="E266" s="1120" t="s">
        <v>410</v>
      </c>
      <c r="F266" s="2211">
        <v>0</v>
      </c>
      <c r="G266" s="276"/>
      <c r="H266" s="2211">
        <v>0</v>
      </c>
      <c r="I266" s="276"/>
      <c r="J266" s="276"/>
      <c r="K266" s="276"/>
      <c r="L266" s="277"/>
      <c r="M266" s="281">
        <f>L266/100000</f>
        <v>0</v>
      </c>
      <c r="N266" s="277"/>
      <c r="O266" s="1507">
        <f>M266*N266</f>
        <v>0</v>
      </c>
      <c r="P266" s="744"/>
      <c r="Q266" s="1017">
        <f>'Abs19. NPCDCS'!Q39</f>
        <v>0</v>
      </c>
      <c r="R266" s="2931">
        <f>'Abs19. NPCDCS'!R39</f>
        <v>0</v>
      </c>
      <c r="BB266" s="3218"/>
      <c r="BC266" s="3218"/>
      <c r="BD266" s="3218"/>
      <c r="BE266" s="3218"/>
      <c r="BF266" s="3218"/>
      <c r="BG266" s="3218"/>
      <c r="BH266" s="3218"/>
      <c r="BI266" s="3218"/>
      <c r="BJ266" s="3218"/>
      <c r="BK266" s="3218"/>
      <c r="BL266" s="3218"/>
      <c r="BM266" s="3218"/>
      <c r="BN266" s="3218"/>
      <c r="BO266" s="3218"/>
      <c r="BP266" s="3218"/>
      <c r="BQ266" s="3218"/>
      <c r="BR266" s="3218"/>
      <c r="BS266" s="3218"/>
      <c r="BT266" s="3218"/>
      <c r="BU266" s="3218"/>
      <c r="BV266" s="3218"/>
      <c r="BW266" s="3218"/>
      <c r="BX266" s="3218"/>
      <c r="BY266" s="3218"/>
      <c r="BZ266" s="3218"/>
      <c r="CA266" s="3218"/>
      <c r="CB266" s="3218"/>
      <c r="CC266" s="3218"/>
      <c r="CD266" s="3218"/>
      <c r="CE266" s="3218"/>
      <c r="CF266" s="3218"/>
      <c r="CG266" s="3218"/>
      <c r="CH266" s="3218"/>
      <c r="CI266" s="3225">
        <f t="shared" si="25"/>
        <v>0</v>
      </c>
    </row>
    <row r="267" spans="1:87">
      <c r="A267" s="1061" t="s">
        <v>1011</v>
      </c>
      <c r="B267" s="1061"/>
      <c r="C267" s="1061" t="s">
        <v>1012</v>
      </c>
      <c r="D267" s="939"/>
      <c r="E267" s="939"/>
      <c r="F267" s="295"/>
      <c r="G267" s="295"/>
      <c r="H267" s="295"/>
      <c r="I267" s="295"/>
      <c r="J267" s="295"/>
      <c r="K267" s="295"/>
      <c r="L267" s="295"/>
      <c r="M267" s="1537"/>
      <c r="N267" s="417"/>
      <c r="O267" s="1537">
        <f>SUM(O268:O271)</f>
        <v>1</v>
      </c>
      <c r="P267" s="757"/>
      <c r="Q267" s="1000"/>
      <c r="R267" s="2929">
        <f>SUM(R268:R271)</f>
        <v>1</v>
      </c>
      <c r="BB267" s="3218"/>
      <c r="BC267" s="3218"/>
      <c r="BD267" s="3218"/>
      <c r="BE267" s="3218"/>
      <c r="BF267" s="3218"/>
      <c r="BG267" s="3218"/>
      <c r="BH267" s="3218"/>
      <c r="BI267" s="3218"/>
      <c r="BJ267" s="3218"/>
      <c r="BK267" s="3218"/>
      <c r="BL267" s="3218"/>
      <c r="BM267" s="3218"/>
      <c r="BN267" s="3218"/>
      <c r="BO267" s="3218"/>
      <c r="BP267" s="3218"/>
      <c r="BQ267" s="3218"/>
      <c r="BR267" s="3218"/>
      <c r="BS267" s="3218"/>
      <c r="BT267" s="3218"/>
      <c r="BU267" s="3218"/>
      <c r="BV267" s="3218"/>
      <c r="BW267" s="3218"/>
      <c r="BX267" s="3218"/>
      <c r="BY267" s="3218"/>
      <c r="BZ267" s="3218"/>
      <c r="CA267" s="3218"/>
      <c r="CB267" s="3218"/>
      <c r="CC267" s="3218"/>
      <c r="CD267" s="3218"/>
      <c r="CE267" s="3218"/>
      <c r="CF267" s="3218"/>
      <c r="CG267" s="3218"/>
      <c r="CH267" s="3218"/>
      <c r="CI267" s="3225">
        <f t="shared" si="25"/>
        <v>0</v>
      </c>
    </row>
    <row r="268" spans="1:87" s="1380" customFormat="1" ht="105">
      <c r="A268" s="586" t="s">
        <v>1013</v>
      </c>
      <c r="B268" s="586" t="s">
        <v>1015</v>
      </c>
      <c r="C268" s="586" t="s">
        <v>3761</v>
      </c>
      <c r="D268" s="2264" t="s">
        <v>80</v>
      </c>
      <c r="E268" s="1075" t="s">
        <v>1014</v>
      </c>
      <c r="F268" s="2208">
        <v>2</v>
      </c>
      <c r="G268" s="422"/>
      <c r="H268" s="2208">
        <v>3</v>
      </c>
      <c r="I268" s="2577">
        <v>0.01</v>
      </c>
      <c r="J268" s="422"/>
      <c r="K268" s="422"/>
      <c r="L268" s="2519">
        <v>1000</v>
      </c>
      <c r="M268" s="2261">
        <f>L268/100000</f>
        <v>0.01</v>
      </c>
      <c r="N268" s="2519">
        <v>100</v>
      </c>
      <c r="O268" s="1472">
        <f>M268*N268</f>
        <v>1</v>
      </c>
      <c r="P268" s="2578" t="s">
        <v>5306</v>
      </c>
      <c r="Q268" s="2263" t="str">
        <f>'Abs22. NPPCD'!Q10</f>
        <v>It may be recommended as it is with in the unit cost for training activity mentioned in the operational guidelines.</v>
      </c>
      <c r="R268" s="2930">
        <f>'Abs22. NPPCD'!R10</f>
        <v>1</v>
      </c>
      <c r="BB268" s="3219">
        <v>1</v>
      </c>
      <c r="BC268" s="3219"/>
      <c r="BD268" s="3219"/>
      <c r="BE268" s="3219"/>
      <c r="BF268" s="3219"/>
      <c r="BG268" s="3219"/>
      <c r="BH268" s="3219"/>
      <c r="BI268" s="3219"/>
      <c r="BJ268" s="3219"/>
      <c r="BK268" s="3219"/>
      <c r="BL268" s="3219"/>
      <c r="BM268" s="3219"/>
      <c r="BN268" s="3219"/>
      <c r="BO268" s="3219"/>
      <c r="BP268" s="3219"/>
      <c r="BQ268" s="3219"/>
      <c r="BR268" s="3219"/>
      <c r="BS268" s="3219"/>
      <c r="BT268" s="3219"/>
      <c r="BU268" s="3219"/>
      <c r="BV268" s="3219"/>
      <c r="BW268" s="3219"/>
      <c r="BX268" s="3219"/>
      <c r="BY268" s="3219"/>
      <c r="BZ268" s="3219"/>
      <c r="CA268" s="3219"/>
      <c r="CB268" s="3219"/>
      <c r="CC268" s="3219"/>
      <c r="CD268" s="3219"/>
      <c r="CE268" s="3219"/>
      <c r="CF268" s="3219"/>
      <c r="CG268" s="3219"/>
      <c r="CH268" s="3219"/>
      <c r="CI268" s="3225">
        <f t="shared" si="25"/>
        <v>1</v>
      </c>
    </row>
    <row r="269" spans="1:87" ht="30">
      <c r="A269" s="508" t="s">
        <v>2285</v>
      </c>
      <c r="B269" s="508" t="s">
        <v>1016</v>
      </c>
      <c r="C269" s="508" t="s">
        <v>3762</v>
      </c>
      <c r="D269" s="1549" t="s">
        <v>80</v>
      </c>
      <c r="E269" s="1120" t="s">
        <v>1014</v>
      </c>
      <c r="F269" s="2207">
        <v>0</v>
      </c>
      <c r="G269" s="367"/>
      <c r="H269" s="2207">
        <v>0</v>
      </c>
      <c r="I269" s="367"/>
      <c r="J269" s="367"/>
      <c r="K269" s="367"/>
      <c r="L269" s="277"/>
      <c r="M269" s="281">
        <f>L269/100000</f>
        <v>0</v>
      </c>
      <c r="N269" s="277"/>
      <c r="O269" s="1507">
        <f>M269*N269</f>
        <v>0</v>
      </c>
      <c r="P269" s="744"/>
      <c r="Q269" s="1017">
        <f>'Abs22. NPPCD'!Q11</f>
        <v>0</v>
      </c>
      <c r="R269" s="2931">
        <f>'Abs22. NPPCD'!R11</f>
        <v>0</v>
      </c>
      <c r="BB269" s="3218"/>
      <c r="BC269" s="3218"/>
      <c r="BD269" s="3218"/>
      <c r="BE269" s="3218"/>
      <c r="BF269" s="3218"/>
      <c r="BG269" s="3218"/>
      <c r="BH269" s="3218"/>
      <c r="BI269" s="3218"/>
      <c r="BJ269" s="3218"/>
      <c r="BK269" s="3218"/>
      <c r="BL269" s="3218"/>
      <c r="BM269" s="3218"/>
      <c r="BN269" s="3218"/>
      <c r="BO269" s="3218"/>
      <c r="BP269" s="3218"/>
      <c r="BQ269" s="3218"/>
      <c r="BR269" s="3218"/>
      <c r="BS269" s="3218"/>
      <c r="BT269" s="3218"/>
      <c r="BU269" s="3218"/>
      <c r="BV269" s="3218"/>
      <c r="BW269" s="3218"/>
      <c r="BX269" s="3218"/>
      <c r="BY269" s="3218"/>
      <c r="BZ269" s="3218"/>
      <c r="CA269" s="3218"/>
      <c r="CB269" s="3218"/>
      <c r="CC269" s="3218"/>
      <c r="CD269" s="3218"/>
      <c r="CE269" s="3218"/>
      <c r="CF269" s="3218"/>
      <c r="CG269" s="3218"/>
      <c r="CH269" s="3218"/>
      <c r="CI269" s="3225">
        <f t="shared" si="25"/>
        <v>0</v>
      </c>
    </row>
    <row r="270" spans="1:87">
      <c r="A270" s="508" t="s">
        <v>2286</v>
      </c>
      <c r="B270" s="508" t="s">
        <v>1017</v>
      </c>
      <c r="C270" s="508" t="s">
        <v>3763</v>
      </c>
      <c r="D270" s="1549" t="s">
        <v>80</v>
      </c>
      <c r="E270" s="1120" t="s">
        <v>1014</v>
      </c>
      <c r="F270" s="2207">
        <v>0</v>
      </c>
      <c r="G270" s="367"/>
      <c r="H270" s="2207">
        <v>0</v>
      </c>
      <c r="I270" s="367"/>
      <c r="J270" s="367"/>
      <c r="K270" s="367"/>
      <c r="L270" s="277"/>
      <c r="M270" s="281">
        <f>L270/100000</f>
        <v>0</v>
      </c>
      <c r="N270" s="277"/>
      <c r="O270" s="1507">
        <f>M270*N270</f>
        <v>0</v>
      </c>
      <c r="P270" s="744"/>
      <c r="Q270" s="1017">
        <f>'Abs22. NPPCD'!Q12</f>
        <v>0</v>
      </c>
      <c r="R270" s="2931">
        <f>'Abs22. NPPCD'!R12</f>
        <v>0</v>
      </c>
      <c r="BB270" s="3218"/>
      <c r="BC270" s="3218"/>
      <c r="BD270" s="3218"/>
      <c r="BE270" s="3218"/>
      <c r="BF270" s="3218"/>
      <c r="BG270" s="3218"/>
      <c r="BH270" s="3218"/>
      <c r="BI270" s="3218"/>
      <c r="BJ270" s="3218"/>
      <c r="BK270" s="3218"/>
      <c r="BL270" s="3218"/>
      <c r="BM270" s="3218"/>
      <c r="BN270" s="3218"/>
      <c r="BO270" s="3218"/>
      <c r="BP270" s="3218"/>
      <c r="BQ270" s="3218"/>
      <c r="BR270" s="3218"/>
      <c r="BS270" s="3218"/>
      <c r="BT270" s="3218"/>
      <c r="BU270" s="3218"/>
      <c r="BV270" s="3218"/>
      <c r="BW270" s="3218"/>
      <c r="BX270" s="3218"/>
      <c r="BY270" s="3218"/>
      <c r="BZ270" s="3218"/>
      <c r="CA270" s="3218"/>
      <c r="CB270" s="3218"/>
      <c r="CC270" s="3218"/>
      <c r="CD270" s="3218"/>
      <c r="CE270" s="3218"/>
      <c r="CF270" s="3218"/>
      <c r="CG270" s="3218"/>
      <c r="CH270" s="3218"/>
      <c r="CI270" s="3225">
        <f t="shared" si="25"/>
        <v>0</v>
      </c>
    </row>
    <row r="271" spans="1:87">
      <c r="A271" s="508" t="s">
        <v>2497</v>
      </c>
      <c r="B271" s="586"/>
      <c r="C271" s="508" t="s">
        <v>1304</v>
      </c>
      <c r="D271" s="1549" t="s">
        <v>80</v>
      </c>
      <c r="E271" s="1120" t="s">
        <v>1014</v>
      </c>
      <c r="F271" s="2207">
        <v>0</v>
      </c>
      <c r="G271" s="367"/>
      <c r="H271" s="2207">
        <v>0</v>
      </c>
      <c r="I271" s="367"/>
      <c r="J271" s="367"/>
      <c r="K271" s="367"/>
      <c r="L271" s="277"/>
      <c r="M271" s="281">
        <f>L271/100000</f>
        <v>0</v>
      </c>
      <c r="N271" s="277"/>
      <c r="O271" s="1507">
        <f>M271*N271</f>
        <v>0</v>
      </c>
      <c r="P271" s="744"/>
      <c r="Q271" s="1017">
        <f>'Abs22. NPPCD'!Q13</f>
        <v>0</v>
      </c>
      <c r="R271" s="2931">
        <f>'Abs22. NPPCD'!R13</f>
        <v>0</v>
      </c>
      <c r="BB271" s="3218"/>
      <c r="BC271" s="3218"/>
      <c r="BD271" s="3218"/>
      <c r="BE271" s="3218"/>
      <c r="BF271" s="3218"/>
      <c r="BG271" s="3218"/>
      <c r="BH271" s="3218"/>
      <c r="BI271" s="3218"/>
      <c r="BJ271" s="3218"/>
      <c r="BK271" s="3218"/>
      <c r="BL271" s="3218"/>
      <c r="BM271" s="3218"/>
      <c r="BN271" s="3218"/>
      <c r="BO271" s="3218"/>
      <c r="BP271" s="3218"/>
      <c r="BQ271" s="3218"/>
      <c r="BR271" s="3218"/>
      <c r="BS271" s="3218"/>
      <c r="BT271" s="3218"/>
      <c r="BU271" s="3218"/>
      <c r="BV271" s="3218"/>
      <c r="BW271" s="3218"/>
      <c r="BX271" s="3218"/>
      <c r="BY271" s="3218"/>
      <c r="BZ271" s="3218"/>
      <c r="CA271" s="3218"/>
      <c r="CB271" s="3218"/>
      <c r="CC271" s="3218"/>
      <c r="CD271" s="3218"/>
      <c r="CE271" s="3218"/>
      <c r="CF271" s="3218"/>
      <c r="CG271" s="3218"/>
      <c r="CH271" s="3218"/>
      <c r="CI271" s="3225">
        <f t="shared" si="25"/>
        <v>0</v>
      </c>
    </row>
    <row r="272" spans="1:87">
      <c r="A272" s="1061" t="s">
        <v>1018</v>
      </c>
      <c r="B272" s="1061"/>
      <c r="C272" s="1061" t="s">
        <v>1019</v>
      </c>
      <c r="D272" s="939"/>
      <c r="E272" s="939"/>
      <c r="F272" s="295"/>
      <c r="G272" s="295"/>
      <c r="H272" s="295"/>
      <c r="I272" s="295"/>
      <c r="J272" s="295"/>
      <c r="K272" s="295"/>
      <c r="L272" s="295"/>
      <c r="M272" s="1515"/>
      <c r="N272" s="404"/>
      <c r="O272" s="1516">
        <f>SUM(O273:O274)</f>
        <v>0</v>
      </c>
      <c r="P272" s="718"/>
      <c r="Q272" s="1157"/>
      <c r="R272" s="2929">
        <f>SUM(R273:R274)</f>
        <v>0</v>
      </c>
      <c r="BB272" s="3218"/>
      <c r="BC272" s="3218"/>
      <c r="BD272" s="3218"/>
      <c r="BE272" s="3218"/>
      <c r="BF272" s="3218"/>
      <c r="BG272" s="3218"/>
      <c r="BH272" s="3218"/>
      <c r="BI272" s="3218"/>
      <c r="BJ272" s="3218"/>
      <c r="BK272" s="3218"/>
      <c r="BL272" s="3218"/>
      <c r="BM272" s="3218"/>
      <c r="BN272" s="3218"/>
      <c r="BO272" s="3218"/>
      <c r="BP272" s="3218"/>
      <c r="BQ272" s="3218"/>
      <c r="BR272" s="3218"/>
      <c r="BS272" s="3218"/>
      <c r="BT272" s="3218"/>
      <c r="BU272" s="3218"/>
      <c r="BV272" s="3218"/>
      <c r="BW272" s="3218"/>
      <c r="BX272" s="3218"/>
      <c r="BY272" s="3218"/>
      <c r="BZ272" s="3218"/>
      <c r="CA272" s="3218"/>
      <c r="CB272" s="3218"/>
      <c r="CC272" s="3218"/>
      <c r="CD272" s="3218"/>
      <c r="CE272" s="3218"/>
      <c r="CF272" s="3218"/>
      <c r="CG272" s="3218"/>
      <c r="CH272" s="3218"/>
      <c r="CI272" s="3225">
        <f t="shared" si="25"/>
        <v>0</v>
      </c>
    </row>
    <row r="273" spans="1:87" ht="45">
      <c r="A273" s="508" t="s">
        <v>1020</v>
      </c>
      <c r="B273" s="508" t="s">
        <v>1021</v>
      </c>
      <c r="C273" s="508" t="s">
        <v>1022</v>
      </c>
      <c r="D273" s="1549" t="s">
        <v>80</v>
      </c>
      <c r="E273" s="1120" t="s">
        <v>309</v>
      </c>
      <c r="F273" s="252">
        <v>1</v>
      </c>
      <c r="G273" s="253"/>
      <c r="H273" s="401">
        <v>1</v>
      </c>
      <c r="I273" s="401"/>
      <c r="J273" s="323"/>
      <c r="K273" s="252"/>
      <c r="L273" s="277"/>
      <c r="M273" s="281">
        <f>L273/100000</f>
        <v>0</v>
      </c>
      <c r="N273" s="277"/>
      <c r="O273" s="1507">
        <f>M273*N273</f>
        <v>0</v>
      </c>
      <c r="P273" s="729"/>
      <c r="Q273" s="1017">
        <f>'Abs25. NPPC'!Q14</f>
        <v>0</v>
      </c>
      <c r="R273" s="2931">
        <f>'Abs25. NPPC'!R14</f>
        <v>0</v>
      </c>
      <c r="BB273" s="3218"/>
      <c r="BC273" s="3218"/>
      <c r="BD273" s="3218"/>
      <c r="BE273" s="3218"/>
      <c r="BF273" s="3218"/>
      <c r="BG273" s="3218"/>
      <c r="BH273" s="3218"/>
      <c r="BI273" s="3218"/>
      <c r="BJ273" s="3218"/>
      <c r="BK273" s="3218"/>
      <c r="BL273" s="3218"/>
      <c r="BM273" s="3218"/>
      <c r="BN273" s="3218"/>
      <c r="BO273" s="3218"/>
      <c r="BP273" s="3218"/>
      <c r="BQ273" s="3218"/>
      <c r="BR273" s="3218"/>
      <c r="BS273" s="3218"/>
      <c r="BT273" s="3218"/>
      <c r="BU273" s="3218"/>
      <c r="BV273" s="3218"/>
      <c r="BW273" s="3218"/>
      <c r="BX273" s="3218"/>
      <c r="BY273" s="3218"/>
      <c r="BZ273" s="3218"/>
      <c r="CA273" s="3218"/>
      <c r="CB273" s="3218"/>
      <c r="CC273" s="3218"/>
      <c r="CD273" s="3218"/>
      <c r="CE273" s="3218"/>
      <c r="CF273" s="3218"/>
      <c r="CG273" s="3218"/>
      <c r="CH273" s="3218"/>
      <c r="CI273" s="3225">
        <f t="shared" si="25"/>
        <v>0</v>
      </c>
    </row>
    <row r="274" spans="1:87">
      <c r="A274" s="508" t="s">
        <v>2498</v>
      </c>
      <c r="B274" s="586"/>
      <c r="C274" s="508" t="s">
        <v>1304</v>
      </c>
      <c r="D274" s="1549" t="s">
        <v>80</v>
      </c>
      <c r="E274" s="1120" t="s">
        <v>309</v>
      </c>
      <c r="F274" s="252">
        <v>0</v>
      </c>
      <c r="G274" s="253"/>
      <c r="H274" s="401">
        <v>0</v>
      </c>
      <c r="I274" s="401"/>
      <c r="J274" s="252"/>
      <c r="K274" s="252"/>
      <c r="L274" s="277"/>
      <c r="M274" s="281">
        <f>L274/100000</f>
        <v>0</v>
      </c>
      <c r="N274" s="277"/>
      <c r="O274" s="1507">
        <f>M274*N274</f>
        <v>0</v>
      </c>
      <c r="P274" s="729"/>
      <c r="Q274" s="1017">
        <f>'Abs25. NPPC'!Q15</f>
        <v>0</v>
      </c>
      <c r="R274" s="2931">
        <f>'Abs25. NPPC'!R15</f>
        <v>0</v>
      </c>
      <c r="BB274" s="3218"/>
      <c r="BC274" s="3218"/>
      <c r="BD274" s="3218"/>
      <c r="BE274" s="3218"/>
      <c r="BF274" s="3218"/>
      <c r="BG274" s="3218"/>
      <c r="BH274" s="3218"/>
      <c r="BI274" s="3218"/>
      <c r="BJ274" s="3218"/>
      <c r="BK274" s="3218"/>
      <c r="BL274" s="3218"/>
      <c r="BM274" s="3218"/>
      <c r="BN274" s="3218"/>
      <c r="BO274" s="3218"/>
      <c r="BP274" s="3218"/>
      <c r="BQ274" s="3218"/>
      <c r="BR274" s="3218"/>
      <c r="BS274" s="3218"/>
      <c r="BT274" s="3218"/>
      <c r="BU274" s="3218"/>
      <c r="BV274" s="3218"/>
      <c r="BW274" s="3218"/>
      <c r="BX274" s="3218"/>
      <c r="BY274" s="3218"/>
      <c r="BZ274" s="3218"/>
      <c r="CA274" s="3218"/>
      <c r="CB274" s="3218"/>
      <c r="CC274" s="3218"/>
      <c r="CD274" s="3218"/>
      <c r="CE274" s="3218"/>
      <c r="CF274" s="3218"/>
      <c r="CG274" s="3218"/>
      <c r="CH274" s="3218"/>
      <c r="CI274" s="3225">
        <f t="shared" si="25"/>
        <v>0</v>
      </c>
    </row>
    <row r="275" spans="1:87">
      <c r="A275" s="880" t="s">
        <v>1023</v>
      </c>
      <c r="B275" s="1194"/>
      <c r="C275" s="1061" t="s">
        <v>1024</v>
      </c>
      <c r="D275" s="997"/>
      <c r="E275" s="997"/>
      <c r="F275" s="219"/>
      <c r="G275" s="219"/>
      <c r="H275" s="219"/>
      <c r="I275" s="219"/>
      <c r="J275" s="219"/>
      <c r="K275" s="219"/>
      <c r="L275" s="219"/>
      <c r="M275" s="1515"/>
      <c r="N275" s="404"/>
      <c r="O275" s="1516">
        <f>SUM(O276:O277)</f>
        <v>0</v>
      </c>
      <c r="P275" s="718"/>
      <c r="Q275" s="1157"/>
      <c r="R275" s="2929">
        <f>SUM(R276:R277)</f>
        <v>0</v>
      </c>
      <c r="BB275" s="3218"/>
      <c r="BC275" s="3218"/>
      <c r="BD275" s="3218"/>
      <c r="BE275" s="3218"/>
      <c r="BF275" s="3218"/>
      <c r="BG275" s="3218"/>
      <c r="BH275" s="3218"/>
      <c r="BI275" s="3218"/>
      <c r="BJ275" s="3218"/>
      <c r="BK275" s="3218"/>
      <c r="BL275" s="3218"/>
      <c r="BM275" s="3218"/>
      <c r="BN275" s="3218"/>
      <c r="BO275" s="3218"/>
      <c r="BP275" s="3218"/>
      <c r="BQ275" s="3218"/>
      <c r="BR275" s="3218"/>
      <c r="BS275" s="3218"/>
      <c r="BT275" s="3218"/>
      <c r="BU275" s="3218"/>
      <c r="BV275" s="3218"/>
      <c r="BW275" s="3218"/>
      <c r="BX275" s="3218"/>
      <c r="BY275" s="3218"/>
      <c r="BZ275" s="3218"/>
      <c r="CA275" s="3218"/>
      <c r="CB275" s="3218"/>
      <c r="CC275" s="3218"/>
      <c r="CD275" s="3218"/>
      <c r="CE275" s="3218"/>
      <c r="CF275" s="3218"/>
      <c r="CG275" s="3218"/>
      <c r="CH275" s="3218"/>
      <c r="CI275" s="3225">
        <f t="shared" si="25"/>
        <v>0</v>
      </c>
    </row>
    <row r="276" spans="1:87" ht="45">
      <c r="A276" s="508" t="s">
        <v>1025</v>
      </c>
      <c r="B276" s="508" t="s">
        <v>1026</v>
      </c>
      <c r="C276" s="508" t="s">
        <v>1027</v>
      </c>
      <c r="D276" s="1549" t="s">
        <v>80</v>
      </c>
      <c r="E276" s="1120" t="s">
        <v>1028</v>
      </c>
      <c r="F276" s="2211">
        <v>0</v>
      </c>
      <c r="G276" s="276"/>
      <c r="H276" s="2211">
        <v>0</v>
      </c>
      <c r="I276" s="276"/>
      <c r="J276" s="276"/>
      <c r="K276" s="276"/>
      <c r="L276" s="277"/>
      <c r="M276" s="281">
        <f>L276/100000</f>
        <v>0</v>
      </c>
      <c r="N276" s="277"/>
      <c r="O276" s="1507">
        <f>M276*N276</f>
        <v>0</v>
      </c>
      <c r="P276" s="744"/>
      <c r="Q276" s="1017">
        <f>'Abs23. NPPCF'!Q12</f>
        <v>0</v>
      </c>
      <c r="R276" s="2931">
        <f>'Abs23. NPPCF'!R12</f>
        <v>0</v>
      </c>
      <c r="BB276" s="3218"/>
      <c r="BC276" s="3218"/>
      <c r="BD276" s="3218"/>
      <c r="BE276" s="3218"/>
      <c r="BF276" s="3218"/>
      <c r="BG276" s="3218"/>
      <c r="BH276" s="3218"/>
      <c r="BI276" s="3218"/>
      <c r="BJ276" s="3218"/>
      <c r="BK276" s="3218"/>
      <c r="BL276" s="3218"/>
      <c r="BM276" s="3218"/>
      <c r="BN276" s="3218"/>
      <c r="BO276" s="3218"/>
      <c r="BP276" s="3218"/>
      <c r="BQ276" s="3218"/>
      <c r="BR276" s="3218"/>
      <c r="BS276" s="3218"/>
      <c r="BT276" s="3218"/>
      <c r="BU276" s="3218"/>
      <c r="BV276" s="3218"/>
      <c r="BW276" s="3218"/>
      <c r="BX276" s="3218"/>
      <c r="BY276" s="3218"/>
      <c r="BZ276" s="3218"/>
      <c r="CA276" s="3218"/>
      <c r="CB276" s="3218"/>
      <c r="CC276" s="3218"/>
      <c r="CD276" s="3218"/>
      <c r="CE276" s="3218"/>
      <c r="CF276" s="3218"/>
      <c r="CG276" s="3218"/>
      <c r="CH276" s="3218"/>
      <c r="CI276" s="3225">
        <f t="shared" si="25"/>
        <v>0</v>
      </c>
    </row>
    <row r="277" spans="1:87">
      <c r="A277" s="508" t="s">
        <v>2499</v>
      </c>
      <c r="B277" s="586"/>
      <c r="C277" s="508" t="s">
        <v>1304</v>
      </c>
      <c r="D277" s="1549" t="s">
        <v>80</v>
      </c>
      <c r="E277" s="1120" t="s">
        <v>1028</v>
      </c>
      <c r="F277" s="2211">
        <v>0</v>
      </c>
      <c r="G277" s="276"/>
      <c r="H277" s="2211">
        <v>0</v>
      </c>
      <c r="I277" s="276"/>
      <c r="J277" s="276"/>
      <c r="K277" s="276"/>
      <c r="L277" s="277"/>
      <c r="M277" s="281">
        <f>L277/100000</f>
        <v>0</v>
      </c>
      <c r="N277" s="277"/>
      <c r="O277" s="1507">
        <f>M277*N277</f>
        <v>0</v>
      </c>
      <c r="P277" s="744"/>
      <c r="Q277" s="1017">
        <f>'Abs23. NPPCF'!Q13</f>
        <v>0</v>
      </c>
      <c r="R277" s="2931">
        <f>'Abs23. NPPCF'!R13</f>
        <v>0</v>
      </c>
      <c r="BB277" s="3218"/>
      <c r="BC277" s="3218"/>
      <c r="BD277" s="3218"/>
      <c r="BE277" s="3218"/>
      <c r="BF277" s="3218"/>
      <c r="BG277" s="3218"/>
      <c r="BH277" s="3218"/>
      <c r="BI277" s="3218"/>
      <c r="BJ277" s="3218"/>
      <c r="BK277" s="3218"/>
      <c r="BL277" s="3218"/>
      <c r="BM277" s="3218"/>
      <c r="BN277" s="3218"/>
      <c r="BO277" s="3218"/>
      <c r="BP277" s="3218"/>
      <c r="BQ277" s="3218"/>
      <c r="BR277" s="3218"/>
      <c r="BS277" s="3218"/>
      <c r="BT277" s="3218"/>
      <c r="BU277" s="3218"/>
      <c r="BV277" s="3218"/>
      <c r="BW277" s="3218"/>
      <c r="BX277" s="3218"/>
      <c r="BY277" s="3218"/>
      <c r="BZ277" s="3218"/>
      <c r="CA277" s="3218"/>
      <c r="CB277" s="3218"/>
      <c r="CC277" s="3218"/>
      <c r="CD277" s="3218"/>
      <c r="CE277" s="3218"/>
      <c r="CF277" s="3218"/>
      <c r="CG277" s="3218"/>
      <c r="CH277" s="3218"/>
      <c r="CI277" s="3225">
        <f t="shared" si="25"/>
        <v>0</v>
      </c>
    </row>
    <row r="278" spans="1:87">
      <c r="A278" s="880"/>
      <c r="B278" s="1194"/>
      <c r="C278" s="1061" t="s">
        <v>4762</v>
      </c>
      <c r="D278" s="997"/>
      <c r="E278" s="997"/>
      <c r="F278" s="219"/>
      <c r="G278" s="219"/>
      <c r="H278" s="219"/>
      <c r="I278" s="219"/>
      <c r="J278" s="219"/>
      <c r="K278" s="219"/>
      <c r="L278" s="219"/>
      <c r="M278" s="1515"/>
      <c r="N278" s="404"/>
      <c r="O278" s="1516">
        <f>SUM(O279:O280)</f>
        <v>2.1999899999999997</v>
      </c>
      <c r="P278" s="718"/>
      <c r="Q278" s="1157"/>
      <c r="R278" s="2929">
        <f>SUM(R279:R280)</f>
        <v>2.2000000000000002</v>
      </c>
      <c r="BB278" s="3218"/>
      <c r="BC278" s="3218"/>
      <c r="BD278" s="3218"/>
      <c r="BE278" s="3218"/>
      <c r="BF278" s="3218"/>
      <c r="BG278" s="3218"/>
      <c r="BH278" s="3218"/>
      <c r="BI278" s="3218"/>
      <c r="BJ278" s="3218"/>
      <c r="BK278" s="3218"/>
      <c r="BL278" s="3218"/>
      <c r="BM278" s="3218"/>
      <c r="BN278" s="3218"/>
      <c r="BO278" s="3218"/>
      <c r="BP278" s="3218"/>
      <c r="BQ278" s="3218"/>
      <c r="BR278" s="3218"/>
      <c r="BS278" s="3218"/>
      <c r="BT278" s="3218"/>
      <c r="BU278" s="3218"/>
      <c r="BV278" s="3218"/>
      <c r="BW278" s="3218"/>
      <c r="BX278" s="3218"/>
      <c r="BY278" s="3218"/>
      <c r="BZ278" s="3218"/>
      <c r="CA278" s="3218"/>
      <c r="CB278" s="3218"/>
      <c r="CC278" s="3218"/>
      <c r="CD278" s="3218"/>
      <c r="CE278" s="3218"/>
      <c r="CF278" s="3218"/>
      <c r="CG278" s="3218"/>
      <c r="CH278" s="3218"/>
      <c r="CI278" s="3225">
        <f t="shared" si="25"/>
        <v>0</v>
      </c>
    </row>
    <row r="279" spans="1:87" s="1380" customFormat="1" ht="45">
      <c r="A279" s="586" t="s">
        <v>3854</v>
      </c>
      <c r="B279" s="586"/>
      <c r="C279" s="586" t="s">
        <v>3994</v>
      </c>
      <c r="D279" s="1549" t="s">
        <v>80</v>
      </c>
      <c r="E279" s="1548" t="s">
        <v>3989</v>
      </c>
      <c r="F279" s="421">
        <v>0</v>
      </c>
      <c r="G279" s="421"/>
      <c r="H279" s="421">
        <v>0</v>
      </c>
      <c r="I279" s="421"/>
      <c r="J279" s="421"/>
      <c r="K279" s="421"/>
      <c r="L279" s="277">
        <v>16923</v>
      </c>
      <c r="M279" s="281">
        <f>L279/100000</f>
        <v>0.16922999999999999</v>
      </c>
      <c r="N279" s="277">
        <v>13</v>
      </c>
      <c r="O279" s="1472">
        <f>M279*N279</f>
        <v>2.1999899999999997</v>
      </c>
      <c r="P279" s="761"/>
      <c r="Q279" s="1017" t="str">
        <f>'Abs21. NPCCHH'!Q11</f>
        <v>Recommended for approval</v>
      </c>
      <c r="R279" s="2931">
        <f>'Abs21. NPCCHH'!R11</f>
        <v>2.2000000000000002</v>
      </c>
      <c r="BB279" s="3219">
        <v>2.2000000000000002</v>
      </c>
      <c r="BC279" s="3219"/>
      <c r="BD279" s="3219"/>
      <c r="BE279" s="3219"/>
      <c r="BF279" s="3219"/>
      <c r="BG279" s="3219"/>
      <c r="BH279" s="3219"/>
      <c r="BI279" s="3219"/>
      <c r="BJ279" s="3219"/>
      <c r="BK279" s="3219"/>
      <c r="BL279" s="3219"/>
      <c r="BM279" s="3219"/>
      <c r="BN279" s="3219"/>
      <c r="BO279" s="3219"/>
      <c r="BP279" s="3219"/>
      <c r="BQ279" s="3219"/>
      <c r="BR279" s="3219"/>
      <c r="BS279" s="3219"/>
      <c r="BT279" s="3219"/>
      <c r="BU279" s="3219"/>
      <c r="BV279" s="3219"/>
      <c r="BW279" s="3219"/>
      <c r="BX279" s="3219"/>
      <c r="BY279" s="3219"/>
      <c r="BZ279" s="3219"/>
      <c r="CA279" s="3219"/>
      <c r="CB279" s="3219"/>
      <c r="CC279" s="3219"/>
      <c r="CD279" s="3219"/>
      <c r="CE279" s="3219"/>
      <c r="CF279" s="3219"/>
      <c r="CG279" s="3219"/>
      <c r="CH279" s="3219"/>
      <c r="CI279" s="3225">
        <f t="shared" si="25"/>
        <v>2.2000000000000002</v>
      </c>
    </row>
    <row r="280" spans="1:87" s="1380" customFormat="1">
      <c r="A280" s="586"/>
      <c r="B280" s="586"/>
      <c r="C280" s="586" t="s">
        <v>1304</v>
      </c>
      <c r="D280" s="2264" t="s">
        <v>80</v>
      </c>
      <c r="E280" s="1548" t="s">
        <v>3989</v>
      </c>
      <c r="F280" s="421"/>
      <c r="G280" s="421"/>
      <c r="H280" s="421"/>
      <c r="I280" s="421"/>
      <c r="J280" s="421"/>
      <c r="K280" s="421"/>
      <c r="L280" s="283"/>
      <c r="M280" s="2261">
        <f>L280/100000</f>
        <v>0</v>
      </c>
      <c r="N280" s="283"/>
      <c r="O280" s="1472">
        <f>M280*N280</f>
        <v>0</v>
      </c>
      <c r="P280" s="761"/>
      <c r="Q280" s="2263">
        <f>'Abs21. NPCCHH'!Q12</f>
        <v>0</v>
      </c>
      <c r="R280" s="2930">
        <f>'Abs21. NPCCHH'!R12</f>
        <v>0</v>
      </c>
      <c r="BB280" s="3219"/>
      <c r="BC280" s="3219"/>
      <c r="BD280" s="3219"/>
      <c r="BE280" s="3219"/>
      <c r="BF280" s="3219"/>
      <c r="BG280" s="3219"/>
      <c r="BH280" s="3219"/>
      <c r="BI280" s="3219"/>
      <c r="BJ280" s="3219"/>
      <c r="BK280" s="3219"/>
      <c r="BL280" s="3219"/>
      <c r="BM280" s="3219"/>
      <c r="BN280" s="3219"/>
      <c r="BO280" s="3219"/>
      <c r="BP280" s="3219"/>
      <c r="BQ280" s="3219"/>
      <c r="BR280" s="3219"/>
      <c r="BS280" s="3219"/>
      <c r="BT280" s="3219"/>
      <c r="BU280" s="3219"/>
      <c r="BV280" s="3219"/>
      <c r="BW280" s="3219"/>
      <c r="BX280" s="3219"/>
      <c r="BY280" s="3219"/>
      <c r="BZ280" s="3219"/>
      <c r="CA280" s="3219"/>
      <c r="CB280" s="3219"/>
      <c r="CC280" s="3219"/>
      <c r="CD280" s="3219"/>
      <c r="CE280" s="3219"/>
      <c r="CF280" s="3219"/>
      <c r="CG280" s="3219"/>
      <c r="CH280" s="3219"/>
      <c r="CI280" s="3225">
        <f t="shared" si="25"/>
        <v>0</v>
      </c>
    </row>
    <row r="281" spans="1:87">
      <c r="A281" s="880"/>
      <c r="B281" s="1194"/>
      <c r="C281" s="1061" t="s">
        <v>4800</v>
      </c>
      <c r="D281" s="997"/>
      <c r="E281" s="997"/>
      <c r="F281" s="219"/>
      <c r="G281" s="219"/>
      <c r="H281" s="219"/>
      <c r="I281" s="219"/>
      <c r="J281" s="219"/>
      <c r="K281" s="219"/>
      <c r="L281" s="219"/>
      <c r="M281" s="1515"/>
      <c r="N281" s="404"/>
      <c r="O281" s="1516">
        <f>SUM(O282:O283)</f>
        <v>0</v>
      </c>
      <c r="P281" s="718"/>
      <c r="Q281" s="1157"/>
      <c r="R281" s="2929">
        <f>SUM(R282:R283)</f>
        <v>0</v>
      </c>
      <c r="BB281" s="3218"/>
      <c r="BC281" s="3218"/>
      <c r="BD281" s="3218"/>
      <c r="BE281" s="3218"/>
      <c r="BF281" s="3218"/>
      <c r="BG281" s="3218"/>
      <c r="BH281" s="3218"/>
      <c r="BI281" s="3218"/>
      <c r="BJ281" s="3218"/>
      <c r="BK281" s="3218"/>
      <c r="BL281" s="3218"/>
      <c r="BM281" s="3218"/>
      <c r="BN281" s="3218"/>
      <c r="BO281" s="3218"/>
      <c r="BP281" s="3218"/>
      <c r="BQ281" s="3218"/>
      <c r="BR281" s="3218"/>
      <c r="BS281" s="3218"/>
      <c r="BT281" s="3218"/>
      <c r="BU281" s="3218"/>
      <c r="BV281" s="3218"/>
      <c r="BW281" s="3218"/>
      <c r="BX281" s="3218"/>
      <c r="BY281" s="3218"/>
      <c r="BZ281" s="3218"/>
      <c r="CA281" s="3218"/>
      <c r="CB281" s="3218"/>
      <c r="CC281" s="3218"/>
      <c r="CD281" s="3218"/>
      <c r="CE281" s="3218"/>
      <c r="CF281" s="3218"/>
      <c r="CG281" s="3218"/>
      <c r="CH281" s="3218"/>
      <c r="CI281" s="3225">
        <f t="shared" si="25"/>
        <v>0</v>
      </c>
    </row>
    <row r="282" spans="1:87" s="1380" customFormat="1" ht="60">
      <c r="A282" s="586" t="s">
        <v>4401</v>
      </c>
      <c r="B282" s="586"/>
      <c r="C282" s="586" t="s">
        <v>4403</v>
      </c>
      <c r="D282" s="1549" t="s">
        <v>80</v>
      </c>
      <c r="E282" s="1547" t="s">
        <v>4668</v>
      </c>
      <c r="F282" s="421">
        <v>0</v>
      </c>
      <c r="G282" s="421"/>
      <c r="H282" s="421">
        <v>0</v>
      </c>
      <c r="I282" s="421"/>
      <c r="J282" s="421"/>
      <c r="K282" s="421"/>
      <c r="L282" s="277"/>
      <c r="M282" s="281">
        <f>L282/100000</f>
        <v>0</v>
      </c>
      <c r="N282" s="277"/>
      <c r="O282" s="1472">
        <f>M282*N282</f>
        <v>0</v>
      </c>
      <c r="P282" s="761"/>
      <c r="Q282" s="1017">
        <f>'Abs20. PMNDP'!Q16</f>
        <v>0</v>
      </c>
      <c r="R282" s="2931">
        <f>'Abs20. PMNDP'!R16</f>
        <v>0</v>
      </c>
      <c r="BB282" s="3219"/>
      <c r="BC282" s="3219"/>
      <c r="BD282" s="3219"/>
      <c r="BE282" s="3219"/>
      <c r="BF282" s="3219"/>
      <c r="BG282" s="3219"/>
      <c r="BH282" s="3219"/>
      <c r="BI282" s="3219"/>
      <c r="BJ282" s="3219"/>
      <c r="BK282" s="3219"/>
      <c r="BL282" s="3219"/>
      <c r="BM282" s="3219"/>
      <c r="BN282" s="3219"/>
      <c r="BO282" s="3219"/>
      <c r="BP282" s="3219"/>
      <c r="BQ282" s="3219"/>
      <c r="BR282" s="3219"/>
      <c r="BS282" s="3219"/>
      <c r="BT282" s="3219"/>
      <c r="BU282" s="3219"/>
      <c r="BV282" s="3219"/>
      <c r="BW282" s="3219"/>
      <c r="BX282" s="3219"/>
      <c r="BY282" s="3219"/>
      <c r="BZ282" s="3219"/>
      <c r="CA282" s="3219"/>
      <c r="CB282" s="3219"/>
      <c r="CC282" s="3219"/>
      <c r="CD282" s="3219"/>
      <c r="CE282" s="3219"/>
      <c r="CF282" s="3219"/>
      <c r="CG282" s="3219"/>
      <c r="CH282" s="3219"/>
      <c r="CI282" s="3225">
        <f t="shared" si="25"/>
        <v>0</v>
      </c>
    </row>
    <row r="283" spans="1:87" s="1380" customFormat="1">
      <c r="A283" s="586"/>
      <c r="B283" s="586"/>
      <c r="C283" s="586" t="s">
        <v>1304</v>
      </c>
      <c r="D283" s="2264" t="s">
        <v>80</v>
      </c>
      <c r="E283" s="1547" t="s">
        <v>4668</v>
      </c>
      <c r="F283" s="421"/>
      <c r="G283" s="421"/>
      <c r="H283" s="421"/>
      <c r="I283" s="421"/>
      <c r="J283" s="421"/>
      <c r="K283" s="421"/>
      <c r="L283" s="283"/>
      <c r="M283" s="2261">
        <f>L283/100000</f>
        <v>0</v>
      </c>
      <c r="N283" s="283"/>
      <c r="O283" s="1472">
        <f>M283*N283</f>
        <v>0</v>
      </c>
      <c r="P283" s="761"/>
      <c r="Q283" s="2263">
        <f>'Abs20. PMNDP'!Q17</f>
        <v>0</v>
      </c>
      <c r="R283" s="2930">
        <f>'Abs20. PMNDP'!R17</f>
        <v>0</v>
      </c>
      <c r="BB283" s="3219"/>
      <c r="BC283" s="3219"/>
      <c r="BD283" s="3219"/>
      <c r="BE283" s="3219"/>
      <c r="BF283" s="3219"/>
      <c r="BG283" s="3219"/>
      <c r="BH283" s="3219"/>
      <c r="BI283" s="3219"/>
      <c r="BJ283" s="3219"/>
      <c r="BK283" s="3219"/>
      <c r="BL283" s="3219"/>
      <c r="BM283" s="3219"/>
      <c r="BN283" s="3219"/>
      <c r="BO283" s="3219"/>
      <c r="BP283" s="3219"/>
      <c r="BQ283" s="3219"/>
      <c r="BR283" s="3219"/>
      <c r="BS283" s="3219"/>
      <c r="BT283" s="3219"/>
      <c r="BU283" s="3219"/>
      <c r="BV283" s="3219"/>
      <c r="BW283" s="3219"/>
      <c r="BX283" s="3219"/>
      <c r="BY283" s="3219"/>
      <c r="BZ283" s="3219"/>
      <c r="CA283" s="3219"/>
      <c r="CB283" s="3219"/>
      <c r="CC283" s="3219"/>
      <c r="CD283" s="3219"/>
      <c r="CE283" s="3219"/>
      <c r="CF283" s="3219"/>
      <c r="CG283" s="3219"/>
      <c r="CH283" s="3219"/>
      <c r="CI283" s="3225">
        <f t="shared" si="25"/>
        <v>0</v>
      </c>
    </row>
    <row r="284" spans="1:87">
      <c r="R284" s="2937">
        <f>+'9.Training Annex'!E3</f>
        <v>1114.1360999999999</v>
      </c>
      <c r="BB284" s="3218">
        <f>SUM(BB5:BB283)</f>
        <v>843.56000000000006</v>
      </c>
      <c r="BC284" s="3218">
        <f t="shared" ref="BC284:CI284" si="26">SUM(BC5:BC283)</f>
        <v>12.430000000000001</v>
      </c>
      <c r="BD284" s="3218">
        <f t="shared" si="26"/>
        <v>17.48</v>
      </c>
      <c r="BE284" s="3218">
        <f t="shared" si="26"/>
        <v>14.590000000000003</v>
      </c>
      <c r="BF284" s="3218">
        <f t="shared" si="26"/>
        <v>29.76</v>
      </c>
      <c r="BG284" s="3218">
        <f t="shared" si="26"/>
        <v>7.03</v>
      </c>
      <c r="BH284" s="3218">
        <f t="shared" si="26"/>
        <v>11.610000000000001</v>
      </c>
      <c r="BI284" s="3218">
        <f t="shared" si="26"/>
        <v>4.8999999999999995</v>
      </c>
      <c r="BJ284" s="3218">
        <f t="shared" si="26"/>
        <v>25.369999999999997</v>
      </c>
      <c r="BK284" s="3218">
        <f t="shared" si="26"/>
        <v>24.900000000000002</v>
      </c>
      <c r="BL284" s="3218">
        <f t="shared" si="26"/>
        <v>15.870000000000003</v>
      </c>
      <c r="BM284" s="3218">
        <f t="shared" si="26"/>
        <v>16.470000000000002</v>
      </c>
      <c r="BN284" s="3218">
        <f t="shared" si="26"/>
        <v>13.159999999999998</v>
      </c>
      <c r="BO284" s="3218">
        <f t="shared" si="26"/>
        <v>6.1</v>
      </c>
      <c r="BP284" s="3218">
        <f t="shared" si="26"/>
        <v>3.8000000000000003</v>
      </c>
      <c r="BQ284" s="3218">
        <f t="shared" si="26"/>
        <v>3.8000000000000003</v>
      </c>
      <c r="BR284" s="3218">
        <f t="shared" si="26"/>
        <v>3.8000000000000003</v>
      </c>
      <c r="BS284" s="3218">
        <f t="shared" si="26"/>
        <v>3.8000000000000003</v>
      </c>
      <c r="BT284" s="3218">
        <f t="shared" si="26"/>
        <v>3.8000000000000003</v>
      </c>
      <c r="BU284" s="3218">
        <f t="shared" si="26"/>
        <v>0.8</v>
      </c>
      <c r="BV284" s="3218">
        <f t="shared" si="26"/>
        <v>0.2</v>
      </c>
      <c r="BW284" s="3218">
        <f t="shared" si="26"/>
        <v>0.2</v>
      </c>
      <c r="BX284" s="3218">
        <f t="shared" si="26"/>
        <v>0</v>
      </c>
      <c r="BY284" s="3218">
        <f t="shared" si="26"/>
        <v>0.2</v>
      </c>
      <c r="BZ284" s="3218">
        <f t="shared" si="26"/>
        <v>0.7</v>
      </c>
      <c r="CA284" s="3218">
        <f t="shared" si="26"/>
        <v>0.2</v>
      </c>
      <c r="CB284" s="3218">
        <f t="shared" si="26"/>
        <v>0</v>
      </c>
      <c r="CC284" s="3218">
        <f t="shared" si="26"/>
        <v>0</v>
      </c>
      <c r="CD284" s="3218">
        <f t="shared" si="26"/>
        <v>0.2</v>
      </c>
      <c r="CE284" s="3218">
        <f t="shared" si="26"/>
        <v>6.9300000000000006</v>
      </c>
      <c r="CF284" s="3218">
        <f t="shared" si="26"/>
        <v>0.2</v>
      </c>
      <c r="CG284" s="3218">
        <f t="shared" si="26"/>
        <v>38.61</v>
      </c>
      <c r="CH284" s="3218">
        <f t="shared" si="26"/>
        <v>3.67</v>
      </c>
      <c r="CI284" s="3218">
        <f t="shared" si="26"/>
        <v>1114.1399999999996</v>
      </c>
    </row>
    <row r="285" spans="1:87">
      <c r="BB285" s="3217"/>
      <c r="BC285" s="3217"/>
      <c r="BD285" s="3217"/>
      <c r="BE285" s="3217"/>
      <c r="BF285" s="3217"/>
      <c r="BG285" s="3217"/>
      <c r="BH285" s="3217"/>
      <c r="BI285" s="3217"/>
      <c r="BJ285" s="3217"/>
      <c r="BK285" s="3217"/>
      <c r="BL285" s="3217"/>
      <c r="BM285" s="3217"/>
      <c r="BN285" s="3217"/>
      <c r="BO285" s="3217"/>
      <c r="BP285" s="3217"/>
      <c r="BQ285" s="3217"/>
      <c r="BR285" s="3217"/>
      <c r="BS285" s="3217"/>
      <c r="BT285" s="3217"/>
      <c r="BU285" s="3217"/>
      <c r="BV285" s="3217"/>
      <c r="BW285" s="3217"/>
      <c r="BX285" s="3217"/>
      <c r="BY285" s="3217"/>
      <c r="BZ285" s="3217"/>
      <c r="CA285" s="3217"/>
      <c r="CB285" s="3217"/>
      <c r="CC285" s="3217"/>
      <c r="CD285" s="3217"/>
      <c r="CE285" s="3217"/>
      <c r="CF285" s="3217"/>
      <c r="CG285" s="3217"/>
      <c r="CH285" s="3217"/>
      <c r="CI285" s="3217"/>
    </row>
  </sheetData>
  <sheetProtection password="CC49" sheet="1" objects="1" scenarios="1" autoFilter="0"/>
  <autoFilter ref="A4:BD283"/>
  <mergeCells count="13">
    <mergeCell ref="A145:C145"/>
    <mergeCell ref="A208:C208"/>
    <mergeCell ref="A247:C247"/>
    <mergeCell ref="A3:B4"/>
    <mergeCell ref="A6:C6"/>
    <mergeCell ref="A24:C24"/>
    <mergeCell ref="A1:C1"/>
    <mergeCell ref="K3:P3"/>
    <mergeCell ref="Q3:R3"/>
    <mergeCell ref="F3:J3"/>
    <mergeCell ref="C3:C4"/>
    <mergeCell ref="D3:D4"/>
    <mergeCell ref="E3:E4"/>
  </mergeCells>
  <phoneticPr fontId="68" type="noConversion"/>
  <pageMargins left="0.7" right="0.7" top="0.75" bottom="0.75" header="0.3" footer="0.3"/>
  <pageSetup paperSize="9" orientation="portrait" horizontalDpi="4294967295" verticalDpi="4294967295" r:id="rId1"/>
</worksheet>
</file>

<file path=xl/worksheets/sheet14.xml><?xml version="1.0" encoding="utf-8"?>
<worksheet xmlns="http://schemas.openxmlformats.org/spreadsheetml/2006/main" xmlns:r="http://schemas.openxmlformats.org/officeDocument/2006/relationships">
  <sheetPr codeName="Sheet8">
    <tabColor rgb="FF00B050"/>
  </sheetPr>
  <dimension ref="A1:CI63"/>
  <sheetViews>
    <sheetView zoomScale="80" zoomScaleNormal="80" workbookViewId="0">
      <pane xSplit="5" ySplit="7" topLeftCell="P50" activePane="bottomRight" state="frozen"/>
      <selection activeCell="A2" sqref="A2:A4"/>
      <selection pane="topRight" activeCell="A2" sqref="A2:A4"/>
      <selection pane="bottomLeft" activeCell="A2" sqref="A2:A4"/>
      <selection pane="bottomRight" activeCell="CG61" sqref="CG61"/>
    </sheetView>
  </sheetViews>
  <sheetFormatPr defaultColWidth="9.140625" defaultRowHeight="15"/>
  <cols>
    <col min="1" max="1" width="10.140625" style="1210" customWidth="1"/>
    <col min="2" max="2" width="19.85546875" style="1169" bestFit="1" customWidth="1"/>
    <col min="3" max="3" width="51" style="1129" customWidth="1"/>
    <col min="4" max="4" width="8.42578125" style="1147" customWidth="1"/>
    <col min="5" max="5" width="22.28515625" style="1147" customWidth="1"/>
    <col min="6" max="6" width="13.140625" style="1129" hidden="1" customWidth="1"/>
    <col min="7" max="7" width="20.5703125" style="1129" hidden="1" customWidth="1"/>
    <col min="8" max="8" width="12.140625" style="1129" hidden="1" customWidth="1"/>
    <col min="9" max="9" width="10.140625" style="1129" hidden="1" customWidth="1"/>
    <col min="10" max="10" width="17.7109375" style="1129" hidden="1" customWidth="1"/>
    <col min="11" max="11" width="10.140625" style="1129" hidden="1" customWidth="1"/>
    <col min="12" max="12" width="11.42578125" style="1129" hidden="1" customWidth="1"/>
    <col min="13" max="13" width="12.140625" style="979" hidden="1" customWidth="1"/>
    <col min="14" max="14" width="10.85546875" style="1129" hidden="1" customWidth="1"/>
    <col min="15" max="15" width="12.140625" style="979" hidden="1" customWidth="1"/>
    <col min="16" max="16" width="38.42578125" style="1210" customWidth="1"/>
    <col min="17" max="17" width="34.7109375" style="1210" customWidth="1"/>
    <col min="18" max="18" width="10.5703125" style="1212" customWidth="1"/>
    <col min="19" max="35" width="0" style="1129" hidden="1" customWidth="1"/>
    <col min="36" max="36" width="12.5703125" style="1129" hidden="1" customWidth="1"/>
    <col min="37" max="53" width="0" style="1129" hidden="1" customWidth="1"/>
    <col min="54" max="54" width="9.140625" style="1129"/>
    <col min="55" max="55" width="10" style="1129" bestFit="1" customWidth="1"/>
    <col min="56" max="56" width="9.140625" style="1129"/>
    <col min="57" max="57" width="11.28515625" style="1129" bestFit="1" customWidth="1"/>
    <col min="58" max="58" width="9.140625" style="1129"/>
    <col min="59" max="59" width="9.85546875" style="1129" bestFit="1" customWidth="1"/>
    <col min="60" max="63" width="9.140625" style="1129"/>
    <col min="64" max="64" width="10" style="1129" bestFit="1" customWidth="1"/>
    <col min="65" max="68" width="9.140625" style="1129"/>
    <col min="69" max="69" width="9.5703125" style="1129" bestFit="1" customWidth="1"/>
    <col min="70" max="70" width="11.28515625" style="1129" bestFit="1" customWidth="1"/>
    <col min="71" max="75" width="9.140625" style="1129"/>
    <col min="76" max="76" width="11.28515625" style="1129" bestFit="1" customWidth="1"/>
    <col min="77" max="16384" width="9.140625" style="1129"/>
  </cols>
  <sheetData>
    <row r="1" spans="1:87">
      <c r="A1" s="3869" t="s">
        <v>1162</v>
      </c>
      <c r="B1" s="3870"/>
      <c r="C1" s="3871"/>
      <c r="D1" s="1222"/>
      <c r="E1" s="3858" t="s">
        <v>4534</v>
      </c>
      <c r="F1" s="3909" t="s">
        <v>4532</v>
      </c>
      <c r="G1" s="3910"/>
      <c r="H1" s="3910"/>
      <c r="I1" s="3910"/>
      <c r="J1" s="3910"/>
      <c r="K1" s="3910"/>
      <c r="L1" s="3910"/>
      <c r="M1" s="3910"/>
      <c r="N1" s="3911"/>
      <c r="O1" s="3793" t="s">
        <v>65</v>
      </c>
      <c r="P1" s="3794"/>
      <c r="Q1" s="3794"/>
      <c r="R1" s="3794"/>
      <c r="S1" s="3794"/>
      <c r="T1" s="3794"/>
      <c r="U1" s="3794"/>
      <c r="V1" s="3794"/>
      <c r="W1" s="3794"/>
      <c r="X1" s="3794"/>
      <c r="Y1" s="3794"/>
      <c r="Z1" s="3794"/>
      <c r="AA1" s="3794"/>
      <c r="AB1" s="3794"/>
      <c r="AC1" s="3794"/>
      <c r="AD1" s="3794"/>
      <c r="AE1" s="3794"/>
      <c r="AF1" s="3794"/>
      <c r="AG1" s="3794"/>
      <c r="AH1" s="3794"/>
      <c r="AI1" s="3900" t="s">
        <v>4219</v>
      </c>
      <c r="AJ1" s="3901"/>
      <c r="AK1" s="3901"/>
      <c r="AL1" s="3901"/>
      <c r="AM1" s="3901"/>
      <c r="AN1" s="3901"/>
      <c r="AO1" s="3902"/>
      <c r="AP1" s="3889" t="s">
        <v>80</v>
      </c>
      <c r="AQ1" s="3890"/>
      <c r="AR1" s="3890"/>
      <c r="AS1" s="3890"/>
      <c r="AT1" s="3890"/>
      <c r="AU1" s="3890"/>
      <c r="AV1" s="3890"/>
      <c r="AW1" s="3890"/>
      <c r="AX1" s="3890"/>
      <c r="AY1" s="3890"/>
      <c r="AZ1" s="3890"/>
      <c r="BA1" s="3891"/>
    </row>
    <row r="2" spans="1:87" s="1169" customFormat="1" ht="30">
      <c r="A2" s="3855" t="str">
        <f>HYPERLINK("#Index!A4", "Index Pg")</f>
        <v>Index Pg</v>
      </c>
      <c r="B2" s="1379" t="str">
        <f>HYPERLINK("#'Summary of Abstracts'!A2", "Summary of Abst.")</f>
        <v>Summary of Abst.</v>
      </c>
      <c r="C2" s="869"/>
      <c r="D2" s="1224"/>
      <c r="E2" s="3858"/>
      <c r="F2" s="949" t="s">
        <v>113</v>
      </c>
      <c r="G2" s="949" t="s">
        <v>126</v>
      </c>
      <c r="H2" s="949" t="s">
        <v>86</v>
      </c>
      <c r="I2" s="949" t="s">
        <v>4530</v>
      </c>
      <c r="J2" s="949" t="s">
        <v>91</v>
      </c>
      <c r="K2" s="943" t="s">
        <v>3933</v>
      </c>
      <c r="L2" s="1552" t="s">
        <v>4531</v>
      </c>
      <c r="M2" s="1552" t="s">
        <v>4535</v>
      </c>
      <c r="N2" s="1552" t="s">
        <v>203</v>
      </c>
      <c r="O2" s="909" t="s">
        <v>4218</v>
      </c>
      <c r="P2" s="909" t="s">
        <v>3751</v>
      </c>
      <c r="Q2" s="909" t="s">
        <v>4543</v>
      </c>
      <c r="R2" s="909" t="s">
        <v>4540</v>
      </c>
      <c r="S2" s="909" t="s">
        <v>4541</v>
      </c>
      <c r="T2" s="909" t="s">
        <v>4542</v>
      </c>
      <c r="U2" s="909" t="s">
        <v>4544</v>
      </c>
      <c r="V2" s="909" t="s">
        <v>4528</v>
      </c>
      <c r="W2" s="909" t="s">
        <v>4545</v>
      </c>
      <c r="X2" s="909" t="s">
        <v>29</v>
      </c>
      <c r="Y2" s="909" t="s">
        <v>4546</v>
      </c>
      <c r="Z2" s="909" t="s">
        <v>4547</v>
      </c>
      <c r="AA2" s="909" t="s">
        <v>4537</v>
      </c>
      <c r="AB2" s="909" t="s">
        <v>737</v>
      </c>
      <c r="AC2" s="909" t="s">
        <v>4538</v>
      </c>
      <c r="AD2" s="909" t="s">
        <v>4539</v>
      </c>
      <c r="AE2" s="909" t="s">
        <v>2293</v>
      </c>
      <c r="AF2" s="909" t="s">
        <v>4548</v>
      </c>
      <c r="AG2" s="909" t="s">
        <v>3750</v>
      </c>
      <c r="AH2" s="909" t="s">
        <v>302</v>
      </c>
      <c r="AI2" s="910" t="s">
        <v>288</v>
      </c>
      <c r="AJ2" s="910" t="s">
        <v>109</v>
      </c>
      <c r="AK2" s="910" t="s">
        <v>141</v>
      </c>
      <c r="AL2" s="910" t="s">
        <v>4525</v>
      </c>
      <c r="AM2" s="910" t="s">
        <v>3223</v>
      </c>
      <c r="AN2" s="910" t="s">
        <v>3855</v>
      </c>
      <c r="AO2" s="910" t="s">
        <v>4405</v>
      </c>
      <c r="AP2" s="911" t="s">
        <v>81</v>
      </c>
      <c r="AQ2" s="911" t="s">
        <v>145</v>
      </c>
      <c r="AR2" s="911" t="s">
        <v>394</v>
      </c>
      <c r="AS2" s="911" t="s">
        <v>147</v>
      </c>
      <c r="AT2" s="911" t="s">
        <v>410</v>
      </c>
      <c r="AU2" s="911" t="s">
        <v>4459</v>
      </c>
      <c r="AV2" s="911" t="s">
        <v>3989</v>
      </c>
      <c r="AW2" s="911" t="s">
        <v>307</v>
      </c>
      <c r="AX2" s="911" t="s">
        <v>309</v>
      </c>
      <c r="AY2" s="911" t="s">
        <v>1028</v>
      </c>
      <c r="AZ2" s="911" t="s">
        <v>1014</v>
      </c>
      <c r="BA2" s="911" t="s">
        <v>4533</v>
      </c>
    </row>
    <row r="3" spans="1:87" s="1169" customFormat="1">
      <c r="A3" s="3856"/>
      <c r="B3" s="864" t="str">
        <f>HYPERLINK("#'Budget Summary I'!A1:AL1", "Budget Summary I")</f>
        <v>Budget Summary I</v>
      </c>
      <c r="C3" s="865" t="s">
        <v>4460</v>
      </c>
      <c r="D3" s="1224"/>
      <c r="E3" s="1226">
        <f>R7</f>
        <v>47.6</v>
      </c>
      <c r="F3" s="161">
        <f>R9</f>
        <v>2.25</v>
      </c>
      <c r="G3" s="161">
        <f>R10</f>
        <v>11.25</v>
      </c>
      <c r="H3" s="161"/>
      <c r="I3" s="161"/>
      <c r="J3" s="161"/>
      <c r="K3" s="985"/>
      <c r="L3" s="161"/>
      <c r="M3" s="161"/>
      <c r="N3" s="985">
        <f>R14+R48</f>
        <v>1</v>
      </c>
      <c r="O3" s="985"/>
      <c r="P3" s="985"/>
      <c r="Q3" s="985"/>
      <c r="R3" s="985"/>
      <c r="S3" s="985"/>
      <c r="T3" s="985"/>
      <c r="U3" s="985"/>
      <c r="V3" s="985"/>
      <c r="W3" s="985"/>
      <c r="X3" s="985"/>
      <c r="Y3" s="985"/>
      <c r="Z3" s="985"/>
      <c r="AA3" s="985"/>
      <c r="AB3" s="985"/>
      <c r="AC3" s="985"/>
      <c r="AD3" s="985"/>
      <c r="AE3" s="985"/>
      <c r="AF3" s="985"/>
      <c r="AG3" s="985"/>
      <c r="AH3" s="985">
        <f>R11+R13+R33+R46+R54+R62</f>
        <v>0</v>
      </c>
      <c r="AI3" s="985">
        <f>R49+R50+R51+R52</f>
        <v>22</v>
      </c>
      <c r="AJ3" s="985">
        <f>R15+R16+R17+R19+R20+R22+R23+R24+R36+R37+R38+R39+R40+R41+R53+R58+R59+R60</f>
        <v>2.1</v>
      </c>
      <c r="AK3" s="985">
        <f>R57</f>
        <v>0</v>
      </c>
      <c r="AL3" s="985">
        <f>R25+R26+R56</f>
        <v>9</v>
      </c>
      <c r="AM3" s="985"/>
      <c r="AN3" s="985"/>
      <c r="AO3" s="985"/>
      <c r="AP3" s="985">
        <f>R61</f>
        <v>0</v>
      </c>
      <c r="AQ3" s="985"/>
      <c r="AR3" s="985">
        <f>R32</f>
        <v>0</v>
      </c>
      <c r="AS3" s="985">
        <f>R27+R28</f>
        <v>0</v>
      </c>
      <c r="AT3" s="985">
        <f>R29+R30+R43+R44+R45</f>
        <v>0</v>
      </c>
      <c r="AU3" s="985"/>
      <c r="AV3" s="985">
        <f>R31</f>
        <v>0</v>
      </c>
      <c r="AW3" s="985"/>
      <c r="AX3" s="985"/>
      <c r="AY3" s="985"/>
      <c r="AZ3" s="985"/>
      <c r="BA3" s="985"/>
    </row>
    <row r="4" spans="1:87" s="1169" customFormat="1">
      <c r="A4" s="3857"/>
      <c r="B4" s="864" t="str">
        <f>HYPERLINK("#'Budget Summary II'!A3:B5", "Budget Summary II")</f>
        <v>Budget Summary II</v>
      </c>
      <c r="C4" s="865" t="s">
        <v>4461</v>
      </c>
      <c r="D4" s="1224"/>
      <c r="E4" s="1226">
        <f>O7</f>
        <v>60.1</v>
      </c>
      <c r="F4" s="161">
        <f>O9</f>
        <v>2.75</v>
      </c>
      <c r="G4" s="161">
        <f>O10</f>
        <v>11.25</v>
      </c>
      <c r="H4" s="161"/>
      <c r="I4" s="161"/>
      <c r="J4" s="161"/>
      <c r="K4" s="985"/>
      <c r="L4" s="161"/>
      <c r="M4" s="161"/>
      <c r="N4" s="985">
        <f>O14+O48</f>
        <v>1</v>
      </c>
      <c r="O4" s="985"/>
      <c r="P4" s="985"/>
      <c r="Q4" s="985"/>
      <c r="R4" s="985"/>
      <c r="S4" s="985"/>
      <c r="T4" s="985"/>
      <c r="U4" s="985"/>
      <c r="V4" s="985"/>
      <c r="W4" s="985"/>
      <c r="X4" s="985"/>
      <c r="Y4" s="985"/>
      <c r="Z4" s="985"/>
      <c r="AA4" s="985"/>
      <c r="AB4" s="985"/>
      <c r="AC4" s="985"/>
      <c r="AD4" s="985"/>
      <c r="AE4" s="985"/>
      <c r="AF4" s="985"/>
      <c r="AG4" s="985"/>
      <c r="AH4" s="985">
        <f>O11+O13+O33+O46+O54+O62</f>
        <v>0</v>
      </c>
      <c r="AI4" s="985">
        <f>O49+O50+O51+O52</f>
        <v>34</v>
      </c>
      <c r="AJ4" s="985">
        <f>O15+O16+O17+O19+O20+O22+O23+O24+O36+O37+O38+O39+O40+O41+O53+O58+O59+O60</f>
        <v>2.1</v>
      </c>
      <c r="AK4" s="985">
        <f>O57</f>
        <v>0</v>
      </c>
      <c r="AL4" s="985">
        <f>O25+O26+O56</f>
        <v>9</v>
      </c>
      <c r="AM4" s="985"/>
      <c r="AN4" s="985"/>
      <c r="AO4" s="985"/>
      <c r="AP4" s="985">
        <f>O61</f>
        <v>0</v>
      </c>
      <c r="AQ4" s="985"/>
      <c r="AR4" s="985">
        <f>O32</f>
        <v>0</v>
      </c>
      <c r="AS4" s="985">
        <f>O27+O28</f>
        <v>0</v>
      </c>
      <c r="AT4" s="985">
        <f>O29+O30+O43+O44+O45</f>
        <v>0</v>
      </c>
      <c r="AU4" s="985"/>
      <c r="AV4" s="985">
        <f>O31</f>
        <v>0</v>
      </c>
      <c r="AW4" s="985"/>
      <c r="AX4" s="985"/>
      <c r="AY4" s="985"/>
      <c r="AZ4" s="985"/>
      <c r="BA4" s="985"/>
    </row>
    <row r="5" spans="1:87" s="1147" customFormat="1">
      <c r="A5" s="3801" t="s">
        <v>48</v>
      </c>
      <c r="B5" s="3801" t="s">
        <v>49</v>
      </c>
      <c r="C5" s="3801" t="s">
        <v>50</v>
      </c>
      <c r="D5" s="3801" t="s">
        <v>51</v>
      </c>
      <c r="E5" s="3801" t="s">
        <v>52</v>
      </c>
      <c r="F5" s="3866" t="s">
        <v>4478</v>
      </c>
      <c r="G5" s="3866"/>
      <c r="H5" s="3866"/>
      <c r="I5" s="3866"/>
      <c r="J5" s="3866"/>
      <c r="K5" s="3894" t="s">
        <v>4484</v>
      </c>
      <c r="L5" s="3903"/>
      <c r="M5" s="3903"/>
      <c r="N5" s="3903"/>
      <c r="O5" s="3903"/>
      <c r="P5" s="3904"/>
      <c r="Q5" s="3905" t="s">
        <v>4514</v>
      </c>
      <c r="R5" s="3906"/>
    </row>
    <row r="6" spans="1:87" s="1147" customFormat="1" ht="57" customHeight="1">
      <c r="A6" s="3801"/>
      <c r="B6" s="3801"/>
      <c r="C6" s="3801"/>
      <c r="D6" s="3801"/>
      <c r="E6" s="3801"/>
      <c r="F6" s="918" t="s">
        <v>4479</v>
      </c>
      <c r="G6" s="918" t="s">
        <v>4482</v>
      </c>
      <c r="H6" s="918" t="s">
        <v>4480</v>
      </c>
      <c r="I6" s="918" t="s">
        <v>4483</v>
      </c>
      <c r="J6" s="918" t="s">
        <v>2448</v>
      </c>
      <c r="K6" s="919" t="s">
        <v>53</v>
      </c>
      <c r="L6" s="919" t="s">
        <v>54</v>
      </c>
      <c r="M6" s="920" t="s">
        <v>55</v>
      </c>
      <c r="N6" s="919" t="s">
        <v>56</v>
      </c>
      <c r="O6" s="920" t="s">
        <v>57</v>
      </c>
      <c r="P6" s="919" t="s">
        <v>5069</v>
      </c>
      <c r="Q6" s="921" t="s">
        <v>2450</v>
      </c>
      <c r="R6" s="922" t="s">
        <v>4515</v>
      </c>
      <c r="S6" s="1147" t="s">
        <v>4538</v>
      </c>
      <c r="BB6" s="3153" t="s">
        <v>5973</v>
      </c>
      <c r="BC6" s="3153" t="s">
        <v>5432</v>
      </c>
      <c r="BD6" s="3153" t="s">
        <v>5433</v>
      </c>
      <c r="BE6" s="3153" t="s">
        <v>5434</v>
      </c>
      <c r="BF6" s="3153" t="s">
        <v>5435</v>
      </c>
      <c r="BG6" s="3153" t="s">
        <v>5436</v>
      </c>
      <c r="BH6" s="3153" t="s">
        <v>5437</v>
      </c>
      <c r="BI6" s="3153" t="s">
        <v>5959</v>
      </c>
      <c r="BJ6" s="3153" t="s">
        <v>5438</v>
      </c>
      <c r="BK6" s="3153" t="s">
        <v>5439</v>
      </c>
      <c r="BL6" s="3153" t="s">
        <v>5960</v>
      </c>
      <c r="BM6" s="3153" t="s">
        <v>5440</v>
      </c>
      <c r="BN6" s="3153" t="s">
        <v>5441</v>
      </c>
      <c r="BO6" s="3153" t="s">
        <v>5961</v>
      </c>
      <c r="BP6" s="3153" t="s">
        <v>5974</v>
      </c>
      <c r="BQ6" s="3153" t="s">
        <v>5975</v>
      </c>
      <c r="BR6" s="3153" t="s">
        <v>5976</v>
      </c>
      <c r="BS6" s="3153" t="s">
        <v>5977</v>
      </c>
      <c r="BT6" s="3153" t="s">
        <v>5978</v>
      </c>
      <c r="BU6" s="3153" t="s">
        <v>5979</v>
      </c>
      <c r="BV6" s="3153" t="s">
        <v>5962</v>
      </c>
      <c r="BW6" s="3153" t="s">
        <v>5963</v>
      </c>
      <c r="BX6" s="3153" t="s">
        <v>5964</v>
      </c>
      <c r="BY6" s="3153" t="s">
        <v>5965</v>
      </c>
      <c r="BZ6" s="3153" t="s">
        <v>5966</v>
      </c>
      <c r="CA6" s="3153" t="s">
        <v>5967</v>
      </c>
      <c r="CB6" s="3153" t="s">
        <v>5968</v>
      </c>
      <c r="CC6" s="3153" t="s">
        <v>5969</v>
      </c>
      <c r="CD6" s="3153" t="s">
        <v>5970</v>
      </c>
      <c r="CE6" s="3153" t="s">
        <v>5980</v>
      </c>
      <c r="CF6" s="3153" t="s">
        <v>5971</v>
      </c>
      <c r="CG6" s="3153" t="s">
        <v>5981</v>
      </c>
      <c r="CH6" s="3153" t="s">
        <v>5982</v>
      </c>
      <c r="CI6" s="3153" t="s">
        <v>5972</v>
      </c>
    </row>
    <row r="7" spans="1:87" ht="15.75" customHeight="1">
      <c r="A7" s="217">
        <v>10</v>
      </c>
      <c r="B7" s="1241"/>
      <c r="C7" s="217" t="s">
        <v>2768</v>
      </c>
      <c r="D7" s="991"/>
      <c r="E7" s="991"/>
      <c r="F7" s="991"/>
      <c r="G7" s="991"/>
      <c r="H7" s="991"/>
      <c r="I7" s="991"/>
      <c r="J7" s="991"/>
      <c r="K7" s="991"/>
      <c r="L7" s="991"/>
      <c r="M7" s="160"/>
      <c r="N7" s="991"/>
      <c r="O7" s="207">
        <f>O8+O12+O34+O47+O55</f>
        <v>60.1</v>
      </c>
      <c r="P7" s="217"/>
      <c r="Q7" s="217"/>
      <c r="R7" s="207">
        <f>R8+R12+R34+R47+R55</f>
        <v>47.6</v>
      </c>
      <c r="S7" s="1129">
        <v>0</v>
      </c>
      <c r="BB7" s="897"/>
      <c r="BC7" s="897"/>
      <c r="BD7" s="897"/>
      <c r="BE7" s="897"/>
      <c r="BF7" s="897"/>
      <c r="BG7" s="897"/>
      <c r="BH7" s="897"/>
      <c r="BI7" s="897"/>
      <c r="BJ7" s="897"/>
      <c r="BK7" s="897"/>
      <c r="BL7" s="897"/>
      <c r="BM7" s="897"/>
      <c r="BN7" s="897"/>
      <c r="BO7" s="897"/>
      <c r="BP7" s="897"/>
      <c r="BQ7" s="897"/>
      <c r="BR7" s="897"/>
      <c r="BS7" s="897"/>
      <c r="BT7" s="897"/>
      <c r="BU7" s="897"/>
      <c r="BV7" s="897"/>
      <c r="BW7" s="897"/>
      <c r="BX7" s="897"/>
      <c r="BY7" s="897"/>
      <c r="BZ7" s="897"/>
      <c r="CA7" s="897"/>
      <c r="CB7" s="897"/>
      <c r="CC7" s="897"/>
      <c r="CD7" s="897"/>
      <c r="CE7" s="897"/>
      <c r="CF7" s="897"/>
      <c r="CG7" s="897"/>
      <c r="CH7" s="897"/>
      <c r="CI7" s="897"/>
    </row>
    <row r="8" spans="1:87" s="1555" customFormat="1">
      <c r="A8" s="1290">
        <v>10.1</v>
      </c>
      <c r="B8" s="1553"/>
      <c r="C8" s="1148" t="s">
        <v>20</v>
      </c>
      <c r="D8" s="1554"/>
      <c r="E8" s="1554"/>
      <c r="F8" s="1148"/>
      <c r="G8" s="1148"/>
      <c r="H8" s="1148"/>
      <c r="I8" s="1148"/>
      <c r="J8" s="1148"/>
      <c r="K8" s="1148"/>
      <c r="L8" s="1148"/>
      <c r="M8" s="1453"/>
      <c r="N8" s="1148"/>
      <c r="O8" s="1453">
        <f>SUM(O9:O11)</f>
        <v>14</v>
      </c>
      <c r="P8" s="84"/>
      <c r="Q8" s="84"/>
      <c r="R8" s="654">
        <f>SUM(R9:R11)</f>
        <v>13.5</v>
      </c>
      <c r="BB8" s="3156"/>
      <c r="BC8" s="3156"/>
      <c r="BD8" s="3156"/>
      <c r="BE8" s="3156"/>
      <c r="BF8" s="3156"/>
      <c r="BG8" s="3156"/>
      <c r="BH8" s="3156"/>
      <c r="BI8" s="3156"/>
      <c r="BJ8" s="3156"/>
      <c r="BK8" s="3156"/>
      <c r="BL8" s="3156"/>
      <c r="BM8" s="3156"/>
      <c r="BN8" s="3156"/>
      <c r="BO8" s="3156"/>
      <c r="BP8" s="3156"/>
      <c r="BQ8" s="3156"/>
      <c r="BR8" s="3156"/>
      <c r="BS8" s="3156"/>
      <c r="BT8" s="3156"/>
      <c r="BU8" s="3156"/>
      <c r="BV8" s="3156"/>
      <c r="BW8" s="3156"/>
      <c r="BX8" s="3156"/>
      <c r="BY8" s="3156"/>
      <c r="BZ8" s="3156"/>
      <c r="CA8" s="3156"/>
      <c r="CB8" s="3156"/>
      <c r="CC8" s="3156"/>
      <c r="CD8" s="3156"/>
      <c r="CE8" s="3156"/>
      <c r="CF8" s="3156"/>
      <c r="CG8" s="3156"/>
      <c r="CH8" s="3156"/>
      <c r="CI8" s="3156"/>
    </row>
    <row r="9" spans="1:87" s="2374" customFormat="1" ht="59.25" customHeight="1">
      <c r="A9" s="1556" t="s">
        <v>1163</v>
      </c>
      <c r="B9" s="1308" t="s">
        <v>764</v>
      </c>
      <c r="C9" s="521" t="s">
        <v>1164</v>
      </c>
      <c r="D9" s="1738" t="s">
        <v>85</v>
      </c>
      <c r="E9" s="1734" t="s">
        <v>113</v>
      </c>
      <c r="F9" s="2231">
        <v>125</v>
      </c>
      <c r="G9" s="2475"/>
      <c r="H9" s="2369">
        <v>1.5</v>
      </c>
      <c r="I9" s="2440">
        <v>0.05</v>
      </c>
      <c r="J9" s="2440">
        <v>1.45</v>
      </c>
      <c r="K9" s="484"/>
      <c r="L9" s="2440">
        <v>2200</v>
      </c>
      <c r="M9" s="298">
        <f>L9/100000</f>
        <v>2.1999999999999999E-2</v>
      </c>
      <c r="N9" s="2440">
        <v>125</v>
      </c>
      <c r="O9" s="298">
        <f>M9*N9</f>
        <v>2.75</v>
      </c>
      <c r="P9" s="2441" t="s">
        <v>5390</v>
      </c>
      <c r="Q9" s="2438" t="str">
        <f>'Ab1. RMNCH+A'!Q91</f>
        <v>Ongoing activity:  Recommended for approval for Rs. 2.25 lakhs for:Activity 1: Rs. 1.25 lakhs for MDR @ Rs. 1250/- per case for 100 casesActivity 2: Rs. 1 lakh for first responder under SUMAN @ Rs. 1000/- for 100 deaths</v>
      </c>
      <c r="R9" s="655">
        <f>'Ab1. RMNCH+A'!R91</f>
        <v>2.25</v>
      </c>
      <c r="BB9" s="2629">
        <v>0.98</v>
      </c>
      <c r="BC9" s="2629">
        <v>0.09</v>
      </c>
      <c r="BD9" s="2629">
        <v>0.11</v>
      </c>
      <c r="BE9" s="2629">
        <v>0.09</v>
      </c>
      <c r="BF9" s="2629">
        <v>0.19</v>
      </c>
      <c r="BG9" s="2629">
        <v>0.05</v>
      </c>
      <c r="BH9" s="2629">
        <v>0.09</v>
      </c>
      <c r="BI9" s="2629">
        <v>0.03</v>
      </c>
      <c r="BJ9" s="2629">
        <v>0.19</v>
      </c>
      <c r="BK9" s="2629">
        <v>0.16</v>
      </c>
      <c r="BL9" s="2629">
        <v>0.09</v>
      </c>
      <c r="BM9" s="2629">
        <v>0.09</v>
      </c>
      <c r="BN9" s="2629">
        <v>0.09</v>
      </c>
      <c r="BO9" s="2629"/>
      <c r="BP9" s="2629"/>
      <c r="BQ9" s="2629"/>
      <c r="BR9" s="2629"/>
      <c r="BS9" s="2629"/>
      <c r="BT9" s="2629"/>
      <c r="BU9" s="2629"/>
      <c r="BV9" s="2629"/>
      <c r="BW9" s="2629"/>
      <c r="BX9" s="2629"/>
      <c r="BY9" s="2629"/>
      <c r="BZ9" s="2629"/>
      <c r="CA9" s="2629"/>
      <c r="CB9" s="2629"/>
      <c r="CC9" s="2629"/>
      <c r="CD9" s="2629"/>
      <c r="CE9" s="2629"/>
      <c r="CF9" s="2629"/>
      <c r="CG9" s="2629"/>
      <c r="CH9" s="2629"/>
      <c r="CI9" s="2629">
        <f>SUM(BB9:CH9)</f>
        <v>2.25</v>
      </c>
    </row>
    <row r="10" spans="1:87" s="2374" customFormat="1" ht="34.5" customHeight="1">
      <c r="A10" s="1556" t="s">
        <v>2091</v>
      </c>
      <c r="B10" s="1308" t="s">
        <v>830</v>
      </c>
      <c r="C10" s="521" t="s">
        <v>1165</v>
      </c>
      <c r="D10" s="1738" t="s">
        <v>85</v>
      </c>
      <c r="E10" s="1734" t="s">
        <v>126</v>
      </c>
      <c r="F10" s="2642">
        <v>500</v>
      </c>
      <c r="G10" s="484"/>
      <c r="H10" s="2369">
        <v>3.25</v>
      </c>
      <c r="I10" s="2643">
        <v>0.56000000000000005</v>
      </c>
      <c r="J10" s="2644">
        <v>2.69</v>
      </c>
      <c r="K10" s="2644">
        <v>1</v>
      </c>
      <c r="L10" s="2504">
        <v>750</v>
      </c>
      <c r="M10" s="298">
        <f>L10/100000</f>
        <v>7.4999999999999997E-3</v>
      </c>
      <c r="N10" s="2504">
        <v>1500</v>
      </c>
      <c r="O10" s="298">
        <f>M10*N10</f>
        <v>11.25</v>
      </c>
      <c r="P10" s="108" t="s">
        <v>5467</v>
      </c>
      <c r="Q10" s="1004" t="str">
        <f>'Ab1. RMNCH+A'!Q174</f>
        <v>Ongoing Activity:Recommended for approval of Rs. 11.25 Lakhs for implementation of CDR Mechanism as per below details:CDR of 1500 cases @ Rs.750 per child (Rs.100 for FBIR to ANMs, Rs. 500 for Verbal Autopsy at community level (investigation team), Rs.100 to Family for Under 5 Children as travel cost to attend meeting at DM/ CMHO level and Rs.50 to ASHAs for Notification of Under 5 Deaths).</v>
      </c>
      <c r="R10" s="655">
        <f>'Ab1. RMNCH+A'!R174</f>
        <v>11.25</v>
      </c>
      <c r="BB10" s="2629"/>
      <c r="BC10" s="2629">
        <v>0.5</v>
      </c>
      <c r="BD10" s="2629">
        <v>0.3</v>
      </c>
      <c r="BE10" s="2629">
        <v>1.5</v>
      </c>
      <c r="BF10" s="2629">
        <v>3</v>
      </c>
      <c r="BG10" s="2629">
        <v>0.1</v>
      </c>
      <c r="BH10" s="2629">
        <v>0.5</v>
      </c>
      <c r="BI10" s="2629">
        <v>0.05</v>
      </c>
      <c r="BJ10" s="2629">
        <v>1</v>
      </c>
      <c r="BK10" s="2629">
        <v>3</v>
      </c>
      <c r="BL10" s="2629">
        <v>0.3</v>
      </c>
      <c r="BM10" s="2629">
        <v>0.5</v>
      </c>
      <c r="BN10" s="2629">
        <v>0.5</v>
      </c>
      <c r="BO10" s="2629"/>
      <c r="BP10" s="2629"/>
      <c r="BQ10" s="2629"/>
      <c r="BR10" s="2629"/>
      <c r="BS10" s="2629"/>
      <c r="BT10" s="2629"/>
      <c r="BU10" s="2629"/>
      <c r="BV10" s="2629"/>
      <c r="BW10" s="2629"/>
      <c r="BX10" s="2629"/>
      <c r="BY10" s="2629"/>
      <c r="BZ10" s="2629"/>
      <c r="CA10" s="2629"/>
      <c r="CB10" s="2629"/>
      <c r="CC10" s="2629"/>
      <c r="CD10" s="2629"/>
      <c r="CE10" s="2629"/>
      <c r="CF10" s="2629"/>
      <c r="CG10" s="2629"/>
      <c r="CH10" s="2629"/>
      <c r="CI10" s="2629">
        <f t="shared" ref="CI10:CI62" si="0">SUM(BB10:CH10)</f>
        <v>11.25</v>
      </c>
    </row>
    <row r="11" spans="1:87" s="1555" customFormat="1">
      <c r="A11" s="1556" t="s">
        <v>2532</v>
      </c>
      <c r="B11" s="1308"/>
      <c r="C11" s="509" t="s">
        <v>1304</v>
      </c>
      <c r="D11" s="908" t="s">
        <v>65</v>
      </c>
      <c r="E11" s="1557" t="s">
        <v>65</v>
      </c>
      <c r="F11" s="2218">
        <v>0</v>
      </c>
      <c r="G11" s="432"/>
      <c r="H11" s="2218">
        <v>0</v>
      </c>
      <c r="I11" s="432"/>
      <c r="J11" s="432"/>
      <c r="K11" s="432"/>
      <c r="L11" s="277"/>
      <c r="M11" s="297">
        <f>L11/100000</f>
        <v>0</v>
      </c>
      <c r="N11" s="277"/>
      <c r="O11" s="297">
        <f>M11*N11</f>
        <v>0</v>
      </c>
      <c r="P11" s="228"/>
      <c r="Q11" s="329"/>
      <c r="R11" s="213"/>
      <c r="BB11" s="3156"/>
      <c r="BC11" s="3156"/>
      <c r="BD11" s="3156"/>
      <c r="BE11" s="3156"/>
      <c r="BF11" s="3156"/>
      <c r="BG11" s="3156"/>
      <c r="BH11" s="3156"/>
      <c r="BI11" s="3156"/>
      <c r="BJ11" s="3156"/>
      <c r="BK11" s="3156"/>
      <c r="BL11" s="3156"/>
      <c r="BM11" s="3156"/>
      <c r="BN11" s="3156"/>
      <c r="BO11" s="3156"/>
      <c r="BP11" s="3156"/>
      <c r="BQ11" s="3156"/>
      <c r="BR11" s="3156"/>
      <c r="BS11" s="3156"/>
      <c r="BT11" s="3156"/>
      <c r="BU11" s="3156"/>
      <c r="BV11" s="3156"/>
      <c r="BW11" s="3156"/>
      <c r="BX11" s="3156"/>
      <c r="BY11" s="3156"/>
      <c r="BZ11" s="3156"/>
      <c r="CA11" s="3156"/>
      <c r="CB11" s="3156"/>
      <c r="CC11" s="3156"/>
      <c r="CD11" s="3156"/>
      <c r="CE11" s="3156"/>
      <c r="CF11" s="3156"/>
      <c r="CG11" s="3156"/>
      <c r="CH11" s="3156"/>
      <c r="CI11" s="2629">
        <f t="shared" si="0"/>
        <v>0</v>
      </c>
    </row>
    <row r="12" spans="1:87" s="1555" customFormat="1">
      <c r="A12" s="1290">
        <v>10.199999999999999</v>
      </c>
      <c r="B12" s="1553"/>
      <c r="C12" s="1148" t="s">
        <v>21</v>
      </c>
      <c r="D12" s="1554"/>
      <c r="E12" s="1554"/>
      <c r="F12" s="267"/>
      <c r="G12" s="267"/>
      <c r="H12" s="267"/>
      <c r="I12" s="267"/>
      <c r="J12" s="267"/>
      <c r="K12" s="267"/>
      <c r="L12" s="267"/>
      <c r="M12" s="1453"/>
      <c r="N12" s="267"/>
      <c r="O12" s="654">
        <f>SUM(O13:O17)+O18+O21+SUM(O25:O33)</f>
        <v>9</v>
      </c>
      <c r="P12" s="93"/>
      <c r="Q12" s="84"/>
      <c r="R12" s="654">
        <f>SUM(R13:R17)+R18+R21+SUM(R25:R33)</f>
        <v>9</v>
      </c>
      <c r="BB12" s="3156"/>
      <c r="BC12" s="3156"/>
      <c r="BD12" s="3156"/>
      <c r="BE12" s="3156"/>
      <c r="BF12" s="3156"/>
      <c r="BG12" s="3156"/>
      <c r="BH12" s="3156"/>
      <c r="BI12" s="3156"/>
      <c r="BJ12" s="3156"/>
      <c r="BK12" s="3156"/>
      <c r="BL12" s="3156"/>
      <c r="BM12" s="3156"/>
      <c r="BN12" s="3156"/>
      <c r="BO12" s="3156"/>
      <c r="BP12" s="3156"/>
      <c r="BQ12" s="3156"/>
      <c r="BR12" s="3156"/>
      <c r="BS12" s="3156"/>
      <c r="BT12" s="3156"/>
      <c r="BU12" s="3156"/>
      <c r="BV12" s="3156"/>
      <c r="BW12" s="3156"/>
      <c r="BX12" s="3156"/>
      <c r="BY12" s="3156"/>
      <c r="BZ12" s="3156"/>
      <c r="CA12" s="3156"/>
      <c r="CB12" s="3156"/>
      <c r="CC12" s="3156"/>
      <c r="CD12" s="3156"/>
      <c r="CE12" s="3156"/>
      <c r="CF12" s="3156"/>
      <c r="CG12" s="3156"/>
      <c r="CH12" s="3156"/>
      <c r="CI12" s="2629">
        <f t="shared" si="0"/>
        <v>0</v>
      </c>
    </row>
    <row r="13" spans="1:87" s="1555" customFormat="1">
      <c r="A13" s="1556" t="s">
        <v>1166</v>
      </c>
      <c r="B13" s="1349" t="s">
        <v>1167</v>
      </c>
      <c r="C13" s="1559" t="s">
        <v>1168</v>
      </c>
      <c r="D13" s="908" t="s">
        <v>65</v>
      </c>
      <c r="E13" s="1557" t="s">
        <v>65</v>
      </c>
      <c r="F13" s="2218">
        <v>0</v>
      </c>
      <c r="G13" s="432"/>
      <c r="H13" s="2218">
        <v>0</v>
      </c>
      <c r="I13" s="432"/>
      <c r="J13" s="432"/>
      <c r="K13" s="432"/>
      <c r="L13" s="277"/>
      <c r="M13" s="297">
        <f>L13/100000</f>
        <v>0</v>
      </c>
      <c r="N13" s="277"/>
      <c r="O13" s="297">
        <f>M13*N13</f>
        <v>0</v>
      </c>
      <c r="P13" s="228"/>
      <c r="Q13" s="329"/>
      <c r="R13" s="213"/>
      <c r="BB13" s="3156"/>
      <c r="BC13" s="3156"/>
      <c r="BD13" s="3156"/>
      <c r="BE13" s="3156"/>
      <c r="BF13" s="3156"/>
      <c r="BG13" s="3156"/>
      <c r="BH13" s="3156"/>
      <c r="BI13" s="3156"/>
      <c r="BJ13" s="3156"/>
      <c r="BK13" s="3156"/>
      <c r="BL13" s="3156"/>
      <c r="BM13" s="3156"/>
      <c r="BN13" s="3156"/>
      <c r="BO13" s="3156"/>
      <c r="BP13" s="3156"/>
      <c r="BQ13" s="3156"/>
      <c r="BR13" s="3156"/>
      <c r="BS13" s="3156"/>
      <c r="BT13" s="3156"/>
      <c r="BU13" s="3156"/>
      <c r="BV13" s="3156"/>
      <c r="BW13" s="3156"/>
      <c r="BX13" s="3156"/>
      <c r="BY13" s="3156"/>
      <c r="BZ13" s="3156"/>
      <c r="CA13" s="3156"/>
      <c r="CB13" s="3156"/>
      <c r="CC13" s="3156"/>
      <c r="CD13" s="3156"/>
      <c r="CE13" s="3156"/>
      <c r="CF13" s="3156"/>
      <c r="CG13" s="3156"/>
      <c r="CH13" s="3156"/>
      <c r="CI13" s="2629">
        <f t="shared" si="0"/>
        <v>0</v>
      </c>
    </row>
    <row r="14" spans="1:87">
      <c r="A14" s="1556" t="s">
        <v>1169</v>
      </c>
      <c r="B14" s="1349" t="s">
        <v>1170</v>
      </c>
      <c r="C14" s="1349" t="s">
        <v>1171</v>
      </c>
      <c r="D14" s="1438" t="s">
        <v>85</v>
      </c>
      <c r="E14" s="1171" t="s">
        <v>203</v>
      </c>
      <c r="F14" s="2211">
        <v>0</v>
      </c>
      <c r="G14" s="276"/>
      <c r="H14" s="2211">
        <v>0</v>
      </c>
      <c r="I14" s="276"/>
      <c r="J14" s="276"/>
      <c r="K14" s="276"/>
      <c r="L14" s="277"/>
      <c r="M14" s="297">
        <f>L14/100000</f>
        <v>0</v>
      </c>
      <c r="N14" s="277"/>
      <c r="O14" s="297">
        <f>M14*N14</f>
        <v>0</v>
      </c>
      <c r="P14" s="250"/>
      <c r="Q14" s="246"/>
      <c r="R14" s="690">
        <f>'Ab2. NIDDCP'!R16</f>
        <v>0</v>
      </c>
      <c r="BB14" s="897"/>
      <c r="BC14" s="897"/>
      <c r="BD14" s="897"/>
      <c r="BE14" s="897"/>
      <c r="BF14" s="897"/>
      <c r="BG14" s="897"/>
      <c r="BH14" s="897"/>
      <c r="BI14" s="897"/>
      <c r="BJ14" s="897"/>
      <c r="BK14" s="897"/>
      <c r="BL14" s="897"/>
      <c r="BM14" s="897"/>
      <c r="BN14" s="897"/>
      <c r="BO14" s="897"/>
      <c r="BP14" s="897"/>
      <c r="BQ14" s="897"/>
      <c r="BR14" s="897"/>
      <c r="BS14" s="897"/>
      <c r="BT14" s="897"/>
      <c r="BU14" s="897"/>
      <c r="BV14" s="897"/>
      <c r="BW14" s="897"/>
      <c r="BX14" s="897"/>
      <c r="BY14" s="897"/>
      <c r="BZ14" s="897"/>
      <c r="CA14" s="897"/>
      <c r="CB14" s="897"/>
      <c r="CC14" s="897"/>
      <c r="CD14" s="897"/>
      <c r="CE14" s="897"/>
      <c r="CF14" s="897"/>
      <c r="CG14" s="897"/>
      <c r="CH14" s="897"/>
      <c r="CI14" s="2629">
        <f t="shared" si="0"/>
        <v>0</v>
      </c>
    </row>
    <row r="15" spans="1:87" s="1555" customFormat="1">
      <c r="A15" s="1556" t="s">
        <v>1172</v>
      </c>
      <c r="B15" s="390" t="s">
        <v>1173</v>
      </c>
      <c r="C15" s="390" t="s">
        <v>1174</v>
      </c>
      <c r="D15" s="1007" t="s">
        <v>4219</v>
      </c>
      <c r="E15" s="1557" t="s">
        <v>1675</v>
      </c>
      <c r="F15" s="2218">
        <v>0</v>
      </c>
      <c r="G15" s="432"/>
      <c r="H15" s="2218">
        <v>0</v>
      </c>
      <c r="I15" s="432"/>
      <c r="J15" s="432"/>
      <c r="K15" s="432"/>
      <c r="L15" s="277"/>
      <c r="M15" s="297">
        <f>L15/100000</f>
        <v>0</v>
      </c>
      <c r="N15" s="277"/>
      <c r="O15" s="297">
        <f>M15*N15</f>
        <v>0</v>
      </c>
      <c r="P15" s="228"/>
      <c r="Q15" s="433">
        <f>'Abs9. NVBDCP'!Q71</f>
        <v>0</v>
      </c>
      <c r="R15" s="210">
        <f>'Abs9. NVBDCP'!R71</f>
        <v>0</v>
      </c>
      <c r="BB15" s="3156"/>
      <c r="BC15" s="3156"/>
      <c r="BD15" s="3156"/>
      <c r="BE15" s="3156"/>
      <c r="BF15" s="3156"/>
      <c r="BG15" s="3156"/>
      <c r="BH15" s="3156"/>
      <c r="BI15" s="3156"/>
      <c r="BJ15" s="3156"/>
      <c r="BK15" s="3156"/>
      <c r="BL15" s="3156"/>
      <c r="BM15" s="3156"/>
      <c r="BN15" s="3156"/>
      <c r="BO15" s="3156"/>
      <c r="BP15" s="3156"/>
      <c r="BQ15" s="3156"/>
      <c r="BR15" s="3156"/>
      <c r="BS15" s="3156"/>
      <c r="BT15" s="3156"/>
      <c r="BU15" s="3156"/>
      <c r="BV15" s="3156"/>
      <c r="BW15" s="3156"/>
      <c r="BX15" s="3156"/>
      <c r="BY15" s="3156"/>
      <c r="BZ15" s="3156"/>
      <c r="CA15" s="3156"/>
      <c r="CB15" s="3156"/>
      <c r="CC15" s="3156"/>
      <c r="CD15" s="3156"/>
      <c r="CE15" s="3156"/>
      <c r="CF15" s="3156"/>
      <c r="CG15" s="3156"/>
      <c r="CH15" s="3156"/>
      <c r="CI15" s="2629">
        <f t="shared" si="0"/>
        <v>0</v>
      </c>
    </row>
    <row r="16" spans="1:87" s="1555" customFormat="1" ht="30">
      <c r="A16" s="1556" t="s">
        <v>1175</v>
      </c>
      <c r="B16" s="390" t="s">
        <v>1176</v>
      </c>
      <c r="C16" s="390" t="s">
        <v>1177</v>
      </c>
      <c r="D16" s="1007" t="s">
        <v>4219</v>
      </c>
      <c r="E16" s="1557" t="s">
        <v>4711</v>
      </c>
      <c r="F16" s="2218">
        <v>0</v>
      </c>
      <c r="G16" s="432"/>
      <c r="H16" s="2218">
        <v>0</v>
      </c>
      <c r="I16" s="432"/>
      <c r="J16" s="432"/>
      <c r="K16" s="432"/>
      <c r="L16" s="277"/>
      <c r="M16" s="297">
        <f>L16/100000</f>
        <v>0</v>
      </c>
      <c r="N16" s="277"/>
      <c r="O16" s="297">
        <f>M16*N16</f>
        <v>0</v>
      </c>
      <c r="P16" s="228"/>
      <c r="Q16" s="433">
        <f>'Abs9. NVBDCP'!Q72</f>
        <v>0</v>
      </c>
      <c r="R16" s="210">
        <f>'Abs9. NVBDCP'!R72</f>
        <v>0</v>
      </c>
      <c r="BB16" s="3156"/>
      <c r="BC16" s="3156"/>
      <c r="BD16" s="3156"/>
      <c r="BE16" s="3156"/>
      <c r="BF16" s="3156"/>
      <c r="BG16" s="3156"/>
      <c r="BH16" s="3156"/>
      <c r="BI16" s="3156"/>
      <c r="BJ16" s="3156"/>
      <c r="BK16" s="3156"/>
      <c r="BL16" s="3156"/>
      <c r="BM16" s="3156"/>
      <c r="BN16" s="3156"/>
      <c r="BO16" s="3156"/>
      <c r="BP16" s="3156"/>
      <c r="BQ16" s="3156"/>
      <c r="BR16" s="3156"/>
      <c r="BS16" s="3156"/>
      <c r="BT16" s="3156"/>
      <c r="BU16" s="3156"/>
      <c r="BV16" s="3156"/>
      <c r="BW16" s="3156"/>
      <c r="BX16" s="3156"/>
      <c r="BY16" s="3156"/>
      <c r="BZ16" s="3156"/>
      <c r="CA16" s="3156"/>
      <c r="CB16" s="3156"/>
      <c r="CC16" s="3156"/>
      <c r="CD16" s="3156"/>
      <c r="CE16" s="3156"/>
      <c r="CF16" s="3156"/>
      <c r="CG16" s="3156"/>
      <c r="CH16" s="3156"/>
      <c r="CI16" s="2629">
        <f t="shared" si="0"/>
        <v>0</v>
      </c>
    </row>
    <row r="17" spans="1:87" s="1555" customFormat="1" ht="30">
      <c r="A17" s="1556" t="s">
        <v>1178</v>
      </c>
      <c r="B17" s="390" t="s">
        <v>1179</v>
      </c>
      <c r="C17" s="390" t="s">
        <v>1180</v>
      </c>
      <c r="D17" s="1007" t="s">
        <v>4219</v>
      </c>
      <c r="E17" s="1557" t="s">
        <v>4711</v>
      </c>
      <c r="F17" s="2207">
        <v>0</v>
      </c>
      <c r="G17" s="367"/>
      <c r="H17" s="2207">
        <v>0</v>
      </c>
      <c r="I17" s="367"/>
      <c r="J17" s="367"/>
      <c r="K17" s="367"/>
      <c r="L17" s="277"/>
      <c r="M17" s="297">
        <f>L17/100000</f>
        <v>0</v>
      </c>
      <c r="N17" s="277"/>
      <c r="O17" s="297">
        <f>M17*N17</f>
        <v>0</v>
      </c>
      <c r="P17" s="250"/>
      <c r="Q17" s="433">
        <f>'Abs9. NVBDCP'!Q73</f>
        <v>0</v>
      </c>
      <c r="R17" s="210">
        <f>'Abs9. NVBDCP'!R73</f>
        <v>0</v>
      </c>
      <c r="BB17" s="3156"/>
      <c r="BC17" s="3156"/>
      <c r="BD17" s="3156"/>
      <c r="BE17" s="3156"/>
      <c r="BF17" s="3156"/>
      <c r="BG17" s="3156"/>
      <c r="BH17" s="3156"/>
      <c r="BI17" s="3156"/>
      <c r="BJ17" s="3156"/>
      <c r="BK17" s="3156"/>
      <c r="BL17" s="3156"/>
      <c r="BM17" s="3156"/>
      <c r="BN17" s="3156"/>
      <c r="BO17" s="3156"/>
      <c r="BP17" s="3156"/>
      <c r="BQ17" s="3156"/>
      <c r="BR17" s="3156"/>
      <c r="BS17" s="3156"/>
      <c r="BT17" s="3156"/>
      <c r="BU17" s="3156"/>
      <c r="BV17" s="3156"/>
      <c r="BW17" s="3156"/>
      <c r="BX17" s="3156"/>
      <c r="BY17" s="3156"/>
      <c r="BZ17" s="3156"/>
      <c r="CA17" s="3156"/>
      <c r="CB17" s="3156"/>
      <c r="CC17" s="3156"/>
      <c r="CD17" s="3156"/>
      <c r="CE17" s="3156"/>
      <c r="CF17" s="3156"/>
      <c r="CG17" s="3156"/>
      <c r="CH17" s="3156"/>
      <c r="CI17" s="2629">
        <f t="shared" si="0"/>
        <v>0</v>
      </c>
    </row>
    <row r="18" spans="1:87" s="1555" customFormat="1" ht="30">
      <c r="A18" s="1530" t="s">
        <v>1181</v>
      </c>
      <c r="B18" s="1560" t="s">
        <v>1182</v>
      </c>
      <c r="C18" s="1542" t="s">
        <v>1183</v>
      </c>
      <c r="D18" s="1561"/>
      <c r="E18" s="1562"/>
      <c r="F18" s="434"/>
      <c r="G18" s="434"/>
      <c r="H18" s="434"/>
      <c r="I18" s="434"/>
      <c r="J18" s="434"/>
      <c r="K18" s="434"/>
      <c r="L18" s="434"/>
      <c r="M18" s="1563"/>
      <c r="N18" s="268"/>
      <c r="O18" s="1564">
        <f>SUM(O19:O20)</f>
        <v>0</v>
      </c>
      <c r="P18" s="435"/>
      <c r="Q18" s="85"/>
      <c r="R18" s="299">
        <f>SUM(R19:R20)</f>
        <v>0</v>
      </c>
      <c r="BB18" s="3156"/>
      <c r="BC18" s="3156"/>
      <c r="BD18" s="3156"/>
      <c r="BE18" s="3156"/>
      <c r="BF18" s="3156"/>
      <c r="BG18" s="3156"/>
      <c r="BH18" s="3156"/>
      <c r="BI18" s="3156"/>
      <c r="BJ18" s="3156"/>
      <c r="BK18" s="3156"/>
      <c r="BL18" s="3156"/>
      <c r="BM18" s="3156"/>
      <c r="BN18" s="3156"/>
      <c r="BO18" s="3156"/>
      <c r="BP18" s="3156"/>
      <c r="BQ18" s="3156"/>
      <c r="BR18" s="3156"/>
      <c r="BS18" s="3156"/>
      <c r="BT18" s="3156"/>
      <c r="BU18" s="3156"/>
      <c r="BV18" s="3156"/>
      <c r="BW18" s="3156"/>
      <c r="BX18" s="3156"/>
      <c r="BY18" s="3156"/>
      <c r="BZ18" s="3156"/>
      <c r="CA18" s="3156"/>
      <c r="CB18" s="3156"/>
      <c r="CC18" s="3156"/>
      <c r="CD18" s="3156"/>
      <c r="CE18" s="3156"/>
      <c r="CF18" s="3156"/>
      <c r="CG18" s="3156"/>
      <c r="CH18" s="3156"/>
      <c r="CI18" s="2629">
        <f t="shared" si="0"/>
        <v>0</v>
      </c>
    </row>
    <row r="19" spans="1:87" s="1555" customFormat="1" ht="30">
      <c r="A19" s="1556" t="s">
        <v>1294</v>
      </c>
      <c r="B19" s="390" t="s">
        <v>1185</v>
      </c>
      <c r="C19" s="390" t="s">
        <v>3849</v>
      </c>
      <c r="D19" s="1007" t="s">
        <v>4219</v>
      </c>
      <c r="E19" s="1557" t="s">
        <v>4711</v>
      </c>
      <c r="F19" s="2218">
        <v>0</v>
      </c>
      <c r="G19" s="432"/>
      <c r="H19" s="2218">
        <v>0</v>
      </c>
      <c r="I19" s="432"/>
      <c r="J19" s="432"/>
      <c r="K19" s="432"/>
      <c r="L19" s="277"/>
      <c r="M19" s="297">
        <f>L19/100000</f>
        <v>0</v>
      </c>
      <c r="N19" s="277"/>
      <c r="O19" s="297">
        <f>M19*N19</f>
        <v>0</v>
      </c>
      <c r="P19" s="228"/>
      <c r="Q19" s="433">
        <f>'Abs9. NVBDCP'!Q74</f>
        <v>0</v>
      </c>
      <c r="R19" s="210">
        <f>'Abs9. NVBDCP'!R74</f>
        <v>0</v>
      </c>
      <c r="BB19" s="3156"/>
      <c r="BC19" s="3156"/>
      <c r="BD19" s="3156"/>
      <c r="BE19" s="3156"/>
      <c r="BF19" s="3156"/>
      <c r="BG19" s="3156"/>
      <c r="BH19" s="3156"/>
      <c r="BI19" s="3156"/>
      <c r="BJ19" s="3156"/>
      <c r="BK19" s="3156"/>
      <c r="BL19" s="3156"/>
      <c r="BM19" s="3156"/>
      <c r="BN19" s="3156"/>
      <c r="BO19" s="3156"/>
      <c r="BP19" s="3156"/>
      <c r="BQ19" s="3156"/>
      <c r="BR19" s="3156"/>
      <c r="BS19" s="3156"/>
      <c r="BT19" s="3156"/>
      <c r="BU19" s="3156"/>
      <c r="BV19" s="3156"/>
      <c r="BW19" s="3156"/>
      <c r="BX19" s="3156"/>
      <c r="BY19" s="3156"/>
      <c r="BZ19" s="3156"/>
      <c r="CA19" s="3156"/>
      <c r="CB19" s="3156"/>
      <c r="CC19" s="3156"/>
      <c r="CD19" s="3156"/>
      <c r="CE19" s="3156"/>
      <c r="CF19" s="3156"/>
      <c r="CG19" s="3156"/>
      <c r="CH19" s="3156"/>
      <c r="CI19" s="2629">
        <f t="shared" si="0"/>
        <v>0</v>
      </c>
    </row>
    <row r="20" spans="1:87" s="1555" customFormat="1" ht="30">
      <c r="A20" s="1556" t="s">
        <v>1295</v>
      </c>
      <c r="B20" s="390" t="s">
        <v>1187</v>
      </c>
      <c r="C20" s="390" t="s">
        <v>3850</v>
      </c>
      <c r="D20" s="1007" t="s">
        <v>4219</v>
      </c>
      <c r="E20" s="1557" t="s">
        <v>4711</v>
      </c>
      <c r="F20" s="2218">
        <v>0</v>
      </c>
      <c r="G20" s="432"/>
      <c r="H20" s="2218">
        <v>0</v>
      </c>
      <c r="I20" s="432"/>
      <c r="J20" s="432"/>
      <c r="K20" s="432"/>
      <c r="L20" s="277"/>
      <c r="M20" s="297">
        <f>L20/100000</f>
        <v>0</v>
      </c>
      <c r="N20" s="277"/>
      <c r="O20" s="297">
        <f>M20*N20</f>
        <v>0</v>
      </c>
      <c r="P20" s="228"/>
      <c r="Q20" s="433">
        <f>'Abs9. NVBDCP'!Q75</f>
        <v>0</v>
      </c>
      <c r="R20" s="210">
        <f>'Abs9. NVBDCP'!R75</f>
        <v>0</v>
      </c>
      <c r="BB20" s="3156"/>
      <c r="BC20" s="3156"/>
      <c r="BD20" s="3156"/>
      <c r="BE20" s="3156"/>
      <c r="BF20" s="3156"/>
      <c r="BG20" s="3156"/>
      <c r="BH20" s="3156"/>
      <c r="BI20" s="3156"/>
      <c r="BJ20" s="3156"/>
      <c r="BK20" s="3156"/>
      <c r="BL20" s="3156"/>
      <c r="BM20" s="3156"/>
      <c r="BN20" s="3156"/>
      <c r="BO20" s="3156"/>
      <c r="BP20" s="3156"/>
      <c r="BQ20" s="3156"/>
      <c r="BR20" s="3156"/>
      <c r="BS20" s="3156"/>
      <c r="BT20" s="3156"/>
      <c r="BU20" s="3156"/>
      <c r="BV20" s="3156"/>
      <c r="BW20" s="3156"/>
      <c r="BX20" s="3156"/>
      <c r="BY20" s="3156"/>
      <c r="BZ20" s="3156"/>
      <c r="CA20" s="3156"/>
      <c r="CB20" s="3156"/>
      <c r="CC20" s="3156"/>
      <c r="CD20" s="3156"/>
      <c r="CE20" s="3156"/>
      <c r="CF20" s="3156"/>
      <c r="CG20" s="3156"/>
      <c r="CH20" s="3156"/>
      <c r="CI20" s="2629">
        <f t="shared" si="0"/>
        <v>0</v>
      </c>
    </row>
    <row r="21" spans="1:87" s="1555" customFormat="1">
      <c r="A21" s="1530" t="s">
        <v>1184</v>
      </c>
      <c r="B21" s="1560" t="s">
        <v>1189</v>
      </c>
      <c r="C21" s="1542" t="s">
        <v>1190</v>
      </c>
      <c r="D21" s="1561"/>
      <c r="E21" s="1562"/>
      <c r="F21" s="434"/>
      <c r="G21" s="434"/>
      <c r="H21" s="434"/>
      <c r="I21" s="434"/>
      <c r="J21" s="434"/>
      <c r="K21" s="434"/>
      <c r="L21" s="434"/>
      <c r="M21" s="1563"/>
      <c r="N21" s="268"/>
      <c r="O21" s="1564">
        <f>SUM(O22:O24)</f>
        <v>0</v>
      </c>
      <c r="P21" s="435"/>
      <c r="Q21" s="85"/>
      <c r="R21" s="299">
        <f>SUM(R22:R24)</f>
        <v>0</v>
      </c>
      <c r="BB21" s="3156"/>
      <c r="BC21" s="3156"/>
      <c r="BD21" s="3156"/>
      <c r="BE21" s="3156"/>
      <c r="BF21" s="3156"/>
      <c r="BG21" s="3156"/>
      <c r="BH21" s="3156"/>
      <c r="BI21" s="3156"/>
      <c r="BJ21" s="3156"/>
      <c r="BK21" s="3156"/>
      <c r="BL21" s="3156"/>
      <c r="BM21" s="3156"/>
      <c r="BN21" s="3156"/>
      <c r="BO21" s="3156"/>
      <c r="BP21" s="3156"/>
      <c r="BQ21" s="3156"/>
      <c r="BR21" s="3156"/>
      <c r="BS21" s="3156"/>
      <c r="BT21" s="3156"/>
      <c r="BU21" s="3156"/>
      <c r="BV21" s="3156"/>
      <c r="BW21" s="3156"/>
      <c r="BX21" s="3156"/>
      <c r="BY21" s="3156"/>
      <c r="BZ21" s="3156"/>
      <c r="CA21" s="3156"/>
      <c r="CB21" s="3156"/>
      <c r="CC21" s="3156"/>
      <c r="CD21" s="3156"/>
      <c r="CE21" s="3156"/>
      <c r="CF21" s="3156"/>
      <c r="CG21" s="3156"/>
      <c r="CH21" s="3156"/>
      <c r="CI21" s="2629">
        <f t="shared" si="0"/>
        <v>0</v>
      </c>
    </row>
    <row r="22" spans="1:87" s="1555" customFormat="1" ht="30">
      <c r="A22" s="1556" t="s">
        <v>1296</v>
      </c>
      <c r="B22" s="390" t="s">
        <v>1192</v>
      </c>
      <c r="C22" s="390" t="s">
        <v>3851</v>
      </c>
      <c r="D22" s="1007" t="s">
        <v>4219</v>
      </c>
      <c r="E22" s="1557" t="s">
        <v>4711</v>
      </c>
      <c r="F22" s="2218">
        <v>0</v>
      </c>
      <c r="G22" s="432"/>
      <c r="H22" s="2218">
        <v>0</v>
      </c>
      <c r="I22" s="432"/>
      <c r="J22" s="432"/>
      <c r="K22" s="432"/>
      <c r="L22" s="277"/>
      <c r="M22" s="297">
        <f t="shared" ref="M22:M33" si="1">L22/100000</f>
        <v>0</v>
      </c>
      <c r="N22" s="277"/>
      <c r="O22" s="297">
        <f t="shared" ref="O22:O33" si="2">M22*N22</f>
        <v>0</v>
      </c>
      <c r="P22" s="228"/>
      <c r="Q22" s="433">
        <f>'Abs9. NVBDCP'!Q76</f>
        <v>0</v>
      </c>
      <c r="R22" s="210">
        <f>'Abs9. NVBDCP'!R76</f>
        <v>0</v>
      </c>
      <c r="BB22" s="3156"/>
      <c r="BC22" s="3156"/>
      <c r="BD22" s="3156"/>
      <c r="BE22" s="3156"/>
      <c r="BF22" s="3156"/>
      <c r="BG22" s="3156"/>
      <c r="BH22" s="3156"/>
      <c r="BI22" s="3156"/>
      <c r="BJ22" s="3156"/>
      <c r="BK22" s="3156"/>
      <c r="BL22" s="3156"/>
      <c r="BM22" s="3156"/>
      <c r="BN22" s="3156"/>
      <c r="BO22" s="3156"/>
      <c r="BP22" s="3156"/>
      <c r="BQ22" s="3156"/>
      <c r="BR22" s="3156"/>
      <c r="BS22" s="3156"/>
      <c r="BT22" s="3156"/>
      <c r="BU22" s="3156"/>
      <c r="BV22" s="3156"/>
      <c r="BW22" s="3156"/>
      <c r="BX22" s="3156"/>
      <c r="BY22" s="3156"/>
      <c r="BZ22" s="3156"/>
      <c r="CA22" s="3156"/>
      <c r="CB22" s="3156"/>
      <c r="CC22" s="3156"/>
      <c r="CD22" s="3156"/>
      <c r="CE22" s="3156"/>
      <c r="CF22" s="3156"/>
      <c r="CG22" s="3156"/>
      <c r="CH22" s="3156"/>
      <c r="CI22" s="2629">
        <f t="shared" si="0"/>
        <v>0</v>
      </c>
    </row>
    <row r="23" spans="1:87" s="1555" customFormat="1" ht="30">
      <c r="A23" s="1556" t="s">
        <v>1297</v>
      </c>
      <c r="B23" s="390" t="s">
        <v>1194</v>
      </c>
      <c r="C23" s="390" t="s">
        <v>3852</v>
      </c>
      <c r="D23" s="1007" t="s">
        <v>4219</v>
      </c>
      <c r="E23" s="1557" t="s">
        <v>4711</v>
      </c>
      <c r="F23" s="2218">
        <v>0</v>
      </c>
      <c r="G23" s="432"/>
      <c r="H23" s="2218">
        <v>0</v>
      </c>
      <c r="I23" s="432"/>
      <c r="J23" s="432"/>
      <c r="K23" s="432"/>
      <c r="L23" s="277"/>
      <c r="M23" s="297">
        <f t="shared" si="1"/>
        <v>0</v>
      </c>
      <c r="N23" s="277"/>
      <c r="O23" s="297">
        <f t="shared" si="2"/>
        <v>0</v>
      </c>
      <c r="P23" s="228"/>
      <c r="Q23" s="433">
        <f>'Abs9. NVBDCP'!Q77</f>
        <v>0</v>
      </c>
      <c r="R23" s="210">
        <f>'Abs9. NVBDCP'!R77</f>
        <v>0</v>
      </c>
      <c r="BB23" s="3156"/>
      <c r="BC23" s="3156"/>
      <c r="BD23" s="3156"/>
      <c r="BE23" s="3156"/>
      <c r="BF23" s="3156"/>
      <c r="BG23" s="3156"/>
      <c r="BH23" s="3156"/>
      <c r="BI23" s="3156"/>
      <c r="BJ23" s="3156"/>
      <c r="BK23" s="3156"/>
      <c r="BL23" s="3156"/>
      <c r="BM23" s="3156"/>
      <c r="BN23" s="3156"/>
      <c r="BO23" s="3156"/>
      <c r="BP23" s="3156"/>
      <c r="BQ23" s="3156"/>
      <c r="BR23" s="3156"/>
      <c r="BS23" s="3156"/>
      <c r="BT23" s="3156"/>
      <c r="BU23" s="3156"/>
      <c r="BV23" s="3156"/>
      <c r="BW23" s="3156"/>
      <c r="BX23" s="3156"/>
      <c r="BY23" s="3156"/>
      <c r="BZ23" s="3156"/>
      <c r="CA23" s="3156"/>
      <c r="CB23" s="3156"/>
      <c r="CC23" s="3156"/>
      <c r="CD23" s="3156"/>
      <c r="CE23" s="3156"/>
      <c r="CF23" s="3156"/>
      <c r="CG23" s="3156"/>
      <c r="CH23" s="3156"/>
      <c r="CI23" s="2629">
        <f t="shared" si="0"/>
        <v>0</v>
      </c>
    </row>
    <row r="24" spans="1:87" s="1555" customFormat="1" ht="30">
      <c r="A24" s="1556" t="s">
        <v>1298</v>
      </c>
      <c r="B24" s="390" t="s">
        <v>1195</v>
      </c>
      <c r="C24" s="390" t="s">
        <v>3853</v>
      </c>
      <c r="D24" s="1007" t="s">
        <v>4219</v>
      </c>
      <c r="E24" s="1557" t="s">
        <v>4711</v>
      </c>
      <c r="F24" s="2218">
        <v>0</v>
      </c>
      <c r="G24" s="432"/>
      <c r="H24" s="2218">
        <v>0</v>
      </c>
      <c r="I24" s="432"/>
      <c r="J24" s="432"/>
      <c r="K24" s="432"/>
      <c r="L24" s="277"/>
      <c r="M24" s="297">
        <f t="shared" si="1"/>
        <v>0</v>
      </c>
      <c r="N24" s="277"/>
      <c r="O24" s="297">
        <f t="shared" si="2"/>
        <v>0</v>
      </c>
      <c r="P24" s="228"/>
      <c r="Q24" s="433">
        <f>'Abs9. NVBDCP'!Q78</f>
        <v>0</v>
      </c>
      <c r="R24" s="210">
        <f>'Abs9. NVBDCP'!R78</f>
        <v>0</v>
      </c>
      <c r="BB24" s="3156"/>
      <c r="BC24" s="3156"/>
      <c r="BD24" s="3156"/>
      <c r="BE24" s="3156"/>
      <c r="BF24" s="3156"/>
      <c r="BG24" s="3156"/>
      <c r="BH24" s="3156"/>
      <c r="BI24" s="3156"/>
      <c r="BJ24" s="3156"/>
      <c r="BK24" s="3156"/>
      <c r="BL24" s="3156"/>
      <c r="BM24" s="3156"/>
      <c r="BN24" s="3156"/>
      <c r="BO24" s="3156"/>
      <c r="BP24" s="3156"/>
      <c r="BQ24" s="3156"/>
      <c r="BR24" s="3156"/>
      <c r="BS24" s="3156"/>
      <c r="BT24" s="3156"/>
      <c r="BU24" s="3156"/>
      <c r="BV24" s="3156"/>
      <c r="BW24" s="3156"/>
      <c r="BX24" s="3156"/>
      <c r="BY24" s="3156"/>
      <c r="BZ24" s="3156"/>
      <c r="CA24" s="3156"/>
      <c r="CB24" s="3156"/>
      <c r="CC24" s="3156"/>
      <c r="CD24" s="3156"/>
      <c r="CE24" s="3156"/>
      <c r="CF24" s="3156"/>
      <c r="CG24" s="3156"/>
      <c r="CH24" s="3156"/>
      <c r="CI24" s="2629">
        <f t="shared" si="0"/>
        <v>0</v>
      </c>
    </row>
    <row r="25" spans="1:87" s="1555" customFormat="1">
      <c r="A25" s="1556" t="s">
        <v>1186</v>
      </c>
      <c r="B25" s="390" t="s">
        <v>1196</v>
      </c>
      <c r="C25" s="390" t="s">
        <v>1197</v>
      </c>
      <c r="D25" s="1007" t="s">
        <v>4219</v>
      </c>
      <c r="E25" s="1557" t="s">
        <v>4525</v>
      </c>
      <c r="F25" s="2218">
        <v>0</v>
      </c>
      <c r="G25" s="432"/>
      <c r="H25" s="2218">
        <v>0</v>
      </c>
      <c r="I25" s="432"/>
      <c r="J25" s="432"/>
      <c r="K25" s="432"/>
      <c r="L25" s="277"/>
      <c r="M25" s="297">
        <f t="shared" si="1"/>
        <v>0</v>
      </c>
      <c r="N25" s="277"/>
      <c r="O25" s="297">
        <f t="shared" si="2"/>
        <v>0</v>
      </c>
      <c r="P25" s="228"/>
      <c r="Q25" s="433">
        <f>'Abs11. NTEP'!Q37</f>
        <v>0</v>
      </c>
      <c r="R25" s="210">
        <f>'Abs11. NTEP'!R37</f>
        <v>0</v>
      </c>
      <c r="BB25" s="3156"/>
      <c r="BC25" s="3156"/>
      <c r="BD25" s="3156"/>
      <c r="BE25" s="3156"/>
      <c r="BF25" s="3156"/>
      <c r="BG25" s="3156"/>
      <c r="BH25" s="3156"/>
      <c r="BI25" s="3156"/>
      <c r="BJ25" s="3156"/>
      <c r="BK25" s="3156"/>
      <c r="BL25" s="3156"/>
      <c r="BM25" s="3156"/>
      <c r="BN25" s="3156"/>
      <c r="BO25" s="3156"/>
      <c r="BP25" s="3156"/>
      <c r="BQ25" s="3156"/>
      <c r="BR25" s="3156"/>
      <c r="BS25" s="3156"/>
      <c r="BT25" s="3156"/>
      <c r="BU25" s="3156"/>
      <c r="BV25" s="3156"/>
      <c r="BW25" s="3156"/>
      <c r="BX25" s="3156"/>
      <c r="BY25" s="3156"/>
      <c r="BZ25" s="3156"/>
      <c r="CA25" s="3156"/>
      <c r="CB25" s="3156"/>
      <c r="CC25" s="3156"/>
      <c r="CD25" s="3156"/>
      <c r="CE25" s="3156"/>
      <c r="CF25" s="3156"/>
      <c r="CG25" s="3156"/>
      <c r="CH25" s="3156"/>
      <c r="CI25" s="2629">
        <f t="shared" si="0"/>
        <v>0</v>
      </c>
    </row>
    <row r="26" spans="1:87" s="2374" customFormat="1" ht="33.75" customHeight="1">
      <c r="A26" s="1556" t="s">
        <v>1188</v>
      </c>
      <c r="B26" s="391" t="s">
        <v>1082</v>
      </c>
      <c r="C26" s="391" t="s">
        <v>2269</v>
      </c>
      <c r="D26" s="2254" t="s">
        <v>4219</v>
      </c>
      <c r="E26" s="1734" t="s">
        <v>4525</v>
      </c>
      <c r="F26" s="2216">
        <v>0</v>
      </c>
      <c r="G26" s="613"/>
      <c r="H26" s="2369">
        <v>0</v>
      </c>
      <c r="I26" s="2370"/>
      <c r="J26" s="421"/>
      <c r="K26" s="2371"/>
      <c r="L26" s="2368">
        <v>300000</v>
      </c>
      <c r="M26" s="298">
        <f t="shared" si="1"/>
        <v>3</v>
      </c>
      <c r="N26" s="2368">
        <v>3</v>
      </c>
      <c r="O26" s="298">
        <f t="shared" si="2"/>
        <v>9</v>
      </c>
      <c r="P26" s="2372" t="s">
        <v>5172</v>
      </c>
      <c r="Q26" s="2373" t="str">
        <f>'Abs11. NTEP'!Q38</f>
        <v>Rs 9 lakhs recommended for operational research by various medical colleges in the State</v>
      </c>
      <c r="R26" s="212">
        <f>'Abs11. NTEP'!R38</f>
        <v>9</v>
      </c>
      <c r="BB26" s="2629">
        <v>9</v>
      </c>
      <c r="BC26" s="2629"/>
      <c r="BD26" s="2629"/>
      <c r="BE26" s="2629"/>
      <c r="BF26" s="2629"/>
      <c r="BG26" s="2629"/>
      <c r="BH26" s="2629"/>
      <c r="BI26" s="2629"/>
      <c r="BJ26" s="2629"/>
      <c r="BK26" s="2629"/>
      <c r="BL26" s="2629"/>
      <c r="BM26" s="2629"/>
      <c r="BN26" s="2629"/>
      <c r="BO26" s="2629"/>
      <c r="BP26" s="2629"/>
      <c r="BQ26" s="2629"/>
      <c r="BR26" s="2629"/>
      <c r="BS26" s="2629"/>
      <c r="BT26" s="2629"/>
      <c r="BU26" s="2629"/>
      <c r="BV26" s="2629"/>
      <c r="BW26" s="2629"/>
      <c r="BX26" s="2629"/>
      <c r="BY26" s="2629"/>
      <c r="BZ26" s="2629"/>
      <c r="CA26" s="2629"/>
      <c r="CB26" s="2629"/>
      <c r="CC26" s="2629"/>
      <c r="CD26" s="2629"/>
      <c r="CE26" s="2629"/>
      <c r="CF26" s="2629"/>
      <c r="CG26" s="2629"/>
      <c r="CH26" s="2629"/>
      <c r="CI26" s="2629">
        <f t="shared" si="0"/>
        <v>9</v>
      </c>
    </row>
    <row r="27" spans="1:87" s="1555" customFormat="1">
      <c r="A27" s="1556" t="s">
        <v>1191</v>
      </c>
      <c r="B27" s="390" t="s">
        <v>1198</v>
      </c>
      <c r="C27" s="509" t="s">
        <v>1199</v>
      </c>
      <c r="D27" s="1549" t="s">
        <v>80</v>
      </c>
      <c r="E27" s="1557" t="s">
        <v>147</v>
      </c>
      <c r="F27" s="2218">
        <v>0</v>
      </c>
      <c r="G27" s="432"/>
      <c r="H27" s="2218">
        <v>0</v>
      </c>
      <c r="I27" s="432"/>
      <c r="J27" s="432"/>
      <c r="K27" s="432"/>
      <c r="L27" s="277"/>
      <c r="M27" s="297">
        <f t="shared" si="1"/>
        <v>0</v>
      </c>
      <c r="N27" s="277"/>
      <c r="O27" s="297">
        <f t="shared" si="2"/>
        <v>0</v>
      </c>
      <c r="P27" s="228"/>
      <c r="Q27" s="433">
        <f>'Abs18. NTCP'!Q21</f>
        <v>0</v>
      </c>
      <c r="R27" s="210">
        <f>'Abs18. NTCP'!R21</f>
        <v>0</v>
      </c>
      <c r="BB27" s="3156"/>
      <c r="BC27" s="3156"/>
      <c r="BD27" s="3156"/>
      <c r="BE27" s="3156"/>
      <c r="BF27" s="3156"/>
      <c r="BG27" s="3156"/>
      <c r="BH27" s="3156"/>
      <c r="BI27" s="3156"/>
      <c r="BJ27" s="3156"/>
      <c r="BK27" s="3156"/>
      <c r="BL27" s="3156"/>
      <c r="BM27" s="3156"/>
      <c r="BN27" s="3156"/>
      <c r="BO27" s="3156"/>
      <c r="BP27" s="3156"/>
      <c r="BQ27" s="3156"/>
      <c r="BR27" s="3156"/>
      <c r="BS27" s="3156"/>
      <c r="BT27" s="3156"/>
      <c r="BU27" s="3156"/>
      <c r="BV27" s="3156"/>
      <c r="BW27" s="3156"/>
      <c r="BX27" s="3156"/>
      <c r="BY27" s="3156"/>
      <c r="BZ27" s="3156"/>
      <c r="CA27" s="3156"/>
      <c r="CB27" s="3156"/>
      <c r="CC27" s="3156"/>
      <c r="CD27" s="3156"/>
      <c r="CE27" s="3156"/>
      <c r="CF27" s="3156"/>
      <c r="CG27" s="3156"/>
      <c r="CH27" s="3156"/>
      <c r="CI27" s="2629">
        <f t="shared" si="0"/>
        <v>0</v>
      </c>
    </row>
    <row r="28" spans="1:87" s="1555" customFormat="1">
      <c r="A28" s="1556" t="s">
        <v>1193</v>
      </c>
      <c r="B28" s="390" t="s">
        <v>1200</v>
      </c>
      <c r="C28" s="390" t="s">
        <v>1201</v>
      </c>
      <c r="D28" s="1549" t="s">
        <v>80</v>
      </c>
      <c r="E28" s="1557" t="s">
        <v>147</v>
      </c>
      <c r="F28" s="2218">
        <v>0</v>
      </c>
      <c r="G28" s="432"/>
      <c r="H28" s="2218">
        <v>0</v>
      </c>
      <c r="I28" s="432"/>
      <c r="J28" s="432"/>
      <c r="K28" s="432"/>
      <c r="L28" s="277"/>
      <c r="M28" s="297">
        <f t="shared" si="1"/>
        <v>0</v>
      </c>
      <c r="N28" s="277"/>
      <c r="O28" s="297">
        <f t="shared" si="2"/>
        <v>0</v>
      </c>
      <c r="P28" s="228"/>
      <c r="Q28" s="433">
        <f>'Abs18. NTCP'!Q22</f>
        <v>0</v>
      </c>
      <c r="R28" s="210">
        <f>'Abs18. NTCP'!R22</f>
        <v>0</v>
      </c>
      <c r="BB28" s="3156"/>
      <c r="BC28" s="3156"/>
      <c r="BD28" s="3156"/>
      <c r="BE28" s="3156"/>
      <c r="BF28" s="3156"/>
      <c r="BG28" s="3156"/>
      <c r="BH28" s="3156"/>
      <c r="BI28" s="3156"/>
      <c r="BJ28" s="3156"/>
      <c r="BK28" s="3156"/>
      <c r="BL28" s="3156"/>
      <c r="BM28" s="3156"/>
      <c r="BN28" s="3156"/>
      <c r="BO28" s="3156"/>
      <c r="BP28" s="3156"/>
      <c r="BQ28" s="3156"/>
      <c r="BR28" s="3156"/>
      <c r="BS28" s="3156"/>
      <c r="BT28" s="3156"/>
      <c r="BU28" s="3156"/>
      <c r="BV28" s="3156"/>
      <c r="BW28" s="3156"/>
      <c r="BX28" s="3156"/>
      <c r="BY28" s="3156"/>
      <c r="BZ28" s="3156"/>
      <c r="CA28" s="3156"/>
      <c r="CB28" s="3156"/>
      <c r="CC28" s="3156"/>
      <c r="CD28" s="3156"/>
      <c r="CE28" s="3156"/>
      <c r="CF28" s="3156"/>
      <c r="CG28" s="3156"/>
      <c r="CH28" s="3156"/>
      <c r="CI28" s="2629">
        <f t="shared" si="0"/>
        <v>0</v>
      </c>
    </row>
    <row r="29" spans="1:87">
      <c r="A29" s="1556" t="s">
        <v>2533</v>
      </c>
      <c r="B29" s="1349" t="s">
        <v>1203</v>
      </c>
      <c r="C29" s="1349" t="s">
        <v>2535</v>
      </c>
      <c r="D29" s="1549" t="s">
        <v>80</v>
      </c>
      <c r="E29" s="1171" t="s">
        <v>410</v>
      </c>
      <c r="F29" s="2207">
        <v>0</v>
      </c>
      <c r="G29" s="367"/>
      <c r="H29" s="2207">
        <v>0</v>
      </c>
      <c r="I29" s="367"/>
      <c r="J29" s="367"/>
      <c r="K29" s="367"/>
      <c r="L29" s="277"/>
      <c r="M29" s="297">
        <f t="shared" si="1"/>
        <v>0</v>
      </c>
      <c r="N29" s="277"/>
      <c r="O29" s="297">
        <f t="shared" si="2"/>
        <v>0</v>
      </c>
      <c r="P29" s="250"/>
      <c r="Q29" s="246">
        <f>'Abs19. NPCDCS'!Q41</f>
        <v>0</v>
      </c>
      <c r="R29" s="210">
        <f>'Abs19. NPCDCS'!R41</f>
        <v>0</v>
      </c>
      <c r="BB29" s="897"/>
      <c r="BC29" s="897"/>
      <c r="BD29" s="897"/>
      <c r="BE29" s="897"/>
      <c r="BF29" s="897"/>
      <c r="BG29" s="897"/>
      <c r="BH29" s="897"/>
      <c r="BI29" s="897"/>
      <c r="BJ29" s="897"/>
      <c r="BK29" s="897"/>
      <c r="BL29" s="897"/>
      <c r="BM29" s="897"/>
      <c r="BN29" s="897"/>
      <c r="BO29" s="897"/>
      <c r="BP29" s="897"/>
      <c r="BQ29" s="897"/>
      <c r="BR29" s="897"/>
      <c r="BS29" s="897"/>
      <c r="BT29" s="897"/>
      <c r="BU29" s="897"/>
      <c r="BV29" s="897"/>
      <c r="BW29" s="897"/>
      <c r="BX29" s="897"/>
      <c r="BY29" s="897"/>
      <c r="BZ29" s="897"/>
      <c r="CA29" s="897"/>
      <c r="CB29" s="897"/>
      <c r="CC29" s="897"/>
      <c r="CD29" s="897"/>
      <c r="CE29" s="897"/>
      <c r="CF29" s="897"/>
      <c r="CG29" s="897"/>
      <c r="CH29" s="897"/>
      <c r="CI29" s="2629">
        <f t="shared" si="0"/>
        <v>0</v>
      </c>
    </row>
    <row r="30" spans="1:87">
      <c r="A30" s="1556" t="s">
        <v>2534</v>
      </c>
      <c r="B30" s="1349" t="s">
        <v>1205</v>
      </c>
      <c r="C30" s="1349" t="s">
        <v>2536</v>
      </c>
      <c r="D30" s="1549" t="s">
        <v>80</v>
      </c>
      <c r="E30" s="1171" t="s">
        <v>410</v>
      </c>
      <c r="F30" s="2207">
        <v>0</v>
      </c>
      <c r="G30" s="367"/>
      <c r="H30" s="2207">
        <v>0</v>
      </c>
      <c r="I30" s="367"/>
      <c r="J30" s="367"/>
      <c r="K30" s="367"/>
      <c r="L30" s="277"/>
      <c r="M30" s="297">
        <f t="shared" si="1"/>
        <v>0</v>
      </c>
      <c r="N30" s="277"/>
      <c r="O30" s="297">
        <f t="shared" si="2"/>
        <v>0</v>
      </c>
      <c r="P30" s="250"/>
      <c r="Q30" s="246">
        <f>'Abs19. NPCDCS'!Q42</f>
        <v>0</v>
      </c>
      <c r="R30" s="210">
        <f>'Abs19. NPCDCS'!R42</f>
        <v>0</v>
      </c>
      <c r="BB30" s="897"/>
      <c r="BC30" s="897"/>
      <c r="BD30" s="897"/>
      <c r="BE30" s="897"/>
      <c r="BF30" s="897"/>
      <c r="BG30" s="897"/>
      <c r="BH30" s="897"/>
      <c r="BI30" s="897"/>
      <c r="BJ30" s="897"/>
      <c r="BK30" s="897"/>
      <c r="BL30" s="897"/>
      <c r="BM30" s="897"/>
      <c r="BN30" s="897"/>
      <c r="BO30" s="897"/>
      <c r="BP30" s="897"/>
      <c r="BQ30" s="897"/>
      <c r="BR30" s="897"/>
      <c r="BS30" s="897"/>
      <c r="BT30" s="897"/>
      <c r="BU30" s="897"/>
      <c r="BV30" s="897"/>
      <c r="BW30" s="897"/>
      <c r="BX30" s="897"/>
      <c r="BY30" s="897"/>
      <c r="BZ30" s="897"/>
      <c r="CA30" s="897"/>
      <c r="CB30" s="897"/>
      <c r="CC30" s="897"/>
      <c r="CD30" s="897"/>
      <c r="CE30" s="897"/>
      <c r="CF30" s="897"/>
      <c r="CG30" s="897"/>
      <c r="CH30" s="897"/>
      <c r="CI30" s="2629">
        <f t="shared" si="0"/>
        <v>0</v>
      </c>
    </row>
    <row r="31" spans="1:87" s="1169" customFormat="1" ht="45">
      <c r="A31" s="1556" t="s">
        <v>2537</v>
      </c>
      <c r="B31" s="1480"/>
      <c r="C31" s="1480" t="s">
        <v>3997</v>
      </c>
      <c r="D31" s="2264" t="s">
        <v>80</v>
      </c>
      <c r="E31" s="1185" t="s">
        <v>3989</v>
      </c>
      <c r="F31" s="2208">
        <v>0</v>
      </c>
      <c r="G31" s="422"/>
      <c r="H31" s="2208">
        <v>0</v>
      </c>
      <c r="I31" s="422"/>
      <c r="J31" s="422"/>
      <c r="K31" s="422"/>
      <c r="L31" s="283"/>
      <c r="M31" s="298">
        <f t="shared" si="1"/>
        <v>0</v>
      </c>
      <c r="N31" s="283"/>
      <c r="O31" s="298">
        <f>M31*N31</f>
        <v>0</v>
      </c>
      <c r="P31" s="289"/>
      <c r="Q31" s="247">
        <f>'Abs21. NPCCHH'!Q14</f>
        <v>0</v>
      </c>
      <c r="R31" s="212">
        <f>'Abs21. NPCCHH'!R14</f>
        <v>0</v>
      </c>
      <c r="BB31" s="3185"/>
      <c r="BC31" s="3185"/>
      <c r="BD31" s="3185"/>
      <c r="BE31" s="3185"/>
      <c r="BF31" s="3185"/>
      <c r="BG31" s="3185"/>
      <c r="BH31" s="3185"/>
      <c r="BI31" s="3185"/>
      <c r="BJ31" s="3185"/>
      <c r="BK31" s="3185"/>
      <c r="BL31" s="3185"/>
      <c r="BM31" s="3185"/>
      <c r="BN31" s="3185"/>
      <c r="BO31" s="3185"/>
      <c r="BP31" s="3185"/>
      <c r="BQ31" s="3185"/>
      <c r="BR31" s="3185"/>
      <c r="BS31" s="3185"/>
      <c r="BT31" s="3185"/>
      <c r="BU31" s="3185"/>
      <c r="BV31" s="3185"/>
      <c r="BW31" s="3185"/>
      <c r="BX31" s="3185"/>
      <c r="BY31" s="3185"/>
      <c r="BZ31" s="3185"/>
      <c r="CA31" s="3185"/>
      <c r="CB31" s="3185"/>
      <c r="CC31" s="3185"/>
      <c r="CD31" s="3185"/>
      <c r="CE31" s="3185"/>
      <c r="CF31" s="3185"/>
      <c r="CG31" s="3185"/>
      <c r="CH31" s="3185"/>
      <c r="CI31" s="2629">
        <f t="shared" si="0"/>
        <v>0</v>
      </c>
    </row>
    <row r="32" spans="1:87" s="1169" customFormat="1">
      <c r="A32" s="1556" t="s">
        <v>3996</v>
      </c>
      <c r="B32" s="1480"/>
      <c r="C32" s="1480" t="s">
        <v>4283</v>
      </c>
      <c r="D32" s="1549" t="s">
        <v>80</v>
      </c>
      <c r="E32" s="1185" t="s">
        <v>394</v>
      </c>
      <c r="F32" s="2208">
        <v>0</v>
      </c>
      <c r="G32" s="422"/>
      <c r="H32" s="2208">
        <v>0</v>
      </c>
      <c r="I32" s="422"/>
      <c r="J32" s="422"/>
      <c r="K32" s="422"/>
      <c r="L32" s="277"/>
      <c r="M32" s="297">
        <f t="shared" si="1"/>
        <v>0</v>
      </c>
      <c r="N32" s="277"/>
      <c r="O32" s="298">
        <f>M32*N32</f>
        <v>0</v>
      </c>
      <c r="P32" s="289"/>
      <c r="Q32" s="247">
        <f>'Abs17. NPHCE'!Q26</f>
        <v>0</v>
      </c>
      <c r="R32" s="655">
        <f>'Abs17. NPHCE'!R26</f>
        <v>0</v>
      </c>
      <c r="BB32" s="3185"/>
      <c r="BC32" s="3185"/>
      <c r="BD32" s="3185"/>
      <c r="BE32" s="3185"/>
      <c r="BF32" s="3185"/>
      <c r="BG32" s="3185"/>
      <c r="BH32" s="3185"/>
      <c r="BI32" s="3185"/>
      <c r="BJ32" s="3185"/>
      <c r="BK32" s="3185"/>
      <c r="BL32" s="3185"/>
      <c r="BM32" s="3185"/>
      <c r="BN32" s="3185"/>
      <c r="BO32" s="3185"/>
      <c r="BP32" s="3185"/>
      <c r="BQ32" s="3185"/>
      <c r="BR32" s="3185"/>
      <c r="BS32" s="3185"/>
      <c r="BT32" s="3185"/>
      <c r="BU32" s="3185"/>
      <c r="BV32" s="3185"/>
      <c r="BW32" s="3185"/>
      <c r="BX32" s="3185"/>
      <c r="BY32" s="3185"/>
      <c r="BZ32" s="3185"/>
      <c r="CA32" s="3185"/>
      <c r="CB32" s="3185"/>
      <c r="CC32" s="3185"/>
      <c r="CD32" s="3185"/>
      <c r="CE32" s="3185"/>
      <c r="CF32" s="3185"/>
      <c r="CG32" s="3185"/>
      <c r="CH32" s="3185"/>
      <c r="CI32" s="2629">
        <f t="shared" si="0"/>
        <v>0</v>
      </c>
    </row>
    <row r="33" spans="1:87">
      <c r="A33" s="1556" t="s">
        <v>4282</v>
      </c>
      <c r="B33" s="1480"/>
      <c r="C33" s="1480" t="s">
        <v>1304</v>
      </c>
      <c r="D33" s="908" t="s">
        <v>65</v>
      </c>
      <c r="E33" s="1185" t="s">
        <v>65</v>
      </c>
      <c r="F33" s="2208">
        <v>0</v>
      </c>
      <c r="G33" s="422"/>
      <c r="H33" s="2208">
        <v>0</v>
      </c>
      <c r="I33" s="422"/>
      <c r="J33" s="422"/>
      <c r="K33" s="422"/>
      <c r="L33" s="277"/>
      <c r="M33" s="297">
        <f t="shared" si="1"/>
        <v>0</v>
      </c>
      <c r="N33" s="277"/>
      <c r="O33" s="298">
        <f t="shared" si="2"/>
        <v>0</v>
      </c>
      <c r="P33" s="289"/>
      <c r="Q33" s="227"/>
      <c r="R33" s="213"/>
      <c r="BB33" s="897"/>
      <c r="BC33" s="897"/>
      <c r="BD33" s="897"/>
      <c r="BE33" s="897"/>
      <c r="BF33" s="897"/>
      <c r="BG33" s="897"/>
      <c r="BH33" s="897"/>
      <c r="BI33" s="897"/>
      <c r="BJ33" s="897"/>
      <c r="BK33" s="897"/>
      <c r="BL33" s="897"/>
      <c r="BM33" s="897"/>
      <c r="BN33" s="897"/>
      <c r="BO33" s="897"/>
      <c r="BP33" s="897"/>
      <c r="BQ33" s="897"/>
      <c r="BR33" s="897"/>
      <c r="BS33" s="897"/>
      <c r="BT33" s="897"/>
      <c r="BU33" s="897"/>
      <c r="BV33" s="897"/>
      <c r="BW33" s="897"/>
      <c r="BX33" s="897"/>
      <c r="BY33" s="897"/>
      <c r="BZ33" s="897"/>
      <c r="CA33" s="897"/>
      <c r="CB33" s="897"/>
      <c r="CC33" s="897"/>
      <c r="CD33" s="897"/>
      <c r="CE33" s="897"/>
      <c r="CF33" s="897"/>
      <c r="CG33" s="897"/>
      <c r="CH33" s="897"/>
      <c r="CI33" s="2629">
        <f t="shared" si="0"/>
        <v>0</v>
      </c>
    </row>
    <row r="34" spans="1:87">
      <c r="A34" s="1290">
        <v>10.3</v>
      </c>
      <c r="B34" s="1553"/>
      <c r="C34" s="1148" t="s">
        <v>22</v>
      </c>
      <c r="D34" s="1554"/>
      <c r="E34" s="1554"/>
      <c r="F34" s="267"/>
      <c r="G34" s="267"/>
      <c r="H34" s="267"/>
      <c r="I34" s="267"/>
      <c r="J34" s="267"/>
      <c r="K34" s="267"/>
      <c r="L34" s="267"/>
      <c r="M34" s="1453"/>
      <c r="N34" s="267"/>
      <c r="O34" s="1453">
        <f>O35+O42+O46</f>
        <v>2.1</v>
      </c>
      <c r="P34" s="93"/>
      <c r="Q34" s="84"/>
      <c r="R34" s="654">
        <f>R35+R42+R46</f>
        <v>2.1</v>
      </c>
      <c r="BB34" s="897"/>
      <c r="BC34" s="897"/>
      <c r="BD34" s="897"/>
      <c r="BE34" s="897"/>
      <c r="BF34" s="897"/>
      <c r="BG34" s="897"/>
      <c r="BH34" s="897"/>
      <c r="BI34" s="897"/>
      <c r="BJ34" s="897"/>
      <c r="BK34" s="897"/>
      <c r="BL34" s="897"/>
      <c r="BM34" s="897"/>
      <c r="BN34" s="897"/>
      <c r="BO34" s="897"/>
      <c r="BP34" s="897"/>
      <c r="BQ34" s="897"/>
      <c r="BR34" s="897"/>
      <c r="BS34" s="897"/>
      <c r="BT34" s="897"/>
      <c r="BU34" s="897"/>
      <c r="BV34" s="897"/>
      <c r="BW34" s="897"/>
      <c r="BX34" s="897"/>
      <c r="BY34" s="897"/>
      <c r="BZ34" s="897"/>
      <c r="CA34" s="897"/>
      <c r="CB34" s="897"/>
      <c r="CC34" s="897"/>
      <c r="CD34" s="897"/>
      <c r="CE34" s="897"/>
      <c r="CF34" s="897"/>
      <c r="CG34" s="897"/>
      <c r="CH34" s="897"/>
      <c r="CI34" s="2629">
        <f t="shared" si="0"/>
        <v>0</v>
      </c>
    </row>
    <row r="35" spans="1:87">
      <c r="A35" s="1542" t="s">
        <v>1206</v>
      </c>
      <c r="B35" s="1560"/>
      <c r="C35" s="1542" t="s">
        <v>2538</v>
      </c>
      <c r="D35" s="1561"/>
      <c r="E35" s="1561"/>
      <c r="F35" s="268"/>
      <c r="G35" s="268"/>
      <c r="H35" s="268"/>
      <c r="I35" s="268"/>
      <c r="J35" s="268"/>
      <c r="K35" s="268"/>
      <c r="L35" s="268"/>
      <c r="M35" s="1563"/>
      <c r="N35" s="268"/>
      <c r="O35" s="1564">
        <f>SUM(O36:O41)</f>
        <v>2.1</v>
      </c>
      <c r="P35" s="97"/>
      <c r="Q35" s="436"/>
      <c r="R35" s="299">
        <f>SUM(R36:R41)</f>
        <v>2.1</v>
      </c>
      <c r="BB35" s="897"/>
      <c r="BC35" s="897"/>
      <c r="BD35" s="897"/>
      <c r="BE35" s="897"/>
      <c r="BF35" s="897"/>
      <c r="BG35" s="897"/>
      <c r="BH35" s="897"/>
      <c r="BI35" s="897"/>
      <c r="BJ35" s="897"/>
      <c r="BK35" s="897"/>
      <c r="BL35" s="897"/>
      <c r="BM35" s="897"/>
      <c r="BN35" s="897"/>
      <c r="BO35" s="897"/>
      <c r="BP35" s="897"/>
      <c r="BQ35" s="897"/>
      <c r="BR35" s="897"/>
      <c r="BS35" s="897"/>
      <c r="BT35" s="897"/>
      <c r="BU35" s="897"/>
      <c r="BV35" s="897"/>
      <c r="BW35" s="897"/>
      <c r="BX35" s="897"/>
      <c r="BY35" s="897"/>
      <c r="BZ35" s="897"/>
      <c r="CA35" s="897"/>
      <c r="CB35" s="897"/>
      <c r="CC35" s="897"/>
      <c r="CD35" s="897"/>
      <c r="CE35" s="897"/>
      <c r="CF35" s="897"/>
      <c r="CG35" s="897"/>
      <c r="CH35" s="897"/>
      <c r="CI35" s="2629">
        <f t="shared" si="0"/>
        <v>0</v>
      </c>
    </row>
    <row r="36" spans="1:87" ht="30">
      <c r="A36" s="391" t="s">
        <v>1291</v>
      </c>
      <c r="B36" s="390" t="s">
        <v>1208</v>
      </c>
      <c r="C36" s="390" t="s">
        <v>1209</v>
      </c>
      <c r="D36" s="1007" t="s">
        <v>4219</v>
      </c>
      <c r="E36" s="1171" t="s">
        <v>2539</v>
      </c>
      <c r="F36" s="2207">
        <v>0</v>
      </c>
      <c r="G36" s="367"/>
      <c r="H36" s="2207">
        <v>0</v>
      </c>
      <c r="I36" s="367"/>
      <c r="J36" s="367"/>
      <c r="K36" s="367"/>
      <c r="L36" s="277"/>
      <c r="M36" s="297">
        <f t="shared" ref="M36:M41" si="3">L36/100000</f>
        <v>0</v>
      </c>
      <c r="N36" s="277"/>
      <c r="O36" s="297">
        <f t="shared" ref="O36:O41" si="4">M36*N36</f>
        <v>0</v>
      </c>
      <c r="P36" s="250"/>
      <c r="Q36" s="246">
        <f>'Abs9. NVBDCP'!Q79</f>
        <v>0</v>
      </c>
      <c r="R36" s="210">
        <f>'Abs9. NVBDCP'!R79</f>
        <v>0</v>
      </c>
      <c r="BB36" s="897"/>
      <c r="BC36" s="897"/>
      <c r="BD36" s="897"/>
      <c r="BE36" s="897"/>
      <c r="BF36" s="897"/>
      <c r="BG36" s="897"/>
      <c r="BH36" s="897"/>
      <c r="BI36" s="897"/>
      <c r="BJ36" s="897"/>
      <c r="BK36" s="897"/>
      <c r="BL36" s="897"/>
      <c r="BM36" s="897"/>
      <c r="BN36" s="897"/>
      <c r="BO36" s="897"/>
      <c r="BP36" s="897"/>
      <c r="BQ36" s="897"/>
      <c r="BR36" s="897"/>
      <c r="BS36" s="897"/>
      <c r="BT36" s="897"/>
      <c r="BU36" s="897"/>
      <c r="BV36" s="897"/>
      <c r="BW36" s="897"/>
      <c r="BX36" s="897"/>
      <c r="BY36" s="897"/>
      <c r="BZ36" s="897"/>
      <c r="CA36" s="897"/>
      <c r="CB36" s="897"/>
      <c r="CC36" s="897"/>
      <c r="CD36" s="897"/>
      <c r="CE36" s="897"/>
      <c r="CF36" s="897"/>
      <c r="CG36" s="897"/>
      <c r="CH36" s="897"/>
      <c r="CI36" s="2629">
        <f t="shared" si="0"/>
        <v>0</v>
      </c>
    </row>
    <row r="37" spans="1:87" s="1169" customFormat="1" ht="60">
      <c r="A37" s="391" t="s">
        <v>1292</v>
      </c>
      <c r="B37" s="391" t="s">
        <v>1211</v>
      </c>
      <c r="C37" s="391" t="s">
        <v>1212</v>
      </c>
      <c r="D37" s="2254" t="s">
        <v>4219</v>
      </c>
      <c r="E37" s="1185" t="s">
        <v>2539</v>
      </c>
      <c r="F37" s="2216">
        <v>7</v>
      </c>
      <c r="G37" s="613"/>
      <c r="H37" s="2369">
        <v>7</v>
      </c>
      <c r="I37" s="2370">
        <v>0.5</v>
      </c>
      <c r="J37" s="421">
        <v>5</v>
      </c>
      <c r="K37" s="421"/>
      <c r="L37" s="283">
        <v>30000</v>
      </c>
      <c r="M37" s="298">
        <f t="shared" si="3"/>
        <v>0.3</v>
      </c>
      <c r="N37" s="283">
        <v>7</v>
      </c>
      <c r="O37" s="298">
        <f t="shared" si="4"/>
        <v>2.1</v>
      </c>
      <c r="P37" s="289" t="s">
        <v>5456</v>
      </c>
      <c r="Q37" s="247" t="str">
        <f>'Abs9. NVBDCP'!Q80</f>
        <v>Activity Recommended. State has identified 7 SSHs, accordingly the annual contingency grant as per GoI norms is approved.</v>
      </c>
      <c r="R37" s="212">
        <f>'Abs9. NVBDCP'!R80</f>
        <v>2.1</v>
      </c>
      <c r="BB37" s="3185"/>
      <c r="BC37" s="3185"/>
      <c r="BD37" s="3185"/>
      <c r="BE37" s="3185"/>
      <c r="BF37" s="3185"/>
      <c r="BG37" s="3185"/>
      <c r="BH37" s="3185"/>
      <c r="BI37" s="3185"/>
      <c r="BJ37" s="3185"/>
      <c r="BK37" s="3185"/>
      <c r="BL37" s="3185"/>
      <c r="BM37" s="3185">
        <v>0.6</v>
      </c>
      <c r="BN37" s="3185"/>
      <c r="BO37" s="3185">
        <v>0.3</v>
      </c>
      <c r="BP37" s="3185">
        <v>0.3</v>
      </c>
      <c r="BQ37" s="3185"/>
      <c r="BR37" s="3185"/>
      <c r="BS37" s="3185"/>
      <c r="BT37" s="3185"/>
      <c r="BU37" s="3185"/>
      <c r="BV37" s="3185">
        <v>0.3</v>
      </c>
      <c r="BW37" s="3185"/>
      <c r="BX37" s="3185"/>
      <c r="BY37" s="3185"/>
      <c r="BZ37" s="3540">
        <v>0.3</v>
      </c>
      <c r="CA37" s="3185"/>
      <c r="CB37" s="3185"/>
      <c r="CC37" s="3185"/>
      <c r="CD37" s="3185">
        <v>0.3</v>
      </c>
      <c r="CE37" s="3185"/>
      <c r="CF37" s="3185"/>
      <c r="CG37" s="3185"/>
      <c r="CH37" s="3185"/>
      <c r="CI37" s="2629">
        <f t="shared" si="0"/>
        <v>2.1</v>
      </c>
    </row>
    <row r="38" spans="1:87" ht="30">
      <c r="A38" s="391" t="s">
        <v>1293</v>
      </c>
      <c r="B38" s="390" t="s">
        <v>1213</v>
      </c>
      <c r="C38" s="2201" t="s">
        <v>5136</v>
      </c>
      <c r="D38" s="1007" t="s">
        <v>4219</v>
      </c>
      <c r="E38" s="1171" t="s">
        <v>2539</v>
      </c>
      <c r="F38" s="2207">
        <v>0</v>
      </c>
      <c r="G38" s="367"/>
      <c r="H38" s="2207">
        <v>0</v>
      </c>
      <c r="I38" s="367"/>
      <c r="J38" s="367"/>
      <c r="K38" s="367"/>
      <c r="L38" s="277"/>
      <c r="M38" s="297">
        <f t="shared" si="3"/>
        <v>0</v>
      </c>
      <c r="N38" s="277"/>
      <c r="O38" s="297">
        <f t="shared" si="4"/>
        <v>0</v>
      </c>
      <c r="P38" s="250"/>
      <c r="Q38" s="246">
        <f>'Abs9. NVBDCP'!Q81</f>
        <v>0</v>
      </c>
      <c r="R38" s="210">
        <f>'Abs9. NVBDCP'!R81</f>
        <v>0</v>
      </c>
      <c r="BB38" s="897"/>
      <c r="BC38" s="897"/>
      <c r="BD38" s="897"/>
      <c r="BE38" s="897"/>
      <c r="BF38" s="897"/>
      <c r="BG38" s="897"/>
      <c r="BH38" s="897"/>
      <c r="BI38" s="897"/>
      <c r="BJ38" s="897"/>
      <c r="BK38" s="897"/>
      <c r="BL38" s="897"/>
      <c r="BM38" s="897"/>
      <c r="BN38" s="897"/>
      <c r="BO38" s="897"/>
      <c r="BP38" s="897"/>
      <c r="BQ38" s="897"/>
      <c r="BR38" s="897"/>
      <c r="BS38" s="897"/>
      <c r="BT38" s="897"/>
      <c r="BU38" s="897"/>
      <c r="BV38" s="897"/>
      <c r="BW38" s="897"/>
      <c r="BX38" s="897"/>
      <c r="BY38" s="897"/>
      <c r="BZ38" s="897"/>
      <c r="CA38" s="897"/>
      <c r="CB38" s="897"/>
      <c r="CC38" s="897"/>
      <c r="CD38" s="897"/>
      <c r="CE38" s="897"/>
      <c r="CF38" s="897"/>
      <c r="CG38" s="897"/>
      <c r="CH38" s="897"/>
      <c r="CI38" s="2629">
        <f t="shared" si="0"/>
        <v>0</v>
      </c>
    </row>
    <row r="39" spans="1:87" ht="45">
      <c r="A39" s="391" t="s">
        <v>2540</v>
      </c>
      <c r="B39" s="390" t="s">
        <v>1942</v>
      </c>
      <c r="C39" s="390" t="s">
        <v>1943</v>
      </c>
      <c r="D39" s="1007" t="s">
        <v>4219</v>
      </c>
      <c r="E39" s="1171" t="s">
        <v>1675</v>
      </c>
      <c r="F39" s="2207">
        <v>0</v>
      </c>
      <c r="G39" s="367"/>
      <c r="H39" s="2207">
        <v>0</v>
      </c>
      <c r="I39" s="367"/>
      <c r="J39" s="367"/>
      <c r="K39" s="367"/>
      <c r="L39" s="277"/>
      <c r="M39" s="297">
        <f t="shared" si="3"/>
        <v>0</v>
      </c>
      <c r="N39" s="277"/>
      <c r="O39" s="297">
        <f t="shared" si="4"/>
        <v>0</v>
      </c>
      <c r="P39" s="250"/>
      <c r="Q39" s="246">
        <f>'Abs9. NVBDCP'!Q82</f>
        <v>0</v>
      </c>
      <c r="R39" s="210">
        <f>'Abs9. NVBDCP'!R82</f>
        <v>0</v>
      </c>
      <c r="BB39" s="897"/>
      <c r="BC39" s="897"/>
      <c r="BD39" s="897"/>
      <c r="BE39" s="897"/>
      <c r="BF39" s="897"/>
      <c r="BG39" s="897"/>
      <c r="BH39" s="897"/>
      <c r="BI39" s="897"/>
      <c r="BJ39" s="897"/>
      <c r="BK39" s="897"/>
      <c r="BL39" s="897"/>
      <c r="BM39" s="897"/>
      <c r="BN39" s="897"/>
      <c r="BO39" s="897"/>
      <c r="BP39" s="897"/>
      <c r="BQ39" s="897"/>
      <c r="BR39" s="897"/>
      <c r="BS39" s="897"/>
      <c r="BT39" s="897"/>
      <c r="BU39" s="897"/>
      <c r="BV39" s="897"/>
      <c r="BW39" s="897"/>
      <c r="BX39" s="897"/>
      <c r="BY39" s="897"/>
      <c r="BZ39" s="897"/>
      <c r="CA39" s="897"/>
      <c r="CB39" s="897"/>
      <c r="CC39" s="897"/>
      <c r="CD39" s="897"/>
      <c r="CE39" s="897"/>
      <c r="CF39" s="897"/>
      <c r="CG39" s="897"/>
      <c r="CH39" s="897"/>
      <c r="CI39" s="2629">
        <f t="shared" si="0"/>
        <v>0</v>
      </c>
    </row>
    <row r="40" spans="1:87" ht="30">
      <c r="A40" s="391" t="s">
        <v>2541</v>
      </c>
      <c r="B40" s="1349" t="s">
        <v>1214</v>
      </c>
      <c r="C40" s="1349" t="s">
        <v>1215</v>
      </c>
      <c r="D40" s="1007" t="s">
        <v>4219</v>
      </c>
      <c r="E40" s="1171" t="s">
        <v>4711</v>
      </c>
      <c r="F40" s="2207">
        <v>0</v>
      </c>
      <c r="G40" s="367"/>
      <c r="H40" s="2207">
        <v>0</v>
      </c>
      <c r="I40" s="367"/>
      <c r="J40" s="367"/>
      <c r="K40" s="367"/>
      <c r="L40" s="277"/>
      <c r="M40" s="297">
        <f t="shared" si="3"/>
        <v>0</v>
      </c>
      <c r="N40" s="277"/>
      <c r="O40" s="297">
        <f t="shared" si="4"/>
        <v>0</v>
      </c>
      <c r="P40" s="250"/>
      <c r="Q40" s="246">
        <f>'Abs9. NVBDCP'!Q83</f>
        <v>0</v>
      </c>
      <c r="R40" s="210">
        <f>'Abs9. NVBDCP'!R83</f>
        <v>0</v>
      </c>
      <c r="BB40" s="897"/>
      <c r="BC40" s="897"/>
      <c r="BD40" s="897"/>
      <c r="BE40" s="897"/>
      <c r="BF40" s="897"/>
      <c r="BG40" s="897"/>
      <c r="BH40" s="897"/>
      <c r="BI40" s="897"/>
      <c r="BJ40" s="897"/>
      <c r="BK40" s="897"/>
      <c r="BL40" s="897"/>
      <c r="BM40" s="897"/>
      <c r="BN40" s="897"/>
      <c r="BO40" s="897"/>
      <c r="BP40" s="897"/>
      <c r="BQ40" s="897"/>
      <c r="BR40" s="897"/>
      <c r="BS40" s="897"/>
      <c r="BT40" s="897"/>
      <c r="BU40" s="897"/>
      <c r="BV40" s="897"/>
      <c r="BW40" s="897"/>
      <c r="BX40" s="897"/>
      <c r="BY40" s="897"/>
      <c r="BZ40" s="897"/>
      <c r="CA40" s="897"/>
      <c r="CB40" s="897"/>
      <c r="CC40" s="897"/>
      <c r="CD40" s="897"/>
      <c r="CE40" s="897"/>
      <c r="CF40" s="897"/>
      <c r="CG40" s="897"/>
      <c r="CH40" s="897"/>
      <c r="CI40" s="2629">
        <f t="shared" si="0"/>
        <v>0</v>
      </c>
    </row>
    <row r="41" spans="1:87">
      <c r="A41" s="391" t="s">
        <v>2542</v>
      </c>
      <c r="B41" s="1480"/>
      <c r="C41" s="1480" t="s">
        <v>1304</v>
      </c>
      <c r="D41" s="1007" t="s">
        <v>4219</v>
      </c>
      <c r="E41" s="1185" t="s">
        <v>109</v>
      </c>
      <c r="F41" s="2208">
        <v>0</v>
      </c>
      <c r="G41" s="422"/>
      <c r="H41" s="2208">
        <v>0</v>
      </c>
      <c r="I41" s="422"/>
      <c r="J41" s="422"/>
      <c r="K41" s="422"/>
      <c r="L41" s="277"/>
      <c r="M41" s="297">
        <f t="shared" si="3"/>
        <v>0</v>
      </c>
      <c r="N41" s="277"/>
      <c r="O41" s="298">
        <f t="shared" si="4"/>
        <v>0</v>
      </c>
      <c r="P41" s="289"/>
      <c r="Q41" s="246">
        <f>'Abs9. NVBDCP'!Q84</f>
        <v>0</v>
      </c>
      <c r="R41" s="210">
        <f>'Abs9. NVBDCP'!R84</f>
        <v>0</v>
      </c>
      <c r="BB41" s="897"/>
      <c r="BC41" s="897"/>
      <c r="BD41" s="897"/>
      <c r="BE41" s="897"/>
      <c r="BF41" s="897"/>
      <c r="BG41" s="897"/>
      <c r="BH41" s="897"/>
      <c r="BI41" s="897"/>
      <c r="BJ41" s="897"/>
      <c r="BK41" s="897"/>
      <c r="BL41" s="897"/>
      <c r="BM41" s="897"/>
      <c r="BN41" s="897"/>
      <c r="BO41" s="897"/>
      <c r="BP41" s="897"/>
      <c r="BQ41" s="897"/>
      <c r="BR41" s="897"/>
      <c r="BS41" s="897"/>
      <c r="BT41" s="897"/>
      <c r="BU41" s="897"/>
      <c r="BV41" s="897"/>
      <c r="BW41" s="897"/>
      <c r="BX41" s="897"/>
      <c r="BY41" s="897"/>
      <c r="BZ41" s="897"/>
      <c r="CA41" s="897"/>
      <c r="CB41" s="897"/>
      <c r="CC41" s="897"/>
      <c r="CD41" s="897"/>
      <c r="CE41" s="897"/>
      <c r="CF41" s="897"/>
      <c r="CG41" s="897"/>
      <c r="CH41" s="897"/>
      <c r="CI41" s="2629">
        <f t="shared" si="0"/>
        <v>0</v>
      </c>
    </row>
    <row r="42" spans="1:87">
      <c r="A42" s="1542" t="s">
        <v>1207</v>
      </c>
      <c r="B42" s="1152" t="s">
        <v>1202</v>
      </c>
      <c r="C42" s="1253" t="s">
        <v>2543</v>
      </c>
      <c r="D42" s="1561"/>
      <c r="E42" s="1561"/>
      <c r="F42" s="268"/>
      <c r="G42" s="268"/>
      <c r="H42" s="268"/>
      <c r="I42" s="268"/>
      <c r="J42" s="268"/>
      <c r="K42" s="268"/>
      <c r="L42" s="268"/>
      <c r="M42" s="1563"/>
      <c r="N42" s="268"/>
      <c r="O42" s="1564">
        <f>SUM(O43:O45)</f>
        <v>0</v>
      </c>
      <c r="P42" s="97"/>
      <c r="Q42" s="436"/>
      <c r="R42" s="299">
        <f>SUM(R43:R45)</f>
        <v>0</v>
      </c>
      <c r="BB42" s="897"/>
      <c r="BC42" s="897"/>
      <c r="BD42" s="897"/>
      <c r="BE42" s="897"/>
      <c r="BF42" s="897"/>
      <c r="BG42" s="897"/>
      <c r="BH42" s="897"/>
      <c r="BI42" s="897"/>
      <c r="BJ42" s="897"/>
      <c r="BK42" s="897"/>
      <c r="BL42" s="897"/>
      <c r="BM42" s="897"/>
      <c r="BN42" s="897"/>
      <c r="BO42" s="897"/>
      <c r="BP42" s="897"/>
      <c r="BQ42" s="897"/>
      <c r="BR42" s="897"/>
      <c r="BS42" s="897"/>
      <c r="BT42" s="897"/>
      <c r="BU42" s="897"/>
      <c r="BV42" s="897"/>
      <c r="BW42" s="897"/>
      <c r="BX42" s="897"/>
      <c r="BY42" s="897"/>
      <c r="BZ42" s="897"/>
      <c r="CA42" s="897"/>
      <c r="CB42" s="897"/>
      <c r="CC42" s="897"/>
      <c r="CD42" s="897"/>
      <c r="CE42" s="897"/>
      <c r="CF42" s="897"/>
      <c r="CG42" s="897"/>
      <c r="CH42" s="897"/>
      <c r="CI42" s="2629">
        <f t="shared" si="0"/>
        <v>0</v>
      </c>
    </row>
    <row r="43" spans="1:87">
      <c r="A43" s="391" t="s">
        <v>2546</v>
      </c>
      <c r="B43" s="1349" t="s">
        <v>1203</v>
      </c>
      <c r="C43" s="1349" t="s">
        <v>2544</v>
      </c>
      <c r="D43" s="1549" t="s">
        <v>80</v>
      </c>
      <c r="E43" s="1171" t="s">
        <v>410</v>
      </c>
      <c r="F43" s="2212">
        <v>0</v>
      </c>
      <c r="G43" s="270"/>
      <c r="H43" s="2212">
        <v>0</v>
      </c>
      <c r="I43" s="270"/>
      <c r="J43" s="270"/>
      <c r="K43" s="270"/>
      <c r="L43" s="277"/>
      <c r="M43" s="297">
        <f>L43/100000</f>
        <v>0</v>
      </c>
      <c r="N43" s="277"/>
      <c r="O43" s="297">
        <f>M43*N43</f>
        <v>0</v>
      </c>
      <c r="P43" s="98"/>
      <c r="Q43" s="225">
        <f>'Abs19. NPCDCS'!Q43</f>
        <v>0</v>
      </c>
      <c r="R43" s="210">
        <f>'Abs19. NPCDCS'!R43</f>
        <v>0</v>
      </c>
      <c r="BB43" s="897"/>
      <c r="BC43" s="897"/>
      <c r="BD43" s="897"/>
      <c r="BE43" s="897"/>
      <c r="BF43" s="897"/>
      <c r="BG43" s="897"/>
      <c r="BH43" s="897"/>
      <c r="BI43" s="897"/>
      <c r="BJ43" s="897"/>
      <c r="BK43" s="897"/>
      <c r="BL43" s="897"/>
      <c r="BM43" s="897"/>
      <c r="BN43" s="897"/>
      <c r="BO43" s="897"/>
      <c r="BP43" s="897"/>
      <c r="BQ43" s="897"/>
      <c r="BR43" s="897"/>
      <c r="BS43" s="897"/>
      <c r="BT43" s="897"/>
      <c r="BU43" s="897"/>
      <c r="BV43" s="897"/>
      <c r="BW43" s="897"/>
      <c r="BX43" s="897"/>
      <c r="BY43" s="897"/>
      <c r="BZ43" s="897"/>
      <c r="CA43" s="897"/>
      <c r="CB43" s="897"/>
      <c r="CC43" s="897"/>
      <c r="CD43" s="897"/>
      <c r="CE43" s="897"/>
      <c r="CF43" s="897"/>
      <c r="CG43" s="897"/>
      <c r="CH43" s="897"/>
      <c r="CI43" s="2629">
        <f t="shared" si="0"/>
        <v>0</v>
      </c>
    </row>
    <row r="44" spans="1:87">
      <c r="A44" s="391" t="s">
        <v>2547</v>
      </c>
      <c r="B44" s="1349" t="s">
        <v>1205</v>
      </c>
      <c r="C44" s="1349" t="s">
        <v>2545</v>
      </c>
      <c r="D44" s="1549" t="s">
        <v>80</v>
      </c>
      <c r="E44" s="1171" t="s">
        <v>410</v>
      </c>
      <c r="F44" s="2212">
        <v>0</v>
      </c>
      <c r="G44" s="270"/>
      <c r="H44" s="2212">
        <v>0</v>
      </c>
      <c r="I44" s="270"/>
      <c r="J44" s="270"/>
      <c r="K44" s="270"/>
      <c r="L44" s="277"/>
      <c r="M44" s="297">
        <f>L44/100000</f>
        <v>0</v>
      </c>
      <c r="N44" s="277"/>
      <c r="O44" s="297">
        <f>M44*N44</f>
        <v>0</v>
      </c>
      <c r="P44" s="98"/>
      <c r="Q44" s="225">
        <f>'Abs19. NPCDCS'!Q44</f>
        <v>0</v>
      </c>
      <c r="R44" s="210">
        <f>'Abs19. NPCDCS'!R44</f>
        <v>0</v>
      </c>
      <c r="BB44" s="897"/>
      <c r="BC44" s="897"/>
      <c r="BD44" s="897"/>
      <c r="BE44" s="897"/>
      <c r="BF44" s="897"/>
      <c r="BG44" s="897"/>
      <c r="BH44" s="897"/>
      <c r="BI44" s="897"/>
      <c r="BJ44" s="897"/>
      <c r="BK44" s="897"/>
      <c r="BL44" s="897"/>
      <c r="BM44" s="897"/>
      <c r="BN44" s="897"/>
      <c r="BO44" s="897"/>
      <c r="BP44" s="897"/>
      <c r="BQ44" s="897"/>
      <c r="BR44" s="897"/>
      <c r="BS44" s="897"/>
      <c r="BT44" s="897"/>
      <c r="BU44" s="897"/>
      <c r="BV44" s="897"/>
      <c r="BW44" s="897"/>
      <c r="BX44" s="897"/>
      <c r="BY44" s="897"/>
      <c r="BZ44" s="897"/>
      <c r="CA44" s="897"/>
      <c r="CB44" s="897"/>
      <c r="CC44" s="897"/>
      <c r="CD44" s="897"/>
      <c r="CE44" s="897"/>
      <c r="CF44" s="897"/>
      <c r="CG44" s="897"/>
      <c r="CH44" s="897"/>
      <c r="CI44" s="2629">
        <f t="shared" si="0"/>
        <v>0</v>
      </c>
    </row>
    <row r="45" spans="1:87">
      <c r="A45" s="391" t="s">
        <v>2548</v>
      </c>
      <c r="B45" s="1480"/>
      <c r="C45" s="1349" t="s">
        <v>1304</v>
      </c>
      <c r="D45" s="1549" t="s">
        <v>80</v>
      </c>
      <c r="E45" s="1171" t="s">
        <v>410</v>
      </c>
      <c r="F45" s="2212">
        <v>0</v>
      </c>
      <c r="G45" s="270"/>
      <c r="H45" s="2212">
        <v>0</v>
      </c>
      <c r="I45" s="270"/>
      <c r="J45" s="270"/>
      <c r="K45" s="270"/>
      <c r="L45" s="277"/>
      <c r="M45" s="297">
        <f>L45/100000</f>
        <v>0</v>
      </c>
      <c r="N45" s="277"/>
      <c r="O45" s="297">
        <f>M45*N45</f>
        <v>0</v>
      </c>
      <c r="P45" s="98"/>
      <c r="Q45" s="225">
        <f>'Abs19. NPCDCS'!Q45</f>
        <v>0</v>
      </c>
      <c r="R45" s="210">
        <f>'Abs19. NPCDCS'!R45</f>
        <v>0</v>
      </c>
      <c r="BB45" s="897"/>
      <c r="BC45" s="897"/>
      <c r="BD45" s="897"/>
      <c r="BE45" s="897"/>
      <c r="BF45" s="897"/>
      <c r="BG45" s="897"/>
      <c r="BH45" s="897"/>
      <c r="BI45" s="897"/>
      <c r="BJ45" s="897"/>
      <c r="BK45" s="897"/>
      <c r="BL45" s="897"/>
      <c r="BM45" s="897"/>
      <c r="BN45" s="897"/>
      <c r="BO45" s="897"/>
      <c r="BP45" s="897"/>
      <c r="BQ45" s="897"/>
      <c r="BR45" s="897"/>
      <c r="BS45" s="897"/>
      <c r="BT45" s="897"/>
      <c r="BU45" s="897"/>
      <c r="BV45" s="897"/>
      <c r="BW45" s="897"/>
      <c r="BX45" s="897"/>
      <c r="BY45" s="897"/>
      <c r="BZ45" s="897"/>
      <c r="CA45" s="897"/>
      <c r="CB45" s="897"/>
      <c r="CC45" s="897"/>
      <c r="CD45" s="897"/>
      <c r="CE45" s="897"/>
      <c r="CF45" s="897"/>
      <c r="CG45" s="897"/>
      <c r="CH45" s="897"/>
      <c r="CI45" s="2629">
        <f t="shared" si="0"/>
        <v>0</v>
      </c>
    </row>
    <row r="46" spans="1:87">
      <c r="A46" s="863" t="s">
        <v>1210</v>
      </c>
      <c r="B46" s="1565"/>
      <c r="C46" s="1566" t="s">
        <v>2549</v>
      </c>
      <c r="D46" s="908" t="s">
        <v>65</v>
      </c>
      <c r="E46" s="1171" t="s">
        <v>65</v>
      </c>
      <c r="F46" s="280">
        <v>0</v>
      </c>
      <c r="G46" s="280"/>
      <c r="H46" s="280">
        <v>0</v>
      </c>
      <c r="I46" s="280"/>
      <c r="J46" s="280"/>
      <c r="K46" s="280"/>
      <c r="L46" s="277"/>
      <c r="M46" s="297">
        <f>L46/100000</f>
        <v>0</v>
      </c>
      <c r="N46" s="277"/>
      <c r="O46" s="297">
        <f>M46*N46</f>
        <v>0</v>
      </c>
      <c r="P46" s="251"/>
      <c r="Q46" s="437"/>
      <c r="R46" s="300"/>
      <c r="BB46" s="897"/>
      <c r="BC46" s="897"/>
      <c r="BD46" s="897"/>
      <c r="BE46" s="897"/>
      <c r="BF46" s="897"/>
      <c r="BG46" s="897"/>
      <c r="BH46" s="897"/>
      <c r="BI46" s="897"/>
      <c r="BJ46" s="897"/>
      <c r="BK46" s="897"/>
      <c r="BL46" s="897"/>
      <c r="BM46" s="897"/>
      <c r="BN46" s="897"/>
      <c r="BO46" s="897"/>
      <c r="BP46" s="897"/>
      <c r="BQ46" s="897"/>
      <c r="BR46" s="897"/>
      <c r="BS46" s="897"/>
      <c r="BT46" s="897"/>
      <c r="BU46" s="897"/>
      <c r="BV46" s="897"/>
      <c r="BW46" s="897"/>
      <c r="BX46" s="897"/>
      <c r="BY46" s="897"/>
      <c r="BZ46" s="897"/>
      <c r="CA46" s="897"/>
      <c r="CB46" s="897"/>
      <c r="CC46" s="897"/>
      <c r="CD46" s="897"/>
      <c r="CE46" s="897"/>
      <c r="CF46" s="897"/>
      <c r="CG46" s="897"/>
      <c r="CH46" s="897"/>
      <c r="CI46" s="2629">
        <f t="shared" si="0"/>
        <v>0</v>
      </c>
    </row>
    <row r="47" spans="1:87">
      <c r="A47" s="1468">
        <v>10.4</v>
      </c>
      <c r="B47" s="1452"/>
      <c r="C47" s="1148" t="s">
        <v>23</v>
      </c>
      <c r="D47" s="1567"/>
      <c r="E47" s="1567"/>
      <c r="F47" s="389"/>
      <c r="G47" s="389"/>
      <c r="H47" s="389"/>
      <c r="I47" s="389"/>
      <c r="J47" s="389"/>
      <c r="K47" s="389"/>
      <c r="L47" s="389"/>
      <c r="M47" s="1451"/>
      <c r="N47" s="319"/>
      <c r="O47" s="1453">
        <f>SUM(O48:O54)</f>
        <v>35</v>
      </c>
      <c r="P47" s="96"/>
      <c r="Q47" s="438"/>
      <c r="R47" s="654">
        <f>SUM(R48:R54)</f>
        <v>23</v>
      </c>
      <c r="BB47" s="897"/>
      <c r="BC47" s="897"/>
      <c r="BD47" s="897"/>
      <c r="BE47" s="897"/>
      <c r="BF47" s="897"/>
      <c r="BG47" s="897"/>
      <c r="BH47" s="897"/>
      <c r="BI47" s="897"/>
      <c r="BJ47" s="897"/>
      <c r="BK47" s="897"/>
      <c r="BL47" s="897"/>
      <c r="BM47" s="897"/>
      <c r="BN47" s="897"/>
      <c r="BO47" s="897"/>
      <c r="BP47" s="897"/>
      <c r="BQ47" s="897"/>
      <c r="BR47" s="897"/>
      <c r="BS47" s="897"/>
      <c r="BT47" s="897"/>
      <c r="BU47" s="897"/>
      <c r="BV47" s="897"/>
      <c r="BW47" s="897"/>
      <c r="BX47" s="897"/>
      <c r="BY47" s="897"/>
      <c r="BZ47" s="897"/>
      <c r="CA47" s="897"/>
      <c r="CB47" s="897"/>
      <c r="CC47" s="897"/>
      <c r="CD47" s="897"/>
      <c r="CE47" s="897"/>
      <c r="CF47" s="897"/>
      <c r="CG47" s="897"/>
      <c r="CH47" s="897"/>
      <c r="CI47" s="2629">
        <f t="shared" si="0"/>
        <v>0</v>
      </c>
    </row>
    <row r="48" spans="1:87" s="1169" customFormat="1" ht="90">
      <c r="A48" s="391" t="s">
        <v>1216</v>
      </c>
      <c r="B48" s="1480" t="s">
        <v>1217</v>
      </c>
      <c r="C48" s="1480" t="s">
        <v>1218</v>
      </c>
      <c r="D48" s="2457" t="s">
        <v>85</v>
      </c>
      <c r="E48" s="1185" t="s">
        <v>203</v>
      </c>
      <c r="F48" s="2216">
        <v>1</v>
      </c>
      <c r="G48" s="421"/>
      <c r="H48" s="2216">
        <v>1</v>
      </c>
      <c r="I48" s="421"/>
      <c r="J48" s="421">
        <v>1</v>
      </c>
      <c r="K48" s="421"/>
      <c r="L48" s="283">
        <v>100000</v>
      </c>
      <c r="M48" s="298">
        <f t="shared" ref="M48:M54" si="5">L48/100000</f>
        <v>1</v>
      </c>
      <c r="N48" s="283">
        <v>1</v>
      </c>
      <c r="O48" s="298">
        <f t="shared" ref="O48:O62" si="6">M48*N48</f>
        <v>1</v>
      </c>
      <c r="P48" s="289" t="s">
        <v>5209</v>
      </c>
      <c r="Q48" s="247" t="str">
        <f>'Ab2. NIDDCP'!Q17</f>
        <v>As proposed by the State, it is recommended for approval of Rs.1.00 lakh for Laboratory chemicals  / reagents, glassware, disposables etc. for testing salt &amp; urine samples in the State IDD Monitoring Lab.</v>
      </c>
      <c r="R48" s="655">
        <f>'Ab2. NIDDCP'!R17</f>
        <v>1</v>
      </c>
      <c r="BB48" s="3185"/>
      <c r="BC48" s="3185"/>
      <c r="BD48" s="3185"/>
      <c r="BE48" s="3185"/>
      <c r="BF48" s="3185">
        <v>1</v>
      </c>
      <c r="BG48" s="3185"/>
      <c r="BH48" s="3185"/>
      <c r="BI48" s="3185"/>
      <c r="BJ48" s="3185"/>
      <c r="BK48" s="3185"/>
      <c r="BL48" s="3185"/>
      <c r="BM48" s="3185"/>
      <c r="BN48" s="3185"/>
      <c r="BO48" s="3185"/>
      <c r="BP48" s="3185"/>
      <c r="BQ48" s="3185"/>
      <c r="BR48" s="3185"/>
      <c r="BS48" s="3185"/>
      <c r="BT48" s="3185"/>
      <c r="BU48" s="3185"/>
      <c r="BV48" s="3185"/>
      <c r="BW48" s="3185"/>
      <c r="BX48" s="3185"/>
      <c r="BY48" s="3185"/>
      <c r="BZ48" s="3185"/>
      <c r="CA48" s="3185"/>
      <c r="CB48" s="3185"/>
      <c r="CC48" s="3185"/>
      <c r="CD48" s="3185"/>
      <c r="CE48" s="3185"/>
      <c r="CF48" s="3185"/>
      <c r="CG48" s="3185"/>
      <c r="CH48" s="3185"/>
      <c r="CI48" s="2629">
        <f t="shared" si="0"/>
        <v>1</v>
      </c>
    </row>
    <row r="49" spans="1:87" s="1169" customFormat="1" ht="75">
      <c r="A49" s="391" t="s">
        <v>1219</v>
      </c>
      <c r="B49" s="1480" t="s">
        <v>1220</v>
      </c>
      <c r="C49" s="1480" t="s">
        <v>1221</v>
      </c>
      <c r="D49" s="2254" t="s">
        <v>4219</v>
      </c>
      <c r="E49" s="1185" t="s">
        <v>288</v>
      </c>
      <c r="F49" s="2216">
        <v>6</v>
      </c>
      <c r="G49" s="421">
        <v>0</v>
      </c>
      <c r="H49" s="2216">
        <v>10</v>
      </c>
      <c r="I49" s="397">
        <v>0</v>
      </c>
      <c r="J49" s="397">
        <v>5</v>
      </c>
      <c r="K49" s="397">
        <v>6</v>
      </c>
      <c r="L49" s="279">
        <v>200000</v>
      </c>
      <c r="M49" s="298">
        <f t="shared" si="5"/>
        <v>2</v>
      </c>
      <c r="N49" s="279">
        <v>2</v>
      </c>
      <c r="O49" s="298">
        <f t="shared" si="6"/>
        <v>4</v>
      </c>
      <c r="P49" s="380" t="s">
        <v>5450</v>
      </c>
      <c r="Q49" s="233" t="str">
        <f>'Abs8. IDSP'!Q23</f>
        <v>Recommended 4 lakh ( 2 lakh each) for DPHL at Bilaspur and Mandi. However, both DPHLs need to increase the number of tests conducted.</v>
      </c>
      <c r="R49" s="212">
        <f>'Abs8. IDSP'!R23</f>
        <v>4</v>
      </c>
      <c r="BB49" s="3185"/>
      <c r="BC49" s="3185"/>
      <c r="BD49" s="3185"/>
      <c r="BE49" s="3185"/>
      <c r="BF49" s="3185"/>
      <c r="BG49" s="3185"/>
      <c r="BH49" s="3185"/>
      <c r="BI49" s="3185"/>
      <c r="BJ49" s="3185"/>
      <c r="BK49" s="3185"/>
      <c r="BL49" s="3185"/>
      <c r="BM49" s="3185"/>
      <c r="BN49" s="3185"/>
      <c r="BO49" s="3185"/>
      <c r="BP49" s="3185"/>
      <c r="BQ49" s="3185"/>
      <c r="BR49" s="3185"/>
      <c r="BS49" s="3185"/>
      <c r="BT49" s="3185"/>
      <c r="BU49" s="3185"/>
      <c r="BV49" s="3185">
        <v>2</v>
      </c>
      <c r="BW49" s="3185"/>
      <c r="BX49" s="3185"/>
      <c r="BY49" s="3185"/>
      <c r="BZ49" s="3185">
        <v>2</v>
      </c>
      <c r="CA49" s="3185"/>
      <c r="CB49" s="3185"/>
      <c r="CC49" s="3185"/>
      <c r="CD49" s="3185"/>
      <c r="CE49" s="3185"/>
      <c r="CF49" s="3185"/>
      <c r="CG49" s="3185"/>
      <c r="CH49" s="3185"/>
      <c r="CI49" s="2629">
        <f t="shared" si="0"/>
        <v>4</v>
      </c>
    </row>
    <row r="50" spans="1:87" s="1169" customFormat="1" ht="105">
      <c r="A50" s="391" t="s">
        <v>1222</v>
      </c>
      <c r="B50" s="1480" t="s">
        <v>1223</v>
      </c>
      <c r="C50" s="1480" t="s">
        <v>1224</v>
      </c>
      <c r="D50" s="2254" t="s">
        <v>4219</v>
      </c>
      <c r="E50" s="1185" t="s">
        <v>288</v>
      </c>
      <c r="F50" s="2216">
        <v>2</v>
      </c>
      <c r="G50" s="421"/>
      <c r="H50" s="2216">
        <v>4</v>
      </c>
      <c r="I50" s="421"/>
      <c r="J50" s="421">
        <v>2</v>
      </c>
      <c r="K50" s="421"/>
      <c r="L50" s="283">
        <v>500000</v>
      </c>
      <c r="M50" s="298">
        <f t="shared" si="5"/>
        <v>5</v>
      </c>
      <c r="N50" s="283">
        <v>6</v>
      </c>
      <c r="O50" s="298">
        <f t="shared" si="6"/>
        <v>30</v>
      </c>
      <c r="P50" s="289" t="s">
        <v>5451</v>
      </c>
      <c r="Q50" s="233" t="str">
        <f>'Abs8. IDSP'!Q24</f>
        <v xml:space="preserve">Recommended:Reimbursements based on the tests carried out for epidemic prone disease upto Rs. 3,00,000/- per annum per State Referral Laboratory.This is subject to signing of MoU between SRL and SSU. </v>
      </c>
      <c r="R50" s="212">
        <f>'Abs8. IDSP'!R24</f>
        <v>18</v>
      </c>
      <c r="BB50" s="3185">
        <v>18</v>
      </c>
      <c r="BC50" s="3185"/>
      <c r="BD50" s="3185"/>
      <c r="BE50" s="3185"/>
      <c r="BF50" s="3185"/>
      <c r="BG50" s="3185"/>
      <c r="BH50" s="3185"/>
      <c r="BI50" s="3185"/>
      <c r="BJ50" s="3185"/>
      <c r="BK50" s="3185"/>
      <c r="BL50" s="3185"/>
      <c r="BM50" s="3185"/>
      <c r="BN50" s="3185"/>
      <c r="BO50" s="3185"/>
      <c r="BP50" s="3185"/>
      <c r="BQ50" s="3185"/>
      <c r="BR50" s="3185"/>
      <c r="BS50" s="3185"/>
      <c r="BT50" s="3185"/>
      <c r="BU50" s="3185"/>
      <c r="BV50" s="3185"/>
      <c r="BW50" s="3185"/>
      <c r="BX50" s="3185"/>
      <c r="BY50" s="3185"/>
      <c r="BZ50" s="3185"/>
      <c r="CA50" s="3185"/>
      <c r="CB50" s="3185"/>
      <c r="CC50" s="3185"/>
      <c r="CD50" s="3185"/>
      <c r="CE50" s="3185"/>
      <c r="CF50" s="3185"/>
      <c r="CG50" s="3185"/>
      <c r="CH50" s="3185"/>
      <c r="CI50" s="2629">
        <f t="shared" si="0"/>
        <v>18</v>
      </c>
    </row>
    <row r="51" spans="1:87" ht="45">
      <c r="A51" s="391" t="s">
        <v>1225</v>
      </c>
      <c r="B51" s="1349" t="s">
        <v>1226</v>
      </c>
      <c r="C51" s="1349" t="s">
        <v>1227</v>
      </c>
      <c r="D51" s="1007" t="s">
        <v>4219</v>
      </c>
      <c r="E51" s="1171" t="s">
        <v>288</v>
      </c>
      <c r="F51" s="2211">
        <v>0</v>
      </c>
      <c r="G51" s="276"/>
      <c r="H51" s="2211">
        <v>0</v>
      </c>
      <c r="I51" s="276"/>
      <c r="J51" s="276"/>
      <c r="K51" s="276"/>
      <c r="L51" s="277"/>
      <c r="M51" s="297">
        <f t="shared" si="5"/>
        <v>0</v>
      </c>
      <c r="N51" s="277"/>
      <c r="O51" s="297">
        <f t="shared" si="6"/>
        <v>0</v>
      </c>
      <c r="P51" s="250"/>
      <c r="Q51" s="225">
        <f>'Abs8. IDSP'!Q25</f>
        <v>0</v>
      </c>
      <c r="R51" s="210">
        <f>'Abs8. IDSP'!R25</f>
        <v>0</v>
      </c>
      <c r="BB51" s="897"/>
      <c r="BC51" s="897"/>
      <c r="BD51" s="897"/>
      <c r="BE51" s="897"/>
      <c r="BF51" s="897"/>
      <c r="BG51" s="897"/>
      <c r="BH51" s="897"/>
      <c r="BI51" s="897"/>
      <c r="BJ51" s="897"/>
      <c r="BK51" s="897"/>
      <c r="BL51" s="897"/>
      <c r="BM51" s="897"/>
      <c r="BN51" s="897"/>
      <c r="BO51" s="897"/>
      <c r="BP51" s="897"/>
      <c r="BQ51" s="897"/>
      <c r="BR51" s="897"/>
      <c r="BS51" s="897"/>
      <c r="BT51" s="897"/>
      <c r="BU51" s="897"/>
      <c r="BV51" s="897"/>
      <c r="BW51" s="897"/>
      <c r="BX51" s="897"/>
      <c r="BY51" s="897"/>
      <c r="BZ51" s="897"/>
      <c r="CA51" s="897"/>
      <c r="CB51" s="897"/>
      <c r="CC51" s="897"/>
      <c r="CD51" s="897"/>
      <c r="CE51" s="897"/>
      <c r="CF51" s="897"/>
      <c r="CG51" s="897"/>
      <c r="CH51" s="897"/>
      <c r="CI51" s="2629">
        <f t="shared" si="0"/>
        <v>0</v>
      </c>
    </row>
    <row r="52" spans="1:87">
      <c r="A52" s="391" t="s">
        <v>1228</v>
      </c>
      <c r="B52" s="1349" t="s">
        <v>1229</v>
      </c>
      <c r="C52" s="1349" t="s">
        <v>1230</v>
      </c>
      <c r="D52" s="1007" t="s">
        <v>4219</v>
      </c>
      <c r="E52" s="1171" t="s">
        <v>288</v>
      </c>
      <c r="F52" s="2207">
        <v>0</v>
      </c>
      <c r="G52" s="367"/>
      <c r="H52" s="2207">
        <v>0</v>
      </c>
      <c r="I52" s="367"/>
      <c r="J52" s="367"/>
      <c r="K52" s="367"/>
      <c r="L52" s="277"/>
      <c r="M52" s="297">
        <f t="shared" si="5"/>
        <v>0</v>
      </c>
      <c r="N52" s="277"/>
      <c r="O52" s="297">
        <f t="shared" si="6"/>
        <v>0</v>
      </c>
      <c r="P52" s="250"/>
      <c r="Q52" s="225">
        <f>'Abs8. IDSP'!Q26</f>
        <v>0</v>
      </c>
      <c r="R52" s="210">
        <f>'Abs8. IDSP'!R26</f>
        <v>0</v>
      </c>
      <c r="BB52" s="897"/>
      <c r="BC52" s="897"/>
      <c r="BD52" s="897"/>
      <c r="BE52" s="897"/>
      <c r="BF52" s="897"/>
      <c r="BG52" s="897"/>
      <c r="BH52" s="897"/>
      <c r="BI52" s="897"/>
      <c r="BJ52" s="897"/>
      <c r="BK52" s="897"/>
      <c r="BL52" s="897"/>
      <c r="BM52" s="897"/>
      <c r="BN52" s="897"/>
      <c r="BO52" s="897"/>
      <c r="BP52" s="897"/>
      <c r="BQ52" s="897"/>
      <c r="BR52" s="897"/>
      <c r="BS52" s="897"/>
      <c r="BT52" s="897"/>
      <c r="BU52" s="897"/>
      <c r="BV52" s="897"/>
      <c r="BW52" s="897"/>
      <c r="BX52" s="897"/>
      <c r="BY52" s="897"/>
      <c r="BZ52" s="897"/>
      <c r="CA52" s="897"/>
      <c r="CB52" s="897"/>
      <c r="CC52" s="897"/>
      <c r="CD52" s="897"/>
      <c r="CE52" s="897"/>
      <c r="CF52" s="897"/>
      <c r="CG52" s="897"/>
      <c r="CH52" s="897"/>
      <c r="CI52" s="2629">
        <f t="shared" si="0"/>
        <v>0</v>
      </c>
    </row>
    <row r="53" spans="1:87" s="1555" customFormat="1" ht="30">
      <c r="A53" s="391" t="s">
        <v>1231</v>
      </c>
      <c r="B53" s="390" t="s">
        <v>1232</v>
      </c>
      <c r="C53" s="390" t="s">
        <v>1233</v>
      </c>
      <c r="D53" s="1007" t="s">
        <v>4219</v>
      </c>
      <c r="E53" s="1557" t="s">
        <v>4711</v>
      </c>
      <c r="F53" s="439">
        <v>0</v>
      </c>
      <c r="G53" s="439"/>
      <c r="H53" s="439">
        <v>0</v>
      </c>
      <c r="I53" s="439"/>
      <c r="J53" s="439"/>
      <c r="K53" s="439"/>
      <c r="L53" s="277"/>
      <c r="M53" s="297">
        <f t="shared" si="5"/>
        <v>0</v>
      </c>
      <c r="N53" s="277"/>
      <c r="O53" s="297">
        <f t="shared" si="6"/>
        <v>0</v>
      </c>
      <c r="P53" s="440"/>
      <c r="Q53" s="431">
        <f>'Abs9. NVBDCP'!Q85</f>
        <v>0</v>
      </c>
      <c r="R53" s="210">
        <f>'Abs9. NVBDCP'!R85</f>
        <v>0</v>
      </c>
      <c r="BB53" s="3156"/>
      <c r="BC53" s="3156"/>
      <c r="BD53" s="3156"/>
      <c r="BE53" s="3156"/>
      <c r="BF53" s="3156"/>
      <c r="BG53" s="3156"/>
      <c r="BH53" s="3156"/>
      <c r="BI53" s="3156"/>
      <c r="BJ53" s="3156"/>
      <c r="BK53" s="3156"/>
      <c r="BL53" s="3156"/>
      <c r="BM53" s="3156"/>
      <c r="BN53" s="3156"/>
      <c r="BO53" s="3156"/>
      <c r="BP53" s="3156"/>
      <c r="BQ53" s="3156"/>
      <c r="BR53" s="3156"/>
      <c r="BS53" s="3156"/>
      <c r="BT53" s="3156"/>
      <c r="BU53" s="3156"/>
      <c r="BV53" s="3156"/>
      <c r="BW53" s="3156"/>
      <c r="BX53" s="3156"/>
      <c r="BY53" s="3156"/>
      <c r="BZ53" s="3156"/>
      <c r="CA53" s="3156"/>
      <c r="CB53" s="3156"/>
      <c r="CC53" s="3156"/>
      <c r="CD53" s="3156"/>
      <c r="CE53" s="3156"/>
      <c r="CF53" s="3156"/>
      <c r="CG53" s="3156"/>
      <c r="CH53" s="3156"/>
      <c r="CI53" s="2629">
        <f t="shared" si="0"/>
        <v>0</v>
      </c>
    </row>
    <row r="54" spans="1:87" s="1214" customFormat="1">
      <c r="A54" s="863" t="s">
        <v>2550</v>
      </c>
      <c r="B54" s="1565"/>
      <c r="C54" s="1565" t="s">
        <v>1304</v>
      </c>
      <c r="D54" s="908" t="s">
        <v>65</v>
      </c>
      <c r="E54" s="1185" t="s">
        <v>65</v>
      </c>
      <c r="F54" s="398">
        <v>0</v>
      </c>
      <c r="G54" s="398"/>
      <c r="H54" s="398">
        <v>0</v>
      </c>
      <c r="I54" s="398"/>
      <c r="J54" s="398"/>
      <c r="K54" s="398"/>
      <c r="L54" s="277"/>
      <c r="M54" s="297">
        <f t="shared" si="5"/>
        <v>0</v>
      </c>
      <c r="N54" s="277"/>
      <c r="O54" s="297">
        <f t="shared" si="6"/>
        <v>0</v>
      </c>
      <c r="P54" s="380"/>
      <c r="Q54" s="437"/>
      <c r="R54" s="300"/>
      <c r="BB54" s="3257"/>
      <c r="BC54" s="3257"/>
      <c r="BD54" s="3257"/>
      <c r="BE54" s="3257"/>
      <c r="BF54" s="3257"/>
      <c r="BG54" s="3257"/>
      <c r="BH54" s="3257"/>
      <c r="BI54" s="3257"/>
      <c r="BJ54" s="3257"/>
      <c r="BK54" s="3257"/>
      <c r="BL54" s="3257"/>
      <c r="BM54" s="3257"/>
      <c r="BN54" s="3257"/>
      <c r="BO54" s="3257"/>
      <c r="BP54" s="3257"/>
      <c r="BQ54" s="3257"/>
      <c r="BR54" s="3257"/>
      <c r="BS54" s="3257"/>
      <c r="BT54" s="3257"/>
      <c r="BU54" s="3257"/>
      <c r="BV54" s="3257"/>
      <c r="BW54" s="3257"/>
      <c r="BX54" s="3257"/>
      <c r="BY54" s="3257"/>
      <c r="BZ54" s="3257"/>
      <c r="CA54" s="3257"/>
      <c r="CB54" s="3257"/>
      <c r="CC54" s="3257"/>
      <c r="CD54" s="3257"/>
      <c r="CE54" s="3257"/>
      <c r="CF54" s="3257"/>
      <c r="CG54" s="3257"/>
      <c r="CH54" s="3257"/>
      <c r="CI54" s="2629">
        <f t="shared" si="0"/>
        <v>0</v>
      </c>
    </row>
    <row r="55" spans="1:87">
      <c r="A55" s="1468">
        <v>10.5</v>
      </c>
      <c r="B55" s="1452"/>
      <c r="C55" s="1148" t="s">
        <v>4370</v>
      </c>
      <c r="D55" s="1567"/>
      <c r="E55" s="1567"/>
      <c r="F55" s="389"/>
      <c r="G55" s="389"/>
      <c r="H55" s="389"/>
      <c r="I55" s="389"/>
      <c r="J55" s="389"/>
      <c r="K55" s="389"/>
      <c r="L55" s="389"/>
      <c r="M55" s="1451"/>
      <c r="N55" s="319"/>
      <c r="O55" s="1453">
        <f>SUM(O56:O62)</f>
        <v>0</v>
      </c>
      <c r="P55" s="96"/>
      <c r="Q55" s="438"/>
      <c r="R55" s="654">
        <f>SUM(R56:R62)</f>
        <v>0</v>
      </c>
      <c r="BB55" s="897"/>
      <c r="BC55" s="897"/>
      <c r="BD55" s="897"/>
      <c r="BE55" s="897"/>
      <c r="BF55" s="897"/>
      <c r="BG55" s="897"/>
      <c r="BH55" s="897"/>
      <c r="BI55" s="897"/>
      <c r="BJ55" s="897"/>
      <c r="BK55" s="897"/>
      <c r="BL55" s="897"/>
      <c r="BM55" s="897"/>
      <c r="BN55" s="897"/>
      <c r="BO55" s="897"/>
      <c r="BP55" s="897"/>
      <c r="BQ55" s="897"/>
      <c r="BR55" s="897"/>
      <c r="BS55" s="897"/>
      <c r="BT55" s="897"/>
      <c r="BU55" s="897"/>
      <c r="BV55" s="897"/>
      <c r="BW55" s="897"/>
      <c r="BX55" s="897"/>
      <c r="BY55" s="897"/>
      <c r="BZ55" s="897"/>
      <c r="CA55" s="897"/>
      <c r="CB55" s="897"/>
      <c r="CC55" s="897"/>
      <c r="CD55" s="897"/>
      <c r="CE55" s="897"/>
      <c r="CF55" s="897"/>
      <c r="CG55" s="897"/>
      <c r="CH55" s="897"/>
      <c r="CI55" s="2629">
        <f t="shared" si="0"/>
        <v>0</v>
      </c>
    </row>
    <row r="56" spans="1:87" s="1169" customFormat="1" ht="18" customHeight="1">
      <c r="A56" s="233" t="s">
        <v>4369</v>
      </c>
      <c r="B56" s="1179"/>
      <c r="C56" s="1179" t="s">
        <v>5119</v>
      </c>
      <c r="D56" s="2254" t="s">
        <v>4219</v>
      </c>
      <c r="E56" s="2326" t="s">
        <v>4525</v>
      </c>
      <c r="F56" s="235">
        <v>5</v>
      </c>
      <c r="G56" s="235"/>
      <c r="H56" s="235">
        <v>7</v>
      </c>
      <c r="I56" s="235"/>
      <c r="J56" s="235"/>
      <c r="K56" s="235"/>
      <c r="L56" s="283"/>
      <c r="M56" s="298">
        <f t="shared" ref="M56:M62" si="7">L56/100000</f>
        <v>0</v>
      </c>
      <c r="N56" s="283"/>
      <c r="O56" s="212">
        <f t="shared" si="6"/>
        <v>0</v>
      </c>
      <c r="P56" s="236"/>
      <c r="Q56" s="233" t="str">
        <f>'Abs11. NTEP'!Q39</f>
        <v xml:space="preserve">1 district is awarded under silver category and 4 districts are awarded under Bronze category in 2020. State is considering claiming State level award in 2021. </v>
      </c>
      <c r="R56" s="212">
        <f>'Abs11. NTEP'!R39</f>
        <v>0</v>
      </c>
      <c r="BB56" s="3185"/>
      <c r="BC56" s="3185"/>
      <c r="BD56" s="3185"/>
      <c r="BE56" s="3185"/>
      <c r="BF56" s="3185"/>
      <c r="BG56" s="3185"/>
      <c r="BH56" s="3185"/>
      <c r="BI56" s="3185"/>
      <c r="BJ56" s="3185"/>
      <c r="BK56" s="3185"/>
      <c r="BL56" s="3185"/>
      <c r="BM56" s="3185"/>
      <c r="BN56" s="3185"/>
      <c r="BO56" s="3185"/>
      <c r="BP56" s="3185"/>
      <c r="BQ56" s="3185"/>
      <c r="BR56" s="3185"/>
      <c r="BS56" s="3185"/>
      <c r="BT56" s="3185"/>
      <c r="BU56" s="3185"/>
      <c r="BV56" s="3185"/>
      <c r="BW56" s="3185"/>
      <c r="BX56" s="3185"/>
      <c r="BY56" s="3185"/>
      <c r="BZ56" s="3185"/>
      <c r="CA56" s="3185"/>
      <c r="CB56" s="3185"/>
      <c r="CC56" s="3185"/>
      <c r="CD56" s="3185"/>
      <c r="CE56" s="3185"/>
      <c r="CF56" s="3185"/>
      <c r="CG56" s="3185"/>
      <c r="CH56" s="3185"/>
      <c r="CI56" s="2629">
        <f t="shared" si="0"/>
        <v>0</v>
      </c>
    </row>
    <row r="57" spans="1:87" s="1169" customFormat="1">
      <c r="A57" s="233" t="s">
        <v>4376</v>
      </c>
      <c r="B57" s="1179"/>
      <c r="C57" s="1179" t="s">
        <v>5120</v>
      </c>
      <c r="D57" s="1007" t="s">
        <v>4219</v>
      </c>
      <c r="E57" s="1019" t="s">
        <v>141</v>
      </c>
      <c r="F57" s="235">
        <v>3</v>
      </c>
      <c r="G57" s="235"/>
      <c r="H57" s="235">
        <v>15</v>
      </c>
      <c r="I57" s="235"/>
      <c r="J57" s="235">
        <v>10</v>
      </c>
      <c r="K57" s="235"/>
      <c r="L57" s="277"/>
      <c r="M57" s="297">
        <f t="shared" si="7"/>
        <v>0</v>
      </c>
      <c r="N57" s="277"/>
      <c r="O57" s="212">
        <f t="shared" si="6"/>
        <v>0</v>
      </c>
      <c r="P57" s="236"/>
      <c r="Q57" s="233">
        <f>'Abs10. NLEP'!Q27</f>
        <v>0</v>
      </c>
      <c r="R57" s="212">
        <f>'Abs10. NLEP'!R27</f>
        <v>0</v>
      </c>
      <c r="BB57" s="3185"/>
      <c r="BC57" s="3185"/>
      <c r="BD57" s="3185"/>
      <c r="BE57" s="3185"/>
      <c r="BF57" s="3185"/>
      <c r="BG57" s="3185"/>
      <c r="BH57" s="3185"/>
      <c r="BI57" s="3185"/>
      <c r="BJ57" s="3185"/>
      <c r="BK57" s="3185"/>
      <c r="BL57" s="3185"/>
      <c r="BM57" s="3185"/>
      <c r="BN57" s="3185"/>
      <c r="BO57" s="3185"/>
      <c r="BP57" s="3185"/>
      <c r="BQ57" s="3185"/>
      <c r="BR57" s="3185"/>
      <c r="BS57" s="3185"/>
      <c r="BT57" s="3185"/>
      <c r="BU57" s="3185"/>
      <c r="BV57" s="3185"/>
      <c r="BW57" s="3185"/>
      <c r="BX57" s="3185"/>
      <c r="BY57" s="3185"/>
      <c r="BZ57" s="3185"/>
      <c r="CA57" s="3185"/>
      <c r="CB57" s="3185"/>
      <c r="CC57" s="3185"/>
      <c r="CD57" s="3185"/>
      <c r="CE57" s="3185"/>
      <c r="CF57" s="3185"/>
      <c r="CG57" s="3185"/>
      <c r="CH57" s="3185"/>
      <c r="CI57" s="2629">
        <f t="shared" si="0"/>
        <v>0</v>
      </c>
    </row>
    <row r="58" spans="1:87" s="1169" customFormat="1">
      <c r="A58" s="233" t="s">
        <v>4377</v>
      </c>
      <c r="B58" s="1179"/>
      <c r="C58" s="1179" t="s">
        <v>5121</v>
      </c>
      <c r="D58" s="1007" t="s">
        <v>4219</v>
      </c>
      <c r="E58" s="1019" t="s">
        <v>4712</v>
      </c>
      <c r="F58" s="235">
        <v>0</v>
      </c>
      <c r="G58" s="235"/>
      <c r="H58" s="235">
        <v>0</v>
      </c>
      <c r="I58" s="235"/>
      <c r="J58" s="235"/>
      <c r="K58" s="235"/>
      <c r="L58" s="277"/>
      <c r="M58" s="297">
        <f t="shared" si="7"/>
        <v>0</v>
      </c>
      <c r="N58" s="277"/>
      <c r="O58" s="212">
        <f t="shared" si="6"/>
        <v>0</v>
      </c>
      <c r="P58" s="236"/>
      <c r="Q58" s="233">
        <f>'Abs9. NVBDCP'!Q86</f>
        <v>0</v>
      </c>
      <c r="R58" s="212">
        <f>'Abs9. NVBDCP'!R86</f>
        <v>0</v>
      </c>
      <c r="BB58" s="3185"/>
      <c r="BC58" s="3185"/>
      <c r="BD58" s="3185"/>
      <c r="BE58" s="3185"/>
      <c r="BF58" s="3185"/>
      <c r="BG58" s="3185"/>
      <c r="BH58" s="3185"/>
      <c r="BI58" s="3185"/>
      <c r="BJ58" s="3185"/>
      <c r="BK58" s="3185"/>
      <c r="BL58" s="3185"/>
      <c r="BM58" s="3185"/>
      <c r="BN58" s="3185"/>
      <c r="BO58" s="3185"/>
      <c r="BP58" s="3185"/>
      <c r="BQ58" s="3185"/>
      <c r="BR58" s="3185"/>
      <c r="BS58" s="3185"/>
      <c r="BT58" s="3185"/>
      <c r="BU58" s="3185"/>
      <c r="BV58" s="3185"/>
      <c r="BW58" s="3185"/>
      <c r="BX58" s="3185"/>
      <c r="BY58" s="3185"/>
      <c r="BZ58" s="3185"/>
      <c r="CA58" s="3185"/>
      <c r="CB58" s="3185"/>
      <c r="CC58" s="3185"/>
      <c r="CD58" s="3185"/>
      <c r="CE58" s="3185"/>
      <c r="CF58" s="3185"/>
      <c r="CG58" s="3185"/>
      <c r="CH58" s="3185"/>
      <c r="CI58" s="2629">
        <f t="shared" si="0"/>
        <v>0</v>
      </c>
    </row>
    <row r="59" spans="1:87" s="1169" customFormat="1" ht="30">
      <c r="A59" s="233" t="s">
        <v>4378</v>
      </c>
      <c r="B59" s="1179"/>
      <c r="C59" s="1179" t="s">
        <v>5122</v>
      </c>
      <c r="D59" s="1007" t="s">
        <v>4219</v>
      </c>
      <c r="E59" s="1019" t="s">
        <v>4711</v>
      </c>
      <c r="F59" s="235">
        <v>0</v>
      </c>
      <c r="G59" s="235"/>
      <c r="H59" s="235">
        <v>0</v>
      </c>
      <c r="I59" s="235"/>
      <c r="J59" s="235"/>
      <c r="K59" s="235"/>
      <c r="L59" s="277"/>
      <c r="M59" s="297">
        <f t="shared" si="7"/>
        <v>0</v>
      </c>
      <c r="N59" s="277"/>
      <c r="O59" s="212">
        <f t="shared" si="6"/>
        <v>0</v>
      </c>
      <c r="P59" s="236"/>
      <c r="Q59" s="233">
        <f>'Abs9. NVBDCP'!Q87</f>
        <v>0</v>
      </c>
      <c r="R59" s="212">
        <f>'Abs9. NVBDCP'!R87</f>
        <v>0</v>
      </c>
      <c r="BB59" s="3185"/>
      <c r="BC59" s="3185"/>
      <c r="BD59" s="3185"/>
      <c r="BE59" s="3185"/>
      <c r="BF59" s="3185"/>
      <c r="BG59" s="3185"/>
      <c r="BH59" s="3185"/>
      <c r="BI59" s="3185"/>
      <c r="BJ59" s="3185"/>
      <c r="BK59" s="3185"/>
      <c r="BL59" s="3185"/>
      <c r="BM59" s="3185"/>
      <c r="BN59" s="3185"/>
      <c r="BO59" s="3185"/>
      <c r="BP59" s="3185"/>
      <c r="BQ59" s="3185"/>
      <c r="BR59" s="3185"/>
      <c r="BS59" s="3185"/>
      <c r="BT59" s="3185"/>
      <c r="BU59" s="3185"/>
      <c r="BV59" s="3185"/>
      <c r="BW59" s="3185"/>
      <c r="BX59" s="3185"/>
      <c r="BY59" s="3185"/>
      <c r="BZ59" s="3185"/>
      <c r="CA59" s="3185"/>
      <c r="CB59" s="3185"/>
      <c r="CC59" s="3185"/>
      <c r="CD59" s="3185"/>
      <c r="CE59" s="3185"/>
      <c r="CF59" s="3185"/>
      <c r="CG59" s="3185"/>
      <c r="CH59" s="3185"/>
      <c r="CI59" s="2629">
        <f t="shared" si="0"/>
        <v>0</v>
      </c>
    </row>
    <row r="60" spans="1:87" s="1169" customFormat="1">
      <c r="A60" s="233" t="s">
        <v>4379</v>
      </c>
      <c r="B60" s="1179"/>
      <c r="C60" s="1179" t="s">
        <v>5123</v>
      </c>
      <c r="D60" s="2254" t="s">
        <v>4219</v>
      </c>
      <c r="E60" s="2623" t="s">
        <v>4714</v>
      </c>
      <c r="F60" s="235">
        <v>3</v>
      </c>
      <c r="G60" s="235"/>
      <c r="H60" s="235">
        <v>6</v>
      </c>
      <c r="I60" s="235"/>
      <c r="J60" s="235">
        <v>6</v>
      </c>
      <c r="K60" s="235"/>
      <c r="L60" s="283"/>
      <c r="M60" s="298">
        <f t="shared" si="7"/>
        <v>0</v>
      </c>
      <c r="N60" s="283"/>
      <c r="O60" s="212">
        <f t="shared" si="6"/>
        <v>0</v>
      </c>
      <c r="P60" s="236" t="s">
        <v>5457</v>
      </c>
      <c r="Q60" s="233">
        <f>'Abs9. NVBDCP'!Q88</f>
        <v>0</v>
      </c>
      <c r="R60" s="212">
        <f>'Abs9. NVBDCP'!R88</f>
        <v>0</v>
      </c>
      <c r="BB60" s="3185"/>
      <c r="BC60" s="3185"/>
      <c r="BD60" s="3185"/>
      <c r="BE60" s="3185"/>
      <c r="BF60" s="3185"/>
      <c r="BG60" s="3185"/>
      <c r="BH60" s="3185"/>
      <c r="BI60" s="3185"/>
      <c r="BJ60" s="3185"/>
      <c r="BK60" s="3185"/>
      <c r="BL60" s="3185"/>
      <c r="BM60" s="3185"/>
      <c r="BN60" s="3185"/>
      <c r="BO60" s="3185"/>
      <c r="BP60" s="3185"/>
      <c r="BQ60" s="3185"/>
      <c r="BR60" s="3185"/>
      <c r="BS60" s="3185"/>
      <c r="BT60" s="3185"/>
      <c r="BU60" s="3185"/>
      <c r="BV60" s="3185"/>
      <c r="BW60" s="3185"/>
      <c r="BX60" s="3185"/>
      <c r="BY60" s="3185"/>
      <c r="BZ60" s="3185"/>
      <c r="CA60" s="3185"/>
      <c r="CB60" s="3185"/>
      <c r="CC60" s="3185"/>
      <c r="CD60" s="3185"/>
      <c r="CE60" s="3185"/>
      <c r="CF60" s="3185"/>
      <c r="CG60" s="3185"/>
      <c r="CH60" s="3185"/>
      <c r="CI60" s="2629">
        <f t="shared" si="0"/>
        <v>0</v>
      </c>
    </row>
    <row r="61" spans="1:87" s="1169" customFormat="1" ht="30">
      <c r="A61" s="233" t="s">
        <v>4380</v>
      </c>
      <c r="B61" s="1179"/>
      <c r="C61" s="1179" t="s">
        <v>5124</v>
      </c>
      <c r="D61" s="1549" t="s">
        <v>80</v>
      </c>
      <c r="E61" s="1019" t="s">
        <v>81</v>
      </c>
      <c r="F61" s="235">
        <v>0</v>
      </c>
      <c r="G61" s="235"/>
      <c r="H61" s="235">
        <v>0</v>
      </c>
      <c r="I61" s="235"/>
      <c r="J61" s="235"/>
      <c r="K61" s="235"/>
      <c r="L61" s="277"/>
      <c r="M61" s="297">
        <f t="shared" si="7"/>
        <v>0</v>
      </c>
      <c r="N61" s="277"/>
      <c r="O61" s="212">
        <f t="shared" si="6"/>
        <v>0</v>
      </c>
      <c r="P61" s="236"/>
      <c r="Q61" s="233">
        <f>'Abs15. NPCB'!Q26</f>
        <v>0</v>
      </c>
      <c r="R61" s="212">
        <f>'Abs15. NPCB'!R26</f>
        <v>0</v>
      </c>
      <c r="BB61" s="3185"/>
      <c r="BC61" s="3185"/>
      <c r="BD61" s="3185"/>
      <c r="BE61" s="3185"/>
      <c r="BF61" s="3185"/>
      <c r="BG61" s="3185"/>
      <c r="BH61" s="3185"/>
      <c r="BI61" s="3185"/>
      <c r="BJ61" s="3185"/>
      <c r="BK61" s="3185"/>
      <c r="BL61" s="3185"/>
      <c r="BM61" s="3185"/>
      <c r="BN61" s="3185"/>
      <c r="BO61" s="3185"/>
      <c r="BP61" s="3185"/>
      <c r="BQ61" s="3185"/>
      <c r="BR61" s="3185"/>
      <c r="BS61" s="3185"/>
      <c r="BT61" s="3185"/>
      <c r="BU61" s="3185"/>
      <c r="BV61" s="3185"/>
      <c r="BW61" s="3185"/>
      <c r="BX61" s="3185"/>
      <c r="BY61" s="3185"/>
      <c r="BZ61" s="3185"/>
      <c r="CA61" s="3185"/>
      <c r="CB61" s="3185"/>
      <c r="CC61" s="3185"/>
      <c r="CD61" s="3185"/>
      <c r="CE61" s="3185"/>
      <c r="CF61" s="3185"/>
      <c r="CG61" s="3185"/>
      <c r="CH61" s="3185"/>
      <c r="CI61" s="2629">
        <f t="shared" si="0"/>
        <v>0</v>
      </c>
    </row>
    <row r="62" spans="1:87" s="1169" customFormat="1">
      <c r="A62" s="233" t="s">
        <v>4381</v>
      </c>
      <c r="B62" s="1179"/>
      <c r="C62" s="1179" t="s">
        <v>5125</v>
      </c>
      <c r="D62" s="908" t="s">
        <v>65</v>
      </c>
      <c r="E62" s="1185" t="s">
        <v>65</v>
      </c>
      <c r="F62" s="235">
        <v>0</v>
      </c>
      <c r="G62" s="235"/>
      <c r="H62" s="235">
        <v>0</v>
      </c>
      <c r="I62" s="235"/>
      <c r="J62" s="235"/>
      <c r="K62" s="235"/>
      <c r="L62" s="277"/>
      <c r="M62" s="297">
        <f t="shared" si="7"/>
        <v>0</v>
      </c>
      <c r="N62" s="277"/>
      <c r="O62" s="212">
        <f t="shared" si="6"/>
        <v>0</v>
      </c>
      <c r="P62" s="236"/>
      <c r="Q62" s="437"/>
      <c r="R62" s="300"/>
      <c r="BB62" s="3185"/>
      <c r="BC62" s="3185"/>
      <c r="BD62" s="3185"/>
      <c r="BE62" s="3185"/>
      <c r="BF62" s="3185"/>
      <c r="BG62" s="3185"/>
      <c r="BH62" s="3185"/>
      <c r="BI62" s="3185"/>
      <c r="BJ62" s="3185"/>
      <c r="BK62" s="3185"/>
      <c r="BL62" s="3185"/>
      <c r="BM62" s="3185"/>
      <c r="BN62" s="3185"/>
      <c r="BO62" s="3185"/>
      <c r="BP62" s="3185"/>
      <c r="BQ62" s="3185"/>
      <c r="BR62" s="3185"/>
      <c r="BS62" s="3185"/>
      <c r="BT62" s="3185"/>
      <c r="BU62" s="3185"/>
      <c r="BV62" s="3185"/>
      <c r="BW62" s="3185"/>
      <c r="BX62" s="3185"/>
      <c r="BY62" s="3185"/>
      <c r="BZ62" s="3185"/>
      <c r="CA62" s="3185"/>
      <c r="CB62" s="3185"/>
      <c r="CC62" s="3185"/>
      <c r="CD62" s="3185"/>
      <c r="CE62" s="3185"/>
      <c r="CF62" s="3185"/>
      <c r="CG62" s="3185"/>
      <c r="CH62" s="3185"/>
      <c r="CI62" s="2629">
        <f t="shared" si="0"/>
        <v>0</v>
      </c>
    </row>
    <row r="63" spans="1:87">
      <c r="R63" s="1212">
        <f>+E3</f>
        <v>47.6</v>
      </c>
      <c r="BB63" s="897">
        <f>SUM(BB7:BB62)</f>
        <v>27.98</v>
      </c>
      <c r="BC63" s="897">
        <f t="shared" ref="BC63:CI63" si="8">SUM(BC7:BC62)</f>
        <v>0.59</v>
      </c>
      <c r="BD63" s="897">
        <f t="shared" si="8"/>
        <v>0.41</v>
      </c>
      <c r="BE63" s="897">
        <f t="shared" si="8"/>
        <v>1.59</v>
      </c>
      <c r="BF63" s="897">
        <f t="shared" si="8"/>
        <v>4.1899999999999995</v>
      </c>
      <c r="BG63" s="897">
        <f t="shared" si="8"/>
        <v>0.15000000000000002</v>
      </c>
      <c r="BH63" s="897">
        <f t="shared" si="8"/>
        <v>0.59</v>
      </c>
      <c r="BI63" s="897">
        <f t="shared" si="8"/>
        <v>0.08</v>
      </c>
      <c r="BJ63" s="897">
        <f t="shared" si="8"/>
        <v>1.19</v>
      </c>
      <c r="BK63" s="897">
        <f t="shared" si="8"/>
        <v>3.16</v>
      </c>
      <c r="BL63" s="897">
        <f t="shared" si="8"/>
        <v>0.39</v>
      </c>
      <c r="BM63" s="897">
        <f t="shared" si="8"/>
        <v>1.19</v>
      </c>
      <c r="BN63" s="897">
        <f t="shared" si="8"/>
        <v>0.59</v>
      </c>
      <c r="BO63" s="897">
        <f t="shared" si="8"/>
        <v>0.3</v>
      </c>
      <c r="BP63" s="897">
        <f t="shared" si="8"/>
        <v>0.3</v>
      </c>
      <c r="BQ63" s="897">
        <f t="shared" si="8"/>
        <v>0</v>
      </c>
      <c r="BR63" s="897">
        <f t="shared" si="8"/>
        <v>0</v>
      </c>
      <c r="BS63" s="897">
        <f t="shared" si="8"/>
        <v>0</v>
      </c>
      <c r="BT63" s="897">
        <f t="shared" si="8"/>
        <v>0</v>
      </c>
      <c r="BU63" s="897">
        <f t="shared" si="8"/>
        <v>0</v>
      </c>
      <c r="BV63" s="897">
        <f t="shared" si="8"/>
        <v>2.2999999999999998</v>
      </c>
      <c r="BW63" s="897">
        <f t="shared" si="8"/>
        <v>0</v>
      </c>
      <c r="BX63" s="897">
        <f t="shared" si="8"/>
        <v>0</v>
      </c>
      <c r="BY63" s="897">
        <f t="shared" si="8"/>
        <v>0</v>
      </c>
      <c r="BZ63" s="897">
        <f t="shared" si="8"/>
        <v>2.2999999999999998</v>
      </c>
      <c r="CA63" s="897">
        <f t="shared" si="8"/>
        <v>0</v>
      </c>
      <c r="CB63" s="897">
        <f t="shared" si="8"/>
        <v>0</v>
      </c>
      <c r="CC63" s="897">
        <f t="shared" si="8"/>
        <v>0</v>
      </c>
      <c r="CD63" s="897">
        <f t="shared" si="8"/>
        <v>0.3</v>
      </c>
      <c r="CE63" s="897">
        <f t="shared" si="8"/>
        <v>0</v>
      </c>
      <c r="CF63" s="897">
        <f t="shared" si="8"/>
        <v>0</v>
      </c>
      <c r="CG63" s="897">
        <f t="shared" si="8"/>
        <v>0</v>
      </c>
      <c r="CH63" s="897">
        <f t="shared" si="8"/>
        <v>0</v>
      </c>
      <c r="CI63" s="897">
        <f t="shared" si="8"/>
        <v>47.6</v>
      </c>
    </row>
  </sheetData>
  <sheetProtection password="CC49" sheet="1" objects="1" scenarios="1" autoFilter="0"/>
  <autoFilter ref="A6:R62"/>
  <mergeCells count="15">
    <mergeCell ref="AI1:AO1"/>
    <mergeCell ref="AP1:BA1"/>
    <mergeCell ref="K5:P5"/>
    <mergeCell ref="Q5:R5"/>
    <mergeCell ref="A1:C1"/>
    <mergeCell ref="F5:J5"/>
    <mergeCell ref="A5:A6"/>
    <mergeCell ref="B5:B6"/>
    <mergeCell ref="C5:C6"/>
    <mergeCell ref="D5:D6"/>
    <mergeCell ref="E5:E6"/>
    <mergeCell ref="E1:E2"/>
    <mergeCell ref="F1:N1"/>
    <mergeCell ref="A2:A4"/>
    <mergeCell ref="O1:AH1"/>
  </mergeCells>
  <phoneticPr fontId="68" type="noConversion"/>
  <pageMargins left="0.7" right="0.7" top="0.75" bottom="0.75" header="0.3" footer="0.3"/>
  <pageSetup orientation="portrait" horizontalDpi="4294967295" verticalDpi="4294967295" r:id="rId1"/>
</worksheet>
</file>

<file path=xl/worksheets/sheet15.xml><?xml version="1.0" encoding="utf-8"?>
<worksheet xmlns="http://schemas.openxmlformats.org/spreadsheetml/2006/main" xmlns:r="http://schemas.openxmlformats.org/officeDocument/2006/relationships">
  <dimension ref="A1:CI43"/>
  <sheetViews>
    <sheetView zoomScale="80" zoomScaleNormal="80" workbookViewId="0">
      <pane xSplit="5" ySplit="7" topLeftCell="P17" activePane="bottomRight" state="frozen"/>
      <selection activeCell="A2" sqref="A2:A4"/>
      <selection pane="topRight" activeCell="A2" sqref="A2:A4"/>
      <selection pane="bottomLeft" activeCell="A2" sqref="A2:A4"/>
      <selection pane="bottomRight" activeCell="R21" sqref="R21"/>
    </sheetView>
  </sheetViews>
  <sheetFormatPr defaultColWidth="9.140625" defaultRowHeight="15"/>
  <cols>
    <col min="1" max="1" width="10.140625" style="1584" bestFit="1" customWidth="1"/>
    <col min="2" max="2" width="16.5703125" style="1584" bestFit="1" customWidth="1"/>
    <col min="3" max="3" width="52.140625" style="1584" customWidth="1"/>
    <col min="4" max="4" width="9.7109375" style="1585" customWidth="1"/>
    <col min="5" max="5" width="17.42578125" style="1585" customWidth="1"/>
    <col min="6" max="6" width="15.140625" style="1568" hidden="1" customWidth="1"/>
    <col min="7" max="7" width="20.140625" style="1568" hidden="1" customWidth="1"/>
    <col min="8" max="10" width="15.140625" style="1568" hidden="1" customWidth="1"/>
    <col min="11" max="11" width="10.5703125" style="1568" hidden="1" customWidth="1"/>
    <col min="12" max="12" width="9.85546875" style="1586" hidden="1" customWidth="1"/>
    <col min="13" max="13" width="12.85546875" style="1587" hidden="1" customWidth="1"/>
    <col min="14" max="14" width="9.5703125" style="1568" hidden="1" customWidth="1"/>
    <col min="15" max="15" width="14" style="1587" hidden="1" customWidth="1"/>
    <col min="16" max="16" width="32.42578125" style="1584" customWidth="1"/>
    <col min="17" max="17" width="12.7109375" style="1584" customWidth="1"/>
    <col min="18" max="18" width="11" style="1587" customWidth="1"/>
    <col min="19" max="37" width="0" style="1568" hidden="1" customWidth="1"/>
    <col min="38" max="38" width="11.5703125" style="1568" hidden="1" customWidth="1"/>
    <col min="39" max="45" width="0" style="1568" hidden="1" customWidth="1"/>
    <col min="46" max="46" width="11.28515625" style="1568" hidden="1" customWidth="1"/>
    <col min="47" max="53" width="0" style="1568" hidden="1" customWidth="1"/>
    <col min="54" max="54" width="9.140625" style="1568"/>
    <col min="55" max="55" width="10" style="1568" bestFit="1" customWidth="1"/>
    <col min="56" max="56" width="9.140625" style="1568"/>
    <col min="57" max="57" width="11.28515625" style="1568" bestFit="1" customWidth="1"/>
    <col min="58" max="58" width="9.140625" style="1568"/>
    <col min="59" max="59" width="9.85546875" style="1568" bestFit="1" customWidth="1"/>
    <col min="60" max="16384" width="9.140625" style="1568"/>
  </cols>
  <sheetData>
    <row r="1" spans="1:87" ht="14.25" customHeight="1">
      <c r="A1" s="3967" t="s">
        <v>1335</v>
      </c>
      <c r="B1" s="3968"/>
      <c r="C1" s="3969"/>
      <c r="D1" s="1222"/>
      <c r="E1" s="3858" t="s">
        <v>4534</v>
      </c>
      <c r="F1" s="3909" t="s">
        <v>4532</v>
      </c>
      <c r="G1" s="3910"/>
      <c r="H1" s="3910"/>
      <c r="I1" s="3910"/>
      <c r="J1" s="3910"/>
      <c r="K1" s="3910"/>
      <c r="L1" s="3910"/>
      <c r="M1" s="3910"/>
      <c r="N1" s="3911"/>
      <c r="O1" s="3793" t="s">
        <v>65</v>
      </c>
      <c r="P1" s="3794"/>
      <c r="Q1" s="3794"/>
      <c r="R1" s="3794"/>
      <c r="S1" s="3794"/>
      <c r="T1" s="3794"/>
      <c r="U1" s="3794"/>
      <c r="V1" s="3794"/>
      <c r="W1" s="3794"/>
      <c r="X1" s="3794"/>
      <c r="Y1" s="3794"/>
      <c r="Z1" s="3794"/>
      <c r="AA1" s="3794"/>
      <c r="AB1" s="3794"/>
      <c r="AC1" s="3794"/>
      <c r="AD1" s="3794"/>
      <c r="AE1" s="3794"/>
      <c r="AF1" s="3794"/>
      <c r="AG1" s="3794"/>
      <c r="AH1" s="3794"/>
      <c r="AI1" s="3900" t="s">
        <v>4219</v>
      </c>
      <c r="AJ1" s="3901"/>
      <c r="AK1" s="3901"/>
      <c r="AL1" s="3901"/>
      <c r="AM1" s="3901"/>
      <c r="AN1" s="3901"/>
      <c r="AO1" s="3902"/>
      <c r="AP1" s="3961" t="s">
        <v>80</v>
      </c>
      <c r="AQ1" s="3962"/>
      <c r="AR1" s="3962"/>
      <c r="AS1" s="3962"/>
      <c r="AT1" s="3962"/>
      <c r="AU1" s="3962"/>
      <c r="AV1" s="3962"/>
      <c r="AW1" s="3962"/>
      <c r="AX1" s="3962"/>
      <c r="AY1" s="3962"/>
      <c r="AZ1" s="3962"/>
      <c r="BA1" s="3963"/>
    </row>
    <row r="2" spans="1:87" s="1569" customFormat="1" ht="14.25" customHeight="1">
      <c r="A2" s="3964" t="str">
        <f>HYPERLINK("#Index!A4", "Index Pg")</f>
        <v>Index Pg</v>
      </c>
      <c r="B2" s="1379" t="str">
        <f>HYPERLINK("#'Summary of Abstracts'!A2", "Summary of Abst.")</f>
        <v>Summary of Abst.</v>
      </c>
      <c r="C2" s="869"/>
      <c r="D2" s="1224"/>
      <c r="E2" s="3858"/>
      <c r="F2" s="906" t="s">
        <v>113</v>
      </c>
      <c r="G2" s="906" t="s">
        <v>126</v>
      </c>
      <c r="H2" s="906" t="s">
        <v>86</v>
      </c>
      <c r="I2" s="906" t="s">
        <v>4530</v>
      </c>
      <c r="J2" s="906" t="s">
        <v>91</v>
      </c>
      <c r="K2" s="1225" t="s">
        <v>3933</v>
      </c>
      <c r="L2" s="907" t="s">
        <v>4531</v>
      </c>
      <c r="M2" s="907" t="s">
        <v>4535</v>
      </c>
      <c r="N2" s="907" t="s">
        <v>203</v>
      </c>
      <c r="O2" s="909" t="s">
        <v>4218</v>
      </c>
      <c r="P2" s="909" t="s">
        <v>3751</v>
      </c>
      <c r="Q2" s="909" t="s">
        <v>4543</v>
      </c>
      <c r="R2" s="909" t="s">
        <v>4540</v>
      </c>
      <c r="S2" s="909" t="s">
        <v>4541</v>
      </c>
      <c r="T2" s="909" t="s">
        <v>4542</v>
      </c>
      <c r="U2" s="909" t="s">
        <v>4544</v>
      </c>
      <c r="V2" s="909" t="s">
        <v>4528</v>
      </c>
      <c r="W2" s="909" t="s">
        <v>4545</v>
      </c>
      <c r="X2" s="909" t="s">
        <v>29</v>
      </c>
      <c r="Y2" s="909" t="s">
        <v>4546</v>
      </c>
      <c r="Z2" s="909" t="s">
        <v>4547</v>
      </c>
      <c r="AA2" s="909" t="s">
        <v>4537</v>
      </c>
      <c r="AB2" s="909" t="s">
        <v>737</v>
      </c>
      <c r="AC2" s="909" t="s">
        <v>4538</v>
      </c>
      <c r="AD2" s="909" t="s">
        <v>4539</v>
      </c>
      <c r="AE2" s="909" t="s">
        <v>2293</v>
      </c>
      <c r="AF2" s="909" t="s">
        <v>4548</v>
      </c>
      <c r="AG2" s="909" t="s">
        <v>3750</v>
      </c>
      <c r="AH2" s="909" t="s">
        <v>302</v>
      </c>
      <c r="AI2" s="910" t="s">
        <v>288</v>
      </c>
      <c r="AJ2" s="910" t="s">
        <v>109</v>
      </c>
      <c r="AK2" s="910" t="s">
        <v>141</v>
      </c>
      <c r="AL2" s="910" t="s">
        <v>4525</v>
      </c>
      <c r="AM2" s="910" t="s">
        <v>3223</v>
      </c>
      <c r="AN2" s="910" t="s">
        <v>3855</v>
      </c>
      <c r="AO2" s="910" t="s">
        <v>4405</v>
      </c>
      <c r="AP2" s="1209" t="s">
        <v>81</v>
      </c>
      <c r="AQ2" s="1209" t="s">
        <v>145</v>
      </c>
      <c r="AR2" s="1209" t="s">
        <v>394</v>
      </c>
      <c r="AS2" s="1209" t="s">
        <v>147</v>
      </c>
      <c r="AT2" s="1209" t="s">
        <v>410</v>
      </c>
      <c r="AU2" s="1209" t="s">
        <v>4459</v>
      </c>
      <c r="AV2" s="1209" t="s">
        <v>3989</v>
      </c>
      <c r="AW2" s="1209" t="s">
        <v>307</v>
      </c>
      <c r="AX2" s="1209" t="s">
        <v>309</v>
      </c>
      <c r="AY2" s="1209" t="s">
        <v>1028</v>
      </c>
      <c r="AZ2" s="1209" t="s">
        <v>1014</v>
      </c>
      <c r="BA2" s="1209" t="s">
        <v>4533</v>
      </c>
    </row>
    <row r="3" spans="1:87" s="1569" customFormat="1" ht="14.25" customHeight="1">
      <c r="A3" s="3965"/>
      <c r="B3" s="1570" t="str">
        <f>HYPERLINK("#'Budget Summary I'!A1:AL1", "Budget Summary I")</f>
        <v>Budget Summary I</v>
      </c>
      <c r="C3" s="865" t="s">
        <v>4460</v>
      </c>
      <c r="D3" s="1224"/>
      <c r="E3" s="1449">
        <f>R7</f>
        <v>612.03000000000009</v>
      </c>
      <c r="F3" s="161">
        <f>R9</f>
        <v>52.7</v>
      </c>
      <c r="G3" s="161">
        <f>R10</f>
        <v>52.7</v>
      </c>
      <c r="H3" s="161">
        <f>R11</f>
        <v>58.460000000000008</v>
      </c>
      <c r="I3" s="161">
        <f>R12</f>
        <v>52.7</v>
      </c>
      <c r="J3" s="161"/>
      <c r="K3" s="985">
        <f>R14</f>
        <v>2</v>
      </c>
      <c r="L3" s="161">
        <f>R13</f>
        <v>27</v>
      </c>
      <c r="M3" s="161"/>
      <c r="N3" s="985">
        <f>R15</f>
        <v>5</v>
      </c>
      <c r="O3" s="985">
        <f>R20</f>
        <v>73.64</v>
      </c>
      <c r="P3" s="985">
        <f>R19</f>
        <v>0</v>
      </c>
      <c r="Q3" s="985"/>
      <c r="R3" s="985"/>
      <c r="S3" s="985"/>
      <c r="T3" s="985"/>
      <c r="U3" s="985">
        <f>R21</f>
        <v>0</v>
      </c>
      <c r="V3" s="985">
        <f>R17+R23</f>
        <v>120.64</v>
      </c>
      <c r="W3" s="985"/>
      <c r="X3" s="985"/>
      <c r="Y3" s="985"/>
      <c r="Z3" s="985">
        <f>R22</f>
        <v>0</v>
      </c>
      <c r="AA3" s="985"/>
      <c r="AB3" s="985"/>
      <c r="AC3" s="985"/>
      <c r="AD3" s="985"/>
      <c r="AE3" s="985"/>
      <c r="AF3" s="985">
        <f>R18</f>
        <v>0</v>
      </c>
      <c r="AG3" s="985"/>
      <c r="AH3" s="985"/>
      <c r="AI3" s="985"/>
      <c r="AJ3" s="985">
        <f>R25</f>
        <v>10.8</v>
      </c>
      <c r="AK3" s="985">
        <f>R26</f>
        <v>8</v>
      </c>
      <c r="AL3" s="985">
        <f>R27</f>
        <v>75.53</v>
      </c>
      <c r="AM3" s="985">
        <f>R30</f>
        <v>6</v>
      </c>
      <c r="AN3" s="985">
        <f>R28</f>
        <v>5</v>
      </c>
      <c r="AO3" s="985">
        <f>R29</f>
        <v>0</v>
      </c>
      <c r="AP3" s="985">
        <f>R32</f>
        <v>10</v>
      </c>
      <c r="AQ3" s="985">
        <f>R33</f>
        <v>5</v>
      </c>
      <c r="AR3" s="985">
        <f>R34</f>
        <v>2.4</v>
      </c>
      <c r="AS3" s="985">
        <f>R35</f>
        <v>10.01</v>
      </c>
      <c r="AT3" s="985">
        <f>R36</f>
        <v>20</v>
      </c>
      <c r="AU3" s="985">
        <f>R39</f>
        <v>0</v>
      </c>
      <c r="AV3" s="985">
        <f>R38</f>
        <v>8.15</v>
      </c>
      <c r="AW3" s="985">
        <f>R37</f>
        <v>5</v>
      </c>
      <c r="AX3" s="985">
        <f>R41</f>
        <v>0</v>
      </c>
      <c r="AY3" s="985">
        <f>R42</f>
        <v>0</v>
      </c>
      <c r="AZ3" s="985">
        <f>R40</f>
        <v>1.3</v>
      </c>
      <c r="BA3" s="985"/>
    </row>
    <row r="4" spans="1:87" s="1569" customFormat="1" ht="14.25" customHeight="1">
      <c r="A4" s="3966"/>
      <c r="B4" s="1570" t="str">
        <f>HYPERLINK("#'Budget Summary II'!A3:B5", "Budget Summary II")</f>
        <v>Budget Summary II</v>
      </c>
      <c r="C4" s="865" t="s">
        <v>4461</v>
      </c>
      <c r="D4" s="1224"/>
      <c r="E4" s="1449">
        <f>O7</f>
        <v>623.22842000000003</v>
      </c>
      <c r="F4" s="161">
        <f>O9</f>
        <v>52.7</v>
      </c>
      <c r="G4" s="161">
        <f>O10</f>
        <v>52.7</v>
      </c>
      <c r="H4" s="161">
        <f>O11</f>
        <v>58.460480000000004</v>
      </c>
      <c r="I4" s="161">
        <f>O12</f>
        <v>52.7</v>
      </c>
      <c r="J4" s="161"/>
      <c r="K4" s="985">
        <f>O14</f>
        <v>2</v>
      </c>
      <c r="L4" s="161">
        <f>O13</f>
        <v>27</v>
      </c>
      <c r="M4" s="161"/>
      <c r="N4" s="985">
        <f>O15</f>
        <v>5.0000400000000003</v>
      </c>
      <c r="O4" s="985">
        <f>O20</f>
        <v>73.64</v>
      </c>
      <c r="P4" s="985">
        <f>O19</f>
        <v>0</v>
      </c>
      <c r="Q4" s="985"/>
      <c r="R4" s="985"/>
      <c r="S4" s="985"/>
      <c r="T4" s="985"/>
      <c r="U4" s="985">
        <f>O21</f>
        <v>0</v>
      </c>
      <c r="V4" s="985">
        <f>O17+O23</f>
        <v>130.64004</v>
      </c>
      <c r="W4" s="985"/>
      <c r="X4" s="985"/>
      <c r="Y4" s="985"/>
      <c r="Z4" s="985">
        <f>O22</f>
        <v>0</v>
      </c>
      <c r="AA4" s="985"/>
      <c r="AB4" s="985"/>
      <c r="AC4" s="985"/>
      <c r="AD4" s="985"/>
      <c r="AE4" s="985"/>
      <c r="AF4" s="985">
        <f>O18</f>
        <v>0</v>
      </c>
      <c r="AG4" s="985"/>
      <c r="AH4" s="985"/>
      <c r="AI4" s="985"/>
      <c r="AJ4" s="985">
        <f>O25</f>
        <v>12</v>
      </c>
      <c r="AK4" s="985">
        <f>O26</f>
        <v>8</v>
      </c>
      <c r="AL4" s="985">
        <f>O27</f>
        <v>75.527799999999999</v>
      </c>
      <c r="AM4" s="985">
        <f>O30</f>
        <v>6</v>
      </c>
      <c r="AN4" s="985">
        <f>O28</f>
        <v>5.0000600000000004</v>
      </c>
      <c r="AO4" s="985">
        <f>O29</f>
        <v>0</v>
      </c>
      <c r="AP4" s="985">
        <f>O32</f>
        <v>10</v>
      </c>
      <c r="AQ4" s="985">
        <f>O33</f>
        <v>5</v>
      </c>
      <c r="AR4" s="985">
        <f>O34</f>
        <v>2.4000000000000004</v>
      </c>
      <c r="AS4" s="985">
        <f>O35</f>
        <v>10.01</v>
      </c>
      <c r="AT4" s="985">
        <f>O36</f>
        <v>20</v>
      </c>
      <c r="AU4" s="985">
        <f>O39</f>
        <v>0</v>
      </c>
      <c r="AV4" s="985">
        <f>O38</f>
        <v>8.1499600000000001</v>
      </c>
      <c r="AW4" s="985">
        <f>O37</f>
        <v>5.0000400000000003</v>
      </c>
      <c r="AX4" s="985">
        <f>O41</f>
        <v>0</v>
      </c>
      <c r="AY4" s="985">
        <f>O42</f>
        <v>0</v>
      </c>
      <c r="AZ4" s="985">
        <f>O40</f>
        <v>1.3</v>
      </c>
      <c r="BA4" s="985"/>
    </row>
    <row r="5" spans="1:87" s="1571" customFormat="1" ht="14.25" customHeight="1">
      <c r="A5" s="3801" t="s">
        <v>48</v>
      </c>
      <c r="B5" s="3801" t="s">
        <v>49</v>
      </c>
      <c r="C5" s="3801" t="s">
        <v>50</v>
      </c>
      <c r="D5" s="3801" t="s">
        <v>51</v>
      </c>
      <c r="E5" s="3801" t="s">
        <v>52</v>
      </c>
      <c r="F5" s="3866" t="s">
        <v>4478</v>
      </c>
      <c r="G5" s="3866"/>
      <c r="H5" s="3866"/>
      <c r="I5" s="3866"/>
      <c r="J5" s="3866"/>
      <c r="K5" s="3894" t="s">
        <v>4484</v>
      </c>
      <c r="L5" s="3903"/>
      <c r="M5" s="3903"/>
      <c r="N5" s="3903"/>
      <c r="O5" s="3903"/>
      <c r="P5" s="3904"/>
      <c r="Q5" s="3905" t="s">
        <v>4514</v>
      </c>
      <c r="R5" s="3906"/>
    </row>
    <row r="6" spans="1:87" s="1284" customFormat="1" ht="60">
      <c r="A6" s="3801"/>
      <c r="B6" s="3801"/>
      <c r="C6" s="3801"/>
      <c r="D6" s="3801"/>
      <c r="E6" s="3801"/>
      <c r="F6" s="918" t="s">
        <v>4479</v>
      </c>
      <c r="G6" s="918" t="s">
        <v>4482</v>
      </c>
      <c r="H6" s="918" t="s">
        <v>4480</v>
      </c>
      <c r="I6" s="918" t="s">
        <v>4483</v>
      </c>
      <c r="J6" s="918" t="s">
        <v>2448</v>
      </c>
      <c r="K6" s="919" t="s">
        <v>53</v>
      </c>
      <c r="L6" s="919" t="s">
        <v>54</v>
      </c>
      <c r="M6" s="920" t="s">
        <v>55</v>
      </c>
      <c r="N6" s="919" t="s">
        <v>56</v>
      </c>
      <c r="O6" s="920" t="s">
        <v>57</v>
      </c>
      <c r="P6" s="919" t="s">
        <v>5069</v>
      </c>
      <c r="Q6" s="921" t="s">
        <v>2450</v>
      </c>
      <c r="R6" s="922" t="s">
        <v>4515</v>
      </c>
      <c r="S6" s="3105" t="s">
        <v>4538</v>
      </c>
      <c r="BB6" s="3153" t="s">
        <v>5973</v>
      </c>
      <c r="BC6" s="3153" t="s">
        <v>5432</v>
      </c>
      <c r="BD6" s="3153" t="s">
        <v>5433</v>
      </c>
      <c r="BE6" s="3153" t="s">
        <v>5434</v>
      </c>
      <c r="BF6" s="3153" t="s">
        <v>5435</v>
      </c>
      <c r="BG6" s="3153" t="s">
        <v>5436</v>
      </c>
      <c r="BH6" s="3153" t="s">
        <v>5437</v>
      </c>
      <c r="BI6" s="3153" t="s">
        <v>5959</v>
      </c>
      <c r="BJ6" s="3153" t="s">
        <v>5438</v>
      </c>
      <c r="BK6" s="3153" t="s">
        <v>5439</v>
      </c>
      <c r="BL6" s="3153" t="s">
        <v>5960</v>
      </c>
      <c r="BM6" s="3153" t="s">
        <v>5440</v>
      </c>
      <c r="BN6" s="3153" t="s">
        <v>5441</v>
      </c>
      <c r="BO6" s="3153" t="s">
        <v>5961</v>
      </c>
      <c r="BP6" s="3153" t="s">
        <v>5974</v>
      </c>
      <c r="BQ6" s="3153" t="s">
        <v>5975</v>
      </c>
      <c r="BR6" s="3153" t="s">
        <v>5976</v>
      </c>
      <c r="BS6" s="3153" t="s">
        <v>5977</v>
      </c>
      <c r="BT6" s="3153" t="s">
        <v>5978</v>
      </c>
      <c r="BU6" s="3153" t="s">
        <v>5979</v>
      </c>
      <c r="BV6" s="3153" t="s">
        <v>5962</v>
      </c>
      <c r="BW6" s="3153" t="s">
        <v>5963</v>
      </c>
      <c r="BX6" s="3153" t="s">
        <v>5964</v>
      </c>
      <c r="BY6" s="3153" t="s">
        <v>5965</v>
      </c>
      <c r="BZ6" s="3153" t="s">
        <v>5966</v>
      </c>
      <c r="CA6" s="3153" t="s">
        <v>5967</v>
      </c>
      <c r="CB6" s="3153" t="s">
        <v>5968</v>
      </c>
      <c r="CC6" s="3153" t="s">
        <v>5969</v>
      </c>
      <c r="CD6" s="3153" t="s">
        <v>5970</v>
      </c>
      <c r="CE6" s="3153" t="s">
        <v>5980</v>
      </c>
      <c r="CF6" s="3153" t="s">
        <v>5971</v>
      </c>
      <c r="CG6" s="3153" t="s">
        <v>5981</v>
      </c>
      <c r="CH6" s="3153" t="s">
        <v>5982</v>
      </c>
      <c r="CI6" s="3153" t="s">
        <v>5972</v>
      </c>
    </row>
    <row r="7" spans="1:87" s="1574" customFormat="1">
      <c r="A7" s="485">
        <v>11</v>
      </c>
      <c r="B7" s="486"/>
      <c r="C7" s="485" t="s">
        <v>1336</v>
      </c>
      <c r="D7" s="1572"/>
      <c r="E7" s="1572"/>
      <c r="F7" s="1573"/>
      <c r="G7" s="1573"/>
      <c r="H7" s="1573"/>
      <c r="I7" s="1573"/>
      <c r="J7" s="1573"/>
      <c r="K7" s="1573"/>
      <c r="L7" s="1573"/>
      <c r="M7" s="207"/>
      <c r="N7" s="1573"/>
      <c r="O7" s="207">
        <f>O8+O16+O24+O31</f>
        <v>623.22842000000003</v>
      </c>
      <c r="P7" s="485"/>
      <c r="Q7" s="485"/>
      <c r="R7" s="207">
        <f>R8+R16+R24+R31</f>
        <v>612.03000000000009</v>
      </c>
      <c r="S7" s="1574">
        <v>0</v>
      </c>
      <c r="BB7" s="3246"/>
      <c r="BC7" s="3246"/>
      <c r="BD7" s="3246"/>
      <c r="BE7" s="3246"/>
      <c r="BF7" s="3246"/>
      <c r="BG7" s="3246"/>
      <c r="BH7" s="3246"/>
      <c r="BI7" s="3246"/>
      <c r="BJ7" s="3246"/>
      <c r="BK7" s="3246"/>
      <c r="BL7" s="3246"/>
      <c r="BM7" s="3246"/>
      <c r="BN7" s="3246"/>
      <c r="BO7" s="3246"/>
      <c r="BP7" s="3246"/>
      <c r="BQ7" s="3246"/>
      <c r="BR7" s="3246"/>
      <c r="BS7" s="3246"/>
      <c r="BT7" s="3246"/>
      <c r="BU7" s="3246"/>
      <c r="BV7" s="3246"/>
      <c r="BW7" s="3246"/>
      <c r="BX7" s="3246"/>
      <c r="BY7" s="3246"/>
      <c r="BZ7" s="3246"/>
      <c r="CA7" s="3246"/>
      <c r="CB7" s="3246"/>
      <c r="CC7" s="3246"/>
      <c r="CD7" s="3246"/>
      <c r="CE7" s="3246"/>
      <c r="CF7" s="3246"/>
      <c r="CG7" s="3246"/>
      <c r="CH7" s="3246"/>
      <c r="CI7" s="3246">
        <f>SUM(BB7:CH7)</f>
        <v>0</v>
      </c>
    </row>
    <row r="8" spans="1:87" s="1579" customFormat="1">
      <c r="A8" s="1575">
        <v>11.1</v>
      </c>
      <c r="B8" s="1575"/>
      <c r="C8" s="1575" t="s">
        <v>4922</v>
      </c>
      <c r="D8" s="1576"/>
      <c r="E8" s="1576"/>
      <c r="F8" s="1577"/>
      <c r="G8" s="1577"/>
      <c r="H8" s="1577"/>
      <c r="I8" s="1577"/>
      <c r="J8" s="1577"/>
      <c r="K8" s="1577"/>
      <c r="L8" s="1578"/>
      <c r="M8" s="802"/>
      <c r="N8" s="1577"/>
      <c r="O8" s="802">
        <f>SUM(O9:O15)</f>
        <v>250.56052</v>
      </c>
      <c r="P8" s="1575"/>
      <c r="Q8" s="1575"/>
      <c r="R8" s="802">
        <f>SUM(R9:R15)</f>
        <v>250.56</v>
      </c>
      <c r="BB8" s="3247"/>
      <c r="BC8" s="3247"/>
      <c r="BD8" s="3247"/>
      <c r="BE8" s="3247"/>
      <c r="BF8" s="3247"/>
      <c r="BG8" s="3247"/>
      <c r="BH8" s="3247"/>
      <c r="BI8" s="3247"/>
      <c r="BJ8" s="3247"/>
      <c r="BK8" s="3247"/>
      <c r="BL8" s="3247"/>
      <c r="BM8" s="3247"/>
      <c r="BN8" s="3247"/>
      <c r="BO8" s="3247"/>
      <c r="BP8" s="3247"/>
      <c r="BQ8" s="3247"/>
      <c r="BR8" s="3247"/>
      <c r="BS8" s="3247"/>
      <c r="BT8" s="3247"/>
      <c r="BU8" s="3247"/>
      <c r="BV8" s="3247"/>
      <c r="BW8" s="3247"/>
      <c r="BX8" s="3247"/>
      <c r="BY8" s="3247"/>
      <c r="BZ8" s="3247"/>
      <c r="CA8" s="3247"/>
      <c r="CB8" s="3247"/>
      <c r="CC8" s="3247"/>
      <c r="CD8" s="3247"/>
      <c r="CE8" s="3247"/>
      <c r="CF8" s="3247"/>
      <c r="CG8" s="3247"/>
      <c r="CH8" s="3247"/>
      <c r="CI8" s="3246">
        <f t="shared" ref="CI8:CI43" si="0">SUM(BB8:CH8)</f>
        <v>0</v>
      </c>
    </row>
    <row r="9" spans="1:87">
      <c r="A9" s="1580" t="s">
        <v>4945</v>
      </c>
      <c r="B9" s="1580" t="s">
        <v>4927</v>
      </c>
      <c r="C9" s="1581" t="s">
        <v>1338</v>
      </c>
      <c r="D9" s="1582" t="s">
        <v>85</v>
      </c>
      <c r="E9" s="1583" t="s">
        <v>113</v>
      </c>
      <c r="F9" s="1588"/>
      <c r="G9" s="1588"/>
      <c r="H9" s="1588"/>
      <c r="I9" s="1588"/>
      <c r="J9" s="1588"/>
      <c r="K9" s="1588"/>
      <c r="L9" s="443"/>
      <c r="M9" s="1494"/>
      <c r="N9" s="1588"/>
      <c r="O9" s="297">
        <f>'11-A. IEC Sub-Annex'!O6</f>
        <v>52.7</v>
      </c>
      <c r="P9" s="1591"/>
      <c r="Q9" s="1591"/>
      <c r="R9" s="297">
        <f>'11-A. IEC Sub-Annex'!R6</f>
        <v>52.7</v>
      </c>
      <c r="BB9" s="3248"/>
      <c r="BC9" s="3248"/>
      <c r="BD9" s="3248"/>
      <c r="BE9" s="3248"/>
      <c r="BF9" s="3248"/>
      <c r="BG9" s="3248"/>
      <c r="BH9" s="3248"/>
      <c r="BI9" s="3248"/>
      <c r="BJ9" s="3248"/>
      <c r="BK9" s="3248"/>
      <c r="BL9" s="3248"/>
      <c r="BM9" s="3248"/>
      <c r="BN9" s="3248"/>
      <c r="BO9" s="3248"/>
      <c r="BP9" s="3248"/>
      <c r="BQ9" s="3248"/>
      <c r="BR9" s="3248"/>
      <c r="BS9" s="3248"/>
      <c r="BT9" s="3248"/>
      <c r="BU9" s="3248"/>
      <c r="BV9" s="3248"/>
      <c r="BW9" s="3248"/>
      <c r="BX9" s="3248"/>
      <c r="BY9" s="3248"/>
      <c r="BZ9" s="3248"/>
      <c r="CA9" s="3248"/>
      <c r="CB9" s="3248"/>
      <c r="CC9" s="3248"/>
      <c r="CD9" s="3248"/>
      <c r="CE9" s="3248"/>
      <c r="CF9" s="3248"/>
      <c r="CG9" s="3248"/>
      <c r="CH9" s="3248"/>
      <c r="CI9" s="3246">
        <f t="shared" si="0"/>
        <v>0</v>
      </c>
    </row>
    <row r="10" spans="1:87">
      <c r="A10" s="1580" t="s">
        <v>4948</v>
      </c>
      <c r="B10" s="1580" t="s">
        <v>4928</v>
      </c>
      <c r="C10" s="1581" t="s">
        <v>1345</v>
      </c>
      <c r="D10" s="1582" t="s">
        <v>85</v>
      </c>
      <c r="E10" s="1583" t="s">
        <v>126</v>
      </c>
      <c r="F10" s="1588"/>
      <c r="G10" s="1588"/>
      <c r="H10" s="1588"/>
      <c r="I10" s="1588"/>
      <c r="J10" s="1588"/>
      <c r="K10" s="1588"/>
      <c r="L10" s="443"/>
      <c r="M10" s="1494"/>
      <c r="N10" s="1588"/>
      <c r="O10" s="297">
        <f>'11-A. IEC Sub-Annex'!O10</f>
        <v>52.7</v>
      </c>
      <c r="P10" s="1591"/>
      <c r="Q10" s="1591"/>
      <c r="R10" s="297">
        <f>'11-A. IEC Sub-Annex'!R10</f>
        <v>52.7</v>
      </c>
      <c r="BB10" s="3248"/>
      <c r="BC10" s="3248"/>
      <c r="BD10" s="3248"/>
      <c r="BE10" s="3248"/>
      <c r="BF10" s="3248"/>
      <c r="BG10" s="3248"/>
      <c r="BH10" s="3248"/>
      <c r="BI10" s="3248"/>
      <c r="BJ10" s="3248"/>
      <c r="BK10" s="3248"/>
      <c r="BL10" s="3248"/>
      <c r="BM10" s="3248"/>
      <c r="BN10" s="3248"/>
      <c r="BO10" s="3248"/>
      <c r="BP10" s="3248"/>
      <c r="BQ10" s="3248"/>
      <c r="BR10" s="3248"/>
      <c r="BS10" s="3248"/>
      <c r="BT10" s="3248"/>
      <c r="BU10" s="3248"/>
      <c r="BV10" s="3248"/>
      <c r="BW10" s="3248"/>
      <c r="BX10" s="3248"/>
      <c r="BY10" s="3248"/>
      <c r="BZ10" s="3248"/>
      <c r="CA10" s="3248"/>
      <c r="CB10" s="3248"/>
      <c r="CC10" s="3248"/>
      <c r="CD10" s="3248"/>
      <c r="CE10" s="3248"/>
      <c r="CF10" s="3248"/>
      <c r="CG10" s="3248"/>
      <c r="CH10" s="3248"/>
      <c r="CI10" s="3246">
        <f t="shared" si="0"/>
        <v>0</v>
      </c>
    </row>
    <row r="11" spans="1:87">
      <c r="A11" s="1580" t="s">
        <v>4949</v>
      </c>
      <c r="B11" s="1580" t="s">
        <v>4929</v>
      </c>
      <c r="C11" s="1581" t="s">
        <v>1349</v>
      </c>
      <c r="D11" s="1582" t="s">
        <v>85</v>
      </c>
      <c r="E11" s="1583" t="s">
        <v>86</v>
      </c>
      <c r="F11" s="1588"/>
      <c r="G11" s="1588"/>
      <c r="H11" s="1588"/>
      <c r="I11" s="1588"/>
      <c r="J11" s="1588"/>
      <c r="K11" s="1588"/>
      <c r="L11" s="443"/>
      <c r="M11" s="1494"/>
      <c r="N11" s="1588"/>
      <c r="O11" s="297">
        <f>'11-A. IEC Sub-Annex'!O15</f>
        <v>58.460480000000004</v>
      </c>
      <c r="P11" s="1591"/>
      <c r="Q11" s="1591"/>
      <c r="R11" s="297">
        <f>'11-A. IEC Sub-Annex'!R15</f>
        <v>58.460000000000008</v>
      </c>
      <c r="BB11" s="3248"/>
      <c r="BC11" s="3248"/>
      <c r="BD11" s="3248"/>
      <c r="BE11" s="3248"/>
      <c r="BF11" s="3248"/>
      <c r="BG11" s="3248"/>
      <c r="BH11" s="3248"/>
      <c r="BI11" s="3248"/>
      <c r="BJ11" s="3248"/>
      <c r="BK11" s="3248"/>
      <c r="BL11" s="3248"/>
      <c r="BM11" s="3248"/>
      <c r="BN11" s="3248"/>
      <c r="BO11" s="3248"/>
      <c r="BP11" s="3248"/>
      <c r="BQ11" s="3248"/>
      <c r="BR11" s="3248"/>
      <c r="BS11" s="3248"/>
      <c r="BT11" s="3248"/>
      <c r="BU11" s="3248"/>
      <c r="BV11" s="3248"/>
      <c r="BW11" s="3248"/>
      <c r="BX11" s="3248"/>
      <c r="BY11" s="3248"/>
      <c r="BZ11" s="3248"/>
      <c r="CA11" s="3248"/>
      <c r="CB11" s="3248"/>
      <c r="CC11" s="3248"/>
      <c r="CD11" s="3248"/>
      <c r="CE11" s="3248"/>
      <c r="CF11" s="3248"/>
      <c r="CG11" s="3248"/>
      <c r="CH11" s="3248"/>
      <c r="CI11" s="3246">
        <f t="shared" si="0"/>
        <v>0</v>
      </c>
    </row>
    <row r="12" spans="1:87">
      <c r="A12" s="1580" t="s">
        <v>4950</v>
      </c>
      <c r="B12" s="1580" t="s">
        <v>4930</v>
      </c>
      <c r="C12" s="1581" t="s">
        <v>2551</v>
      </c>
      <c r="D12" s="1582" t="s">
        <v>85</v>
      </c>
      <c r="E12" s="1583" t="s">
        <v>188</v>
      </c>
      <c r="F12" s="1588"/>
      <c r="G12" s="1588"/>
      <c r="H12" s="1588"/>
      <c r="I12" s="1588"/>
      <c r="J12" s="1588"/>
      <c r="K12" s="1588"/>
      <c r="L12" s="443"/>
      <c r="M12" s="1494"/>
      <c r="N12" s="1588"/>
      <c r="O12" s="297">
        <f>'11-A. IEC Sub-Annex'!O22</f>
        <v>52.7</v>
      </c>
      <c r="P12" s="1591"/>
      <c r="Q12" s="1591"/>
      <c r="R12" s="297">
        <f>'11-A. IEC Sub-Annex'!R22</f>
        <v>52.7</v>
      </c>
      <c r="BB12" s="3248"/>
      <c r="BC12" s="3248"/>
      <c r="BD12" s="3248"/>
      <c r="BE12" s="3248"/>
      <c r="BF12" s="3248"/>
      <c r="BG12" s="3248"/>
      <c r="BH12" s="3248"/>
      <c r="BI12" s="3248"/>
      <c r="BJ12" s="3248"/>
      <c r="BK12" s="3248"/>
      <c r="BL12" s="3248"/>
      <c r="BM12" s="3248"/>
      <c r="BN12" s="3248"/>
      <c r="BO12" s="3248"/>
      <c r="BP12" s="3248"/>
      <c r="BQ12" s="3248"/>
      <c r="BR12" s="3248"/>
      <c r="BS12" s="3248"/>
      <c r="BT12" s="3248"/>
      <c r="BU12" s="3248"/>
      <c r="BV12" s="3248"/>
      <c r="BW12" s="3248"/>
      <c r="BX12" s="3248"/>
      <c r="BY12" s="3248"/>
      <c r="BZ12" s="3248"/>
      <c r="CA12" s="3248"/>
      <c r="CB12" s="3248"/>
      <c r="CC12" s="3248"/>
      <c r="CD12" s="3248"/>
      <c r="CE12" s="3248"/>
      <c r="CF12" s="3248"/>
      <c r="CG12" s="3248"/>
      <c r="CH12" s="3248"/>
      <c r="CI12" s="3246">
        <f t="shared" si="0"/>
        <v>0</v>
      </c>
    </row>
    <row r="13" spans="1:87">
      <c r="A13" s="1580" t="s">
        <v>4951</v>
      </c>
      <c r="B13" s="1580">
        <v>11.8</v>
      </c>
      <c r="C13" s="1581" t="s">
        <v>2396</v>
      </c>
      <c r="D13" s="1582" t="s">
        <v>85</v>
      </c>
      <c r="E13" s="1583" t="s">
        <v>200</v>
      </c>
      <c r="F13" s="1588"/>
      <c r="G13" s="1588"/>
      <c r="H13" s="1588"/>
      <c r="I13" s="1588"/>
      <c r="J13" s="1588"/>
      <c r="K13" s="1588"/>
      <c r="L13" s="443"/>
      <c r="M13" s="1494"/>
      <c r="N13" s="1588"/>
      <c r="O13" s="297">
        <f>'11-A. IEC Sub-Annex'!O26</f>
        <v>27</v>
      </c>
      <c r="P13" s="1591"/>
      <c r="Q13" s="1591"/>
      <c r="R13" s="297">
        <f>'11-A. IEC Sub-Annex'!R26</f>
        <v>27</v>
      </c>
      <c r="BB13" s="3248"/>
      <c r="BC13" s="3248"/>
      <c r="BD13" s="3248"/>
      <c r="BE13" s="3248"/>
      <c r="BF13" s="3248"/>
      <c r="BG13" s="3248"/>
      <c r="BH13" s="3248"/>
      <c r="BI13" s="3248"/>
      <c r="BJ13" s="3248"/>
      <c r="BK13" s="3248"/>
      <c r="BL13" s="3248"/>
      <c r="BM13" s="3248"/>
      <c r="BN13" s="3248"/>
      <c r="BO13" s="3248"/>
      <c r="BP13" s="3248"/>
      <c r="BQ13" s="3248"/>
      <c r="BR13" s="3248"/>
      <c r="BS13" s="3248"/>
      <c r="BT13" s="3248"/>
      <c r="BU13" s="3248"/>
      <c r="BV13" s="3248"/>
      <c r="BW13" s="3248"/>
      <c r="BX13" s="3248"/>
      <c r="BY13" s="3248"/>
      <c r="BZ13" s="3248"/>
      <c r="CA13" s="3248"/>
      <c r="CB13" s="3248"/>
      <c r="CC13" s="3248"/>
      <c r="CD13" s="3248"/>
      <c r="CE13" s="3248"/>
      <c r="CF13" s="3248"/>
      <c r="CG13" s="3248"/>
      <c r="CH13" s="3248"/>
      <c r="CI13" s="3246">
        <f t="shared" si="0"/>
        <v>0</v>
      </c>
    </row>
    <row r="14" spans="1:87">
      <c r="A14" s="1580" t="s">
        <v>4952</v>
      </c>
      <c r="B14" s="1580">
        <v>11.9</v>
      </c>
      <c r="C14" s="1581" t="s">
        <v>1362</v>
      </c>
      <c r="D14" s="1582" t="s">
        <v>85</v>
      </c>
      <c r="E14" s="1583" t="s">
        <v>3933</v>
      </c>
      <c r="F14" s="1588"/>
      <c r="G14" s="1588"/>
      <c r="H14" s="1588"/>
      <c r="I14" s="1588"/>
      <c r="J14" s="1588"/>
      <c r="K14" s="1588"/>
      <c r="L14" s="443"/>
      <c r="M14" s="1494"/>
      <c r="N14" s="1588"/>
      <c r="O14" s="297">
        <f>'11-A. IEC Sub-Annex'!O29</f>
        <v>2</v>
      </c>
      <c r="P14" s="1591"/>
      <c r="Q14" s="1591"/>
      <c r="R14" s="297">
        <f>'11-A. IEC Sub-Annex'!R29</f>
        <v>2</v>
      </c>
      <c r="BB14" s="3248"/>
      <c r="BC14" s="3248"/>
      <c r="BD14" s="3248"/>
      <c r="BE14" s="3248"/>
      <c r="BF14" s="3248"/>
      <c r="BG14" s="3248"/>
      <c r="BH14" s="3248"/>
      <c r="BI14" s="3248"/>
      <c r="BJ14" s="3248"/>
      <c r="BK14" s="3248"/>
      <c r="BL14" s="3248"/>
      <c r="BM14" s="3248"/>
      <c r="BN14" s="3248"/>
      <c r="BO14" s="3248"/>
      <c r="BP14" s="3248"/>
      <c r="BQ14" s="3248"/>
      <c r="BR14" s="3248"/>
      <c r="BS14" s="3248"/>
      <c r="BT14" s="3248"/>
      <c r="BU14" s="3248"/>
      <c r="BV14" s="3248"/>
      <c r="BW14" s="3248"/>
      <c r="BX14" s="3248"/>
      <c r="BY14" s="3248"/>
      <c r="BZ14" s="3248"/>
      <c r="CA14" s="3248"/>
      <c r="CB14" s="3248"/>
      <c r="CC14" s="3248"/>
      <c r="CD14" s="3248"/>
      <c r="CE14" s="3248"/>
      <c r="CF14" s="3248"/>
      <c r="CG14" s="3248"/>
      <c r="CH14" s="3248"/>
      <c r="CI14" s="3246">
        <f t="shared" si="0"/>
        <v>0</v>
      </c>
    </row>
    <row r="15" spans="1:87">
      <c r="A15" s="1580" t="s">
        <v>4953</v>
      </c>
      <c r="B15" s="1580">
        <v>11.14</v>
      </c>
      <c r="C15" s="1581" t="s">
        <v>1382</v>
      </c>
      <c r="D15" s="1582" t="s">
        <v>85</v>
      </c>
      <c r="E15" s="1583" t="s">
        <v>203</v>
      </c>
      <c r="F15" s="1588"/>
      <c r="G15" s="1588"/>
      <c r="H15" s="1588"/>
      <c r="I15" s="1588"/>
      <c r="J15" s="1588"/>
      <c r="K15" s="1588"/>
      <c r="L15" s="443"/>
      <c r="M15" s="1494"/>
      <c r="N15" s="1588"/>
      <c r="O15" s="297">
        <f>'11-A. IEC Sub-Annex'!O32</f>
        <v>5.0000400000000003</v>
      </c>
      <c r="P15" s="1591"/>
      <c r="Q15" s="1591"/>
      <c r="R15" s="297">
        <f>'11-A. IEC Sub-Annex'!R32</f>
        <v>5</v>
      </c>
      <c r="BB15" s="3248"/>
      <c r="BC15" s="3248"/>
      <c r="BD15" s="3248"/>
      <c r="BE15" s="3248"/>
      <c r="BF15" s="3248"/>
      <c r="BG15" s="3248"/>
      <c r="BH15" s="3248"/>
      <c r="BI15" s="3248"/>
      <c r="BJ15" s="3248"/>
      <c r="BK15" s="3248"/>
      <c r="BL15" s="3248"/>
      <c r="BM15" s="3248"/>
      <c r="BN15" s="3248"/>
      <c r="BO15" s="3248"/>
      <c r="BP15" s="3248"/>
      <c r="BQ15" s="3248"/>
      <c r="BR15" s="3248"/>
      <c r="BS15" s="3248"/>
      <c r="BT15" s="3248"/>
      <c r="BU15" s="3248"/>
      <c r="BV15" s="3248"/>
      <c r="BW15" s="3248"/>
      <c r="BX15" s="3248"/>
      <c r="BY15" s="3248"/>
      <c r="BZ15" s="3248"/>
      <c r="CA15" s="3248"/>
      <c r="CB15" s="3248"/>
      <c r="CC15" s="3248"/>
      <c r="CD15" s="3248"/>
      <c r="CE15" s="3248"/>
      <c r="CF15" s="3248"/>
      <c r="CG15" s="3248"/>
      <c r="CH15" s="3248"/>
      <c r="CI15" s="3246">
        <f t="shared" si="0"/>
        <v>0</v>
      </c>
    </row>
    <row r="16" spans="1:87" s="1579" customFormat="1">
      <c r="A16" s="1575">
        <v>11.2</v>
      </c>
      <c r="B16" s="1575"/>
      <c r="C16" s="1575" t="s">
        <v>4923</v>
      </c>
      <c r="D16" s="1576"/>
      <c r="E16" s="1576"/>
      <c r="F16" s="1589"/>
      <c r="G16" s="1589"/>
      <c r="H16" s="1589"/>
      <c r="I16" s="1589"/>
      <c r="J16" s="1589"/>
      <c r="K16" s="1589"/>
      <c r="L16" s="1590"/>
      <c r="M16" s="1499"/>
      <c r="N16" s="1589"/>
      <c r="O16" s="802">
        <f>SUM(O17:O23)</f>
        <v>204.28003999999999</v>
      </c>
      <c r="P16" s="1592"/>
      <c r="Q16" s="1592"/>
      <c r="R16" s="802">
        <f>SUM(R17:R23)</f>
        <v>194.28</v>
      </c>
      <c r="BB16" s="3247"/>
      <c r="BC16" s="3247"/>
      <c r="BD16" s="3247"/>
      <c r="BE16" s="3247"/>
      <c r="BF16" s="3247"/>
      <c r="BG16" s="3247"/>
      <c r="BH16" s="3247"/>
      <c r="BI16" s="3247"/>
      <c r="BJ16" s="3247"/>
      <c r="BK16" s="3247"/>
      <c r="BL16" s="3247"/>
      <c r="BM16" s="3247"/>
      <c r="BN16" s="3247"/>
      <c r="BO16" s="3247"/>
      <c r="BP16" s="3247"/>
      <c r="BQ16" s="3247"/>
      <c r="BR16" s="3247"/>
      <c r="BS16" s="3247"/>
      <c r="BT16" s="3247"/>
      <c r="BU16" s="3247"/>
      <c r="BV16" s="3247"/>
      <c r="BW16" s="3247"/>
      <c r="BX16" s="3247"/>
      <c r="BY16" s="3247"/>
      <c r="BZ16" s="3247"/>
      <c r="CA16" s="3247"/>
      <c r="CB16" s="3247"/>
      <c r="CC16" s="3247"/>
      <c r="CD16" s="3247"/>
      <c r="CE16" s="3247"/>
      <c r="CF16" s="3247"/>
      <c r="CG16" s="3247"/>
      <c r="CH16" s="3247"/>
      <c r="CI16" s="3246">
        <f t="shared" si="0"/>
        <v>0</v>
      </c>
    </row>
    <row r="17" spans="1:87" ht="30">
      <c r="A17" s="1580" t="s">
        <v>4946</v>
      </c>
      <c r="B17" s="1580" t="s">
        <v>4931</v>
      </c>
      <c r="C17" s="1581" t="s">
        <v>1428</v>
      </c>
      <c r="D17" s="908" t="s">
        <v>65</v>
      </c>
      <c r="E17" s="1583" t="s">
        <v>65</v>
      </c>
      <c r="F17" s="1588"/>
      <c r="G17" s="1588"/>
      <c r="H17" s="1588"/>
      <c r="I17" s="1588"/>
      <c r="J17" s="1588"/>
      <c r="K17" s="1588"/>
      <c r="L17" s="443"/>
      <c r="M17" s="1494"/>
      <c r="N17" s="1588"/>
      <c r="O17" s="297">
        <f>'11-A. IEC Sub-Annex'!O36</f>
        <v>0</v>
      </c>
      <c r="P17" s="1591"/>
      <c r="Q17" s="1591"/>
      <c r="R17" s="297">
        <f>'11-A. IEC Sub-Annex'!R36</f>
        <v>0</v>
      </c>
      <c r="BB17" s="3248"/>
      <c r="BC17" s="3248"/>
      <c r="BD17" s="3248"/>
      <c r="BE17" s="3248"/>
      <c r="BF17" s="3248"/>
      <c r="BG17" s="3248"/>
      <c r="BH17" s="3248"/>
      <c r="BI17" s="3248"/>
      <c r="BJ17" s="3248"/>
      <c r="BK17" s="3248"/>
      <c r="BL17" s="3248"/>
      <c r="BM17" s="3248"/>
      <c r="BN17" s="3248"/>
      <c r="BO17" s="3248"/>
      <c r="BP17" s="3248"/>
      <c r="BQ17" s="3248"/>
      <c r="BR17" s="3248"/>
      <c r="BS17" s="3248"/>
      <c r="BT17" s="3248"/>
      <c r="BU17" s="3248"/>
      <c r="BV17" s="3248"/>
      <c r="BW17" s="3248"/>
      <c r="BX17" s="3248"/>
      <c r="BY17" s="3248"/>
      <c r="BZ17" s="3248"/>
      <c r="CA17" s="3248"/>
      <c r="CB17" s="3248"/>
      <c r="CC17" s="3248"/>
      <c r="CD17" s="3248"/>
      <c r="CE17" s="3248"/>
      <c r="CF17" s="3248"/>
      <c r="CG17" s="3248"/>
      <c r="CH17" s="3248"/>
      <c r="CI17" s="3246">
        <f t="shared" si="0"/>
        <v>0</v>
      </c>
    </row>
    <row r="18" spans="1:87">
      <c r="A18" s="1580" t="s">
        <v>4954</v>
      </c>
      <c r="B18" s="1580" t="s">
        <v>4932</v>
      </c>
      <c r="C18" s="1581" t="s">
        <v>2553</v>
      </c>
      <c r="D18" s="908" t="s">
        <v>65</v>
      </c>
      <c r="E18" s="1583" t="s">
        <v>2081</v>
      </c>
      <c r="F18" s="1588"/>
      <c r="G18" s="1588"/>
      <c r="H18" s="1588"/>
      <c r="I18" s="1588"/>
      <c r="J18" s="1588"/>
      <c r="K18" s="1588"/>
      <c r="L18" s="443"/>
      <c r="M18" s="1494"/>
      <c r="N18" s="1588"/>
      <c r="O18" s="297">
        <f>'11-A. IEC Sub-Annex'!O37</f>
        <v>0</v>
      </c>
      <c r="P18" s="1591"/>
      <c r="Q18" s="1591"/>
      <c r="R18" s="297">
        <f>'11-A. IEC Sub-Annex'!R37</f>
        <v>0</v>
      </c>
      <c r="BB18" s="3248"/>
      <c r="BC18" s="3248"/>
      <c r="BD18" s="3248"/>
      <c r="BE18" s="3248"/>
      <c r="BF18" s="3248"/>
      <c r="BG18" s="3248"/>
      <c r="BH18" s="3248"/>
      <c r="BI18" s="3248"/>
      <c r="BJ18" s="3248"/>
      <c r="BK18" s="3248"/>
      <c r="BL18" s="3248"/>
      <c r="BM18" s="3248"/>
      <c r="BN18" s="3248"/>
      <c r="BO18" s="3248"/>
      <c r="BP18" s="3248"/>
      <c r="BQ18" s="3248"/>
      <c r="BR18" s="3248"/>
      <c r="BS18" s="3248"/>
      <c r="BT18" s="3248"/>
      <c r="BU18" s="3248"/>
      <c r="BV18" s="3248"/>
      <c r="BW18" s="3248"/>
      <c r="BX18" s="3248"/>
      <c r="BY18" s="3248"/>
      <c r="BZ18" s="3248"/>
      <c r="CA18" s="3248"/>
      <c r="CB18" s="3248"/>
      <c r="CC18" s="3248"/>
      <c r="CD18" s="3248"/>
      <c r="CE18" s="3248"/>
      <c r="CF18" s="3248"/>
      <c r="CG18" s="3248"/>
      <c r="CH18" s="3248"/>
      <c r="CI18" s="3246">
        <f t="shared" si="0"/>
        <v>0</v>
      </c>
    </row>
    <row r="19" spans="1:87">
      <c r="A19" s="1580" t="s">
        <v>4955</v>
      </c>
      <c r="B19" s="1581">
        <v>11.23</v>
      </c>
      <c r="C19" s="1581" t="s">
        <v>2441</v>
      </c>
      <c r="D19" s="908" t="s">
        <v>65</v>
      </c>
      <c r="E19" s="1583" t="s">
        <v>4723</v>
      </c>
      <c r="F19" s="1588"/>
      <c r="G19" s="1588"/>
      <c r="H19" s="1588"/>
      <c r="I19" s="1588"/>
      <c r="J19" s="1588"/>
      <c r="K19" s="1588"/>
      <c r="L19" s="443"/>
      <c r="M19" s="1494"/>
      <c r="N19" s="1588"/>
      <c r="O19" s="297">
        <f>'11-A. IEC Sub-Annex'!O40</f>
        <v>0</v>
      </c>
      <c r="P19" s="1591"/>
      <c r="Q19" s="1591"/>
      <c r="R19" s="297">
        <f>'11-A. IEC Sub-Annex'!R40</f>
        <v>0</v>
      </c>
      <c r="BB19" s="3248"/>
      <c r="BC19" s="3248"/>
      <c r="BD19" s="3248"/>
      <c r="BE19" s="3248"/>
      <c r="BF19" s="3248"/>
      <c r="BG19" s="3248"/>
      <c r="BH19" s="3248"/>
      <c r="BI19" s="3248"/>
      <c r="BJ19" s="3248"/>
      <c r="BK19" s="3248"/>
      <c r="BL19" s="3248"/>
      <c r="BM19" s="3248"/>
      <c r="BN19" s="3248"/>
      <c r="BO19" s="3248"/>
      <c r="BP19" s="3248"/>
      <c r="BQ19" s="3248"/>
      <c r="BR19" s="3248"/>
      <c r="BS19" s="3248"/>
      <c r="BT19" s="3248"/>
      <c r="BU19" s="3248"/>
      <c r="BV19" s="3248"/>
      <c r="BW19" s="3248"/>
      <c r="BX19" s="3248"/>
      <c r="BY19" s="3248"/>
      <c r="BZ19" s="3248"/>
      <c r="CA19" s="3248"/>
      <c r="CB19" s="3248"/>
      <c r="CC19" s="3248"/>
      <c r="CD19" s="3248"/>
      <c r="CE19" s="3248"/>
      <c r="CF19" s="3248"/>
      <c r="CG19" s="3248"/>
      <c r="CH19" s="3248"/>
      <c r="CI19" s="3246">
        <f t="shared" si="0"/>
        <v>0</v>
      </c>
    </row>
    <row r="20" spans="1:87" ht="30">
      <c r="A20" s="1580" t="s">
        <v>4956</v>
      </c>
      <c r="B20" s="1580" t="s">
        <v>4933</v>
      </c>
      <c r="C20" s="1581" t="s">
        <v>3755</v>
      </c>
      <c r="D20" s="908" t="s">
        <v>65</v>
      </c>
      <c r="E20" s="1583" t="s">
        <v>4218</v>
      </c>
      <c r="F20" s="1588"/>
      <c r="G20" s="1588"/>
      <c r="H20" s="1588"/>
      <c r="I20" s="1588"/>
      <c r="J20" s="1588"/>
      <c r="K20" s="1588"/>
      <c r="L20" s="443"/>
      <c r="M20" s="1494"/>
      <c r="N20" s="1588"/>
      <c r="O20" s="297">
        <f>'11-A. IEC Sub-Annex'!O43</f>
        <v>73.64</v>
      </c>
      <c r="P20" s="1591"/>
      <c r="Q20" s="1591"/>
      <c r="R20" s="297">
        <f>'11-A. IEC Sub-Annex'!R43</f>
        <v>73.64</v>
      </c>
      <c r="BB20" s="3248"/>
      <c r="BC20" s="3248"/>
      <c r="BD20" s="3248"/>
      <c r="BE20" s="3248"/>
      <c r="BF20" s="3248"/>
      <c r="BG20" s="3248"/>
      <c r="BH20" s="3248"/>
      <c r="BI20" s="3248"/>
      <c r="BJ20" s="3248"/>
      <c r="BK20" s="3248"/>
      <c r="BL20" s="3248"/>
      <c r="BM20" s="3248"/>
      <c r="BN20" s="3248"/>
      <c r="BO20" s="3248"/>
      <c r="BP20" s="3248"/>
      <c r="BQ20" s="3248"/>
      <c r="BR20" s="3248"/>
      <c r="BS20" s="3248"/>
      <c r="BT20" s="3248"/>
      <c r="BU20" s="3248"/>
      <c r="BV20" s="3248"/>
      <c r="BW20" s="3248"/>
      <c r="BX20" s="3248"/>
      <c r="BY20" s="3248"/>
      <c r="BZ20" s="3248"/>
      <c r="CA20" s="3248"/>
      <c r="CB20" s="3248"/>
      <c r="CC20" s="3248"/>
      <c r="CD20" s="3248"/>
      <c r="CE20" s="3248"/>
      <c r="CF20" s="3248"/>
      <c r="CG20" s="3248"/>
      <c r="CH20" s="3248"/>
      <c r="CI20" s="3246">
        <f t="shared" si="0"/>
        <v>0</v>
      </c>
    </row>
    <row r="21" spans="1:87" ht="45">
      <c r="A21" s="1580" t="s">
        <v>4957</v>
      </c>
      <c r="B21" s="1580" t="s">
        <v>3876</v>
      </c>
      <c r="C21" s="1581" t="s">
        <v>3887</v>
      </c>
      <c r="D21" s="908" t="s">
        <v>65</v>
      </c>
      <c r="E21" s="1583" t="s">
        <v>4544</v>
      </c>
      <c r="F21" s="1588"/>
      <c r="G21" s="1588"/>
      <c r="H21" s="1588"/>
      <c r="I21" s="1588"/>
      <c r="J21" s="1588"/>
      <c r="K21" s="1588"/>
      <c r="L21" s="443"/>
      <c r="M21" s="1494"/>
      <c r="N21" s="1588"/>
      <c r="O21" s="297">
        <f>'11-A. IEC Sub-Annex'!O44</f>
        <v>0</v>
      </c>
      <c r="P21" s="1591"/>
      <c r="Q21" s="1591"/>
      <c r="R21" s="297">
        <f>'11-A. IEC Sub-Annex'!R44</f>
        <v>0</v>
      </c>
      <c r="BB21" s="3248"/>
      <c r="BC21" s="3248"/>
      <c r="BD21" s="3248"/>
      <c r="BE21" s="3248"/>
      <c r="BF21" s="3248"/>
      <c r="BG21" s="3248"/>
      <c r="BH21" s="3248"/>
      <c r="BI21" s="3248"/>
      <c r="BJ21" s="3248"/>
      <c r="BK21" s="3248"/>
      <c r="BL21" s="3248"/>
      <c r="BM21" s="3248"/>
      <c r="BN21" s="3248"/>
      <c r="BO21" s="3248"/>
      <c r="BP21" s="3248"/>
      <c r="BQ21" s="3248"/>
      <c r="BR21" s="3248"/>
      <c r="BS21" s="3248"/>
      <c r="BT21" s="3248"/>
      <c r="BU21" s="3248"/>
      <c r="BV21" s="3248"/>
      <c r="BW21" s="3248"/>
      <c r="BX21" s="3248"/>
      <c r="BY21" s="3248"/>
      <c r="BZ21" s="3248"/>
      <c r="CA21" s="3248"/>
      <c r="CB21" s="3248"/>
      <c r="CC21" s="3248"/>
      <c r="CD21" s="3248"/>
      <c r="CE21" s="3248"/>
      <c r="CF21" s="3248"/>
      <c r="CG21" s="3248"/>
      <c r="CH21" s="3248"/>
      <c r="CI21" s="3246">
        <f t="shared" si="0"/>
        <v>0</v>
      </c>
    </row>
    <row r="22" spans="1:87" ht="30">
      <c r="A22" s="1580" t="s">
        <v>4958</v>
      </c>
      <c r="B22" s="1580" t="s">
        <v>4349</v>
      </c>
      <c r="C22" s="1581" t="s">
        <v>4398</v>
      </c>
      <c r="D22" s="908" t="s">
        <v>65</v>
      </c>
      <c r="E22" s="1583" t="s">
        <v>4668</v>
      </c>
      <c r="F22" s="1588"/>
      <c r="G22" s="1588"/>
      <c r="H22" s="1588"/>
      <c r="I22" s="1588"/>
      <c r="J22" s="1588"/>
      <c r="K22" s="1588"/>
      <c r="L22" s="443"/>
      <c r="M22" s="1494"/>
      <c r="N22" s="1588"/>
      <c r="O22" s="297">
        <f>'11-A. IEC Sub-Annex'!O45</f>
        <v>0</v>
      </c>
      <c r="P22" s="1591"/>
      <c r="Q22" s="1591"/>
      <c r="R22" s="297">
        <f>'11-A. IEC Sub-Annex'!R45</f>
        <v>0</v>
      </c>
      <c r="BB22" s="3248"/>
      <c r="BC22" s="3248"/>
      <c r="BD22" s="3248"/>
      <c r="BE22" s="3248"/>
      <c r="BF22" s="3248"/>
      <c r="BG22" s="3248"/>
      <c r="BH22" s="3248"/>
      <c r="BI22" s="3248"/>
      <c r="BJ22" s="3248"/>
      <c r="BK22" s="3248"/>
      <c r="BL22" s="3248"/>
      <c r="BM22" s="3248"/>
      <c r="BN22" s="3248"/>
      <c r="BO22" s="3248"/>
      <c r="BP22" s="3248"/>
      <c r="BQ22" s="3248"/>
      <c r="BR22" s="3248"/>
      <c r="BS22" s="3248"/>
      <c r="BT22" s="3248"/>
      <c r="BU22" s="3248"/>
      <c r="BV22" s="3248"/>
      <c r="BW22" s="3248"/>
      <c r="BX22" s="3248"/>
      <c r="BY22" s="3248"/>
      <c r="BZ22" s="3248"/>
      <c r="CA22" s="3248"/>
      <c r="CB22" s="3248"/>
      <c r="CC22" s="3248"/>
      <c r="CD22" s="3248"/>
      <c r="CE22" s="3248"/>
      <c r="CF22" s="3248"/>
      <c r="CG22" s="3248"/>
      <c r="CH22" s="3248"/>
      <c r="CI22" s="3246">
        <f t="shared" si="0"/>
        <v>0</v>
      </c>
    </row>
    <row r="23" spans="1:87">
      <c r="A23" s="1580" t="s">
        <v>4959</v>
      </c>
      <c r="B23" s="1580">
        <v>11.24</v>
      </c>
      <c r="C23" s="1581" t="s">
        <v>1425</v>
      </c>
      <c r="D23" s="908" t="s">
        <v>65</v>
      </c>
      <c r="E23" s="1583" t="s">
        <v>65</v>
      </c>
      <c r="F23" s="1588"/>
      <c r="G23" s="1588"/>
      <c r="H23" s="1588"/>
      <c r="I23" s="1588"/>
      <c r="J23" s="1588"/>
      <c r="K23" s="1588"/>
      <c r="L23" s="443"/>
      <c r="M23" s="1494"/>
      <c r="N23" s="1588"/>
      <c r="O23" s="297">
        <f>'11-A. IEC Sub-Annex'!O46</f>
        <v>130.64004</v>
      </c>
      <c r="P23" s="1591"/>
      <c r="Q23" s="1591"/>
      <c r="R23" s="297">
        <f>'11-A. IEC Sub-Annex'!R46</f>
        <v>120.64</v>
      </c>
      <c r="BB23" s="3248"/>
      <c r="BC23" s="3248"/>
      <c r="BD23" s="3248"/>
      <c r="BE23" s="3248"/>
      <c r="BF23" s="3248"/>
      <c r="BG23" s="3248"/>
      <c r="BH23" s="3248"/>
      <c r="BI23" s="3248"/>
      <c r="BJ23" s="3248"/>
      <c r="BK23" s="3248"/>
      <c r="BL23" s="3248"/>
      <c r="BM23" s="3248"/>
      <c r="BN23" s="3248"/>
      <c r="BO23" s="3248"/>
      <c r="BP23" s="3248"/>
      <c r="BQ23" s="3248"/>
      <c r="BR23" s="3248"/>
      <c r="BS23" s="3248"/>
      <c r="BT23" s="3248"/>
      <c r="BU23" s="3248"/>
      <c r="BV23" s="3248"/>
      <c r="BW23" s="3248"/>
      <c r="BX23" s="3248"/>
      <c r="BY23" s="3248"/>
      <c r="BZ23" s="3248"/>
      <c r="CA23" s="3248"/>
      <c r="CB23" s="3248"/>
      <c r="CC23" s="3248"/>
      <c r="CD23" s="3248"/>
      <c r="CE23" s="3248"/>
      <c r="CF23" s="3248"/>
      <c r="CG23" s="3248"/>
      <c r="CH23" s="3248"/>
      <c r="CI23" s="3246">
        <f t="shared" si="0"/>
        <v>0</v>
      </c>
    </row>
    <row r="24" spans="1:87" s="1579" customFormat="1">
      <c r="A24" s="1575">
        <v>11.3</v>
      </c>
      <c r="B24" s="1575"/>
      <c r="C24" s="1575" t="s">
        <v>4924</v>
      </c>
      <c r="D24" s="1576"/>
      <c r="E24" s="1576"/>
      <c r="F24" s="1589"/>
      <c r="G24" s="1589"/>
      <c r="H24" s="1589"/>
      <c r="I24" s="1589"/>
      <c r="J24" s="1589"/>
      <c r="K24" s="1589"/>
      <c r="L24" s="1590"/>
      <c r="M24" s="1499"/>
      <c r="N24" s="1589"/>
      <c r="O24" s="802">
        <f>SUM(O25:O30)</f>
        <v>106.52786</v>
      </c>
      <c r="P24" s="1592"/>
      <c r="Q24" s="1592"/>
      <c r="R24" s="802">
        <f>SUM(R25:R30)</f>
        <v>105.33</v>
      </c>
      <c r="BB24" s="3247"/>
      <c r="BC24" s="3247"/>
      <c r="BD24" s="3247"/>
      <c r="BE24" s="3247"/>
      <c r="BF24" s="3247"/>
      <c r="BG24" s="3247"/>
      <c r="BH24" s="3247"/>
      <c r="BI24" s="3247"/>
      <c r="BJ24" s="3247"/>
      <c r="BK24" s="3247"/>
      <c r="BL24" s="3247"/>
      <c r="BM24" s="3247"/>
      <c r="BN24" s="3247"/>
      <c r="BO24" s="3247"/>
      <c r="BP24" s="3247"/>
      <c r="BQ24" s="3247"/>
      <c r="BR24" s="3247"/>
      <c r="BS24" s="3247"/>
      <c r="BT24" s="3247"/>
      <c r="BU24" s="3247"/>
      <c r="BV24" s="3247"/>
      <c r="BW24" s="3247"/>
      <c r="BX24" s="3247"/>
      <c r="BY24" s="3247"/>
      <c r="BZ24" s="3247"/>
      <c r="CA24" s="3247"/>
      <c r="CB24" s="3247"/>
      <c r="CC24" s="3247"/>
      <c r="CD24" s="3247"/>
      <c r="CE24" s="3247"/>
      <c r="CF24" s="3247"/>
      <c r="CG24" s="3247"/>
      <c r="CH24" s="3247"/>
      <c r="CI24" s="3246">
        <f t="shared" si="0"/>
        <v>0</v>
      </c>
    </row>
    <row r="25" spans="1:87">
      <c r="A25" s="1580" t="s">
        <v>4947</v>
      </c>
      <c r="B25" s="1581">
        <v>11.15</v>
      </c>
      <c r="C25" s="1581" t="s">
        <v>1386</v>
      </c>
      <c r="D25" s="910" t="s">
        <v>4219</v>
      </c>
      <c r="E25" s="1583" t="s">
        <v>109</v>
      </c>
      <c r="F25" s="1588"/>
      <c r="G25" s="1588"/>
      <c r="H25" s="1588"/>
      <c r="I25" s="1588"/>
      <c r="J25" s="1588"/>
      <c r="K25" s="1588"/>
      <c r="L25" s="443"/>
      <c r="M25" s="1494"/>
      <c r="N25" s="1588"/>
      <c r="O25" s="297">
        <f>'11-A. IEC Sub-Annex'!O57</f>
        <v>12</v>
      </c>
      <c r="P25" s="1591"/>
      <c r="Q25" s="1591"/>
      <c r="R25" s="297">
        <f>'11-A. IEC Sub-Annex'!R57</f>
        <v>10.8</v>
      </c>
      <c r="BB25" s="3248"/>
      <c r="BC25" s="3248"/>
      <c r="BD25" s="3248"/>
      <c r="BE25" s="3248"/>
      <c r="BF25" s="3248"/>
      <c r="BG25" s="3248"/>
      <c r="BH25" s="3248"/>
      <c r="BI25" s="3248"/>
      <c r="BJ25" s="3248"/>
      <c r="BK25" s="3248"/>
      <c r="BL25" s="3248"/>
      <c r="BM25" s="3248"/>
      <c r="BN25" s="3248"/>
      <c r="BO25" s="3248"/>
      <c r="BP25" s="3248"/>
      <c r="BQ25" s="3248"/>
      <c r="BR25" s="3248"/>
      <c r="BS25" s="3248"/>
      <c r="BT25" s="3248"/>
      <c r="BU25" s="3248"/>
      <c r="BV25" s="3248"/>
      <c r="BW25" s="3248"/>
      <c r="BX25" s="3248"/>
      <c r="BY25" s="3248"/>
      <c r="BZ25" s="3248"/>
      <c r="CA25" s="3248"/>
      <c r="CB25" s="3248"/>
      <c r="CC25" s="3248"/>
      <c r="CD25" s="3248"/>
      <c r="CE25" s="3248"/>
      <c r="CF25" s="3248"/>
      <c r="CG25" s="3248"/>
      <c r="CH25" s="3248"/>
      <c r="CI25" s="3246">
        <f t="shared" si="0"/>
        <v>0</v>
      </c>
    </row>
    <row r="26" spans="1:87">
      <c r="A26" s="1580" t="s">
        <v>4960</v>
      </c>
      <c r="B26" s="1581">
        <v>11.16</v>
      </c>
      <c r="C26" s="1581" t="s">
        <v>1400</v>
      </c>
      <c r="D26" s="910" t="s">
        <v>4219</v>
      </c>
      <c r="E26" s="1583" t="s">
        <v>141</v>
      </c>
      <c r="F26" s="1588"/>
      <c r="G26" s="1588"/>
      <c r="H26" s="1588"/>
      <c r="I26" s="1588"/>
      <c r="J26" s="1588"/>
      <c r="K26" s="1588"/>
      <c r="L26" s="443"/>
      <c r="M26" s="1494"/>
      <c r="N26" s="1588"/>
      <c r="O26" s="297">
        <f>'11-A. IEC Sub-Annex'!O66</f>
        <v>8</v>
      </c>
      <c r="P26" s="1591"/>
      <c r="Q26" s="1591"/>
      <c r="R26" s="297">
        <f>'11-A. IEC Sub-Annex'!R66</f>
        <v>8</v>
      </c>
      <c r="S26" s="297"/>
      <c r="T26" s="297"/>
      <c r="U26" s="297"/>
      <c r="BB26" s="3248"/>
      <c r="BC26" s="3248"/>
      <c r="BD26" s="3248"/>
      <c r="BE26" s="3248"/>
      <c r="BF26" s="3248"/>
      <c r="BG26" s="3248"/>
      <c r="BH26" s="3248"/>
      <c r="BI26" s="3248"/>
      <c r="BJ26" s="3248"/>
      <c r="BK26" s="3248"/>
      <c r="BL26" s="3248"/>
      <c r="BM26" s="3248"/>
      <c r="BN26" s="3248"/>
      <c r="BO26" s="3248"/>
      <c r="BP26" s="3248"/>
      <c r="BQ26" s="3248"/>
      <c r="BR26" s="3248"/>
      <c r="BS26" s="3248"/>
      <c r="BT26" s="3248"/>
      <c r="BU26" s="3248"/>
      <c r="BV26" s="3248"/>
      <c r="BW26" s="3248"/>
      <c r="BX26" s="3248"/>
      <c r="BY26" s="3248"/>
      <c r="BZ26" s="3248"/>
      <c r="CA26" s="3248"/>
      <c r="CB26" s="3248"/>
      <c r="CC26" s="3248"/>
      <c r="CD26" s="3248"/>
      <c r="CE26" s="3248"/>
      <c r="CF26" s="3248"/>
      <c r="CG26" s="3248"/>
      <c r="CH26" s="3248"/>
      <c r="CI26" s="3246">
        <f t="shared" si="0"/>
        <v>0</v>
      </c>
    </row>
    <row r="27" spans="1:87">
      <c r="A27" s="1580" t="s">
        <v>4961</v>
      </c>
      <c r="B27" s="1581">
        <v>11.17</v>
      </c>
      <c r="C27" s="1581" t="s">
        <v>4639</v>
      </c>
      <c r="D27" s="910" t="s">
        <v>4219</v>
      </c>
      <c r="E27" s="1583" t="s">
        <v>4525</v>
      </c>
      <c r="F27" s="1588"/>
      <c r="G27" s="1588"/>
      <c r="H27" s="1588"/>
      <c r="I27" s="1588"/>
      <c r="J27" s="1588"/>
      <c r="K27" s="1588"/>
      <c r="L27" s="443"/>
      <c r="M27" s="1494"/>
      <c r="N27" s="1588"/>
      <c r="O27" s="297">
        <f>'11-A. IEC Sub-Annex'!O69</f>
        <v>75.527799999999999</v>
      </c>
      <c r="P27" s="1591"/>
      <c r="Q27" s="1591"/>
      <c r="R27" s="297">
        <f>'11-A. IEC Sub-Annex'!R69</f>
        <v>75.53</v>
      </c>
      <c r="BB27" s="3248"/>
      <c r="BC27" s="3248"/>
      <c r="BD27" s="3248"/>
      <c r="BE27" s="3248"/>
      <c r="BF27" s="3248"/>
      <c r="BG27" s="3248"/>
      <c r="BH27" s="3248"/>
      <c r="BI27" s="3248"/>
      <c r="BJ27" s="3248"/>
      <c r="BK27" s="3248"/>
      <c r="BL27" s="3248"/>
      <c r="BM27" s="3248"/>
      <c r="BN27" s="3248"/>
      <c r="BO27" s="3248"/>
      <c r="BP27" s="3248"/>
      <c r="BQ27" s="3248"/>
      <c r="BR27" s="3248"/>
      <c r="BS27" s="3248"/>
      <c r="BT27" s="3248"/>
      <c r="BU27" s="3248"/>
      <c r="BV27" s="3248"/>
      <c r="BW27" s="3248"/>
      <c r="BX27" s="3248"/>
      <c r="BY27" s="3248"/>
      <c r="BZ27" s="3248"/>
      <c r="CA27" s="3248"/>
      <c r="CB27" s="3248"/>
      <c r="CC27" s="3248"/>
      <c r="CD27" s="3248"/>
      <c r="CE27" s="3248"/>
      <c r="CF27" s="3248"/>
      <c r="CG27" s="3248"/>
      <c r="CH27" s="3248"/>
      <c r="CI27" s="3246">
        <f t="shared" si="0"/>
        <v>0</v>
      </c>
    </row>
    <row r="28" spans="1:87" ht="30">
      <c r="A28" s="1580" t="s">
        <v>4962</v>
      </c>
      <c r="B28" s="1581" t="s">
        <v>3764</v>
      </c>
      <c r="C28" s="1581" t="s">
        <v>4926</v>
      </c>
      <c r="D28" s="910" t="s">
        <v>4219</v>
      </c>
      <c r="E28" s="1583" t="s">
        <v>3855</v>
      </c>
      <c r="F28" s="1588"/>
      <c r="G28" s="1588"/>
      <c r="H28" s="1588"/>
      <c r="I28" s="1588"/>
      <c r="J28" s="1588"/>
      <c r="K28" s="1588"/>
      <c r="L28" s="443"/>
      <c r="M28" s="1494"/>
      <c r="N28" s="1588"/>
      <c r="O28" s="297">
        <f>'11-A. IEC Sub-Annex'!O73</f>
        <v>5.0000600000000004</v>
      </c>
      <c r="P28" s="1591"/>
      <c r="Q28" s="1591"/>
      <c r="R28" s="297">
        <f>'11-A. IEC Sub-Annex'!R73</f>
        <v>5</v>
      </c>
      <c r="BB28" s="3248"/>
      <c r="BC28" s="3248"/>
      <c r="BD28" s="3248"/>
      <c r="BE28" s="3248"/>
      <c r="BF28" s="3248"/>
      <c r="BG28" s="3248"/>
      <c r="BH28" s="3248"/>
      <c r="BI28" s="3248"/>
      <c r="BJ28" s="3248"/>
      <c r="BK28" s="3248"/>
      <c r="BL28" s="3248"/>
      <c r="BM28" s="3248"/>
      <c r="BN28" s="3248"/>
      <c r="BO28" s="3248"/>
      <c r="BP28" s="3248"/>
      <c r="BQ28" s="3248"/>
      <c r="BR28" s="3248"/>
      <c r="BS28" s="3248"/>
      <c r="BT28" s="3248"/>
      <c r="BU28" s="3248"/>
      <c r="BV28" s="3248"/>
      <c r="BW28" s="3248"/>
      <c r="BX28" s="3248"/>
      <c r="BY28" s="3248"/>
      <c r="BZ28" s="3248"/>
      <c r="CA28" s="3248"/>
      <c r="CB28" s="3248"/>
      <c r="CC28" s="3248"/>
      <c r="CD28" s="3248"/>
      <c r="CE28" s="3248"/>
      <c r="CF28" s="3248"/>
      <c r="CG28" s="3248"/>
      <c r="CH28" s="3248"/>
      <c r="CI28" s="3246">
        <f t="shared" si="0"/>
        <v>0</v>
      </c>
    </row>
    <row r="29" spans="1:87" ht="30">
      <c r="A29" s="1580" t="s">
        <v>4963</v>
      </c>
      <c r="B29" s="1581" t="s">
        <v>3886</v>
      </c>
      <c r="C29" s="1581" t="s">
        <v>4386</v>
      </c>
      <c r="D29" s="910" t="s">
        <v>4219</v>
      </c>
      <c r="E29" s="1583" t="s">
        <v>4405</v>
      </c>
      <c r="F29" s="1588"/>
      <c r="G29" s="1588"/>
      <c r="H29" s="1588"/>
      <c r="I29" s="1588"/>
      <c r="J29" s="1588"/>
      <c r="K29" s="1588"/>
      <c r="L29" s="443"/>
      <c r="M29" s="1494"/>
      <c r="N29" s="1588"/>
      <c r="O29" s="297">
        <f>'11-A. IEC Sub-Annex'!O74</f>
        <v>0</v>
      </c>
      <c r="P29" s="1591"/>
      <c r="Q29" s="1591"/>
      <c r="R29" s="297">
        <f>'11-A. IEC Sub-Annex'!R74</f>
        <v>0</v>
      </c>
      <c r="BB29" s="3248"/>
      <c r="BC29" s="3248"/>
      <c r="BD29" s="3248"/>
      <c r="BE29" s="3248"/>
      <c r="BF29" s="3248"/>
      <c r="BG29" s="3248"/>
      <c r="BH29" s="3248"/>
      <c r="BI29" s="3248"/>
      <c r="BJ29" s="3248"/>
      <c r="BK29" s="3248"/>
      <c r="BL29" s="3248"/>
      <c r="BM29" s="3248"/>
      <c r="BN29" s="3248"/>
      <c r="BO29" s="3248"/>
      <c r="BP29" s="3248"/>
      <c r="BQ29" s="3248"/>
      <c r="BR29" s="3248"/>
      <c r="BS29" s="3248"/>
      <c r="BT29" s="3248"/>
      <c r="BU29" s="3248"/>
      <c r="BV29" s="3248"/>
      <c r="BW29" s="3248"/>
      <c r="BX29" s="3248"/>
      <c r="BY29" s="3248"/>
      <c r="BZ29" s="3248"/>
      <c r="CA29" s="3248"/>
      <c r="CB29" s="3248"/>
      <c r="CC29" s="3248"/>
      <c r="CD29" s="3248"/>
      <c r="CE29" s="3248"/>
      <c r="CF29" s="3248"/>
      <c r="CG29" s="3248"/>
      <c r="CH29" s="3248"/>
      <c r="CI29" s="3246">
        <f t="shared" si="0"/>
        <v>0</v>
      </c>
    </row>
    <row r="30" spans="1:87">
      <c r="A30" s="1580" t="s">
        <v>4965</v>
      </c>
      <c r="B30" s="1581"/>
      <c r="C30" s="1581" t="s">
        <v>4966</v>
      </c>
      <c r="D30" s="910" t="s">
        <v>4219</v>
      </c>
      <c r="E30" s="1583" t="s">
        <v>3223</v>
      </c>
      <c r="F30" s="1588"/>
      <c r="G30" s="1588"/>
      <c r="H30" s="1588"/>
      <c r="I30" s="1588"/>
      <c r="J30" s="1588"/>
      <c r="K30" s="1588"/>
      <c r="L30" s="443"/>
      <c r="M30" s="1494"/>
      <c r="N30" s="1588"/>
      <c r="O30" s="297">
        <f>'11-A. IEC Sub-Annex'!O75</f>
        <v>6</v>
      </c>
      <c r="P30" s="1591"/>
      <c r="Q30" s="1591"/>
      <c r="R30" s="297">
        <f>'11-A. IEC Sub-Annex'!R75</f>
        <v>6</v>
      </c>
      <c r="BB30" s="3248"/>
      <c r="BC30" s="3248"/>
      <c r="BD30" s="3248"/>
      <c r="BE30" s="3248"/>
      <c r="BF30" s="3248"/>
      <c r="BG30" s="3248"/>
      <c r="BH30" s="3248"/>
      <c r="BI30" s="3248"/>
      <c r="BJ30" s="3248"/>
      <c r="BK30" s="3248"/>
      <c r="BL30" s="3248"/>
      <c r="BM30" s="3248"/>
      <c r="BN30" s="3248"/>
      <c r="BO30" s="3248"/>
      <c r="BP30" s="3248"/>
      <c r="BQ30" s="3248"/>
      <c r="BR30" s="3248"/>
      <c r="BS30" s="3248"/>
      <c r="BT30" s="3248"/>
      <c r="BU30" s="3248"/>
      <c r="BV30" s="3248"/>
      <c r="BW30" s="3248"/>
      <c r="BX30" s="3248"/>
      <c r="BY30" s="3248"/>
      <c r="BZ30" s="3248"/>
      <c r="CA30" s="3248"/>
      <c r="CB30" s="3248"/>
      <c r="CC30" s="3248"/>
      <c r="CD30" s="3248"/>
      <c r="CE30" s="3248"/>
      <c r="CF30" s="3248"/>
      <c r="CG30" s="3248"/>
      <c r="CH30" s="3248"/>
      <c r="CI30" s="3246">
        <f t="shared" si="0"/>
        <v>0</v>
      </c>
    </row>
    <row r="31" spans="1:87" s="1579" customFormat="1">
      <c r="A31" s="1575">
        <v>11.4</v>
      </c>
      <c r="B31" s="1575"/>
      <c r="C31" s="1575" t="s">
        <v>4925</v>
      </c>
      <c r="D31" s="1576"/>
      <c r="E31" s="1576"/>
      <c r="F31" s="1589"/>
      <c r="G31" s="1589"/>
      <c r="H31" s="1589"/>
      <c r="I31" s="1589"/>
      <c r="J31" s="1589"/>
      <c r="K31" s="1589"/>
      <c r="L31" s="1590"/>
      <c r="M31" s="1499"/>
      <c r="N31" s="1589"/>
      <c r="O31" s="802">
        <f>SUM(O32:O42)</f>
        <v>61.859999999999992</v>
      </c>
      <c r="P31" s="1592"/>
      <c r="Q31" s="1592"/>
      <c r="R31" s="802">
        <f>SUM(R32:R42)</f>
        <v>61.859999999999992</v>
      </c>
      <c r="BB31" s="3247"/>
      <c r="BC31" s="3247"/>
      <c r="BD31" s="3247"/>
      <c r="BE31" s="3247"/>
      <c r="BF31" s="3247"/>
      <c r="BG31" s="3247"/>
      <c r="BH31" s="3247"/>
      <c r="BI31" s="3247"/>
      <c r="BJ31" s="3247"/>
      <c r="BK31" s="3247"/>
      <c r="BL31" s="3247"/>
      <c r="BM31" s="3247"/>
      <c r="BN31" s="3247"/>
      <c r="BO31" s="3247"/>
      <c r="BP31" s="3247"/>
      <c r="BQ31" s="3247"/>
      <c r="BR31" s="3247"/>
      <c r="BS31" s="3247"/>
      <c r="BT31" s="3247"/>
      <c r="BU31" s="3247"/>
      <c r="BV31" s="3247"/>
      <c r="BW31" s="3247"/>
      <c r="BX31" s="3247"/>
      <c r="BY31" s="3247"/>
      <c r="BZ31" s="3247"/>
      <c r="CA31" s="3247"/>
      <c r="CB31" s="3247"/>
      <c r="CC31" s="3247"/>
      <c r="CD31" s="3247"/>
      <c r="CE31" s="3247"/>
      <c r="CF31" s="3247"/>
      <c r="CG31" s="3247"/>
      <c r="CH31" s="3247"/>
      <c r="CI31" s="3246">
        <f t="shared" si="0"/>
        <v>0</v>
      </c>
    </row>
    <row r="32" spans="1:87">
      <c r="A32" s="1580" t="s">
        <v>1357</v>
      </c>
      <c r="B32" s="1581">
        <v>11.18</v>
      </c>
      <c r="C32" s="1581" t="s">
        <v>1405</v>
      </c>
      <c r="D32" s="913" t="s">
        <v>80</v>
      </c>
      <c r="E32" s="1583" t="s">
        <v>81</v>
      </c>
      <c r="F32" s="1588"/>
      <c r="G32" s="1588"/>
      <c r="H32" s="1588"/>
      <c r="I32" s="1588"/>
      <c r="J32" s="1588"/>
      <c r="K32" s="1588"/>
      <c r="L32" s="443"/>
      <c r="M32" s="1494"/>
      <c r="N32" s="1588"/>
      <c r="O32" s="297">
        <f>'11-A. IEC Sub-Annex'!O77</f>
        <v>10</v>
      </c>
      <c r="P32" s="1591"/>
      <c r="Q32" s="1591"/>
      <c r="R32" s="297">
        <f>'11-A. IEC Sub-Annex'!R77</f>
        <v>10</v>
      </c>
      <c r="BB32" s="3248"/>
      <c r="BC32" s="3248"/>
      <c r="BD32" s="3248"/>
      <c r="BE32" s="3248"/>
      <c r="BF32" s="3248"/>
      <c r="BG32" s="3248"/>
      <c r="BH32" s="3248"/>
      <c r="BI32" s="3248"/>
      <c r="BJ32" s="3248"/>
      <c r="BK32" s="3248"/>
      <c r="BL32" s="3248"/>
      <c r="BM32" s="3248"/>
      <c r="BN32" s="3248"/>
      <c r="BO32" s="3248"/>
      <c r="BP32" s="3248"/>
      <c r="BQ32" s="3248"/>
      <c r="BR32" s="3248"/>
      <c r="BS32" s="3248"/>
      <c r="BT32" s="3248"/>
      <c r="BU32" s="3248"/>
      <c r="BV32" s="3248"/>
      <c r="BW32" s="3248"/>
      <c r="BX32" s="3248"/>
      <c r="BY32" s="3248"/>
      <c r="BZ32" s="3248"/>
      <c r="CA32" s="3248"/>
      <c r="CB32" s="3248"/>
      <c r="CC32" s="3248"/>
      <c r="CD32" s="3248"/>
      <c r="CE32" s="3248"/>
      <c r="CF32" s="3248"/>
      <c r="CG32" s="3248"/>
      <c r="CH32" s="3248"/>
      <c r="CI32" s="3246">
        <f t="shared" si="0"/>
        <v>0</v>
      </c>
    </row>
    <row r="33" spans="1:87">
      <c r="A33" s="1580" t="s">
        <v>1359</v>
      </c>
      <c r="B33" s="1581" t="s">
        <v>4934</v>
      </c>
      <c r="C33" s="1581" t="s">
        <v>1409</v>
      </c>
      <c r="D33" s="913" t="s">
        <v>80</v>
      </c>
      <c r="E33" s="1583" t="s">
        <v>145</v>
      </c>
      <c r="F33" s="1588"/>
      <c r="G33" s="1588"/>
      <c r="H33" s="1588"/>
      <c r="I33" s="1588"/>
      <c r="J33" s="1588"/>
      <c r="K33" s="1588"/>
      <c r="L33" s="443"/>
      <c r="M33" s="1494"/>
      <c r="N33" s="1588"/>
      <c r="O33" s="297">
        <f>'11-A. IEC Sub-Annex'!O80</f>
        <v>5</v>
      </c>
      <c r="P33" s="1591"/>
      <c r="Q33" s="1591"/>
      <c r="R33" s="297">
        <f>'11-A. IEC Sub-Annex'!R80</f>
        <v>5</v>
      </c>
      <c r="BB33" s="3248"/>
      <c r="BC33" s="3248"/>
      <c r="BD33" s="3248"/>
      <c r="BE33" s="3248"/>
      <c r="BF33" s="3248"/>
      <c r="BG33" s="3248"/>
      <c r="BH33" s="3248"/>
      <c r="BI33" s="3248"/>
      <c r="BJ33" s="3248"/>
      <c r="BK33" s="3248"/>
      <c r="BL33" s="3248"/>
      <c r="BM33" s="3248"/>
      <c r="BN33" s="3248"/>
      <c r="BO33" s="3248"/>
      <c r="BP33" s="3248"/>
      <c r="BQ33" s="3248"/>
      <c r="BR33" s="3248"/>
      <c r="BS33" s="3248"/>
      <c r="BT33" s="3248"/>
      <c r="BU33" s="3248"/>
      <c r="BV33" s="3248"/>
      <c r="BW33" s="3248"/>
      <c r="BX33" s="3248"/>
      <c r="BY33" s="3248"/>
      <c r="BZ33" s="3248"/>
      <c r="CA33" s="3248"/>
      <c r="CB33" s="3248"/>
      <c r="CC33" s="3248"/>
      <c r="CD33" s="3248"/>
      <c r="CE33" s="3248"/>
      <c r="CF33" s="3248"/>
      <c r="CG33" s="3248"/>
      <c r="CH33" s="3248"/>
      <c r="CI33" s="3246">
        <f t="shared" si="0"/>
        <v>0</v>
      </c>
    </row>
    <row r="34" spans="1:87">
      <c r="A34" s="1580" t="s">
        <v>1361</v>
      </c>
      <c r="B34" s="1581" t="s">
        <v>2432</v>
      </c>
      <c r="C34" s="1581" t="s">
        <v>1416</v>
      </c>
      <c r="D34" s="913" t="s">
        <v>80</v>
      </c>
      <c r="E34" s="1583" t="s">
        <v>394</v>
      </c>
      <c r="F34" s="1588"/>
      <c r="G34" s="1588"/>
      <c r="H34" s="1588"/>
      <c r="I34" s="1588"/>
      <c r="J34" s="1588"/>
      <c r="K34" s="1588"/>
      <c r="L34" s="443"/>
      <c r="M34" s="1494"/>
      <c r="N34" s="1588"/>
      <c r="O34" s="297">
        <f>'11-A. IEC Sub-Annex'!O84</f>
        <v>2.4000000000000004</v>
      </c>
      <c r="P34" s="1591"/>
      <c r="Q34" s="1591"/>
      <c r="R34" s="297">
        <f>'11-A. IEC Sub-Annex'!R84</f>
        <v>2.4</v>
      </c>
      <c r="BB34" s="3248"/>
      <c r="BC34" s="3248"/>
      <c r="BD34" s="3248"/>
      <c r="BE34" s="3248"/>
      <c r="BF34" s="3248"/>
      <c r="BG34" s="3248"/>
      <c r="BH34" s="3248"/>
      <c r="BI34" s="3248"/>
      <c r="BJ34" s="3248"/>
      <c r="BK34" s="3248"/>
      <c r="BL34" s="3248"/>
      <c r="BM34" s="3248"/>
      <c r="BN34" s="3248"/>
      <c r="BO34" s="3248"/>
      <c r="BP34" s="3248"/>
      <c r="BQ34" s="3248"/>
      <c r="BR34" s="3248"/>
      <c r="BS34" s="3248"/>
      <c r="BT34" s="3248"/>
      <c r="BU34" s="3248"/>
      <c r="BV34" s="3248"/>
      <c r="BW34" s="3248"/>
      <c r="BX34" s="3248"/>
      <c r="BY34" s="3248"/>
      <c r="BZ34" s="3248"/>
      <c r="CA34" s="3248"/>
      <c r="CB34" s="3248"/>
      <c r="CC34" s="3248"/>
      <c r="CD34" s="3248"/>
      <c r="CE34" s="3248"/>
      <c r="CF34" s="3248"/>
      <c r="CG34" s="3248"/>
      <c r="CH34" s="3248"/>
      <c r="CI34" s="3246">
        <f t="shared" si="0"/>
        <v>0</v>
      </c>
    </row>
    <row r="35" spans="1:87">
      <c r="A35" s="1580" t="s">
        <v>4937</v>
      </c>
      <c r="B35" s="1581">
        <v>11.21</v>
      </c>
      <c r="C35" s="1581" t="s">
        <v>1419</v>
      </c>
      <c r="D35" s="913" t="s">
        <v>80</v>
      </c>
      <c r="E35" s="1583" t="s">
        <v>147</v>
      </c>
      <c r="F35" s="1588"/>
      <c r="G35" s="1588"/>
      <c r="H35" s="1588"/>
      <c r="I35" s="1588"/>
      <c r="J35" s="1588"/>
      <c r="K35" s="1588"/>
      <c r="L35" s="443"/>
      <c r="M35" s="1494"/>
      <c r="N35" s="1588"/>
      <c r="O35" s="297">
        <f>'11-A. IEC Sub-Annex'!O87</f>
        <v>10.01</v>
      </c>
      <c r="P35" s="1591"/>
      <c r="Q35" s="1591"/>
      <c r="R35" s="297">
        <f>'11-A. IEC Sub-Annex'!R87</f>
        <v>10.01</v>
      </c>
      <c r="BB35" s="3248"/>
      <c r="BC35" s="3248"/>
      <c r="BD35" s="3248"/>
      <c r="BE35" s="3248"/>
      <c r="BF35" s="3248"/>
      <c r="BG35" s="3248"/>
      <c r="BH35" s="3248"/>
      <c r="BI35" s="3248"/>
      <c r="BJ35" s="3248"/>
      <c r="BK35" s="3248"/>
      <c r="BL35" s="3248"/>
      <c r="BM35" s="3248"/>
      <c r="BN35" s="3248"/>
      <c r="BO35" s="3248"/>
      <c r="BP35" s="3248"/>
      <c r="BQ35" s="3248"/>
      <c r="BR35" s="3248"/>
      <c r="BS35" s="3248"/>
      <c r="BT35" s="3248"/>
      <c r="BU35" s="3248"/>
      <c r="BV35" s="3248"/>
      <c r="BW35" s="3248"/>
      <c r="BX35" s="3248"/>
      <c r="BY35" s="3248"/>
      <c r="BZ35" s="3248"/>
      <c r="CA35" s="3248"/>
      <c r="CB35" s="3248"/>
      <c r="CC35" s="3248"/>
      <c r="CD35" s="3248"/>
      <c r="CE35" s="3248"/>
      <c r="CF35" s="3248"/>
      <c r="CG35" s="3248"/>
      <c r="CH35" s="3248"/>
      <c r="CI35" s="3246">
        <f t="shared" si="0"/>
        <v>0</v>
      </c>
    </row>
    <row r="36" spans="1:87">
      <c r="A36" s="1580" t="s">
        <v>4938</v>
      </c>
      <c r="B36" s="1581" t="s">
        <v>4935</v>
      </c>
      <c r="C36" s="1581" t="s">
        <v>1421</v>
      </c>
      <c r="D36" s="913" t="s">
        <v>80</v>
      </c>
      <c r="E36" s="1583" t="s">
        <v>410</v>
      </c>
      <c r="F36" s="1588"/>
      <c r="G36" s="1588"/>
      <c r="H36" s="1588"/>
      <c r="I36" s="1588"/>
      <c r="J36" s="1588"/>
      <c r="K36" s="1588"/>
      <c r="L36" s="443"/>
      <c r="M36" s="1494"/>
      <c r="N36" s="1588"/>
      <c r="O36" s="297">
        <f>'11-A. IEC Sub-Annex'!O89</f>
        <v>20</v>
      </c>
      <c r="P36" s="1591"/>
      <c r="Q36" s="1591"/>
      <c r="R36" s="297">
        <f>'11-A. IEC Sub-Annex'!R89</f>
        <v>20</v>
      </c>
      <c r="BB36" s="3248"/>
      <c r="BC36" s="3248"/>
      <c r="BD36" s="3248"/>
      <c r="BE36" s="3248"/>
      <c r="BF36" s="3248"/>
      <c r="BG36" s="3248"/>
      <c r="BH36" s="3248"/>
      <c r="BI36" s="3248"/>
      <c r="BJ36" s="3248"/>
      <c r="BK36" s="3248"/>
      <c r="BL36" s="3248"/>
      <c r="BM36" s="3248"/>
      <c r="BN36" s="3248"/>
      <c r="BO36" s="3248"/>
      <c r="BP36" s="3248"/>
      <c r="BQ36" s="3248"/>
      <c r="BR36" s="3248"/>
      <c r="BS36" s="3248"/>
      <c r="BT36" s="3248"/>
      <c r="BU36" s="3248"/>
      <c r="BV36" s="3248"/>
      <c r="BW36" s="3248"/>
      <c r="BX36" s="3248"/>
      <c r="BY36" s="3248"/>
      <c r="BZ36" s="3248"/>
      <c r="CA36" s="3248"/>
      <c r="CB36" s="3248"/>
      <c r="CC36" s="3248"/>
      <c r="CD36" s="3248"/>
      <c r="CE36" s="3248"/>
      <c r="CF36" s="3248"/>
      <c r="CG36" s="3248"/>
      <c r="CH36" s="3248"/>
      <c r="CI36" s="3246">
        <f t="shared" si="0"/>
        <v>0</v>
      </c>
    </row>
    <row r="37" spans="1:87">
      <c r="A37" s="1580" t="s">
        <v>4939</v>
      </c>
      <c r="B37" s="1581" t="s">
        <v>3765</v>
      </c>
      <c r="C37" s="1581" t="s">
        <v>4388</v>
      </c>
      <c r="D37" s="913" t="s">
        <v>80</v>
      </c>
      <c r="E37" s="1583" t="s">
        <v>307</v>
      </c>
      <c r="F37" s="1588"/>
      <c r="G37" s="1588"/>
      <c r="H37" s="1588"/>
      <c r="I37" s="1588"/>
      <c r="J37" s="1588"/>
      <c r="K37" s="1588"/>
      <c r="L37" s="443"/>
      <c r="M37" s="1494"/>
      <c r="N37" s="1588"/>
      <c r="O37" s="297">
        <f>'11-A. IEC Sub-Annex'!O94</f>
        <v>5.0000400000000003</v>
      </c>
      <c r="P37" s="1591"/>
      <c r="Q37" s="1591"/>
      <c r="R37" s="297">
        <f>'11-A. IEC Sub-Annex'!R94</f>
        <v>5</v>
      </c>
      <c r="BB37" s="3248"/>
      <c r="BC37" s="3248"/>
      <c r="BD37" s="3248"/>
      <c r="BE37" s="3248"/>
      <c r="BF37" s="3248"/>
      <c r="BG37" s="3248"/>
      <c r="BH37" s="3248"/>
      <c r="BI37" s="3248"/>
      <c r="BJ37" s="3248"/>
      <c r="BK37" s="3248"/>
      <c r="BL37" s="3248"/>
      <c r="BM37" s="3248"/>
      <c r="BN37" s="3248"/>
      <c r="BO37" s="3248"/>
      <c r="BP37" s="3248"/>
      <c r="BQ37" s="3248"/>
      <c r="BR37" s="3248"/>
      <c r="BS37" s="3248"/>
      <c r="BT37" s="3248"/>
      <c r="BU37" s="3248"/>
      <c r="BV37" s="3248"/>
      <c r="BW37" s="3248"/>
      <c r="BX37" s="3248"/>
      <c r="BY37" s="3248"/>
      <c r="BZ37" s="3248"/>
      <c r="CA37" s="3248"/>
      <c r="CB37" s="3248"/>
      <c r="CC37" s="3248"/>
      <c r="CD37" s="3248"/>
      <c r="CE37" s="3248"/>
      <c r="CF37" s="3248"/>
      <c r="CG37" s="3248"/>
      <c r="CH37" s="3248"/>
      <c r="CI37" s="3246">
        <f t="shared" si="0"/>
        <v>0</v>
      </c>
    </row>
    <row r="38" spans="1:87" ht="45">
      <c r="A38" s="1580" t="s">
        <v>4940</v>
      </c>
      <c r="B38" s="1581" t="s">
        <v>3863</v>
      </c>
      <c r="C38" s="1581" t="s">
        <v>4387</v>
      </c>
      <c r="D38" s="913" t="s">
        <v>80</v>
      </c>
      <c r="E38" s="1583" t="s">
        <v>3989</v>
      </c>
      <c r="F38" s="1588"/>
      <c r="G38" s="1588"/>
      <c r="H38" s="1588"/>
      <c r="I38" s="1588"/>
      <c r="J38" s="1588"/>
      <c r="K38" s="1588"/>
      <c r="L38" s="443"/>
      <c r="M38" s="1494"/>
      <c r="N38" s="1588"/>
      <c r="O38" s="297">
        <f>'11-A. IEC Sub-Annex'!O95</f>
        <v>8.1499600000000001</v>
      </c>
      <c r="P38" s="1591"/>
      <c r="Q38" s="1591"/>
      <c r="R38" s="297">
        <f>'11-A. IEC Sub-Annex'!R95</f>
        <v>8.15</v>
      </c>
      <c r="BB38" s="3248"/>
      <c r="BC38" s="3248"/>
      <c r="BD38" s="3248"/>
      <c r="BE38" s="3248"/>
      <c r="BF38" s="3248"/>
      <c r="BG38" s="3248"/>
      <c r="BH38" s="3248"/>
      <c r="BI38" s="3248"/>
      <c r="BJ38" s="3248"/>
      <c r="BK38" s="3248"/>
      <c r="BL38" s="3248"/>
      <c r="BM38" s="3248"/>
      <c r="BN38" s="3248"/>
      <c r="BO38" s="3248"/>
      <c r="BP38" s="3248"/>
      <c r="BQ38" s="3248"/>
      <c r="BR38" s="3248"/>
      <c r="BS38" s="3248"/>
      <c r="BT38" s="3248"/>
      <c r="BU38" s="3248"/>
      <c r="BV38" s="3248"/>
      <c r="BW38" s="3248"/>
      <c r="BX38" s="3248"/>
      <c r="BY38" s="3248"/>
      <c r="BZ38" s="3248"/>
      <c r="CA38" s="3248"/>
      <c r="CB38" s="3248"/>
      <c r="CC38" s="3248"/>
      <c r="CD38" s="3248"/>
      <c r="CE38" s="3248"/>
      <c r="CF38" s="3248"/>
      <c r="CG38" s="3248"/>
      <c r="CH38" s="3248"/>
      <c r="CI38" s="3246">
        <f t="shared" si="0"/>
        <v>0</v>
      </c>
    </row>
    <row r="39" spans="1:87" ht="30">
      <c r="A39" s="1580" t="s">
        <v>4941</v>
      </c>
      <c r="B39" s="1581" t="s">
        <v>4395</v>
      </c>
      <c r="C39" s="1581" t="s">
        <v>4399</v>
      </c>
      <c r="D39" s="913" t="s">
        <v>80</v>
      </c>
      <c r="E39" s="1583" t="s">
        <v>4668</v>
      </c>
      <c r="F39" s="1588"/>
      <c r="G39" s="1588"/>
      <c r="H39" s="1588"/>
      <c r="I39" s="1588"/>
      <c r="J39" s="1588"/>
      <c r="K39" s="1588"/>
      <c r="L39" s="443"/>
      <c r="M39" s="1494"/>
      <c r="N39" s="1588"/>
      <c r="O39" s="297">
        <f>'11-A. IEC Sub-Annex'!O96</f>
        <v>0</v>
      </c>
      <c r="P39" s="1591"/>
      <c r="Q39" s="1591"/>
      <c r="R39" s="297">
        <f>'11-A. IEC Sub-Annex'!R96</f>
        <v>0</v>
      </c>
      <c r="BB39" s="3248"/>
      <c r="BC39" s="3248"/>
      <c r="BD39" s="3248"/>
      <c r="BE39" s="3248"/>
      <c r="BF39" s="3248"/>
      <c r="BG39" s="3248"/>
      <c r="BH39" s="3248"/>
      <c r="BI39" s="3248"/>
      <c r="BJ39" s="3248"/>
      <c r="BK39" s="3248"/>
      <c r="BL39" s="3248"/>
      <c r="BM39" s="3248"/>
      <c r="BN39" s="3248"/>
      <c r="BO39" s="3248"/>
      <c r="BP39" s="3248"/>
      <c r="BQ39" s="3248"/>
      <c r="BR39" s="3248"/>
      <c r="BS39" s="3248"/>
      <c r="BT39" s="3248"/>
      <c r="BU39" s="3248"/>
      <c r="BV39" s="3248"/>
      <c r="BW39" s="3248"/>
      <c r="BX39" s="3248"/>
      <c r="BY39" s="3248"/>
      <c r="BZ39" s="3248"/>
      <c r="CA39" s="3248"/>
      <c r="CB39" s="3248"/>
      <c r="CC39" s="3248"/>
      <c r="CD39" s="3248"/>
      <c r="CE39" s="3248"/>
      <c r="CF39" s="3248"/>
      <c r="CG39" s="3248"/>
      <c r="CH39" s="3248"/>
      <c r="CI39" s="3246">
        <f t="shared" si="0"/>
        <v>0</v>
      </c>
    </row>
    <row r="40" spans="1:87" s="1569" customFormat="1">
      <c r="A40" s="1580" t="s">
        <v>4942</v>
      </c>
      <c r="B40" s="1580" t="s">
        <v>4936</v>
      </c>
      <c r="C40" s="1580" t="s">
        <v>1368</v>
      </c>
      <c r="D40" s="982" t="s">
        <v>80</v>
      </c>
      <c r="E40" s="2508" t="s">
        <v>1014</v>
      </c>
      <c r="F40" s="2509"/>
      <c r="G40" s="2509"/>
      <c r="H40" s="2509"/>
      <c r="I40" s="2509"/>
      <c r="J40" s="2509"/>
      <c r="K40" s="2509"/>
      <c r="L40" s="2510"/>
      <c r="M40" s="801"/>
      <c r="N40" s="2509"/>
      <c r="O40" s="298">
        <f>'11-A. IEC Sub-Annex'!O97</f>
        <v>1.3</v>
      </c>
      <c r="P40" s="776"/>
      <c r="Q40" s="2511"/>
      <c r="R40" s="298">
        <f>'11-A. IEC Sub-Annex'!R97</f>
        <v>1.3</v>
      </c>
      <c r="BB40" s="3249"/>
      <c r="BC40" s="3249"/>
      <c r="BD40" s="3249"/>
      <c r="BE40" s="3249"/>
      <c r="BF40" s="3249"/>
      <c r="BG40" s="3249"/>
      <c r="BH40" s="3249"/>
      <c r="BI40" s="3249"/>
      <c r="BJ40" s="3249"/>
      <c r="BK40" s="3249"/>
      <c r="BL40" s="3249"/>
      <c r="BM40" s="3249"/>
      <c r="BN40" s="3249"/>
      <c r="BO40" s="3249"/>
      <c r="BP40" s="3249"/>
      <c r="BQ40" s="3249"/>
      <c r="BR40" s="3249"/>
      <c r="BS40" s="3249"/>
      <c r="BT40" s="3249"/>
      <c r="BU40" s="3249"/>
      <c r="BV40" s="3249"/>
      <c r="BW40" s="3249"/>
      <c r="BX40" s="3249"/>
      <c r="BY40" s="3249"/>
      <c r="BZ40" s="3249"/>
      <c r="CA40" s="3249"/>
      <c r="CB40" s="3249"/>
      <c r="CC40" s="3249"/>
      <c r="CD40" s="3249"/>
      <c r="CE40" s="3249"/>
      <c r="CF40" s="3249"/>
      <c r="CG40" s="3249"/>
      <c r="CH40" s="3249"/>
      <c r="CI40" s="3246">
        <f t="shared" si="0"/>
        <v>0</v>
      </c>
    </row>
    <row r="41" spans="1:87">
      <c r="A41" s="1580" t="s">
        <v>4943</v>
      </c>
      <c r="B41" s="1581">
        <v>11.12</v>
      </c>
      <c r="C41" s="1581" t="s">
        <v>1371</v>
      </c>
      <c r="D41" s="913" t="s">
        <v>80</v>
      </c>
      <c r="E41" s="1583" t="s">
        <v>309</v>
      </c>
      <c r="F41" s="1588"/>
      <c r="G41" s="1588"/>
      <c r="H41" s="1588"/>
      <c r="I41" s="1588"/>
      <c r="J41" s="1588"/>
      <c r="K41" s="1588"/>
      <c r="L41" s="443"/>
      <c r="M41" s="1494"/>
      <c r="N41" s="1588"/>
      <c r="O41" s="297">
        <f>'11-A. IEC Sub-Annex'!O100</f>
        <v>0</v>
      </c>
      <c r="P41" s="1591"/>
      <c r="Q41" s="1591"/>
      <c r="R41" s="297">
        <f>'11-A. IEC Sub-Annex'!R100</f>
        <v>0</v>
      </c>
      <c r="BB41" s="3248"/>
      <c r="BC41" s="3248"/>
      <c r="BD41" s="3248"/>
      <c r="BE41" s="3248"/>
      <c r="BF41" s="3248"/>
      <c r="BG41" s="3248"/>
      <c r="BH41" s="3248"/>
      <c r="BI41" s="3248"/>
      <c r="BJ41" s="3248"/>
      <c r="BK41" s="3248"/>
      <c r="BL41" s="3248"/>
      <c r="BM41" s="3248"/>
      <c r="BN41" s="3248"/>
      <c r="BO41" s="3248"/>
      <c r="BP41" s="3248"/>
      <c r="BQ41" s="3248"/>
      <c r="BR41" s="3248"/>
      <c r="BS41" s="3248"/>
      <c r="BT41" s="3248"/>
      <c r="BU41" s="3248"/>
      <c r="BV41" s="3248"/>
      <c r="BW41" s="3248"/>
      <c r="BX41" s="3248"/>
      <c r="BY41" s="3248"/>
      <c r="BZ41" s="3248"/>
      <c r="CA41" s="3248"/>
      <c r="CB41" s="3248"/>
      <c r="CC41" s="3248"/>
      <c r="CD41" s="3248"/>
      <c r="CE41" s="3248"/>
      <c r="CF41" s="3248"/>
      <c r="CG41" s="3248"/>
      <c r="CH41" s="3248"/>
      <c r="CI41" s="3246">
        <f t="shared" si="0"/>
        <v>0</v>
      </c>
    </row>
    <row r="42" spans="1:87">
      <c r="A42" s="1580" t="s">
        <v>4944</v>
      </c>
      <c r="B42" s="1581">
        <v>11.13</v>
      </c>
      <c r="C42" s="1581" t="s">
        <v>1378</v>
      </c>
      <c r="D42" s="913" t="s">
        <v>80</v>
      </c>
      <c r="E42" s="1583" t="s">
        <v>1028</v>
      </c>
      <c r="F42" s="1588"/>
      <c r="G42" s="1588"/>
      <c r="H42" s="1588"/>
      <c r="I42" s="1588"/>
      <c r="J42" s="1588"/>
      <c r="K42" s="1588"/>
      <c r="L42" s="443"/>
      <c r="M42" s="1494"/>
      <c r="N42" s="1588"/>
      <c r="O42" s="297">
        <f>'11-A. IEC Sub-Annex'!O104</f>
        <v>0</v>
      </c>
      <c r="P42" s="1591"/>
      <c r="Q42" s="1591"/>
      <c r="R42" s="297">
        <f>'11-A. IEC Sub-Annex'!R104</f>
        <v>0</v>
      </c>
      <c r="BB42" s="3248"/>
      <c r="BC42" s="3248"/>
      <c r="BD42" s="3248"/>
      <c r="BE42" s="3248"/>
      <c r="BF42" s="3248"/>
      <c r="BG42" s="3248"/>
      <c r="BH42" s="3248"/>
      <c r="BI42" s="3248"/>
      <c r="BJ42" s="3248"/>
      <c r="BK42" s="3248"/>
      <c r="BL42" s="3248"/>
      <c r="BM42" s="3248"/>
      <c r="BN42" s="3248"/>
      <c r="BO42" s="3248"/>
      <c r="BP42" s="3248"/>
      <c r="BQ42" s="3248"/>
      <c r="BR42" s="3248"/>
      <c r="BS42" s="3248"/>
      <c r="BT42" s="3248"/>
      <c r="BU42" s="3248"/>
      <c r="BV42" s="3248"/>
      <c r="BW42" s="3248"/>
      <c r="BX42" s="3248"/>
      <c r="BY42" s="3248"/>
      <c r="BZ42" s="3248"/>
      <c r="CA42" s="3248"/>
      <c r="CB42" s="3248"/>
      <c r="CC42" s="3248"/>
      <c r="CD42" s="3248"/>
      <c r="CE42" s="3248"/>
      <c r="CF42" s="3248"/>
      <c r="CG42" s="3248"/>
      <c r="CH42" s="3248"/>
      <c r="CI42" s="3246">
        <f t="shared" si="0"/>
        <v>0</v>
      </c>
    </row>
    <row r="43" spans="1:87">
      <c r="BB43" s="3248"/>
      <c r="BC43" s="3248"/>
      <c r="BD43" s="3248"/>
      <c r="BE43" s="3248"/>
      <c r="BF43" s="3248"/>
      <c r="BG43" s="3248"/>
      <c r="BH43" s="3248"/>
      <c r="BI43" s="3248"/>
      <c r="BJ43" s="3248"/>
      <c r="BK43" s="3248"/>
      <c r="BL43" s="3248"/>
      <c r="BM43" s="3248"/>
      <c r="BN43" s="3248"/>
      <c r="BO43" s="3248"/>
      <c r="BP43" s="3248"/>
      <c r="BQ43" s="3248"/>
      <c r="BR43" s="3248"/>
      <c r="BS43" s="3248"/>
      <c r="BT43" s="3248"/>
      <c r="BU43" s="3248"/>
      <c r="BV43" s="3248"/>
      <c r="BW43" s="3248"/>
      <c r="BX43" s="3248"/>
      <c r="BY43" s="3248"/>
      <c r="BZ43" s="3248"/>
      <c r="CA43" s="3248"/>
      <c r="CB43" s="3248"/>
      <c r="CC43" s="3248"/>
      <c r="CD43" s="3248"/>
      <c r="CE43" s="3248"/>
      <c r="CF43" s="3248"/>
      <c r="CG43" s="3248"/>
      <c r="CH43" s="3248"/>
      <c r="CI43" s="3246">
        <f t="shared" si="0"/>
        <v>0</v>
      </c>
    </row>
  </sheetData>
  <sheetProtection password="CC49" sheet="1" objects="1" scenarios="1" autoFilter="0"/>
  <autoFilter ref="A6:BA42"/>
  <mergeCells count="15">
    <mergeCell ref="K5:P5"/>
    <mergeCell ref="Q5:R5"/>
    <mergeCell ref="A5:A6"/>
    <mergeCell ref="B5:B6"/>
    <mergeCell ref="C5:C6"/>
    <mergeCell ref="D5:D6"/>
    <mergeCell ref="E5:E6"/>
    <mergeCell ref="F5:J5"/>
    <mergeCell ref="AP1:BA1"/>
    <mergeCell ref="A2:A4"/>
    <mergeCell ref="A1:C1"/>
    <mergeCell ref="E1:E2"/>
    <mergeCell ref="F1:N1"/>
    <mergeCell ref="O1:AH1"/>
    <mergeCell ref="AI1:AO1"/>
  </mergeCells>
  <phoneticPr fontId="68"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sheetPr codeName="Sheet42"/>
  <dimension ref="A1:CI108"/>
  <sheetViews>
    <sheetView zoomScale="70" zoomScaleNormal="70" workbookViewId="0">
      <pane xSplit="5" ySplit="4" topLeftCell="P87" activePane="bottomRight" state="frozen"/>
      <selection activeCell="A2" sqref="A2:A4"/>
      <selection pane="topRight" activeCell="A2" sqref="A2:A4"/>
      <selection pane="bottomLeft" activeCell="A2" sqref="A2:A4"/>
      <selection pane="bottomRight" activeCell="P94" sqref="P94"/>
    </sheetView>
  </sheetViews>
  <sheetFormatPr defaultColWidth="9.140625" defaultRowHeight="15"/>
  <cols>
    <col min="1" max="2" width="16.28515625" style="1623" bestFit="1" customWidth="1"/>
    <col min="3" max="3" width="52.140625" style="1623" customWidth="1"/>
    <col min="4" max="4" width="9.7109375" style="1283" customWidth="1"/>
    <col min="5" max="5" width="20.5703125" style="1283" hidden="1" customWidth="1"/>
    <col min="6" max="6" width="15.140625" style="1603" hidden="1" customWidth="1"/>
    <col min="7" max="7" width="20.140625" style="1603" hidden="1" customWidth="1"/>
    <col min="8" max="10" width="15.140625" style="1603" hidden="1" customWidth="1"/>
    <col min="11" max="11" width="10.5703125" style="1603" hidden="1" customWidth="1"/>
    <col min="12" max="12" width="9.85546875" style="1614" hidden="1" customWidth="1"/>
    <col min="13" max="13" width="12.85546875" style="1603" hidden="1" customWidth="1"/>
    <col min="14" max="14" width="9.5703125" style="1603" hidden="1" customWidth="1"/>
    <col min="15" max="15" width="14" style="3027" customWidth="1"/>
    <col min="16" max="16" width="40.85546875" style="1623" customWidth="1"/>
    <col min="17" max="17" width="34.5703125" style="1584" customWidth="1"/>
    <col min="18" max="18" width="11" style="3027" customWidth="1"/>
    <col min="19" max="19" width="9.5703125" style="1603" hidden="1" customWidth="1"/>
    <col min="20" max="53" width="9.140625" style="1603" hidden="1" customWidth="1"/>
    <col min="54" max="54" width="9.140625" style="1603"/>
    <col min="55" max="55" width="18.5703125" style="1603" bestFit="1" customWidth="1"/>
    <col min="56" max="56" width="18.28515625" style="1603" bestFit="1" customWidth="1"/>
    <col min="57" max="57" width="18.85546875" style="1603" bestFit="1" customWidth="1"/>
    <col min="58" max="58" width="11.7109375" style="1603" bestFit="1" customWidth="1"/>
    <col min="59" max="59" width="12.140625" style="1603" bestFit="1" customWidth="1"/>
    <col min="60" max="63" width="11.42578125" style="1603" bestFit="1" customWidth="1"/>
    <col min="64" max="64" width="12.5703125" style="1603" bestFit="1" customWidth="1"/>
    <col min="65" max="66" width="11.42578125" style="1603" bestFit="1" customWidth="1"/>
    <col min="67" max="67" width="11.7109375" style="1603" bestFit="1" customWidth="1"/>
    <col min="68" max="68" width="10.28515625" style="1603" bestFit="1" customWidth="1"/>
    <col min="69" max="69" width="13" style="1603" bestFit="1" customWidth="1"/>
    <col min="70" max="70" width="14.28515625" style="1603" bestFit="1" customWidth="1"/>
    <col min="71" max="71" width="11.7109375" style="1603" bestFit="1" customWidth="1"/>
    <col min="72" max="72" width="12" style="1603" bestFit="1" customWidth="1"/>
    <col min="73" max="73" width="10.7109375" style="1603" bestFit="1" customWidth="1"/>
    <col min="74" max="74" width="12" style="1603" bestFit="1" customWidth="1"/>
    <col min="75" max="75" width="11.7109375" style="1603" bestFit="1" customWidth="1"/>
    <col min="76" max="76" width="15" style="1603" bestFit="1" customWidth="1"/>
    <col min="77" max="78" width="9.140625" style="1603"/>
    <col min="79" max="79" width="10.7109375" style="1603" bestFit="1" customWidth="1"/>
    <col min="80" max="80" width="12" style="1603" bestFit="1" customWidth="1"/>
    <col min="81" max="81" width="10.140625" style="1603" bestFit="1" customWidth="1"/>
    <col min="82" max="82" width="10" style="1603" bestFit="1" customWidth="1"/>
    <col min="83" max="83" width="16.85546875" style="1603" bestFit="1" customWidth="1"/>
    <col min="84" max="84" width="10.7109375" style="1603" bestFit="1" customWidth="1"/>
    <col min="85" max="86" width="11.7109375" style="1603" bestFit="1" customWidth="1"/>
    <col min="87" max="16384" width="9.140625" style="1603"/>
  </cols>
  <sheetData>
    <row r="1" spans="1:87" s="1129" customFormat="1">
      <c r="A1" s="3919"/>
      <c r="B1" s="3919"/>
      <c r="C1" s="3920"/>
      <c r="E1" s="1593"/>
      <c r="F1" s="1135"/>
      <c r="G1" s="1593"/>
      <c r="H1" s="1136"/>
      <c r="I1" s="1137"/>
      <c r="J1" s="1137"/>
      <c r="K1" s="1137"/>
      <c r="L1" s="1137"/>
      <c r="M1" s="1137"/>
      <c r="N1" s="1502"/>
      <c r="O1" s="2863"/>
      <c r="P1" s="1502"/>
      <c r="Q1" s="1137"/>
      <c r="R1" s="2863"/>
      <c r="S1" s="1502"/>
      <c r="T1" s="1137"/>
      <c r="U1" s="1137"/>
      <c r="V1" s="1137"/>
      <c r="W1" s="1137"/>
      <c r="X1" s="1137"/>
      <c r="Y1" s="1137"/>
      <c r="Z1" s="1137"/>
      <c r="AA1" s="1137"/>
      <c r="AB1" s="1137"/>
      <c r="AC1" s="1137"/>
      <c r="AD1" s="1137"/>
      <c r="AE1" s="1137"/>
      <c r="AF1" s="1137"/>
      <c r="AG1" s="1137"/>
      <c r="AH1" s="1137"/>
      <c r="AI1" s="1137"/>
      <c r="AJ1" s="1137"/>
      <c r="AK1" s="1137"/>
      <c r="AL1" s="1137"/>
      <c r="AM1" s="1137"/>
      <c r="AN1" s="1137"/>
      <c r="AO1" s="1137"/>
      <c r="AP1" s="1137"/>
      <c r="AQ1" s="1138"/>
      <c r="AR1" s="1138"/>
      <c r="AS1" s="1138"/>
      <c r="AT1" s="1138"/>
      <c r="AU1" s="1138"/>
      <c r="AV1" s="1138"/>
      <c r="AW1" s="1138"/>
      <c r="AX1" s="1332"/>
      <c r="AY1" s="1332"/>
      <c r="AZ1" s="1332"/>
      <c r="BA1" s="1332"/>
      <c r="BB1" s="1332"/>
      <c r="BC1" s="1332"/>
      <c r="BD1" s="1332"/>
      <c r="BE1" s="1332"/>
    </row>
    <row r="2" spans="1:87" s="861" customFormat="1">
      <c r="A2" s="864" t="str">
        <f>HYPERLINK("#'Budget Summary I'!A1:AL1", "Budget Summary I")</f>
        <v>Budget Summary I</v>
      </c>
      <c r="B2" s="864" t="str">
        <f>HYPERLINK("#'Budget Summary II'!A3:B5", "Budget Summary II")</f>
        <v>Budget Summary II</v>
      </c>
      <c r="C2" s="1333" t="str">
        <f>HYPERLINK("#'Summary of Abstracts'!A2", "Summary of Abst.")</f>
        <v>Summary of Abst.</v>
      </c>
      <c r="E2" s="963"/>
      <c r="F2" s="1135"/>
      <c r="G2" s="963"/>
      <c r="H2" s="1136"/>
      <c r="I2" s="1143"/>
      <c r="J2" s="1143"/>
      <c r="K2" s="1143"/>
      <c r="L2" s="1143"/>
      <c r="M2" s="1143"/>
      <c r="N2" s="1144"/>
      <c r="O2" s="2947"/>
      <c r="P2" s="1144"/>
      <c r="Q2" s="1144"/>
      <c r="R2" s="2917"/>
      <c r="S2" s="1145"/>
      <c r="T2" s="1145"/>
      <c r="U2" s="1145"/>
      <c r="V2" s="1145"/>
      <c r="W2" s="1145"/>
      <c r="X2" s="1145"/>
      <c r="Y2" s="1145"/>
      <c r="Z2" s="1145"/>
      <c r="AA2" s="1145"/>
      <c r="AB2" s="1145"/>
      <c r="AC2" s="1145"/>
      <c r="AD2" s="1145"/>
      <c r="AE2" s="1145"/>
      <c r="AF2" s="1145"/>
      <c r="AG2" s="1145"/>
      <c r="AH2" s="1145"/>
      <c r="AI2" s="1145"/>
      <c r="AJ2" s="1145"/>
      <c r="AK2" s="1145"/>
      <c r="AL2" s="1145"/>
      <c r="AM2" s="1142"/>
      <c r="AN2" s="1142"/>
      <c r="AO2" s="1142"/>
      <c r="AP2" s="1142"/>
      <c r="AQ2" s="1142"/>
      <c r="AR2" s="1142"/>
      <c r="AS2" s="1142"/>
      <c r="AT2" s="1142"/>
      <c r="AU2" s="1142"/>
      <c r="AV2" s="1142"/>
      <c r="AW2" s="1142"/>
      <c r="AX2" s="1334"/>
      <c r="AY2" s="1334"/>
      <c r="AZ2" s="1334"/>
      <c r="BA2" s="1334"/>
      <c r="BB2" s="1334"/>
      <c r="BC2" s="1334"/>
      <c r="BD2" s="1334"/>
      <c r="BE2" s="1334"/>
    </row>
    <row r="3" spans="1:87" s="1594" customFormat="1" ht="15" customHeight="1">
      <c r="A3" s="3912" t="s">
        <v>49</v>
      </c>
      <c r="B3" s="3913"/>
      <c r="C3" s="3801" t="s">
        <v>50</v>
      </c>
      <c r="D3" s="3801" t="s">
        <v>51</v>
      </c>
      <c r="E3" s="3801" t="s">
        <v>52</v>
      </c>
      <c r="F3" s="3866" t="s">
        <v>4478</v>
      </c>
      <c r="G3" s="3866"/>
      <c r="H3" s="3866"/>
      <c r="I3" s="3866"/>
      <c r="J3" s="3866"/>
      <c r="K3" s="3894" t="s">
        <v>4484</v>
      </c>
      <c r="L3" s="3903"/>
      <c r="M3" s="3903"/>
      <c r="N3" s="3903"/>
      <c r="O3" s="3903"/>
      <c r="P3" s="3904"/>
      <c r="Q3" s="3905" t="s">
        <v>4514</v>
      </c>
      <c r="R3" s="3906"/>
    </row>
    <row r="4" spans="1:87" s="1284" customFormat="1" ht="60">
      <c r="A4" s="3921"/>
      <c r="B4" s="3922"/>
      <c r="C4" s="3801"/>
      <c r="D4" s="3801"/>
      <c r="E4" s="3801"/>
      <c r="F4" s="918" t="s">
        <v>4479</v>
      </c>
      <c r="G4" s="918" t="s">
        <v>4482</v>
      </c>
      <c r="H4" s="918" t="s">
        <v>4480</v>
      </c>
      <c r="I4" s="918" t="s">
        <v>4483</v>
      </c>
      <c r="J4" s="918" t="s">
        <v>2448</v>
      </c>
      <c r="K4" s="919" t="s">
        <v>53</v>
      </c>
      <c r="L4" s="919" t="s">
        <v>54</v>
      </c>
      <c r="M4" s="1228" t="s">
        <v>55</v>
      </c>
      <c r="N4" s="919" t="s">
        <v>56</v>
      </c>
      <c r="O4" s="1228" t="s">
        <v>57</v>
      </c>
      <c r="P4" s="919" t="s">
        <v>5069</v>
      </c>
      <c r="Q4" s="1595" t="s">
        <v>2450</v>
      </c>
      <c r="R4" s="1596" t="s">
        <v>4515</v>
      </c>
      <c r="S4" s="3105" t="s">
        <v>4538</v>
      </c>
      <c r="BB4" s="3153" t="s">
        <v>5973</v>
      </c>
      <c r="BC4" s="3153" t="s">
        <v>5432</v>
      </c>
      <c r="BD4" s="3153" t="s">
        <v>5433</v>
      </c>
      <c r="BE4" s="3153" t="s">
        <v>5434</v>
      </c>
      <c r="BF4" s="3153" t="s">
        <v>5435</v>
      </c>
      <c r="BG4" s="3153" t="s">
        <v>5436</v>
      </c>
      <c r="BH4" s="3153" t="s">
        <v>5437</v>
      </c>
      <c r="BI4" s="3153" t="s">
        <v>5959</v>
      </c>
      <c r="BJ4" s="3153" t="s">
        <v>5438</v>
      </c>
      <c r="BK4" s="3153" t="s">
        <v>5439</v>
      </c>
      <c r="BL4" s="3153" t="s">
        <v>5960</v>
      </c>
      <c r="BM4" s="3153" t="s">
        <v>5440</v>
      </c>
      <c r="BN4" s="3153" t="s">
        <v>5441</v>
      </c>
      <c r="BO4" s="3153" t="s">
        <v>5961</v>
      </c>
      <c r="BP4" s="3153" t="s">
        <v>5974</v>
      </c>
      <c r="BQ4" s="3153" t="s">
        <v>5975</v>
      </c>
      <c r="BR4" s="3153" t="s">
        <v>5976</v>
      </c>
      <c r="BS4" s="3153" t="s">
        <v>5977</v>
      </c>
      <c r="BT4" s="3153" t="s">
        <v>5978</v>
      </c>
      <c r="BU4" s="3153" t="s">
        <v>5979</v>
      </c>
      <c r="BV4" s="3153" t="s">
        <v>5962</v>
      </c>
      <c r="BW4" s="3153" t="s">
        <v>5963</v>
      </c>
      <c r="BX4" s="3153" t="s">
        <v>5964</v>
      </c>
      <c r="BY4" s="3153" t="s">
        <v>5965</v>
      </c>
      <c r="BZ4" s="3153" t="s">
        <v>5966</v>
      </c>
      <c r="CA4" s="3153" t="s">
        <v>5967</v>
      </c>
      <c r="CB4" s="3153" t="s">
        <v>5968</v>
      </c>
      <c r="CC4" s="3153" t="s">
        <v>5969</v>
      </c>
      <c r="CD4" s="3153" t="s">
        <v>5970</v>
      </c>
      <c r="CE4" s="3153" t="s">
        <v>5980</v>
      </c>
      <c r="CF4" s="3153" t="s">
        <v>5971</v>
      </c>
      <c r="CG4" s="3153" t="s">
        <v>5981</v>
      </c>
      <c r="CH4" s="3153" t="s">
        <v>5982</v>
      </c>
      <c r="CI4" s="3153" t="s">
        <v>5972</v>
      </c>
    </row>
    <row r="5" spans="1:87" s="1601" customFormat="1">
      <c r="A5" s="3970"/>
      <c r="B5" s="3970"/>
      <c r="C5" s="3970"/>
      <c r="D5" s="1597"/>
      <c r="E5" s="1597"/>
      <c r="F5" s="1598"/>
      <c r="G5" s="1598"/>
      <c r="H5" s="1598"/>
      <c r="I5" s="1598"/>
      <c r="J5" s="1598"/>
      <c r="K5" s="1598"/>
      <c r="L5" s="1598"/>
      <c r="M5" s="1599"/>
      <c r="N5" s="1598"/>
      <c r="O5" s="3028"/>
      <c r="P5" s="1600"/>
      <c r="Q5" s="1182"/>
      <c r="R5" s="3000"/>
      <c r="S5" s="1601">
        <v>0</v>
      </c>
      <c r="BB5" s="3250"/>
      <c r="BC5" s="3250"/>
      <c r="BD5" s="3250"/>
      <c r="BE5" s="3250"/>
      <c r="BF5" s="3250"/>
      <c r="BG5" s="3250"/>
      <c r="BH5" s="3250"/>
      <c r="BI5" s="3250"/>
      <c r="BJ5" s="3250"/>
      <c r="BK5" s="3250"/>
      <c r="BL5" s="3250"/>
      <c r="BM5" s="3250"/>
      <c r="BN5" s="3250"/>
      <c r="BO5" s="3250"/>
      <c r="BP5" s="3250"/>
      <c r="BQ5" s="3250"/>
      <c r="BR5" s="3250"/>
      <c r="BS5" s="3250"/>
      <c r="BT5" s="3250"/>
      <c r="BU5" s="3250"/>
      <c r="BV5" s="3250"/>
      <c r="BW5" s="3250"/>
      <c r="BX5" s="3250"/>
      <c r="BY5" s="3250"/>
      <c r="BZ5" s="3250"/>
      <c r="CA5" s="3250"/>
      <c r="CB5" s="3250"/>
      <c r="CC5" s="3250"/>
      <c r="CD5" s="3250"/>
      <c r="CE5" s="3250"/>
      <c r="CF5" s="3250"/>
      <c r="CG5" s="3250"/>
      <c r="CH5" s="3250"/>
      <c r="CI5" s="3250"/>
    </row>
    <row r="6" spans="1:87">
      <c r="A6" s="84">
        <v>11.4</v>
      </c>
      <c r="B6" s="928" t="s">
        <v>1337</v>
      </c>
      <c r="C6" s="84" t="s">
        <v>1338</v>
      </c>
      <c r="D6" s="929"/>
      <c r="E6" s="929"/>
      <c r="F6" s="1233"/>
      <c r="G6" s="1233"/>
      <c r="H6" s="1233"/>
      <c r="I6" s="1233"/>
      <c r="J6" s="1233"/>
      <c r="K6" s="1233"/>
      <c r="L6" s="1233"/>
      <c r="M6" s="1149"/>
      <c r="N6" s="1233"/>
      <c r="O6" s="1149">
        <f>SUM(O7:O9)</f>
        <v>52.7</v>
      </c>
      <c r="P6" s="995"/>
      <c r="Q6" s="1602"/>
      <c r="R6" s="3020">
        <f>SUM(R7:R9)</f>
        <v>52.7</v>
      </c>
      <c r="BB6" s="3251"/>
      <c r="BC6" s="3251"/>
      <c r="BD6" s="3251"/>
      <c r="BE6" s="3251"/>
      <c r="BF6" s="3251"/>
      <c r="BG6" s="3251"/>
      <c r="BH6" s="3251"/>
      <c r="BI6" s="3251"/>
      <c r="BJ6" s="3251"/>
      <c r="BK6" s="3251"/>
      <c r="BL6" s="3251"/>
      <c r="BM6" s="3251"/>
      <c r="BN6" s="3251"/>
      <c r="BO6" s="3251"/>
      <c r="BP6" s="3251"/>
      <c r="BQ6" s="3251"/>
      <c r="BR6" s="3251"/>
      <c r="BS6" s="3251"/>
      <c r="BT6" s="3251"/>
      <c r="BU6" s="3251"/>
      <c r="BV6" s="3251"/>
      <c r="BW6" s="3251"/>
      <c r="BX6" s="3251"/>
      <c r="BY6" s="3251"/>
      <c r="BZ6" s="3251"/>
      <c r="CA6" s="3251"/>
      <c r="CB6" s="3251"/>
      <c r="CC6" s="3251"/>
      <c r="CD6" s="3251"/>
      <c r="CE6" s="3251"/>
      <c r="CF6" s="3251"/>
      <c r="CG6" s="3251"/>
      <c r="CH6" s="3251"/>
      <c r="CI6" s="3251">
        <f>SUM(BB6:CH6)</f>
        <v>0</v>
      </c>
    </row>
    <row r="7" spans="1:87" s="1613" customFormat="1" ht="30">
      <c r="A7" s="1611" t="s">
        <v>1357</v>
      </c>
      <c r="B7" s="1004" t="s">
        <v>1339</v>
      </c>
      <c r="C7" s="1004" t="s">
        <v>1340</v>
      </c>
      <c r="D7" s="2476" t="s">
        <v>85</v>
      </c>
      <c r="E7" s="1170" t="s">
        <v>113</v>
      </c>
      <c r="F7" s="448">
        <v>1</v>
      </c>
      <c r="G7" s="448"/>
      <c r="H7" s="448">
        <v>78.45</v>
      </c>
      <c r="I7" s="448">
        <v>23.18</v>
      </c>
      <c r="J7" s="448">
        <v>55.27</v>
      </c>
      <c r="K7" s="449"/>
      <c r="L7" s="2477">
        <v>5270000</v>
      </c>
      <c r="M7" s="2261">
        <f>L7/100000</f>
        <v>52.7</v>
      </c>
      <c r="N7" s="283">
        <v>1</v>
      </c>
      <c r="O7" s="1612">
        <f>M7*N7</f>
        <v>52.7</v>
      </c>
      <c r="P7" s="2478" t="s">
        <v>5245</v>
      </c>
      <c r="Q7" s="2700" t="str">
        <f>'Ab1. RMNCH+A'!Q93</f>
        <v>Recommended for approval as per state proposal.</v>
      </c>
      <c r="R7" s="3029">
        <f>'Ab1. RMNCH+A'!R93</f>
        <v>52.7</v>
      </c>
      <c r="BB7" s="3252">
        <v>52.7</v>
      </c>
      <c r="BC7" s="3252"/>
      <c r="BD7" s="3252"/>
      <c r="BE7" s="3252"/>
      <c r="BF7" s="3252"/>
      <c r="BG7" s="3252"/>
      <c r="BH7" s="3252"/>
      <c r="BI7" s="3252"/>
      <c r="BJ7" s="3252"/>
      <c r="BK7" s="3252"/>
      <c r="BL7" s="3252"/>
      <c r="BM7" s="3252"/>
      <c r="BN7" s="3252"/>
      <c r="BO7" s="3252"/>
      <c r="BP7" s="3252"/>
      <c r="BQ7" s="3252"/>
      <c r="BR7" s="3252"/>
      <c r="BS7" s="3252"/>
      <c r="BT7" s="3252"/>
      <c r="BU7" s="3252"/>
      <c r="BV7" s="3252"/>
      <c r="BW7" s="3252"/>
      <c r="BX7" s="3252"/>
      <c r="BY7" s="3252"/>
      <c r="BZ7" s="3252"/>
      <c r="CA7" s="3252"/>
      <c r="CB7" s="3252"/>
      <c r="CC7" s="3252"/>
      <c r="CD7" s="3252"/>
      <c r="CE7" s="3252"/>
      <c r="CF7" s="3252"/>
      <c r="CG7" s="3252"/>
      <c r="CH7" s="3252"/>
      <c r="CI7" s="3251">
        <f t="shared" ref="CI7:CI70" si="0">SUM(BB7:CH7)</f>
        <v>52.7</v>
      </c>
    </row>
    <row r="8" spans="1:87">
      <c r="A8" s="1604" t="s">
        <v>1359</v>
      </c>
      <c r="B8" s="431" t="s">
        <v>1341</v>
      </c>
      <c r="C8" s="431" t="s">
        <v>1342</v>
      </c>
      <c r="D8" s="1582" t="s">
        <v>85</v>
      </c>
      <c r="E8" s="1177" t="s">
        <v>113</v>
      </c>
      <c r="F8" s="441">
        <v>0</v>
      </c>
      <c r="G8" s="441"/>
      <c r="H8" s="441">
        <v>0</v>
      </c>
      <c r="I8" s="441"/>
      <c r="J8" s="441"/>
      <c r="K8" s="442"/>
      <c r="L8" s="277"/>
      <c r="M8" s="281">
        <f>L8/100000</f>
        <v>0</v>
      </c>
      <c r="N8" s="277"/>
      <c r="O8" s="1605">
        <f>M8*N8</f>
        <v>0</v>
      </c>
      <c r="P8" s="765"/>
      <c r="Q8" s="1265" t="str">
        <f>'Ab1. RMNCH+A'!Q94</f>
        <v>-</v>
      </c>
      <c r="R8" s="2871">
        <f>'Ab1. RMNCH+A'!R94</f>
        <v>0</v>
      </c>
      <c r="BB8" s="3251"/>
      <c r="BC8" s="3251"/>
      <c r="BD8" s="3251"/>
      <c r="BE8" s="3251"/>
      <c r="BF8" s="3251"/>
      <c r="BG8" s="3251"/>
      <c r="BH8" s="3251"/>
      <c r="BI8" s="3251"/>
      <c r="BJ8" s="3251"/>
      <c r="BK8" s="3251"/>
      <c r="BL8" s="3251"/>
      <c r="BM8" s="3251"/>
      <c r="BN8" s="3251"/>
      <c r="BO8" s="3251"/>
      <c r="BP8" s="3251"/>
      <c r="BQ8" s="3251"/>
      <c r="BR8" s="3251"/>
      <c r="BS8" s="3251"/>
      <c r="BT8" s="3251"/>
      <c r="BU8" s="3251"/>
      <c r="BV8" s="3251"/>
      <c r="BW8" s="3251"/>
      <c r="BX8" s="3251"/>
      <c r="BY8" s="3251"/>
      <c r="BZ8" s="3251"/>
      <c r="CA8" s="3251"/>
      <c r="CB8" s="3251"/>
      <c r="CC8" s="3251"/>
      <c r="CD8" s="3251"/>
      <c r="CE8" s="3251"/>
      <c r="CF8" s="3251"/>
      <c r="CG8" s="3251"/>
      <c r="CH8" s="3251"/>
      <c r="CI8" s="3251">
        <f t="shared" si="0"/>
        <v>0</v>
      </c>
    </row>
    <row r="9" spans="1:87">
      <c r="A9" s="1604" t="s">
        <v>1361</v>
      </c>
      <c r="B9" s="1004"/>
      <c r="C9" s="431" t="s">
        <v>1343</v>
      </c>
      <c r="D9" s="1582" t="s">
        <v>85</v>
      </c>
      <c r="E9" s="1177" t="s">
        <v>113</v>
      </c>
      <c r="F9" s="441">
        <v>0</v>
      </c>
      <c r="G9" s="441"/>
      <c r="H9" s="441">
        <v>0</v>
      </c>
      <c r="I9" s="441"/>
      <c r="J9" s="441"/>
      <c r="K9" s="155"/>
      <c r="L9" s="277"/>
      <c r="M9" s="281">
        <f>L9/100000</f>
        <v>0</v>
      </c>
      <c r="N9" s="277"/>
      <c r="O9" s="1605">
        <f>M9*N9</f>
        <v>0</v>
      </c>
      <c r="P9" s="765"/>
      <c r="Q9" s="1265" t="str">
        <f>'Ab1. RMNCH+A'!Q95</f>
        <v>-</v>
      </c>
      <c r="R9" s="2871">
        <f>'Ab1. RMNCH+A'!R95</f>
        <v>0</v>
      </c>
      <c r="BB9" s="3251"/>
      <c r="BC9" s="3251"/>
      <c r="BD9" s="3251"/>
      <c r="BE9" s="3251"/>
      <c r="BF9" s="3251"/>
      <c r="BG9" s="3251"/>
      <c r="BH9" s="3251"/>
      <c r="BI9" s="3251"/>
      <c r="BJ9" s="3251"/>
      <c r="BK9" s="3251"/>
      <c r="BL9" s="3251"/>
      <c r="BM9" s="3251"/>
      <c r="BN9" s="3251"/>
      <c r="BO9" s="3251"/>
      <c r="BP9" s="3251"/>
      <c r="BQ9" s="3251"/>
      <c r="BR9" s="3251"/>
      <c r="BS9" s="3251"/>
      <c r="BT9" s="3251"/>
      <c r="BU9" s="3251"/>
      <c r="BV9" s="3251"/>
      <c r="BW9" s="3251"/>
      <c r="BX9" s="3251"/>
      <c r="BY9" s="3251"/>
      <c r="BZ9" s="3251"/>
      <c r="CA9" s="3251"/>
      <c r="CB9" s="3251"/>
      <c r="CC9" s="3251"/>
      <c r="CD9" s="3251"/>
      <c r="CE9" s="3251"/>
      <c r="CF9" s="3251"/>
      <c r="CG9" s="3251"/>
      <c r="CH9" s="3251"/>
      <c r="CI9" s="3251">
        <f t="shared" si="0"/>
        <v>0</v>
      </c>
    </row>
    <row r="10" spans="1:87">
      <c r="A10" s="84">
        <v>11.5</v>
      </c>
      <c r="B10" s="928" t="s">
        <v>1344</v>
      </c>
      <c r="C10" s="84" t="s">
        <v>1345</v>
      </c>
      <c r="D10" s="929"/>
      <c r="E10" s="929"/>
      <c r="F10" s="335"/>
      <c r="G10" s="335"/>
      <c r="H10" s="335"/>
      <c r="I10" s="335"/>
      <c r="J10" s="335"/>
      <c r="K10" s="335"/>
      <c r="L10" s="335"/>
      <c r="M10" s="1149"/>
      <c r="N10" s="335"/>
      <c r="O10" s="1149">
        <f>SUM(O11:O14)</f>
        <v>52.7</v>
      </c>
      <c r="P10" s="705"/>
      <c r="Q10" s="1602"/>
      <c r="R10" s="3020">
        <f>SUM(R11:R14)</f>
        <v>52.7</v>
      </c>
      <c r="BB10" s="3251"/>
      <c r="BC10" s="3251"/>
      <c r="BD10" s="3251"/>
      <c r="BE10" s="3251"/>
      <c r="BF10" s="3251"/>
      <c r="BG10" s="3251"/>
      <c r="BH10" s="3251"/>
      <c r="BI10" s="3251"/>
      <c r="BJ10" s="3251"/>
      <c r="BK10" s="3251"/>
      <c r="BL10" s="3251"/>
      <c r="BM10" s="3251"/>
      <c r="BN10" s="3251"/>
      <c r="BO10" s="3251"/>
      <c r="BP10" s="3251"/>
      <c r="BQ10" s="3251"/>
      <c r="BR10" s="3251"/>
      <c r="BS10" s="3251"/>
      <c r="BT10" s="3251"/>
      <c r="BU10" s="3251"/>
      <c r="BV10" s="3251"/>
      <c r="BW10" s="3251"/>
      <c r="BX10" s="3251"/>
      <c r="BY10" s="3251"/>
      <c r="BZ10" s="3251"/>
      <c r="CA10" s="3251"/>
      <c r="CB10" s="3251"/>
      <c r="CC10" s="3251"/>
      <c r="CD10" s="3251"/>
      <c r="CE10" s="3251"/>
      <c r="CF10" s="3251"/>
      <c r="CG10" s="3251"/>
      <c r="CH10" s="3251"/>
      <c r="CI10" s="3251">
        <f t="shared" si="0"/>
        <v>0</v>
      </c>
    </row>
    <row r="11" spans="1:87" s="1613" customFormat="1" ht="45">
      <c r="A11" s="1611" t="s">
        <v>1363</v>
      </c>
      <c r="B11" s="1004" t="s">
        <v>1346</v>
      </c>
      <c r="C11" s="1004" t="s">
        <v>1340</v>
      </c>
      <c r="D11" s="2476" t="s">
        <v>85</v>
      </c>
      <c r="E11" s="1170" t="s">
        <v>126</v>
      </c>
      <c r="F11" s="448">
        <v>1</v>
      </c>
      <c r="G11" s="448"/>
      <c r="H11" s="448">
        <v>78.45</v>
      </c>
      <c r="I11" s="448">
        <v>54.24</v>
      </c>
      <c r="J11" s="448">
        <v>24.21</v>
      </c>
      <c r="K11" s="449"/>
      <c r="L11" s="2477">
        <v>5270000</v>
      </c>
      <c r="M11" s="2261">
        <f>L11/100000</f>
        <v>52.7</v>
      </c>
      <c r="N11" s="283">
        <v>1</v>
      </c>
      <c r="O11" s="1612">
        <f>M11*N11</f>
        <v>52.7</v>
      </c>
      <c r="P11" s="2478" t="s">
        <v>5245</v>
      </c>
      <c r="Q11" s="2700" t="str">
        <f>'Ab1. RMNCH+A'!Q176</f>
        <v xml:space="preserve">IEC Activity of NB, SAANS and CDR is recommended for approval as per state proposal. </v>
      </c>
      <c r="R11" s="3029">
        <f>'Ab1. RMNCH+A'!R176</f>
        <v>52.7</v>
      </c>
      <c r="BB11" s="3252">
        <v>52.7</v>
      </c>
      <c r="BC11" s="3252"/>
      <c r="BD11" s="3252"/>
      <c r="BE11" s="3252"/>
      <c r="BF11" s="3252"/>
      <c r="BG11" s="3252"/>
      <c r="BH11" s="3252"/>
      <c r="BI11" s="3252"/>
      <c r="BJ11" s="3252"/>
      <c r="BK11" s="3252"/>
      <c r="BL11" s="3252"/>
      <c r="BM11" s="3252"/>
      <c r="BN11" s="3252"/>
      <c r="BO11" s="3252"/>
      <c r="BP11" s="3252"/>
      <c r="BQ11" s="3252"/>
      <c r="BR11" s="3252"/>
      <c r="BS11" s="3252"/>
      <c r="BT11" s="3252"/>
      <c r="BU11" s="3252"/>
      <c r="BV11" s="3252"/>
      <c r="BW11" s="3252"/>
      <c r="BX11" s="3252"/>
      <c r="BY11" s="3252"/>
      <c r="BZ11" s="3252"/>
      <c r="CA11" s="3252"/>
      <c r="CB11" s="3252"/>
      <c r="CC11" s="3252"/>
      <c r="CD11" s="3252"/>
      <c r="CE11" s="3252"/>
      <c r="CF11" s="3252"/>
      <c r="CG11" s="3252"/>
      <c r="CH11" s="3252"/>
      <c r="CI11" s="3251">
        <f t="shared" si="0"/>
        <v>52.7</v>
      </c>
    </row>
    <row r="12" spans="1:87">
      <c r="A12" s="1604" t="s">
        <v>2414</v>
      </c>
      <c r="B12" s="431" t="s">
        <v>1347</v>
      </c>
      <c r="C12" s="431" t="s">
        <v>1342</v>
      </c>
      <c r="D12" s="1582" t="s">
        <v>85</v>
      </c>
      <c r="E12" s="1177" t="s">
        <v>126</v>
      </c>
      <c r="F12" s="441">
        <v>0</v>
      </c>
      <c r="G12" s="441"/>
      <c r="H12" s="441">
        <v>0</v>
      </c>
      <c r="I12" s="441"/>
      <c r="J12" s="441"/>
      <c r="K12" s="442"/>
      <c r="L12" s="277"/>
      <c r="M12" s="281">
        <f>L12/100000</f>
        <v>0</v>
      </c>
      <c r="N12" s="277"/>
      <c r="O12" s="1605">
        <f>M12*N12</f>
        <v>0</v>
      </c>
      <c r="P12" s="766"/>
      <c r="Q12" s="1265" t="str">
        <f>'Ab1. RMNCH+A'!Q177</f>
        <v>-</v>
      </c>
      <c r="R12" s="2871">
        <f>'Ab1. RMNCH+A'!R177</f>
        <v>0</v>
      </c>
      <c r="BB12" s="3251"/>
      <c r="BC12" s="3251"/>
      <c r="BD12" s="3251"/>
      <c r="BE12" s="3251"/>
      <c r="BF12" s="3251"/>
      <c r="BG12" s="3251"/>
      <c r="BH12" s="3251"/>
      <c r="BI12" s="3251"/>
      <c r="BJ12" s="3251"/>
      <c r="BK12" s="3251"/>
      <c r="BL12" s="3251"/>
      <c r="BM12" s="3251"/>
      <c r="BN12" s="3251"/>
      <c r="BO12" s="3251"/>
      <c r="BP12" s="3251"/>
      <c r="BQ12" s="3251"/>
      <c r="BR12" s="3251"/>
      <c r="BS12" s="3251"/>
      <c r="BT12" s="3251"/>
      <c r="BU12" s="3251"/>
      <c r="BV12" s="3251"/>
      <c r="BW12" s="3251"/>
      <c r="BX12" s="3251"/>
      <c r="BY12" s="3251"/>
      <c r="BZ12" s="3251"/>
      <c r="CA12" s="3251"/>
      <c r="CB12" s="3251"/>
      <c r="CC12" s="3251"/>
      <c r="CD12" s="3251"/>
      <c r="CE12" s="3251"/>
      <c r="CF12" s="3251"/>
      <c r="CG12" s="3251"/>
      <c r="CH12" s="3251"/>
      <c r="CI12" s="3251">
        <f t="shared" si="0"/>
        <v>0</v>
      </c>
    </row>
    <row r="13" spans="1:87">
      <c r="A13" s="1604" t="s">
        <v>2415</v>
      </c>
      <c r="B13" s="1004"/>
      <c r="C13" s="431" t="s">
        <v>2380</v>
      </c>
      <c r="D13" s="1582" t="s">
        <v>85</v>
      </c>
      <c r="E13" s="1177" t="s">
        <v>126</v>
      </c>
      <c r="F13" s="441">
        <v>0</v>
      </c>
      <c r="G13" s="441"/>
      <c r="H13" s="441">
        <v>0</v>
      </c>
      <c r="I13" s="441"/>
      <c r="J13" s="441"/>
      <c r="K13" s="442"/>
      <c r="L13" s="277"/>
      <c r="M13" s="281">
        <f>L13/100000</f>
        <v>0</v>
      </c>
      <c r="N13" s="277"/>
      <c r="O13" s="1605">
        <f>M13*N13</f>
        <v>0</v>
      </c>
      <c r="P13" s="767"/>
      <c r="Q13" s="1265" t="str">
        <f>'Ab1. RMNCH+A'!Q178</f>
        <v>-</v>
      </c>
      <c r="R13" s="2871">
        <f>'Ab1. RMNCH+A'!R178</f>
        <v>0</v>
      </c>
      <c r="BB13" s="3251"/>
      <c r="BC13" s="3251"/>
      <c r="BD13" s="3251"/>
      <c r="BE13" s="3251"/>
      <c r="BF13" s="3251"/>
      <c r="BG13" s="3251"/>
      <c r="BH13" s="3251"/>
      <c r="BI13" s="3251"/>
      <c r="BJ13" s="3251"/>
      <c r="BK13" s="3251"/>
      <c r="BL13" s="3251"/>
      <c r="BM13" s="3251"/>
      <c r="BN13" s="3251"/>
      <c r="BO13" s="3251"/>
      <c r="BP13" s="3251"/>
      <c r="BQ13" s="3251"/>
      <c r="BR13" s="3251"/>
      <c r="BS13" s="3251"/>
      <c r="BT13" s="3251"/>
      <c r="BU13" s="3251"/>
      <c r="BV13" s="3251"/>
      <c r="BW13" s="3251"/>
      <c r="BX13" s="3251"/>
      <c r="BY13" s="3251"/>
      <c r="BZ13" s="3251"/>
      <c r="CA13" s="3251"/>
      <c r="CB13" s="3251"/>
      <c r="CC13" s="3251"/>
      <c r="CD13" s="3251"/>
      <c r="CE13" s="3251"/>
      <c r="CF13" s="3251"/>
      <c r="CG13" s="3251"/>
      <c r="CH13" s="3251"/>
      <c r="CI13" s="3251">
        <f t="shared" si="0"/>
        <v>0</v>
      </c>
    </row>
    <row r="14" spans="1:87" ht="30">
      <c r="A14" s="1604" t="s">
        <v>2416</v>
      </c>
      <c r="B14" s="1004"/>
      <c r="C14" s="431" t="s">
        <v>4225</v>
      </c>
      <c r="D14" s="1582" t="s">
        <v>85</v>
      </c>
      <c r="E14" s="1177" t="s">
        <v>126</v>
      </c>
      <c r="F14" s="441">
        <v>0</v>
      </c>
      <c r="G14" s="441"/>
      <c r="H14" s="441">
        <v>0</v>
      </c>
      <c r="I14" s="441"/>
      <c r="J14" s="441"/>
      <c r="K14" s="443"/>
      <c r="L14" s="277"/>
      <c r="M14" s="281">
        <f>L14/100000</f>
        <v>0</v>
      </c>
      <c r="N14" s="277"/>
      <c r="O14" s="1605">
        <f>M14*N14</f>
        <v>0</v>
      </c>
      <c r="P14" s="766"/>
      <c r="Q14" s="1265" t="str">
        <f>'Ab1. RMNCH+A'!Q179</f>
        <v>-</v>
      </c>
      <c r="R14" s="2871">
        <f>'Ab1. RMNCH+A'!R179</f>
        <v>0</v>
      </c>
      <c r="BB14" s="3251"/>
      <c r="BC14" s="3251"/>
      <c r="BD14" s="3251"/>
      <c r="BE14" s="3251"/>
      <c r="BF14" s="3251"/>
      <c r="BG14" s="3251"/>
      <c r="BH14" s="3251"/>
      <c r="BI14" s="3251"/>
      <c r="BJ14" s="3251"/>
      <c r="BK14" s="3251"/>
      <c r="BL14" s="3251"/>
      <c r="BM14" s="3251"/>
      <c r="BN14" s="3251"/>
      <c r="BO14" s="3251"/>
      <c r="BP14" s="3251"/>
      <c r="BQ14" s="3251"/>
      <c r="BR14" s="3251"/>
      <c r="BS14" s="3251"/>
      <c r="BT14" s="3251"/>
      <c r="BU14" s="3251"/>
      <c r="BV14" s="3251"/>
      <c r="BW14" s="3251"/>
      <c r="BX14" s="3251"/>
      <c r="BY14" s="3251"/>
      <c r="BZ14" s="3251"/>
      <c r="CA14" s="3251"/>
      <c r="CB14" s="3251"/>
      <c r="CC14" s="3251"/>
      <c r="CD14" s="3251"/>
      <c r="CE14" s="3251"/>
      <c r="CF14" s="3251"/>
      <c r="CG14" s="3251"/>
      <c r="CH14" s="3251"/>
      <c r="CI14" s="3251">
        <f t="shared" si="0"/>
        <v>0</v>
      </c>
    </row>
    <row r="15" spans="1:87">
      <c r="A15" s="84">
        <v>11.6</v>
      </c>
      <c r="B15" s="928" t="s">
        <v>1348</v>
      </c>
      <c r="C15" s="84" t="s">
        <v>1349</v>
      </c>
      <c r="D15" s="929"/>
      <c r="E15" s="929"/>
      <c r="F15" s="335"/>
      <c r="G15" s="335"/>
      <c r="H15" s="335"/>
      <c r="I15" s="335"/>
      <c r="J15" s="335"/>
      <c r="K15" s="335"/>
      <c r="L15" s="335"/>
      <c r="M15" s="1149"/>
      <c r="N15" s="335"/>
      <c r="O15" s="1149">
        <f>SUM(O16:O21)</f>
        <v>58.460480000000004</v>
      </c>
      <c r="P15" s="705"/>
      <c r="Q15" s="1602"/>
      <c r="R15" s="3020">
        <f>SUM(R16:R21)</f>
        <v>58.460000000000008</v>
      </c>
      <c r="BB15" s="3251"/>
      <c r="BC15" s="3251"/>
      <c r="BD15" s="3251"/>
      <c r="BE15" s="3251"/>
      <c r="BF15" s="3251"/>
      <c r="BG15" s="3251"/>
      <c r="BH15" s="3251"/>
      <c r="BI15" s="3251"/>
      <c r="BJ15" s="3251"/>
      <c r="BK15" s="3251"/>
      <c r="BL15" s="3251"/>
      <c r="BM15" s="3251"/>
      <c r="BN15" s="3251"/>
      <c r="BO15" s="3251"/>
      <c r="BP15" s="3251"/>
      <c r="BQ15" s="3251"/>
      <c r="BR15" s="3251"/>
      <c r="BS15" s="3251"/>
      <c r="BT15" s="3251"/>
      <c r="BU15" s="3251"/>
      <c r="BV15" s="3251"/>
      <c r="BW15" s="3251"/>
      <c r="BX15" s="3251"/>
      <c r="BY15" s="3251"/>
      <c r="BZ15" s="3251"/>
      <c r="CA15" s="3251"/>
      <c r="CB15" s="3251"/>
      <c r="CC15" s="3251"/>
      <c r="CD15" s="3251"/>
      <c r="CE15" s="3251"/>
      <c r="CF15" s="3251"/>
      <c r="CG15" s="3251"/>
      <c r="CH15" s="3251"/>
      <c r="CI15" s="3251">
        <f t="shared" si="0"/>
        <v>0</v>
      </c>
    </row>
    <row r="16" spans="1:87" s="1613" customFormat="1" ht="30">
      <c r="A16" s="1611" t="s">
        <v>1366</v>
      </c>
      <c r="B16" s="1004" t="s">
        <v>1350</v>
      </c>
      <c r="C16" s="1004" t="s">
        <v>1340</v>
      </c>
      <c r="D16" s="2476" t="s">
        <v>85</v>
      </c>
      <c r="E16" s="1170" t="s">
        <v>86</v>
      </c>
      <c r="F16" s="611">
        <v>1</v>
      </c>
      <c r="G16" s="611"/>
      <c r="H16" s="448">
        <v>78.45</v>
      </c>
      <c r="I16" s="448">
        <v>19.100000000000001</v>
      </c>
      <c r="J16" s="448">
        <v>59.35</v>
      </c>
      <c r="K16" s="2375"/>
      <c r="L16" s="2477">
        <v>5270000</v>
      </c>
      <c r="M16" s="2261">
        <f t="shared" ref="M16:M21" si="1">L16/100000</f>
        <v>52.7</v>
      </c>
      <c r="N16" s="283">
        <v>1</v>
      </c>
      <c r="O16" s="1612">
        <f t="shared" ref="O16:O21" si="2">M16*N16</f>
        <v>52.7</v>
      </c>
      <c r="P16" s="2478" t="s">
        <v>5245</v>
      </c>
      <c r="Q16" s="2700" t="str">
        <f>'Ab1. RMNCH+A'!Q271</f>
        <v>Recommended for approval as per state proposal.</v>
      </c>
      <c r="R16" s="3029">
        <f>'Ab1. RMNCH+A'!R271</f>
        <v>52.7</v>
      </c>
      <c r="BB16" s="3252">
        <v>52.7</v>
      </c>
      <c r="BC16" s="3252"/>
      <c r="BD16" s="3252"/>
      <c r="BE16" s="3252"/>
      <c r="BF16" s="3252"/>
      <c r="BG16" s="3252"/>
      <c r="BH16" s="3252"/>
      <c r="BI16" s="3252"/>
      <c r="BJ16" s="3252"/>
      <c r="BK16" s="3252"/>
      <c r="BL16" s="3252"/>
      <c r="BM16" s="3252"/>
      <c r="BN16" s="3252"/>
      <c r="BO16" s="3252"/>
      <c r="BP16" s="3252"/>
      <c r="BQ16" s="3252"/>
      <c r="BR16" s="3252"/>
      <c r="BS16" s="3252"/>
      <c r="BT16" s="3252"/>
      <c r="BU16" s="3252"/>
      <c r="BV16" s="3252"/>
      <c r="BW16" s="3252"/>
      <c r="BX16" s="3252"/>
      <c r="BY16" s="3252"/>
      <c r="BZ16" s="3252"/>
      <c r="CA16" s="3252"/>
      <c r="CB16" s="3252"/>
      <c r="CC16" s="3252"/>
      <c r="CD16" s="3252"/>
      <c r="CE16" s="3252"/>
      <c r="CF16" s="3252"/>
      <c r="CG16" s="3252"/>
      <c r="CH16" s="3252"/>
      <c r="CI16" s="3251">
        <f t="shared" si="0"/>
        <v>52.7</v>
      </c>
    </row>
    <row r="17" spans="1:87">
      <c r="A17" s="1604" t="s">
        <v>2417</v>
      </c>
      <c r="B17" s="431" t="s">
        <v>1351</v>
      </c>
      <c r="C17" s="431" t="s">
        <v>1342</v>
      </c>
      <c r="D17" s="1582" t="s">
        <v>85</v>
      </c>
      <c r="E17" s="1177" t="s">
        <v>86</v>
      </c>
      <c r="F17" s="441">
        <v>0</v>
      </c>
      <c r="G17" s="441"/>
      <c r="H17" s="441">
        <v>0</v>
      </c>
      <c r="I17" s="441"/>
      <c r="J17" s="441"/>
      <c r="K17" s="442"/>
      <c r="L17" s="277"/>
      <c r="M17" s="281">
        <f t="shared" si="1"/>
        <v>0</v>
      </c>
      <c r="N17" s="277"/>
      <c r="O17" s="1605">
        <f t="shared" si="2"/>
        <v>0</v>
      </c>
      <c r="P17" s="769"/>
      <c r="Q17" s="1265" t="str">
        <f>'Ab1. RMNCH+A'!Q272</f>
        <v>--</v>
      </c>
      <c r="R17" s="2871">
        <f>'Ab1. RMNCH+A'!R272</f>
        <v>0</v>
      </c>
      <c r="BB17" s="3251"/>
      <c r="BC17" s="3251"/>
      <c r="BD17" s="3251"/>
      <c r="BE17" s="3251"/>
      <c r="BF17" s="3251"/>
      <c r="BG17" s="3251"/>
      <c r="BH17" s="3251"/>
      <c r="BI17" s="3251"/>
      <c r="BJ17" s="3251"/>
      <c r="BK17" s="3251"/>
      <c r="BL17" s="3251"/>
      <c r="BM17" s="3251"/>
      <c r="BN17" s="3251"/>
      <c r="BO17" s="3251"/>
      <c r="BP17" s="3251"/>
      <c r="BQ17" s="3251"/>
      <c r="BR17" s="3251"/>
      <c r="BS17" s="3251"/>
      <c r="BT17" s="3251"/>
      <c r="BU17" s="3251"/>
      <c r="BV17" s="3251"/>
      <c r="BW17" s="3251"/>
      <c r="BX17" s="3251"/>
      <c r="BY17" s="3251"/>
      <c r="BZ17" s="3251"/>
      <c r="CA17" s="3251"/>
      <c r="CB17" s="3251"/>
      <c r="CC17" s="3251"/>
      <c r="CD17" s="3251"/>
      <c r="CE17" s="3251"/>
      <c r="CF17" s="3251"/>
      <c r="CG17" s="3251"/>
      <c r="CH17" s="3251"/>
      <c r="CI17" s="3251">
        <f t="shared" si="0"/>
        <v>0</v>
      </c>
    </row>
    <row r="18" spans="1:87" s="1613" customFormat="1" ht="90">
      <c r="A18" s="1611" t="s">
        <v>2418</v>
      </c>
      <c r="B18" s="1004" t="s">
        <v>1352</v>
      </c>
      <c r="C18" s="1621" t="s">
        <v>2402</v>
      </c>
      <c r="D18" s="2476" t="s">
        <v>85</v>
      </c>
      <c r="E18" s="1170" t="s">
        <v>86</v>
      </c>
      <c r="F18" s="611">
        <v>88</v>
      </c>
      <c r="G18" s="611"/>
      <c r="H18" s="2302">
        <v>2.88</v>
      </c>
      <c r="I18" s="2579">
        <v>1.05</v>
      </c>
      <c r="J18" s="2580">
        <v>1.83</v>
      </c>
      <c r="K18" s="2581">
        <v>1</v>
      </c>
      <c r="L18" s="2536">
        <v>3273</v>
      </c>
      <c r="M18" s="2261">
        <f t="shared" si="1"/>
        <v>3.2730000000000002E-2</v>
      </c>
      <c r="N18" s="2536">
        <v>88</v>
      </c>
      <c r="O18" s="1612">
        <f t="shared" si="2"/>
        <v>2.8802400000000001</v>
      </c>
      <c r="P18" s="2582" t="s">
        <v>5473</v>
      </c>
      <c r="Q18" s="2300" t="str">
        <f>'Ab1. RMNCH+A'!Q273</f>
        <v>Ongoing activity :Rs 2.88 lakhs is recommended for approval for IEC promotional activities for World Population day Celeberation (12 Districts @ Rs.5000 + 76 Blocks @ Rs.3000)</v>
      </c>
      <c r="R18" s="3021">
        <f>'Ab1. RMNCH+A'!R273</f>
        <v>2.88</v>
      </c>
      <c r="BB18" s="3252">
        <v>1.76</v>
      </c>
      <c r="BC18" s="3252">
        <f>(3000*1+1000*4)/100000</f>
        <v>7.0000000000000007E-2</v>
      </c>
      <c r="BD18" s="3252">
        <f>(3000*1+1000*7)/100000</f>
        <v>0.1</v>
      </c>
      <c r="BE18" s="3252">
        <f>(3000*1+1000*6)/100000</f>
        <v>0.09</v>
      </c>
      <c r="BF18" s="3252">
        <f>(3000*1+1000*13)/100000</f>
        <v>0.16</v>
      </c>
      <c r="BG18" s="3252">
        <f>(3000*1+1000*3)/100000</f>
        <v>0.06</v>
      </c>
      <c r="BH18" s="3252">
        <f>(3000*1+1000*5)/100000</f>
        <v>0.08</v>
      </c>
      <c r="BI18" s="3252">
        <f>(3000*1+1000*2)/100000</f>
        <v>0.05</v>
      </c>
      <c r="BJ18" s="3252">
        <f>(3000*1+1000*11)/100000</f>
        <v>0.14000000000000001</v>
      </c>
      <c r="BK18" s="3252">
        <f>(3000*1+1000*10)/100000</f>
        <v>0.13</v>
      </c>
      <c r="BL18" s="3252">
        <f>(3000*1+1000*5)/100000</f>
        <v>0.08</v>
      </c>
      <c r="BM18" s="3252">
        <f>(3000*1+1000*5)/100000</f>
        <v>0.08</v>
      </c>
      <c r="BN18" s="3252">
        <f>(3000*1+1000*5)/100000</f>
        <v>0.08</v>
      </c>
      <c r="BO18" s="3252"/>
      <c r="BP18" s="3252"/>
      <c r="BQ18" s="3252"/>
      <c r="BR18" s="3252"/>
      <c r="BS18" s="3252"/>
      <c r="BT18" s="3252"/>
      <c r="BU18" s="3252"/>
      <c r="BV18" s="3252"/>
      <c r="BW18" s="3252"/>
      <c r="BX18" s="3252"/>
      <c r="BY18" s="3252"/>
      <c r="BZ18" s="3252"/>
      <c r="CA18" s="3252"/>
      <c r="CB18" s="3252"/>
      <c r="CC18" s="3252"/>
      <c r="CD18" s="3252"/>
      <c r="CE18" s="3252"/>
      <c r="CF18" s="3252"/>
      <c r="CG18" s="3252"/>
      <c r="CH18" s="3252"/>
      <c r="CI18" s="3251">
        <f t="shared" si="0"/>
        <v>2.8800000000000003</v>
      </c>
    </row>
    <row r="19" spans="1:87" s="1613" customFormat="1" ht="93.75">
      <c r="A19" s="1611" t="s">
        <v>2419</v>
      </c>
      <c r="B19" s="1004" t="s">
        <v>1353</v>
      </c>
      <c r="C19" s="1004" t="s">
        <v>2403</v>
      </c>
      <c r="D19" s="2476" t="s">
        <v>85</v>
      </c>
      <c r="E19" s="1170" t="s">
        <v>86</v>
      </c>
      <c r="F19" s="611">
        <v>88</v>
      </c>
      <c r="G19" s="611"/>
      <c r="H19" s="2302">
        <v>2.88</v>
      </c>
      <c r="I19" s="2579">
        <v>0.05</v>
      </c>
      <c r="J19" s="2580">
        <v>2.83</v>
      </c>
      <c r="K19" s="2581">
        <v>1</v>
      </c>
      <c r="L19" s="2536">
        <v>3273</v>
      </c>
      <c r="M19" s="2261">
        <f t="shared" si="1"/>
        <v>3.2730000000000002E-2</v>
      </c>
      <c r="N19" s="2536">
        <v>88</v>
      </c>
      <c r="O19" s="1612">
        <f t="shared" si="2"/>
        <v>2.8802400000000001</v>
      </c>
      <c r="P19" s="2582" t="s">
        <v>5333</v>
      </c>
      <c r="Q19" s="2300" t="str">
        <f>'Ab1. RMNCH+A'!Q274</f>
        <v>Ongoing activity : Rs 2.88 lakhs is recommended for approval for IEC promotional activities for Vasectomoy Fortnight   Celeberation (12 Districts @ Rs. 5000 + 76 Blocks @ Rs. 3000)</v>
      </c>
      <c r="R19" s="3021">
        <f>'Ab1. RMNCH+A'!R274</f>
        <v>2.88</v>
      </c>
      <c r="BB19" s="3252"/>
      <c r="BC19" s="3252">
        <v>0.1</v>
      </c>
      <c r="BD19" s="3252">
        <v>0.3</v>
      </c>
      <c r="BE19" s="3252">
        <v>0.2</v>
      </c>
      <c r="BF19" s="3252">
        <v>0.5</v>
      </c>
      <c r="BG19" s="3252">
        <v>0.05</v>
      </c>
      <c r="BH19" s="3252">
        <v>0.23</v>
      </c>
      <c r="BI19" s="3252">
        <v>0.05</v>
      </c>
      <c r="BJ19" s="3252">
        <v>0.5</v>
      </c>
      <c r="BK19" s="3252">
        <v>0.25</v>
      </c>
      <c r="BL19" s="3252">
        <v>0.25</v>
      </c>
      <c r="BM19" s="3252">
        <v>0.25</v>
      </c>
      <c r="BN19" s="3252">
        <v>0.2</v>
      </c>
      <c r="BO19" s="3252"/>
      <c r="BP19" s="3252"/>
      <c r="BQ19" s="3252"/>
      <c r="BR19" s="3252"/>
      <c r="BS19" s="3252"/>
      <c r="BT19" s="3252"/>
      <c r="BU19" s="3252"/>
      <c r="BV19" s="3252"/>
      <c r="BW19" s="3252"/>
      <c r="BX19" s="3252"/>
      <c r="BY19" s="3252"/>
      <c r="BZ19" s="3252"/>
      <c r="CA19" s="3252"/>
      <c r="CB19" s="3252"/>
      <c r="CC19" s="3252"/>
      <c r="CD19" s="3252"/>
      <c r="CE19" s="3252"/>
      <c r="CF19" s="3252"/>
      <c r="CG19" s="3252"/>
      <c r="CH19" s="3252"/>
      <c r="CI19" s="3251">
        <f t="shared" si="0"/>
        <v>2.8800000000000003</v>
      </c>
    </row>
    <row r="20" spans="1:87" ht="30">
      <c r="A20" s="1604" t="s">
        <v>2420</v>
      </c>
      <c r="B20" s="1014" t="s">
        <v>1354</v>
      </c>
      <c r="C20" s="431" t="s">
        <v>1355</v>
      </c>
      <c r="D20" s="1582" t="s">
        <v>85</v>
      </c>
      <c r="E20" s="1177" t="s">
        <v>86</v>
      </c>
      <c r="F20" s="444">
        <v>0</v>
      </c>
      <c r="G20" s="444"/>
      <c r="H20" s="445">
        <v>0</v>
      </c>
      <c r="I20" s="445"/>
      <c r="J20" s="441"/>
      <c r="K20" s="446"/>
      <c r="L20" s="277"/>
      <c r="M20" s="281">
        <f t="shared" si="1"/>
        <v>0</v>
      </c>
      <c r="N20" s="277"/>
      <c r="O20" s="1605">
        <f t="shared" si="2"/>
        <v>0</v>
      </c>
      <c r="P20" s="768"/>
      <c r="Q20" s="1265" t="str">
        <f>'Ab1. RMNCH+A'!Q275</f>
        <v>--</v>
      </c>
      <c r="R20" s="2871">
        <f>'Ab1. RMNCH+A'!R275</f>
        <v>0</v>
      </c>
      <c r="BB20" s="3251"/>
      <c r="BC20" s="3251"/>
      <c r="BD20" s="3251"/>
      <c r="BE20" s="3251"/>
      <c r="BF20" s="3251"/>
      <c r="BG20" s="3251"/>
      <c r="BH20" s="3251"/>
      <c r="BI20" s="3251"/>
      <c r="BJ20" s="3251"/>
      <c r="BK20" s="3251"/>
      <c r="BL20" s="3251"/>
      <c r="BM20" s="3251"/>
      <c r="BN20" s="3251"/>
      <c r="BO20" s="3251"/>
      <c r="BP20" s="3251"/>
      <c r="BQ20" s="3251"/>
      <c r="BR20" s="3251"/>
      <c r="BS20" s="3251"/>
      <c r="BT20" s="3251"/>
      <c r="BU20" s="3251"/>
      <c r="BV20" s="3251"/>
      <c r="BW20" s="3251"/>
      <c r="BX20" s="3251"/>
      <c r="BY20" s="3251"/>
      <c r="BZ20" s="3251"/>
      <c r="CA20" s="3251"/>
      <c r="CB20" s="3251"/>
      <c r="CC20" s="3251"/>
      <c r="CD20" s="3251"/>
      <c r="CE20" s="3251"/>
      <c r="CF20" s="3251"/>
      <c r="CG20" s="3251"/>
      <c r="CH20" s="3251"/>
      <c r="CI20" s="3251">
        <f t="shared" si="0"/>
        <v>0</v>
      </c>
    </row>
    <row r="21" spans="1:87" s="1613" customFormat="1" ht="18.75">
      <c r="A21" s="1611" t="s">
        <v>2421</v>
      </c>
      <c r="B21" s="1607"/>
      <c r="C21" s="1004" t="s">
        <v>1343</v>
      </c>
      <c r="D21" s="2476" t="s">
        <v>85</v>
      </c>
      <c r="E21" s="1170" t="s">
        <v>86</v>
      </c>
      <c r="F21" s="448">
        <v>800</v>
      </c>
      <c r="G21" s="448"/>
      <c r="H21" s="448">
        <v>2.54</v>
      </c>
      <c r="I21" s="2580">
        <v>0</v>
      </c>
      <c r="J21" s="2580"/>
      <c r="K21" s="2583"/>
      <c r="L21" s="2536"/>
      <c r="M21" s="2261">
        <f t="shared" si="1"/>
        <v>0</v>
      </c>
      <c r="N21" s="2536"/>
      <c r="O21" s="1612">
        <f t="shared" si="2"/>
        <v>0</v>
      </c>
      <c r="P21" s="2582"/>
      <c r="Q21" s="2300" t="str">
        <f>'Ab1. RMNCH+A'!Q276</f>
        <v>--</v>
      </c>
      <c r="R21" s="3021">
        <f>'Ab1. RMNCH+A'!R276</f>
        <v>0</v>
      </c>
      <c r="BB21" s="3252"/>
      <c r="BC21" s="3252"/>
      <c r="BD21" s="3252"/>
      <c r="BE21" s="3252"/>
      <c r="BF21" s="3252"/>
      <c r="BG21" s="3252"/>
      <c r="BH21" s="3252"/>
      <c r="BI21" s="3252"/>
      <c r="BJ21" s="3252"/>
      <c r="BK21" s="3252"/>
      <c r="BL21" s="3252"/>
      <c r="BM21" s="3252"/>
      <c r="BN21" s="3252"/>
      <c r="BO21" s="3252"/>
      <c r="BP21" s="3252"/>
      <c r="BQ21" s="3252"/>
      <c r="BR21" s="3252"/>
      <c r="BS21" s="3252"/>
      <c r="BT21" s="3252"/>
      <c r="BU21" s="3252"/>
      <c r="BV21" s="3252"/>
      <c r="BW21" s="3252"/>
      <c r="BX21" s="3252"/>
      <c r="BY21" s="3252"/>
      <c r="BZ21" s="3252"/>
      <c r="CA21" s="3252"/>
      <c r="CB21" s="3252"/>
      <c r="CC21" s="3252"/>
      <c r="CD21" s="3252"/>
      <c r="CE21" s="3252"/>
      <c r="CF21" s="3252"/>
      <c r="CG21" s="3252"/>
      <c r="CH21" s="3252"/>
      <c r="CI21" s="3251">
        <f t="shared" si="0"/>
        <v>0</v>
      </c>
    </row>
    <row r="22" spans="1:87">
      <c r="A22" s="84">
        <v>11.7</v>
      </c>
      <c r="B22" s="928" t="s">
        <v>1356</v>
      </c>
      <c r="C22" s="84" t="s">
        <v>2551</v>
      </c>
      <c r="D22" s="930"/>
      <c r="E22" s="930"/>
      <c r="F22" s="335"/>
      <c r="G22" s="335"/>
      <c r="H22" s="335"/>
      <c r="I22" s="335"/>
      <c r="J22" s="335"/>
      <c r="K22" s="335"/>
      <c r="L22" s="335"/>
      <c r="M22" s="1149"/>
      <c r="N22" s="335"/>
      <c r="O22" s="1149">
        <f>SUM(O23:O25)</f>
        <v>52.7</v>
      </c>
      <c r="P22" s="705"/>
      <c r="Q22" s="1602"/>
      <c r="R22" s="3020">
        <f>SUM(R23:R25)</f>
        <v>52.7</v>
      </c>
      <c r="BB22" s="3251"/>
      <c r="BC22" s="3251"/>
      <c r="BD22" s="3251"/>
      <c r="BE22" s="3251"/>
      <c r="BF22" s="3251"/>
      <c r="BG22" s="3251"/>
      <c r="BH22" s="3251"/>
      <c r="BI22" s="3251"/>
      <c r="BJ22" s="3251"/>
      <c r="BK22" s="3251"/>
      <c r="BL22" s="3251"/>
      <c r="BM22" s="3251"/>
      <c r="BN22" s="3251"/>
      <c r="BO22" s="3251"/>
      <c r="BP22" s="3251"/>
      <c r="BQ22" s="3251"/>
      <c r="BR22" s="3251"/>
      <c r="BS22" s="3251"/>
      <c r="BT22" s="3251"/>
      <c r="BU22" s="3251"/>
      <c r="BV22" s="3251"/>
      <c r="BW22" s="3251"/>
      <c r="BX22" s="3251"/>
      <c r="BY22" s="3251"/>
      <c r="BZ22" s="3251"/>
      <c r="CA22" s="3251"/>
      <c r="CB22" s="3251"/>
      <c r="CC22" s="3251"/>
      <c r="CD22" s="3251"/>
      <c r="CE22" s="3251"/>
      <c r="CF22" s="3251"/>
      <c r="CG22" s="3251"/>
      <c r="CH22" s="3251"/>
      <c r="CI22" s="3251">
        <f t="shared" si="0"/>
        <v>0</v>
      </c>
    </row>
    <row r="23" spans="1:87" s="1613" customFormat="1" ht="30">
      <c r="A23" s="1611" t="s">
        <v>1369</v>
      </c>
      <c r="B23" s="1004" t="s">
        <v>1358</v>
      </c>
      <c r="C23" s="1004" t="s">
        <v>2412</v>
      </c>
      <c r="D23" s="2476" t="s">
        <v>85</v>
      </c>
      <c r="E23" s="1170" t="s">
        <v>188</v>
      </c>
      <c r="F23" s="448">
        <v>1</v>
      </c>
      <c r="G23" s="448"/>
      <c r="H23" s="448">
        <v>78.45</v>
      </c>
      <c r="I23" s="448">
        <v>20.309999999999999</v>
      </c>
      <c r="J23" s="448">
        <v>58.14</v>
      </c>
      <c r="K23" s="449"/>
      <c r="L23" s="2477">
        <v>5270000</v>
      </c>
      <c r="M23" s="2261">
        <f>L23/100000</f>
        <v>52.7</v>
      </c>
      <c r="N23" s="283">
        <v>1</v>
      </c>
      <c r="O23" s="1612">
        <f>M23*N23</f>
        <v>52.7</v>
      </c>
      <c r="P23" s="2478" t="s">
        <v>5245</v>
      </c>
      <c r="Q23" s="2300" t="str">
        <f>'Ab1. RMNCH+A'!Q331</f>
        <v xml:space="preserve">Recommended  for approval as per state proposal. </v>
      </c>
      <c r="R23" s="3021">
        <f>'Ab1. RMNCH+A'!R331</f>
        <v>52.7</v>
      </c>
      <c r="BB23" s="3252">
        <v>52.7</v>
      </c>
      <c r="BC23" s="3252"/>
      <c r="BD23" s="3252"/>
      <c r="BE23" s="3252"/>
      <c r="BF23" s="3252"/>
      <c r="BG23" s="3252"/>
      <c r="BH23" s="3252"/>
      <c r="BI23" s="3252"/>
      <c r="BJ23" s="3252"/>
      <c r="BK23" s="3252"/>
      <c r="BL23" s="3252"/>
      <c r="BM23" s="3252"/>
      <c r="BN23" s="3252"/>
      <c r="BO23" s="3252"/>
      <c r="BP23" s="3252"/>
      <c r="BQ23" s="3252"/>
      <c r="BR23" s="3252"/>
      <c r="BS23" s="3252"/>
      <c r="BT23" s="3252"/>
      <c r="BU23" s="3252"/>
      <c r="BV23" s="3252"/>
      <c r="BW23" s="3252"/>
      <c r="BX23" s="3252"/>
      <c r="BY23" s="3252"/>
      <c r="BZ23" s="3252"/>
      <c r="CA23" s="3252"/>
      <c r="CB23" s="3252"/>
      <c r="CC23" s="3252"/>
      <c r="CD23" s="3252"/>
      <c r="CE23" s="3252"/>
      <c r="CF23" s="3252"/>
      <c r="CG23" s="3252"/>
      <c r="CH23" s="3252"/>
      <c r="CI23" s="3251">
        <f t="shared" si="0"/>
        <v>52.7</v>
      </c>
    </row>
    <row r="24" spans="1:87">
      <c r="A24" s="1604" t="s">
        <v>2422</v>
      </c>
      <c r="B24" s="431" t="s">
        <v>1360</v>
      </c>
      <c r="C24" s="431" t="s">
        <v>1342</v>
      </c>
      <c r="D24" s="1582" t="s">
        <v>85</v>
      </c>
      <c r="E24" s="1177" t="s">
        <v>188</v>
      </c>
      <c r="F24" s="447">
        <v>0</v>
      </c>
      <c r="G24" s="447"/>
      <c r="H24" s="447">
        <v>0</v>
      </c>
      <c r="I24" s="447"/>
      <c r="J24" s="447"/>
      <c r="K24" s="442"/>
      <c r="L24" s="277"/>
      <c r="M24" s="281">
        <f>L24/100000</f>
        <v>0</v>
      </c>
      <c r="N24" s="277"/>
      <c r="O24" s="1605">
        <f>M24*N24</f>
        <v>0</v>
      </c>
      <c r="P24" s="770"/>
      <c r="Q24" s="1265" t="str">
        <f>'Ab1. RMNCH+A'!Q332</f>
        <v>-</v>
      </c>
      <c r="R24" s="2871">
        <f>'Ab1. RMNCH+A'!R332</f>
        <v>0</v>
      </c>
      <c r="BB24" s="3251"/>
      <c r="BC24" s="3251"/>
      <c r="BD24" s="3251"/>
      <c r="BE24" s="3251"/>
      <c r="BF24" s="3251"/>
      <c r="BG24" s="3251"/>
      <c r="BH24" s="3251"/>
      <c r="BI24" s="3251"/>
      <c r="BJ24" s="3251"/>
      <c r="BK24" s="3251"/>
      <c r="BL24" s="3251"/>
      <c r="BM24" s="3251"/>
      <c r="BN24" s="3251"/>
      <c r="BO24" s="3251"/>
      <c r="BP24" s="3251"/>
      <c r="BQ24" s="3251"/>
      <c r="BR24" s="3251"/>
      <c r="BS24" s="3251"/>
      <c r="BT24" s="3251"/>
      <c r="BU24" s="3251"/>
      <c r="BV24" s="3251"/>
      <c r="BW24" s="3251"/>
      <c r="BX24" s="3251"/>
      <c r="BY24" s="3251"/>
      <c r="BZ24" s="3251"/>
      <c r="CA24" s="3251"/>
      <c r="CB24" s="3251"/>
      <c r="CC24" s="3251"/>
      <c r="CD24" s="3251"/>
      <c r="CE24" s="3251"/>
      <c r="CF24" s="3251"/>
      <c r="CG24" s="3251"/>
      <c r="CH24" s="3251"/>
      <c r="CI24" s="3251">
        <f t="shared" si="0"/>
        <v>0</v>
      </c>
    </row>
    <row r="25" spans="1:87" s="1613" customFormat="1">
      <c r="A25" s="1611" t="s">
        <v>2423</v>
      </c>
      <c r="B25" s="1004"/>
      <c r="C25" s="1004" t="s">
        <v>1343</v>
      </c>
      <c r="D25" s="2476" t="s">
        <v>85</v>
      </c>
      <c r="E25" s="1170" t="s">
        <v>188</v>
      </c>
      <c r="F25" s="449">
        <v>0</v>
      </c>
      <c r="G25" s="449"/>
      <c r="H25" s="449">
        <v>0</v>
      </c>
      <c r="I25" s="449"/>
      <c r="J25" s="449"/>
      <c r="K25" s="449"/>
      <c r="L25" s="283"/>
      <c r="M25" s="2261">
        <f>L25/100000</f>
        <v>0</v>
      </c>
      <c r="N25" s="283"/>
      <c r="O25" s="1612">
        <f>M25*N25</f>
        <v>0</v>
      </c>
      <c r="P25" s="2479"/>
      <c r="Q25" s="2300" t="str">
        <f>'Ab1. RMNCH+A'!Q333</f>
        <v>-</v>
      </c>
      <c r="R25" s="3021">
        <f>'Ab1. RMNCH+A'!R333</f>
        <v>0</v>
      </c>
      <c r="BB25" s="3252"/>
      <c r="BC25" s="3252"/>
      <c r="BD25" s="3252"/>
      <c r="BE25" s="3252"/>
      <c r="BF25" s="3252"/>
      <c r="BG25" s="3252"/>
      <c r="BH25" s="3252"/>
      <c r="BI25" s="3252"/>
      <c r="BJ25" s="3252"/>
      <c r="BK25" s="3252"/>
      <c r="BL25" s="3252"/>
      <c r="BM25" s="3252"/>
      <c r="BN25" s="3252"/>
      <c r="BO25" s="3252"/>
      <c r="BP25" s="3252"/>
      <c r="BQ25" s="3252"/>
      <c r="BR25" s="3252"/>
      <c r="BS25" s="3252"/>
      <c r="BT25" s="3252"/>
      <c r="BU25" s="3252"/>
      <c r="BV25" s="3252"/>
      <c r="BW25" s="3252"/>
      <c r="BX25" s="3252"/>
      <c r="BY25" s="3252"/>
      <c r="BZ25" s="3252"/>
      <c r="CA25" s="3252"/>
      <c r="CB25" s="3252"/>
      <c r="CC25" s="3252"/>
      <c r="CD25" s="3252"/>
      <c r="CE25" s="3252"/>
      <c r="CF25" s="3252"/>
      <c r="CG25" s="3252"/>
      <c r="CH25" s="3252"/>
      <c r="CI25" s="3251">
        <f t="shared" si="0"/>
        <v>0</v>
      </c>
    </row>
    <row r="26" spans="1:87">
      <c r="A26" s="84">
        <v>11.8</v>
      </c>
      <c r="B26" s="928"/>
      <c r="C26" s="84" t="s">
        <v>2396</v>
      </c>
      <c r="D26" s="929"/>
      <c r="E26" s="929"/>
      <c r="F26" s="335"/>
      <c r="G26" s="335"/>
      <c r="H26" s="335"/>
      <c r="I26" s="335"/>
      <c r="J26" s="335"/>
      <c r="K26" s="335"/>
      <c r="L26" s="335"/>
      <c r="M26" s="1149"/>
      <c r="N26" s="335"/>
      <c r="O26" s="1149">
        <f>O27+O28</f>
        <v>27</v>
      </c>
      <c r="P26" s="705"/>
      <c r="Q26" s="1602"/>
      <c r="R26" s="3020">
        <f>R27+R28</f>
        <v>27</v>
      </c>
      <c r="BB26" s="3251"/>
      <c r="BC26" s="3251"/>
      <c r="BD26" s="3251"/>
      <c r="BE26" s="3251"/>
      <c r="BF26" s="3251"/>
      <c r="BG26" s="3251"/>
      <c r="BH26" s="3251"/>
      <c r="BI26" s="3251"/>
      <c r="BJ26" s="3251"/>
      <c r="BK26" s="3251"/>
      <c r="BL26" s="3251"/>
      <c r="BM26" s="3251"/>
      <c r="BN26" s="3251"/>
      <c r="BO26" s="3251"/>
      <c r="BP26" s="3251"/>
      <c r="BQ26" s="3251"/>
      <c r="BR26" s="3251"/>
      <c r="BS26" s="3251"/>
      <c r="BT26" s="3251"/>
      <c r="BU26" s="3251"/>
      <c r="BV26" s="3251"/>
      <c r="BW26" s="3251"/>
      <c r="BX26" s="3251"/>
      <c r="BY26" s="3251"/>
      <c r="BZ26" s="3251"/>
      <c r="CA26" s="3251"/>
      <c r="CB26" s="3251"/>
      <c r="CC26" s="3251"/>
      <c r="CD26" s="3251"/>
      <c r="CE26" s="3251"/>
      <c r="CF26" s="3251"/>
      <c r="CG26" s="3251"/>
      <c r="CH26" s="3251"/>
      <c r="CI26" s="3251">
        <f t="shared" si="0"/>
        <v>0</v>
      </c>
    </row>
    <row r="27" spans="1:87" ht="30">
      <c r="A27" s="1604" t="s">
        <v>1372</v>
      </c>
      <c r="B27" s="1004"/>
      <c r="C27" s="431" t="s">
        <v>2397</v>
      </c>
      <c r="D27" s="1582" t="s">
        <v>85</v>
      </c>
      <c r="E27" s="1177" t="s">
        <v>200</v>
      </c>
      <c r="F27" s="442">
        <v>1</v>
      </c>
      <c r="G27" s="442"/>
      <c r="H27" s="442">
        <v>5</v>
      </c>
      <c r="I27" s="2514">
        <v>0.09</v>
      </c>
      <c r="J27" s="2514">
        <v>4.91</v>
      </c>
      <c r="K27" s="442">
        <v>1</v>
      </c>
      <c r="L27" s="277">
        <v>2700000</v>
      </c>
      <c r="M27" s="281">
        <f>L27/100000</f>
        <v>27</v>
      </c>
      <c r="N27" s="277">
        <v>1</v>
      </c>
      <c r="O27" s="1605">
        <f>M27*N27</f>
        <v>27</v>
      </c>
      <c r="P27" s="771" t="s">
        <v>5472</v>
      </c>
      <c r="Q27" s="1265" t="str">
        <f>'Ab1. RMNCH+A'!Q418</f>
        <v>Recommended for approval as per state proposal.</v>
      </c>
      <c r="R27" s="2871">
        <f>'Ab1. RMNCH+A'!R418</f>
        <v>27</v>
      </c>
      <c r="BB27" s="3251">
        <v>27</v>
      </c>
      <c r="BC27" s="3251"/>
      <c r="BD27" s="3251"/>
      <c r="BE27" s="3251"/>
      <c r="BF27" s="3251"/>
      <c r="BG27" s="3251"/>
      <c r="BH27" s="3251"/>
      <c r="BI27" s="3251"/>
      <c r="BJ27" s="3251"/>
      <c r="BK27" s="3251"/>
      <c r="BL27" s="3251"/>
      <c r="BM27" s="3251"/>
      <c r="BN27" s="3251"/>
      <c r="BO27" s="3251"/>
      <c r="BP27" s="3251"/>
      <c r="BQ27" s="3251"/>
      <c r="BR27" s="3251"/>
      <c r="BS27" s="3251"/>
      <c r="BT27" s="3251"/>
      <c r="BU27" s="3251"/>
      <c r="BV27" s="3251"/>
      <c r="BW27" s="3251"/>
      <c r="BX27" s="3251"/>
      <c r="BY27" s="3251"/>
      <c r="BZ27" s="3251"/>
      <c r="CA27" s="3251"/>
      <c r="CB27" s="3251"/>
      <c r="CC27" s="3251"/>
      <c r="CD27" s="3251"/>
      <c r="CE27" s="3251"/>
      <c r="CF27" s="3251"/>
      <c r="CG27" s="3251"/>
      <c r="CH27" s="3251"/>
      <c r="CI27" s="3251">
        <f t="shared" si="0"/>
        <v>27</v>
      </c>
    </row>
    <row r="28" spans="1:87">
      <c r="A28" s="1604" t="s">
        <v>1375</v>
      </c>
      <c r="B28" s="1004"/>
      <c r="C28" s="431" t="s">
        <v>1343</v>
      </c>
      <c r="D28" s="1582" t="s">
        <v>85</v>
      </c>
      <c r="E28" s="1177" t="s">
        <v>200</v>
      </c>
      <c r="F28" s="442">
        <v>0</v>
      </c>
      <c r="G28" s="442"/>
      <c r="H28" s="442">
        <v>0</v>
      </c>
      <c r="I28" s="442"/>
      <c r="J28" s="442"/>
      <c r="K28" s="443"/>
      <c r="L28" s="277"/>
      <c r="M28" s="281">
        <f>L28/100000</f>
        <v>0</v>
      </c>
      <c r="N28" s="277"/>
      <c r="O28" s="1605">
        <f>M28*N28</f>
        <v>0</v>
      </c>
      <c r="P28" s="771"/>
      <c r="Q28" s="1265" t="str">
        <f>'Ab1. RMNCH+A'!Q419</f>
        <v>--</v>
      </c>
      <c r="R28" s="2871">
        <f>'Ab1. RMNCH+A'!R419</f>
        <v>0</v>
      </c>
      <c r="BB28" s="3251"/>
      <c r="BC28" s="3251"/>
      <c r="BD28" s="3251"/>
      <c r="BE28" s="3251"/>
      <c r="BF28" s="3251"/>
      <c r="BG28" s="3251"/>
      <c r="BH28" s="3251"/>
      <c r="BI28" s="3251"/>
      <c r="BJ28" s="3251"/>
      <c r="BK28" s="3251"/>
      <c r="BL28" s="3251"/>
      <c r="BM28" s="3251"/>
      <c r="BN28" s="3251"/>
      <c r="BO28" s="3251"/>
      <c r="BP28" s="3251"/>
      <c r="BQ28" s="3251"/>
      <c r="BR28" s="3251"/>
      <c r="BS28" s="3251"/>
      <c r="BT28" s="3251"/>
      <c r="BU28" s="3251"/>
      <c r="BV28" s="3251"/>
      <c r="BW28" s="3251"/>
      <c r="BX28" s="3251"/>
      <c r="BY28" s="3251"/>
      <c r="BZ28" s="3251"/>
      <c r="CA28" s="3251"/>
      <c r="CB28" s="3251"/>
      <c r="CC28" s="3251"/>
      <c r="CD28" s="3251"/>
      <c r="CE28" s="3251"/>
      <c r="CF28" s="3251"/>
      <c r="CG28" s="3251"/>
      <c r="CH28" s="3251"/>
      <c r="CI28" s="3251">
        <f t="shared" si="0"/>
        <v>0</v>
      </c>
    </row>
    <row r="29" spans="1:87">
      <c r="A29" s="84">
        <v>11.9</v>
      </c>
      <c r="B29" s="928"/>
      <c r="C29" s="84" t="s">
        <v>1362</v>
      </c>
      <c r="D29" s="929"/>
      <c r="E29" s="929"/>
      <c r="F29" s="335"/>
      <c r="G29" s="335"/>
      <c r="H29" s="335"/>
      <c r="I29" s="335"/>
      <c r="J29" s="335"/>
      <c r="K29" s="335"/>
      <c r="L29" s="335"/>
      <c r="M29" s="1149"/>
      <c r="N29" s="335"/>
      <c r="O29" s="1149">
        <f>O30+O31</f>
        <v>2</v>
      </c>
      <c r="P29" s="705"/>
      <c r="Q29" s="1602"/>
      <c r="R29" s="3020">
        <f>R30+R31</f>
        <v>2</v>
      </c>
      <c r="BB29" s="3251"/>
      <c r="BC29" s="3251"/>
      <c r="BD29" s="3251"/>
      <c r="BE29" s="3251"/>
      <c r="BF29" s="3251"/>
      <c r="BG29" s="3251"/>
      <c r="BH29" s="3251"/>
      <c r="BI29" s="3251"/>
      <c r="BJ29" s="3251"/>
      <c r="BK29" s="3251"/>
      <c r="BL29" s="3251"/>
      <c r="BM29" s="3251"/>
      <c r="BN29" s="3251"/>
      <c r="BO29" s="3251"/>
      <c r="BP29" s="3251"/>
      <c r="BQ29" s="3251"/>
      <c r="BR29" s="3251"/>
      <c r="BS29" s="3251"/>
      <c r="BT29" s="3251"/>
      <c r="BU29" s="3251"/>
      <c r="BV29" s="3251"/>
      <c r="BW29" s="3251"/>
      <c r="BX29" s="3251"/>
      <c r="BY29" s="3251"/>
      <c r="BZ29" s="3251"/>
      <c r="CA29" s="3251"/>
      <c r="CB29" s="3251"/>
      <c r="CC29" s="3251"/>
      <c r="CD29" s="3251"/>
      <c r="CE29" s="3251"/>
      <c r="CF29" s="3251"/>
      <c r="CG29" s="3251"/>
      <c r="CH29" s="3251"/>
      <c r="CI29" s="3251">
        <f t="shared" si="0"/>
        <v>0</v>
      </c>
    </row>
    <row r="30" spans="1:87" s="1613" customFormat="1" ht="30">
      <c r="A30" s="1611" t="s">
        <v>1379</v>
      </c>
      <c r="B30" s="1004" t="s">
        <v>1364</v>
      </c>
      <c r="C30" s="1004" t="s">
        <v>1365</v>
      </c>
      <c r="D30" s="2476" t="s">
        <v>85</v>
      </c>
      <c r="E30" s="1620" t="s">
        <v>1128</v>
      </c>
      <c r="F30" s="449">
        <v>1</v>
      </c>
      <c r="G30" s="449"/>
      <c r="H30" s="449">
        <v>2</v>
      </c>
      <c r="I30" s="449">
        <v>0.04</v>
      </c>
      <c r="J30" s="449">
        <v>1.96</v>
      </c>
      <c r="K30" s="449"/>
      <c r="L30" s="2477">
        <v>200000</v>
      </c>
      <c r="M30" s="2261">
        <f>L30/100000</f>
        <v>2</v>
      </c>
      <c r="N30" s="283">
        <v>1</v>
      </c>
      <c r="O30" s="1612">
        <f>M30*N30</f>
        <v>2</v>
      </c>
      <c r="P30" s="3554"/>
      <c r="Q30" s="2300" t="str">
        <f>'Ab1. RMNCH+A'!Q384</f>
        <v>Recommended for approval of Rs. 2 Lakhs for IEC activities for PC&amp;PNDT</v>
      </c>
      <c r="R30" s="3021">
        <f>'Ab1. RMNCH+A'!R384</f>
        <v>2</v>
      </c>
      <c r="BB30" s="3252">
        <v>2</v>
      </c>
      <c r="BC30" s="3252"/>
      <c r="BD30" s="3252"/>
      <c r="BE30" s="3252"/>
      <c r="BF30" s="3252"/>
      <c r="BG30" s="3252"/>
      <c r="BH30" s="3252"/>
      <c r="BI30" s="3252"/>
      <c r="BJ30" s="3252"/>
      <c r="BK30" s="3252"/>
      <c r="BL30" s="3252"/>
      <c r="BM30" s="3252"/>
      <c r="BN30" s="3252"/>
      <c r="BO30" s="3252"/>
      <c r="BP30" s="3252"/>
      <c r="BQ30" s="3252"/>
      <c r="BR30" s="3252"/>
      <c r="BS30" s="3252"/>
      <c r="BT30" s="3252"/>
      <c r="BU30" s="3252"/>
      <c r="BV30" s="3252"/>
      <c r="BW30" s="3252"/>
      <c r="BX30" s="3252"/>
      <c r="BY30" s="3252"/>
      <c r="BZ30" s="3252"/>
      <c r="CA30" s="3252"/>
      <c r="CB30" s="3252"/>
      <c r="CC30" s="3252"/>
      <c r="CD30" s="3252"/>
      <c r="CE30" s="3252"/>
      <c r="CF30" s="3252"/>
      <c r="CG30" s="3252"/>
      <c r="CH30" s="3252"/>
      <c r="CI30" s="3252">
        <f t="shared" si="0"/>
        <v>2</v>
      </c>
    </row>
    <row r="31" spans="1:87">
      <c r="A31" s="1604" t="s">
        <v>2552</v>
      </c>
      <c r="B31" s="1004"/>
      <c r="C31" s="431" t="s">
        <v>1343</v>
      </c>
      <c r="D31" s="1582" t="s">
        <v>85</v>
      </c>
      <c r="E31" s="1608" t="s">
        <v>1128</v>
      </c>
      <c r="F31" s="442">
        <v>0</v>
      </c>
      <c r="G31" s="442"/>
      <c r="H31" s="442">
        <v>0</v>
      </c>
      <c r="I31" s="442"/>
      <c r="J31" s="442"/>
      <c r="K31" s="442"/>
      <c r="L31" s="277"/>
      <c r="M31" s="281">
        <f>L31/100000</f>
        <v>0</v>
      </c>
      <c r="N31" s="277"/>
      <c r="O31" s="1605">
        <f>M31*N31</f>
        <v>0</v>
      </c>
      <c r="P31" s="772"/>
      <c r="Q31" s="1265" t="str">
        <f>'Ab1. RMNCH+A'!Q385</f>
        <v>--</v>
      </c>
      <c r="R31" s="2871">
        <f>'Ab1. RMNCH+A'!R385</f>
        <v>0</v>
      </c>
      <c r="BB31" s="3251"/>
      <c r="BC31" s="3251"/>
      <c r="BD31" s="3251"/>
      <c r="BE31" s="3251"/>
      <c r="BF31" s="3251"/>
      <c r="BG31" s="3251"/>
      <c r="BH31" s="3251"/>
      <c r="BI31" s="3251"/>
      <c r="BJ31" s="3251"/>
      <c r="BK31" s="3251"/>
      <c r="BL31" s="3251"/>
      <c r="BM31" s="3251"/>
      <c r="BN31" s="3251"/>
      <c r="BO31" s="3251"/>
      <c r="BP31" s="3251"/>
      <c r="BQ31" s="3251"/>
      <c r="BR31" s="3251"/>
      <c r="BS31" s="3251"/>
      <c r="BT31" s="3251"/>
      <c r="BU31" s="3251"/>
      <c r="BV31" s="3251"/>
      <c r="BW31" s="3251"/>
      <c r="BX31" s="3251"/>
      <c r="BY31" s="3251"/>
      <c r="BZ31" s="3251"/>
      <c r="CA31" s="3251"/>
      <c r="CB31" s="3251"/>
      <c r="CC31" s="3251"/>
      <c r="CD31" s="3251"/>
      <c r="CE31" s="3251"/>
      <c r="CF31" s="3251"/>
      <c r="CG31" s="3251"/>
      <c r="CH31" s="3251"/>
      <c r="CI31" s="3251">
        <f t="shared" si="0"/>
        <v>0</v>
      </c>
    </row>
    <row r="32" spans="1:87">
      <c r="A32" s="1232">
        <v>11.14</v>
      </c>
      <c r="B32" s="928"/>
      <c r="C32" s="84" t="s">
        <v>1382</v>
      </c>
      <c r="D32" s="929"/>
      <c r="E32" s="929"/>
      <c r="F32" s="335"/>
      <c r="G32" s="335"/>
      <c r="H32" s="335"/>
      <c r="I32" s="335"/>
      <c r="J32" s="335"/>
      <c r="K32" s="335"/>
      <c r="L32" s="335"/>
      <c r="M32" s="1149"/>
      <c r="N32" s="335"/>
      <c r="O32" s="1149">
        <f>O33+O34</f>
        <v>5.0000400000000003</v>
      </c>
      <c r="P32" s="705"/>
      <c r="Q32" s="1602"/>
      <c r="R32" s="3020">
        <f>R33+R34</f>
        <v>5</v>
      </c>
      <c r="BB32" s="3251"/>
      <c r="BC32" s="3251"/>
      <c r="BD32" s="3251"/>
      <c r="BE32" s="3251"/>
      <c r="BF32" s="3251"/>
      <c r="BG32" s="3251"/>
      <c r="BH32" s="3251"/>
      <c r="BI32" s="3251"/>
      <c r="BJ32" s="3251"/>
      <c r="BK32" s="3251"/>
      <c r="BL32" s="3251"/>
      <c r="BM32" s="3251"/>
      <c r="BN32" s="3251"/>
      <c r="BO32" s="3251"/>
      <c r="BP32" s="3251"/>
      <c r="BQ32" s="3251"/>
      <c r="BR32" s="3251"/>
      <c r="BS32" s="3251"/>
      <c r="BT32" s="3251"/>
      <c r="BU32" s="3251"/>
      <c r="BV32" s="3251"/>
      <c r="BW32" s="3251"/>
      <c r="BX32" s="3251"/>
      <c r="BY32" s="3251"/>
      <c r="BZ32" s="3251"/>
      <c r="CA32" s="3251"/>
      <c r="CB32" s="3251"/>
      <c r="CC32" s="3251"/>
      <c r="CD32" s="3251"/>
      <c r="CE32" s="3251"/>
      <c r="CF32" s="3251"/>
      <c r="CG32" s="3251"/>
      <c r="CH32" s="3251"/>
      <c r="CI32" s="3251">
        <f t="shared" si="0"/>
        <v>0</v>
      </c>
    </row>
    <row r="33" spans="1:87" s="1613" customFormat="1" ht="112.5" customHeight="1">
      <c r="A33" s="1611" t="s">
        <v>1406</v>
      </c>
      <c r="B33" s="1004" t="s">
        <v>1384</v>
      </c>
      <c r="C33" s="1004" t="s">
        <v>1385</v>
      </c>
      <c r="D33" s="2476" t="s">
        <v>85</v>
      </c>
      <c r="E33" s="1170" t="s">
        <v>203</v>
      </c>
      <c r="F33" s="2302">
        <v>1</v>
      </c>
      <c r="G33" s="2302"/>
      <c r="H33" s="2302">
        <v>5</v>
      </c>
      <c r="I33" s="2302"/>
      <c r="J33" s="2302"/>
      <c r="K33" s="2375"/>
      <c r="L33" s="283">
        <v>41667</v>
      </c>
      <c r="M33" s="2261">
        <f>L33/100000</f>
        <v>0.41666999999999998</v>
      </c>
      <c r="N33" s="283">
        <v>12</v>
      </c>
      <c r="O33" s="1612">
        <f>M33*N33</f>
        <v>5.0000400000000003</v>
      </c>
      <c r="P33" s="776" t="s">
        <v>5210</v>
      </c>
      <c r="Q33" s="2300" t="str">
        <f>'Ab2. NIDDCP'!Q19</f>
        <v>Recommended for approval of Rs. 5.00 lakhs for conducting IDD awareness activities including development of IEC material and Global IDD Prevention Day activities in all 12 Districts (@ Rs. 30,000/- per District) and also for conducting IDD awareness activities on Global IDD Prevention Day at State level (Rs.1.40 lakhs).</v>
      </c>
      <c r="R33" s="3021">
        <f>'Ab2. NIDDCP'!R19</f>
        <v>5</v>
      </c>
      <c r="BB33" s="3252">
        <v>3.88</v>
      </c>
      <c r="BC33" s="3252">
        <f>(3000*1+1000*4)/100000</f>
        <v>7.0000000000000007E-2</v>
      </c>
      <c r="BD33" s="3252">
        <f>(3000*1+1000*7)/100000</f>
        <v>0.1</v>
      </c>
      <c r="BE33" s="3252">
        <f>(3000*1+1000*6)/100000</f>
        <v>0.09</v>
      </c>
      <c r="BF33" s="3252">
        <f>(3000*1+1000*13)/100000</f>
        <v>0.16</v>
      </c>
      <c r="BG33" s="3252">
        <f>(3000*1+1000*3)/100000</f>
        <v>0.06</v>
      </c>
      <c r="BH33" s="3252">
        <f>(3000*1+1000*5)/100000</f>
        <v>0.08</v>
      </c>
      <c r="BI33" s="3252">
        <f>(3000*1+1000*2)/100000</f>
        <v>0.05</v>
      </c>
      <c r="BJ33" s="3252">
        <f>(3000*1+1000*11)/100000</f>
        <v>0.14000000000000001</v>
      </c>
      <c r="BK33" s="3252">
        <f>(3000*1+1000*10)/100000</f>
        <v>0.13</v>
      </c>
      <c r="BL33" s="3252">
        <f>(3000*1+1000*5)/100000</f>
        <v>0.08</v>
      </c>
      <c r="BM33" s="3252">
        <f>(3000*1+1000*5)/100000</f>
        <v>0.08</v>
      </c>
      <c r="BN33" s="3252">
        <f>(3000*1+1000*5)/100000</f>
        <v>0.08</v>
      </c>
      <c r="BO33" s="3252"/>
      <c r="BP33" s="3252"/>
      <c r="BQ33" s="3252"/>
      <c r="BR33" s="3252"/>
      <c r="BS33" s="3252"/>
      <c r="BT33" s="3252"/>
      <c r="BU33" s="3252"/>
      <c r="BV33" s="3252"/>
      <c r="BW33" s="3252"/>
      <c r="BX33" s="3252"/>
      <c r="BY33" s="3252"/>
      <c r="BZ33" s="3252"/>
      <c r="CA33" s="3252"/>
      <c r="CB33" s="3252"/>
      <c r="CC33" s="3252"/>
      <c r="CD33" s="3252"/>
      <c r="CE33" s="3252"/>
      <c r="CF33" s="3252"/>
      <c r="CG33" s="3252"/>
      <c r="CH33" s="3252"/>
      <c r="CI33" s="3251">
        <f t="shared" si="0"/>
        <v>4.9999999999999991</v>
      </c>
    </row>
    <row r="34" spans="1:87">
      <c r="A34" s="1604" t="s">
        <v>2558</v>
      </c>
      <c r="B34" s="1004"/>
      <c r="C34" s="431" t="s">
        <v>1343</v>
      </c>
      <c r="D34" s="1582" t="s">
        <v>85</v>
      </c>
      <c r="E34" s="1177" t="s">
        <v>203</v>
      </c>
      <c r="F34" s="441">
        <v>0</v>
      </c>
      <c r="G34" s="441"/>
      <c r="H34" s="441">
        <v>0</v>
      </c>
      <c r="I34" s="441"/>
      <c r="J34" s="441"/>
      <c r="K34" s="442"/>
      <c r="L34" s="277"/>
      <c r="M34" s="281">
        <f>L34/100000</f>
        <v>0</v>
      </c>
      <c r="N34" s="277"/>
      <c r="O34" s="1605">
        <f>M34*N34</f>
        <v>0</v>
      </c>
      <c r="P34" s="774"/>
      <c r="Q34" s="1265">
        <f>'Ab2. NIDDCP'!Q20</f>
        <v>0</v>
      </c>
      <c r="R34" s="2871">
        <f>'Ab2. NIDDCP'!R20</f>
        <v>0</v>
      </c>
      <c r="BB34" s="3251"/>
      <c r="BC34" s="3251"/>
      <c r="BD34" s="3251"/>
      <c r="BE34" s="3251"/>
      <c r="BF34" s="3251"/>
      <c r="BG34" s="3251"/>
      <c r="BH34" s="3251"/>
      <c r="BI34" s="3251"/>
      <c r="BJ34" s="3251"/>
      <c r="BK34" s="3251"/>
      <c r="BL34" s="3251"/>
      <c r="BM34" s="3251"/>
      <c r="BN34" s="3251"/>
      <c r="BO34" s="3251"/>
      <c r="BP34" s="3251"/>
      <c r="BQ34" s="3251"/>
      <c r="BR34" s="3251"/>
      <c r="BS34" s="3251"/>
      <c r="BT34" s="3251"/>
      <c r="BU34" s="3251"/>
      <c r="BV34" s="3251"/>
      <c r="BW34" s="3251"/>
      <c r="BX34" s="3251"/>
      <c r="BY34" s="3251"/>
      <c r="BZ34" s="3251"/>
      <c r="CA34" s="3251"/>
      <c r="CB34" s="3251"/>
      <c r="CC34" s="3251"/>
      <c r="CD34" s="3251"/>
      <c r="CE34" s="3251"/>
      <c r="CF34" s="3251"/>
      <c r="CG34" s="3251"/>
      <c r="CH34" s="3251"/>
      <c r="CI34" s="3251">
        <f t="shared" si="0"/>
        <v>0</v>
      </c>
    </row>
    <row r="35" spans="1:87" s="1601" customFormat="1">
      <c r="A35" s="3970"/>
      <c r="B35" s="3970"/>
      <c r="C35" s="3970"/>
      <c r="D35" s="1597"/>
      <c r="E35" s="1597"/>
      <c r="F35" s="685"/>
      <c r="G35" s="685"/>
      <c r="H35" s="685"/>
      <c r="I35" s="685"/>
      <c r="J35" s="685"/>
      <c r="K35" s="685"/>
      <c r="L35" s="685"/>
      <c r="M35" s="1599"/>
      <c r="N35" s="685"/>
      <c r="O35" s="3028"/>
      <c r="P35" s="764"/>
      <c r="Q35" s="1609"/>
      <c r="R35" s="3000"/>
      <c r="BB35" s="3250"/>
      <c r="BC35" s="3250"/>
      <c r="BD35" s="3250"/>
      <c r="BE35" s="3250"/>
      <c r="BF35" s="3250"/>
      <c r="BG35" s="3250"/>
      <c r="BH35" s="3250"/>
      <c r="BI35" s="3250"/>
      <c r="BJ35" s="3250"/>
      <c r="BK35" s="3250"/>
      <c r="BL35" s="3250"/>
      <c r="BM35" s="3250"/>
      <c r="BN35" s="3250"/>
      <c r="BO35" s="3250"/>
      <c r="BP35" s="3250"/>
      <c r="BQ35" s="3250"/>
      <c r="BR35" s="3250"/>
      <c r="BS35" s="3250"/>
      <c r="BT35" s="3250"/>
      <c r="BU35" s="3250"/>
      <c r="BV35" s="3250"/>
      <c r="BW35" s="3250"/>
      <c r="BX35" s="3250"/>
      <c r="BY35" s="3250"/>
      <c r="BZ35" s="3250"/>
      <c r="CA35" s="3250"/>
      <c r="CB35" s="3250"/>
      <c r="CC35" s="3250"/>
      <c r="CD35" s="3250"/>
      <c r="CE35" s="3250"/>
      <c r="CF35" s="3250"/>
      <c r="CG35" s="3250"/>
      <c r="CH35" s="3250"/>
      <c r="CI35" s="3251">
        <f t="shared" si="0"/>
        <v>0</v>
      </c>
    </row>
    <row r="36" spans="1:87" s="1574" customFormat="1" ht="30">
      <c r="A36" s="1604">
        <v>11.1</v>
      </c>
      <c r="B36" s="431" t="s">
        <v>1427</v>
      </c>
      <c r="C36" s="431" t="s">
        <v>1428</v>
      </c>
      <c r="D36" s="908" t="s">
        <v>65</v>
      </c>
      <c r="E36" s="1608" t="s">
        <v>65</v>
      </c>
      <c r="F36" s="441">
        <v>0</v>
      </c>
      <c r="G36" s="441"/>
      <c r="H36" s="441">
        <v>0</v>
      </c>
      <c r="I36" s="441"/>
      <c r="J36" s="441"/>
      <c r="K36" s="442"/>
      <c r="L36" s="277"/>
      <c r="M36" s="281">
        <f>L36/100000</f>
        <v>0</v>
      </c>
      <c r="N36" s="277"/>
      <c r="O36" s="1605">
        <f>M36*N36</f>
        <v>0</v>
      </c>
      <c r="P36" s="774"/>
      <c r="Q36" s="1278"/>
      <c r="R36" s="3022"/>
      <c r="BB36" s="3246"/>
      <c r="BC36" s="3246"/>
      <c r="BD36" s="3246"/>
      <c r="BE36" s="3246"/>
      <c r="BF36" s="3246"/>
      <c r="BG36" s="3246"/>
      <c r="BH36" s="3246"/>
      <c r="BI36" s="3246"/>
      <c r="BJ36" s="3246"/>
      <c r="BK36" s="3246"/>
      <c r="BL36" s="3246"/>
      <c r="BM36" s="3246"/>
      <c r="BN36" s="3246"/>
      <c r="BO36" s="3246"/>
      <c r="BP36" s="3246"/>
      <c r="BQ36" s="3246"/>
      <c r="BR36" s="3246"/>
      <c r="BS36" s="3246"/>
      <c r="BT36" s="3246"/>
      <c r="BU36" s="3246"/>
      <c r="BV36" s="3246"/>
      <c r="BW36" s="3246"/>
      <c r="BX36" s="3246"/>
      <c r="BY36" s="3246"/>
      <c r="BZ36" s="3246"/>
      <c r="CA36" s="3246"/>
      <c r="CB36" s="3246"/>
      <c r="CC36" s="3246"/>
      <c r="CD36" s="3246"/>
      <c r="CE36" s="3246"/>
      <c r="CF36" s="3246"/>
      <c r="CG36" s="3246"/>
      <c r="CH36" s="3246"/>
      <c r="CI36" s="3251">
        <f t="shared" si="0"/>
        <v>0</v>
      </c>
    </row>
    <row r="37" spans="1:87">
      <c r="A37" s="1610" t="s">
        <v>2424</v>
      </c>
      <c r="B37" s="928" t="s">
        <v>1367</v>
      </c>
      <c r="C37" s="84" t="s">
        <v>2553</v>
      </c>
      <c r="D37" s="929"/>
      <c r="E37" s="929"/>
      <c r="F37" s="335"/>
      <c r="G37" s="335"/>
      <c r="H37" s="335"/>
      <c r="I37" s="335"/>
      <c r="J37" s="335"/>
      <c r="K37" s="335"/>
      <c r="L37" s="335"/>
      <c r="M37" s="1149"/>
      <c r="N37" s="335"/>
      <c r="O37" s="1149">
        <f>O38+O39</f>
        <v>0</v>
      </c>
      <c r="P37" s="705"/>
      <c r="Q37" s="1602"/>
      <c r="R37" s="3020">
        <f>R38+R39</f>
        <v>0</v>
      </c>
      <c r="BB37" s="3251"/>
      <c r="BC37" s="3251"/>
      <c r="BD37" s="3251"/>
      <c r="BE37" s="3251"/>
      <c r="BF37" s="3251"/>
      <c r="BG37" s="3251"/>
      <c r="BH37" s="3251"/>
      <c r="BI37" s="3251"/>
      <c r="BJ37" s="3251"/>
      <c r="BK37" s="3251"/>
      <c r="BL37" s="3251"/>
      <c r="BM37" s="3251"/>
      <c r="BN37" s="3251"/>
      <c r="BO37" s="3251"/>
      <c r="BP37" s="3251"/>
      <c r="BQ37" s="3251"/>
      <c r="BR37" s="3251"/>
      <c r="BS37" s="3251"/>
      <c r="BT37" s="3251"/>
      <c r="BU37" s="3251"/>
      <c r="BV37" s="3251"/>
      <c r="BW37" s="3251"/>
      <c r="BX37" s="3251"/>
      <c r="BY37" s="3251"/>
      <c r="BZ37" s="3251"/>
      <c r="CA37" s="3251"/>
      <c r="CB37" s="3251"/>
      <c r="CC37" s="3251"/>
      <c r="CD37" s="3251"/>
      <c r="CE37" s="3251"/>
      <c r="CF37" s="3251"/>
      <c r="CG37" s="3251"/>
      <c r="CH37" s="3251"/>
      <c r="CI37" s="3251">
        <f t="shared" si="0"/>
        <v>0</v>
      </c>
    </row>
    <row r="38" spans="1:87">
      <c r="A38" s="1604" t="s">
        <v>1383</v>
      </c>
      <c r="B38" s="1004"/>
      <c r="C38" s="431" t="s">
        <v>3730</v>
      </c>
      <c r="D38" s="908" t="s">
        <v>65</v>
      </c>
      <c r="E38" s="1608" t="s">
        <v>3213</v>
      </c>
      <c r="F38" s="442">
        <v>6884</v>
      </c>
      <c r="G38" s="442"/>
      <c r="H38" s="442">
        <v>6.88</v>
      </c>
      <c r="I38" s="442"/>
      <c r="J38" s="442"/>
      <c r="K38" s="446"/>
      <c r="L38" s="277"/>
      <c r="M38" s="281">
        <f>L38/100000</f>
        <v>0</v>
      </c>
      <c r="N38" s="277"/>
      <c r="O38" s="1605">
        <f>M38*N38</f>
        <v>0</v>
      </c>
      <c r="P38" s="775"/>
      <c r="Q38" s="1265">
        <f>'Abs5. Blood services &amp; Disorder'!Q24</f>
        <v>0</v>
      </c>
      <c r="R38" s="3023">
        <f>'Abs5. Blood services &amp; Disorder'!R24</f>
        <v>0</v>
      </c>
      <c r="BB38" s="3251"/>
      <c r="BC38" s="3251"/>
      <c r="BD38" s="3251"/>
      <c r="BE38" s="3251"/>
      <c r="BF38" s="3251"/>
      <c r="BG38" s="3251"/>
      <c r="BH38" s="3251"/>
      <c r="BI38" s="3251"/>
      <c r="BJ38" s="3251"/>
      <c r="BK38" s="3251"/>
      <c r="BL38" s="3251"/>
      <c r="BM38" s="3251"/>
      <c r="BN38" s="3251"/>
      <c r="BO38" s="3251"/>
      <c r="BP38" s="3251"/>
      <c r="BQ38" s="3251"/>
      <c r="BR38" s="3251"/>
      <c r="BS38" s="3251"/>
      <c r="BT38" s="3251"/>
      <c r="BU38" s="3251"/>
      <c r="BV38" s="3251"/>
      <c r="BW38" s="3251"/>
      <c r="BX38" s="3251"/>
      <c r="BY38" s="3251"/>
      <c r="BZ38" s="3251"/>
      <c r="CA38" s="3251"/>
      <c r="CB38" s="3251"/>
      <c r="CC38" s="3251"/>
      <c r="CD38" s="3251"/>
      <c r="CE38" s="3251"/>
      <c r="CF38" s="3251"/>
      <c r="CG38" s="3251"/>
      <c r="CH38" s="3251"/>
      <c r="CI38" s="3251">
        <f t="shared" si="0"/>
        <v>0</v>
      </c>
    </row>
    <row r="39" spans="1:87">
      <c r="A39" s="1604" t="s">
        <v>2554</v>
      </c>
      <c r="B39" s="1004"/>
      <c r="C39" s="431" t="s">
        <v>3731</v>
      </c>
      <c r="D39" s="908" t="s">
        <v>65</v>
      </c>
      <c r="E39" s="1608" t="s">
        <v>3213</v>
      </c>
      <c r="F39" s="442">
        <v>0</v>
      </c>
      <c r="G39" s="442"/>
      <c r="H39" s="442">
        <v>0</v>
      </c>
      <c r="I39" s="442"/>
      <c r="J39" s="442"/>
      <c r="K39" s="446"/>
      <c r="L39" s="277"/>
      <c r="M39" s="281">
        <f>L39/100000</f>
        <v>0</v>
      </c>
      <c r="N39" s="277"/>
      <c r="O39" s="1605">
        <f>M39*N39</f>
        <v>0</v>
      </c>
      <c r="P39" s="775"/>
      <c r="Q39" s="1265">
        <f>'Abs5. Blood services &amp; Disorder'!Q25</f>
        <v>0</v>
      </c>
      <c r="R39" s="3023">
        <f>'Abs5. Blood services &amp; Disorder'!R25</f>
        <v>0</v>
      </c>
      <c r="BB39" s="3251"/>
      <c r="BC39" s="3251"/>
      <c r="BD39" s="3251"/>
      <c r="BE39" s="3251"/>
      <c r="BF39" s="3251"/>
      <c r="BG39" s="3251"/>
      <c r="BH39" s="3251"/>
      <c r="BI39" s="3251"/>
      <c r="BJ39" s="3251"/>
      <c r="BK39" s="3251"/>
      <c r="BL39" s="3251"/>
      <c r="BM39" s="3251"/>
      <c r="BN39" s="3251"/>
      <c r="BO39" s="3251"/>
      <c r="BP39" s="3251"/>
      <c r="BQ39" s="3251"/>
      <c r="BR39" s="3251"/>
      <c r="BS39" s="3251"/>
      <c r="BT39" s="3251"/>
      <c r="BU39" s="3251"/>
      <c r="BV39" s="3251"/>
      <c r="BW39" s="3251"/>
      <c r="BX39" s="3251"/>
      <c r="BY39" s="3251"/>
      <c r="BZ39" s="3251"/>
      <c r="CA39" s="3251"/>
      <c r="CB39" s="3251"/>
      <c r="CC39" s="3251"/>
      <c r="CD39" s="3251"/>
      <c r="CE39" s="3251"/>
      <c r="CF39" s="3251"/>
      <c r="CG39" s="3251"/>
      <c r="CH39" s="3251"/>
      <c r="CI39" s="3251">
        <f t="shared" si="0"/>
        <v>0</v>
      </c>
    </row>
    <row r="40" spans="1:87">
      <c r="A40" s="84">
        <v>11.23</v>
      </c>
      <c r="B40" s="84"/>
      <c r="C40" s="84" t="s">
        <v>2441</v>
      </c>
      <c r="D40" s="929"/>
      <c r="E40" s="929"/>
      <c r="F40" s="335"/>
      <c r="G40" s="335"/>
      <c r="H40" s="335"/>
      <c r="I40" s="335"/>
      <c r="J40" s="335"/>
      <c r="K40" s="335"/>
      <c r="L40" s="335"/>
      <c r="M40" s="1149"/>
      <c r="N40" s="335"/>
      <c r="O40" s="1149">
        <f>O41+O42</f>
        <v>0</v>
      </c>
      <c r="P40" s="705"/>
      <c r="Q40" s="1602"/>
      <c r="R40" s="3020">
        <f>R41+R42</f>
        <v>0</v>
      </c>
      <c r="BB40" s="3251"/>
      <c r="BC40" s="3251"/>
      <c r="BD40" s="3251"/>
      <c r="BE40" s="3251"/>
      <c r="BF40" s="3251"/>
      <c r="BG40" s="3251"/>
      <c r="BH40" s="3251"/>
      <c r="BI40" s="3251"/>
      <c r="BJ40" s="3251"/>
      <c r="BK40" s="3251"/>
      <c r="BL40" s="3251"/>
      <c r="BM40" s="3251"/>
      <c r="BN40" s="3251"/>
      <c r="BO40" s="3251"/>
      <c r="BP40" s="3251"/>
      <c r="BQ40" s="3251"/>
      <c r="BR40" s="3251"/>
      <c r="BS40" s="3251"/>
      <c r="BT40" s="3251"/>
      <c r="BU40" s="3251"/>
      <c r="BV40" s="3251"/>
      <c r="BW40" s="3251"/>
      <c r="BX40" s="3251"/>
      <c r="BY40" s="3251"/>
      <c r="BZ40" s="3251"/>
      <c r="CA40" s="3251"/>
      <c r="CB40" s="3251"/>
      <c r="CC40" s="3251"/>
      <c r="CD40" s="3251"/>
      <c r="CE40" s="3251"/>
      <c r="CF40" s="3251"/>
      <c r="CG40" s="3251"/>
      <c r="CH40" s="3251"/>
      <c r="CI40" s="3251">
        <f t="shared" si="0"/>
        <v>0</v>
      </c>
    </row>
    <row r="41" spans="1:87">
      <c r="A41" s="1604" t="s">
        <v>2436</v>
      </c>
      <c r="B41" s="1611"/>
      <c r="C41" s="1604"/>
      <c r="D41" s="908" t="s">
        <v>65</v>
      </c>
      <c r="E41" s="1608" t="s">
        <v>4723</v>
      </c>
      <c r="F41" s="441">
        <v>0</v>
      </c>
      <c r="G41" s="441"/>
      <c r="H41" s="441">
        <v>0</v>
      </c>
      <c r="I41" s="441"/>
      <c r="J41" s="441"/>
      <c r="K41" s="442"/>
      <c r="L41" s="277"/>
      <c r="M41" s="281">
        <f>L41/100000</f>
        <v>0</v>
      </c>
      <c r="N41" s="277"/>
      <c r="O41" s="1605">
        <f>M41*N41</f>
        <v>0</v>
      </c>
      <c r="P41" s="774"/>
      <c r="Q41" s="1265">
        <f>'Ab3. ASHA'!Q95</f>
        <v>0</v>
      </c>
      <c r="R41" s="3023">
        <f>'Ab3. ASHA'!R95</f>
        <v>0</v>
      </c>
      <c r="BB41" s="3251"/>
      <c r="BC41" s="3251"/>
      <c r="BD41" s="3251"/>
      <c r="BE41" s="3251"/>
      <c r="BF41" s="3251"/>
      <c r="BG41" s="3251"/>
      <c r="BH41" s="3251"/>
      <c r="BI41" s="3251"/>
      <c r="BJ41" s="3251"/>
      <c r="BK41" s="3251"/>
      <c r="BL41" s="3251"/>
      <c r="BM41" s="3251"/>
      <c r="BN41" s="3251"/>
      <c r="BO41" s="3251"/>
      <c r="BP41" s="3251"/>
      <c r="BQ41" s="3251"/>
      <c r="BR41" s="3251"/>
      <c r="BS41" s="3251"/>
      <c r="BT41" s="3251"/>
      <c r="BU41" s="3251"/>
      <c r="BV41" s="3251"/>
      <c r="BW41" s="3251"/>
      <c r="BX41" s="3251"/>
      <c r="BY41" s="3251"/>
      <c r="BZ41" s="3251"/>
      <c r="CA41" s="3251"/>
      <c r="CB41" s="3251"/>
      <c r="CC41" s="3251"/>
      <c r="CD41" s="3251"/>
      <c r="CE41" s="3251"/>
      <c r="CF41" s="3251"/>
      <c r="CG41" s="3251"/>
      <c r="CH41" s="3251"/>
      <c r="CI41" s="3251">
        <f t="shared" si="0"/>
        <v>0</v>
      </c>
    </row>
    <row r="42" spans="1:87">
      <c r="A42" s="1604" t="s">
        <v>2567</v>
      </c>
      <c r="B42" s="1611"/>
      <c r="C42" s="431"/>
      <c r="D42" s="908" t="s">
        <v>65</v>
      </c>
      <c r="E42" s="1608" t="s">
        <v>4723</v>
      </c>
      <c r="F42" s="441">
        <v>0</v>
      </c>
      <c r="G42" s="441"/>
      <c r="H42" s="441">
        <v>0</v>
      </c>
      <c r="I42" s="441"/>
      <c r="J42" s="441"/>
      <c r="K42" s="442"/>
      <c r="L42" s="277"/>
      <c r="M42" s="281">
        <f>L42/100000</f>
        <v>0</v>
      </c>
      <c r="N42" s="277"/>
      <c r="O42" s="1605">
        <f>M42*N42</f>
        <v>0</v>
      </c>
      <c r="P42" s="774"/>
      <c r="Q42" s="1265">
        <f>'Ab3. ASHA'!Q96</f>
        <v>0</v>
      </c>
      <c r="R42" s="3023">
        <f>'Ab3. ASHA'!R96</f>
        <v>0</v>
      </c>
      <c r="BB42" s="3251"/>
      <c r="BC42" s="3251"/>
      <c r="BD42" s="3251"/>
      <c r="BE42" s="3251"/>
      <c r="BF42" s="3251"/>
      <c r="BG42" s="3251"/>
      <c r="BH42" s="3251"/>
      <c r="BI42" s="3251"/>
      <c r="BJ42" s="3251"/>
      <c r="BK42" s="3251"/>
      <c r="BL42" s="3251"/>
      <c r="BM42" s="3251"/>
      <c r="BN42" s="3251"/>
      <c r="BO42" s="3251"/>
      <c r="BP42" s="3251"/>
      <c r="BQ42" s="3251"/>
      <c r="BR42" s="3251"/>
      <c r="BS42" s="3251"/>
      <c r="BT42" s="3251"/>
      <c r="BU42" s="3251"/>
      <c r="BV42" s="3251"/>
      <c r="BW42" s="3251"/>
      <c r="BX42" s="3251"/>
      <c r="BY42" s="3251"/>
      <c r="BZ42" s="3251"/>
      <c r="CA42" s="3251"/>
      <c r="CB42" s="3251"/>
      <c r="CC42" s="3251"/>
      <c r="CD42" s="3251"/>
      <c r="CE42" s="3251"/>
      <c r="CF42" s="3251"/>
      <c r="CG42" s="3251"/>
      <c r="CH42" s="3251"/>
      <c r="CI42" s="3251">
        <f t="shared" si="0"/>
        <v>0</v>
      </c>
    </row>
    <row r="43" spans="1:87" s="1613" customFormat="1" ht="45">
      <c r="A43" s="2629" t="s">
        <v>2437</v>
      </c>
      <c r="B43" s="1087" t="s">
        <v>2031</v>
      </c>
      <c r="C43" s="1004" t="s">
        <v>3755</v>
      </c>
      <c r="D43" s="982" t="s">
        <v>65</v>
      </c>
      <c r="E43" s="1620" t="s">
        <v>4218</v>
      </c>
      <c r="F43" s="2302">
        <v>350</v>
      </c>
      <c r="G43" s="2302"/>
      <c r="H43" s="2302">
        <v>137.5</v>
      </c>
      <c r="I43" s="2302">
        <v>22.68</v>
      </c>
      <c r="J43" s="448">
        <v>114.82</v>
      </c>
      <c r="K43" s="2302">
        <v>1</v>
      </c>
      <c r="L43" s="283">
        <v>3500</v>
      </c>
      <c r="M43" s="2261">
        <f>L43/100000</f>
        <v>3.5000000000000003E-2</v>
      </c>
      <c r="N43" s="283">
        <v>2104</v>
      </c>
      <c r="O43" s="1612">
        <f>M43*N43</f>
        <v>73.64</v>
      </c>
      <c r="P43" s="2303" t="s">
        <v>5446</v>
      </c>
      <c r="Q43" s="2300" t="str">
        <f>'Abs6. CPHC'!Q29</f>
        <v>Recommended for approvalRs 73.64L for IEC @ Rs 3500 for 2104 HWC (SHC, PHC HWC, UPHC HWC)</v>
      </c>
      <c r="R43" s="3024">
        <f>'Abs6. CPHC'!R29</f>
        <v>73.64</v>
      </c>
      <c r="BB43" s="3252">
        <v>73.64</v>
      </c>
      <c r="BC43" s="3252"/>
      <c r="BD43" s="3252"/>
      <c r="BE43" s="3252"/>
      <c r="BF43" s="3252"/>
      <c r="BG43" s="3252"/>
      <c r="BH43" s="3252"/>
      <c r="BI43" s="3252"/>
      <c r="BJ43" s="3252"/>
      <c r="BK43" s="3252"/>
      <c r="BL43" s="3252"/>
      <c r="BM43" s="3252"/>
      <c r="BN43" s="3252"/>
      <c r="BO43" s="3252"/>
      <c r="BP43" s="3252"/>
      <c r="BQ43" s="3252"/>
      <c r="BR43" s="3252"/>
      <c r="BS43" s="3252"/>
      <c r="BT43" s="3252"/>
      <c r="BU43" s="3252"/>
      <c r="BV43" s="3252"/>
      <c r="BW43" s="3252"/>
      <c r="BX43" s="3252"/>
      <c r="BY43" s="3252"/>
      <c r="BZ43" s="3252"/>
      <c r="CA43" s="3252"/>
      <c r="CB43" s="3252"/>
      <c r="CC43" s="3252"/>
      <c r="CD43" s="3252"/>
      <c r="CE43" s="3252"/>
      <c r="CF43" s="3252"/>
      <c r="CG43" s="3252"/>
      <c r="CH43" s="3252"/>
      <c r="CI43" s="3251">
        <f t="shared" si="0"/>
        <v>73.64</v>
      </c>
    </row>
    <row r="44" spans="1:87" ht="45">
      <c r="A44" s="1604" t="s">
        <v>3876</v>
      </c>
      <c r="B44" s="1611"/>
      <c r="C44" s="431" t="s">
        <v>3887</v>
      </c>
      <c r="D44" s="908" t="s">
        <v>65</v>
      </c>
      <c r="E44" s="1120" t="s">
        <v>3769</v>
      </c>
      <c r="F44" s="442">
        <v>23</v>
      </c>
      <c r="G44" s="442"/>
      <c r="H44" s="442">
        <v>3.1</v>
      </c>
      <c r="I44" s="442"/>
      <c r="J44" s="442"/>
      <c r="K44" s="442"/>
      <c r="L44" s="277"/>
      <c r="M44" s="281">
        <f>L44/100000</f>
        <v>0</v>
      </c>
      <c r="N44" s="277"/>
      <c r="O44" s="1605">
        <f>M44*N44</f>
        <v>0</v>
      </c>
      <c r="P44" s="773"/>
      <c r="Q44" s="1278"/>
      <c r="R44" s="3022"/>
      <c r="BB44" s="3251"/>
      <c r="BC44" s="3251"/>
      <c r="BD44" s="3251"/>
      <c r="BE44" s="3251"/>
      <c r="BF44" s="3251"/>
      <c r="BG44" s="3251"/>
      <c r="BH44" s="3251"/>
      <c r="BI44" s="3251"/>
      <c r="BJ44" s="3251"/>
      <c r="BK44" s="3251"/>
      <c r="BL44" s="3251"/>
      <c r="BM44" s="3251"/>
      <c r="BN44" s="3251"/>
      <c r="BO44" s="3251"/>
      <c r="BP44" s="3251"/>
      <c r="BQ44" s="3251"/>
      <c r="BR44" s="3251"/>
      <c r="BS44" s="3251"/>
      <c r="BT44" s="3251"/>
      <c r="BU44" s="3251"/>
      <c r="BV44" s="3251"/>
      <c r="BW44" s="3251"/>
      <c r="BX44" s="3251"/>
      <c r="BY44" s="3251"/>
      <c r="BZ44" s="3251"/>
      <c r="CA44" s="3251"/>
      <c r="CB44" s="3251"/>
      <c r="CC44" s="3251"/>
      <c r="CD44" s="3251"/>
      <c r="CE44" s="3251"/>
      <c r="CF44" s="3251"/>
      <c r="CG44" s="3251"/>
      <c r="CH44" s="3251"/>
      <c r="CI44" s="3251">
        <f t="shared" si="0"/>
        <v>0</v>
      </c>
    </row>
    <row r="45" spans="1:87" s="1613" customFormat="1" ht="30">
      <c r="A45" s="1611" t="s">
        <v>4349</v>
      </c>
      <c r="B45" s="1611"/>
      <c r="C45" s="1004" t="s">
        <v>4398</v>
      </c>
      <c r="D45" s="908" t="s">
        <v>65</v>
      </c>
      <c r="E45" s="1075" t="s">
        <v>4397</v>
      </c>
      <c r="F45" s="449">
        <v>0</v>
      </c>
      <c r="G45" s="449"/>
      <c r="H45" s="449">
        <v>0</v>
      </c>
      <c r="I45" s="449"/>
      <c r="J45" s="449"/>
      <c r="K45" s="449"/>
      <c r="L45" s="277"/>
      <c r="M45" s="281">
        <f>L45/100000</f>
        <v>0</v>
      </c>
      <c r="N45" s="277"/>
      <c r="O45" s="1612">
        <f>M45*N45</f>
        <v>0</v>
      </c>
      <c r="P45" s="776"/>
      <c r="Q45" s="1265"/>
      <c r="R45" s="3023"/>
      <c r="BB45" s="3252"/>
      <c r="BC45" s="3252"/>
      <c r="BD45" s="3252"/>
      <c r="BE45" s="3252"/>
      <c r="BF45" s="3252"/>
      <c r="BG45" s="3252"/>
      <c r="BH45" s="3252"/>
      <c r="BI45" s="3252"/>
      <c r="BJ45" s="3252"/>
      <c r="BK45" s="3252"/>
      <c r="BL45" s="3252"/>
      <c r="BM45" s="3252"/>
      <c r="BN45" s="3252"/>
      <c r="BO45" s="3252"/>
      <c r="BP45" s="3252"/>
      <c r="BQ45" s="3252"/>
      <c r="BR45" s="3252"/>
      <c r="BS45" s="3252"/>
      <c r="BT45" s="3252"/>
      <c r="BU45" s="3252"/>
      <c r="BV45" s="3252"/>
      <c r="BW45" s="3252"/>
      <c r="BX45" s="3252"/>
      <c r="BY45" s="3252"/>
      <c r="BZ45" s="3252"/>
      <c r="CA45" s="3252"/>
      <c r="CB45" s="3252"/>
      <c r="CC45" s="3252"/>
      <c r="CD45" s="3252"/>
      <c r="CE45" s="3252"/>
      <c r="CF45" s="3252"/>
      <c r="CG45" s="3252"/>
      <c r="CH45" s="3252"/>
      <c r="CI45" s="3251">
        <f t="shared" si="0"/>
        <v>0</v>
      </c>
    </row>
    <row r="46" spans="1:87">
      <c r="A46" s="1232">
        <v>11.24</v>
      </c>
      <c r="B46" s="928"/>
      <c r="C46" s="84" t="s">
        <v>1425</v>
      </c>
      <c r="D46" s="929"/>
      <c r="E46" s="929"/>
      <c r="F46" s="335"/>
      <c r="G46" s="335"/>
      <c r="H46" s="335"/>
      <c r="I46" s="335"/>
      <c r="J46" s="335"/>
      <c r="K46" s="335"/>
      <c r="L46" s="335"/>
      <c r="M46" s="1149"/>
      <c r="N46" s="335"/>
      <c r="O46" s="1149">
        <f>SUM(O47:O50)</f>
        <v>130.64004</v>
      </c>
      <c r="P46" s="705"/>
      <c r="Q46" s="1602"/>
      <c r="R46" s="1149">
        <f>SUM(R47:R50)</f>
        <v>120.64</v>
      </c>
      <c r="BB46" s="3251"/>
      <c r="BC46" s="3251"/>
      <c r="BD46" s="3251"/>
      <c r="BE46" s="3251"/>
      <c r="BF46" s="3251"/>
      <c r="BG46" s="3251"/>
      <c r="BH46" s="3251"/>
      <c r="BI46" s="3251"/>
      <c r="BJ46" s="3251"/>
      <c r="BK46" s="3251"/>
      <c r="BL46" s="3251"/>
      <c r="BM46" s="3251"/>
      <c r="BN46" s="3251"/>
      <c r="BO46" s="3251"/>
      <c r="BP46" s="3251"/>
      <c r="BQ46" s="3251"/>
      <c r="BR46" s="3251"/>
      <c r="BS46" s="3251"/>
      <c r="BT46" s="3251"/>
      <c r="BU46" s="3251"/>
      <c r="BV46" s="3251"/>
      <c r="BW46" s="3251"/>
      <c r="BX46" s="3251"/>
      <c r="BY46" s="3251"/>
      <c r="BZ46" s="3251"/>
      <c r="CA46" s="3251"/>
      <c r="CB46" s="3251"/>
      <c r="CC46" s="3251"/>
      <c r="CD46" s="3251"/>
      <c r="CE46" s="3251"/>
      <c r="CF46" s="3251"/>
      <c r="CG46" s="3251"/>
      <c r="CH46" s="3251"/>
      <c r="CI46" s="3251">
        <f t="shared" si="0"/>
        <v>0</v>
      </c>
    </row>
    <row r="47" spans="1:87" s="1574" customFormat="1" ht="30">
      <c r="A47" s="1604">
        <v>11.2</v>
      </c>
      <c r="B47" s="431" t="s">
        <v>1429</v>
      </c>
      <c r="C47" s="431" t="s">
        <v>1430</v>
      </c>
      <c r="D47" s="908" t="s">
        <v>65</v>
      </c>
      <c r="E47" s="1608" t="s">
        <v>65</v>
      </c>
      <c r="F47" s="441">
        <v>0</v>
      </c>
      <c r="G47" s="441"/>
      <c r="H47" s="441">
        <v>0</v>
      </c>
      <c r="I47" s="441"/>
      <c r="J47" s="441"/>
      <c r="K47" s="442"/>
      <c r="L47" s="277"/>
      <c r="M47" s="281">
        <f>L47/100000</f>
        <v>0</v>
      </c>
      <c r="N47" s="277"/>
      <c r="O47" s="1605">
        <f>M47*N47</f>
        <v>0</v>
      </c>
      <c r="P47" s="774"/>
      <c r="Q47" s="1278"/>
      <c r="R47" s="3022"/>
      <c r="BB47" s="3246"/>
      <c r="BC47" s="3246"/>
      <c r="BD47" s="3246"/>
      <c r="BE47" s="3246"/>
      <c r="BF47" s="3246"/>
      <c r="BG47" s="3246"/>
      <c r="BH47" s="3246"/>
      <c r="BI47" s="3246"/>
      <c r="BJ47" s="3246"/>
      <c r="BK47" s="3246"/>
      <c r="BL47" s="3246"/>
      <c r="BM47" s="3246"/>
      <c r="BN47" s="3246"/>
      <c r="BO47" s="3246"/>
      <c r="BP47" s="3246"/>
      <c r="BQ47" s="3246"/>
      <c r="BR47" s="3246"/>
      <c r="BS47" s="3246"/>
      <c r="BT47" s="3246"/>
      <c r="BU47" s="3246"/>
      <c r="BV47" s="3246"/>
      <c r="BW47" s="3246"/>
      <c r="BX47" s="3246"/>
      <c r="BY47" s="3246"/>
      <c r="BZ47" s="3246"/>
      <c r="CA47" s="3246"/>
      <c r="CB47" s="3246"/>
      <c r="CC47" s="3246"/>
      <c r="CD47" s="3246"/>
      <c r="CE47" s="3246"/>
      <c r="CF47" s="3246"/>
      <c r="CG47" s="3246"/>
      <c r="CH47" s="3246"/>
      <c r="CI47" s="3251">
        <f t="shared" si="0"/>
        <v>0</v>
      </c>
    </row>
    <row r="48" spans="1:87" s="2482" customFormat="1" ht="130.5" customHeight="1">
      <c r="A48" s="1611">
        <v>11.3</v>
      </c>
      <c r="B48" s="1004" t="s">
        <v>1431</v>
      </c>
      <c r="C48" s="1004" t="s">
        <v>1432</v>
      </c>
      <c r="D48" s="982" t="s">
        <v>65</v>
      </c>
      <c r="E48" s="1620" t="s">
        <v>65</v>
      </c>
      <c r="F48" s="448">
        <v>1</v>
      </c>
      <c r="G48" s="448"/>
      <c r="H48" s="448">
        <v>52.8</v>
      </c>
      <c r="I48" s="448">
        <v>35.630000000000003</v>
      </c>
      <c r="J48" s="448">
        <v>17.170000000000002</v>
      </c>
      <c r="K48" s="2480"/>
      <c r="L48" s="2477">
        <v>5564000</v>
      </c>
      <c r="M48" s="2261">
        <f>L48/100000</f>
        <v>55.64</v>
      </c>
      <c r="N48" s="283">
        <v>1</v>
      </c>
      <c r="O48" s="1612">
        <f>M48*N48</f>
        <v>55.64</v>
      </c>
      <c r="P48" s="2481" t="s">
        <v>5246</v>
      </c>
      <c r="Q48" s="3030" t="s">
        <v>5876</v>
      </c>
      <c r="R48" s="3031">
        <f>10+11+7.92+16.72</f>
        <v>45.64</v>
      </c>
      <c r="BB48" s="2364">
        <v>28.84</v>
      </c>
      <c r="BC48" s="2364">
        <f>+(3000*15+15000*4)/100000</f>
        <v>1.05</v>
      </c>
      <c r="BD48" s="2364">
        <f>+(3000*15+15000*7)/100000</f>
        <v>1.5</v>
      </c>
      <c r="BE48" s="2364">
        <f>+(3000*15+15000*6)/100000</f>
        <v>1.35</v>
      </c>
      <c r="BF48" s="2364">
        <f>+(3000*15+15000*13)/100000</f>
        <v>2.4</v>
      </c>
      <c r="BG48" s="2364">
        <f>+(3000*15+15000*3)/100000</f>
        <v>0.9</v>
      </c>
      <c r="BH48" s="2364">
        <f>+(3000*15+15000*5)/100000</f>
        <v>1.2</v>
      </c>
      <c r="BI48" s="2364">
        <f>+(3000*15+15000*2)/100000</f>
        <v>0.75</v>
      </c>
      <c r="BJ48" s="2364">
        <f>+(3000*15+15000*11)/100000</f>
        <v>2.1</v>
      </c>
      <c r="BK48" s="2364">
        <f>+(3000*15+15000*10)/100000</f>
        <v>1.95</v>
      </c>
      <c r="BL48" s="2364">
        <f>+(3000*15+15000*5)/100000</f>
        <v>1.2</v>
      </c>
      <c r="BM48" s="2364">
        <f>+(3000*15+15000*5)/100000</f>
        <v>1.2</v>
      </c>
      <c r="BN48" s="2364">
        <f>+(3000*15+15000*5)/100000</f>
        <v>1.2</v>
      </c>
      <c r="BO48" s="2364"/>
      <c r="BP48" s="2364"/>
      <c r="BQ48" s="2364"/>
      <c r="BR48" s="2364"/>
      <c r="BS48" s="2364"/>
      <c r="BT48" s="2364"/>
      <c r="BU48" s="2364"/>
      <c r="BV48" s="2364"/>
      <c r="BW48" s="2364"/>
      <c r="BX48" s="2364"/>
      <c r="BY48" s="2364"/>
      <c r="BZ48" s="2364"/>
      <c r="CA48" s="2364"/>
      <c r="CB48" s="2364"/>
      <c r="CC48" s="2364"/>
      <c r="CD48" s="2364"/>
      <c r="CE48" s="2364"/>
      <c r="CF48" s="2364"/>
      <c r="CG48" s="2364"/>
      <c r="CH48" s="2364"/>
      <c r="CI48" s="3251">
        <f t="shared" si="0"/>
        <v>45.640000000000015</v>
      </c>
    </row>
    <row r="49" spans="1:87" s="2327" customFormat="1" ht="30">
      <c r="A49" s="1611" t="s">
        <v>2568</v>
      </c>
      <c r="B49" s="1004" t="s">
        <v>1433</v>
      </c>
      <c r="C49" s="1004" t="s">
        <v>2413</v>
      </c>
      <c r="D49" s="982" t="s">
        <v>65</v>
      </c>
      <c r="E49" s="1620" t="s">
        <v>65</v>
      </c>
      <c r="F49" s="448">
        <v>0</v>
      </c>
      <c r="G49" s="448"/>
      <c r="H49" s="448">
        <v>0</v>
      </c>
      <c r="I49" s="448"/>
      <c r="J49" s="448"/>
      <c r="K49" s="449"/>
      <c r="L49" s="283"/>
      <c r="M49" s="2261">
        <f>L49/100000</f>
        <v>0</v>
      </c>
      <c r="N49" s="283"/>
      <c r="O49" s="1612">
        <f>M49*N49</f>
        <v>0</v>
      </c>
      <c r="P49" s="778"/>
      <c r="Q49" s="3019"/>
      <c r="R49" s="3025"/>
      <c r="BB49" s="3253"/>
      <c r="BC49" s="3253"/>
      <c r="BD49" s="3253"/>
      <c r="BE49" s="3253"/>
      <c r="BF49" s="3253"/>
      <c r="BG49" s="3253"/>
      <c r="BH49" s="3253"/>
      <c r="BI49" s="3253"/>
      <c r="BJ49" s="3253"/>
      <c r="BK49" s="3253"/>
      <c r="BL49" s="3253"/>
      <c r="BM49" s="3253"/>
      <c r="BN49" s="3253"/>
      <c r="BO49" s="3253"/>
      <c r="BP49" s="3253"/>
      <c r="BQ49" s="3253"/>
      <c r="BR49" s="3253"/>
      <c r="BS49" s="3253"/>
      <c r="BT49" s="3253"/>
      <c r="BU49" s="3253"/>
      <c r="BV49" s="3253"/>
      <c r="BW49" s="3253"/>
      <c r="BX49" s="3253"/>
      <c r="BY49" s="3253"/>
      <c r="BZ49" s="3253"/>
      <c r="CA49" s="3253"/>
      <c r="CB49" s="3253"/>
      <c r="CC49" s="3253"/>
      <c r="CD49" s="3253"/>
      <c r="CE49" s="3253"/>
      <c r="CF49" s="3253"/>
      <c r="CG49" s="3253"/>
      <c r="CH49" s="3253"/>
      <c r="CI49" s="3251">
        <f t="shared" si="0"/>
        <v>0</v>
      </c>
    </row>
    <row r="50" spans="1:87" s="1614" customFormat="1">
      <c r="A50" s="1615" t="s">
        <v>2569</v>
      </c>
      <c r="B50" s="1616" t="s">
        <v>1434</v>
      </c>
      <c r="C50" s="1615" t="s">
        <v>2570</v>
      </c>
      <c r="D50" s="1370"/>
      <c r="E50" s="939"/>
      <c r="F50" s="357"/>
      <c r="G50" s="357"/>
      <c r="H50" s="357"/>
      <c r="I50" s="357"/>
      <c r="J50" s="357"/>
      <c r="K50" s="357"/>
      <c r="L50" s="451"/>
      <c r="M50" s="1366"/>
      <c r="N50" s="357"/>
      <c r="O50" s="1369">
        <f>SUM(O51:O55)</f>
        <v>75.000039999999998</v>
      </c>
      <c r="P50" s="757"/>
      <c r="Q50" s="1617"/>
      <c r="R50" s="1369">
        <f>SUM(R51:R55)</f>
        <v>75</v>
      </c>
      <c r="BB50" s="3254"/>
      <c r="BC50" s="3254"/>
      <c r="BD50" s="3254"/>
      <c r="BE50" s="3254"/>
      <c r="BF50" s="3254"/>
      <c r="BG50" s="3254"/>
      <c r="BH50" s="3254"/>
      <c r="BI50" s="3254"/>
      <c r="BJ50" s="3254"/>
      <c r="BK50" s="3254"/>
      <c r="BL50" s="3254"/>
      <c r="BM50" s="3254"/>
      <c r="BN50" s="3254"/>
      <c r="BO50" s="3254"/>
      <c r="BP50" s="3254"/>
      <c r="BQ50" s="3254"/>
      <c r="BR50" s="3254"/>
      <c r="BS50" s="3254"/>
      <c r="BT50" s="3254"/>
      <c r="BU50" s="3254"/>
      <c r="BV50" s="3254"/>
      <c r="BW50" s="3254"/>
      <c r="BX50" s="3254"/>
      <c r="BY50" s="3254"/>
      <c r="BZ50" s="3254"/>
      <c r="CA50" s="3254"/>
      <c r="CB50" s="3254"/>
      <c r="CC50" s="3254"/>
      <c r="CD50" s="3254"/>
      <c r="CE50" s="3254"/>
      <c r="CF50" s="3254"/>
      <c r="CG50" s="3254"/>
      <c r="CH50" s="3254"/>
      <c r="CI50" s="3251">
        <f t="shared" si="0"/>
        <v>0</v>
      </c>
    </row>
    <row r="51" spans="1:87" s="2327" customFormat="1" ht="120">
      <c r="A51" s="1004" t="s">
        <v>2770</v>
      </c>
      <c r="B51" s="1004" t="s">
        <v>1435</v>
      </c>
      <c r="C51" s="1004" t="s">
        <v>1436</v>
      </c>
      <c r="D51" s="982" t="s">
        <v>65</v>
      </c>
      <c r="E51" s="1620" t="s">
        <v>65</v>
      </c>
      <c r="F51" s="2483">
        <v>0</v>
      </c>
      <c r="G51" s="2483"/>
      <c r="H51" s="2483">
        <v>0</v>
      </c>
      <c r="I51" s="2483"/>
      <c r="J51" s="2483"/>
      <c r="K51" s="449"/>
      <c r="L51" s="2477">
        <v>7500000</v>
      </c>
      <c r="M51" s="2261">
        <f>L51/100000</f>
        <v>75</v>
      </c>
      <c r="N51" s="283">
        <v>1</v>
      </c>
      <c r="O51" s="1612">
        <f>M51*N51</f>
        <v>75</v>
      </c>
      <c r="P51" s="2484" t="s">
        <v>5247</v>
      </c>
      <c r="Q51" s="3030" t="s">
        <v>5877</v>
      </c>
      <c r="R51" s="3031">
        <v>75</v>
      </c>
      <c r="BB51" s="3253">
        <v>75</v>
      </c>
      <c r="BC51" s="3253"/>
      <c r="BD51" s="3253"/>
      <c r="BE51" s="3253"/>
      <c r="BF51" s="3253"/>
      <c r="BG51" s="3253"/>
      <c r="BH51" s="3253"/>
      <c r="BI51" s="3253"/>
      <c r="BJ51" s="3253"/>
      <c r="BK51" s="3253"/>
      <c r="BL51" s="3253"/>
      <c r="BM51" s="3253"/>
      <c r="BN51" s="3253"/>
      <c r="BO51" s="3253"/>
      <c r="BP51" s="3253"/>
      <c r="BQ51" s="3253"/>
      <c r="BR51" s="3253"/>
      <c r="BS51" s="3253"/>
      <c r="BT51" s="3253"/>
      <c r="BU51" s="3253"/>
      <c r="BV51" s="3253"/>
      <c r="BW51" s="3253"/>
      <c r="BX51" s="3253"/>
      <c r="BY51" s="3253"/>
      <c r="BZ51" s="3253"/>
      <c r="CA51" s="3253"/>
      <c r="CB51" s="3253"/>
      <c r="CC51" s="3253"/>
      <c r="CD51" s="3253"/>
      <c r="CE51" s="3253"/>
      <c r="CF51" s="3253"/>
      <c r="CG51" s="3253"/>
      <c r="CH51" s="3253"/>
      <c r="CI51" s="3251">
        <f t="shared" si="0"/>
        <v>75</v>
      </c>
    </row>
    <row r="52" spans="1:87" s="2327" customFormat="1" ht="60">
      <c r="A52" s="1004" t="s">
        <v>2771</v>
      </c>
      <c r="B52" s="1004" t="s">
        <v>1437</v>
      </c>
      <c r="C52" s="1004" t="s">
        <v>1438</v>
      </c>
      <c r="D52" s="982" t="s">
        <v>65</v>
      </c>
      <c r="E52" s="1620" t="s">
        <v>65</v>
      </c>
      <c r="F52" s="449">
        <v>0</v>
      </c>
      <c r="G52" s="449"/>
      <c r="H52" s="449">
        <v>0</v>
      </c>
      <c r="I52" s="449"/>
      <c r="J52" s="449"/>
      <c r="K52" s="449"/>
      <c r="L52" s="2477">
        <v>5880000</v>
      </c>
      <c r="M52" s="2261">
        <f>L52/100000</f>
        <v>58.8</v>
      </c>
      <c r="N52" s="283"/>
      <c r="O52" s="1612">
        <f>M52*N52</f>
        <v>0</v>
      </c>
      <c r="P52" s="776" t="s">
        <v>5248</v>
      </c>
      <c r="Q52" s="3019"/>
      <c r="R52" s="3025"/>
      <c r="BB52" s="3253"/>
      <c r="BC52" s="3253"/>
      <c r="BD52" s="3253"/>
      <c r="BE52" s="3253"/>
      <c r="BF52" s="3253"/>
      <c r="BG52" s="3253"/>
      <c r="BH52" s="3253"/>
      <c r="BI52" s="3253"/>
      <c r="BJ52" s="3253"/>
      <c r="BK52" s="3253"/>
      <c r="BL52" s="3253"/>
      <c r="BM52" s="3253"/>
      <c r="BN52" s="3253"/>
      <c r="BO52" s="3253"/>
      <c r="BP52" s="3253"/>
      <c r="BQ52" s="3253"/>
      <c r="BR52" s="3253"/>
      <c r="BS52" s="3253"/>
      <c r="BT52" s="3253"/>
      <c r="BU52" s="3253"/>
      <c r="BV52" s="3253"/>
      <c r="BW52" s="3253"/>
      <c r="BX52" s="3253"/>
      <c r="BY52" s="3253"/>
      <c r="BZ52" s="3253"/>
      <c r="CA52" s="3253"/>
      <c r="CB52" s="3253"/>
      <c r="CC52" s="3253"/>
      <c r="CD52" s="3253"/>
      <c r="CE52" s="3253"/>
      <c r="CF52" s="3253"/>
      <c r="CG52" s="3253"/>
      <c r="CH52" s="3253"/>
      <c r="CI52" s="3251">
        <f t="shared" si="0"/>
        <v>0</v>
      </c>
    </row>
    <row r="53" spans="1:87" s="1614" customFormat="1">
      <c r="A53" s="431" t="s">
        <v>2772</v>
      </c>
      <c r="B53" s="431" t="s">
        <v>1439</v>
      </c>
      <c r="C53" s="431" t="s">
        <v>1440</v>
      </c>
      <c r="D53" s="908" t="s">
        <v>65</v>
      </c>
      <c r="E53" s="1608" t="s">
        <v>65</v>
      </c>
      <c r="F53" s="442">
        <v>0</v>
      </c>
      <c r="G53" s="442"/>
      <c r="H53" s="442">
        <v>0</v>
      </c>
      <c r="I53" s="442"/>
      <c r="J53" s="442"/>
      <c r="K53" s="442"/>
      <c r="L53" s="277"/>
      <c r="M53" s="281">
        <f>L53/100000</f>
        <v>0</v>
      </c>
      <c r="N53" s="277"/>
      <c r="O53" s="1605">
        <f>M53*N53</f>
        <v>0</v>
      </c>
      <c r="P53" s="773"/>
      <c r="Q53" s="1278"/>
      <c r="R53" s="3022"/>
      <c r="BB53" s="3254"/>
      <c r="BC53" s="3254"/>
      <c r="BD53" s="3254"/>
      <c r="BE53" s="3254"/>
      <c r="BF53" s="3254"/>
      <c r="BG53" s="3254"/>
      <c r="BH53" s="3254"/>
      <c r="BI53" s="3254"/>
      <c r="BJ53" s="3254"/>
      <c r="BK53" s="3254"/>
      <c r="BL53" s="3254"/>
      <c r="BM53" s="3254"/>
      <c r="BN53" s="3254"/>
      <c r="BO53" s="3254"/>
      <c r="BP53" s="3254"/>
      <c r="BQ53" s="3254"/>
      <c r="BR53" s="3254"/>
      <c r="BS53" s="3254"/>
      <c r="BT53" s="3254"/>
      <c r="BU53" s="3254"/>
      <c r="BV53" s="3254"/>
      <c r="BW53" s="3254"/>
      <c r="BX53" s="3254"/>
      <c r="BY53" s="3254"/>
      <c r="BZ53" s="3254"/>
      <c r="CA53" s="3254"/>
      <c r="CB53" s="3254"/>
      <c r="CC53" s="3254"/>
      <c r="CD53" s="3254"/>
      <c r="CE53" s="3254"/>
      <c r="CF53" s="3254"/>
      <c r="CG53" s="3254"/>
      <c r="CH53" s="3254"/>
      <c r="CI53" s="3251">
        <f t="shared" si="0"/>
        <v>0</v>
      </c>
    </row>
    <row r="54" spans="1:87" s="2327" customFormat="1" ht="45">
      <c r="A54" s="1004" t="s">
        <v>2773</v>
      </c>
      <c r="B54" s="1004" t="s">
        <v>1441</v>
      </c>
      <c r="C54" s="1004" t="s">
        <v>1442</v>
      </c>
      <c r="D54" s="982" t="s">
        <v>65</v>
      </c>
      <c r="E54" s="1620" t="s">
        <v>65</v>
      </c>
      <c r="F54" s="449">
        <v>0</v>
      </c>
      <c r="G54" s="449"/>
      <c r="H54" s="449">
        <v>0</v>
      </c>
      <c r="I54" s="449"/>
      <c r="J54" s="449"/>
      <c r="K54" s="449"/>
      <c r="L54" s="2477">
        <v>6000000</v>
      </c>
      <c r="M54" s="2261">
        <f>L54/100000</f>
        <v>60</v>
      </c>
      <c r="N54" s="283"/>
      <c r="O54" s="1612">
        <f>M54*N54</f>
        <v>0</v>
      </c>
      <c r="P54" s="776" t="s">
        <v>5249</v>
      </c>
      <c r="Q54" s="3019" t="s">
        <v>5878</v>
      </c>
      <c r="R54" s="3025">
        <v>0</v>
      </c>
      <c r="BB54" s="3253"/>
      <c r="BC54" s="3253"/>
      <c r="BD54" s="3253"/>
      <c r="BE54" s="3253"/>
      <c r="BF54" s="3253"/>
      <c r="BG54" s="3253"/>
      <c r="BH54" s="3253"/>
      <c r="BI54" s="3253"/>
      <c r="BJ54" s="3253"/>
      <c r="BK54" s="3253"/>
      <c r="BL54" s="3253"/>
      <c r="BM54" s="3253"/>
      <c r="BN54" s="3253"/>
      <c r="BO54" s="3253"/>
      <c r="BP54" s="3253"/>
      <c r="BQ54" s="3253"/>
      <c r="BR54" s="3253"/>
      <c r="BS54" s="3253"/>
      <c r="BT54" s="3253"/>
      <c r="BU54" s="3253"/>
      <c r="BV54" s="3253"/>
      <c r="BW54" s="3253"/>
      <c r="BX54" s="3253"/>
      <c r="BY54" s="3253"/>
      <c r="BZ54" s="3253"/>
      <c r="CA54" s="3253"/>
      <c r="CB54" s="3253"/>
      <c r="CC54" s="3253"/>
      <c r="CD54" s="3253"/>
      <c r="CE54" s="3253"/>
      <c r="CF54" s="3253"/>
      <c r="CG54" s="3253"/>
      <c r="CH54" s="3253"/>
      <c r="CI54" s="3251">
        <f t="shared" si="0"/>
        <v>0</v>
      </c>
    </row>
    <row r="55" spans="1:87" s="1613" customFormat="1" ht="30">
      <c r="A55" s="1611" t="s">
        <v>4396</v>
      </c>
      <c r="B55" s="1611"/>
      <c r="C55" s="1611" t="s">
        <v>1304</v>
      </c>
      <c r="D55" s="982" t="s">
        <v>65</v>
      </c>
      <c r="E55" s="1620"/>
      <c r="F55" s="449">
        <v>12</v>
      </c>
      <c r="G55" s="449"/>
      <c r="H55" s="449">
        <v>12</v>
      </c>
      <c r="I55" s="449"/>
      <c r="J55" s="449"/>
      <c r="K55" s="2375"/>
      <c r="L55" s="2477">
        <v>1</v>
      </c>
      <c r="M55" s="2261">
        <f>L55/100000</f>
        <v>1.0000000000000001E-5</v>
      </c>
      <c r="N55" s="283">
        <v>4</v>
      </c>
      <c r="O55" s="1612">
        <f>M55*N55</f>
        <v>4.0000000000000003E-5</v>
      </c>
      <c r="P55" s="776" t="s">
        <v>5250</v>
      </c>
      <c r="Q55" s="3019" t="s">
        <v>5878</v>
      </c>
      <c r="R55" s="3025">
        <v>0</v>
      </c>
      <c r="BB55" s="3252"/>
      <c r="BC55" s="3252"/>
      <c r="BD55" s="3252"/>
      <c r="BE55" s="3252"/>
      <c r="BF55" s="3252"/>
      <c r="BG55" s="3252"/>
      <c r="BH55" s="3252"/>
      <c r="BI55" s="3252"/>
      <c r="BJ55" s="3252"/>
      <c r="BK55" s="3252"/>
      <c r="BL55" s="3252"/>
      <c r="BM55" s="3252"/>
      <c r="BN55" s="3252"/>
      <c r="BO55" s="3252"/>
      <c r="BP55" s="3252"/>
      <c r="BQ55" s="3252"/>
      <c r="BR55" s="3252"/>
      <c r="BS55" s="3252"/>
      <c r="BT55" s="3252"/>
      <c r="BU55" s="3252"/>
      <c r="BV55" s="3252"/>
      <c r="BW55" s="3252"/>
      <c r="BX55" s="3252"/>
      <c r="BY55" s="3252"/>
      <c r="BZ55" s="3252"/>
      <c r="CA55" s="3252"/>
      <c r="CB55" s="3252"/>
      <c r="CC55" s="3252"/>
      <c r="CD55" s="3252"/>
      <c r="CE55" s="3252"/>
      <c r="CF55" s="3252"/>
      <c r="CG55" s="3252"/>
      <c r="CH55" s="3252"/>
      <c r="CI55" s="3251">
        <f t="shared" si="0"/>
        <v>0</v>
      </c>
    </row>
    <row r="56" spans="1:87" s="1601" customFormat="1">
      <c r="A56" s="3970"/>
      <c r="B56" s="3970"/>
      <c r="C56" s="3970"/>
      <c r="D56" s="1597"/>
      <c r="E56" s="1597"/>
      <c r="F56" s="685"/>
      <c r="G56" s="685"/>
      <c r="H56" s="685"/>
      <c r="I56" s="685"/>
      <c r="J56" s="685"/>
      <c r="K56" s="685"/>
      <c r="L56" s="685"/>
      <c r="M56" s="1599"/>
      <c r="N56" s="685"/>
      <c r="O56" s="3028"/>
      <c r="P56" s="764"/>
      <c r="Q56" s="1609"/>
      <c r="R56" s="3000"/>
      <c r="BB56" s="3250"/>
      <c r="BC56" s="3250"/>
      <c r="BD56" s="3250"/>
      <c r="BE56" s="3250"/>
      <c r="BF56" s="3250"/>
      <c r="BG56" s="3250"/>
      <c r="BH56" s="3250"/>
      <c r="BI56" s="3250"/>
      <c r="BJ56" s="3250"/>
      <c r="BK56" s="3250"/>
      <c r="BL56" s="3250"/>
      <c r="BM56" s="3250"/>
      <c r="BN56" s="3250"/>
      <c r="BO56" s="3250"/>
      <c r="BP56" s="3250"/>
      <c r="BQ56" s="3250"/>
      <c r="BR56" s="3250"/>
      <c r="BS56" s="3250"/>
      <c r="BT56" s="3250"/>
      <c r="BU56" s="3250"/>
      <c r="BV56" s="3250"/>
      <c r="BW56" s="3250"/>
      <c r="BX56" s="3250"/>
      <c r="BY56" s="3250"/>
      <c r="BZ56" s="3250"/>
      <c r="CA56" s="3250"/>
      <c r="CB56" s="3250"/>
      <c r="CC56" s="3250"/>
      <c r="CD56" s="3250"/>
      <c r="CE56" s="3250"/>
      <c r="CF56" s="3250"/>
      <c r="CG56" s="3250"/>
      <c r="CH56" s="3250"/>
      <c r="CI56" s="3251">
        <f t="shared" si="0"/>
        <v>0</v>
      </c>
    </row>
    <row r="57" spans="1:87" s="1614" customFormat="1">
      <c r="A57" s="84">
        <v>11.15</v>
      </c>
      <c r="B57" s="928"/>
      <c r="C57" s="84" t="s">
        <v>1386</v>
      </c>
      <c r="D57" s="929"/>
      <c r="E57" s="929"/>
      <c r="F57" s="335"/>
      <c r="G57" s="335"/>
      <c r="H57" s="335"/>
      <c r="I57" s="335"/>
      <c r="J57" s="335"/>
      <c r="K57" s="335"/>
      <c r="L57" s="335"/>
      <c r="M57" s="1149"/>
      <c r="N57" s="335"/>
      <c r="O57" s="1149">
        <f>SUM(O58:O65)</f>
        <v>12</v>
      </c>
      <c r="P57" s="705"/>
      <c r="Q57" s="1602"/>
      <c r="R57" s="3020">
        <f>SUM(R58:R65)</f>
        <v>10.8</v>
      </c>
      <c r="BB57" s="3254"/>
      <c r="BC57" s="3254"/>
      <c r="BD57" s="3254"/>
      <c r="BE57" s="3254"/>
      <c r="BF57" s="3254"/>
      <c r="BG57" s="3254"/>
      <c r="BH57" s="3254"/>
      <c r="BI57" s="3254"/>
      <c r="BJ57" s="3254"/>
      <c r="BK57" s="3254"/>
      <c r="BL57" s="3254"/>
      <c r="BM57" s="3254"/>
      <c r="BN57" s="3254"/>
      <c r="BO57" s="3254"/>
      <c r="BP57" s="3254"/>
      <c r="BQ57" s="3254"/>
      <c r="BR57" s="3254"/>
      <c r="BS57" s="3254"/>
      <c r="BT57" s="3254"/>
      <c r="BU57" s="3254"/>
      <c r="BV57" s="3254"/>
      <c r="BW57" s="3254"/>
      <c r="BX57" s="3254"/>
      <c r="BY57" s="3254"/>
      <c r="BZ57" s="3254"/>
      <c r="CA57" s="3254"/>
      <c r="CB57" s="3254"/>
      <c r="CC57" s="3254"/>
      <c r="CD57" s="3254"/>
      <c r="CE57" s="3254"/>
      <c r="CF57" s="3254"/>
      <c r="CG57" s="3254"/>
      <c r="CH57" s="3254"/>
      <c r="CI57" s="3251">
        <f t="shared" si="0"/>
        <v>0</v>
      </c>
    </row>
    <row r="58" spans="1:87" s="2327" customFormat="1" ht="30">
      <c r="A58" s="1611" t="s">
        <v>1410</v>
      </c>
      <c r="B58" s="1004" t="s">
        <v>1388</v>
      </c>
      <c r="C58" s="1004" t="s">
        <v>1389</v>
      </c>
      <c r="D58" s="982" t="s">
        <v>4219</v>
      </c>
      <c r="E58" s="2636" t="s">
        <v>4714</v>
      </c>
      <c r="F58" s="449">
        <v>7</v>
      </c>
      <c r="G58" s="449"/>
      <c r="H58" s="450">
        <v>3.5</v>
      </c>
      <c r="I58" s="450">
        <v>4.87</v>
      </c>
      <c r="J58" s="449">
        <v>-1.37</v>
      </c>
      <c r="K58" s="353"/>
      <c r="L58" s="283">
        <v>25000</v>
      </c>
      <c r="M58" s="2261">
        <f t="shared" ref="M58:M65" si="3">L58/100000</f>
        <v>0.25</v>
      </c>
      <c r="N58" s="283">
        <v>12</v>
      </c>
      <c r="O58" s="1612">
        <f t="shared" ref="O58:O65" si="4">M58*N58</f>
        <v>3</v>
      </c>
      <c r="P58" s="797" t="s">
        <v>5458</v>
      </c>
      <c r="Q58" s="2300" t="str">
        <f>'Abs9. NVBDCP'!Q90</f>
        <v xml:space="preserve">Activity Recommended for Malaria Day. </v>
      </c>
      <c r="R58" s="3026">
        <f>'Abs9. NVBDCP'!R90</f>
        <v>3</v>
      </c>
      <c r="BB58" s="3253">
        <v>0.93</v>
      </c>
      <c r="BC58" s="3253">
        <v>0.13</v>
      </c>
      <c r="BD58" s="3253">
        <v>0.19</v>
      </c>
      <c r="BE58" s="3253">
        <v>0.17</v>
      </c>
      <c r="BF58" s="3253">
        <v>0.36</v>
      </c>
      <c r="BG58" s="3253">
        <v>0</v>
      </c>
      <c r="BH58" s="3253">
        <v>0.15</v>
      </c>
      <c r="BI58" s="3253">
        <v>0</v>
      </c>
      <c r="BJ58" s="3253">
        <v>0.32</v>
      </c>
      <c r="BK58" s="3253">
        <v>0.3</v>
      </c>
      <c r="BL58" s="3253">
        <v>0.15</v>
      </c>
      <c r="BM58" s="3253">
        <v>0.15</v>
      </c>
      <c r="BN58" s="3253">
        <v>0.15</v>
      </c>
      <c r="BO58" s="3253"/>
      <c r="BP58" s="3253"/>
      <c r="BQ58" s="3253"/>
      <c r="BR58" s="3253"/>
      <c r="BS58" s="3253"/>
      <c r="BT58" s="3253"/>
      <c r="BU58" s="3253"/>
      <c r="BV58" s="3253"/>
      <c r="BW58" s="3253"/>
      <c r="BX58" s="3253"/>
      <c r="BY58" s="3253"/>
      <c r="BZ58" s="3253"/>
      <c r="CA58" s="3253"/>
      <c r="CB58" s="3253"/>
      <c r="CC58" s="3253"/>
      <c r="CD58" s="3253"/>
      <c r="CE58" s="3253"/>
      <c r="CF58" s="3253"/>
      <c r="CG58" s="3253"/>
      <c r="CH58" s="3253"/>
      <c r="CI58" s="3251">
        <f t="shared" si="0"/>
        <v>2.9999999999999991</v>
      </c>
    </row>
    <row r="59" spans="1:87" s="2327" customFormat="1" ht="30">
      <c r="A59" s="1611" t="s">
        <v>1413</v>
      </c>
      <c r="B59" s="1004" t="s">
        <v>1390</v>
      </c>
      <c r="C59" s="1004" t="s">
        <v>1391</v>
      </c>
      <c r="D59" s="982" t="s">
        <v>4219</v>
      </c>
      <c r="E59" s="2636" t="s">
        <v>4709</v>
      </c>
      <c r="F59" s="449">
        <v>7</v>
      </c>
      <c r="G59" s="449"/>
      <c r="H59" s="450">
        <v>3.5</v>
      </c>
      <c r="I59" s="450">
        <v>1.94</v>
      </c>
      <c r="J59" s="449">
        <v>1.56</v>
      </c>
      <c r="K59" s="353"/>
      <c r="L59" s="283">
        <v>25000</v>
      </c>
      <c r="M59" s="2261">
        <f t="shared" si="3"/>
        <v>0.25</v>
      </c>
      <c r="N59" s="283">
        <v>12</v>
      </c>
      <c r="O59" s="1612">
        <f t="shared" si="4"/>
        <v>3</v>
      </c>
      <c r="P59" s="797" t="s">
        <v>5459</v>
      </c>
      <c r="Q59" s="2300" t="str">
        <f>'Abs9. NVBDCP'!Q91</f>
        <v>Activity Recommended for Dengue Day.</v>
      </c>
      <c r="R59" s="3026">
        <f>'Abs9. NVBDCP'!R91</f>
        <v>3</v>
      </c>
      <c r="BB59" s="3253">
        <v>0.93</v>
      </c>
      <c r="BC59" s="3253">
        <v>0.13</v>
      </c>
      <c r="BD59" s="3253">
        <v>0.19</v>
      </c>
      <c r="BE59" s="3253">
        <v>0.17</v>
      </c>
      <c r="BF59" s="3253">
        <v>0.36</v>
      </c>
      <c r="BG59" s="3253">
        <v>0</v>
      </c>
      <c r="BH59" s="3253">
        <v>0.15</v>
      </c>
      <c r="BI59" s="3253">
        <v>0</v>
      </c>
      <c r="BJ59" s="3253">
        <v>0.32</v>
      </c>
      <c r="BK59" s="3253">
        <v>0.3</v>
      </c>
      <c r="BL59" s="3253">
        <v>0.15</v>
      </c>
      <c r="BM59" s="3253">
        <v>0.15</v>
      </c>
      <c r="BN59" s="3253">
        <v>0.15</v>
      </c>
      <c r="BO59" s="3253"/>
      <c r="BP59" s="3253"/>
      <c r="BQ59" s="3253"/>
      <c r="BR59" s="3253"/>
      <c r="BS59" s="3253"/>
      <c r="BT59" s="3253"/>
      <c r="BU59" s="3253"/>
      <c r="BV59" s="3253"/>
      <c r="BW59" s="3253"/>
      <c r="BX59" s="3253"/>
      <c r="BY59" s="3253"/>
      <c r="BZ59" s="3253"/>
      <c r="CA59" s="3253"/>
      <c r="CB59" s="3253"/>
      <c r="CC59" s="3253"/>
      <c r="CD59" s="3253"/>
      <c r="CE59" s="3253"/>
      <c r="CF59" s="3253"/>
      <c r="CG59" s="3253"/>
      <c r="CH59" s="3253"/>
      <c r="CI59" s="3251">
        <f t="shared" si="0"/>
        <v>2.9999999999999991</v>
      </c>
    </row>
    <row r="60" spans="1:87" s="1614" customFormat="1">
      <c r="A60" s="1604" t="s">
        <v>2427</v>
      </c>
      <c r="B60" s="431" t="s">
        <v>1392</v>
      </c>
      <c r="C60" s="431" t="s">
        <v>1393</v>
      </c>
      <c r="D60" s="910" t="s">
        <v>4219</v>
      </c>
      <c r="E60" s="1619" t="s">
        <v>4710</v>
      </c>
      <c r="F60" s="442">
        <v>0</v>
      </c>
      <c r="G60" s="442"/>
      <c r="H60" s="442">
        <v>0</v>
      </c>
      <c r="I60" s="442"/>
      <c r="J60" s="442"/>
      <c r="K60" s="442"/>
      <c r="L60" s="277"/>
      <c r="M60" s="281">
        <f t="shared" si="3"/>
        <v>0</v>
      </c>
      <c r="N60" s="277"/>
      <c r="O60" s="1605">
        <f t="shared" si="4"/>
        <v>0</v>
      </c>
      <c r="P60" s="774"/>
      <c r="Q60" s="1265">
        <f>'Abs9. NVBDCP'!Q92</f>
        <v>0</v>
      </c>
      <c r="R60" s="3023">
        <f>'Abs9. NVBDCP'!R92</f>
        <v>0</v>
      </c>
      <c r="BB60" s="3254"/>
      <c r="BC60" s="3254"/>
      <c r="BD60" s="3254"/>
      <c r="BE60" s="3254"/>
      <c r="BF60" s="3254"/>
      <c r="BG60" s="3254"/>
      <c r="BH60" s="3254"/>
      <c r="BI60" s="3254"/>
      <c r="BJ60" s="3254"/>
      <c r="BK60" s="3254"/>
      <c r="BL60" s="3254"/>
      <c r="BM60" s="3254"/>
      <c r="BN60" s="3254"/>
      <c r="BO60" s="3254"/>
      <c r="BP60" s="3254"/>
      <c r="BQ60" s="3254"/>
      <c r="BR60" s="3254"/>
      <c r="BS60" s="3254"/>
      <c r="BT60" s="3254"/>
      <c r="BU60" s="3254"/>
      <c r="BV60" s="3254"/>
      <c r="BW60" s="3254"/>
      <c r="BX60" s="3254"/>
      <c r="BY60" s="3254"/>
      <c r="BZ60" s="3254"/>
      <c r="CA60" s="3254"/>
      <c r="CB60" s="3254"/>
      <c r="CC60" s="3254"/>
      <c r="CD60" s="3254"/>
      <c r="CE60" s="3254"/>
      <c r="CF60" s="3254"/>
      <c r="CG60" s="3254"/>
      <c r="CH60" s="3254"/>
      <c r="CI60" s="3251">
        <f t="shared" si="0"/>
        <v>0</v>
      </c>
    </row>
    <row r="61" spans="1:87" s="1614" customFormat="1" ht="60">
      <c r="A61" s="1604" t="s">
        <v>2428</v>
      </c>
      <c r="B61" s="431" t="s">
        <v>1394</v>
      </c>
      <c r="C61" s="431" t="s">
        <v>1395</v>
      </c>
      <c r="D61" s="910" t="s">
        <v>4219</v>
      </c>
      <c r="E61" s="1619" t="s">
        <v>4711</v>
      </c>
      <c r="F61" s="442">
        <v>0</v>
      </c>
      <c r="G61" s="442"/>
      <c r="H61" s="442">
        <v>0</v>
      </c>
      <c r="I61" s="442"/>
      <c r="J61" s="442"/>
      <c r="K61" s="442"/>
      <c r="L61" s="277"/>
      <c r="M61" s="281">
        <f t="shared" si="3"/>
        <v>0</v>
      </c>
      <c r="N61" s="277"/>
      <c r="O61" s="1605">
        <f t="shared" si="4"/>
        <v>0</v>
      </c>
      <c r="P61" s="774"/>
      <c r="Q61" s="1265">
        <f>'Abs9. NVBDCP'!Q93</f>
        <v>0</v>
      </c>
      <c r="R61" s="3023">
        <f>'Abs9. NVBDCP'!R93</f>
        <v>0</v>
      </c>
      <c r="BB61" s="3254"/>
      <c r="BC61" s="3254"/>
      <c r="BD61" s="3254"/>
      <c r="BE61" s="3254"/>
      <c r="BF61" s="3254"/>
      <c r="BG61" s="3254"/>
      <c r="BH61" s="3254"/>
      <c r="BI61" s="3254"/>
      <c r="BJ61" s="3254"/>
      <c r="BK61" s="3254"/>
      <c r="BL61" s="3254"/>
      <c r="BM61" s="3254"/>
      <c r="BN61" s="3254"/>
      <c r="BO61" s="3254"/>
      <c r="BP61" s="3254"/>
      <c r="BQ61" s="3254"/>
      <c r="BR61" s="3254"/>
      <c r="BS61" s="3254"/>
      <c r="BT61" s="3254"/>
      <c r="BU61" s="3254"/>
      <c r="BV61" s="3254"/>
      <c r="BW61" s="3254"/>
      <c r="BX61" s="3254"/>
      <c r="BY61" s="3254"/>
      <c r="BZ61" s="3254"/>
      <c r="CA61" s="3254"/>
      <c r="CB61" s="3254"/>
      <c r="CC61" s="3254"/>
      <c r="CD61" s="3254"/>
      <c r="CE61" s="3254"/>
      <c r="CF61" s="3254"/>
      <c r="CG61" s="3254"/>
      <c r="CH61" s="3254"/>
      <c r="CI61" s="3251">
        <f t="shared" si="0"/>
        <v>0</v>
      </c>
    </row>
    <row r="62" spans="1:87" s="1614" customFormat="1">
      <c r="A62" s="1604" t="s">
        <v>2429</v>
      </c>
      <c r="B62" s="431" t="s">
        <v>1396</v>
      </c>
      <c r="C62" s="431" t="s">
        <v>1397</v>
      </c>
      <c r="D62" s="910" t="s">
        <v>4219</v>
      </c>
      <c r="E62" s="1619" t="s">
        <v>4712</v>
      </c>
      <c r="F62" s="442">
        <v>0</v>
      </c>
      <c r="G62" s="442"/>
      <c r="H62" s="442">
        <v>0</v>
      </c>
      <c r="I62" s="442"/>
      <c r="J62" s="442"/>
      <c r="K62" s="442"/>
      <c r="L62" s="277"/>
      <c r="M62" s="281">
        <f t="shared" si="3"/>
        <v>0</v>
      </c>
      <c r="N62" s="277"/>
      <c r="O62" s="1605">
        <f t="shared" si="4"/>
        <v>0</v>
      </c>
      <c r="P62" s="774"/>
      <c r="Q62" s="1265">
        <f>'Abs9. NVBDCP'!Q94</f>
        <v>0</v>
      </c>
      <c r="R62" s="3023">
        <f>'Abs9. NVBDCP'!R94</f>
        <v>0</v>
      </c>
      <c r="BB62" s="3254"/>
      <c r="BC62" s="3254"/>
      <c r="BD62" s="3254"/>
      <c r="BE62" s="3254"/>
      <c r="BF62" s="3254"/>
      <c r="BG62" s="3254"/>
      <c r="BH62" s="3254"/>
      <c r="BI62" s="3254"/>
      <c r="BJ62" s="3254"/>
      <c r="BK62" s="3254"/>
      <c r="BL62" s="3254"/>
      <c r="BM62" s="3254"/>
      <c r="BN62" s="3254"/>
      <c r="BO62" s="3254"/>
      <c r="BP62" s="3254"/>
      <c r="BQ62" s="3254"/>
      <c r="BR62" s="3254"/>
      <c r="BS62" s="3254"/>
      <c r="BT62" s="3254"/>
      <c r="BU62" s="3254"/>
      <c r="BV62" s="3254"/>
      <c r="BW62" s="3254"/>
      <c r="BX62" s="3254"/>
      <c r="BY62" s="3254"/>
      <c r="BZ62" s="3254"/>
      <c r="CA62" s="3254"/>
      <c r="CB62" s="3254"/>
      <c r="CC62" s="3254"/>
      <c r="CD62" s="3254"/>
      <c r="CE62" s="3254"/>
      <c r="CF62" s="3254"/>
      <c r="CG62" s="3254"/>
      <c r="CH62" s="3254"/>
      <c r="CI62" s="3251">
        <f t="shared" si="0"/>
        <v>0</v>
      </c>
    </row>
    <row r="63" spans="1:87" s="1614" customFormat="1">
      <c r="A63" s="1604" t="s">
        <v>2430</v>
      </c>
      <c r="B63" s="431" t="s">
        <v>1398</v>
      </c>
      <c r="C63" s="431" t="s">
        <v>1399</v>
      </c>
      <c r="D63" s="910" t="s">
        <v>4219</v>
      </c>
      <c r="E63" s="1619" t="s">
        <v>1542</v>
      </c>
      <c r="F63" s="442">
        <v>0</v>
      </c>
      <c r="G63" s="442"/>
      <c r="H63" s="442">
        <v>0</v>
      </c>
      <c r="I63" s="442"/>
      <c r="J63" s="442"/>
      <c r="K63" s="442"/>
      <c r="L63" s="277"/>
      <c r="M63" s="281">
        <f t="shared" si="3"/>
        <v>0</v>
      </c>
      <c r="N63" s="277"/>
      <c r="O63" s="1605">
        <f t="shared" si="4"/>
        <v>0</v>
      </c>
      <c r="P63" s="774"/>
      <c r="Q63" s="1265">
        <f>'Abs9. NVBDCP'!Q95</f>
        <v>0</v>
      </c>
      <c r="R63" s="3023">
        <f>'Abs9. NVBDCP'!R95</f>
        <v>0</v>
      </c>
      <c r="BB63" s="3254"/>
      <c r="BC63" s="3254"/>
      <c r="BD63" s="3254"/>
      <c r="BE63" s="3254"/>
      <c r="BF63" s="3254"/>
      <c r="BG63" s="3254"/>
      <c r="BH63" s="3254"/>
      <c r="BI63" s="3254"/>
      <c r="BJ63" s="3254"/>
      <c r="BK63" s="3254"/>
      <c r="BL63" s="3254"/>
      <c r="BM63" s="3254"/>
      <c r="BN63" s="3254"/>
      <c r="BO63" s="3254"/>
      <c r="BP63" s="3254"/>
      <c r="BQ63" s="3254"/>
      <c r="BR63" s="3254"/>
      <c r="BS63" s="3254"/>
      <c r="BT63" s="3254"/>
      <c r="BU63" s="3254"/>
      <c r="BV63" s="3254"/>
      <c r="BW63" s="3254"/>
      <c r="BX63" s="3254"/>
      <c r="BY63" s="3254"/>
      <c r="BZ63" s="3254"/>
      <c r="CA63" s="3254"/>
      <c r="CB63" s="3254"/>
      <c r="CC63" s="3254"/>
      <c r="CD63" s="3254"/>
      <c r="CE63" s="3254"/>
      <c r="CF63" s="3254"/>
      <c r="CG63" s="3254"/>
      <c r="CH63" s="3254"/>
      <c r="CI63" s="3251">
        <f t="shared" si="0"/>
        <v>0</v>
      </c>
    </row>
    <row r="64" spans="1:87" s="2327" customFormat="1">
      <c r="A64" s="1611" t="s">
        <v>2559</v>
      </c>
      <c r="B64" s="1004"/>
      <c r="C64" s="1004" t="s">
        <v>3727</v>
      </c>
      <c r="D64" s="982" t="s">
        <v>4219</v>
      </c>
      <c r="E64" s="2636" t="s">
        <v>4714</v>
      </c>
      <c r="F64" s="449">
        <v>0</v>
      </c>
      <c r="G64" s="449"/>
      <c r="H64" s="449">
        <v>0</v>
      </c>
      <c r="I64" s="449"/>
      <c r="J64" s="449"/>
      <c r="K64" s="449">
        <v>12</v>
      </c>
      <c r="L64" s="2545">
        <v>50000</v>
      </c>
      <c r="M64" s="2261">
        <f t="shared" si="3"/>
        <v>0.5</v>
      </c>
      <c r="N64" s="2545">
        <v>12</v>
      </c>
      <c r="O64" s="1612">
        <f t="shared" si="4"/>
        <v>6</v>
      </c>
      <c r="P64" s="778" t="s">
        <v>5460</v>
      </c>
      <c r="Q64" s="2300" t="str">
        <f>'Abs9. NVBDCP'!Q96</f>
        <v xml:space="preserve">Activity Recommended. </v>
      </c>
      <c r="R64" s="3026">
        <f>'Abs9. NVBDCP'!R96</f>
        <v>4.8</v>
      </c>
      <c r="BB64" s="3253"/>
      <c r="BC64" s="3253">
        <v>0.6</v>
      </c>
      <c r="BD64" s="3253">
        <v>0.4</v>
      </c>
      <c r="BE64" s="3253">
        <v>0.4</v>
      </c>
      <c r="BF64" s="3253">
        <v>0.5</v>
      </c>
      <c r="BG64" s="3253">
        <v>0</v>
      </c>
      <c r="BH64" s="3253">
        <v>0.4</v>
      </c>
      <c r="BI64" s="3253">
        <v>0</v>
      </c>
      <c r="BJ64" s="3253">
        <v>0.5</v>
      </c>
      <c r="BK64" s="3253">
        <v>0.4</v>
      </c>
      <c r="BL64" s="3253">
        <v>0.5</v>
      </c>
      <c r="BM64" s="3253">
        <v>0.5</v>
      </c>
      <c r="BN64" s="3253">
        <v>0.6</v>
      </c>
      <c r="BO64" s="3253"/>
      <c r="BP64" s="3253"/>
      <c r="BQ64" s="3253"/>
      <c r="BR64" s="3253"/>
      <c r="BS64" s="3253"/>
      <c r="BT64" s="3253"/>
      <c r="BU64" s="3253"/>
      <c r="BV64" s="3253"/>
      <c r="BW64" s="3253"/>
      <c r="BX64" s="3253"/>
      <c r="BY64" s="3253"/>
      <c r="BZ64" s="3253"/>
      <c r="CA64" s="3253"/>
      <c r="CB64" s="3253"/>
      <c r="CC64" s="3253"/>
      <c r="CD64" s="3253"/>
      <c r="CE64" s="3253"/>
      <c r="CF64" s="3253"/>
      <c r="CG64" s="3253"/>
      <c r="CH64" s="3253"/>
      <c r="CI64" s="3251">
        <f t="shared" si="0"/>
        <v>4.7999999999999989</v>
      </c>
    </row>
    <row r="65" spans="1:87" s="2327" customFormat="1">
      <c r="A65" s="1611" t="s">
        <v>3726</v>
      </c>
      <c r="B65" s="1004"/>
      <c r="C65" s="1004" t="s">
        <v>1343</v>
      </c>
      <c r="D65" s="982" t="s">
        <v>4219</v>
      </c>
      <c r="E65" s="2636" t="s">
        <v>109</v>
      </c>
      <c r="F65" s="449">
        <v>0</v>
      </c>
      <c r="G65" s="449"/>
      <c r="H65" s="449">
        <v>0</v>
      </c>
      <c r="I65" s="449"/>
      <c r="J65" s="449"/>
      <c r="K65" s="449">
        <v>12</v>
      </c>
      <c r="L65" s="2545"/>
      <c r="M65" s="2261">
        <f t="shared" si="3"/>
        <v>0</v>
      </c>
      <c r="N65" s="283"/>
      <c r="O65" s="1612">
        <f t="shared" si="4"/>
        <v>0</v>
      </c>
      <c r="P65" s="776"/>
      <c r="Q65" s="2300">
        <f>'Abs9. NVBDCP'!Q97</f>
        <v>0</v>
      </c>
      <c r="R65" s="3026">
        <f>'Abs9. NVBDCP'!R97</f>
        <v>0</v>
      </c>
      <c r="BB65" s="3253"/>
      <c r="BC65" s="3253"/>
      <c r="BD65" s="3253"/>
      <c r="BE65" s="3253"/>
      <c r="BF65" s="3253"/>
      <c r="BG65" s="3253"/>
      <c r="BH65" s="3253"/>
      <c r="BI65" s="3253"/>
      <c r="BJ65" s="3253"/>
      <c r="BK65" s="3253"/>
      <c r="BL65" s="3253"/>
      <c r="BM65" s="3253"/>
      <c r="BN65" s="3253"/>
      <c r="BO65" s="3253"/>
      <c r="BP65" s="3253"/>
      <c r="BQ65" s="3253"/>
      <c r="BR65" s="3253"/>
      <c r="BS65" s="3253"/>
      <c r="BT65" s="3253"/>
      <c r="BU65" s="3253"/>
      <c r="BV65" s="3253"/>
      <c r="BW65" s="3253"/>
      <c r="BX65" s="3253"/>
      <c r="BY65" s="3253"/>
      <c r="BZ65" s="3253"/>
      <c r="CA65" s="3253"/>
      <c r="CB65" s="3253"/>
      <c r="CC65" s="3253"/>
      <c r="CD65" s="3253"/>
      <c r="CE65" s="3253"/>
      <c r="CF65" s="3253"/>
      <c r="CG65" s="3253"/>
      <c r="CH65" s="3253"/>
      <c r="CI65" s="3251">
        <f t="shared" si="0"/>
        <v>0</v>
      </c>
    </row>
    <row r="66" spans="1:87" s="1614" customFormat="1">
      <c r="A66" s="84">
        <v>11.16</v>
      </c>
      <c r="B66" s="928"/>
      <c r="C66" s="84" t="s">
        <v>1400</v>
      </c>
      <c r="D66" s="929"/>
      <c r="E66" s="929"/>
      <c r="F66" s="335"/>
      <c r="G66" s="335"/>
      <c r="H66" s="335"/>
      <c r="I66" s="335"/>
      <c r="J66" s="335"/>
      <c r="K66" s="335"/>
      <c r="L66" s="335"/>
      <c r="M66" s="1149"/>
      <c r="N66" s="335"/>
      <c r="O66" s="1149">
        <f>SUM(O67:O68)</f>
        <v>8</v>
      </c>
      <c r="P66" s="705"/>
      <c r="Q66" s="1602"/>
      <c r="R66" s="3020">
        <f>SUM(R67:R68)</f>
        <v>8</v>
      </c>
      <c r="BB66" s="3254"/>
      <c r="BC66" s="3254"/>
      <c r="BD66" s="3254"/>
      <c r="BE66" s="3254"/>
      <c r="BF66" s="3254"/>
      <c r="BG66" s="3254"/>
      <c r="BH66" s="3254"/>
      <c r="BI66" s="3254"/>
      <c r="BJ66" s="3254"/>
      <c r="BK66" s="3254"/>
      <c r="BL66" s="3254"/>
      <c r="BM66" s="3254"/>
      <c r="BN66" s="3254"/>
      <c r="BO66" s="3254"/>
      <c r="BP66" s="3254"/>
      <c r="BQ66" s="3254"/>
      <c r="BR66" s="3254"/>
      <c r="BS66" s="3254"/>
      <c r="BT66" s="3254"/>
      <c r="BU66" s="3254"/>
      <c r="BV66" s="3254"/>
      <c r="BW66" s="3254"/>
      <c r="BX66" s="3254"/>
      <c r="BY66" s="3254"/>
      <c r="BZ66" s="3254"/>
      <c r="CA66" s="3254"/>
      <c r="CB66" s="3254"/>
      <c r="CC66" s="3254"/>
      <c r="CD66" s="3254"/>
      <c r="CE66" s="3254"/>
      <c r="CF66" s="3254"/>
      <c r="CG66" s="3254"/>
      <c r="CH66" s="3254"/>
      <c r="CI66" s="3251">
        <f t="shared" si="0"/>
        <v>0</v>
      </c>
    </row>
    <row r="67" spans="1:87" s="2327" customFormat="1" ht="105">
      <c r="A67" s="1611" t="s">
        <v>1417</v>
      </c>
      <c r="B67" s="1004" t="s">
        <v>1402</v>
      </c>
      <c r="C67" s="1004" t="s">
        <v>5135</v>
      </c>
      <c r="D67" s="982" t="s">
        <v>4219</v>
      </c>
      <c r="E67" s="1620" t="s">
        <v>141</v>
      </c>
      <c r="F67" s="2375">
        <v>13</v>
      </c>
      <c r="G67" s="2375">
        <v>1.36</v>
      </c>
      <c r="H67" s="2375">
        <v>12.74</v>
      </c>
      <c r="I67" s="2375">
        <v>3.32</v>
      </c>
      <c r="J67" s="2375">
        <v>9.42</v>
      </c>
      <c r="K67" s="2340">
        <v>0</v>
      </c>
      <c r="L67" s="283">
        <v>98000</v>
      </c>
      <c r="M67" s="2261">
        <f>L67/100000</f>
        <v>0.98</v>
      </c>
      <c r="N67" s="283">
        <v>13</v>
      </c>
      <c r="O67" s="1612">
        <v>8</v>
      </c>
      <c r="P67" s="2376" t="s">
        <v>5205</v>
      </c>
      <c r="Q67" s="2300" t="str">
        <f>'Abs10. NLEP'!Q29</f>
        <v>Norm is @98,000 / district. Lump sum 8 lacs recommended amid COVID situation for all districts. State should ensure the availability of newly launched ASHA Flip Book (in local language) for all the ASHAs in the state.</v>
      </c>
      <c r="R67" s="3026">
        <f>'Abs10. NLEP'!R29</f>
        <v>8</v>
      </c>
      <c r="BB67" s="3253">
        <v>2.5</v>
      </c>
      <c r="BC67" s="3253">
        <v>0.35</v>
      </c>
      <c r="BD67" s="3253">
        <v>0.5</v>
      </c>
      <c r="BE67" s="3253">
        <v>0.4</v>
      </c>
      <c r="BF67" s="3253">
        <v>1</v>
      </c>
      <c r="BG67" s="3253">
        <v>0.2</v>
      </c>
      <c r="BH67" s="3253">
        <v>0.4</v>
      </c>
      <c r="BI67" s="3253">
        <v>0.2</v>
      </c>
      <c r="BJ67" s="3253">
        <v>0.6</v>
      </c>
      <c r="BK67" s="3253">
        <v>0.6</v>
      </c>
      <c r="BL67" s="3253">
        <v>0.35</v>
      </c>
      <c r="BM67" s="3253">
        <v>0.5</v>
      </c>
      <c r="BN67" s="3253">
        <v>0.4</v>
      </c>
      <c r="BO67" s="3253"/>
      <c r="BP67" s="3253"/>
      <c r="BQ67" s="3253"/>
      <c r="BR67" s="3253"/>
      <c r="BS67" s="3253"/>
      <c r="BT67" s="3253"/>
      <c r="BU67" s="3253"/>
      <c r="BV67" s="3253"/>
      <c r="BW67" s="3253"/>
      <c r="BX67" s="3253"/>
      <c r="BY67" s="3253"/>
      <c r="BZ67" s="3253"/>
      <c r="CA67" s="3253"/>
      <c r="CB67" s="3253"/>
      <c r="CC67" s="3253"/>
      <c r="CD67" s="3253"/>
      <c r="CE67" s="3253"/>
      <c r="CF67" s="3253"/>
      <c r="CG67" s="3253"/>
      <c r="CH67" s="3253"/>
      <c r="CI67" s="3251">
        <f t="shared" si="0"/>
        <v>8</v>
      </c>
    </row>
    <row r="68" spans="1:87" s="1614" customFormat="1">
      <c r="A68" s="1604" t="s">
        <v>2560</v>
      </c>
      <c r="B68" s="1004"/>
      <c r="C68" s="431" t="s">
        <v>1343</v>
      </c>
      <c r="D68" s="910" t="s">
        <v>4219</v>
      </c>
      <c r="E68" s="1608" t="s">
        <v>141</v>
      </c>
      <c r="F68" s="442">
        <v>0</v>
      </c>
      <c r="G68" s="442"/>
      <c r="H68" s="442">
        <v>0</v>
      </c>
      <c r="I68" s="442"/>
      <c r="J68" s="442"/>
      <c r="K68" s="442"/>
      <c r="L68" s="277"/>
      <c r="M68" s="281">
        <f>L68/100000</f>
        <v>0</v>
      </c>
      <c r="N68" s="277"/>
      <c r="O68" s="1605">
        <f>M68*N68</f>
        <v>0</v>
      </c>
      <c r="P68" s="774"/>
      <c r="Q68" s="1265">
        <f>'Abs10. NLEP'!Q30</f>
        <v>0</v>
      </c>
      <c r="R68" s="3023">
        <f>'Abs10. NLEP'!R30</f>
        <v>0</v>
      </c>
      <c r="BB68" s="3254"/>
      <c r="BC68" s="3254"/>
      <c r="BD68" s="3254"/>
      <c r="BE68" s="3254"/>
      <c r="BF68" s="3254"/>
      <c r="BG68" s="3254"/>
      <c r="BH68" s="3254"/>
      <c r="BI68" s="3254"/>
      <c r="BJ68" s="3254"/>
      <c r="BK68" s="3254"/>
      <c r="BL68" s="3254"/>
      <c r="BM68" s="3254"/>
      <c r="BN68" s="3254"/>
      <c r="BO68" s="3254"/>
      <c r="BP68" s="3254"/>
      <c r="BQ68" s="3254"/>
      <c r="BR68" s="3254"/>
      <c r="BS68" s="3254"/>
      <c r="BT68" s="3254"/>
      <c r="BU68" s="3254"/>
      <c r="BV68" s="3254"/>
      <c r="BW68" s="3254"/>
      <c r="BX68" s="3254"/>
      <c r="BY68" s="3254"/>
      <c r="BZ68" s="3254"/>
      <c r="CA68" s="3254"/>
      <c r="CB68" s="3254"/>
      <c r="CC68" s="3254"/>
      <c r="CD68" s="3254"/>
      <c r="CE68" s="3254"/>
      <c r="CF68" s="3254"/>
      <c r="CG68" s="3254"/>
      <c r="CH68" s="3254"/>
      <c r="CI68" s="3251">
        <f t="shared" si="0"/>
        <v>0</v>
      </c>
    </row>
    <row r="69" spans="1:87">
      <c r="A69" s="84">
        <v>11.17</v>
      </c>
      <c r="B69" s="928"/>
      <c r="C69" s="84" t="s">
        <v>4639</v>
      </c>
      <c r="D69" s="929"/>
      <c r="E69" s="929"/>
      <c r="F69" s="335"/>
      <c r="G69" s="335"/>
      <c r="H69" s="335"/>
      <c r="I69" s="335"/>
      <c r="J69" s="335"/>
      <c r="K69" s="335"/>
      <c r="L69" s="335"/>
      <c r="M69" s="1149"/>
      <c r="N69" s="335"/>
      <c r="O69" s="1149">
        <f>O70+O71+O72</f>
        <v>75.527799999999999</v>
      </c>
      <c r="P69" s="705"/>
      <c r="Q69" s="1602"/>
      <c r="R69" s="3020">
        <f>R70+R71+R72</f>
        <v>75.53</v>
      </c>
      <c r="BB69" s="3251"/>
      <c r="BC69" s="3251"/>
      <c r="BD69" s="3251"/>
      <c r="BE69" s="3251"/>
      <c r="BF69" s="3251"/>
      <c r="BG69" s="3251"/>
      <c r="BH69" s="3251"/>
      <c r="BI69" s="3251"/>
      <c r="BJ69" s="3251"/>
      <c r="BK69" s="3251"/>
      <c r="BL69" s="3251"/>
      <c r="BM69" s="3251"/>
      <c r="BN69" s="3251"/>
      <c r="BO69" s="3251"/>
      <c r="BP69" s="3251"/>
      <c r="BQ69" s="3251"/>
      <c r="BR69" s="3251"/>
      <c r="BS69" s="3251"/>
      <c r="BT69" s="3251"/>
      <c r="BU69" s="3251"/>
      <c r="BV69" s="3251"/>
      <c r="BW69" s="3251"/>
      <c r="BX69" s="3251"/>
      <c r="BY69" s="3251"/>
      <c r="BZ69" s="3251"/>
      <c r="CA69" s="3251"/>
      <c r="CB69" s="3251"/>
      <c r="CC69" s="3251"/>
      <c r="CD69" s="3251"/>
      <c r="CE69" s="3251"/>
      <c r="CF69" s="3251"/>
      <c r="CG69" s="3251"/>
      <c r="CH69" s="3251"/>
      <c r="CI69" s="3251">
        <f t="shared" si="0"/>
        <v>0</v>
      </c>
    </row>
    <row r="70" spans="1:87" s="2327" customFormat="1" ht="82.5" customHeight="1">
      <c r="A70" s="1611" t="s">
        <v>2561</v>
      </c>
      <c r="B70" s="1621" t="s">
        <v>1403</v>
      </c>
      <c r="C70" s="1621" t="s">
        <v>1404</v>
      </c>
      <c r="D70" s="2254" t="s">
        <v>4219</v>
      </c>
      <c r="E70" s="1170" t="s">
        <v>4525</v>
      </c>
      <c r="F70" s="448">
        <v>87</v>
      </c>
      <c r="G70" s="448">
        <v>31</v>
      </c>
      <c r="H70" s="448">
        <v>45.5</v>
      </c>
      <c r="I70" s="2377">
        <v>11.32</v>
      </c>
      <c r="J70" s="2377">
        <f>H70-I70</f>
        <v>34.18</v>
      </c>
      <c r="K70" s="2378">
        <v>1</v>
      </c>
      <c r="L70" s="2366">
        <v>52298</v>
      </c>
      <c r="M70" s="2261">
        <f t="shared" ref="M70:M75" si="5">L70/100000</f>
        <v>0.52298</v>
      </c>
      <c r="N70" s="2366">
        <v>110</v>
      </c>
      <c r="O70" s="1612">
        <f t="shared" ref="O70:O75" si="6">M70*N70</f>
        <v>57.527799999999999</v>
      </c>
      <c r="P70" s="2379" t="s">
        <v>5173</v>
      </c>
      <c r="Q70" s="2300" t="str">
        <f>'Abs11. NTEP'!Q41</f>
        <v>Recommended Rs 57.53 lakhs towards ACSM activities as per the plan shared by State in PIP</v>
      </c>
      <c r="R70" s="3026">
        <f>'Abs11. NTEP'!R41</f>
        <v>57.53</v>
      </c>
      <c r="BB70" s="3253">
        <v>25.65</v>
      </c>
      <c r="BC70" s="3253">
        <v>1.57</v>
      </c>
      <c r="BD70" s="3253">
        <v>2.61</v>
      </c>
      <c r="BE70" s="3253">
        <v>1.57</v>
      </c>
      <c r="BF70" s="3253">
        <v>6.27</v>
      </c>
      <c r="BG70" s="3253">
        <v>1.57</v>
      </c>
      <c r="BH70" s="3253">
        <v>2.61</v>
      </c>
      <c r="BI70" s="3253">
        <v>1.05</v>
      </c>
      <c r="BJ70" s="3253">
        <v>4.18</v>
      </c>
      <c r="BK70" s="3253">
        <v>4.18</v>
      </c>
      <c r="BL70" s="3253">
        <v>2.09</v>
      </c>
      <c r="BM70" s="3253">
        <v>2.09</v>
      </c>
      <c r="BN70" s="3253">
        <v>2.09</v>
      </c>
      <c r="BO70" s="3253"/>
      <c r="BP70" s="3253"/>
      <c r="BQ70" s="3253"/>
      <c r="BR70" s="3253"/>
      <c r="BS70" s="3253"/>
      <c r="BT70" s="3253"/>
      <c r="BU70" s="3253"/>
      <c r="BV70" s="3253"/>
      <c r="BW70" s="3253"/>
      <c r="BX70" s="3253"/>
      <c r="BY70" s="3253"/>
      <c r="BZ70" s="3253"/>
      <c r="CA70" s="3253"/>
      <c r="CB70" s="3253"/>
      <c r="CC70" s="3253"/>
      <c r="CD70" s="3253"/>
      <c r="CE70" s="3253"/>
      <c r="CF70" s="3253"/>
      <c r="CG70" s="3253"/>
      <c r="CH70" s="3253"/>
      <c r="CI70" s="3251">
        <f t="shared" si="0"/>
        <v>57.53</v>
      </c>
    </row>
    <row r="71" spans="1:87" s="2327" customFormat="1" ht="51.75" customHeight="1">
      <c r="A71" s="1611" t="s">
        <v>2562</v>
      </c>
      <c r="B71" s="1621"/>
      <c r="C71" s="2380" t="s">
        <v>4368</v>
      </c>
      <c r="D71" s="2254" t="s">
        <v>4219</v>
      </c>
      <c r="E71" s="1170" t="s">
        <v>4525</v>
      </c>
      <c r="F71" s="448">
        <v>0</v>
      </c>
      <c r="G71" s="448"/>
      <c r="H71" s="448">
        <v>0</v>
      </c>
      <c r="I71" s="448"/>
      <c r="J71" s="448">
        <v>0</v>
      </c>
      <c r="K71" s="449">
        <v>1</v>
      </c>
      <c r="L71" s="2368">
        <v>150000</v>
      </c>
      <c r="M71" s="2261">
        <f t="shared" si="5"/>
        <v>1.5</v>
      </c>
      <c r="N71" s="283">
        <v>12</v>
      </c>
      <c r="O71" s="1612">
        <f t="shared" si="6"/>
        <v>18</v>
      </c>
      <c r="P71" s="776" t="s">
        <v>5174</v>
      </c>
      <c r="Q71" s="2300" t="str">
        <f>'Abs11. NTEP'!Q42</f>
        <v>Recommended Rs 18 lakhs towards special activities under TB Harega Desh Jeetega campaign</v>
      </c>
      <c r="R71" s="3026">
        <f>'Abs11. NTEP'!R42</f>
        <v>18</v>
      </c>
      <c r="BB71" s="3253">
        <v>18</v>
      </c>
      <c r="BC71" s="3253"/>
      <c r="BD71" s="3253"/>
      <c r="BE71" s="3253"/>
      <c r="BF71" s="3253"/>
      <c r="BG71" s="3253"/>
      <c r="BH71" s="3253"/>
      <c r="BI71" s="3253"/>
      <c r="BJ71" s="3253"/>
      <c r="BK71" s="3253"/>
      <c r="BL71" s="3253"/>
      <c r="BM71" s="3253"/>
      <c r="BN71" s="3253"/>
      <c r="BO71" s="3253"/>
      <c r="BP71" s="3253"/>
      <c r="BQ71" s="3253"/>
      <c r="BR71" s="3253"/>
      <c r="BS71" s="3253"/>
      <c r="BT71" s="3253"/>
      <c r="BU71" s="3253"/>
      <c r="BV71" s="3253"/>
      <c r="BW71" s="3253"/>
      <c r="BX71" s="3253"/>
      <c r="BY71" s="3253"/>
      <c r="BZ71" s="3253"/>
      <c r="CA71" s="3253"/>
      <c r="CB71" s="3253"/>
      <c r="CC71" s="3253"/>
      <c r="CD71" s="3253"/>
      <c r="CE71" s="3253"/>
      <c r="CF71" s="3253"/>
      <c r="CG71" s="3253"/>
      <c r="CH71" s="3253"/>
      <c r="CI71" s="3251">
        <f t="shared" ref="CI71:CI108" si="7">SUM(BB71:CH71)</f>
        <v>18</v>
      </c>
    </row>
    <row r="72" spans="1:87" s="1614" customFormat="1">
      <c r="A72" s="1604" t="s">
        <v>4367</v>
      </c>
      <c r="B72" s="1621"/>
      <c r="C72" s="431" t="s">
        <v>1343</v>
      </c>
      <c r="D72" s="1007" t="s">
        <v>4219</v>
      </c>
      <c r="E72" s="1177" t="s">
        <v>4525</v>
      </c>
      <c r="F72" s="441">
        <v>0</v>
      </c>
      <c r="G72" s="441"/>
      <c r="H72" s="441">
        <v>0</v>
      </c>
      <c r="I72" s="441"/>
      <c r="J72" s="441"/>
      <c r="K72" s="442"/>
      <c r="L72" s="277"/>
      <c r="M72" s="281">
        <f t="shared" si="5"/>
        <v>0</v>
      </c>
      <c r="N72" s="277"/>
      <c r="O72" s="1605">
        <f t="shared" si="6"/>
        <v>0</v>
      </c>
      <c r="P72" s="774"/>
      <c r="Q72" s="1265">
        <f>'Abs11. NTEP'!Q43</f>
        <v>0</v>
      </c>
      <c r="R72" s="3023">
        <f>'Abs11. NTEP'!R43</f>
        <v>0</v>
      </c>
      <c r="BB72" s="3254"/>
      <c r="BC72" s="3254"/>
      <c r="BD72" s="3254"/>
      <c r="BE72" s="3254"/>
      <c r="BF72" s="3254"/>
      <c r="BG72" s="3254"/>
      <c r="BH72" s="3254"/>
      <c r="BI72" s="3254"/>
      <c r="BJ72" s="3254"/>
      <c r="BK72" s="3254"/>
      <c r="BL72" s="3254"/>
      <c r="BM72" s="3254"/>
      <c r="BN72" s="3254"/>
      <c r="BO72" s="3254"/>
      <c r="BP72" s="3254"/>
      <c r="BQ72" s="3254"/>
      <c r="BR72" s="3254"/>
      <c r="BS72" s="3254"/>
      <c r="BT72" s="3254"/>
      <c r="BU72" s="3254"/>
      <c r="BV72" s="3254"/>
      <c r="BW72" s="3254"/>
      <c r="BX72" s="3254"/>
      <c r="BY72" s="3254"/>
      <c r="BZ72" s="3254"/>
      <c r="CA72" s="3254"/>
      <c r="CB72" s="3254"/>
      <c r="CC72" s="3254"/>
      <c r="CD72" s="3254"/>
      <c r="CE72" s="3254"/>
      <c r="CF72" s="3254"/>
      <c r="CG72" s="3254"/>
      <c r="CH72" s="3254"/>
      <c r="CI72" s="3251">
        <f t="shared" si="7"/>
        <v>0</v>
      </c>
    </row>
    <row r="73" spans="1:87" s="2327" customFormat="1" ht="75">
      <c r="A73" s="1611" t="s">
        <v>3764</v>
      </c>
      <c r="B73" s="1611"/>
      <c r="C73" s="1004" t="s">
        <v>4926</v>
      </c>
      <c r="D73" s="982" t="s">
        <v>4219</v>
      </c>
      <c r="E73" s="1620" t="s">
        <v>3855</v>
      </c>
      <c r="F73" s="449">
        <v>0</v>
      </c>
      <c r="G73" s="449"/>
      <c r="H73" s="449">
        <v>0</v>
      </c>
      <c r="I73" s="449"/>
      <c r="J73" s="449"/>
      <c r="K73" s="2375"/>
      <c r="L73" s="2545">
        <v>38462</v>
      </c>
      <c r="M73" s="2261">
        <f t="shared" si="5"/>
        <v>0.38462000000000002</v>
      </c>
      <c r="N73" s="2545">
        <v>13</v>
      </c>
      <c r="O73" s="1612">
        <f t="shared" si="6"/>
        <v>5.0000600000000004</v>
      </c>
      <c r="P73" s="776" t="s">
        <v>5291</v>
      </c>
      <c r="Q73" s="2300" t="str">
        <f>'Abs13. NRCP'!Q12</f>
        <v>Rs. 5 lakhs recommended for approval subject ti the availability of funds in IEC pool</v>
      </c>
      <c r="R73" s="3026">
        <f>'Abs13. NRCP'!R12</f>
        <v>5</v>
      </c>
      <c r="BB73" s="3253">
        <v>0.4</v>
      </c>
      <c r="BC73" s="3253">
        <v>0.5</v>
      </c>
      <c r="BD73" s="3253">
        <v>0.4</v>
      </c>
      <c r="BE73" s="3253">
        <v>0.4</v>
      </c>
      <c r="BF73" s="3253">
        <v>0.5</v>
      </c>
      <c r="BG73" s="3253">
        <v>0.2</v>
      </c>
      <c r="BH73" s="3253">
        <v>0.3</v>
      </c>
      <c r="BI73" s="3253">
        <v>0.2</v>
      </c>
      <c r="BJ73" s="3253">
        <v>0.5</v>
      </c>
      <c r="BK73" s="3253">
        <v>0.5</v>
      </c>
      <c r="BL73" s="3253">
        <v>0.4</v>
      </c>
      <c r="BM73" s="3253">
        <v>0.4</v>
      </c>
      <c r="BN73" s="3253">
        <v>0.3</v>
      </c>
      <c r="BO73" s="3253"/>
      <c r="BP73" s="3253"/>
      <c r="BQ73" s="3253"/>
      <c r="BR73" s="3253"/>
      <c r="BS73" s="3253"/>
      <c r="BT73" s="3253"/>
      <c r="BU73" s="3253"/>
      <c r="BV73" s="3253"/>
      <c r="BW73" s="3253"/>
      <c r="BX73" s="3253"/>
      <c r="BY73" s="3253"/>
      <c r="BZ73" s="3253"/>
      <c r="CA73" s="3253"/>
      <c r="CB73" s="3253"/>
      <c r="CC73" s="3253"/>
      <c r="CD73" s="3253"/>
      <c r="CE73" s="3253"/>
      <c r="CF73" s="3253"/>
      <c r="CG73" s="3253"/>
      <c r="CH73" s="3253"/>
      <c r="CI73" s="3251">
        <f t="shared" si="7"/>
        <v>5.0000000000000009</v>
      </c>
    </row>
    <row r="74" spans="1:87" s="1613" customFormat="1" ht="30">
      <c r="A74" s="1611" t="s">
        <v>3886</v>
      </c>
      <c r="B74" s="1611"/>
      <c r="C74" s="1004" t="s">
        <v>4386</v>
      </c>
      <c r="D74" s="910" t="s">
        <v>4219</v>
      </c>
      <c r="E74" s="1075" t="s">
        <v>4405</v>
      </c>
      <c r="F74" s="449">
        <v>0</v>
      </c>
      <c r="G74" s="449"/>
      <c r="H74" s="449">
        <v>0</v>
      </c>
      <c r="I74" s="449"/>
      <c r="J74" s="449"/>
      <c r="K74" s="449"/>
      <c r="L74" s="277"/>
      <c r="M74" s="281">
        <f t="shared" si="5"/>
        <v>0</v>
      </c>
      <c r="N74" s="277"/>
      <c r="O74" s="1612">
        <f t="shared" si="6"/>
        <v>0</v>
      </c>
      <c r="P74" s="776"/>
      <c r="Q74" s="1265">
        <f>'Abs14. PPCL'!Q12</f>
        <v>0</v>
      </c>
      <c r="R74" s="3023">
        <f>'Abs14. PPCL'!R12</f>
        <v>0</v>
      </c>
      <c r="BB74" s="3252"/>
      <c r="BC74" s="3252"/>
      <c r="BD74" s="3252"/>
      <c r="BE74" s="3252"/>
      <c r="BF74" s="3252"/>
      <c r="BG74" s="3252"/>
      <c r="BH74" s="3252"/>
      <c r="BI74" s="3252"/>
      <c r="BJ74" s="3252"/>
      <c r="BK74" s="3252"/>
      <c r="BL74" s="3252"/>
      <c r="BM74" s="3252"/>
      <c r="BN74" s="3252"/>
      <c r="BO74" s="3252"/>
      <c r="BP74" s="3252"/>
      <c r="BQ74" s="3252"/>
      <c r="BR74" s="3252"/>
      <c r="BS74" s="3252"/>
      <c r="BT74" s="3252"/>
      <c r="BU74" s="3252"/>
      <c r="BV74" s="3252"/>
      <c r="BW74" s="3252"/>
      <c r="BX74" s="3252"/>
      <c r="BY74" s="3252"/>
      <c r="BZ74" s="3252"/>
      <c r="CA74" s="3252"/>
      <c r="CB74" s="3252"/>
      <c r="CC74" s="3252"/>
      <c r="CD74" s="3252"/>
      <c r="CE74" s="3252"/>
      <c r="CF74" s="3252"/>
      <c r="CG74" s="3252"/>
      <c r="CH74" s="3252"/>
      <c r="CI74" s="3251">
        <f t="shared" si="7"/>
        <v>0</v>
      </c>
    </row>
    <row r="75" spans="1:87" s="1613" customFormat="1" ht="45">
      <c r="A75" s="1611"/>
      <c r="B75" s="1611"/>
      <c r="C75" s="1004" t="s">
        <v>4964</v>
      </c>
      <c r="D75" s="982" t="s">
        <v>4219</v>
      </c>
      <c r="E75" s="1075" t="s">
        <v>3223</v>
      </c>
      <c r="F75" s="449">
        <v>0</v>
      </c>
      <c r="G75" s="449"/>
      <c r="H75" s="449">
        <v>0</v>
      </c>
      <c r="I75" s="449"/>
      <c r="J75" s="449"/>
      <c r="K75" s="449">
        <v>12</v>
      </c>
      <c r="L75" s="2520">
        <v>50000</v>
      </c>
      <c r="M75" s="2261">
        <f t="shared" si="5"/>
        <v>0.5</v>
      </c>
      <c r="N75" s="283">
        <v>12</v>
      </c>
      <c r="O75" s="1612">
        <f t="shared" si="6"/>
        <v>6</v>
      </c>
      <c r="P75" s="776" t="s">
        <v>5415</v>
      </c>
      <c r="Q75" s="2300" t="str">
        <f>'Abs12. NVHCP'!Q33</f>
        <v>Recommended for approval of Rs 6 lakhs for tEC activity as per norms under NVHCP</v>
      </c>
      <c r="R75" s="3336">
        <f>'Abs12. NVHCP'!R33</f>
        <v>6</v>
      </c>
      <c r="BB75" s="3252"/>
      <c r="BC75" s="3252">
        <v>0.5</v>
      </c>
      <c r="BD75" s="3252">
        <v>0.5</v>
      </c>
      <c r="BE75" s="3252">
        <v>0.5</v>
      </c>
      <c r="BF75" s="3252">
        <v>0.5</v>
      </c>
      <c r="BG75" s="3252">
        <v>0.5</v>
      </c>
      <c r="BH75" s="3252">
        <v>0.5</v>
      </c>
      <c r="BI75" s="3252">
        <v>0.5</v>
      </c>
      <c r="BJ75" s="3252">
        <v>0.5</v>
      </c>
      <c r="BK75" s="3252">
        <v>0.5</v>
      </c>
      <c r="BL75" s="3252">
        <v>0.5</v>
      </c>
      <c r="BM75" s="3252">
        <v>0.5</v>
      </c>
      <c r="BN75" s="3252">
        <v>0.5</v>
      </c>
      <c r="BO75" s="3252"/>
      <c r="BP75" s="3252"/>
      <c r="BQ75" s="3252"/>
      <c r="BR75" s="3252"/>
      <c r="BS75" s="3252"/>
      <c r="BT75" s="3252"/>
      <c r="BU75" s="3252"/>
      <c r="BV75" s="3252"/>
      <c r="BW75" s="3252"/>
      <c r="BX75" s="3252"/>
      <c r="BY75" s="3252"/>
      <c r="BZ75" s="3252"/>
      <c r="CA75" s="3252"/>
      <c r="CB75" s="3252"/>
      <c r="CC75" s="3252"/>
      <c r="CD75" s="3252"/>
      <c r="CE75" s="3252"/>
      <c r="CF75" s="3252"/>
      <c r="CG75" s="3252"/>
      <c r="CH75" s="3252"/>
      <c r="CI75" s="3251">
        <f t="shared" si="7"/>
        <v>6</v>
      </c>
    </row>
    <row r="76" spans="1:87" s="1601" customFormat="1">
      <c r="A76" s="3970"/>
      <c r="B76" s="3970"/>
      <c r="C76" s="3970"/>
      <c r="D76" s="1597"/>
      <c r="E76" s="1597"/>
      <c r="F76" s="685"/>
      <c r="G76" s="685"/>
      <c r="H76" s="685"/>
      <c r="I76" s="685"/>
      <c r="J76" s="685"/>
      <c r="K76" s="685"/>
      <c r="L76" s="685"/>
      <c r="M76" s="1599"/>
      <c r="N76" s="685"/>
      <c r="O76" s="3028"/>
      <c r="P76" s="764"/>
      <c r="Q76" s="1609"/>
      <c r="R76" s="3000"/>
      <c r="BB76" s="3250"/>
      <c r="BC76" s="3250"/>
      <c r="BD76" s="3250"/>
      <c r="BE76" s="3250"/>
      <c r="BF76" s="3250"/>
      <c r="BG76" s="3250"/>
      <c r="BH76" s="3250"/>
      <c r="BI76" s="3250"/>
      <c r="BJ76" s="3250"/>
      <c r="BK76" s="3250"/>
      <c r="BL76" s="3250"/>
      <c r="BM76" s="3250"/>
      <c r="BN76" s="3250"/>
      <c r="BO76" s="3250"/>
      <c r="BP76" s="3250"/>
      <c r="BQ76" s="3250"/>
      <c r="BR76" s="3250"/>
      <c r="BS76" s="3250"/>
      <c r="BT76" s="3250"/>
      <c r="BU76" s="3250"/>
      <c r="BV76" s="3250"/>
      <c r="BW76" s="3250"/>
      <c r="BX76" s="3250"/>
      <c r="BY76" s="3250"/>
      <c r="BZ76" s="3250"/>
      <c r="CA76" s="3250"/>
      <c r="CB76" s="3250"/>
      <c r="CC76" s="3250"/>
      <c r="CD76" s="3250"/>
      <c r="CE76" s="3250"/>
      <c r="CF76" s="3250"/>
      <c r="CG76" s="3250"/>
      <c r="CH76" s="3250"/>
      <c r="CI76" s="3251">
        <f t="shared" si="7"/>
        <v>0</v>
      </c>
    </row>
    <row r="77" spans="1:87">
      <c r="A77" s="84">
        <v>11.18</v>
      </c>
      <c r="B77" s="928"/>
      <c r="C77" s="84" t="s">
        <v>1405</v>
      </c>
      <c r="D77" s="929"/>
      <c r="E77" s="929"/>
      <c r="F77" s="335"/>
      <c r="G77" s="335"/>
      <c r="H77" s="335"/>
      <c r="I77" s="335"/>
      <c r="J77" s="335"/>
      <c r="K77" s="335"/>
      <c r="L77" s="335"/>
      <c r="M77" s="1149"/>
      <c r="N77" s="335"/>
      <c r="O77" s="1149">
        <f>O78+O79</f>
        <v>10</v>
      </c>
      <c r="P77" s="705"/>
      <c r="Q77" s="1602"/>
      <c r="R77" s="3020">
        <f>R78+R79</f>
        <v>10</v>
      </c>
      <c r="BB77" s="3251"/>
      <c r="BC77" s="3251"/>
      <c r="BD77" s="3251"/>
      <c r="BE77" s="3251"/>
      <c r="BF77" s="3251"/>
      <c r="BG77" s="3251"/>
      <c r="BH77" s="3251"/>
      <c r="BI77" s="3251"/>
      <c r="BJ77" s="3251"/>
      <c r="BK77" s="3251"/>
      <c r="BL77" s="3251"/>
      <c r="BM77" s="3251"/>
      <c r="BN77" s="3251"/>
      <c r="BO77" s="3251"/>
      <c r="BP77" s="3251"/>
      <c r="BQ77" s="3251"/>
      <c r="BR77" s="3251"/>
      <c r="BS77" s="3251"/>
      <c r="BT77" s="3251"/>
      <c r="BU77" s="3251"/>
      <c r="BV77" s="3251"/>
      <c r="BW77" s="3251"/>
      <c r="BX77" s="3251"/>
      <c r="BY77" s="3251"/>
      <c r="BZ77" s="3251"/>
      <c r="CA77" s="3251"/>
      <c r="CB77" s="3251"/>
      <c r="CC77" s="3251"/>
      <c r="CD77" s="3251"/>
      <c r="CE77" s="3251"/>
      <c r="CF77" s="3251"/>
      <c r="CG77" s="3251"/>
      <c r="CH77" s="3251"/>
      <c r="CI77" s="3251">
        <f t="shared" si="7"/>
        <v>0</v>
      </c>
    </row>
    <row r="78" spans="1:87" s="1613" customFormat="1" ht="30">
      <c r="A78" s="1611" t="s">
        <v>1422</v>
      </c>
      <c r="B78" s="1004" t="s">
        <v>1407</v>
      </c>
      <c r="C78" s="1004" t="s">
        <v>4331</v>
      </c>
      <c r="D78" s="982" t="s">
        <v>80</v>
      </c>
      <c r="E78" s="1170" t="s">
        <v>81</v>
      </c>
      <c r="F78" s="448">
        <v>0</v>
      </c>
      <c r="G78" s="448"/>
      <c r="H78" s="448">
        <v>0</v>
      </c>
      <c r="I78" s="448"/>
      <c r="J78" s="448"/>
      <c r="K78" s="449"/>
      <c r="L78" s="2477">
        <v>1000000</v>
      </c>
      <c r="M78" s="2261">
        <f>L78/100000</f>
        <v>10</v>
      </c>
      <c r="N78" s="283">
        <v>1</v>
      </c>
      <c r="O78" s="1612">
        <f>M78*N78</f>
        <v>10</v>
      </c>
      <c r="P78" s="2485"/>
      <c r="Q78" s="2300" t="str">
        <f>'Abs15. NPCB'!Q28</f>
        <v>Recommended</v>
      </c>
      <c r="R78" s="3026">
        <f>'Abs15. NPCB'!R28</f>
        <v>10</v>
      </c>
      <c r="BB78" s="3252">
        <v>2.14</v>
      </c>
      <c r="BC78" s="3252">
        <v>0.44</v>
      </c>
      <c r="BD78" s="3252">
        <v>0.62</v>
      </c>
      <c r="BE78" s="3252">
        <v>0.56000000000000005</v>
      </c>
      <c r="BF78" s="3252">
        <v>0.98</v>
      </c>
      <c r="BG78" s="3252">
        <v>0.38</v>
      </c>
      <c r="BH78" s="3252">
        <v>0.5</v>
      </c>
      <c r="BI78" s="3252">
        <v>0.32</v>
      </c>
      <c r="BJ78" s="3252">
        <v>0.86</v>
      </c>
      <c r="BK78" s="3252">
        <v>0.86</v>
      </c>
      <c r="BL78" s="3252">
        <v>0.5</v>
      </c>
      <c r="BM78" s="3252">
        <v>0.5</v>
      </c>
      <c r="BN78" s="3252">
        <v>0.44</v>
      </c>
      <c r="BO78" s="3252">
        <v>0.3</v>
      </c>
      <c r="BP78" s="3252">
        <v>0.3</v>
      </c>
      <c r="BQ78" s="3252"/>
      <c r="BR78" s="3252"/>
      <c r="BS78" s="3252">
        <v>0.3</v>
      </c>
      <c r="BT78" s="3252"/>
      <c r="BU78" s="3252"/>
      <c r="BV78" s="3252"/>
      <c r="BW78" s="3252"/>
      <c r="BX78" s="3252"/>
      <c r="BY78" s="3252"/>
      <c r="BZ78" s="3252"/>
      <c r="CA78" s="3252"/>
      <c r="CB78" s="3252"/>
      <c r="CC78" s="3252"/>
      <c r="CD78" s="3252"/>
      <c r="CE78" s="3252"/>
      <c r="CF78" s="3252"/>
      <c r="CG78" s="3252"/>
      <c r="CH78" s="3252"/>
      <c r="CI78" s="3251">
        <f t="shared" si="7"/>
        <v>10.000000000000002</v>
      </c>
    </row>
    <row r="79" spans="1:87">
      <c r="A79" s="1604" t="s">
        <v>2563</v>
      </c>
      <c r="B79" s="1004"/>
      <c r="C79" s="431" t="s">
        <v>1343</v>
      </c>
      <c r="D79" s="913" t="s">
        <v>80</v>
      </c>
      <c r="E79" s="1177" t="s">
        <v>81</v>
      </c>
      <c r="F79" s="441">
        <v>0</v>
      </c>
      <c r="G79" s="441"/>
      <c r="H79" s="441">
        <v>0</v>
      </c>
      <c r="I79" s="441"/>
      <c r="J79" s="441"/>
      <c r="K79" s="442"/>
      <c r="L79" s="277"/>
      <c r="M79" s="281">
        <f>L79/100000</f>
        <v>0</v>
      </c>
      <c r="N79" s="277"/>
      <c r="O79" s="1605">
        <f>M79*N79</f>
        <v>0</v>
      </c>
      <c r="P79" s="774"/>
      <c r="Q79" s="1265">
        <f>'Abs15. NPCB'!Q29</f>
        <v>0</v>
      </c>
      <c r="R79" s="3023">
        <f>'Abs15. NPCB'!R29</f>
        <v>0</v>
      </c>
      <c r="BB79" s="3251"/>
      <c r="BC79" s="3251"/>
      <c r="BD79" s="3251"/>
      <c r="BE79" s="3251"/>
      <c r="BF79" s="3251"/>
      <c r="BG79" s="3251"/>
      <c r="BH79" s="3251"/>
      <c r="BI79" s="3251"/>
      <c r="BJ79" s="3251"/>
      <c r="BK79" s="3251"/>
      <c r="BL79" s="3251"/>
      <c r="BM79" s="3251"/>
      <c r="BN79" s="3251"/>
      <c r="BO79" s="3251"/>
      <c r="BP79" s="3251"/>
      <c r="BQ79" s="3251"/>
      <c r="BR79" s="3251"/>
      <c r="BS79" s="3251"/>
      <c r="BT79" s="3251"/>
      <c r="BU79" s="3251"/>
      <c r="BV79" s="3251"/>
      <c r="BW79" s="3251"/>
      <c r="BX79" s="3251"/>
      <c r="BY79" s="3251"/>
      <c r="BZ79" s="3251"/>
      <c r="CA79" s="3251"/>
      <c r="CB79" s="3251"/>
      <c r="CC79" s="3251"/>
      <c r="CD79" s="3251"/>
      <c r="CE79" s="3251"/>
      <c r="CF79" s="3251"/>
      <c r="CG79" s="3251"/>
      <c r="CH79" s="3251"/>
      <c r="CI79" s="3251">
        <f t="shared" si="7"/>
        <v>0</v>
      </c>
    </row>
    <row r="80" spans="1:87">
      <c r="A80" s="84">
        <v>11.19</v>
      </c>
      <c r="B80" s="928" t="s">
        <v>1408</v>
      </c>
      <c r="C80" s="84" t="s">
        <v>1409</v>
      </c>
      <c r="D80" s="929"/>
      <c r="E80" s="929"/>
      <c r="F80" s="335"/>
      <c r="G80" s="335"/>
      <c r="H80" s="335"/>
      <c r="I80" s="335"/>
      <c r="J80" s="335"/>
      <c r="K80" s="335"/>
      <c r="L80" s="335"/>
      <c r="M80" s="1149"/>
      <c r="N80" s="335"/>
      <c r="O80" s="1149">
        <f>SUM(O81:O83)</f>
        <v>5</v>
      </c>
      <c r="P80" s="705"/>
      <c r="Q80" s="1602"/>
      <c r="R80" s="3020">
        <v>5</v>
      </c>
      <c r="BB80" s="3251"/>
      <c r="BC80" s="3251"/>
      <c r="BD80" s="3251"/>
      <c r="BE80" s="3251"/>
      <c r="BF80" s="3251"/>
      <c r="BG80" s="3251"/>
      <c r="BH80" s="3251"/>
      <c r="BI80" s="3251"/>
      <c r="BJ80" s="3251"/>
      <c r="BK80" s="3251"/>
      <c r="BL80" s="3251"/>
      <c r="BM80" s="3251"/>
      <c r="BN80" s="3251"/>
      <c r="BO80" s="3251"/>
      <c r="BP80" s="3251"/>
      <c r="BQ80" s="3251"/>
      <c r="BR80" s="3251"/>
      <c r="BS80" s="3251"/>
      <c r="BT80" s="3251"/>
      <c r="BU80" s="3251"/>
      <c r="BV80" s="3251"/>
      <c r="BW80" s="3251"/>
      <c r="BX80" s="3251"/>
      <c r="BY80" s="3251"/>
      <c r="BZ80" s="3251"/>
      <c r="CA80" s="3251"/>
      <c r="CB80" s="3251"/>
      <c r="CC80" s="3251"/>
      <c r="CD80" s="3251"/>
      <c r="CE80" s="3251"/>
      <c r="CF80" s="3251"/>
      <c r="CG80" s="3251"/>
      <c r="CH80" s="3251"/>
      <c r="CI80" s="3251">
        <f t="shared" si="7"/>
        <v>0</v>
      </c>
    </row>
    <row r="81" spans="1:87" s="1613" customFormat="1">
      <c r="A81" s="1611" t="s">
        <v>1426</v>
      </c>
      <c r="B81" s="1004" t="s">
        <v>1411</v>
      </c>
      <c r="C81" s="1621" t="s">
        <v>1412</v>
      </c>
      <c r="D81" s="982" t="s">
        <v>80</v>
      </c>
      <c r="E81" s="1620" t="s">
        <v>145</v>
      </c>
      <c r="F81" s="2486">
        <v>6</v>
      </c>
      <c r="G81" s="2486">
        <v>0</v>
      </c>
      <c r="H81" s="2486">
        <v>6</v>
      </c>
      <c r="I81" s="2486">
        <v>0</v>
      </c>
      <c r="J81" s="2486">
        <v>6</v>
      </c>
      <c r="K81" s="449"/>
      <c r="L81" s="283"/>
      <c r="M81" s="2261">
        <f>L81/100000</f>
        <v>0</v>
      </c>
      <c r="N81" s="283"/>
      <c r="O81" s="1612">
        <f>M81*N81</f>
        <v>0</v>
      </c>
      <c r="P81" s="778"/>
      <c r="Q81" s="2300">
        <f>'Abs16. NMHP'!Q22</f>
        <v>0</v>
      </c>
      <c r="R81" s="3026">
        <f>'Abs16. NMHP'!R22</f>
        <v>0</v>
      </c>
      <c r="BB81" s="3252"/>
      <c r="BC81" s="3252"/>
      <c r="BD81" s="3252"/>
      <c r="BE81" s="3252"/>
      <c r="BF81" s="3252"/>
      <c r="BG81" s="3252"/>
      <c r="BH81" s="3252"/>
      <c r="BI81" s="3252"/>
      <c r="BJ81" s="3252"/>
      <c r="BK81" s="3252"/>
      <c r="BL81" s="3252"/>
      <c r="BM81" s="3252"/>
      <c r="BN81" s="3252"/>
      <c r="BO81" s="3252"/>
      <c r="BP81" s="3252"/>
      <c r="BQ81" s="3252"/>
      <c r="BR81" s="3252"/>
      <c r="BS81" s="3252"/>
      <c r="BT81" s="3252"/>
      <c r="BU81" s="3252"/>
      <c r="BV81" s="3252"/>
      <c r="BW81" s="3252"/>
      <c r="BX81" s="3252"/>
      <c r="BY81" s="3252"/>
      <c r="BZ81" s="3252"/>
      <c r="CA81" s="3252"/>
      <c r="CB81" s="3252"/>
      <c r="CC81" s="3252"/>
      <c r="CD81" s="3252"/>
      <c r="CE81" s="3252"/>
      <c r="CF81" s="3252"/>
      <c r="CG81" s="3252"/>
      <c r="CH81" s="3252"/>
      <c r="CI81" s="3251">
        <f t="shared" si="7"/>
        <v>0</v>
      </c>
    </row>
    <row r="82" spans="1:87" s="1613" customFormat="1" ht="30">
      <c r="A82" s="1611" t="s">
        <v>2431</v>
      </c>
      <c r="B82" s="1004" t="s">
        <v>1414</v>
      </c>
      <c r="C82" s="1621" t="s">
        <v>1415</v>
      </c>
      <c r="D82" s="982" t="s">
        <v>80</v>
      </c>
      <c r="E82" s="1620" t="s">
        <v>145</v>
      </c>
      <c r="F82" s="449">
        <v>50</v>
      </c>
      <c r="G82" s="449"/>
      <c r="H82" s="450">
        <v>3.5</v>
      </c>
      <c r="I82" s="450">
        <v>0.05</v>
      </c>
      <c r="J82" s="449">
        <v>3.45</v>
      </c>
      <c r="K82" s="449"/>
      <c r="L82" s="2477">
        <v>500000</v>
      </c>
      <c r="M82" s="2261">
        <f>L82/100000</f>
        <v>5</v>
      </c>
      <c r="N82" s="283">
        <v>1</v>
      </c>
      <c r="O82" s="1612">
        <f>M82*N82</f>
        <v>5</v>
      </c>
      <c r="P82" s="778" t="s">
        <v>5251</v>
      </c>
      <c r="Q82" s="2300" t="str">
        <f>'Abs16. NMHP'!Q23</f>
        <v> Recommended</v>
      </c>
      <c r="R82" s="3026">
        <f>'Abs16. NMHP'!R23</f>
        <v>5</v>
      </c>
      <c r="BB82" s="3252">
        <v>2.12</v>
      </c>
      <c r="BC82" s="3252">
        <v>0.17</v>
      </c>
      <c r="BD82" s="3252">
        <v>0.26</v>
      </c>
      <c r="BE82" s="3252">
        <v>0.23</v>
      </c>
      <c r="BF82" s="3252">
        <v>0.44</v>
      </c>
      <c r="BG82" s="3252">
        <v>0.14000000000000001</v>
      </c>
      <c r="BH82" s="3252">
        <v>0.2</v>
      </c>
      <c r="BI82" s="3252">
        <v>0.11</v>
      </c>
      <c r="BJ82" s="3252">
        <v>0.38</v>
      </c>
      <c r="BK82" s="3252">
        <v>0.38</v>
      </c>
      <c r="BL82" s="3252">
        <v>0.2</v>
      </c>
      <c r="BM82" s="3252">
        <v>0.2</v>
      </c>
      <c r="BN82" s="3252">
        <v>0.17</v>
      </c>
      <c r="BO82" s="3252"/>
      <c r="BP82" s="3252"/>
      <c r="BQ82" s="3252"/>
      <c r="BR82" s="3252"/>
      <c r="BS82" s="3252"/>
      <c r="BT82" s="3252"/>
      <c r="BU82" s="3252"/>
      <c r="BV82" s="3252"/>
      <c r="BW82" s="3252"/>
      <c r="BX82" s="3252"/>
      <c r="BY82" s="3252"/>
      <c r="BZ82" s="3252"/>
      <c r="CA82" s="3252"/>
      <c r="CB82" s="3252"/>
      <c r="CC82" s="3252"/>
      <c r="CD82" s="3252"/>
      <c r="CE82" s="3252"/>
      <c r="CF82" s="3252"/>
      <c r="CG82" s="3252"/>
      <c r="CH82" s="3252"/>
      <c r="CI82" s="3251">
        <f t="shared" si="7"/>
        <v>5</v>
      </c>
    </row>
    <row r="83" spans="1:87">
      <c r="A83" s="1604" t="s">
        <v>2564</v>
      </c>
      <c r="B83" s="1004"/>
      <c r="C83" s="431" t="s">
        <v>1343</v>
      </c>
      <c r="D83" s="913" t="s">
        <v>80</v>
      </c>
      <c r="E83" s="1608" t="s">
        <v>145</v>
      </c>
      <c r="F83" s="442">
        <v>88</v>
      </c>
      <c r="G83" s="442"/>
      <c r="H83" s="442">
        <v>2.2799999999999998</v>
      </c>
      <c r="I83" s="442">
        <v>6.04</v>
      </c>
      <c r="J83" s="442">
        <v>-3.76</v>
      </c>
      <c r="K83" s="442"/>
      <c r="L83" s="277"/>
      <c r="M83" s="281">
        <f>L83/100000</f>
        <v>0</v>
      </c>
      <c r="N83" s="277"/>
      <c r="O83" s="1605">
        <f>M83*N83</f>
        <v>0</v>
      </c>
      <c r="P83" s="773"/>
      <c r="Q83" s="1265">
        <f>'Abs16. NMHP'!Q24</f>
        <v>0</v>
      </c>
      <c r="R83" s="3023">
        <f>'Abs16. NMHP'!R24</f>
        <v>0</v>
      </c>
      <c r="BB83" s="3251"/>
      <c r="BC83" s="3251"/>
      <c r="BD83" s="3251"/>
      <c r="BE83" s="3251"/>
      <c r="BF83" s="3251"/>
      <c r="BG83" s="3251"/>
      <c r="BH83" s="3251"/>
      <c r="BI83" s="3251"/>
      <c r="BJ83" s="3251"/>
      <c r="BK83" s="3251"/>
      <c r="BL83" s="3251"/>
      <c r="BM83" s="3251"/>
      <c r="BN83" s="3251"/>
      <c r="BO83" s="3251"/>
      <c r="BP83" s="3251"/>
      <c r="BQ83" s="3251"/>
      <c r="BR83" s="3251"/>
      <c r="BS83" s="3251"/>
      <c r="BT83" s="3251"/>
      <c r="BU83" s="3251"/>
      <c r="BV83" s="3251"/>
      <c r="BW83" s="3251"/>
      <c r="BX83" s="3251"/>
      <c r="BY83" s="3251"/>
      <c r="BZ83" s="3251"/>
      <c r="CA83" s="3251"/>
      <c r="CB83" s="3251"/>
      <c r="CC83" s="3251"/>
      <c r="CD83" s="3251"/>
      <c r="CE83" s="3251"/>
      <c r="CF83" s="3251"/>
      <c r="CG83" s="3251"/>
      <c r="CH83" s="3251"/>
      <c r="CI83" s="3251">
        <f t="shared" si="7"/>
        <v>0</v>
      </c>
    </row>
    <row r="84" spans="1:87">
      <c r="A84" s="1610" t="s">
        <v>2432</v>
      </c>
      <c r="B84" s="928"/>
      <c r="C84" s="84" t="s">
        <v>1416</v>
      </c>
      <c r="D84" s="929"/>
      <c r="E84" s="929"/>
      <c r="F84" s="335"/>
      <c r="G84" s="335"/>
      <c r="H84" s="335"/>
      <c r="I84" s="335"/>
      <c r="J84" s="335"/>
      <c r="K84" s="335"/>
      <c r="L84" s="335"/>
      <c r="M84" s="1149"/>
      <c r="N84" s="335"/>
      <c r="O84" s="1149">
        <f>O85+O86</f>
        <v>2.4000000000000004</v>
      </c>
      <c r="P84" s="705"/>
      <c r="Q84" s="1602"/>
      <c r="R84" s="3020">
        <f>R85+R86</f>
        <v>2.4</v>
      </c>
      <c r="BB84" s="3251"/>
      <c r="BC84" s="3251"/>
      <c r="BD84" s="3251"/>
      <c r="BE84" s="3251"/>
      <c r="BF84" s="3251"/>
      <c r="BG84" s="3251"/>
      <c r="BH84" s="3251"/>
      <c r="BI84" s="3251"/>
      <c r="BJ84" s="3251"/>
      <c r="BK84" s="3251"/>
      <c r="BL84" s="3251"/>
      <c r="BM84" s="3251"/>
      <c r="BN84" s="3251"/>
      <c r="BO84" s="3251"/>
      <c r="BP84" s="3251"/>
      <c r="BQ84" s="3251"/>
      <c r="BR84" s="3251"/>
      <c r="BS84" s="3251"/>
      <c r="BT84" s="3251"/>
      <c r="BU84" s="3251"/>
      <c r="BV84" s="3251"/>
      <c r="BW84" s="3251"/>
      <c r="BX84" s="3251"/>
      <c r="BY84" s="3251"/>
      <c r="BZ84" s="3251"/>
      <c r="CA84" s="3251"/>
      <c r="CB84" s="3251"/>
      <c r="CC84" s="3251"/>
      <c r="CD84" s="3251"/>
      <c r="CE84" s="3251"/>
      <c r="CF84" s="3251"/>
      <c r="CG84" s="3251"/>
      <c r="CH84" s="3251"/>
      <c r="CI84" s="3251">
        <f t="shared" si="7"/>
        <v>0</v>
      </c>
    </row>
    <row r="85" spans="1:87" s="1613" customFormat="1" ht="64.5" customHeight="1">
      <c r="A85" s="1611" t="s">
        <v>2307</v>
      </c>
      <c r="B85" s="1004" t="s">
        <v>1418</v>
      </c>
      <c r="C85" s="1004" t="s">
        <v>4280</v>
      </c>
      <c r="D85" s="982" t="s">
        <v>80</v>
      </c>
      <c r="E85" s="1620" t="s">
        <v>394</v>
      </c>
      <c r="F85" s="449">
        <v>12</v>
      </c>
      <c r="G85" s="449"/>
      <c r="H85" s="449">
        <v>1.2</v>
      </c>
      <c r="I85" s="449">
        <v>0.01</v>
      </c>
      <c r="J85" s="449">
        <v>1.19</v>
      </c>
      <c r="K85" s="449"/>
      <c r="L85" s="2510">
        <v>10000</v>
      </c>
      <c r="M85" s="2261">
        <f>L85/100000</f>
        <v>0.1</v>
      </c>
      <c r="N85" s="283">
        <v>12</v>
      </c>
      <c r="O85" s="1612">
        <f>M85*N85</f>
        <v>1.2000000000000002</v>
      </c>
      <c r="P85" s="778" t="s">
        <v>5392</v>
      </c>
      <c r="Q85" s="2300" t="str">
        <f>'Abs17. NPHCE'!Q28</f>
        <v>Recommended, State needs to share details plan of activity, also needs to propose funds for Elderly fitness booklet to be distributed among elderly at all Old age homes, Day care Centre and Health Facilities.In RoP 20-21 Rs. 2.40 lakhs were sanctioned for IEC, state may utilize this fund for printing of Fitness booklet &amp; CGAC Booklet before March 21.</v>
      </c>
      <c r="R85" s="3026">
        <f>'Abs17. NPHCE'!R28</f>
        <v>1.2</v>
      </c>
      <c r="BB85" s="3252">
        <v>1.2</v>
      </c>
      <c r="BC85" s="3252"/>
      <c r="BD85" s="3252"/>
      <c r="BE85" s="3252"/>
      <c r="BF85" s="3252"/>
      <c r="BG85" s="3252"/>
      <c r="BH85" s="3252"/>
      <c r="BI85" s="3252"/>
      <c r="BJ85" s="3252"/>
      <c r="BK85" s="3252"/>
      <c r="BL85" s="3252"/>
      <c r="BM85" s="3252"/>
      <c r="BN85" s="3252"/>
      <c r="BO85" s="3252"/>
      <c r="BP85" s="3252"/>
      <c r="BQ85" s="3252"/>
      <c r="BR85" s="3252"/>
      <c r="BS85" s="3252"/>
      <c r="BT85" s="3252"/>
      <c r="BU85" s="3252"/>
      <c r="BV85" s="3252"/>
      <c r="BW85" s="3252"/>
      <c r="BX85" s="3252"/>
      <c r="BY85" s="3252"/>
      <c r="BZ85" s="3252"/>
      <c r="CA85" s="3252"/>
      <c r="CB85" s="3252"/>
      <c r="CC85" s="3252"/>
      <c r="CD85" s="3252"/>
      <c r="CE85" s="3252"/>
      <c r="CF85" s="3252"/>
      <c r="CG85" s="3252"/>
      <c r="CH85" s="3252"/>
      <c r="CI85" s="3251">
        <f t="shared" si="7"/>
        <v>1.2</v>
      </c>
    </row>
    <row r="86" spans="1:87" s="1613" customFormat="1" ht="30">
      <c r="A86" s="1611" t="s">
        <v>2565</v>
      </c>
      <c r="B86" s="1004"/>
      <c r="C86" s="1004" t="s">
        <v>4281</v>
      </c>
      <c r="D86" s="982" t="s">
        <v>80</v>
      </c>
      <c r="E86" s="1620" t="s">
        <v>394</v>
      </c>
      <c r="F86" s="449">
        <v>12</v>
      </c>
      <c r="G86" s="449"/>
      <c r="H86" s="449">
        <v>1.2</v>
      </c>
      <c r="I86" s="449"/>
      <c r="J86" s="449"/>
      <c r="K86" s="449"/>
      <c r="L86" s="2510">
        <v>10000</v>
      </c>
      <c r="M86" s="2261">
        <f>L86/100000</f>
        <v>0.1</v>
      </c>
      <c r="N86" s="283">
        <v>12</v>
      </c>
      <c r="O86" s="1612">
        <f>M86*N86</f>
        <v>1.2000000000000002</v>
      </c>
      <c r="P86" s="778" t="s">
        <v>5393</v>
      </c>
      <c r="Q86" s="2300" t="str">
        <f>'Abs17. NPHCE'!Q29</f>
        <v>Recommended, State needs to share details plan of activity.</v>
      </c>
      <c r="R86" s="3026">
        <f>'Abs17. NPHCE'!R29</f>
        <v>1.2</v>
      </c>
      <c r="BB86" s="3252"/>
      <c r="BC86" s="3252">
        <v>0.1</v>
      </c>
      <c r="BD86" s="3252">
        <v>0.1</v>
      </c>
      <c r="BE86" s="3252">
        <v>0.1</v>
      </c>
      <c r="BF86" s="3252">
        <v>0.1</v>
      </c>
      <c r="BG86" s="3252">
        <v>0.1</v>
      </c>
      <c r="BH86" s="3252">
        <v>0.1</v>
      </c>
      <c r="BI86" s="3252">
        <v>0.1</v>
      </c>
      <c r="BJ86" s="3252">
        <v>0.1</v>
      </c>
      <c r="BK86" s="3252">
        <v>0.1</v>
      </c>
      <c r="BL86" s="3252">
        <v>0.1</v>
      </c>
      <c r="BM86" s="3252">
        <v>0.1</v>
      </c>
      <c r="BN86" s="3252">
        <v>0.1</v>
      </c>
      <c r="BO86" s="3252"/>
      <c r="BP86" s="3252"/>
      <c r="BQ86" s="3252"/>
      <c r="BR86" s="3252"/>
      <c r="BS86" s="3252"/>
      <c r="BT86" s="3252"/>
      <c r="BU86" s="3252"/>
      <c r="BV86" s="3252"/>
      <c r="BW86" s="3252"/>
      <c r="BX86" s="3252"/>
      <c r="BY86" s="3252"/>
      <c r="BZ86" s="3252"/>
      <c r="CA86" s="3252"/>
      <c r="CB86" s="3252"/>
      <c r="CC86" s="3252"/>
      <c r="CD86" s="3252"/>
      <c r="CE86" s="3252"/>
      <c r="CF86" s="3252"/>
      <c r="CG86" s="3252"/>
      <c r="CH86" s="3252"/>
      <c r="CI86" s="3251">
        <f t="shared" si="7"/>
        <v>1.2</v>
      </c>
    </row>
    <row r="87" spans="1:87">
      <c r="A87" s="84">
        <v>11.21</v>
      </c>
      <c r="B87" s="928"/>
      <c r="C87" s="84" t="s">
        <v>1419</v>
      </c>
      <c r="D87" s="929"/>
      <c r="E87" s="929"/>
      <c r="F87" s="335"/>
      <c r="G87" s="335"/>
      <c r="H87" s="335"/>
      <c r="I87" s="335"/>
      <c r="J87" s="335"/>
      <c r="K87" s="335"/>
      <c r="L87" s="335"/>
      <c r="M87" s="1149"/>
      <c r="N87" s="335"/>
      <c r="O87" s="1149">
        <f>O88</f>
        <v>10.01</v>
      </c>
      <c r="P87" s="705"/>
      <c r="Q87" s="1602"/>
      <c r="R87" s="3020">
        <f>R88</f>
        <v>10.01</v>
      </c>
      <c r="BB87" s="3251"/>
      <c r="BC87" s="3251"/>
      <c r="BD87" s="3251"/>
      <c r="BE87" s="3251"/>
      <c r="BF87" s="3251"/>
      <c r="BG87" s="3251"/>
      <c r="BH87" s="3251"/>
      <c r="BI87" s="3251"/>
      <c r="BJ87" s="3251"/>
      <c r="BK87" s="3251"/>
      <c r="BL87" s="3251"/>
      <c r="BM87" s="3251"/>
      <c r="BN87" s="3251"/>
      <c r="BO87" s="3251"/>
      <c r="BP87" s="3251"/>
      <c r="BQ87" s="3251"/>
      <c r="BR87" s="3251"/>
      <c r="BS87" s="3251"/>
      <c r="BT87" s="3251"/>
      <c r="BU87" s="3251"/>
      <c r="BV87" s="3251"/>
      <c r="BW87" s="3251"/>
      <c r="BX87" s="3251"/>
      <c r="BY87" s="3251"/>
      <c r="BZ87" s="3251"/>
      <c r="CA87" s="3251"/>
      <c r="CB87" s="3251"/>
      <c r="CC87" s="3251"/>
      <c r="CD87" s="3251"/>
      <c r="CE87" s="3251"/>
      <c r="CF87" s="3251"/>
      <c r="CG87" s="3251"/>
      <c r="CH87" s="3251"/>
      <c r="CI87" s="3251">
        <f t="shared" si="7"/>
        <v>0</v>
      </c>
    </row>
    <row r="88" spans="1:87" s="2327" customFormat="1" ht="75">
      <c r="A88" s="1611" t="s">
        <v>2433</v>
      </c>
      <c r="B88" s="1004" t="s">
        <v>1420</v>
      </c>
      <c r="C88" s="1004" t="s">
        <v>3766</v>
      </c>
      <c r="D88" s="2095" t="s">
        <v>80</v>
      </c>
      <c r="E88" s="1620" t="s">
        <v>147</v>
      </c>
      <c r="F88" s="449">
        <v>0</v>
      </c>
      <c r="G88" s="449"/>
      <c r="H88" s="450">
        <v>0</v>
      </c>
      <c r="I88" s="449"/>
      <c r="J88" s="449"/>
      <c r="K88" s="449">
        <v>1</v>
      </c>
      <c r="L88" s="243">
        <v>77000</v>
      </c>
      <c r="M88" s="3525">
        <f>L88/100000</f>
        <v>0.77</v>
      </c>
      <c r="N88" s="243">
        <v>13</v>
      </c>
      <c r="O88" s="1612">
        <f>M88*N88</f>
        <v>10.01</v>
      </c>
      <c r="P88" s="776" t="s">
        <v>5395</v>
      </c>
      <c r="Q88" s="2300" t="str">
        <f>'Abs18. NTCP'!Q24</f>
        <v>Budget proposed by the State is Recommended for approval. State must also plan for organization of IEC activities for World No Tobacco Day, 2021.</v>
      </c>
      <c r="R88" s="3026">
        <f>'Abs18. NTCP'!R24</f>
        <v>10.01</v>
      </c>
      <c r="BB88" s="3253">
        <v>1.01</v>
      </c>
      <c r="BC88" s="3253">
        <v>0.75</v>
      </c>
      <c r="BD88" s="3253">
        <v>0.75</v>
      </c>
      <c r="BE88" s="3253">
        <v>0.75</v>
      </c>
      <c r="BF88" s="3253">
        <v>1</v>
      </c>
      <c r="BG88" s="3253">
        <v>0.5</v>
      </c>
      <c r="BH88" s="3253">
        <v>0.75</v>
      </c>
      <c r="BI88" s="3253">
        <v>0.25</v>
      </c>
      <c r="BJ88" s="3253">
        <v>1</v>
      </c>
      <c r="BK88" s="3253">
        <v>1</v>
      </c>
      <c r="BL88" s="3253">
        <v>0.75</v>
      </c>
      <c r="BM88" s="3253">
        <v>0.75</v>
      </c>
      <c r="BN88" s="3253">
        <v>0.75</v>
      </c>
      <c r="BO88" s="3253"/>
      <c r="BP88" s="3253"/>
      <c r="BQ88" s="3253"/>
      <c r="BR88" s="3253"/>
      <c r="BS88" s="3253"/>
      <c r="BT88" s="3253"/>
      <c r="BU88" s="3253"/>
      <c r="BV88" s="3253"/>
      <c r="BW88" s="3253"/>
      <c r="BX88" s="3253"/>
      <c r="BY88" s="3253"/>
      <c r="BZ88" s="3253"/>
      <c r="CA88" s="3253"/>
      <c r="CB88" s="3253"/>
      <c r="CC88" s="3253"/>
      <c r="CD88" s="3253"/>
      <c r="CE88" s="3253"/>
      <c r="CF88" s="3253"/>
      <c r="CG88" s="3253"/>
      <c r="CH88" s="3253"/>
      <c r="CI88" s="3254">
        <f t="shared" si="7"/>
        <v>10.01</v>
      </c>
    </row>
    <row r="89" spans="1:87">
      <c r="A89" s="84">
        <v>11.22</v>
      </c>
      <c r="B89" s="928" t="s">
        <v>1106</v>
      </c>
      <c r="C89" s="84" t="s">
        <v>1421</v>
      </c>
      <c r="D89" s="930"/>
      <c r="E89" s="930"/>
      <c r="F89" s="335"/>
      <c r="G89" s="335"/>
      <c r="H89" s="335"/>
      <c r="I89" s="335"/>
      <c r="J89" s="335"/>
      <c r="K89" s="335"/>
      <c r="L89" s="335"/>
      <c r="M89" s="1149"/>
      <c r="N89" s="335"/>
      <c r="O89" s="1149">
        <f>SUM(O90:O93)</f>
        <v>20</v>
      </c>
      <c r="P89" s="705"/>
      <c r="Q89" s="1602"/>
      <c r="R89" s="3020">
        <f>SUM(R90:R93)</f>
        <v>20</v>
      </c>
      <c r="BB89" s="3251"/>
      <c r="BC89" s="3251"/>
      <c r="BD89" s="3251"/>
      <c r="BE89" s="3251"/>
      <c r="BF89" s="3251"/>
      <c r="BG89" s="3251"/>
      <c r="BH89" s="3251"/>
      <c r="BI89" s="3251"/>
      <c r="BJ89" s="3251"/>
      <c r="BK89" s="3251"/>
      <c r="BL89" s="3251"/>
      <c r="BM89" s="3251"/>
      <c r="BN89" s="3251"/>
      <c r="BO89" s="3251"/>
      <c r="BP89" s="3251"/>
      <c r="BQ89" s="3251"/>
      <c r="BR89" s="3251"/>
      <c r="BS89" s="3251"/>
      <c r="BT89" s="3251"/>
      <c r="BU89" s="3251"/>
      <c r="BV89" s="3251"/>
      <c r="BW89" s="3251"/>
      <c r="BX89" s="3251"/>
      <c r="BY89" s="3251"/>
      <c r="BZ89" s="3251"/>
      <c r="CA89" s="3251"/>
      <c r="CB89" s="3251"/>
      <c r="CC89" s="3251"/>
      <c r="CD89" s="3251"/>
      <c r="CE89" s="3251"/>
      <c r="CF89" s="3251"/>
      <c r="CG89" s="3251"/>
      <c r="CH89" s="3251"/>
      <c r="CI89" s="3251">
        <f t="shared" si="7"/>
        <v>0</v>
      </c>
    </row>
    <row r="90" spans="1:87" s="1613" customFormat="1" ht="54.75" customHeight="1">
      <c r="A90" s="1611" t="s">
        <v>2434</v>
      </c>
      <c r="B90" s="1611" t="s">
        <v>1109</v>
      </c>
      <c r="C90" s="1621" t="s">
        <v>1423</v>
      </c>
      <c r="D90" s="982" t="s">
        <v>80</v>
      </c>
      <c r="E90" s="1620" t="s">
        <v>410</v>
      </c>
      <c r="F90" s="448">
        <v>1</v>
      </c>
      <c r="G90" s="448"/>
      <c r="H90" s="448">
        <v>5</v>
      </c>
      <c r="I90" s="448">
        <v>0.24</v>
      </c>
      <c r="J90" s="448">
        <v>4.76</v>
      </c>
      <c r="K90" s="449"/>
      <c r="L90" s="2510">
        <v>2000000</v>
      </c>
      <c r="M90" s="2261">
        <f t="shared" ref="M90:M96" si="8">L90/100000</f>
        <v>20</v>
      </c>
      <c r="N90" s="2510">
        <v>1</v>
      </c>
      <c r="O90" s="1612">
        <f t="shared" ref="O90:O96" si="9">M90*N90</f>
        <v>20</v>
      </c>
      <c r="P90" s="776" t="s">
        <v>5391</v>
      </c>
      <c r="Q90" s="2300" t="str">
        <f>'Abs19. NPCDCS'!Q47</f>
        <v>Recommended for approval</v>
      </c>
      <c r="R90" s="3026">
        <f>'Abs19. NPCDCS'!R47</f>
        <v>20</v>
      </c>
      <c r="BB90" s="3252">
        <v>20</v>
      </c>
      <c r="BC90" s="3252"/>
      <c r="BD90" s="3252"/>
      <c r="BE90" s="3252"/>
      <c r="BF90" s="3252"/>
      <c r="BG90" s="3252"/>
      <c r="BH90" s="3252"/>
      <c r="BI90" s="3252"/>
      <c r="BJ90" s="3252"/>
      <c r="BK90" s="3252"/>
      <c r="BL90" s="3252"/>
      <c r="BM90" s="3252"/>
      <c r="BN90" s="3252"/>
      <c r="BO90" s="3252"/>
      <c r="BP90" s="3252"/>
      <c r="BQ90" s="3252"/>
      <c r="BR90" s="3252"/>
      <c r="BS90" s="3252"/>
      <c r="BT90" s="3252"/>
      <c r="BU90" s="3252"/>
      <c r="BV90" s="3252"/>
      <c r="BW90" s="3252"/>
      <c r="BX90" s="3252"/>
      <c r="BY90" s="3252"/>
      <c r="BZ90" s="3252"/>
      <c r="CA90" s="3252"/>
      <c r="CB90" s="3252"/>
      <c r="CC90" s="3252"/>
      <c r="CD90" s="3252"/>
      <c r="CE90" s="3252"/>
      <c r="CF90" s="3252"/>
      <c r="CG90" s="3252"/>
      <c r="CH90" s="3252"/>
      <c r="CI90" s="3251">
        <f t="shared" si="7"/>
        <v>20</v>
      </c>
    </row>
    <row r="91" spans="1:87">
      <c r="A91" s="1604" t="s">
        <v>2435</v>
      </c>
      <c r="B91" s="1604" t="s">
        <v>1112</v>
      </c>
      <c r="C91" s="1606" t="s">
        <v>1424</v>
      </c>
      <c r="D91" s="913" t="s">
        <v>80</v>
      </c>
      <c r="E91" s="1608" t="s">
        <v>410</v>
      </c>
      <c r="F91" s="441">
        <v>0</v>
      </c>
      <c r="G91" s="441"/>
      <c r="H91" s="441">
        <v>0</v>
      </c>
      <c r="I91" s="441"/>
      <c r="J91" s="441"/>
      <c r="K91" s="442"/>
      <c r="L91" s="277"/>
      <c r="M91" s="281">
        <f t="shared" si="8"/>
        <v>0</v>
      </c>
      <c r="N91" s="277"/>
      <c r="O91" s="1605">
        <f t="shared" si="9"/>
        <v>0</v>
      </c>
      <c r="P91" s="777"/>
      <c r="Q91" s="1265">
        <f>'Abs19. NPCDCS'!Q48</f>
        <v>0</v>
      </c>
      <c r="R91" s="3023">
        <f>'Abs19. NPCDCS'!R48</f>
        <v>0</v>
      </c>
      <c r="BB91" s="3251"/>
      <c r="BC91" s="3251"/>
      <c r="BD91" s="3251"/>
      <c r="BE91" s="3251"/>
      <c r="BF91" s="3251"/>
      <c r="BG91" s="3251"/>
      <c r="BH91" s="3251"/>
      <c r="BI91" s="3251"/>
      <c r="BJ91" s="3251"/>
      <c r="BK91" s="3251"/>
      <c r="BL91" s="3251"/>
      <c r="BM91" s="3251"/>
      <c r="BN91" s="3251"/>
      <c r="BO91" s="3251"/>
      <c r="BP91" s="3251"/>
      <c r="BQ91" s="3251"/>
      <c r="BR91" s="3251"/>
      <c r="BS91" s="3251"/>
      <c r="BT91" s="3251"/>
      <c r="BU91" s="3251"/>
      <c r="BV91" s="3251"/>
      <c r="BW91" s="3251"/>
      <c r="BX91" s="3251"/>
      <c r="BY91" s="3251"/>
      <c r="BZ91" s="3251"/>
      <c r="CA91" s="3251"/>
      <c r="CB91" s="3251"/>
      <c r="CC91" s="3251"/>
      <c r="CD91" s="3251"/>
      <c r="CE91" s="3251"/>
      <c r="CF91" s="3251"/>
      <c r="CG91" s="3251"/>
      <c r="CH91" s="3251"/>
      <c r="CI91" s="3251">
        <f t="shared" si="7"/>
        <v>0</v>
      </c>
    </row>
    <row r="92" spans="1:87">
      <c r="A92" s="1604" t="s">
        <v>2566</v>
      </c>
      <c r="B92" s="1611"/>
      <c r="C92" s="1604" t="s">
        <v>2457</v>
      </c>
      <c r="D92" s="913" t="s">
        <v>80</v>
      </c>
      <c r="E92" s="1608" t="s">
        <v>2467</v>
      </c>
      <c r="F92" s="441">
        <v>0</v>
      </c>
      <c r="G92" s="441"/>
      <c r="H92" s="441">
        <v>0</v>
      </c>
      <c r="I92" s="441"/>
      <c r="J92" s="441"/>
      <c r="K92" s="443"/>
      <c r="L92" s="277"/>
      <c r="M92" s="281">
        <f t="shared" si="8"/>
        <v>0</v>
      </c>
      <c r="N92" s="277"/>
      <c r="O92" s="1605">
        <f t="shared" si="9"/>
        <v>0</v>
      </c>
      <c r="P92" s="773"/>
      <c r="Q92" s="1265">
        <f>'Abs19. NPCDCS'!Q49</f>
        <v>0</v>
      </c>
      <c r="R92" s="3023">
        <f>'Abs19. NPCDCS'!R49</f>
        <v>0</v>
      </c>
      <c r="BB92" s="3251"/>
      <c r="BC92" s="3251"/>
      <c r="BD92" s="3251"/>
      <c r="BE92" s="3251"/>
      <c r="BF92" s="3251"/>
      <c r="BG92" s="3251"/>
      <c r="BH92" s="3251"/>
      <c r="BI92" s="3251"/>
      <c r="BJ92" s="3251"/>
      <c r="BK92" s="3251"/>
      <c r="BL92" s="3251"/>
      <c r="BM92" s="3251"/>
      <c r="BN92" s="3251"/>
      <c r="BO92" s="3251"/>
      <c r="BP92" s="3251"/>
      <c r="BQ92" s="3251"/>
      <c r="BR92" s="3251"/>
      <c r="BS92" s="3251"/>
      <c r="BT92" s="3251"/>
      <c r="BU92" s="3251"/>
      <c r="BV92" s="3251"/>
      <c r="BW92" s="3251"/>
      <c r="BX92" s="3251"/>
      <c r="BY92" s="3251"/>
      <c r="BZ92" s="3251"/>
      <c r="CA92" s="3251"/>
      <c r="CB92" s="3251"/>
      <c r="CC92" s="3251"/>
      <c r="CD92" s="3251"/>
      <c r="CE92" s="3251"/>
      <c r="CF92" s="3251"/>
      <c r="CG92" s="3251"/>
      <c r="CH92" s="3251"/>
      <c r="CI92" s="3251">
        <f t="shared" si="7"/>
        <v>0</v>
      </c>
    </row>
    <row r="93" spans="1:87">
      <c r="A93" s="1604" t="s">
        <v>2769</v>
      </c>
      <c r="B93" s="1611"/>
      <c r="C93" s="431" t="s">
        <v>1343</v>
      </c>
      <c r="D93" s="913" t="s">
        <v>80</v>
      </c>
      <c r="E93" s="1608" t="s">
        <v>410</v>
      </c>
      <c r="F93" s="441">
        <v>0</v>
      </c>
      <c r="G93" s="441"/>
      <c r="H93" s="441">
        <v>0</v>
      </c>
      <c r="I93" s="441"/>
      <c r="J93" s="441"/>
      <c r="K93" s="442"/>
      <c r="L93" s="277"/>
      <c r="M93" s="281">
        <f t="shared" si="8"/>
        <v>0</v>
      </c>
      <c r="N93" s="277"/>
      <c r="O93" s="1605">
        <f t="shared" si="9"/>
        <v>0</v>
      </c>
      <c r="P93" s="774"/>
      <c r="Q93" s="1265">
        <f>'Abs19. NPCDCS'!Q50</f>
        <v>0</v>
      </c>
      <c r="R93" s="3023">
        <f>'Abs19. NPCDCS'!R50</f>
        <v>0</v>
      </c>
      <c r="BB93" s="3251"/>
      <c r="BC93" s="3251"/>
      <c r="BD93" s="3251"/>
      <c r="BE93" s="3251"/>
      <c r="BF93" s="3251"/>
      <c r="BG93" s="3251"/>
      <c r="BH93" s="3251"/>
      <c r="BI93" s="3251"/>
      <c r="BJ93" s="3251"/>
      <c r="BK93" s="3251"/>
      <c r="BL93" s="3251"/>
      <c r="BM93" s="3251"/>
      <c r="BN93" s="3251"/>
      <c r="BO93" s="3251"/>
      <c r="BP93" s="3251"/>
      <c r="BQ93" s="3251"/>
      <c r="BR93" s="3251"/>
      <c r="BS93" s="3251"/>
      <c r="BT93" s="3251"/>
      <c r="BU93" s="3251"/>
      <c r="BV93" s="3251"/>
      <c r="BW93" s="3251"/>
      <c r="BX93" s="3251"/>
      <c r="BY93" s="3251"/>
      <c r="BZ93" s="3251"/>
      <c r="CA93" s="3251"/>
      <c r="CB93" s="3251"/>
      <c r="CC93" s="3251"/>
      <c r="CD93" s="3251"/>
      <c r="CE93" s="3251"/>
      <c r="CF93" s="3251"/>
      <c r="CG93" s="3251"/>
      <c r="CH93" s="3251"/>
      <c r="CI93" s="3251">
        <f t="shared" si="7"/>
        <v>0</v>
      </c>
    </row>
    <row r="94" spans="1:87" s="1613" customFormat="1" ht="45">
      <c r="A94" s="1611" t="s">
        <v>3765</v>
      </c>
      <c r="B94" s="1611"/>
      <c r="C94" s="1004" t="s">
        <v>4388</v>
      </c>
      <c r="D94" s="982" t="s">
        <v>80</v>
      </c>
      <c r="E94" s="1620" t="s">
        <v>307</v>
      </c>
      <c r="F94" s="449">
        <v>0</v>
      </c>
      <c r="G94" s="449"/>
      <c r="H94" s="449">
        <v>0</v>
      </c>
      <c r="I94" s="449"/>
      <c r="J94" s="449"/>
      <c r="K94" s="2375"/>
      <c r="L94" s="283">
        <v>41667</v>
      </c>
      <c r="M94" s="2261">
        <f t="shared" si="8"/>
        <v>0.41666999999999998</v>
      </c>
      <c r="N94" s="283">
        <v>12</v>
      </c>
      <c r="O94" s="1612">
        <f t="shared" si="9"/>
        <v>5.0000400000000003</v>
      </c>
      <c r="P94" s="776" t="s">
        <v>5211</v>
      </c>
      <c r="Q94" s="2300" t="str">
        <f>'Abs24. NOHP'!Q13</f>
        <v>Recommended for approval for IEC activities under NOHP in 12 districts.</v>
      </c>
      <c r="R94" s="3026">
        <f>'Abs24. NOHP'!R13</f>
        <v>5</v>
      </c>
      <c r="BB94" s="3252">
        <v>3.88</v>
      </c>
      <c r="BC94" s="3252">
        <f>(3000*1+1000*4)/100000</f>
        <v>7.0000000000000007E-2</v>
      </c>
      <c r="BD94" s="3252">
        <f>(3000*1+1000*7)/100000</f>
        <v>0.1</v>
      </c>
      <c r="BE94" s="3252">
        <f>(3000*1+1000*6)/100000</f>
        <v>0.09</v>
      </c>
      <c r="BF94" s="3252">
        <f>(3000*1+1000*13)/100000</f>
        <v>0.16</v>
      </c>
      <c r="BG94" s="3252">
        <f>(3000*1+1000*3)/100000</f>
        <v>0.06</v>
      </c>
      <c r="BH94" s="3252">
        <f>(3000*1+1000*5)/100000</f>
        <v>0.08</v>
      </c>
      <c r="BI94" s="3252">
        <f>(3000*1+1000*2)/100000</f>
        <v>0.05</v>
      </c>
      <c r="BJ94" s="3252">
        <f>(3000*1+1000*11)/100000</f>
        <v>0.14000000000000001</v>
      </c>
      <c r="BK94" s="3252">
        <f>(3000*1+1000*10)/100000</f>
        <v>0.13</v>
      </c>
      <c r="BL94" s="3252">
        <f>(3000*1+1000*5)/100000</f>
        <v>0.08</v>
      </c>
      <c r="BM94" s="3252">
        <f>(3000*1+1000*5)/100000</f>
        <v>0.08</v>
      </c>
      <c r="BN94" s="3252">
        <f>(3000*1+1000*5)/100000</f>
        <v>0.08</v>
      </c>
      <c r="BO94" s="3252"/>
      <c r="BP94" s="3252"/>
      <c r="BQ94" s="3252"/>
      <c r="BR94" s="3252"/>
      <c r="BS94" s="3252"/>
      <c r="BT94" s="3252"/>
      <c r="BU94" s="3252"/>
      <c r="BV94" s="3252"/>
      <c r="BW94" s="3252"/>
      <c r="BX94" s="3252"/>
      <c r="BY94" s="3252"/>
      <c r="BZ94" s="3252"/>
      <c r="CA94" s="3252"/>
      <c r="CB94" s="3252"/>
      <c r="CC94" s="3252"/>
      <c r="CD94" s="3252"/>
      <c r="CE94" s="3252"/>
      <c r="CF94" s="3252"/>
      <c r="CG94" s="3252"/>
      <c r="CH94" s="3252"/>
      <c r="CI94" s="3251">
        <f t="shared" si="7"/>
        <v>4.9999999999999991</v>
      </c>
    </row>
    <row r="95" spans="1:87" ht="45">
      <c r="A95" s="1604" t="s">
        <v>3863</v>
      </c>
      <c r="B95" s="1611"/>
      <c r="C95" s="431" t="s">
        <v>4387</v>
      </c>
      <c r="D95" s="913" t="s">
        <v>80</v>
      </c>
      <c r="E95" s="1608" t="s">
        <v>3989</v>
      </c>
      <c r="F95" s="442">
        <v>0</v>
      </c>
      <c r="G95" s="442"/>
      <c r="H95" s="442">
        <v>0</v>
      </c>
      <c r="I95" s="442"/>
      <c r="J95" s="442"/>
      <c r="K95" s="442"/>
      <c r="L95" s="277">
        <v>62692</v>
      </c>
      <c r="M95" s="281">
        <f t="shared" si="8"/>
        <v>0.62692000000000003</v>
      </c>
      <c r="N95" s="277">
        <v>13</v>
      </c>
      <c r="O95" s="1605">
        <f t="shared" si="9"/>
        <v>8.1499600000000001</v>
      </c>
      <c r="P95" s="773"/>
      <c r="Q95" s="1265" t="str">
        <f>'Abs21. NPCCHH'!Q16</f>
        <v>Recommended for approval</v>
      </c>
      <c r="R95" s="3023">
        <f>'Abs21. NPCCHH'!R16</f>
        <v>8.15</v>
      </c>
      <c r="BB95" s="3251">
        <v>1</v>
      </c>
      <c r="BC95" s="3251">
        <v>0.5</v>
      </c>
      <c r="BD95" s="3251">
        <v>0.5</v>
      </c>
      <c r="BE95" s="3251">
        <v>0.5</v>
      </c>
      <c r="BF95" s="3251">
        <v>1</v>
      </c>
      <c r="BG95" s="3251">
        <v>0.2</v>
      </c>
      <c r="BH95" s="3251">
        <v>0.5</v>
      </c>
      <c r="BI95" s="3251">
        <v>0.2</v>
      </c>
      <c r="BJ95" s="3251">
        <v>1</v>
      </c>
      <c r="BK95" s="3251">
        <v>1</v>
      </c>
      <c r="BL95" s="3251">
        <v>0.55000000000000004</v>
      </c>
      <c r="BM95" s="3251">
        <v>0.6</v>
      </c>
      <c r="BN95" s="3251">
        <v>0.6</v>
      </c>
      <c r="BO95" s="3251"/>
      <c r="BP95" s="3251"/>
      <c r="BQ95" s="3251"/>
      <c r="BR95" s="3251"/>
      <c r="BS95" s="3251"/>
      <c r="BT95" s="3251"/>
      <c r="BU95" s="3251"/>
      <c r="BV95" s="3251"/>
      <c r="BW95" s="3251"/>
      <c r="BX95" s="3251"/>
      <c r="BY95" s="3251"/>
      <c r="BZ95" s="3251"/>
      <c r="CA95" s="3251"/>
      <c r="CB95" s="3251"/>
      <c r="CC95" s="3251"/>
      <c r="CD95" s="3251"/>
      <c r="CE95" s="3251"/>
      <c r="CF95" s="3251"/>
      <c r="CG95" s="3251"/>
      <c r="CH95" s="3251"/>
      <c r="CI95" s="3251">
        <f t="shared" si="7"/>
        <v>8.15</v>
      </c>
    </row>
    <row r="96" spans="1:87" s="1613" customFormat="1" ht="30">
      <c r="A96" s="1611" t="s">
        <v>4395</v>
      </c>
      <c r="B96" s="1611"/>
      <c r="C96" s="1004" t="s">
        <v>4399</v>
      </c>
      <c r="D96" s="982" t="s">
        <v>80</v>
      </c>
      <c r="E96" s="1075" t="s">
        <v>4397</v>
      </c>
      <c r="F96" s="449"/>
      <c r="G96" s="449"/>
      <c r="H96" s="449"/>
      <c r="I96" s="449"/>
      <c r="J96" s="449"/>
      <c r="K96" s="449"/>
      <c r="L96" s="283"/>
      <c r="M96" s="2261">
        <f t="shared" si="8"/>
        <v>0</v>
      </c>
      <c r="N96" s="283"/>
      <c r="O96" s="1612">
        <f t="shared" si="9"/>
        <v>0</v>
      </c>
      <c r="P96" s="776"/>
      <c r="Q96" s="2300">
        <f>'Abs20. PMNDP'!Q19</f>
        <v>0</v>
      </c>
      <c r="R96" s="3026">
        <f>'Abs20. PMNDP'!R19</f>
        <v>0</v>
      </c>
      <c r="BB96" s="3252"/>
      <c r="BC96" s="3252"/>
      <c r="BD96" s="3252"/>
      <c r="BE96" s="3252"/>
      <c r="BF96" s="3252"/>
      <c r="BG96" s="3252"/>
      <c r="BH96" s="3252"/>
      <c r="BI96" s="3252"/>
      <c r="BJ96" s="3252"/>
      <c r="BK96" s="3252"/>
      <c r="BL96" s="3252"/>
      <c r="BM96" s="3252"/>
      <c r="BN96" s="3252"/>
      <c r="BO96" s="3252"/>
      <c r="BP96" s="3252"/>
      <c r="BQ96" s="3252"/>
      <c r="BR96" s="3252"/>
      <c r="BS96" s="3252"/>
      <c r="BT96" s="3252"/>
      <c r="BU96" s="3252"/>
      <c r="BV96" s="3252"/>
      <c r="BW96" s="3252"/>
      <c r="BX96" s="3252"/>
      <c r="BY96" s="3252"/>
      <c r="BZ96" s="3252"/>
      <c r="CA96" s="3252"/>
      <c r="CB96" s="3252"/>
      <c r="CC96" s="3252"/>
      <c r="CD96" s="3252"/>
      <c r="CE96" s="3252"/>
      <c r="CF96" s="3252"/>
      <c r="CG96" s="3252"/>
      <c r="CH96" s="3252"/>
      <c r="CI96" s="3251">
        <f t="shared" si="7"/>
        <v>0</v>
      </c>
    </row>
    <row r="97" spans="1:87">
      <c r="A97" s="84">
        <v>11.11</v>
      </c>
      <c r="B97" s="928" t="s">
        <v>1370</v>
      </c>
      <c r="C97" s="84" t="s">
        <v>1368</v>
      </c>
      <c r="D97" s="929"/>
      <c r="E97" s="929"/>
      <c r="F97" s="335"/>
      <c r="G97" s="335"/>
      <c r="H97" s="335"/>
      <c r="I97" s="335"/>
      <c r="J97" s="335"/>
      <c r="K97" s="335"/>
      <c r="L97" s="335"/>
      <c r="M97" s="1149"/>
      <c r="N97" s="335"/>
      <c r="O97" s="1149">
        <f>O98+O99</f>
        <v>1.3</v>
      </c>
      <c r="P97" s="705"/>
      <c r="Q97" s="1602"/>
      <c r="R97" s="3020">
        <f>R98+R99</f>
        <v>1.3</v>
      </c>
      <c r="BB97" s="3251"/>
      <c r="BC97" s="3251"/>
      <c r="BD97" s="3251"/>
      <c r="BE97" s="3251"/>
      <c r="BF97" s="3251"/>
      <c r="BG97" s="3251"/>
      <c r="BH97" s="3251"/>
      <c r="BI97" s="3251"/>
      <c r="BJ97" s="3251"/>
      <c r="BK97" s="3251"/>
      <c r="BL97" s="3251"/>
      <c r="BM97" s="3251"/>
      <c r="BN97" s="3251"/>
      <c r="BO97" s="3251"/>
      <c r="BP97" s="3251"/>
      <c r="BQ97" s="3251"/>
      <c r="BR97" s="3251"/>
      <c r="BS97" s="3251"/>
      <c r="BT97" s="3251"/>
      <c r="BU97" s="3251"/>
      <c r="BV97" s="3251"/>
      <c r="BW97" s="3251"/>
      <c r="BX97" s="3251"/>
      <c r="BY97" s="3251"/>
      <c r="BZ97" s="3251"/>
      <c r="CA97" s="3251"/>
      <c r="CB97" s="3251"/>
      <c r="CC97" s="3251"/>
      <c r="CD97" s="3251"/>
      <c r="CE97" s="3251"/>
      <c r="CF97" s="3251"/>
      <c r="CG97" s="3251"/>
      <c r="CH97" s="3251"/>
      <c r="CI97" s="3251">
        <f t="shared" si="7"/>
        <v>0</v>
      </c>
    </row>
    <row r="98" spans="1:87" s="1613" customFormat="1" ht="30">
      <c r="A98" s="1611" t="s">
        <v>1387</v>
      </c>
      <c r="B98" s="1004"/>
      <c r="C98" s="1004" t="s">
        <v>5115</v>
      </c>
      <c r="D98" s="982" t="s">
        <v>80</v>
      </c>
      <c r="E98" s="1170" t="s">
        <v>1014</v>
      </c>
      <c r="F98" s="448">
        <v>88</v>
      </c>
      <c r="G98" s="448"/>
      <c r="H98" s="448">
        <v>2.88</v>
      </c>
      <c r="I98" s="448">
        <v>1.04</v>
      </c>
      <c r="J98" s="448">
        <v>1.84</v>
      </c>
      <c r="K98" s="449"/>
      <c r="L98" s="2519">
        <v>10000</v>
      </c>
      <c r="M98" s="2261">
        <f>L98/100000</f>
        <v>0.1</v>
      </c>
      <c r="N98" s="283">
        <v>13</v>
      </c>
      <c r="O98" s="1612">
        <f>M98*N98</f>
        <v>1.3</v>
      </c>
      <c r="P98" s="776" t="s">
        <v>5307</v>
      </c>
      <c r="Q98" s="2300" t="str">
        <f>'Abs22. NPPCD'!Q15</f>
        <v>It may be recommended</v>
      </c>
      <c r="R98" s="3026">
        <f>'Abs22. NPPCD'!R15</f>
        <v>1.3</v>
      </c>
      <c r="BB98" s="3252">
        <v>1.3</v>
      </c>
      <c r="BC98" s="3252"/>
      <c r="BD98" s="3252"/>
      <c r="BE98" s="3252"/>
      <c r="BF98" s="3252"/>
      <c r="BG98" s="3252"/>
      <c r="BH98" s="3252"/>
      <c r="BI98" s="3252"/>
      <c r="BJ98" s="3252"/>
      <c r="BK98" s="3252"/>
      <c r="BL98" s="3252"/>
      <c r="BM98" s="3252"/>
      <c r="BN98" s="3252"/>
      <c r="BO98" s="3252"/>
      <c r="BP98" s="3252"/>
      <c r="BQ98" s="3252"/>
      <c r="BR98" s="3252"/>
      <c r="BS98" s="3252"/>
      <c r="BT98" s="3252"/>
      <c r="BU98" s="3252"/>
      <c r="BV98" s="3252"/>
      <c r="BW98" s="3252"/>
      <c r="BX98" s="3252"/>
      <c r="BY98" s="3252"/>
      <c r="BZ98" s="3252"/>
      <c r="CA98" s="3252"/>
      <c r="CB98" s="3252"/>
      <c r="CC98" s="3252"/>
      <c r="CD98" s="3252"/>
      <c r="CE98" s="3252"/>
      <c r="CF98" s="3252"/>
      <c r="CG98" s="3252"/>
      <c r="CH98" s="3252"/>
      <c r="CI98" s="3251">
        <f t="shared" si="7"/>
        <v>1.3</v>
      </c>
    </row>
    <row r="99" spans="1:87">
      <c r="A99" s="1611" t="s">
        <v>2555</v>
      </c>
      <c r="B99" s="1004"/>
      <c r="C99" s="1622" t="s">
        <v>2883</v>
      </c>
      <c r="D99" s="913" t="s">
        <v>80</v>
      </c>
      <c r="E99" s="1170" t="s">
        <v>1014</v>
      </c>
      <c r="F99" s="448">
        <v>0</v>
      </c>
      <c r="G99" s="448"/>
      <c r="H99" s="448">
        <v>0</v>
      </c>
      <c r="I99" s="448"/>
      <c r="J99" s="448"/>
      <c r="K99" s="449"/>
      <c r="L99" s="277"/>
      <c r="M99" s="281">
        <f>L99/100000</f>
        <v>0</v>
      </c>
      <c r="N99" s="277"/>
      <c r="O99" s="1612">
        <f>M99*N99</f>
        <v>0</v>
      </c>
      <c r="P99" s="778"/>
      <c r="Q99" s="1265">
        <f>'Abs22. NPPCD'!Q16</f>
        <v>0</v>
      </c>
      <c r="R99" s="3023">
        <f>'Abs22. NPPCD'!R16</f>
        <v>0</v>
      </c>
      <c r="BB99" s="3251"/>
      <c r="BC99" s="3251"/>
      <c r="BD99" s="3251"/>
      <c r="BE99" s="3251"/>
      <c r="BF99" s="3251"/>
      <c r="BG99" s="3251"/>
      <c r="BH99" s="3251"/>
      <c r="BI99" s="3251"/>
      <c r="BJ99" s="3251"/>
      <c r="BK99" s="3251"/>
      <c r="BL99" s="3251"/>
      <c r="BM99" s="3251"/>
      <c r="BN99" s="3251"/>
      <c r="BO99" s="3251"/>
      <c r="BP99" s="3251"/>
      <c r="BQ99" s="3251"/>
      <c r="BR99" s="3251"/>
      <c r="BS99" s="3251"/>
      <c r="BT99" s="3251"/>
      <c r="BU99" s="3251"/>
      <c r="BV99" s="3251"/>
      <c r="BW99" s="3251"/>
      <c r="BX99" s="3251"/>
      <c r="BY99" s="3251"/>
      <c r="BZ99" s="3251"/>
      <c r="CA99" s="3251"/>
      <c r="CB99" s="3251"/>
      <c r="CC99" s="3251"/>
      <c r="CD99" s="3251"/>
      <c r="CE99" s="3251"/>
      <c r="CF99" s="3251"/>
      <c r="CG99" s="3251"/>
      <c r="CH99" s="3251"/>
      <c r="CI99" s="3251">
        <f t="shared" si="7"/>
        <v>0</v>
      </c>
    </row>
    <row r="100" spans="1:87">
      <c r="A100" s="84">
        <v>11.12</v>
      </c>
      <c r="B100" s="928"/>
      <c r="C100" s="84" t="s">
        <v>1371</v>
      </c>
      <c r="D100" s="929"/>
      <c r="E100" s="929"/>
      <c r="F100" s="335"/>
      <c r="G100" s="335"/>
      <c r="H100" s="335"/>
      <c r="I100" s="335"/>
      <c r="J100" s="335"/>
      <c r="K100" s="335"/>
      <c r="L100" s="335"/>
      <c r="M100" s="1149"/>
      <c r="N100" s="335"/>
      <c r="O100" s="1149">
        <f>SUM(O101:O103)</f>
        <v>0</v>
      </c>
      <c r="P100" s="705"/>
      <c r="Q100" s="1602"/>
      <c r="R100" s="3020">
        <f>SUM(R101:R103)</f>
        <v>0</v>
      </c>
      <c r="BB100" s="3251"/>
      <c r="BC100" s="3251"/>
      <c r="BD100" s="3251"/>
      <c r="BE100" s="3251"/>
      <c r="BF100" s="3251"/>
      <c r="BG100" s="3251"/>
      <c r="BH100" s="3251"/>
      <c r="BI100" s="3251"/>
      <c r="BJ100" s="3251"/>
      <c r="BK100" s="3251"/>
      <c r="BL100" s="3251"/>
      <c r="BM100" s="3251"/>
      <c r="BN100" s="3251"/>
      <c r="BO100" s="3251"/>
      <c r="BP100" s="3251"/>
      <c r="BQ100" s="3251"/>
      <c r="BR100" s="3251"/>
      <c r="BS100" s="3251"/>
      <c r="BT100" s="3251"/>
      <c r="BU100" s="3251"/>
      <c r="BV100" s="3251"/>
      <c r="BW100" s="3251"/>
      <c r="BX100" s="3251"/>
      <c r="BY100" s="3251"/>
      <c r="BZ100" s="3251"/>
      <c r="CA100" s="3251"/>
      <c r="CB100" s="3251"/>
      <c r="CC100" s="3251"/>
      <c r="CD100" s="3251"/>
      <c r="CE100" s="3251"/>
      <c r="CF100" s="3251"/>
      <c r="CG100" s="3251"/>
      <c r="CH100" s="3251"/>
      <c r="CI100" s="3251">
        <f t="shared" si="7"/>
        <v>0</v>
      </c>
    </row>
    <row r="101" spans="1:87">
      <c r="A101" s="1604" t="s">
        <v>1401</v>
      </c>
      <c r="B101" s="431" t="s">
        <v>1373</v>
      </c>
      <c r="C101" s="431" t="s">
        <v>1374</v>
      </c>
      <c r="D101" s="913" t="s">
        <v>80</v>
      </c>
      <c r="E101" s="1608" t="s">
        <v>309</v>
      </c>
      <c r="F101" s="441">
        <v>0</v>
      </c>
      <c r="G101" s="441"/>
      <c r="H101" s="441">
        <v>0</v>
      </c>
      <c r="I101" s="441"/>
      <c r="J101" s="441"/>
      <c r="K101" s="442"/>
      <c r="L101" s="277"/>
      <c r="M101" s="281">
        <f>L101/100000</f>
        <v>0</v>
      </c>
      <c r="N101" s="277"/>
      <c r="O101" s="1605">
        <f>M101*N101</f>
        <v>0</v>
      </c>
      <c r="P101" s="773"/>
      <c r="Q101" s="1265">
        <f>'Abs25. NPPC'!Q17</f>
        <v>0</v>
      </c>
      <c r="R101" s="3023">
        <f>'Abs25. NPPC'!R17</f>
        <v>0</v>
      </c>
      <c r="BB101" s="3251"/>
      <c r="BC101" s="3251"/>
      <c r="BD101" s="3251"/>
      <c r="BE101" s="3251"/>
      <c r="BF101" s="3251"/>
      <c r="BG101" s="3251"/>
      <c r="BH101" s="3251"/>
      <c r="BI101" s="3251"/>
      <c r="BJ101" s="3251"/>
      <c r="BK101" s="3251"/>
      <c r="BL101" s="3251"/>
      <c r="BM101" s="3251"/>
      <c r="BN101" s="3251"/>
      <c r="BO101" s="3251"/>
      <c r="BP101" s="3251"/>
      <c r="BQ101" s="3251"/>
      <c r="BR101" s="3251"/>
      <c r="BS101" s="3251"/>
      <c r="BT101" s="3251"/>
      <c r="BU101" s="3251"/>
      <c r="BV101" s="3251"/>
      <c r="BW101" s="3251"/>
      <c r="BX101" s="3251"/>
      <c r="BY101" s="3251"/>
      <c r="BZ101" s="3251"/>
      <c r="CA101" s="3251"/>
      <c r="CB101" s="3251"/>
      <c r="CC101" s="3251"/>
      <c r="CD101" s="3251"/>
      <c r="CE101" s="3251"/>
      <c r="CF101" s="3251"/>
      <c r="CG101" s="3251"/>
      <c r="CH101" s="3251"/>
      <c r="CI101" s="3251">
        <f t="shared" si="7"/>
        <v>0</v>
      </c>
    </row>
    <row r="102" spans="1:87">
      <c r="A102" s="1604" t="s">
        <v>2425</v>
      </c>
      <c r="B102" s="431" t="s">
        <v>1376</v>
      </c>
      <c r="C102" s="431" t="s">
        <v>1377</v>
      </c>
      <c r="D102" s="913" t="s">
        <v>80</v>
      </c>
      <c r="E102" s="1608" t="s">
        <v>309</v>
      </c>
      <c r="F102" s="441">
        <v>0</v>
      </c>
      <c r="G102" s="441"/>
      <c r="H102" s="441">
        <v>0</v>
      </c>
      <c r="I102" s="441"/>
      <c r="J102" s="441"/>
      <c r="K102" s="443"/>
      <c r="L102" s="277"/>
      <c r="M102" s="281">
        <f>L102/100000</f>
        <v>0</v>
      </c>
      <c r="N102" s="277"/>
      <c r="O102" s="1605">
        <f>M102*N102</f>
        <v>0</v>
      </c>
      <c r="P102" s="773"/>
      <c r="Q102" s="1265">
        <f>'Abs25. NPPC'!Q18</f>
        <v>0</v>
      </c>
      <c r="R102" s="3023">
        <f>'Abs25. NPPC'!R18</f>
        <v>0</v>
      </c>
      <c r="BB102" s="3251"/>
      <c r="BC102" s="3251"/>
      <c r="BD102" s="3251"/>
      <c r="BE102" s="3251"/>
      <c r="BF102" s="3251"/>
      <c r="BG102" s="3251"/>
      <c r="BH102" s="3251"/>
      <c r="BI102" s="3251"/>
      <c r="BJ102" s="3251"/>
      <c r="BK102" s="3251"/>
      <c r="BL102" s="3251"/>
      <c r="BM102" s="3251"/>
      <c r="BN102" s="3251"/>
      <c r="BO102" s="3251"/>
      <c r="BP102" s="3251"/>
      <c r="BQ102" s="3251"/>
      <c r="BR102" s="3251"/>
      <c r="BS102" s="3251"/>
      <c r="BT102" s="3251"/>
      <c r="BU102" s="3251"/>
      <c r="BV102" s="3251"/>
      <c r="BW102" s="3251"/>
      <c r="BX102" s="3251"/>
      <c r="BY102" s="3251"/>
      <c r="BZ102" s="3251"/>
      <c r="CA102" s="3251"/>
      <c r="CB102" s="3251"/>
      <c r="CC102" s="3251"/>
      <c r="CD102" s="3251"/>
      <c r="CE102" s="3251"/>
      <c r="CF102" s="3251"/>
      <c r="CG102" s="3251"/>
      <c r="CH102" s="3251"/>
      <c r="CI102" s="3251">
        <f t="shared" si="7"/>
        <v>0</v>
      </c>
    </row>
    <row r="103" spans="1:87">
      <c r="A103" s="1604" t="s">
        <v>2556</v>
      </c>
      <c r="B103" s="1004"/>
      <c r="C103" s="431" t="s">
        <v>1343</v>
      </c>
      <c r="D103" s="913" t="s">
        <v>80</v>
      </c>
      <c r="E103" s="1608" t="s">
        <v>309</v>
      </c>
      <c r="F103" s="441">
        <v>0</v>
      </c>
      <c r="G103" s="441"/>
      <c r="H103" s="441">
        <v>0</v>
      </c>
      <c r="I103" s="441"/>
      <c r="J103" s="441"/>
      <c r="K103" s="442"/>
      <c r="L103" s="277"/>
      <c r="M103" s="281">
        <f>L103/100000</f>
        <v>0</v>
      </c>
      <c r="N103" s="277"/>
      <c r="O103" s="1605">
        <f>M103*N103</f>
        <v>0</v>
      </c>
      <c r="P103" s="774"/>
      <c r="Q103" s="1265">
        <f>'Abs25. NPPC'!Q19</f>
        <v>0</v>
      </c>
      <c r="R103" s="3023">
        <f>'Abs25. NPPC'!R19</f>
        <v>0</v>
      </c>
      <c r="BB103" s="3251"/>
      <c r="BC103" s="3251"/>
      <c r="BD103" s="3251"/>
      <c r="BE103" s="3251"/>
      <c r="BF103" s="3251"/>
      <c r="BG103" s="3251"/>
      <c r="BH103" s="3251"/>
      <c r="BI103" s="3251"/>
      <c r="BJ103" s="3251"/>
      <c r="BK103" s="3251"/>
      <c r="BL103" s="3251"/>
      <c r="BM103" s="3251"/>
      <c r="BN103" s="3251"/>
      <c r="BO103" s="3251"/>
      <c r="BP103" s="3251"/>
      <c r="BQ103" s="3251"/>
      <c r="BR103" s="3251"/>
      <c r="BS103" s="3251"/>
      <c r="BT103" s="3251"/>
      <c r="BU103" s="3251"/>
      <c r="BV103" s="3251"/>
      <c r="BW103" s="3251"/>
      <c r="BX103" s="3251"/>
      <c r="BY103" s="3251"/>
      <c r="BZ103" s="3251"/>
      <c r="CA103" s="3251"/>
      <c r="CB103" s="3251"/>
      <c r="CC103" s="3251"/>
      <c r="CD103" s="3251"/>
      <c r="CE103" s="3251"/>
      <c r="CF103" s="3251"/>
      <c r="CG103" s="3251"/>
      <c r="CH103" s="3251"/>
      <c r="CI103" s="3251">
        <f t="shared" si="7"/>
        <v>0</v>
      </c>
    </row>
    <row r="104" spans="1:87">
      <c r="A104" s="84">
        <v>11.13</v>
      </c>
      <c r="B104" s="928"/>
      <c r="C104" s="84" t="s">
        <v>1378</v>
      </c>
      <c r="D104" s="929"/>
      <c r="E104" s="929"/>
      <c r="F104" s="335"/>
      <c r="G104" s="335"/>
      <c r="H104" s="335"/>
      <c r="I104" s="335"/>
      <c r="J104" s="335"/>
      <c r="K104" s="335"/>
      <c r="L104" s="335"/>
      <c r="M104" s="1149"/>
      <c r="N104" s="335"/>
      <c r="O104" s="1149">
        <f>O105+O106</f>
        <v>0</v>
      </c>
      <c r="P104" s="705"/>
      <c r="Q104" s="1602"/>
      <c r="R104" s="3020">
        <f>R105+R106</f>
        <v>0</v>
      </c>
      <c r="BB104" s="3251"/>
      <c r="BC104" s="3251"/>
      <c r="BD104" s="3251"/>
      <c r="BE104" s="3251"/>
      <c r="BF104" s="3251"/>
      <c r="BG104" s="3251"/>
      <c r="BH104" s="3251"/>
      <c r="BI104" s="3251"/>
      <c r="BJ104" s="3251"/>
      <c r="BK104" s="3251"/>
      <c r="BL104" s="3251"/>
      <c r="BM104" s="3251"/>
      <c r="BN104" s="3251"/>
      <c r="BO104" s="3251"/>
      <c r="BP104" s="3251"/>
      <c r="BQ104" s="3251"/>
      <c r="BR104" s="3251"/>
      <c r="BS104" s="3251"/>
      <c r="BT104" s="3251"/>
      <c r="BU104" s="3251"/>
      <c r="BV104" s="3251"/>
      <c r="BW104" s="3251"/>
      <c r="BX104" s="3251"/>
      <c r="BY104" s="3251"/>
      <c r="BZ104" s="3251"/>
      <c r="CA104" s="3251"/>
      <c r="CB104" s="3251"/>
      <c r="CC104" s="3251"/>
      <c r="CD104" s="3251"/>
      <c r="CE104" s="3251"/>
      <c r="CF104" s="3251"/>
      <c r="CG104" s="3251"/>
      <c r="CH104" s="3251"/>
      <c r="CI104" s="3251">
        <f t="shared" si="7"/>
        <v>0</v>
      </c>
    </row>
    <row r="105" spans="1:87" ht="30">
      <c r="A105" s="1604" t="s">
        <v>2426</v>
      </c>
      <c r="B105" s="431" t="s">
        <v>1380</v>
      </c>
      <c r="C105" s="431" t="s">
        <v>1381</v>
      </c>
      <c r="D105" s="913" t="s">
        <v>80</v>
      </c>
      <c r="E105" s="1177" t="s">
        <v>1028</v>
      </c>
      <c r="F105" s="441">
        <v>0</v>
      </c>
      <c r="G105" s="441"/>
      <c r="H105" s="441">
        <v>0</v>
      </c>
      <c r="I105" s="441"/>
      <c r="J105" s="441"/>
      <c r="K105" s="442"/>
      <c r="L105" s="277"/>
      <c r="M105" s="281">
        <f>L105/100000</f>
        <v>0</v>
      </c>
      <c r="N105" s="277"/>
      <c r="O105" s="1605">
        <f>M105*N105</f>
        <v>0</v>
      </c>
      <c r="P105" s="773"/>
      <c r="Q105" s="1265">
        <f>'Abs23. NPPCF'!Q15</f>
        <v>0</v>
      </c>
      <c r="R105" s="3023">
        <f>'Abs23. NPPCF'!R15</f>
        <v>0</v>
      </c>
      <c r="BB105" s="3251"/>
      <c r="BC105" s="3251"/>
      <c r="BD105" s="3251"/>
      <c r="BE105" s="3251"/>
      <c r="BF105" s="3251"/>
      <c r="BG105" s="3251"/>
      <c r="BH105" s="3251"/>
      <c r="BI105" s="3251"/>
      <c r="BJ105" s="3251"/>
      <c r="BK105" s="3251"/>
      <c r="BL105" s="3251"/>
      <c r="BM105" s="3251"/>
      <c r="BN105" s="3251"/>
      <c r="BO105" s="3251"/>
      <c r="BP105" s="3251"/>
      <c r="BQ105" s="3251"/>
      <c r="BR105" s="3251"/>
      <c r="BS105" s="3251"/>
      <c r="BT105" s="3251"/>
      <c r="BU105" s="3251"/>
      <c r="BV105" s="3251"/>
      <c r="BW105" s="3251"/>
      <c r="BX105" s="3251"/>
      <c r="BY105" s="3251"/>
      <c r="BZ105" s="3251"/>
      <c r="CA105" s="3251"/>
      <c r="CB105" s="3251"/>
      <c r="CC105" s="3251"/>
      <c r="CD105" s="3251"/>
      <c r="CE105" s="3251"/>
      <c r="CF105" s="3251"/>
      <c r="CG105" s="3251"/>
      <c r="CH105" s="3251"/>
      <c r="CI105" s="3251">
        <f t="shared" si="7"/>
        <v>0</v>
      </c>
    </row>
    <row r="106" spans="1:87">
      <c r="A106" s="1604" t="s">
        <v>2557</v>
      </c>
      <c r="B106" s="1004"/>
      <c r="C106" s="431" t="s">
        <v>1343</v>
      </c>
      <c r="D106" s="913" t="s">
        <v>80</v>
      </c>
      <c r="E106" s="1177" t="s">
        <v>1028</v>
      </c>
      <c r="F106" s="441">
        <v>0</v>
      </c>
      <c r="G106" s="441"/>
      <c r="H106" s="441">
        <v>0</v>
      </c>
      <c r="I106" s="441"/>
      <c r="J106" s="441"/>
      <c r="K106" s="442"/>
      <c r="L106" s="277"/>
      <c r="M106" s="281">
        <f>L106/100000</f>
        <v>0</v>
      </c>
      <c r="N106" s="277"/>
      <c r="O106" s="1605">
        <f>M106*N106</f>
        <v>0</v>
      </c>
      <c r="P106" s="774"/>
      <c r="Q106" s="1265">
        <f>'Abs23. NPPCF'!Q16</f>
        <v>0</v>
      </c>
      <c r="R106" s="3023">
        <f>'Abs23. NPPCF'!R16</f>
        <v>0</v>
      </c>
      <c r="BB106" s="3251"/>
      <c r="BC106" s="3251"/>
      <c r="BD106" s="3251"/>
      <c r="BE106" s="3251"/>
      <c r="BF106" s="3251"/>
      <c r="BG106" s="3251"/>
      <c r="BH106" s="3251"/>
      <c r="BI106" s="3251"/>
      <c r="BJ106" s="3251"/>
      <c r="BK106" s="3251"/>
      <c r="BL106" s="3251"/>
      <c r="BM106" s="3251"/>
      <c r="BN106" s="3251"/>
      <c r="BO106" s="3251"/>
      <c r="BP106" s="3251"/>
      <c r="BQ106" s="3251"/>
      <c r="BR106" s="3251"/>
      <c r="BS106" s="3251"/>
      <c r="BT106" s="3251"/>
      <c r="BU106" s="3251"/>
      <c r="BV106" s="3251"/>
      <c r="BW106" s="3251"/>
      <c r="BX106" s="3251"/>
      <c r="BY106" s="3251"/>
      <c r="BZ106" s="3251"/>
      <c r="CA106" s="3251"/>
      <c r="CB106" s="3251"/>
      <c r="CC106" s="3251"/>
      <c r="CD106" s="3251"/>
      <c r="CE106" s="3251"/>
      <c r="CF106" s="3251"/>
      <c r="CG106" s="3251"/>
      <c r="CH106" s="3251"/>
      <c r="CI106" s="3251">
        <f t="shared" si="7"/>
        <v>0</v>
      </c>
    </row>
    <row r="107" spans="1:87">
      <c r="B107" s="1624"/>
      <c r="R107" s="3027">
        <f>+'11.IEC-BCC Annex'!E3</f>
        <v>612.03000000000009</v>
      </c>
      <c r="BB107" s="3251">
        <f>SUM(BB6:BB106)</f>
        <v>503.9799999999999</v>
      </c>
      <c r="BC107" s="3251">
        <f t="shared" ref="BC107:CI107" si="10">SUM(BC6:BC106)</f>
        <v>7.1000000000000005</v>
      </c>
      <c r="BD107" s="3251">
        <f t="shared" si="10"/>
        <v>9.1199999999999992</v>
      </c>
      <c r="BE107" s="3251">
        <f t="shared" si="10"/>
        <v>7.57</v>
      </c>
      <c r="BF107" s="3251">
        <f t="shared" si="10"/>
        <v>16.39</v>
      </c>
      <c r="BG107" s="3251">
        <f t="shared" si="10"/>
        <v>4.919999999999999</v>
      </c>
      <c r="BH107" s="3251">
        <f t="shared" si="10"/>
        <v>8.2299999999999986</v>
      </c>
      <c r="BI107" s="3251">
        <f t="shared" si="10"/>
        <v>3.8800000000000003</v>
      </c>
      <c r="BJ107" s="3251">
        <f t="shared" si="10"/>
        <v>13.28</v>
      </c>
      <c r="BK107" s="3251">
        <f t="shared" si="10"/>
        <v>12.709999999999999</v>
      </c>
      <c r="BL107" s="3251">
        <f t="shared" si="10"/>
        <v>7.93</v>
      </c>
      <c r="BM107" s="3251">
        <f t="shared" si="10"/>
        <v>8.1300000000000008</v>
      </c>
      <c r="BN107" s="3251">
        <f t="shared" si="10"/>
        <v>7.8899999999999988</v>
      </c>
      <c r="BO107" s="3251">
        <f t="shared" si="10"/>
        <v>0.3</v>
      </c>
      <c r="BP107" s="3251">
        <f t="shared" si="10"/>
        <v>0.3</v>
      </c>
      <c r="BQ107" s="3251">
        <f t="shared" si="10"/>
        <v>0</v>
      </c>
      <c r="BR107" s="3251">
        <f t="shared" si="10"/>
        <v>0</v>
      </c>
      <c r="BS107" s="3251">
        <f t="shared" si="10"/>
        <v>0.3</v>
      </c>
      <c r="BT107" s="3251">
        <f t="shared" si="10"/>
        <v>0</v>
      </c>
      <c r="BU107" s="3251">
        <f t="shared" si="10"/>
        <v>0</v>
      </c>
      <c r="BV107" s="3251">
        <f t="shared" si="10"/>
        <v>0</v>
      </c>
      <c r="BW107" s="3251">
        <f t="shared" si="10"/>
        <v>0</v>
      </c>
      <c r="BX107" s="3251">
        <f t="shared" si="10"/>
        <v>0</v>
      </c>
      <c r="BY107" s="3251">
        <f t="shared" si="10"/>
        <v>0</v>
      </c>
      <c r="BZ107" s="3251">
        <f t="shared" si="10"/>
        <v>0</v>
      </c>
      <c r="CA107" s="3251">
        <f t="shared" si="10"/>
        <v>0</v>
      </c>
      <c r="CB107" s="3251">
        <f t="shared" si="10"/>
        <v>0</v>
      </c>
      <c r="CC107" s="3251">
        <f t="shared" si="10"/>
        <v>0</v>
      </c>
      <c r="CD107" s="3251">
        <f t="shared" si="10"/>
        <v>0</v>
      </c>
      <c r="CE107" s="3251">
        <f t="shared" si="10"/>
        <v>0</v>
      </c>
      <c r="CF107" s="3251">
        <f t="shared" si="10"/>
        <v>0</v>
      </c>
      <c r="CG107" s="3251">
        <f t="shared" si="10"/>
        <v>0</v>
      </c>
      <c r="CH107" s="3251">
        <f t="shared" si="10"/>
        <v>0</v>
      </c>
      <c r="CI107" s="3251">
        <f t="shared" si="10"/>
        <v>612.03000000000009</v>
      </c>
    </row>
    <row r="108" spans="1:87">
      <c r="BB108" s="3251"/>
      <c r="BC108" s="3251"/>
      <c r="BD108" s="3251"/>
      <c r="BE108" s="3251"/>
      <c r="BF108" s="3251"/>
      <c r="BG108" s="3251"/>
      <c r="BH108" s="3251"/>
      <c r="BI108" s="3251"/>
      <c r="BJ108" s="3251"/>
      <c r="BK108" s="3251"/>
      <c r="BL108" s="3251"/>
      <c r="BM108" s="3251"/>
      <c r="BN108" s="3251"/>
      <c r="BO108" s="3251"/>
      <c r="BP108" s="3251"/>
      <c r="BQ108" s="3251"/>
      <c r="BR108" s="3251"/>
      <c r="BS108" s="3251"/>
      <c r="BT108" s="3251"/>
      <c r="BU108" s="3251"/>
      <c r="BV108" s="3251"/>
      <c r="BW108" s="3251"/>
      <c r="BX108" s="3251"/>
      <c r="BY108" s="3251"/>
      <c r="BZ108" s="3251"/>
      <c r="CA108" s="3251"/>
      <c r="CB108" s="3251"/>
      <c r="CC108" s="3251"/>
      <c r="CD108" s="3251"/>
      <c r="CE108" s="3251"/>
      <c r="CF108" s="3251"/>
      <c r="CG108" s="3251"/>
      <c r="CH108" s="3251"/>
      <c r="CI108" s="3251">
        <f t="shared" si="7"/>
        <v>0</v>
      </c>
    </row>
  </sheetData>
  <sheetProtection password="CC49" sheet="1" objects="1" scenarios="1" autoFilter="0"/>
  <autoFilter ref="A4:BE106">
    <filterColumn colId="0" showButton="0"/>
  </autoFilter>
  <mergeCells count="12">
    <mergeCell ref="A5:C5"/>
    <mergeCell ref="A35:C35"/>
    <mergeCell ref="A56:C56"/>
    <mergeCell ref="A76:C76"/>
    <mergeCell ref="A1:C1"/>
    <mergeCell ref="A3:B4"/>
    <mergeCell ref="K3:P3"/>
    <mergeCell ref="Q3:R3"/>
    <mergeCell ref="F3:J3"/>
    <mergeCell ref="C3:C4"/>
    <mergeCell ref="D3:D4"/>
    <mergeCell ref="E3:E4"/>
  </mergeCells>
  <phoneticPr fontId="68" type="noConversion"/>
  <pageMargins left="0.7" right="0.7" top="0.75" bottom="0.75" header="0.3" footer="0.3"/>
  <pageSetup orientation="portrait" r:id="rId1"/>
</worksheet>
</file>

<file path=xl/worksheets/sheet17.xml><?xml version="1.0" encoding="utf-8"?>
<worksheet xmlns="http://schemas.openxmlformats.org/spreadsheetml/2006/main" xmlns:r="http://schemas.openxmlformats.org/officeDocument/2006/relationships">
  <dimension ref="A1:CI47"/>
  <sheetViews>
    <sheetView zoomScale="70" zoomScaleNormal="70" workbookViewId="0">
      <pane xSplit="5" ySplit="7" topLeftCell="P12" activePane="bottomRight" state="frozen"/>
      <selection activeCell="A2" sqref="A2:A4"/>
      <selection pane="topRight" activeCell="A2" sqref="A2:A4"/>
      <selection pane="bottomLeft" activeCell="A2" sqref="A2:A4"/>
      <selection pane="bottomRight" activeCell="Q19" sqref="Q19"/>
    </sheetView>
  </sheetViews>
  <sheetFormatPr defaultColWidth="48.85546875" defaultRowHeight="15"/>
  <cols>
    <col min="1" max="1" width="10.140625" style="1648" bestFit="1" customWidth="1"/>
    <col min="2" max="2" width="16.5703125" style="1648" bestFit="1" customWidth="1"/>
    <col min="3" max="3" width="36.5703125" style="1649" bestFit="1" customWidth="1"/>
    <col min="4" max="4" width="9.5703125" style="1648" customWidth="1"/>
    <col min="5" max="5" width="22.42578125" style="1648" bestFit="1" customWidth="1"/>
    <col min="6" max="6" width="15.140625" style="1638" hidden="1" customWidth="1"/>
    <col min="7" max="7" width="19.85546875" style="1638" hidden="1" customWidth="1"/>
    <col min="8" max="9" width="15.140625" style="1638" hidden="1" customWidth="1"/>
    <col min="10" max="10" width="17" style="1638" hidden="1" customWidth="1"/>
    <col min="11" max="11" width="9.140625" style="1650" hidden="1" customWidth="1"/>
    <col min="12" max="12" width="9.85546875" style="1638" hidden="1" customWidth="1"/>
    <col min="13" max="13" width="12.140625" style="1651" hidden="1" customWidth="1"/>
    <col min="14" max="14" width="10.5703125" style="1638" hidden="1" customWidth="1"/>
    <col min="15" max="15" width="12.140625" style="1651" hidden="1" customWidth="1"/>
    <col min="16" max="16" width="39.85546875" style="1652" customWidth="1"/>
    <col min="17" max="17" width="28.42578125" style="1652" customWidth="1"/>
    <col min="18" max="18" width="11.140625" style="1651" customWidth="1"/>
    <col min="19" max="19" width="6.140625" style="1638" hidden="1" customWidth="1"/>
    <col min="20" max="20" width="3.7109375" style="1638" hidden="1" customWidth="1"/>
    <col min="21" max="22" width="5.5703125" style="1638" hidden="1" customWidth="1"/>
    <col min="23" max="23" width="3.85546875" style="1638" hidden="1" customWidth="1"/>
    <col min="24" max="24" width="4.5703125" style="1638" hidden="1" customWidth="1"/>
    <col min="25" max="25" width="6.140625" style="1638" hidden="1" customWidth="1"/>
    <col min="26" max="26" width="7.5703125" style="1638" hidden="1" customWidth="1"/>
    <col min="27" max="27" width="4.140625" style="1638" hidden="1" customWidth="1"/>
    <col min="28" max="28" width="8.140625" style="1638" hidden="1" customWidth="1"/>
    <col min="29" max="30" width="4.140625" style="1638" hidden="1" customWidth="1"/>
    <col min="31" max="31" width="12" style="1638" hidden="1" customWidth="1"/>
    <col min="32" max="32" width="5.5703125" style="1638" hidden="1" customWidth="1"/>
    <col min="33" max="33" width="7.42578125" style="1638" hidden="1" customWidth="1"/>
    <col min="34" max="34" width="7" style="1638" hidden="1" customWidth="1"/>
    <col min="35" max="35" width="5.5703125" style="1638" hidden="1" customWidth="1"/>
    <col min="36" max="36" width="8" style="1638" hidden="1" customWidth="1"/>
    <col min="37" max="37" width="5.5703125" style="1638" hidden="1" customWidth="1"/>
    <col min="38" max="38" width="11.28515625" style="1638" hidden="1" customWidth="1"/>
    <col min="39" max="39" width="6.85546875" style="1638" hidden="1" customWidth="1"/>
    <col min="40" max="42" width="5.5703125" style="1638" hidden="1" customWidth="1"/>
    <col min="43" max="43" width="6.42578125" style="1638" hidden="1" customWidth="1"/>
    <col min="44" max="44" width="6.7109375" style="1638" hidden="1" customWidth="1"/>
    <col min="45" max="45" width="5.42578125" style="1638" hidden="1" customWidth="1"/>
    <col min="46" max="46" width="10.140625" style="1638" hidden="1" customWidth="1"/>
    <col min="47" max="47" width="7.42578125" style="1638" hidden="1" customWidth="1"/>
    <col min="48" max="48" width="8" style="1638" hidden="1" customWidth="1"/>
    <col min="49" max="49" width="6" style="1638" hidden="1" customWidth="1"/>
    <col min="50" max="50" width="5.42578125" style="1638" hidden="1" customWidth="1"/>
    <col min="51" max="51" width="6.42578125" style="1638" hidden="1" customWidth="1"/>
    <col min="52" max="52" width="6.7109375" style="1638" hidden="1" customWidth="1"/>
    <col min="53" max="53" width="7.7109375" style="1638" hidden="1" customWidth="1"/>
    <col min="54" max="54" width="19.85546875" style="1638" customWidth="1"/>
    <col min="55" max="55" width="19.42578125" style="1638" customWidth="1"/>
    <col min="56" max="56" width="24.7109375" style="1638" customWidth="1"/>
    <col min="57" max="57" width="15.5703125" style="1638" customWidth="1"/>
    <col min="58" max="58" width="16" style="1638" customWidth="1"/>
    <col min="59" max="59" width="12.140625" style="1638" bestFit="1" customWidth="1"/>
    <col min="60" max="60" width="9.5703125" style="1638" bestFit="1" customWidth="1"/>
    <col min="61" max="61" width="11.42578125" style="1638" bestFit="1" customWidth="1"/>
    <col min="62" max="62" width="9.140625" style="1638" bestFit="1" customWidth="1"/>
    <col min="63" max="63" width="10.5703125" style="1638" bestFit="1" customWidth="1"/>
    <col min="64" max="64" width="12.5703125" style="1638" bestFit="1" customWidth="1"/>
    <col min="65" max="65" width="10" style="1638" bestFit="1" customWidth="1"/>
    <col min="66" max="66" width="6.7109375" style="1638" bestFit="1" customWidth="1"/>
    <col min="67" max="67" width="11.7109375" style="1638" bestFit="1" customWidth="1"/>
    <col min="68" max="68" width="23.5703125" style="1638" bestFit="1" customWidth="1"/>
    <col min="69" max="69" width="28.5703125" style="1638" bestFit="1" customWidth="1"/>
    <col min="70" max="70" width="32.140625" style="1638" bestFit="1" customWidth="1"/>
    <col min="71" max="71" width="32.5703125" style="1638" bestFit="1" customWidth="1"/>
    <col min="72" max="72" width="25.42578125" style="1638" bestFit="1" customWidth="1"/>
    <col min="73" max="73" width="10.7109375" style="1638" bestFit="1" customWidth="1"/>
    <col min="74" max="74" width="16.28515625" style="1638" bestFit="1" customWidth="1"/>
    <col min="75" max="75" width="20" style="1638" bestFit="1" customWidth="1"/>
    <col min="76" max="76" width="19.28515625" style="1638" bestFit="1" customWidth="1"/>
    <col min="77" max="77" width="13.5703125" style="1638" bestFit="1" customWidth="1"/>
    <col min="78" max="78" width="17.140625" style="1638" bestFit="1" customWidth="1"/>
    <col min="79" max="79" width="20.5703125" style="1638" bestFit="1" customWidth="1"/>
    <col min="80" max="80" width="16.28515625" style="1638" bestFit="1" customWidth="1"/>
    <col min="81" max="81" width="14.42578125" style="1638" bestFit="1" customWidth="1"/>
    <col min="82" max="82" width="14.28515625" style="1638" bestFit="1" customWidth="1"/>
    <col min="83" max="83" width="26.85546875" style="1638" bestFit="1" customWidth="1"/>
    <col min="84" max="84" width="10.7109375" style="1638" bestFit="1" customWidth="1"/>
    <col min="85" max="85" width="33" style="1638" bestFit="1" customWidth="1"/>
    <col min="86" max="86" width="29.5703125" style="1638" bestFit="1" customWidth="1"/>
    <col min="87" max="87" width="9.5703125" style="1638" bestFit="1" customWidth="1"/>
    <col min="88" max="16384" width="48.85546875" style="1638"/>
  </cols>
  <sheetData>
    <row r="1" spans="1:87" s="1625" customFormat="1" ht="13.5" customHeight="1">
      <c r="A1" s="3975" t="s">
        <v>1443</v>
      </c>
      <c r="B1" s="3976"/>
      <c r="C1" s="3977"/>
      <c r="D1" s="1222"/>
      <c r="E1" s="3858" t="s">
        <v>4534</v>
      </c>
      <c r="F1" s="3792" t="s">
        <v>4532</v>
      </c>
      <c r="G1" s="3792"/>
      <c r="H1" s="3792"/>
      <c r="I1" s="3792"/>
      <c r="J1" s="3792"/>
      <c r="K1" s="3792"/>
      <c r="L1" s="3792"/>
      <c r="M1" s="3792"/>
      <c r="N1" s="3792"/>
      <c r="O1" s="3978" t="s">
        <v>65</v>
      </c>
      <c r="P1" s="3978"/>
      <c r="Q1" s="3978"/>
      <c r="R1" s="3978"/>
      <c r="S1" s="3978"/>
      <c r="T1" s="3978"/>
      <c r="U1" s="3978"/>
      <c r="V1" s="3978"/>
      <c r="W1" s="3978"/>
      <c r="X1" s="3978"/>
      <c r="Y1" s="3978"/>
      <c r="Z1" s="3978"/>
      <c r="AA1" s="3978"/>
      <c r="AB1" s="3978"/>
      <c r="AC1" s="3978"/>
      <c r="AD1" s="3978"/>
      <c r="AE1" s="3978"/>
      <c r="AF1" s="3978"/>
      <c r="AG1" s="3978"/>
      <c r="AH1" s="3978"/>
      <c r="AI1" s="3979" t="s">
        <v>4219</v>
      </c>
      <c r="AJ1" s="3979"/>
      <c r="AK1" s="3979"/>
      <c r="AL1" s="3979"/>
      <c r="AM1" s="3979"/>
      <c r="AN1" s="3979"/>
      <c r="AO1" s="3979"/>
      <c r="AP1" s="3971" t="s">
        <v>80</v>
      </c>
      <c r="AQ1" s="3971"/>
      <c r="AR1" s="3971"/>
      <c r="AS1" s="3971"/>
      <c r="AT1" s="3971"/>
      <c r="AU1" s="3971"/>
      <c r="AV1" s="3971"/>
      <c r="AW1" s="3971"/>
      <c r="AX1" s="3971"/>
      <c r="AY1" s="3971"/>
      <c r="AZ1" s="3971"/>
      <c r="BA1" s="3971"/>
    </row>
    <row r="2" spans="1:87" s="1626" customFormat="1" ht="30">
      <c r="A2" s="3972" t="str">
        <f>HYPERLINK("#Index!A4", "Index Pg")</f>
        <v>Index Pg</v>
      </c>
      <c r="B2" s="1333" t="str">
        <f>HYPERLINK("#'Summary of Abstracts'!A2", "Summary of Abst.")</f>
        <v>Summary of Abst.</v>
      </c>
      <c r="C2" s="861"/>
      <c r="D2" s="1224"/>
      <c r="E2" s="3858"/>
      <c r="F2" s="906" t="s">
        <v>113</v>
      </c>
      <c r="G2" s="906" t="s">
        <v>126</v>
      </c>
      <c r="H2" s="906" t="s">
        <v>86</v>
      </c>
      <c r="I2" s="906" t="s">
        <v>4530</v>
      </c>
      <c r="J2" s="906" t="s">
        <v>91</v>
      </c>
      <c r="K2" s="1225" t="s">
        <v>3933</v>
      </c>
      <c r="L2" s="907" t="s">
        <v>4531</v>
      </c>
      <c r="M2" s="906" t="s">
        <v>4535</v>
      </c>
      <c r="N2" s="907" t="s">
        <v>203</v>
      </c>
      <c r="O2" s="908" t="s">
        <v>4218</v>
      </c>
      <c r="P2" s="909" t="s">
        <v>3751</v>
      </c>
      <c r="Q2" s="909" t="s">
        <v>4543</v>
      </c>
      <c r="R2" s="909" t="s">
        <v>4540</v>
      </c>
      <c r="S2" s="909" t="s">
        <v>4541</v>
      </c>
      <c r="T2" s="909" t="s">
        <v>4542</v>
      </c>
      <c r="U2" s="909" t="s">
        <v>4544</v>
      </c>
      <c r="V2" s="909" t="s">
        <v>4528</v>
      </c>
      <c r="W2" s="909" t="s">
        <v>4545</v>
      </c>
      <c r="X2" s="909" t="s">
        <v>29</v>
      </c>
      <c r="Y2" s="909" t="s">
        <v>4546</v>
      </c>
      <c r="Z2" s="909" t="s">
        <v>4547</v>
      </c>
      <c r="AA2" s="909" t="s">
        <v>4537</v>
      </c>
      <c r="AB2" s="909" t="s">
        <v>737</v>
      </c>
      <c r="AC2" s="909" t="s">
        <v>4538</v>
      </c>
      <c r="AD2" s="909" t="s">
        <v>4539</v>
      </c>
      <c r="AE2" s="909" t="s">
        <v>2293</v>
      </c>
      <c r="AF2" s="909" t="s">
        <v>4548</v>
      </c>
      <c r="AG2" s="909" t="s">
        <v>3750</v>
      </c>
      <c r="AH2" s="909" t="s">
        <v>302</v>
      </c>
      <c r="AI2" s="910" t="s">
        <v>288</v>
      </c>
      <c r="AJ2" s="910" t="s">
        <v>109</v>
      </c>
      <c r="AK2" s="910" t="s">
        <v>141</v>
      </c>
      <c r="AL2" s="910" t="s">
        <v>4525</v>
      </c>
      <c r="AM2" s="910" t="s">
        <v>3223</v>
      </c>
      <c r="AN2" s="910" t="s">
        <v>3855</v>
      </c>
      <c r="AO2" s="910" t="s">
        <v>4405</v>
      </c>
      <c r="AP2" s="1209" t="s">
        <v>81</v>
      </c>
      <c r="AQ2" s="1209" t="s">
        <v>145</v>
      </c>
      <c r="AR2" s="1209" t="s">
        <v>394</v>
      </c>
      <c r="AS2" s="1209" t="s">
        <v>147</v>
      </c>
      <c r="AT2" s="1209" t="s">
        <v>410</v>
      </c>
      <c r="AU2" s="1209" t="s">
        <v>4459</v>
      </c>
      <c r="AV2" s="1209" t="s">
        <v>3989</v>
      </c>
      <c r="AW2" s="1209" t="s">
        <v>307</v>
      </c>
      <c r="AX2" s="1209" t="s">
        <v>309</v>
      </c>
      <c r="AY2" s="1209" t="s">
        <v>1028</v>
      </c>
      <c r="AZ2" s="1209" t="s">
        <v>1014</v>
      </c>
      <c r="BA2" s="1209" t="s">
        <v>4533</v>
      </c>
    </row>
    <row r="3" spans="1:87" s="1626" customFormat="1" ht="30">
      <c r="A3" s="3973"/>
      <c r="B3" s="1627" t="str">
        <f>HYPERLINK("#'Budget Summary I'!A1:AL1", "Budget Summary I")</f>
        <v>Budget Summary I</v>
      </c>
      <c r="C3" s="985" t="s">
        <v>4460</v>
      </c>
      <c r="D3" s="1224"/>
      <c r="E3" s="1449">
        <f>R7</f>
        <v>192.36999999999998</v>
      </c>
      <c r="F3" s="985">
        <f>R9</f>
        <v>3.29</v>
      </c>
      <c r="G3" s="985">
        <f>R10</f>
        <v>67.91</v>
      </c>
      <c r="H3" s="985">
        <f>R11</f>
        <v>0</v>
      </c>
      <c r="I3" s="985">
        <f>R12</f>
        <v>15.42</v>
      </c>
      <c r="J3" s="985">
        <f>R13</f>
        <v>0</v>
      </c>
      <c r="K3" s="985">
        <f>R15</f>
        <v>0</v>
      </c>
      <c r="L3" s="985">
        <f>R14</f>
        <v>24</v>
      </c>
      <c r="M3" s="985"/>
      <c r="N3" s="985"/>
      <c r="O3" s="985">
        <f>R21</f>
        <v>10</v>
      </c>
      <c r="P3" s="985">
        <f>R18</f>
        <v>25.83</v>
      </c>
      <c r="Q3" s="985"/>
      <c r="R3" s="985"/>
      <c r="S3" s="985"/>
      <c r="T3" s="985"/>
      <c r="U3" s="985">
        <f>R23</f>
        <v>0</v>
      </c>
      <c r="V3" s="1628"/>
      <c r="W3" s="985"/>
      <c r="X3" s="985"/>
      <c r="Y3" s="985"/>
      <c r="Z3" s="985"/>
      <c r="AA3" s="985"/>
      <c r="AB3" s="985"/>
      <c r="AC3" s="985"/>
      <c r="AD3" s="985"/>
      <c r="AE3" s="985">
        <f>R20</f>
        <v>0</v>
      </c>
      <c r="AF3" s="985">
        <f>R19</f>
        <v>0</v>
      </c>
      <c r="AG3" s="985"/>
      <c r="AH3" s="985">
        <f>R17+R22+R24</f>
        <v>0</v>
      </c>
      <c r="AI3" s="985">
        <f>R30</f>
        <v>0</v>
      </c>
      <c r="AJ3" s="985">
        <f>R26</f>
        <v>0</v>
      </c>
      <c r="AK3" s="985">
        <f>R27</f>
        <v>0</v>
      </c>
      <c r="AL3" s="985">
        <f>R28</f>
        <v>25.6</v>
      </c>
      <c r="AM3" s="985">
        <f>R29</f>
        <v>0</v>
      </c>
      <c r="AN3" s="985">
        <f>R31</f>
        <v>0</v>
      </c>
      <c r="AO3" s="985">
        <f>R32</f>
        <v>0</v>
      </c>
      <c r="AP3" s="985">
        <f>R34</f>
        <v>0</v>
      </c>
      <c r="AQ3" s="985">
        <f>R35</f>
        <v>0</v>
      </c>
      <c r="AR3" s="985">
        <f>R36</f>
        <v>0</v>
      </c>
      <c r="AS3" s="985">
        <f>R37</f>
        <v>0</v>
      </c>
      <c r="AT3" s="985">
        <f>R38</f>
        <v>20</v>
      </c>
      <c r="AU3" s="985">
        <f>R39</f>
        <v>0</v>
      </c>
      <c r="AV3" s="985">
        <f>R40</f>
        <v>0.32</v>
      </c>
      <c r="AW3" s="985">
        <f>R43</f>
        <v>0</v>
      </c>
      <c r="AX3" s="985">
        <f>R44</f>
        <v>0</v>
      </c>
      <c r="AY3" s="985">
        <f>R42</f>
        <v>0</v>
      </c>
      <c r="AZ3" s="985">
        <f>R41</f>
        <v>0</v>
      </c>
      <c r="BA3" s="985">
        <f>R45</f>
        <v>0</v>
      </c>
    </row>
    <row r="4" spans="1:87" s="1626" customFormat="1" ht="30">
      <c r="A4" s="3974"/>
      <c r="B4" s="1627" t="str">
        <f>HYPERLINK("#'Budget Summary II'!A3:B5", "Budget Summary II")</f>
        <v>Budget Summary II</v>
      </c>
      <c r="C4" s="985" t="s">
        <v>4461</v>
      </c>
      <c r="D4" s="1224"/>
      <c r="E4" s="1449">
        <f>O7</f>
        <v>239.47028</v>
      </c>
      <c r="F4" s="985">
        <f>O9</f>
        <v>3.29352</v>
      </c>
      <c r="G4" s="985">
        <f>O10</f>
        <v>71.504999999999995</v>
      </c>
      <c r="H4" s="985">
        <f>O11</f>
        <v>0</v>
      </c>
      <c r="I4" s="985">
        <f>O12</f>
        <v>15.415759999999999</v>
      </c>
      <c r="J4" s="985">
        <f>O13</f>
        <v>31.5</v>
      </c>
      <c r="K4" s="985">
        <f>O15</f>
        <v>0</v>
      </c>
      <c r="L4" s="985">
        <f>O14</f>
        <v>27.6</v>
      </c>
      <c r="M4" s="985"/>
      <c r="N4" s="985"/>
      <c r="O4" s="985">
        <f>O21</f>
        <v>10</v>
      </c>
      <c r="P4" s="985">
        <f>O18</f>
        <v>34.245000000000005</v>
      </c>
      <c r="Q4" s="985"/>
      <c r="R4" s="985"/>
      <c r="S4" s="985"/>
      <c r="T4" s="985"/>
      <c r="U4" s="985">
        <f>O23</f>
        <v>0</v>
      </c>
      <c r="V4" s="1628"/>
      <c r="W4" s="985"/>
      <c r="X4" s="985"/>
      <c r="Y4" s="985"/>
      <c r="Z4" s="985"/>
      <c r="AA4" s="985"/>
      <c r="AB4" s="985"/>
      <c r="AC4" s="985"/>
      <c r="AD4" s="985"/>
      <c r="AE4" s="985">
        <f>O20</f>
        <v>0</v>
      </c>
      <c r="AF4" s="985">
        <f>O19</f>
        <v>0</v>
      </c>
      <c r="AG4" s="985"/>
      <c r="AH4" s="985">
        <f>O17+O22+O24</f>
        <v>0</v>
      </c>
      <c r="AI4" s="985">
        <f>O30</f>
        <v>0</v>
      </c>
      <c r="AJ4" s="985">
        <f>O26</f>
        <v>0</v>
      </c>
      <c r="AK4" s="985">
        <f>O27</f>
        <v>0</v>
      </c>
      <c r="AL4" s="985">
        <f>O28</f>
        <v>25.595999999999997</v>
      </c>
      <c r="AM4" s="985">
        <f>O29</f>
        <v>0</v>
      </c>
      <c r="AN4" s="985">
        <f>O31</f>
        <v>0</v>
      </c>
      <c r="AO4" s="985">
        <f>O32</f>
        <v>0</v>
      </c>
      <c r="AP4" s="985">
        <f>O34</f>
        <v>0</v>
      </c>
      <c r="AQ4" s="985">
        <f>O35</f>
        <v>0</v>
      </c>
      <c r="AR4" s="985">
        <f>O36</f>
        <v>0</v>
      </c>
      <c r="AS4" s="985">
        <f>O37</f>
        <v>0</v>
      </c>
      <c r="AT4" s="985">
        <f>O38</f>
        <v>20</v>
      </c>
      <c r="AU4" s="985">
        <f>O39</f>
        <v>0</v>
      </c>
      <c r="AV4" s="985">
        <f>O40</f>
        <v>0.315</v>
      </c>
      <c r="AW4" s="985">
        <f>O43</f>
        <v>0</v>
      </c>
      <c r="AX4" s="985">
        <f>O44</f>
        <v>0</v>
      </c>
      <c r="AY4" s="985">
        <f>O42</f>
        <v>0</v>
      </c>
      <c r="AZ4" s="985">
        <f>O41</f>
        <v>0</v>
      </c>
      <c r="BA4" s="985">
        <f>O45</f>
        <v>0</v>
      </c>
    </row>
    <row r="5" spans="1:87" s="1571" customFormat="1" ht="12.75" customHeight="1">
      <c r="A5" s="3801" t="s">
        <v>48</v>
      </c>
      <c r="B5" s="3801" t="s">
        <v>49</v>
      </c>
      <c r="C5" s="3801" t="s">
        <v>50</v>
      </c>
      <c r="D5" s="3801" t="s">
        <v>51</v>
      </c>
      <c r="E5" s="3801" t="s">
        <v>52</v>
      </c>
      <c r="F5" s="3866" t="s">
        <v>4478</v>
      </c>
      <c r="G5" s="3866"/>
      <c r="H5" s="3866"/>
      <c r="I5" s="3866"/>
      <c r="J5" s="3866"/>
      <c r="K5" s="3866" t="s">
        <v>4484</v>
      </c>
      <c r="L5" s="3866"/>
      <c r="M5" s="3866"/>
      <c r="N5" s="3866"/>
      <c r="O5" s="3866"/>
      <c r="P5" s="3866"/>
      <c r="Q5" s="3801" t="s">
        <v>4514</v>
      </c>
      <c r="R5" s="3801"/>
    </row>
    <row r="6" spans="1:87" s="1284" customFormat="1" ht="45">
      <c r="A6" s="3801"/>
      <c r="B6" s="3801"/>
      <c r="C6" s="3801"/>
      <c r="D6" s="3801"/>
      <c r="E6" s="3801"/>
      <c r="F6" s="918" t="s">
        <v>4479</v>
      </c>
      <c r="G6" s="918" t="s">
        <v>4482</v>
      </c>
      <c r="H6" s="918" t="s">
        <v>4480</v>
      </c>
      <c r="I6" s="918" t="s">
        <v>4483</v>
      </c>
      <c r="J6" s="918" t="s">
        <v>2448</v>
      </c>
      <c r="K6" s="919" t="s">
        <v>53</v>
      </c>
      <c r="L6" s="919" t="s">
        <v>54</v>
      </c>
      <c r="M6" s="1228" t="s">
        <v>55</v>
      </c>
      <c r="N6" s="919" t="s">
        <v>56</v>
      </c>
      <c r="O6" s="1228" t="s">
        <v>57</v>
      </c>
      <c r="P6" s="919" t="s">
        <v>5069</v>
      </c>
      <c r="Q6" s="921" t="s">
        <v>2450</v>
      </c>
      <c r="R6" s="1229" t="s">
        <v>4515</v>
      </c>
      <c r="BB6" s="3153" t="s">
        <v>5973</v>
      </c>
      <c r="BC6" s="3153" t="s">
        <v>5432</v>
      </c>
      <c r="BD6" s="3153" t="s">
        <v>5433</v>
      </c>
      <c r="BE6" s="3153" t="s">
        <v>5434</v>
      </c>
      <c r="BF6" s="3153" t="s">
        <v>5435</v>
      </c>
      <c r="BG6" s="3153" t="s">
        <v>5436</v>
      </c>
      <c r="BH6" s="3153" t="s">
        <v>5437</v>
      </c>
      <c r="BI6" s="3153" t="s">
        <v>5959</v>
      </c>
      <c r="BJ6" s="3153" t="s">
        <v>5438</v>
      </c>
      <c r="BK6" s="3153" t="s">
        <v>5439</v>
      </c>
      <c r="BL6" s="3153" t="s">
        <v>5960</v>
      </c>
      <c r="BM6" s="3153" t="s">
        <v>5440</v>
      </c>
      <c r="BN6" s="3153" t="s">
        <v>5441</v>
      </c>
      <c r="BO6" s="3153" t="s">
        <v>5961</v>
      </c>
      <c r="BP6" s="3153" t="s">
        <v>5974</v>
      </c>
      <c r="BQ6" s="3153" t="s">
        <v>5975</v>
      </c>
      <c r="BR6" s="3153" t="s">
        <v>5976</v>
      </c>
      <c r="BS6" s="3153" t="s">
        <v>5977</v>
      </c>
      <c r="BT6" s="3153" t="s">
        <v>5978</v>
      </c>
      <c r="BU6" s="3153" t="s">
        <v>5979</v>
      </c>
      <c r="BV6" s="3153" t="s">
        <v>5962</v>
      </c>
      <c r="BW6" s="3153" t="s">
        <v>5963</v>
      </c>
      <c r="BX6" s="3153" t="s">
        <v>5964</v>
      </c>
      <c r="BY6" s="3153" t="s">
        <v>5965</v>
      </c>
      <c r="BZ6" s="3153" t="s">
        <v>5966</v>
      </c>
      <c r="CA6" s="3153" t="s">
        <v>5967</v>
      </c>
      <c r="CB6" s="3153" t="s">
        <v>5968</v>
      </c>
      <c r="CC6" s="3153" t="s">
        <v>5969</v>
      </c>
      <c r="CD6" s="3153" t="s">
        <v>5970</v>
      </c>
      <c r="CE6" s="3153" t="s">
        <v>5980</v>
      </c>
      <c r="CF6" s="3153" t="s">
        <v>5971</v>
      </c>
      <c r="CG6" s="3153" t="s">
        <v>5981</v>
      </c>
      <c r="CH6" s="3153" t="s">
        <v>5982</v>
      </c>
      <c r="CI6" s="3153" t="s">
        <v>5972</v>
      </c>
    </row>
    <row r="7" spans="1:87" s="1289" customFormat="1">
      <c r="A7" s="1572">
        <v>12</v>
      </c>
      <c r="B7" s="1572"/>
      <c r="C7" s="485" t="s">
        <v>25</v>
      </c>
      <c r="D7" s="1285"/>
      <c r="E7" s="1285"/>
      <c r="F7" s="485"/>
      <c r="G7" s="485"/>
      <c r="H7" s="485"/>
      <c r="I7" s="485"/>
      <c r="J7" s="485"/>
      <c r="K7" s="485"/>
      <c r="L7" s="485"/>
      <c r="M7" s="1629"/>
      <c r="N7" s="485"/>
      <c r="O7" s="487">
        <f>O8+O16+O25+O33</f>
        <v>239.47028</v>
      </c>
      <c r="P7" s="485"/>
      <c r="Q7" s="485"/>
      <c r="R7" s="487">
        <f>R8+R16+R25+R33</f>
        <v>192.36999999999998</v>
      </c>
      <c r="BB7" s="3223"/>
      <c r="BC7" s="3223"/>
      <c r="BD7" s="3223"/>
      <c r="BE7" s="3223"/>
      <c r="BF7" s="3223"/>
      <c r="BG7" s="3223"/>
      <c r="BH7" s="3223"/>
      <c r="BI7" s="3223"/>
      <c r="BJ7" s="3223"/>
      <c r="BK7" s="3223"/>
      <c r="BL7" s="3223"/>
      <c r="BM7" s="3223"/>
      <c r="BN7" s="3223"/>
      <c r="BO7" s="3223"/>
      <c r="BP7" s="3223"/>
      <c r="BQ7" s="3223"/>
      <c r="BR7" s="3223"/>
      <c r="BS7" s="3223"/>
      <c r="BT7" s="3223"/>
      <c r="BU7" s="3223"/>
      <c r="BV7" s="3223"/>
      <c r="BW7" s="3223"/>
      <c r="BX7" s="3223"/>
      <c r="BY7" s="3223"/>
      <c r="BZ7" s="3223"/>
      <c r="CA7" s="3223"/>
      <c r="CB7" s="3223"/>
      <c r="CC7" s="3223"/>
      <c r="CD7" s="3223"/>
      <c r="CE7" s="3223"/>
      <c r="CF7" s="3223"/>
      <c r="CG7" s="3223"/>
      <c r="CH7" s="3223"/>
      <c r="CI7" s="3223">
        <f>SUM(BB7:CH7)</f>
        <v>0</v>
      </c>
    </row>
    <row r="8" spans="1:87">
      <c r="A8" s="1630">
        <v>12.1</v>
      </c>
      <c r="B8" s="1631"/>
      <c r="C8" s="1632" t="s">
        <v>4894</v>
      </c>
      <c r="D8" s="1631"/>
      <c r="E8" s="1631"/>
      <c r="F8" s="1633"/>
      <c r="G8" s="1633"/>
      <c r="H8" s="1633"/>
      <c r="I8" s="1633"/>
      <c r="J8" s="1633"/>
      <c r="K8" s="1634"/>
      <c r="L8" s="1633"/>
      <c r="M8" s="1635"/>
      <c r="N8" s="1633"/>
      <c r="O8" s="1636">
        <f>SUM(O9:O15)</f>
        <v>149.31428</v>
      </c>
      <c r="P8" s="1637"/>
      <c r="Q8" s="1637"/>
      <c r="R8" s="1636">
        <f>SUM(R9:R15)</f>
        <v>110.62</v>
      </c>
      <c r="BB8" s="1644"/>
      <c r="BC8" s="1644"/>
      <c r="BD8" s="1644"/>
      <c r="BE8" s="1644"/>
      <c r="BF8" s="1644"/>
      <c r="BG8" s="1644"/>
      <c r="BH8" s="1644"/>
      <c r="BI8" s="1644"/>
      <c r="BJ8" s="1644"/>
      <c r="BK8" s="1644"/>
      <c r="BL8" s="1644"/>
      <c r="BM8" s="1644"/>
      <c r="BN8" s="1644"/>
      <c r="BO8" s="1644"/>
      <c r="BP8" s="1644"/>
      <c r="BQ8" s="1644"/>
      <c r="BR8" s="1644"/>
      <c r="BS8" s="1644"/>
      <c r="BT8" s="1644"/>
      <c r="BU8" s="1644"/>
      <c r="BV8" s="1644"/>
      <c r="BW8" s="1644"/>
      <c r="BX8" s="1644"/>
      <c r="BY8" s="1644"/>
      <c r="BZ8" s="1644"/>
      <c r="CA8" s="1644"/>
      <c r="CB8" s="1644"/>
      <c r="CC8" s="1644"/>
      <c r="CD8" s="1644"/>
      <c r="CE8" s="1644"/>
      <c r="CF8" s="1644"/>
      <c r="CG8" s="1644"/>
      <c r="CH8" s="1644"/>
      <c r="CI8" s="3223">
        <f t="shared" ref="CI8:CI47" si="0">SUM(BB8:CH8)</f>
        <v>0</v>
      </c>
    </row>
    <row r="9" spans="1:87">
      <c r="A9" s="1639" t="s">
        <v>1445</v>
      </c>
      <c r="B9" s="1640">
        <v>12.1</v>
      </c>
      <c r="C9" s="1641" t="s">
        <v>1444</v>
      </c>
      <c r="D9" s="1642" t="s">
        <v>85</v>
      </c>
      <c r="E9" s="1643" t="s">
        <v>113</v>
      </c>
      <c r="F9" s="454"/>
      <c r="G9" s="454"/>
      <c r="H9" s="454">
        <v>40</v>
      </c>
      <c r="I9" s="454"/>
      <c r="J9" s="454"/>
      <c r="K9" s="1653"/>
      <c r="L9" s="454"/>
      <c r="M9" s="1654"/>
      <c r="N9" s="454"/>
      <c r="O9" s="1644">
        <f>'12-A. Print Sub-Annex'!O6</f>
        <v>3.29352</v>
      </c>
      <c r="P9" s="1658"/>
      <c r="Q9" s="1645"/>
      <c r="R9" s="1644">
        <f>'12-A. Print Sub-Annex'!R6</f>
        <v>3.29</v>
      </c>
      <c r="BB9" s="1644"/>
      <c r="BC9" s="1644"/>
      <c r="BD9" s="1644"/>
      <c r="BE9" s="1644"/>
      <c r="BF9" s="1644"/>
      <c r="BG9" s="1644"/>
      <c r="BH9" s="1644"/>
      <c r="BI9" s="1644"/>
      <c r="BJ9" s="1644"/>
      <c r="BK9" s="1644"/>
      <c r="BL9" s="1644"/>
      <c r="BM9" s="1644"/>
      <c r="BN9" s="1644"/>
      <c r="BO9" s="1644"/>
      <c r="BP9" s="1644"/>
      <c r="BQ9" s="1644"/>
      <c r="BR9" s="1644"/>
      <c r="BS9" s="1644"/>
      <c r="BT9" s="1644"/>
      <c r="BU9" s="1644"/>
      <c r="BV9" s="1644"/>
      <c r="BW9" s="1644"/>
      <c r="BX9" s="1644"/>
      <c r="BY9" s="1644"/>
      <c r="BZ9" s="1644"/>
      <c r="CA9" s="1644"/>
      <c r="CB9" s="1644"/>
      <c r="CC9" s="1644"/>
      <c r="CD9" s="1644"/>
      <c r="CE9" s="1644"/>
      <c r="CF9" s="1644"/>
      <c r="CG9" s="1644"/>
      <c r="CH9" s="1644"/>
      <c r="CI9" s="3223">
        <f t="shared" si="0"/>
        <v>0</v>
      </c>
    </row>
    <row r="10" spans="1:87">
      <c r="A10" s="1639" t="s">
        <v>1447</v>
      </c>
      <c r="B10" s="1640">
        <v>12.2</v>
      </c>
      <c r="C10" s="1641" t="s">
        <v>1451</v>
      </c>
      <c r="D10" s="1642" t="s">
        <v>85</v>
      </c>
      <c r="E10" s="1640" t="s">
        <v>126</v>
      </c>
      <c r="F10" s="454"/>
      <c r="G10" s="454"/>
      <c r="H10" s="454">
        <v>76.739999999999995</v>
      </c>
      <c r="I10" s="454"/>
      <c r="J10" s="454"/>
      <c r="K10" s="1653"/>
      <c r="L10" s="454"/>
      <c r="M10" s="1654"/>
      <c r="N10" s="454"/>
      <c r="O10" s="1644">
        <f>'12-A. Print Sub-Annex'!O12</f>
        <v>71.504999999999995</v>
      </c>
      <c r="P10" s="1658"/>
      <c r="Q10" s="1645"/>
      <c r="R10" s="1644">
        <f>'12-A. Print Sub-Annex'!R12</f>
        <v>67.91</v>
      </c>
      <c r="BB10" s="1644"/>
      <c r="BC10" s="1644"/>
      <c r="BD10" s="1644"/>
      <c r="BE10" s="1644"/>
      <c r="BF10" s="1644"/>
      <c r="BG10" s="1644"/>
      <c r="BH10" s="1644"/>
      <c r="BI10" s="1644"/>
      <c r="BJ10" s="1644"/>
      <c r="BK10" s="1644"/>
      <c r="BL10" s="1644"/>
      <c r="BM10" s="1644"/>
      <c r="BN10" s="1644"/>
      <c r="BO10" s="1644"/>
      <c r="BP10" s="1644"/>
      <c r="BQ10" s="1644"/>
      <c r="BR10" s="1644"/>
      <c r="BS10" s="1644"/>
      <c r="BT10" s="1644"/>
      <c r="BU10" s="1644"/>
      <c r="BV10" s="1644"/>
      <c r="BW10" s="1644"/>
      <c r="BX10" s="1644"/>
      <c r="BY10" s="1644"/>
      <c r="BZ10" s="1644"/>
      <c r="CA10" s="1644"/>
      <c r="CB10" s="1644"/>
      <c r="CC10" s="1644"/>
      <c r="CD10" s="1644"/>
      <c r="CE10" s="1644"/>
      <c r="CF10" s="1644"/>
      <c r="CG10" s="1644"/>
      <c r="CH10" s="1644"/>
      <c r="CI10" s="3223">
        <f t="shared" si="0"/>
        <v>0</v>
      </c>
    </row>
    <row r="11" spans="1:87">
      <c r="A11" s="1639" t="s">
        <v>1450</v>
      </c>
      <c r="B11" s="1640">
        <v>12.3</v>
      </c>
      <c r="C11" s="1641" t="s">
        <v>1470</v>
      </c>
      <c r="D11" s="1642" t="s">
        <v>85</v>
      </c>
      <c r="E11" s="1640" t="s">
        <v>86</v>
      </c>
      <c r="F11" s="454"/>
      <c r="G11" s="454"/>
      <c r="H11" s="454">
        <v>0</v>
      </c>
      <c r="I11" s="454"/>
      <c r="J11" s="454"/>
      <c r="K11" s="1653"/>
      <c r="L11" s="454"/>
      <c r="M11" s="1654"/>
      <c r="N11" s="454"/>
      <c r="O11" s="1644">
        <f>'12-A. Print Sub-Annex'!O27</f>
        <v>0</v>
      </c>
      <c r="P11" s="1658"/>
      <c r="Q11" s="1645"/>
      <c r="R11" s="1644">
        <f>'12-A. Print Sub-Annex'!R27</f>
        <v>0</v>
      </c>
      <c r="BB11" s="1644"/>
      <c r="BC11" s="1644"/>
      <c r="BD11" s="1644"/>
      <c r="BE11" s="1644"/>
      <c r="BF11" s="1644"/>
      <c r="BG11" s="1644"/>
      <c r="BH11" s="1644"/>
      <c r="BI11" s="1644"/>
      <c r="BJ11" s="1644"/>
      <c r="BK11" s="1644"/>
      <c r="BL11" s="1644"/>
      <c r="BM11" s="1644"/>
      <c r="BN11" s="1644"/>
      <c r="BO11" s="1644"/>
      <c r="BP11" s="1644"/>
      <c r="BQ11" s="1644"/>
      <c r="BR11" s="1644"/>
      <c r="BS11" s="1644"/>
      <c r="BT11" s="1644"/>
      <c r="BU11" s="1644"/>
      <c r="BV11" s="1644"/>
      <c r="BW11" s="1644"/>
      <c r="BX11" s="1644"/>
      <c r="BY11" s="1644"/>
      <c r="BZ11" s="1644"/>
      <c r="CA11" s="1644"/>
      <c r="CB11" s="1644"/>
      <c r="CC11" s="1644"/>
      <c r="CD11" s="1644"/>
      <c r="CE11" s="1644"/>
      <c r="CF11" s="1644"/>
      <c r="CG11" s="1644"/>
      <c r="CH11" s="1644"/>
      <c r="CI11" s="3223">
        <f t="shared" si="0"/>
        <v>0</v>
      </c>
    </row>
    <row r="12" spans="1:87">
      <c r="A12" s="1639" t="s">
        <v>2374</v>
      </c>
      <c r="B12" s="1640">
        <v>12.4</v>
      </c>
      <c r="C12" s="1641" t="s">
        <v>1482</v>
      </c>
      <c r="D12" s="1642" t="s">
        <v>85</v>
      </c>
      <c r="E12" s="1640" t="s">
        <v>188</v>
      </c>
      <c r="F12" s="454"/>
      <c r="G12" s="454"/>
      <c r="H12" s="454">
        <v>3.86</v>
      </c>
      <c r="I12" s="454"/>
      <c r="J12" s="454"/>
      <c r="K12" s="1653"/>
      <c r="L12" s="454"/>
      <c r="M12" s="1654"/>
      <c r="N12" s="454"/>
      <c r="O12" s="1644">
        <f>'12-A. Print Sub-Annex'!O33</f>
        <v>15.415759999999999</v>
      </c>
      <c r="P12" s="1658"/>
      <c r="Q12" s="1645"/>
      <c r="R12" s="1644">
        <f>'12-A. Print Sub-Annex'!R33</f>
        <v>15.42</v>
      </c>
      <c r="BB12" s="1644"/>
      <c r="BC12" s="1644"/>
      <c r="BD12" s="1644"/>
      <c r="BE12" s="1644"/>
      <c r="BF12" s="1644"/>
      <c r="BG12" s="1644"/>
      <c r="BH12" s="1644"/>
      <c r="BI12" s="1644"/>
      <c r="BJ12" s="1644"/>
      <c r="BK12" s="1644"/>
      <c r="BL12" s="1644"/>
      <c r="BM12" s="1644"/>
      <c r="BN12" s="1644"/>
      <c r="BO12" s="1644"/>
      <c r="BP12" s="1644"/>
      <c r="BQ12" s="1644"/>
      <c r="BR12" s="1644"/>
      <c r="BS12" s="1644"/>
      <c r="BT12" s="1644"/>
      <c r="BU12" s="1644"/>
      <c r="BV12" s="1644"/>
      <c r="BW12" s="1644"/>
      <c r="BX12" s="1644"/>
      <c r="BY12" s="1644"/>
      <c r="BZ12" s="1644"/>
      <c r="CA12" s="1644"/>
      <c r="CB12" s="1644"/>
      <c r="CC12" s="1644"/>
      <c r="CD12" s="1644"/>
      <c r="CE12" s="1644"/>
      <c r="CF12" s="1644"/>
      <c r="CG12" s="1644"/>
      <c r="CH12" s="1644"/>
      <c r="CI12" s="3223">
        <f t="shared" si="0"/>
        <v>0</v>
      </c>
    </row>
    <row r="13" spans="1:87">
      <c r="A13" s="1639" t="s">
        <v>2391</v>
      </c>
      <c r="B13" s="1640">
        <v>12.5</v>
      </c>
      <c r="C13" s="1641" t="s">
        <v>1491</v>
      </c>
      <c r="D13" s="1642" t="s">
        <v>85</v>
      </c>
      <c r="E13" s="1640" t="s">
        <v>91</v>
      </c>
      <c r="F13" s="454"/>
      <c r="G13" s="454"/>
      <c r="H13" s="454">
        <v>23</v>
      </c>
      <c r="I13" s="454"/>
      <c r="J13" s="454"/>
      <c r="K13" s="1653"/>
      <c r="L13" s="454"/>
      <c r="M13" s="1654"/>
      <c r="N13" s="454"/>
      <c r="O13" s="1644">
        <f>'12-A. Print Sub-Annex'!O40</f>
        <v>31.5</v>
      </c>
      <c r="P13" s="1658"/>
      <c r="Q13" s="1645"/>
      <c r="R13" s="1644">
        <f>'12-A. Print Sub-Annex'!R40</f>
        <v>0</v>
      </c>
      <c r="BB13" s="1644"/>
      <c r="BC13" s="1644"/>
      <c r="BD13" s="1644"/>
      <c r="BE13" s="1644"/>
      <c r="BF13" s="1644"/>
      <c r="BG13" s="1644"/>
      <c r="BH13" s="1644"/>
      <c r="BI13" s="1644"/>
      <c r="BJ13" s="1644"/>
      <c r="BK13" s="1644"/>
      <c r="BL13" s="1644"/>
      <c r="BM13" s="1644"/>
      <c r="BN13" s="1644"/>
      <c r="BO13" s="1644"/>
      <c r="BP13" s="1644"/>
      <c r="BQ13" s="1644"/>
      <c r="BR13" s="1644"/>
      <c r="BS13" s="1644"/>
      <c r="BT13" s="1644"/>
      <c r="BU13" s="1644"/>
      <c r="BV13" s="1644"/>
      <c r="BW13" s="1644"/>
      <c r="BX13" s="1644"/>
      <c r="BY13" s="1644"/>
      <c r="BZ13" s="1644"/>
      <c r="CA13" s="1644"/>
      <c r="CB13" s="1644"/>
      <c r="CC13" s="1644"/>
      <c r="CD13" s="1644"/>
      <c r="CE13" s="1644"/>
      <c r="CF13" s="1644"/>
      <c r="CG13" s="1644"/>
      <c r="CH13" s="1644"/>
      <c r="CI13" s="3223">
        <f t="shared" si="0"/>
        <v>0</v>
      </c>
    </row>
    <row r="14" spans="1:87" s="2251" customFormat="1">
      <c r="A14" s="1639" t="s">
        <v>4911</v>
      </c>
      <c r="B14" s="1639">
        <v>12.1</v>
      </c>
      <c r="C14" s="1676" t="s">
        <v>1530</v>
      </c>
      <c r="D14" s="1737" t="s">
        <v>85</v>
      </c>
      <c r="E14" s="1639" t="s">
        <v>200</v>
      </c>
      <c r="F14" s="2246"/>
      <c r="G14" s="2246"/>
      <c r="H14" s="2246">
        <v>14</v>
      </c>
      <c r="I14" s="2246"/>
      <c r="J14" s="2246"/>
      <c r="K14" s="2247"/>
      <c r="L14" s="2246"/>
      <c r="M14" s="2248"/>
      <c r="N14" s="2246"/>
      <c r="O14" s="2249">
        <f>'12-A. Print Sub-Annex'!O47</f>
        <v>27.6</v>
      </c>
      <c r="P14" s="2250"/>
      <c r="Q14" s="1673"/>
      <c r="R14" s="2249">
        <f>'12-A. Print Sub-Annex'!R47</f>
        <v>24</v>
      </c>
      <c r="BB14" s="2249"/>
      <c r="BC14" s="2249"/>
      <c r="BD14" s="2249"/>
      <c r="BE14" s="2249"/>
      <c r="BF14" s="2249"/>
      <c r="BG14" s="2249"/>
      <c r="BH14" s="2249"/>
      <c r="BI14" s="2249"/>
      <c r="BJ14" s="2249"/>
      <c r="BK14" s="2249"/>
      <c r="BL14" s="2249"/>
      <c r="BM14" s="2249"/>
      <c r="BN14" s="2249"/>
      <c r="BO14" s="2249"/>
      <c r="BP14" s="2249"/>
      <c r="BQ14" s="2249"/>
      <c r="BR14" s="2249"/>
      <c r="BS14" s="2249"/>
      <c r="BT14" s="2249"/>
      <c r="BU14" s="2249"/>
      <c r="BV14" s="2249"/>
      <c r="BW14" s="2249"/>
      <c r="BX14" s="2249"/>
      <c r="BY14" s="2249"/>
      <c r="BZ14" s="2249"/>
      <c r="CA14" s="2249"/>
      <c r="CB14" s="2249"/>
      <c r="CC14" s="2249"/>
      <c r="CD14" s="2249"/>
      <c r="CE14" s="2249"/>
      <c r="CF14" s="2249"/>
      <c r="CG14" s="2249"/>
      <c r="CH14" s="2249"/>
      <c r="CI14" s="3223">
        <f t="shared" si="0"/>
        <v>0</v>
      </c>
    </row>
    <row r="15" spans="1:87" s="2251" customFormat="1">
      <c r="A15" s="1639" t="s">
        <v>4912</v>
      </c>
      <c r="B15" s="1639">
        <v>12.18</v>
      </c>
      <c r="C15" s="1676" t="s">
        <v>4908</v>
      </c>
      <c r="D15" s="1737" t="s">
        <v>85</v>
      </c>
      <c r="E15" s="1639" t="s">
        <v>3933</v>
      </c>
      <c r="F15" s="2246"/>
      <c r="G15" s="2246"/>
      <c r="H15" s="2246"/>
      <c r="I15" s="2246"/>
      <c r="J15" s="2246"/>
      <c r="K15" s="2247"/>
      <c r="L15" s="2246"/>
      <c r="M15" s="2248"/>
      <c r="N15" s="2246"/>
      <c r="O15" s="2249">
        <f>'12-A. Print Sub-Annex'!O50</f>
        <v>0</v>
      </c>
      <c r="P15" s="2250"/>
      <c r="Q15" s="1673"/>
      <c r="R15" s="2249">
        <f>'12-A. Print Sub-Annex'!R50</f>
        <v>0</v>
      </c>
      <c r="BB15" s="2249"/>
      <c r="BC15" s="2249"/>
      <c r="BD15" s="2249"/>
      <c r="BE15" s="2249"/>
      <c r="BF15" s="2249"/>
      <c r="BG15" s="2249"/>
      <c r="BH15" s="2249"/>
      <c r="BI15" s="2249"/>
      <c r="BJ15" s="2249"/>
      <c r="BK15" s="2249"/>
      <c r="BL15" s="2249"/>
      <c r="BM15" s="2249"/>
      <c r="BN15" s="2249"/>
      <c r="BO15" s="2249"/>
      <c r="BP15" s="2249"/>
      <c r="BQ15" s="2249"/>
      <c r="BR15" s="2249"/>
      <c r="BS15" s="2249"/>
      <c r="BT15" s="2249"/>
      <c r="BU15" s="2249"/>
      <c r="BV15" s="2249"/>
      <c r="BW15" s="2249"/>
      <c r="BX15" s="2249"/>
      <c r="BY15" s="2249"/>
      <c r="BZ15" s="2249"/>
      <c r="CA15" s="2249"/>
      <c r="CB15" s="2249"/>
      <c r="CC15" s="2249"/>
      <c r="CD15" s="2249"/>
      <c r="CE15" s="2249"/>
      <c r="CF15" s="2249"/>
      <c r="CG15" s="2249"/>
      <c r="CH15" s="2249"/>
      <c r="CI15" s="3223">
        <f t="shared" si="0"/>
        <v>0</v>
      </c>
    </row>
    <row r="16" spans="1:87">
      <c r="A16" s="1630">
        <v>12.2</v>
      </c>
      <c r="B16" s="1631"/>
      <c r="C16" s="1632" t="s">
        <v>4895</v>
      </c>
      <c r="D16" s="1631"/>
      <c r="E16" s="1631"/>
      <c r="F16" s="1655"/>
      <c r="G16" s="1655"/>
      <c r="H16" s="1655"/>
      <c r="I16" s="1655"/>
      <c r="J16" s="1655"/>
      <c r="K16" s="1656"/>
      <c r="L16" s="1655"/>
      <c r="M16" s="1657"/>
      <c r="N16" s="1655"/>
      <c r="O16" s="1636">
        <f>SUM(O17:O24)</f>
        <v>44.245000000000005</v>
      </c>
      <c r="P16" s="1659"/>
      <c r="Q16" s="1637"/>
      <c r="R16" s="1636">
        <f>SUM(R17:R24)</f>
        <v>35.83</v>
      </c>
      <c r="BB16" s="1644"/>
      <c r="BC16" s="1644"/>
      <c r="BD16" s="1644"/>
      <c r="BE16" s="1644"/>
      <c r="BF16" s="1644"/>
      <c r="BG16" s="1644"/>
      <c r="BH16" s="1644"/>
      <c r="BI16" s="1644"/>
      <c r="BJ16" s="1644"/>
      <c r="BK16" s="1644"/>
      <c r="BL16" s="1644"/>
      <c r="BM16" s="1644"/>
      <c r="BN16" s="1644"/>
      <c r="BO16" s="1644"/>
      <c r="BP16" s="1644"/>
      <c r="BQ16" s="1644"/>
      <c r="BR16" s="1644"/>
      <c r="BS16" s="1644"/>
      <c r="BT16" s="1644"/>
      <c r="BU16" s="1644"/>
      <c r="BV16" s="1644"/>
      <c r="BW16" s="1644"/>
      <c r="BX16" s="1644"/>
      <c r="BY16" s="1644"/>
      <c r="BZ16" s="1644"/>
      <c r="CA16" s="1644"/>
      <c r="CB16" s="1644"/>
      <c r="CC16" s="1644"/>
      <c r="CD16" s="1644"/>
      <c r="CE16" s="1644"/>
      <c r="CF16" s="1644"/>
      <c r="CG16" s="1644"/>
      <c r="CH16" s="1644"/>
      <c r="CI16" s="3223">
        <f t="shared" si="0"/>
        <v>0</v>
      </c>
    </row>
    <row r="17" spans="1:87">
      <c r="A17" s="1639" t="s">
        <v>1452</v>
      </c>
      <c r="B17" s="1640">
        <v>12.6</v>
      </c>
      <c r="C17" s="1641" t="s">
        <v>1508</v>
      </c>
      <c r="D17" s="908" t="s">
        <v>65</v>
      </c>
      <c r="E17" s="1640" t="s">
        <v>65</v>
      </c>
      <c r="F17" s="454"/>
      <c r="G17" s="454"/>
      <c r="H17" s="454">
        <v>0</v>
      </c>
      <c r="I17" s="454"/>
      <c r="J17" s="454"/>
      <c r="K17" s="1653"/>
      <c r="L17" s="454"/>
      <c r="M17" s="1654"/>
      <c r="N17" s="454"/>
      <c r="O17" s="1644">
        <f>'12-A. Print Sub-Annex'!O55</f>
        <v>0</v>
      </c>
      <c r="P17" s="1658"/>
      <c r="Q17" s="1645"/>
      <c r="R17" s="1644">
        <f>'12-A. Print Sub-Annex'!R55</f>
        <v>0</v>
      </c>
      <c r="BB17" s="1644"/>
      <c r="BC17" s="1644"/>
      <c r="BD17" s="1644"/>
      <c r="BE17" s="1644"/>
      <c r="BF17" s="1644"/>
      <c r="BG17" s="1644"/>
      <c r="BH17" s="1644"/>
      <c r="BI17" s="1644"/>
      <c r="BJ17" s="1644"/>
      <c r="BK17" s="1644"/>
      <c r="BL17" s="1644"/>
      <c r="BM17" s="1644"/>
      <c r="BN17" s="1644"/>
      <c r="BO17" s="1644"/>
      <c r="BP17" s="1644"/>
      <c r="BQ17" s="1644"/>
      <c r="BR17" s="1644"/>
      <c r="BS17" s="1644"/>
      <c r="BT17" s="1644"/>
      <c r="BU17" s="1644"/>
      <c r="BV17" s="1644"/>
      <c r="BW17" s="1644"/>
      <c r="BX17" s="1644"/>
      <c r="BY17" s="1644"/>
      <c r="BZ17" s="1644"/>
      <c r="CA17" s="1644"/>
      <c r="CB17" s="1644"/>
      <c r="CC17" s="1644"/>
      <c r="CD17" s="1644"/>
      <c r="CE17" s="1644"/>
      <c r="CF17" s="1644"/>
      <c r="CG17" s="1644"/>
      <c r="CH17" s="1644"/>
      <c r="CI17" s="3223">
        <f t="shared" si="0"/>
        <v>0</v>
      </c>
    </row>
    <row r="18" spans="1:87">
      <c r="A18" s="1639" t="s">
        <v>1453</v>
      </c>
      <c r="B18" s="1640">
        <v>12.7</v>
      </c>
      <c r="C18" s="1641" t="s">
        <v>1512</v>
      </c>
      <c r="D18" s="908" t="s">
        <v>65</v>
      </c>
      <c r="E18" s="1640" t="s">
        <v>4723</v>
      </c>
      <c r="F18" s="454"/>
      <c r="G18" s="454"/>
      <c r="H18" s="454">
        <v>0.56000000000000005</v>
      </c>
      <c r="I18" s="454"/>
      <c r="J18" s="454"/>
      <c r="K18" s="1653"/>
      <c r="L18" s="454"/>
      <c r="M18" s="1654"/>
      <c r="N18" s="454"/>
      <c r="O18" s="1644">
        <f>'12-A. Print Sub-Annex'!O58</f>
        <v>34.245000000000005</v>
      </c>
      <c r="P18" s="1658"/>
      <c r="Q18" s="1645"/>
      <c r="R18" s="1644">
        <f>'12-A. Print Sub-Annex'!R58</f>
        <v>25.83</v>
      </c>
      <c r="BB18" s="1644"/>
      <c r="BC18" s="1644"/>
      <c r="BD18" s="1644"/>
      <c r="BE18" s="1644"/>
      <c r="BF18" s="1644"/>
      <c r="BG18" s="1644"/>
      <c r="BH18" s="1644"/>
      <c r="BI18" s="1644"/>
      <c r="BJ18" s="1644"/>
      <c r="BK18" s="1644"/>
      <c r="BL18" s="1644"/>
      <c r="BM18" s="1644"/>
      <c r="BN18" s="1644"/>
      <c r="BO18" s="1644"/>
      <c r="BP18" s="1644"/>
      <c r="BQ18" s="1644"/>
      <c r="BR18" s="1644"/>
      <c r="BS18" s="1644"/>
      <c r="BT18" s="1644"/>
      <c r="BU18" s="1644"/>
      <c r="BV18" s="1644"/>
      <c r="BW18" s="1644"/>
      <c r="BX18" s="1644"/>
      <c r="BY18" s="1644"/>
      <c r="BZ18" s="1644"/>
      <c r="CA18" s="1644"/>
      <c r="CB18" s="1644"/>
      <c r="CC18" s="1644"/>
      <c r="CD18" s="1644"/>
      <c r="CE18" s="1644"/>
      <c r="CF18" s="1644"/>
      <c r="CG18" s="1644"/>
      <c r="CH18" s="1644"/>
      <c r="CI18" s="3223">
        <f t="shared" si="0"/>
        <v>0</v>
      </c>
    </row>
    <row r="19" spans="1:87" ht="30">
      <c r="A19" s="1639" t="s">
        <v>1454</v>
      </c>
      <c r="B19" s="1640">
        <v>12.8</v>
      </c>
      <c r="C19" s="1641" t="s">
        <v>2571</v>
      </c>
      <c r="D19" s="908" t="s">
        <v>65</v>
      </c>
      <c r="E19" s="1640" t="s">
        <v>2081</v>
      </c>
      <c r="F19" s="454"/>
      <c r="G19" s="454"/>
      <c r="H19" s="454">
        <v>0.24</v>
      </c>
      <c r="I19" s="454"/>
      <c r="J19" s="454"/>
      <c r="K19" s="1653"/>
      <c r="L19" s="454"/>
      <c r="M19" s="1654"/>
      <c r="N19" s="454"/>
      <c r="O19" s="1644">
        <f>'12-A. Print Sub-Annex'!O64</f>
        <v>0</v>
      </c>
      <c r="P19" s="1658"/>
      <c r="Q19" s="1645"/>
      <c r="R19" s="1644">
        <f>'12-A. Print Sub-Annex'!R64</f>
        <v>0</v>
      </c>
      <c r="BB19" s="1644"/>
      <c r="BC19" s="1644"/>
      <c r="BD19" s="1644"/>
      <c r="BE19" s="1644"/>
      <c r="BF19" s="1644"/>
      <c r="BG19" s="1644"/>
      <c r="BH19" s="1644"/>
      <c r="BI19" s="1644"/>
      <c r="BJ19" s="1644"/>
      <c r="BK19" s="1644"/>
      <c r="BL19" s="1644"/>
      <c r="BM19" s="1644"/>
      <c r="BN19" s="1644"/>
      <c r="BO19" s="1644"/>
      <c r="BP19" s="1644"/>
      <c r="BQ19" s="1644"/>
      <c r="BR19" s="1644"/>
      <c r="BS19" s="1644"/>
      <c r="BT19" s="1644"/>
      <c r="BU19" s="1644"/>
      <c r="BV19" s="1644"/>
      <c r="BW19" s="1644"/>
      <c r="BX19" s="1644"/>
      <c r="BY19" s="1644"/>
      <c r="BZ19" s="1644"/>
      <c r="CA19" s="1644"/>
      <c r="CB19" s="1644"/>
      <c r="CC19" s="1644"/>
      <c r="CD19" s="1644"/>
      <c r="CE19" s="1644"/>
      <c r="CF19" s="1644"/>
      <c r="CG19" s="1644"/>
      <c r="CH19" s="1644"/>
      <c r="CI19" s="3223">
        <f t="shared" si="0"/>
        <v>0</v>
      </c>
    </row>
    <row r="20" spans="1:87">
      <c r="A20" s="1639" t="s">
        <v>1455</v>
      </c>
      <c r="B20" s="1640">
        <v>12.9</v>
      </c>
      <c r="C20" s="1641" t="s">
        <v>1519</v>
      </c>
      <c r="D20" s="908" t="s">
        <v>65</v>
      </c>
      <c r="E20" s="1640" t="s">
        <v>2293</v>
      </c>
      <c r="F20" s="454"/>
      <c r="G20" s="454"/>
      <c r="H20" s="454">
        <v>2</v>
      </c>
      <c r="I20" s="454"/>
      <c r="J20" s="454"/>
      <c r="K20" s="1653"/>
      <c r="L20" s="454"/>
      <c r="M20" s="1654"/>
      <c r="N20" s="454"/>
      <c r="O20" s="1644">
        <f>'12-A. Print Sub-Annex'!O67</f>
        <v>0</v>
      </c>
      <c r="P20" s="1658"/>
      <c r="Q20" s="1645"/>
      <c r="R20" s="1644">
        <f>'12-A. Print Sub-Annex'!R67</f>
        <v>0</v>
      </c>
      <c r="BB20" s="1644"/>
      <c r="BC20" s="1644"/>
      <c r="BD20" s="1644"/>
      <c r="BE20" s="1644"/>
      <c r="BF20" s="1644"/>
      <c r="BG20" s="1644"/>
      <c r="BH20" s="1644"/>
      <c r="BI20" s="1644"/>
      <c r="BJ20" s="1644"/>
      <c r="BK20" s="1644"/>
      <c r="BL20" s="1644"/>
      <c r="BM20" s="1644"/>
      <c r="BN20" s="1644"/>
      <c r="BO20" s="1644"/>
      <c r="BP20" s="1644"/>
      <c r="BQ20" s="1644"/>
      <c r="BR20" s="1644"/>
      <c r="BS20" s="1644"/>
      <c r="BT20" s="1644"/>
      <c r="BU20" s="1644"/>
      <c r="BV20" s="1644"/>
      <c r="BW20" s="1644"/>
      <c r="BX20" s="1644"/>
      <c r="BY20" s="1644"/>
      <c r="BZ20" s="1644"/>
      <c r="CA20" s="1644"/>
      <c r="CB20" s="1644"/>
      <c r="CC20" s="1644"/>
      <c r="CD20" s="1644"/>
      <c r="CE20" s="1644"/>
      <c r="CF20" s="1644"/>
      <c r="CG20" s="1644"/>
      <c r="CH20" s="1644"/>
      <c r="CI20" s="3223">
        <f t="shared" si="0"/>
        <v>0</v>
      </c>
    </row>
    <row r="21" spans="1:87" ht="30">
      <c r="A21" s="1639" t="s">
        <v>1457</v>
      </c>
      <c r="B21" s="1640" t="s">
        <v>1565</v>
      </c>
      <c r="C21" s="1641" t="s">
        <v>3757</v>
      </c>
      <c r="D21" s="908" t="s">
        <v>65</v>
      </c>
      <c r="E21" s="1640" t="s">
        <v>4218</v>
      </c>
      <c r="F21" s="454"/>
      <c r="G21" s="454"/>
      <c r="H21" s="454">
        <v>10</v>
      </c>
      <c r="I21" s="454"/>
      <c r="J21" s="454"/>
      <c r="K21" s="1653"/>
      <c r="L21" s="454"/>
      <c r="M21" s="1654"/>
      <c r="N21" s="454"/>
      <c r="O21" s="1644">
        <f>'12-A. Print Sub-Annex'!O72</f>
        <v>10</v>
      </c>
      <c r="P21" s="1658"/>
      <c r="Q21" s="1645"/>
      <c r="R21" s="1644">
        <f>'12-A. Print Sub-Annex'!R72</f>
        <v>10</v>
      </c>
      <c r="BB21" s="1644"/>
      <c r="BC21" s="1644"/>
      <c r="BD21" s="1644"/>
      <c r="BE21" s="1644"/>
      <c r="BF21" s="1644"/>
      <c r="BG21" s="1644"/>
      <c r="BH21" s="1644"/>
      <c r="BI21" s="1644"/>
      <c r="BJ21" s="1644"/>
      <c r="BK21" s="1644"/>
      <c r="BL21" s="1644"/>
      <c r="BM21" s="1644"/>
      <c r="BN21" s="1644"/>
      <c r="BO21" s="1644"/>
      <c r="BP21" s="1644"/>
      <c r="BQ21" s="1644"/>
      <c r="BR21" s="1644"/>
      <c r="BS21" s="1644"/>
      <c r="BT21" s="1644"/>
      <c r="BU21" s="1644"/>
      <c r="BV21" s="1644"/>
      <c r="BW21" s="1644"/>
      <c r="BX21" s="1644"/>
      <c r="BY21" s="1644"/>
      <c r="BZ21" s="1644"/>
      <c r="CA21" s="1644"/>
      <c r="CB21" s="1644"/>
      <c r="CC21" s="1644"/>
      <c r="CD21" s="1644"/>
      <c r="CE21" s="1644"/>
      <c r="CF21" s="1644"/>
      <c r="CG21" s="1644"/>
      <c r="CH21" s="1644"/>
      <c r="CI21" s="3223">
        <f t="shared" si="0"/>
        <v>0</v>
      </c>
    </row>
    <row r="22" spans="1:87" ht="30">
      <c r="A22" s="1639" t="s">
        <v>1460</v>
      </c>
      <c r="B22" s="1640" t="s">
        <v>4921</v>
      </c>
      <c r="C22" s="1641" t="s">
        <v>3767</v>
      </c>
      <c r="D22" s="908" t="s">
        <v>65</v>
      </c>
      <c r="E22" s="1640" t="s">
        <v>65</v>
      </c>
      <c r="F22" s="454"/>
      <c r="G22" s="454"/>
      <c r="H22" s="454">
        <v>0</v>
      </c>
      <c r="I22" s="454"/>
      <c r="J22" s="454"/>
      <c r="K22" s="1653"/>
      <c r="L22" s="454"/>
      <c r="M22" s="1654"/>
      <c r="N22" s="454"/>
      <c r="O22" s="1644">
        <f>'12-A. Print Sub-Annex'!O73</f>
        <v>0</v>
      </c>
      <c r="P22" s="1658"/>
      <c r="Q22" s="1645"/>
      <c r="R22" s="1644">
        <f>'12-A. Print Sub-Annex'!R73</f>
        <v>0</v>
      </c>
      <c r="BB22" s="1644"/>
      <c r="BC22" s="1644"/>
      <c r="BD22" s="1644"/>
      <c r="BE22" s="1644"/>
      <c r="BF22" s="1644"/>
      <c r="BG22" s="1644"/>
      <c r="BH22" s="1644"/>
      <c r="BI22" s="1644"/>
      <c r="BJ22" s="1644"/>
      <c r="BK22" s="1644"/>
      <c r="BL22" s="1644"/>
      <c r="BM22" s="1644"/>
      <c r="BN22" s="1644"/>
      <c r="BO22" s="1644"/>
      <c r="BP22" s="1644"/>
      <c r="BQ22" s="1644"/>
      <c r="BR22" s="1644"/>
      <c r="BS22" s="1644"/>
      <c r="BT22" s="1644"/>
      <c r="BU22" s="1644"/>
      <c r="BV22" s="1644"/>
      <c r="BW22" s="1644"/>
      <c r="BX22" s="1644"/>
      <c r="BY22" s="1644"/>
      <c r="BZ22" s="1644"/>
      <c r="CA22" s="1644"/>
      <c r="CB22" s="1644"/>
      <c r="CC22" s="1644"/>
      <c r="CD22" s="1644"/>
      <c r="CE22" s="1644"/>
      <c r="CF22" s="1644"/>
      <c r="CG22" s="1644"/>
      <c r="CH22" s="1644"/>
      <c r="CI22" s="3223">
        <f t="shared" si="0"/>
        <v>0</v>
      </c>
    </row>
    <row r="23" spans="1:87" ht="30">
      <c r="A23" s="1639" t="s">
        <v>1463</v>
      </c>
      <c r="B23" s="1640" t="s">
        <v>3888</v>
      </c>
      <c r="C23" s="1641" t="s">
        <v>3889</v>
      </c>
      <c r="D23" s="908" t="s">
        <v>65</v>
      </c>
      <c r="E23" s="1640" t="s">
        <v>4544</v>
      </c>
      <c r="F23" s="454"/>
      <c r="G23" s="454"/>
      <c r="H23" s="454"/>
      <c r="I23" s="454"/>
      <c r="J23" s="454"/>
      <c r="K23" s="1653"/>
      <c r="L23" s="454"/>
      <c r="M23" s="1654"/>
      <c r="N23" s="454"/>
      <c r="O23" s="1644">
        <f>'12-A. Print Sub-Annex'!O74</f>
        <v>0</v>
      </c>
      <c r="P23" s="1658"/>
      <c r="Q23" s="1645"/>
      <c r="R23" s="1644">
        <f>'12-A. Print Sub-Annex'!R74</f>
        <v>0</v>
      </c>
      <c r="BB23" s="1644"/>
      <c r="BC23" s="1644"/>
      <c r="BD23" s="1644"/>
      <c r="BE23" s="1644"/>
      <c r="BF23" s="1644"/>
      <c r="BG23" s="1644"/>
      <c r="BH23" s="1644"/>
      <c r="BI23" s="1644"/>
      <c r="BJ23" s="1644"/>
      <c r="BK23" s="1644"/>
      <c r="BL23" s="1644"/>
      <c r="BM23" s="1644"/>
      <c r="BN23" s="1644"/>
      <c r="BO23" s="1644"/>
      <c r="BP23" s="1644"/>
      <c r="BQ23" s="1644"/>
      <c r="BR23" s="1644"/>
      <c r="BS23" s="1644"/>
      <c r="BT23" s="1644"/>
      <c r="BU23" s="1644"/>
      <c r="BV23" s="1644"/>
      <c r="BW23" s="1644"/>
      <c r="BX23" s="1644"/>
      <c r="BY23" s="1644"/>
      <c r="BZ23" s="1644"/>
      <c r="CA23" s="1644"/>
      <c r="CB23" s="1644"/>
      <c r="CC23" s="1644"/>
      <c r="CD23" s="1644"/>
      <c r="CE23" s="1644"/>
      <c r="CF23" s="1644"/>
      <c r="CG23" s="1644"/>
      <c r="CH23" s="1644"/>
      <c r="CI23" s="3223">
        <f t="shared" si="0"/>
        <v>0</v>
      </c>
    </row>
    <row r="24" spans="1:87">
      <c r="A24" s="1639" t="s">
        <v>1466</v>
      </c>
      <c r="B24" s="1640" t="s">
        <v>4266</v>
      </c>
      <c r="C24" s="1641" t="s">
        <v>1304</v>
      </c>
      <c r="D24" s="908" t="s">
        <v>65</v>
      </c>
      <c r="E24" s="1640" t="s">
        <v>65</v>
      </c>
      <c r="F24" s="454"/>
      <c r="G24" s="454"/>
      <c r="H24" s="454">
        <v>0</v>
      </c>
      <c r="I24" s="454"/>
      <c r="J24" s="454"/>
      <c r="K24" s="1653"/>
      <c r="L24" s="454"/>
      <c r="M24" s="1654"/>
      <c r="N24" s="454"/>
      <c r="O24" s="1644">
        <f>'12-A. Print Sub-Annex'!O75</f>
        <v>0</v>
      </c>
      <c r="P24" s="1658"/>
      <c r="Q24" s="1645"/>
      <c r="R24" s="1644">
        <f>'12-A. Print Sub-Annex'!R75</f>
        <v>0</v>
      </c>
      <c r="BB24" s="1644"/>
      <c r="BC24" s="1644"/>
      <c r="BD24" s="1644"/>
      <c r="BE24" s="1644"/>
      <c r="BF24" s="1644"/>
      <c r="BG24" s="1644"/>
      <c r="BH24" s="1644"/>
      <c r="BI24" s="1644"/>
      <c r="BJ24" s="1644"/>
      <c r="BK24" s="1644"/>
      <c r="BL24" s="1644"/>
      <c r="BM24" s="1644"/>
      <c r="BN24" s="1644"/>
      <c r="BO24" s="1644"/>
      <c r="BP24" s="1644"/>
      <c r="BQ24" s="1644"/>
      <c r="BR24" s="1644"/>
      <c r="BS24" s="1644"/>
      <c r="BT24" s="1644"/>
      <c r="BU24" s="1644"/>
      <c r="BV24" s="1644"/>
      <c r="BW24" s="1644"/>
      <c r="BX24" s="1644"/>
      <c r="BY24" s="1644"/>
      <c r="BZ24" s="1644"/>
      <c r="CA24" s="1644"/>
      <c r="CB24" s="1644"/>
      <c r="CC24" s="1644"/>
      <c r="CD24" s="1644"/>
      <c r="CE24" s="1644"/>
      <c r="CF24" s="1644"/>
      <c r="CG24" s="1644"/>
      <c r="CH24" s="1644"/>
      <c r="CI24" s="3223">
        <f t="shared" si="0"/>
        <v>0</v>
      </c>
    </row>
    <row r="25" spans="1:87">
      <c r="A25" s="1630">
        <v>12.3</v>
      </c>
      <c r="B25" s="1631"/>
      <c r="C25" s="1632" t="s">
        <v>4896</v>
      </c>
      <c r="D25" s="1631"/>
      <c r="E25" s="1631"/>
      <c r="F25" s="1655"/>
      <c r="G25" s="1655"/>
      <c r="H25" s="1655"/>
      <c r="I25" s="1655"/>
      <c r="J25" s="1655"/>
      <c r="K25" s="1656"/>
      <c r="L25" s="1655"/>
      <c r="M25" s="1657"/>
      <c r="N25" s="1655"/>
      <c r="O25" s="1636">
        <f>SUM(O26:O32)</f>
        <v>25.595999999999997</v>
      </c>
      <c r="P25" s="1659"/>
      <c r="Q25" s="1637"/>
      <c r="R25" s="1636">
        <f>SUM(R26:R32)</f>
        <v>25.6</v>
      </c>
      <c r="BB25" s="1644"/>
      <c r="BC25" s="1644"/>
      <c r="BD25" s="1644"/>
      <c r="BE25" s="1644"/>
      <c r="BF25" s="1644"/>
      <c r="BG25" s="1644"/>
      <c r="BH25" s="1644"/>
      <c r="BI25" s="1644"/>
      <c r="BJ25" s="1644"/>
      <c r="BK25" s="1644"/>
      <c r="BL25" s="1644"/>
      <c r="BM25" s="1644"/>
      <c r="BN25" s="1644"/>
      <c r="BO25" s="1644"/>
      <c r="BP25" s="1644"/>
      <c r="BQ25" s="1644"/>
      <c r="BR25" s="1644"/>
      <c r="BS25" s="1644"/>
      <c r="BT25" s="1644"/>
      <c r="BU25" s="1644"/>
      <c r="BV25" s="1644"/>
      <c r="BW25" s="1644"/>
      <c r="BX25" s="1644"/>
      <c r="BY25" s="1644"/>
      <c r="BZ25" s="1644"/>
      <c r="CA25" s="1644"/>
      <c r="CB25" s="1644"/>
      <c r="CC25" s="1644"/>
      <c r="CD25" s="1644"/>
      <c r="CE25" s="1644"/>
      <c r="CF25" s="1644"/>
      <c r="CG25" s="1644"/>
      <c r="CH25" s="1644"/>
      <c r="CI25" s="3223">
        <f t="shared" si="0"/>
        <v>0</v>
      </c>
    </row>
    <row r="26" spans="1:87">
      <c r="A26" s="1639" t="s">
        <v>1471</v>
      </c>
      <c r="B26" s="1640">
        <v>12.11</v>
      </c>
      <c r="C26" s="1641" t="s">
        <v>1535</v>
      </c>
      <c r="D26" s="1646" t="s">
        <v>4219</v>
      </c>
      <c r="E26" s="1640" t="s">
        <v>109</v>
      </c>
      <c r="F26" s="454"/>
      <c r="G26" s="454"/>
      <c r="H26" s="454">
        <v>5</v>
      </c>
      <c r="I26" s="454"/>
      <c r="J26" s="454"/>
      <c r="K26" s="1653"/>
      <c r="L26" s="454"/>
      <c r="M26" s="1654"/>
      <c r="N26" s="454"/>
      <c r="O26" s="1644">
        <f>'12-A. Print Sub-Annex'!O77</f>
        <v>0</v>
      </c>
      <c r="P26" s="1658"/>
      <c r="Q26" s="1645"/>
      <c r="R26" s="1644">
        <f>'12-A. Print Sub-Annex'!R77</f>
        <v>0</v>
      </c>
      <c r="BB26" s="1644"/>
      <c r="BC26" s="1644"/>
      <c r="BD26" s="1644"/>
      <c r="BE26" s="1644"/>
      <c r="BF26" s="1644"/>
      <c r="BG26" s="1644"/>
      <c r="BH26" s="1644"/>
      <c r="BI26" s="1644"/>
      <c r="BJ26" s="1644"/>
      <c r="BK26" s="1644"/>
      <c r="BL26" s="1644"/>
      <c r="BM26" s="1644"/>
      <c r="BN26" s="1644"/>
      <c r="BO26" s="1644"/>
      <c r="BP26" s="1644"/>
      <c r="BQ26" s="1644"/>
      <c r="BR26" s="1644"/>
      <c r="BS26" s="1644"/>
      <c r="BT26" s="1644"/>
      <c r="BU26" s="1644"/>
      <c r="BV26" s="1644"/>
      <c r="BW26" s="1644"/>
      <c r="BX26" s="1644"/>
      <c r="BY26" s="1644"/>
      <c r="BZ26" s="1644"/>
      <c r="CA26" s="1644"/>
      <c r="CB26" s="1644"/>
      <c r="CC26" s="1644"/>
      <c r="CD26" s="1644"/>
      <c r="CE26" s="1644"/>
      <c r="CF26" s="1644"/>
      <c r="CG26" s="1644"/>
      <c r="CH26" s="1644"/>
      <c r="CI26" s="3223">
        <f t="shared" si="0"/>
        <v>0</v>
      </c>
    </row>
    <row r="27" spans="1:87">
      <c r="A27" s="1639" t="s">
        <v>1473</v>
      </c>
      <c r="B27" s="1640">
        <v>12.12</v>
      </c>
      <c r="C27" s="1641" t="s">
        <v>1544</v>
      </c>
      <c r="D27" s="1646" t="s">
        <v>4219</v>
      </c>
      <c r="E27" s="1640" t="s">
        <v>141</v>
      </c>
      <c r="F27" s="454"/>
      <c r="G27" s="454"/>
      <c r="H27" s="454">
        <v>2.6</v>
      </c>
      <c r="I27" s="454"/>
      <c r="J27" s="454"/>
      <c r="K27" s="1653"/>
      <c r="L27" s="454"/>
      <c r="M27" s="1654"/>
      <c r="N27" s="454"/>
      <c r="O27" s="1644">
        <f>'12-A. Print Sub-Annex'!O82</f>
        <v>0</v>
      </c>
      <c r="P27" s="1658"/>
      <c r="Q27" s="1645"/>
      <c r="R27" s="1644">
        <f>'12-A. Print Sub-Annex'!R82</f>
        <v>0</v>
      </c>
      <c r="BB27" s="1644"/>
      <c r="BC27" s="1644"/>
      <c r="BD27" s="1644"/>
      <c r="BE27" s="1644"/>
      <c r="BF27" s="1644"/>
      <c r="BG27" s="1644"/>
      <c r="BH27" s="1644"/>
      <c r="BI27" s="1644"/>
      <c r="BJ27" s="1644"/>
      <c r="BK27" s="1644"/>
      <c r="BL27" s="1644"/>
      <c r="BM27" s="1644"/>
      <c r="BN27" s="1644"/>
      <c r="BO27" s="1644"/>
      <c r="BP27" s="1644"/>
      <c r="BQ27" s="1644"/>
      <c r="BR27" s="1644"/>
      <c r="BS27" s="1644"/>
      <c r="BT27" s="1644"/>
      <c r="BU27" s="1644"/>
      <c r="BV27" s="1644"/>
      <c r="BW27" s="1644"/>
      <c r="BX27" s="1644"/>
      <c r="BY27" s="1644"/>
      <c r="BZ27" s="1644"/>
      <c r="CA27" s="1644"/>
      <c r="CB27" s="1644"/>
      <c r="CC27" s="1644"/>
      <c r="CD27" s="1644"/>
      <c r="CE27" s="1644"/>
      <c r="CF27" s="1644"/>
      <c r="CG27" s="1644"/>
      <c r="CH27" s="1644"/>
      <c r="CI27" s="3223">
        <f t="shared" si="0"/>
        <v>0</v>
      </c>
    </row>
    <row r="28" spans="1:87">
      <c r="A28" s="1639" t="s">
        <v>1475</v>
      </c>
      <c r="B28" s="1640">
        <v>12.13</v>
      </c>
      <c r="C28" s="1641" t="s">
        <v>4640</v>
      </c>
      <c r="D28" s="1646" t="s">
        <v>4219</v>
      </c>
      <c r="E28" s="1640" t="s">
        <v>4525</v>
      </c>
      <c r="F28" s="454"/>
      <c r="G28" s="454"/>
      <c r="H28" s="454">
        <v>21.5</v>
      </c>
      <c r="I28" s="454"/>
      <c r="J28" s="454"/>
      <c r="K28" s="1653"/>
      <c r="L28" s="454"/>
      <c r="M28" s="1654"/>
      <c r="N28" s="454"/>
      <c r="O28" s="1644">
        <f>'12-A. Print Sub-Annex'!O84</f>
        <v>25.595999999999997</v>
      </c>
      <c r="P28" s="1658"/>
      <c r="Q28" s="1645"/>
      <c r="R28" s="1644">
        <f>'12-A. Print Sub-Annex'!R84</f>
        <v>25.6</v>
      </c>
      <c r="BB28" s="1644"/>
      <c r="BC28" s="1644"/>
      <c r="BD28" s="1644"/>
      <c r="BE28" s="1644"/>
      <c r="BF28" s="1644"/>
      <c r="BG28" s="1644"/>
      <c r="BH28" s="1644"/>
      <c r="BI28" s="1644"/>
      <c r="BJ28" s="1644"/>
      <c r="BK28" s="1644"/>
      <c r="BL28" s="1644"/>
      <c r="BM28" s="1644"/>
      <c r="BN28" s="1644"/>
      <c r="BO28" s="1644"/>
      <c r="BP28" s="1644"/>
      <c r="BQ28" s="1644"/>
      <c r="BR28" s="1644"/>
      <c r="BS28" s="1644"/>
      <c r="BT28" s="1644"/>
      <c r="BU28" s="1644"/>
      <c r="BV28" s="1644"/>
      <c r="BW28" s="1644"/>
      <c r="BX28" s="1644"/>
      <c r="BY28" s="1644"/>
      <c r="BZ28" s="1644"/>
      <c r="CA28" s="1644"/>
      <c r="CB28" s="1644"/>
      <c r="CC28" s="1644"/>
      <c r="CD28" s="1644"/>
      <c r="CE28" s="1644"/>
      <c r="CF28" s="1644"/>
      <c r="CG28" s="1644"/>
      <c r="CH28" s="1644"/>
      <c r="CI28" s="3223">
        <f t="shared" si="0"/>
        <v>0</v>
      </c>
    </row>
    <row r="29" spans="1:87" ht="30">
      <c r="A29" s="1639" t="s">
        <v>1478</v>
      </c>
      <c r="B29" s="1640" t="s">
        <v>3998</v>
      </c>
      <c r="C29" s="1641" t="s">
        <v>4267</v>
      </c>
      <c r="D29" s="1646" t="s">
        <v>4219</v>
      </c>
      <c r="E29" s="1640" t="s">
        <v>3223</v>
      </c>
      <c r="F29" s="454"/>
      <c r="G29" s="454"/>
      <c r="H29" s="454">
        <v>0</v>
      </c>
      <c r="I29" s="454"/>
      <c r="J29" s="454"/>
      <c r="K29" s="1653"/>
      <c r="L29" s="454"/>
      <c r="M29" s="1654"/>
      <c r="N29" s="454"/>
      <c r="O29" s="1644">
        <f>'12-A. Print Sub-Annex'!O87</f>
        <v>0</v>
      </c>
      <c r="P29" s="1658"/>
      <c r="Q29" s="1645"/>
      <c r="R29" s="1644">
        <f>'12-A. Print Sub-Annex'!R87</f>
        <v>0</v>
      </c>
      <c r="BB29" s="1644"/>
      <c r="BC29" s="1644"/>
      <c r="BD29" s="1644"/>
      <c r="BE29" s="1644"/>
      <c r="BF29" s="1644"/>
      <c r="BG29" s="1644"/>
      <c r="BH29" s="1644"/>
      <c r="BI29" s="1644"/>
      <c r="BJ29" s="1644"/>
      <c r="BK29" s="1644"/>
      <c r="BL29" s="1644"/>
      <c r="BM29" s="1644"/>
      <c r="BN29" s="1644"/>
      <c r="BO29" s="1644"/>
      <c r="BP29" s="1644"/>
      <c r="BQ29" s="1644"/>
      <c r="BR29" s="1644"/>
      <c r="BS29" s="1644"/>
      <c r="BT29" s="1644"/>
      <c r="BU29" s="1644"/>
      <c r="BV29" s="1644"/>
      <c r="BW29" s="1644"/>
      <c r="BX29" s="1644"/>
      <c r="BY29" s="1644"/>
      <c r="BZ29" s="1644"/>
      <c r="CA29" s="1644"/>
      <c r="CB29" s="1644"/>
      <c r="CC29" s="1644"/>
      <c r="CD29" s="1644"/>
      <c r="CE29" s="1644"/>
      <c r="CF29" s="1644"/>
      <c r="CG29" s="1644"/>
      <c r="CH29" s="1644"/>
      <c r="CI29" s="3223">
        <f t="shared" si="0"/>
        <v>0</v>
      </c>
    </row>
    <row r="30" spans="1:87" s="2251" customFormat="1">
      <c r="A30" s="1639" t="s">
        <v>1481</v>
      </c>
      <c r="B30" s="1639"/>
      <c r="C30" s="1676" t="s">
        <v>4909</v>
      </c>
      <c r="D30" s="2265" t="s">
        <v>4219</v>
      </c>
      <c r="E30" s="1639" t="s">
        <v>288</v>
      </c>
      <c r="F30" s="2246"/>
      <c r="G30" s="2246"/>
      <c r="H30" s="454">
        <v>0</v>
      </c>
      <c r="I30" s="2246"/>
      <c r="J30" s="2246"/>
      <c r="K30" s="2247"/>
      <c r="L30" s="2246"/>
      <c r="M30" s="2248"/>
      <c r="N30" s="2246"/>
      <c r="O30" s="2249">
        <f>'12-A. Print Sub-Annex'!O88</f>
        <v>0</v>
      </c>
      <c r="P30" s="2250"/>
      <c r="Q30" s="1673"/>
      <c r="R30" s="2249">
        <f>'12-A. Print Sub-Annex'!R88</f>
        <v>0</v>
      </c>
      <c r="BB30" s="2249"/>
      <c r="BC30" s="2249"/>
      <c r="BD30" s="2249"/>
      <c r="BE30" s="2249"/>
      <c r="BF30" s="2249"/>
      <c r="BG30" s="2249"/>
      <c r="BH30" s="2249"/>
      <c r="BI30" s="2249"/>
      <c r="BJ30" s="2249"/>
      <c r="BK30" s="2249"/>
      <c r="BL30" s="2249"/>
      <c r="BM30" s="2249"/>
      <c r="BN30" s="2249"/>
      <c r="BO30" s="2249"/>
      <c r="BP30" s="2249"/>
      <c r="BQ30" s="2249"/>
      <c r="BR30" s="2249"/>
      <c r="BS30" s="2249"/>
      <c r="BT30" s="2249"/>
      <c r="BU30" s="2249"/>
      <c r="BV30" s="2249"/>
      <c r="BW30" s="2249"/>
      <c r="BX30" s="2249"/>
      <c r="BY30" s="2249"/>
      <c r="BZ30" s="2249"/>
      <c r="CA30" s="2249"/>
      <c r="CB30" s="2249"/>
      <c r="CC30" s="2249"/>
      <c r="CD30" s="2249"/>
      <c r="CE30" s="2249"/>
      <c r="CF30" s="2249"/>
      <c r="CG30" s="2249"/>
      <c r="CH30" s="2249"/>
      <c r="CI30" s="3223">
        <f t="shared" si="0"/>
        <v>0</v>
      </c>
    </row>
    <row r="31" spans="1:87" ht="30">
      <c r="A31" s="1639" t="s">
        <v>4913</v>
      </c>
      <c r="B31" s="1640" t="s">
        <v>2447</v>
      </c>
      <c r="C31" s="1641" t="s">
        <v>4897</v>
      </c>
      <c r="D31" s="1646" t="s">
        <v>4219</v>
      </c>
      <c r="E31" s="1640" t="s">
        <v>3855</v>
      </c>
      <c r="F31" s="454"/>
      <c r="G31" s="454"/>
      <c r="H31" s="454">
        <v>0</v>
      </c>
      <c r="I31" s="454"/>
      <c r="J31" s="454"/>
      <c r="K31" s="1653"/>
      <c r="L31" s="454"/>
      <c r="M31" s="1654"/>
      <c r="N31" s="454"/>
      <c r="O31" s="1644">
        <f>'12-A. Print Sub-Annex'!O89</f>
        <v>0</v>
      </c>
      <c r="P31" s="1658"/>
      <c r="Q31" s="1645"/>
      <c r="R31" s="1644">
        <f>'12-A. Print Sub-Annex'!R89</f>
        <v>0</v>
      </c>
      <c r="BB31" s="1644"/>
      <c r="BC31" s="1644"/>
      <c r="BD31" s="1644"/>
      <c r="BE31" s="1644"/>
      <c r="BF31" s="1644"/>
      <c r="BG31" s="1644"/>
      <c r="BH31" s="1644"/>
      <c r="BI31" s="1644"/>
      <c r="BJ31" s="1644"/>
      <c r="BK31" s="1644"/>
      <c r="BL31" s="1644"/>
      <c r="BM31" s="1644"/>
      <c r="BN31" s="1644"/>
      <c r="BO31" s="1644"/>
      <c r="BP31" s="1644"/>
      <c r="BQ31" s="1644"/>
      <c r="BR31" s="1644"/>
      <c r="BS31" s="1644"/>
      <c r="BT31" s="1644"/>
      <c r="BU31" s="1644"/>
      <c r="BV31" s="1644"/>
      <c r="BW31" s="1644"/>
      <c r="BX31" s="1644"/>
      <c r="BY31" s="1644"/>
      <c r="BZ31" s="1644"/>
      <c r="CA31" s="1644"/>
      <c r="CB31" s="1644"/>
      <c r="CC31" s="1644"/>
      <c r="CD31" s="1644"/>
      <c r="CE31" s="1644"/>
      <c r="CF31" s="1644"/>
      <c r="CG31" s="1644"/>
      <c r="CH31" s="1644"/>
      <c r="CI31" s="3223">
        <f t="shared" si="0"/>
        <v>0</v>
      </c>
    </row>
    <row r="32" spans="1:87" s="2251" customFormat="1">
      <c r="A32" s="1639" t="s">
        <v>4914</v>
      </c>
      <c r="B32" s="1639"/>
      <c r="C32" s="1676" t="s">
        <v>4898</v>
      </c>
      <c r="D32" s="2265" t="s">
        <v>4219</v>
      </c>
      <c r="E32" s="1639" t="s">
        <v>4405</v>
      </c>
      <c r="F32" s="2246"/>
      <c r="G32" s="2246"/>
      <c r="H32" s="2246"/>
      <c r="I32" s="2246"/>
      <c r="J32" s="2246"/>
      <c r="K32" s="2247"/>
      <c r="L32" s="2246"/>
      <c r="M32" s="2248"/>
      <c r="N32" s="2246"/>
      <c r="O32" s="2249">
        <f>'12-A. Print Sub-Annex'!O90</f>
        <v>0</v>
      </c>
      <c r="P32" s="2250"/>
      <c r="Q32" s="1673"/>
      <c r="R32" s="2249">
        <f>'12-A. Print Sub-Annex'!R90</f>
        <v>0</v>
      </c>
      <c r="BB32" s="2249"/>
      <c r="BC32" s="2249"/>
      <c r="BD32" s="2249"/>
      <c r="BE32" s="2249"/>
      <c r="BF32" s="2249"/>
      <c r="BG32" s="2249"/>
      <c r="BH32" s="2249"/>
      <c r="BI32" s="2249"/>
      <c r="BJ32" s="2249"/>
      <c r="BK32" s="2249"/>
      <c r="BL32" s="2249"/>
      <c r="BM32" s="2249"/>
      <c r="BN32" s="2249"/>
      <c r="BO32" s="2249"/>
      <c r="BP32" s="2249"/>
      <c r="BQ32" s="2249"/>
      <c r="BR32" s="2249"/>
      <c r="BS32" s="2249"/>
      <c r="BT32" s="2249"/>
      <c r="BU32" s="2249"/>
      <c r="BV32" s="2249"/>
      <c r="BW32" s="2249"/>
      <c r="BX32" s="2249"/>
      <c r="BY32" s="2249"/>
      <c r="BZ32" s="2249"/>
      <c r="CA32" s="2249"/>
      <c r="CB32" s="2249"/>
      <c r="CC32" s="2249"/>
      <c r="CD32" s="2249"/>
      <c r="CE32" s="2249"/>
      <c r="CF32" s="2249"/>
      <c r="CG32" s="2249"/>
      <c r="CH32" s="2249"/>
      <c r="CI32" s="3223">
        <f t="shared" si="0"/>
        <v>0</v>
      </c>
    </row>
    <row r="33" spans="1:87">
      <c r="A33" s="1630">
        <v>12.4</v>
      </c>
      <c r="B33" s="1631"/>
      <c r="C33" s="1632" t="s">
        <v>4910</v>
      </c>
      <c r="D33" s="1631"/>
      <c r="E33" s="1631"/>
      <c r="F33" s="1655"/>
      <c r="G33" s="1655"/>
      <c r="H33" s="1655"/>
      <c r="I33" s="1655"/>
      <c r="J33" s="1655"/>
      <c r="K33" s="1656"/>
      <c r="L33" s="1655"/>
      <c r="M33" s="1657"/>
      <c r="N33" s="1655"/>
      <c r="O33" s="1636">
        <f>SUM(O34:O45)</f>
        <v>20.315000000000001</v>
      </c>
      <c r="P33" s="1659"/>
      <c r="Q33" s="1637"/>
      <c r="R33" s="1636">
        <f>SUM(R34:R45)</f>
        <v>20.32</v>
      </c>
      <c r="BB33" s="1644"/>
      <c r="BC33" s="1644"/>
      <c r="BD33" s="1644"/>
      <c r="BE33" s="1644"/>
      <c r="BF33" s="1644"/>
      <c r="BG33" s="1644"/>
      <c r="BH33" s="1644"/>
      <c r="BI33" s="1644"/>
      <c r="BJ33" s="1644"/>
      <c r="BK33" s="1644"/>
      <c r="BL33" s="1644"/>
      <c r="BM33" s="1644"/>
      <c r="BN33" s="1644"/>
      <c r="BO33" s="1644"/>
      <c r="BP33" s="1644"/>
      <c r="BQ33" s="1644"/>
      <c r="BR33" s="1644"/>
      <c r="BS33" s="1644"/>
      <c r="BT33" s="1644"/>
      <c r="BU33" s="1644"/>
      <c r="BV33" s="1644"/>
      <c r="BW33" s="1644"/>
      <c r="BX33" s="1644"/>
      <c r="BY33" s="1644"/>
      <c r="BZ33" s="1644"/>
      <c r="CA33" s="1644"/>
      <c r="CB33" s="1644"/>
      <c r="CC33" s="1644"/>
      <c r="CD33" s="1644"/>
      <c r="CE33" s="1644"/>
      <c r="CF33" s="1644"/>
      <c r="CG33" s="1644"/>
      <c r="CH33" s="1644"/>
      <c r="CI33" s="3223">
        <f t="shared" si="0"/>
        <v>0</v>
      </c>
    </row>
    <row r="34" spans="1:87" s="2251" customFormat="1">
      <c r="A34" s="1639" t="s">
        <v>1483</v>
      </c>
      <c r="B34" s="1639"/>
      <c r="C34" s="1676" t="s">
        <v>4899</v>
      </c>
      <c r="D34" s="2265" t="s">
        <v>80</v>
      </c>
      <c r="E34" s="1639" t="s">
        <v>81</v>
      </c>
      <c r="F34" s="2246"/>
      <c r="G34" s="2246"/>
      <c r="H34" s="2246"/>
      <c r="I34" s="2246"/>
      <c r="J34" s="2246"/>
      <c r="K34" s="2247"/>
      <c r="L34" s="2246"/>
      <c r="M34" s="2248"/>
      <c r="N34" s="2246"/>
      <c r="O34" s="2249">
        <f>'12-A. Print Sub-Annex'!O92</f>
        <v>0</v>
      </c>
      <c r="P34" s="2250"/>
      <c r="Q34" s="1673"/>
      <c r="R34" s="2249">
        <f>'12-A. Print Sub-Annex'!R92</f>
        <v>0</v>
      </c>
      <c r="BB34" s="2249"/>
      <c r="BC34" s="2249"/>
      <c r="BD34" s="2249"/>
      <c r="BE34" s="2249"/>
      <c r="BF34" s="2249"/>
      <c r="BG34" s="2249"/>
      <c r="BH34" s="2249"/>
      <c r="BI34" s="2249"/>
      <c r="BJ34" s="2249"/>
      <c r="BK34" s="2249"/>
      <c r="BL34" s="2249"/>
      <c r="BM34" s="2249"/>
      <c r="BN34" s="2249"/>
      <c r="BO34" s="2249"/>
      <c r="BP34" s="2249"/>
      <c r="BQ34" s="2249"/>
      <c r="BR34" s="2249"/>
      <c r="BS34" s="2249"/>
      <c r="BT34" s="2249"/>
      <c r="BU34" s="2249"/>
      <c r="BV34" s="2249"/>
      <c r="BW34" s="2249"/>
      <c r="BX34" s="2249"/>
      <c r="BY34" s="2249"/>
      <c r="BZ34" s="2249"/>
      <c r="CA34" s="2249"/>
      <c r="CB34" s="2249"/>
      <c r="CC34" s="2249"/>
      <c r="CD34" s="2249"/>
      <c r="CE34" s="2249"/>
      <c r="CF34" s="2249"/>
      <c r="CG34" s="2249"/>
      <c r="CH34" s="2249"/>
      <c r="CI34" s="3223">
        <f t="shared" si="0"/>
        <v>0</v>
      </c>
    </row>
    <row r="35" spans="1:87" s="2251" customFormat="1">
      <c r="A35" s="1639" t="s">
        <v>1486</v>
      </c>
      <c r="B35" s="1639"/>
      <c r="C35" s="1676" t="s">
        <v>4900</v>
      </c>
      <c r="D35" s="2265" t="s">
        <v>80</v>
      </c>
      <c r="E35" s="1639" t="s">
        <v>145</v>
      </c>
      <c r="F35" s="2246"/>
      <c r="G35" s="2246"/>
      <c r="H35" s="2246"/>
      <c r="I35" s="2246"/>
      <c r="J35" s="2246"/>
      <c r="K35" s="2247"/>
      <c r="L35" s="2246"/>
      <c r="M35" s="2248"/>
      <c r="N35" s="2246"/>
      <c r="O35" s="2249">
        <f>'12-A. Print Sub-Annex'!O93</f>
        <v>0</v>
      </c>
      <c r="P35" s="2250"/>
      <c r="Q35" s="1673"/>
      <c r="R35" s="2249">
        <f>'12-A. Print Sub-Annex'!R93</f>
        <v>0</v>
      </c>
      <c r="BB35" s="2249"/>
      <c r="BC35" s="2249"/>
      <c r="BD35" s="2249"/>
      <c r="BE35" s="2249"/>
      <c r="BF35" s="2249"/>
      <c r="BG35" s="2249"/>
      <c r="BH35" s="2249"/>
      <c r="BI35" s="2249"/>
      <c r="BJ35" s="2249"/>
      <c r="BK35" s="2249"/>
      <c r="BL35" s="2249"/>
      <c r="BM35" s="2249"/>
      <c r="BN35" s="2249"/>
      <c r="BO35" s="2249"/>
      <c r="BP35" s="2249"/>
      <c r="BQ35" s="2249"/>
      <c r="BR35" s="2249"/>
      <c r="BS35" s="2249"/>
      <c r="BT35" s="2249"/>
      <c r="BU35" s="2249"/>
      <c r="BV35" s="2249"/>
      <c r="BW35" s="2249"/>
      <c r="BX35" s="2249"/>
      <c r="BY35" s="2249"/>
      <c r="BZ35" s="2249"/>
      <c r="CA35" s="2249"/>
      <c r="CB35" s="2249"/>
      <c r="CC35" s="2249"/>
      <c r="CD35" s="2249"/>
      <c r="CE35" s="2249"/>
      <c r="CF35" s="2249"/>
      <c r="CG35" s="2249"/>
      <c r="CH35" s="2249"/>
      <c r="CI35" s="3223">
        <f t="shared" si="0"/>
        <v>0</v>
      </c>
    </row>
    <row r="36" spans="1:87" s="2251" customFormat="1">
      <c r="A36" s="1639" t="s">
        <v>1488</v>
      </c>
      <c r="B36" s="1639"/>
      <c r="C36" s="1676" t="s">
        <v>4901</v>
      </c>
      <c r="D36" s="2265" t="s">
        <v>80</v>
      </c>
      <c r="E36" s="1639" t="s">
        <v>394</v>
      </c>
      <c r="F36" s="2246"/>
      <c r="G36" s="2246"/>
      <c r="H36" s="2246"/>
      <c r="I36" s="2246"/>
      <c r="J36" s="2246"/>
      <c r="K36" s="2247"/>
      <c r="L36" s="2246"/>
      <c r="M36" s="2248"/>
      <c r="N36" s="2246"/>
      <c r="O36" s="2249">
        <f>'12-A. Print Sub-Annex'!O94</f>
        <v>0</v>
      </c>
      <c r="P36" s="2250"/>
      <c r="Q36" s="1673"/>
      <c r="R36" s="2249">
        <f>'12-A. Print Sub-Annex'!R94</f>
        <v>0</v>
      </c>
      <c r="BB36" s="2249"/>
      <c r="BC36" s="2249"/>
      <c r="BD36" s="2249"/>
      <c r="BE36" s="2249"/>
      <c r="BF36" s="2249"/>
      <c r="BG36" s="2249"/>
      <c r="BH36" s="2249"/>
      <c r="BI36" s="2249"/>
      <c r="BJ36" s="2249"/>
      <c r="BK36" s="2249"/>
      <c r="BL36" s="2249"/>
      <c r="BM36" s="2249"/>
      <c r="BN36" s="2249"/>
      <c r="BO36" s="2249"/>
      <c r="BP36" s="2249"/>
      <c r="BQ36" s="2249"/>
      <c r="BR36" s="2249"/>
      <c r="BS36" s="2249"/>
      <c r="BT36" s="2249"/>
      <c r="BU36" s="2249"/>
      <c r="BV36" s="2249"/>
      <c r="BW36" s="2249"/>
      <c r="BX36" s="2249"/>
      <c r="BY36" s="2249"/>
      <c r="BZ36" s="2249"/>
      <c r="CA36" s="2249"/>
      <c r="CB36" s="2249"/>
      <c r="CC36" s="2249"/>
      <c r="CD36" s="2249"/>
      <c r="CE36" s="2249"/>
      <c r="CF36" s="2249"/>
      <c r="CG36" s="2249"/>
      <c r="CH36" s="2249"/>
      <c r="CI36" s="3223">
        <f t="shared" si="0"/>
        <v>0</v>
      </c>
    </row>
    <row r="37" spans="1:87">
      <c r="A37" s="1640" t="s">
        <v>1490</v>
      </c>
      <c r="B37" s="1640">
        <v>12.14</v>
      </c>
      <c r="C37" s="1641" t="s">
        <v>1552</v>
      </c>
      <c r="D37" s="1647" t="s">
        <v>80</v>
      </c>
      <c r="E37" s="1640" t="s">
        <v>147</v>
      </c>
      <c r="F37" s="454"/>
      <c r="G37" s="454"/>
      <c r="H37" s="454">
        <v>0</v>
      </c>
      <c r="I37" s="454"/>
      <c r="J37" s="454"/>
      <c r="K37" s="1653"/>
      <c r="L37" s="454"/>
      <c r="M37" s="1654"/>
      <c r="N37" s="454"/>
      <c r="O37" s="1644">
        <f>'12-A. Print Sub-Annex'!O95</f>
        <v>0</v>
      </c>
      <c r="P37" s="1658"/>
      <c r="Q37" s="1645"/>
      <c r="R37" s="1644">
        <f>'12-A. Print Sub-Annex'!R95</f>
        <v>0</v>
      </c>
      <c r="BB37" s="1644"/>
      <c r="BC37" s="1644"/>
      <c r="BD37" s="1644"/>
      <c r="BE37" s="1644"/>
      <c r="BF37" s="1644"/>
      <c r="BG37" s="1644"/>
      <c r="BH37" s="1644"/>
      <c r="BI37" s="1644"/>
      <c r="BJ37" s="1644"/>
      <c r="BK37" s="1644"/>
      <c r="BL37" s="1644"/>
      <c r="BM37" s="1644"/>
      <c r="BN37" s="1644"/>
      <c r="BO37" s="1644"/>
      <c r="BP37" s="1644"/>
      <c r="BQ37" s="1644"/>
      <c r="BR37" s="1644"/>
      <c r="BS37" s="1644"/>
      <c r="BT37" s="1644"/>
      <c r="BU37" s="1644"/>
      <c r="BV37" s="1644"/>
      <c r="BW37" s="1644"/>
      <c r="BX37" s="1644"/>
      <c r="BY37" s="1644"/>
      <c r="BZ37" s="1644"/>
      <c r="CA37" s="1644"/>
      <c r="CB37" s="1644"/>
      <c r="CC37" s="1644"/>
      <c r="CD37" s="1644"/>
      <c r="CE37" s="1644"/>
      <c r="CF37" s="1644"/>
      <c r="CG37" s="1644"/>
      <c r="CH37" s="1644"/>
      <c r="CI37" s="3223">
        <f t="shared" si="0"/>
        <v>0</v>
      </c>
    </row>
    <row r="38" spans="1:87">
      <c r="A38" s="1639" t="s">
        <v>2410</v>
      </c>
      <c r="B38" s="1640">
        <v>12.15</v>
      </c>
      <c r="C38" s="1641" t="s">
        <v>1557</v>
      </c>
      <c r="D38" s="1647" t="s">
        <v>80</v>
      </c>
      <c r="E38" s="1640" t="s">
        <v>410</v>
      </c>
      <c r="F38" s="454"/>
      <c r="G38" s="454"/>
      <c r="H38" s="454">
        <v>15</v>
      </c>
      <c r="I38" s="454"/>
      <c r="J38" s="454"/>
      <c r="K38" s="1653"/>
      <c r="L38" s="454"/>
      <c r="M38" s="1654"/>
      <c r="N38" s="454"/>
      <c r="O38" s="1644">
        <f>'12-A. Print Sub-Annex'!O98</f>
        <v>20</v>
      </c>
      <c r="P38" s="1658"/>
      <c r="Q38" s="1645"/>
      <c r="R38" s="1644">
        <f>'12-A. Print Sub-Annex'!R98</f>
        <v>20</v>
      </c>
      <c r="BB38" s="1644"/>
      <c r="BC38" s="1644"/>
      <c r="BD38" s="1644"/>
      <c r="BE38" s="1644"/>
      <c r="BF38" s="1644"/>
      <c r="BG38" s="1644"/>
      <c r="BH38" s="1644"/>
      <c r="BI38" s="1644"/>
      <c r="BJ38" s="1644"/>
      <c r="BK38" s="1644"/>
      <c r="BL38" s="1644"/>
      <c r="BM38" s="1644"/>
      <c r="BN38" s="1644"/>
      <c r="BO38" s="1644"/>
      <c r="BP38" s="1644"/>
      <c r="BQ38" s="1644"/>
      <c r="BR38" s="1644"/>
      <c r="BS38" s="1644"/>
      <c r="BT38" s="1644"/>
      <c r="BU38" s="1644"/>
      <c r="BV38" s="1644"/>
      <c r="BW38" s="1644"/>
      <c r="BX38" s="1644"/>
      <c r="BY38" s="1644"/>
      <c r="BZ38" s="1644"/>
      <c r="CA38" s="1644"/>
      <c r="CB38" s="1644"/>
      <c r="CC38" s="1644"/>
      <c r="CD38" s="1644"/>
      <c r="CE38" s="1644"/>
      <c r="CF38" s="1644"/>
      <c r="CG38" s="1644"/>
      <c r="CH38" s="1644"/>
      <c r="CI38" s="3223">
        <f t="shared" si="0"/>
        <v>0</v>
      </c>
    </row>
    <row r="39" spans="1:87" s="2251" customFormat="1">
      <c r="A39" s="1639" t="s">
        <v>4007</v>
      </c>
      <c r="B39" s="1639"/>
      <c r="C39" s="1676" t="s">
        <v>4902</v>
      </c>
      <c r="D39" s="2265" t="s">
        <v>80</v>
      </c>
      <c r="E39" s="1639" t="s">
        <v>4668</v>
      </c>
      <c r="F39" s="2246"/>
      <c r="G39" s="2246"/>
      <c r="H39" s="2246"/>
      <c r="I39" s="2246"/>
      <c r="J39" s="2246"/>
      <c r="K39" s="2247"/>
      <c r="L39" s="2246"/>
      <c r="M39" s="2248"/>
      <c r="N39" s="2246"/>
      <c r="O39" s="2249">
        <f>'12-A. Print Sub-Annex'!O103</f>
        <v>0</v>
      </c>
      <c r="P39" s="2250"/>
      <c r="Q39" s="1673"/>
      <c r="R39" s="2249">
        <f>'12-A. Print Sub-Annex'!R103</f>
        <v>0</v>
      </c>
      <c r="BB39" s="2249"/>
      <c r="BC39" s="2249"/>
      <c r="BD39" s="2249"/>
      <c r="BE39" s="2249"/>
      <c r="BF39" s="2249"/>
      <c r="BG39" s="2249"/>
      <c r="BH39" s="2249"/>
      <c r="BI39" s="2249"/>
      <c r="BJ39" s="2249"/>
      <c r="BK39" s="2249"/>
      <c r="BL39" s="2249"/>
      <c r="BM39" s="2249"/>
      <c r="BN39" s="2249"/>
      <c r="BO39" s="2249"/>
      <c r="BP39" s="2249"/>
      <c r="BQ39" s="2249"/>
      <c r="BR39" s="2249"/>
      <c r="BS39" s="2249"/>
      <c r="BT39" s="2249"/>
      <c r="BU39" s="2249"/>
      <c r="BV39" s="2249"/>
      <c r="BW39" s="2249"/>
      <c r="BX39" s="2249"/>
      <c r="BY39" s="2249"/>
      <c r="BZ39" s="2249"/>
      <c r="CA39" s="2249"/>
      <c r="CB39" s="2249"/>
      <c r="CC39" s="2249"/>
      <c r="CD39" s="2249"/>
      <c r="CE39" s="2249"/>
      <c r="CF39" s="2249"/>
      <c r="CG39" s="2249"/>
      <c r="CH39" s="2249"/>
      <c r="CI39" s="3223">
        <f t="shared" si="0"/>
        <v>0</v>
      </c>
    </row>
    <row r="40" spans="1:87">
      <c r="A40" s="1639" t="s">
        <v>4915</v>
      </c>
      <c r="B40" s="1640" t="s">
        <v>3864</v>
      </c>
      <c r="C40" s="1641" t="s">
        <v>3999</v>
      </c>
      <c r="D40" s="1647" t="s">
        <v>80</v>
      </c>
      <c r="E40" s="1640" t="s">
        <v>3989</v>
      </c>
      <c r="F40" s="454"/>
      <c r="G40" s="454"/>
      <c r="H40" s="454">
        <v>0</v>
      </c>
      <c r="I40" s="454"/>
      <c r="J40" s="454"/>
      <c r="K40" s="1653"/>
      <c r="L40" s="454"/>
      <c r="M40" s="1654"/>
      <c r="N40" s="454"/>
      <c r="O40" s="1644">
        <f>'12-A. Print Sub-Annex'!O104</f>
        <v>0.315</v>
      </c>
      <c r="P40" s="1658"/>
      <c r="Q40" s="1645"/>
      <c r="R40" s="1644">
        <f>'12-A. Print Sub-Annex'!R104</f>
        <v>0.32</v>
      </c>
      <c r="BB40" s="1644"/>
      <c r="BC40" s="1644"/>
      <c r="BD40" s="1644"/>
      <c r="BE40" s="1644"/>
      <c r="BF40" s="1644"/>
      <c r="BG40" s="1644"/>
      <c r="BH40" s="1644"/>
      <c r="BI40" s="1644"/>
      <c r="BJ40" s="1644"/>
      <c r="BK40" s="1644"/>
      <c r="BL40" s="1644"/>
      <c r="BM40" s="1644"/>
      <c r="BN40" s="1644"/>
      <c r="BO40" s="1644"/>
      <c r="BP40" s="1644"/>
      <c r="BQ40" s="1644"/>
      <c r="BR40" s="1644"/>
      <c r="BS40" s="1644"/>
      <c r="BT40" s="1644"/>
      <c r="BU40" s="1644"/>
      <c r="BV40" s="1644"/>
      <c r="BW40" s="1644"/>
      <c r="BX40" s="1644"/>
      <c r="BY40" s="1644"/>
      <c r="BZ40" s="1644"/>
      <c r="CA40" s="1644"/>
      <c r="CB40" s="1644"/>
      <c r="CC40" s="1644"/>
      <c r="CD40" s="1644"/>
      <c r="CE40" s="1644"/>
      <c r="CF40" s="1644"/>
      <c r="CG40" s="1644"/>
      <c r="CH40" s="1644"/>
      <c r="CI40" s="3223">
        <f t="shared" si="0"/>
        <v>0</v>
      </c>
    </row>
    <row r="41" spans="1:87" s="2251" customFormat="1" ht="15.75" customHeight="1">
      <c r="A41" s="1639" t="s">
        <v>4916</v>
      </c>
      <c r="B41" s="1639"/>
      <c r="C41" s="1676" t="s">
        <v>4905</v>
      </c>
      <c r="D41" s="2265" t="s">
        <v>80</v>
      </c>
      <c r="E41" s="1639" t="s">
        <v>1014</v>
      </c>
      <c r="F41" s="2246"/>
      <c r="G41" s="2246"/>
      <c r="H41" s="2246"/>
      <c r="I41" s="2246"/>
      <c r="J41" s="2246"/>
      <c r="K41" s="2247"/>
      <c r="L41" s="2246"/>
      <c r="M41" s="2248"/>
      <c r="N41" s="2246"/>
      <c r="O41" s="2249">
        <f>'12-A. Print Sub-Annex'!O105</f>
        <v>0</v>
      </c>
      <c r="P41" s="2250"/>
      <c r="Q41" s="1673"/>
      <c r="R41" s="2249">
        <f>'12-A. Print Sub-Annex'!R105</f>
        <v>0</v>
      </c>
      <c r="BB41" s="2249"/>
      <c r="BC41" s="2249"/>
      <c r="BD41" s="2249"/>
      <c r="BE41" s="2249"/>
      <c r="BF41" s="2249"/>
      <c r="BG41" s="2249"/>
      <c r="BH41" s="2249"/>
      <c r="BI41" s="2249"/>
      <c r="BJ41" s="2249"/>
      <c r="BK41" s="2249"/>
      <c r="BL41" s="2249"/>
      <c r="BM41" s="2249"/>
      <c r="BN41" s="2249"/>
      <c r="BO41" s="2249"/>
      <c r="BP41" s="2249"/>
      <c r="BQ41" s="2249"/>
      <c r="BR41" s="2249"/>
      <c r="BS41" s="2249"/>
      <c r="BT41" s="2249"/>
      <c r="BU41" s="2249"/>
      <c r="BV41" s="2249"/>
      <c r="BW41" s="2249"/>
      <c r="BX41" s="2249"/>
      <c r="BY41" s="2249"/>
      <c r="BZ41" s="2249"/>
      <c r="CA41" s="2249"/>
      <c r="CB41" s="2249"/>
      <c r="CC41" s="2249"/>
      <c r="CD41" s="2249"/>
      <c r="CE41" s="2249"/>
      <c r="CF41" s="2249"/>
      <c r="CG41" s="2249"/>
      <c r="CH41" s="2249"/>
      <c r="CI41" s="3223">
        <f t="shared" si="0"/>
        <v>0</v>
      </c>
    </row>
    <row r="42" spans="1:87" s="2251" customFormat="1">
      <c r="A42" s="1639" t="s">
        <v>4917</v>
      </c>
      <c r="B42" s="1639"/>
      <c r="C42" s="1676" t="s">
        <v>4907</v>
      </c>
      <c r="D42" s="2265" t="s">
        <v>80</v>
      </c>
      <c r="E42" s="1639" t="s">
        <v>1028</v>
      </c>
      <c r="F42" s="2246"/>
      <c r="G42" s="2246"/>
      <c r="H42" s="2246"/>
      <c r="I42" s="2246"/>
      <c r="J42" s="2246"/>
      <c r="K42" s="2247"/>
      <c r="L42" s="2246"/>
      <c r="M42" s="2248"/>
      <c r="N42" s="2246"/>
      <c r="O42" s="2249">
        <f>'12-A. Print Sub-Annex'!O106</f>
        <v>0</v>
      </c>
      <c r="P42" s="2250"/>
      <c r="Q42" s="1673"/>
      <c r="R42" s="2249">
        <f>'12-A. Print Sub-Annex'!R106</f>
        <v>0</v>
      </c>
      <c r="BB42" s="2249"/>
      <c r="BC42" s="2249"/>
      <c r="BD42" s="2249"/>
      <c r="BE42" s="2249"/>
      <c r="BF42" s="2249"/>
      <c r="BG42" s="2249"/>
      <c r="BH42" s="2249"/>
      <c r="BI42" s="2249"/>
      <c r="BJ42" s="2249"/>
      <c r="BK42" s="2249"/>
      <c r="BL42" s="2249"/>
      <c r="BM42" s="2249"/>
      <c r="BN42" s="2249"/>
      <c r="BO42" s="2249"/>
      <c r="BP42" s="2249"/>
      <c r="BQ42" s="2249"/>
      <c r="BR42" s="2249"/>
      <c r="BS42" s="2249"/>
      <c r="BT42" s="2249"/>
      <c r="BU42" s="2249"/>
      <c r="BV42" s="2249"/>
      <c r="BW42" s="2249"/>
      <c r="BX42" s="2249"/>
      <c r="BY42" s="2249"/>
      <c r="BZ42" s="2249"/>
      <c r="CA42" s="2249"/>
      <c r="CB42" s="2249"/>
      <c r="CC42" s="2249"/>
      <c r="CD42" s="2249"/>
      <c r="CE42" s="2249"/>
      <c r="CF42" s="2249"/>
      <c r="CG42" s="2249"/>
      <c r="CH42" s="2249"/>
      <c r="CI42" s="3223">
        <f t="shared" si="0"/>
        <v>0</v>
      </c>
    </row>
    <row r="43" spans="1:87" s="2251" customFormat="1">
      <c r="A43" s="1639" t="s">
        <v>4918</v>
      </c>
      <c r="B43" s="1639"/>
      <c r="C43" s="1676" t="s">
        <v>4906</v>
      </c>
      <c r="D43" s="2265" t="s">
        <v>80</v>
      </c>
      <c r="E43" s="1639" t="s">
        <v>307</v>
      </c>
      <c r="F43" s="2246"/>
      <c r="G43" s="2246"/>
      <c r="H43" s="2246"/>
      <c r="I43" s="2246"/>
      <c r="J43" s="2246"/>
      <c r="K43" s="2247"/>
      <c r="L43" s="2246"/>
      <c r="M43" s="2248"/>
      <c r="N43" s="2246"/>
      <c r="O43" s="2249">
        <f>'12-A. Print Sub-Annex'!O107</f>
        <v>0</v>
      </c>
      <c r="P43" s="2250"/>
      <c r="Q43" s="1673"/>
      <c r="R43" s="2249">
        <f>'12-A. Print Sub-Annex'!R107</f>
        <v>0</v>
      </c>
      <c r="BB43" s="2249"/>
      <c r="BC43" s="2249"/>
      <c r="BD43" s="2249"/>
      <c r="BE43" s="2249"/>
      <c r="BF43" s="2249"/>
      <c r="BG43" s="2249"/>
      <c r="BH43" s="2249"/>
      <c r="BI43" s="2249"/>
      <c r="BJ43" s="2249"/>
      <c r="BK43" s="2249"/>
      <c r="BL43" s="2249"/>
      <c r="BM43" s="2249"/>
      <c r="BN43" s="2249"/>
      <c r="BO43" s="2249"/>
      <c r="BP43" s="2249"/>
      <c r="BQ43" s="2249"/>
      <c r="BR43" s="2249"/>
      <c r="BS43" s="2249"/>
      <c r="BT43" s="2249"/>
      <c r="BU43" s="2249"/>
      <c r="BV43" s="2249"/>
      <c r="BW43" s="2249"/>
      <c r="BX43" s="2249"/>
      <c r="BY43" s="2249"/>
      <c r="BZ43" s="2249"/>
      <c r="CA43" s="2249"/>
      <c r="CB43" s="2249"/>
      <c r="CC43" s="2249"/>
      <c r="CD43" s="2249"/>
      <c r="CE43" s="2249"/>
      <c r="CF43" s="2249"/>
      <c r="CG43" s="2249"/>
      <c r="CH43" s="2249"/>
      <c r="CI43" s="3223">
        <f t="shared" si="0"/>
        <v>0</v>
      </c>
    </row>
    <row r="44" spans="1:87" s="2251" customFormat="1">
      <c r="A44" s="1639" t="s">
        <v>4919</v>
      </c>
      <c r="B44" s="1639"/>
      <c r="C44" s="1676" t="s">
        <v>4904</v>
      </c>
      <c r="D44" s="2265" t="s">
        <v>80</v>
      </c>
      <c r="E44" s="1639" t="s">
        <v>309</v>
      </c>
      <c r="F44" s="2246"/>
      <c r="G44" s="2246"/>
      <c r="H44" s="2246"/>
      <c r="I44" s="2246"/>
      <c r="J44" s="2246"/>
      <c r="K44" s="2247"/>
      <c r="L44" s="2246"/>
      <c r="M44" s="2248"/>
      <c r="N44" s="2246"/>
      <c r="O44" s="2249">
        <f>'12-A. Print Sub-Annex'!O108</f>
        <v>0</v>
      </c>
      <c r="P44" s="2250"/>
      <c r="Q44" s="1673"/>
      <c r="R44" s="2249">
        <f>'12-A. Print Sub-Annex'!R108</f>
        <v>0</v>
      </c>
      <c r="BB44" s="2249"/>
      <c r="BC44" s="2249"/>
      <c r="BD44" s="2249"/>
      <c r="BE44" s="2249"/>
      <c r="BF44" s="2249"/>
      <c r="BG44" s="2249"/>
      <c r="BH44" s="2249"/>
      <c r="BI44" s="2249"/>
      <c r="BJ44" s="2249"/>
      <c r="BK44" s="2249"/>
      <c r="BL44" s="2249"/>
      <c r="BM44" s="2249"/>
      <c r="BN44" s="2249"/>
      <c r="BO44" s="2249"/>
      <c r="BP44" s="2249"/>
      <c r="BQ44" s="2249"/>
      <c r="BR44" s="2249"/>
      <c r="BS44" s="2249"/>
      <c r="BT44" s="2249"/>
      <c r="BU44" s="2249"/>
      <c r="BV44" s="2249"/>
      <c r="BW44" s="2249"/>
      <c r="BX44" s="2249"/>
      <c r="BY44" s="2249"/>
      <c r="BZ44" s="2249"/>
      <c r="CA44" s="2249"/>
      <c r="CB44" s="2249"/>
      <c r="CC44" s="2249"/>
      <c r="CD44" s="2249"/>
      <c r="CE44" s="2249"/>
      <c r="CF44" s="2249"/>
      <c r="CG44" s="2249"/>
      <c r="CH44" s="2249"/>
      <c r="CI44" s="3223">
        <f t="shared" si="0"/>
        <v>0</v>
      </c>
    </row>
    <row r="45" spans="1:87" s="2251" customFormat="1" ht="30">
      <c r="A45" s="1639" t="s">
        <v>4920</v>
      </c>
      <c r="B45" s="1639"/>
      <c r="C45" s="1676" t="s">
        <v>4903</v>
      </c>
      <c r="D45" s="2265" t="s">
        <v>80</v>
      </c>
      <c r="E45" s="1639" t="s">
        <v>4533</v>
      </c>
      <c r="F45" s="2246"/>
      <c r="G45" s="2246"/>
      <c r="H45" s="2246"/>
      <c r="I45" s="2246"/>
      <c r="J45" s="2246"/>
      <c r="K45" s="2247"/>
      <c r="L45" s="2246"/>
      <c r="M45" s="2248"/>
      <c r="N45" s="2246"/>
      <c r="O45" s="2249">
        <f>'12-A. Print Sub-Annex'!O109</f>
        <v>0</v>
      </c>
      <c r="P45" s="2250"/>
      <c r="Q45" s="1673"/>
      <c r="R45" s="2249">
        <f>'12-A. Print Sub-Annex'!R109</f>
        <v>0</v>
      </c>
      <c r="BB45" s="2249"/>
      <c r="BC45" s="2249"/>
      <c r="BD45" s="2249"/>
      <c r="BE45" s="2249"/>
      <c r="BF45" s="2249"/>
      <c r="BG45" s="2249"/>
      <c r="BH45" s="2249"/>
      <c r="BI45" s="2249"/>
      <c r="BJ45" s="2249"/>
      <c r="BK45" s="2249"/>
      <c r="BL45" s="2249"/>
      <c r="BM45" s="2249"/>
      <c r="BN45" s="2249"/>
      <c r="BO45" s="2249"/>
      <c r="BP45" s="2249"/>
      <c r="BQ45" s="2249"/>
      <c r="BR45" s="2249"/>
      <c r="BS45" s="2249"/>
      <c r="BT45" s="2249"/>
      <c r="BU45" s="2249"/>
      <c r="BV45" s="2249"/>
      <c r="BW45" s="2249"/>
      <c r="BX45" s="2249"/>
      <c r="BY45" s="2249"/>
      <c r="BZ45" s="2249"/>
      <c r="CA45" s="2249"/>
      <c r="CB45" s="2249"/>
      <c r="CC45" s="2249"/>
      <c r="CD45" s="2249"/>
      <c r="CE45" s="2249"/>
      <c r="CF45" s="2249"/>
      <c r="CG45" s="2249"/>
      <c r="CH45" s="2249"/>
      <c r="CI45" s="3223">
        <f t="shared" si="0"/>
        <v>0</v>
      </c>
    </row>
    <row r="46" spans="1:87">
      <c r="BB46" s="1641"/>
      <c r="BC46" s="1641"/>
      <c r="BD46" s="1641"/>
      <c r="BE46" s="1641"/>
      <c r="BF46" s="1641"/>
      <c r="BG46" s="1641"/>
      <c r="BH46" s="1641"/>
      <c r="BI46" s="1641"/>
      <c r="BJ46" s="1641"/>
      <c r="BK46" s="1641"/>
      <c r="BL46" s="1641"/>
      <c r="BM46" s="1641"/>
      <c r="BN46" s="1641"/>
      <c r="BO46" s="1641"/>
      <c r="BP46" s="1641"/>
      <c r="BQ46" s="1641"/>
      <c r="BR46" s="1641"/>
      <c r="BS46" s="1641"/>
      <c r="BT46" s="1641"/>
      <c r="BU46" s="1641"/>
      <c r="BV46" s="1641"/>
      <c r="BW46" s="1641"/>
      <c r="BX46" s="1641"/>
      <c r="BY46" s="1641"/>
      <c r="BZ46" s="1641"/>
      <c r="CA46" s="1641"/>
      <c r="CB46" s="1641"/>
      <c r="CC46" s="1641"/>
      <c r="CD46" s="1641"/>
      <c r="CE46" s="1641"/>
      <c r="CF46" s="1641"/>
      <c r="CG46" s="1641"/>
      <c r="CH46" s="1641"/>
      <c r="CI46" s="3154">
        <f t="shared" si="0"/>
        <v>0</v>
      </c>
    </row>
    <row r="47" spans="1:87">
      <c r="BB47" s="1641"/>
      <c r="BC47" s="1641"/>
      <c r="BD47" s="1641"/>
      <c r="BE47" s="1641"/>
      <c r="BF47" s="1641"/>
      <c r="BG47" s="1641"/>
      <c r="BH47" s="1641"/>
      <c r="BI47" s="1641"/>
      <c r="BJ47" s="1641"/>
      <c r="BK47" s="1641"/>
      <c r="BL47" s="1641"/>
      <c r="BM47" s="1641"/>
      <c r="BN47" s="1641"/>
      <c r="BO47" s="1641"/>
      <c r="BP47" s="1641"/>
      <c r="BQ47" s="1641"/>
      <c r="BR47" s="1641"/>
      <c r="BS47" s="1641"/>
      <c r="BT47" s="1641"/>
      <c r="BU47" s="1641"/>
      <c r="BV47" s="1641"/>
      <c r="BW47" s="1641"/>
      <c r="BX47" s="1641"/>
      <c r="BY47" s="1641"/>
      <c r="BZ47" s="1641"/>
      <c r="CA47" s="1641"/>
      <c r="CB47" s="1641"/>
      <c r="CC47" s="1641"/>
      <c r="CD47" s="1641"/>
      <c r="CE47" s="1641"/>
      <c r="CF47" s="1641"/>
      <c r="CG47" s="1641"/>
      <c r="CH47" s="1641"/>
      <c r="CI47" s="3154">
        <f t="shared" si="0"/>
        <v>0</v>
      </c>
    </row>
  </sheetData>
  <sheetProtection password="CC49" sheet="1" objects="1" scenarios="1" autoFilter="0"/>
  <autoFilter ref="A6:BA45"/>
  <mergeCells count="15">
    <mergeCell ref="K5:P5"/>
    <mergeCell ref="Q5:R5"/>
    <mergeCell ref="A5:A6"/>
    <mergeCell ref="B5:B6"/>
    <mergeCell ref="C5:C6"/>
    <mergeCell ref="D5:D6"/>
    <mergeCell ref="E5:E6"/>
    <mergeCell ref="F5:J5"/>
    <mergeCell ref="AP1:BA1"/>
    <mergeCell ref="A2:A4"/>
    <mergeCell ref="A1:C1"/>
    <mergeCell ref="E1:E2"/>
    <mergeCell ref="F1:N1"/>
    <mergeCell ref="O1:AH1"/>
    <mergeCell ref="AI1:AO1"/>
  </mergeCells>
  <phoneticPr fontId="68"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sheetPr codeName="Sheet43"/>
  <dimension ref="A1:CI112"/>
  <sheetViews>
    <sheetView zoomScale="70" zoomScaleNormal="70" workbookViewId="0">
      <pane xSplit="5" ySplit="4" topLeftCell="Q5" activePane="bottomRight" state="frozen"/>
      <selection activeCell="A2" sqref="A2:A4"/>
      <selection pane="topRight" activeCell="A2" sqref="A2:A4"/>
      <selection pane="bottomLeft" activeCell="A2" sqref="A2:A4"/>
      <selection pane="bottomRight" activeCell="Q13" sqref="Q13"/>
    </sheetView>
  </sheetViews>
  <sheetFormatPr defaultColWidth="48.85546875" defaultRowHeight="15"/>
  <cols>
    <col min="1" max="1" width="16.140625" style="1664" bestFit="1" customWidth="1"/>
    <col min="2" max="2" width="16.5703125" style="1664" bestFit="1" customWidth="1"/>
    <col min="3" max="3" width="38" style="1681" bestFit="1" customWidth="1"/>
    <col min="4" max="4" width="9.5703125" style="1682" customWidth="1"/>
    <col min="5" max="5" width="22.42578125" style="1682" hidden="1" customWidth="1"/>
    <col min="6" max="6" width="15.140625" style="1664" hidden="1" customWidth="1"/>
    <col min="7" max="7" width="17.85546875" style="1664" hidden="1" customWidth="1"/>
    <col min="8" max="9" width="15.140625" style="1664" hidden="1" customWidth="1"/>
    <col min="10" max="10" width="17" style="1664" hidden="1" customWidth="1"/>
    <col min="11" max="11" width="9.140625" style="1683" hidden="1" customWidth="1"/>
    <col min="12" max="12" width="9.85546875" style="1664" hidden="1" customWidth="1"/>
    <col min="13" max="13" width="12.140625" style="1492" hidden="1" customWidth="1"/>
    <col min="14" max="14" width="10.5703125" style="1664" hidden="1" customWidth="1"/>
    <col min="15" max="15" width="12.140625" style="2964" bestFit="1" customWidth="1"/>
    <col min="16" max="16" width="31" style="1684" customWidth="1"/>
    <col min="17" max="17" width="40.42578125" style="1652" customWidth="1"/>
    <col min="18" max="18" width="11.140625" style="2964" customWidth="1"/>
    <col min="19" max="19" width="20.140625" style="1664" hidden="1" customWidth="1"/>
    <col min="20" max="20" width="17.42578125" style="1664" hidden="1" customWidth="1"/>
    <col min="21" max="52" width="0" style="1664" hidden="1" customWidth="1"/>
    <col min="53" max="53" width="24.42578125" style="1664" hidden="1" customWidth="1"/>
    <col min="54" max="54" width="15" style="1664" bestFit="1" customWidth="1"/>
    <col min="55" max="55" width="20.140625" style="1664" bestFit="1" customWidth="1"/>
    <col min="56" max="56" width="18.28515625" style="1664" bestFit="1" customWidth="1"/>
    <col min="57" max="57" width="14.28515625" style="1664" bestFit="1" customWidth="1"/>
    <col min="58" max="58" width="11.7109375" style="1664" bestFit="1" customWidth="1"/>
    <col min="59" max="59" width="12.140625" style="1664" bestFit="1" customWidth="1"/>
    <col min="60" max="60" width="9.5703125" style="1664" bestFit="1" customWidth="1"/>
    <col min="61" max="61" width="11.42578125" style="1664" bestFit="1" customWidth="1"/>
    <col min="62" max="62" width="9.140625" style="1664" bestFit="1" customWidth="1"/>
    <col min="63" max="63" width="10.5703125" style="1664" bestFit="1" customWidth="1"/>
    <col min="64" max="64" width="12.5703125" style="1664" bestFit="1" customWidth="1"/>
    <col min="65" max="65" width="10" style="1664" bestFit="1" customWidth="1"/>
    <col min="66" max="66" width="6.7109375" style="1664" bestFit="1" customWidth="1"/>
    <col min="67" max="67" width="11.7109375" style="1664" bestFit="1" customWidth="1"/>
    <col min="68" max="68" width="23.5703125" style="1664" bestFit="1" customWidth="1"/>
    <col min="69" max="69" width="28.5703125" style="1664" bestFit="1" customWidth="1"/>
    <col min="70" max="70" width="32.140625" style="1664" bestFit="1" customWidth="1"/>
    <col min="71" max="71" width="32.5703125" style="1664" bestFit="1" customWidth="1"/>
    <col min="72" max="72" width="25.42578125" style="1664" bestFit="1" customWidth="1"/>
    <col min="73" max="73" width="10.7109375" style="1664" bestFit="1" customWidth="1"/>
    <col min="74" max="74" width="16.28515625" style="1664" bestFit="1" customWidth="1"/>
    <col min="75" max="75" width="20" style="1664" bestFit="1" customWidth="1"/>
    <col min="76" max="76" width="19.28515625" style="1664" bestFit="1" customWidth="1"/>
    <col min="77" max="77" width="13.5703125" style="1664" bestFit="1" customWidth="1"/>
    <col min="78" max="78" width="17.140625" style="1664" bestFit="1" customWidth="1"/>
    <col min="79" max="79" width="20.5703125" style="1664" bestFit="1" customWidth="1"/>
    <col min="80" max="80" width="16.28515625" style="1664" bestFit="1" customWidth="1"/>
    <col min="81" max="81" width="14.42578125" style="1664" bestFit="1" customWidth="1"/>
    <col min="82" max="82" width="14.28515625" style="1664" bestFit="1" customWidth="1"/>
    <col min="83" max="83" width="26.85546875" style="1664" bestFit="1" customWidth="1"/>
    <col min="84" max="84" width="10.7109375" style="1664" bestFit="1" customWidth="1"/>
    <col min="85" max="85" width="33" style="1664" bestFit="1" customWidth="1"/>
    <col min="86" max="86" width="29.5703125" style="1664" bestFit="1" customWidth="1"/>
    <col min="87" max="87" width="9.5703125" style="1664" bestFit="1" customWidth="1"/>
    <col min="88" max="16384" width="48.85546875" style="1664"/>
  </cols>
  <sheetData>
    <row r="1" spans="1:87" s="1129" customFormat="1">
      <c r="A1" s="3865"/>
      <c r="B1" s="3865"/>
      <c r="C1" s="3865"/>
      <c r="D1" s="1593"/>
      <c r="E1" s="1135"/>
      <c r="F1" s="1593"/>
      <c r="G1" s="1136"/>
      <c r="H1" s="1137"/>
      <c r="I1" s="1137"/>
      <c r="J1" s="1137"/>
      <c r="K1" s="1137"/>
      <c r="L1" s="1137"/>
      <c r="M1" s="1502"/>
      <c r="N1" s="1137"/>
      <c r="O1" s="2916"/>
      <c r="P1" s="1137"/>
      <c r="Q1" s="1137"/>
      <c r="R1" s="2916"/>
      <c r="S1" s="1137"/>
      <c r="T1" s="1137"/>
      <c r="U1" s="1137"/>
      <c r="V1" s="1137"/>
      <c r="W1" s="1137"/>
      <c r="X1" s="1137"/>
      <c r="Y1" s="1137"/>
      <c r="Z1" s="1137"/>
      <c r="AA1" s="1137"/>
      <c r="AB1" s="1137"/>
      <c r="AC1" s="1137"/>
      <c r="AD1" s="1137"/>
      <c r="AE1" s="1137"/>
      <c r="AF1" s="1137"/>
      <c r="AG1" s="1137"/>
      <c r="AH1" s="1137"/>
      <c r="AI1" s="1137"/>
      <c r="AJ1" s="1137"/>
      <c r="AK1" s="1137"/>
      <c r="AL1" s="1137"/>
      <c r="AM1" s="1137"/>
      <c r="AN1" s="1137"/>
      <c r="AO1" s="1137"/>
      <c r="AP1" s="1138"/>
      <c r="AQ1" s="1138"/>
      <c r="AR1" s="1138"/>
      <c r="AS1" s="1138"/>
      <c r="AT1" s="1138"/>
      <c r="AU1" s="1138"/>
      <c r="AV1" s="1138"/>
      <c r="AW1" s="1332"/>
      <c r="AX1" s="1332"/>
      <c r="AY1" s="1332"/>
      <c r="AZ1" s="1332"/>
      <c r="BA1" s="1332"/>
      <c r="BB1" s="1332"/>
      <c r="BC1" s="1332"/>
      <c r="BD1" s="1332"/>
    </row>
    <row r="2" spans="1:87" s="861" customFormat="1">
      <c r="A2" s="864" t="str">
        <f>HYPERLINK("#'Budget Summary I'!A1:AL1", "Budget Summary I")</f>
        <v>Budget Summary I</v>
      </c>
      <c r="B2" s="864" t="str">
        <f>HYPERLINK("#'Budget Summary II'!A3:B5", "Budget Summary II")</f>
        <v>Budget Summary II</v>
      </c>
      <c r="C2" s="1333" t="str">
        <f>HYPERLINK("#'Summary of Abstracts'!A2", "Summary of Abst.")</f>
        <v>Summary of Abst.</v>
      </c>
      <c r="D2" s="963"/>
      <c r="E2" s="1135"/>
      <c r="F2" s="963"/>
      <c r="G2" s="1136"/>
      <c r="H2" s="1143"/>
      <c r="I2" s="1143"/>
      <c r="J2" s="1143"/>
      <c r="K2" s="1143"/>
      <c r="L2" s="1143"/>
      <c r="M2" s="1144"/>
      <c r="N2" s="1144"/>
      <c r="O2" s="2947"/>
      <c r="P2" s="1144"/>
      <c r="Q2" s="1145"/>
      <c r="R2" s="2917"/>
      <c r="S2" s="1145"/>
      <c r="T2" s="1145"/>
      <c r="U2" s="1145"/>
      <c r="V2" s="1145"/>
      <c r="W2" s="1145"/>
      <c r="X2" s="1145"/>
      <c r="Y2" s="1145"/>
      <c r="Z2" s="1145"/>
      <c r="AA2" s="1145"/>
      <c r="AB2" s="1145"/>
      <c r="AC2" s="1145"/>
      <c r="AD2" s="1145"/>
      <c r="AE2" s="1145"/>
      <c r="AF2" s="1145"/>
      <c r="AG2" s="1145"/>
      <c r="AH2" s="1145"/>
      <c r="AI2" s="1145"/>
      <c r="AJ2" s="1145"/>
      <c r="AK2" s="1145"/>
      <c r="AL2" s="1142"/>
      <c r="AM2" s="1142"/>
      <c r="AN2" s="1142"/>
      <c r="AO2" s="1142"/>
      <c r="AP2" s="1142"/>
      <c r="AQ2" s="1142"/>
      <c r="AR2" s="1142"/>
      <c r="AS2" s="1142"/>
      <c r="AT2" s="1142"/>
      <c r="AU2" s="1142"/>
      <c r="AV2" s="1142"/>
      <c r="AW2" s="1334"/>
      <c r="AX2" s="1334"/>
      <c r="AY2" s="1334"/>
      <c r="AZ2" s="1334"/>
      <c r="BA2" s="1334"/>
      <c r="BB2" s="1334"/>
      <c r="BC2" s="1334"/>
      <c r="BD2" s="1334"/>
    </row>
    <row r="3" spans="1:87" s="1594" customFormat="1" ht="15" customHeight="1">
      <c r="A3" s="3801" t="s">
        <v>49</v>
      </c>
      <c r="B3" s="3801"/>
      <c r="C3" s="3801" t="s">
        <v>50</v>
      </c>
      <c r="D3" s="3801" t="s">
        <v>51</v>
      </c>
      <c r="E3" s="3801" t="s">
        <v>52</v>
      </c>
      <c r="F3" s="3866" t="s">
        <v>4478</v>
      </c>
      <c r="G3" s="3866"/>
      <c r="H3" s="3866"/>
      <c r="I3" s="3866"/>
      <c r="J3" s="3866"/>
      <c r="K3" s="3866" t="s">
        <v>4484</v>
      </c>
      <c r="L3" s="3866"/>
      <c r="M3" s="3866"/>
      <c r="N3" s="3866"/>
      <c r="O3" s="3866"/>
      <c r="P3" s="3866"/>
      <c r="Q3" s="3801" t="s">
        <v>4514</v>
      </c>
      <c r="R3" s="3801"/>
    </row>
    <row r="4" spans="1:87" s="1284" customFormat="1" ht="45">
      <c r="A4" s="3801"/>
      <c r="B4" s="3801"/>
      <c r="C4" s="3801"/>
      <c r="D4" s="3801"/>
      <c r="E4" s="3801"/>
      <c r="F4" s="918" t="s">
        <v>4479</v>
      </c>
      <c r="G4" s="918" t="s">
        <v>4482</v>
      </c>
      <c r="H4" s="918" t="s">
        <v>4480</v>
      </c>
      <c r="I4" s="918" t="s">
        <v>4483</v>
      </c>
      <c r="J4" s="918" t="s">
        <v>2448</v>
      </c>
      <c r="K4" s="919" t="s">
        <v>53</v>
      </c>
      <c r="L4" s="919" t="s">
        <v>54</v>
      </c>
      <c r="M4" s="920" t="s">
        <v>55</v>
      </c>
      <c r="N4" s="919" t="s">
        <v>56</v>
      </c>
      <c r="O4" s="2821" t="s">
        <v>57</v>
      </c>
      <c r="P4" s="919" t="s">
        <v>5069</v>
      </c>
      <c r="Q4" s="1595" t="s">
        <v>2450</v>
      </c>
      <c r="R4" s="2887" t="s">
        <v>4515</v>
      </c>
      <c r="S4" s="3105" t="s">
        <v>4538</v>
      </c>
      <c r="BB4" s="3153" t="s">
        <v>5973</v>
      </c>
      <c r="BC4" s="3153" t="s">
        <v>5432</v>
      </c>
      <c r="BD4" s="3153" t="s">
        <v>5433</v>
      </c>
      <c r="BE4" s="3153" t="s">
        <v>5434</v>
      </c>
      <c r="BF4" s="3153" t="s">
        <v>5435</v>
      </c>
      <c r="BG4" s="3153" t="s">
        <v>5436</v>
      </c>
      <c r="BH4" s="3153" t="s">
        <v>5437</v>
      </c>
      <c r="BI4" s="3153" t="s">
        <v>5959</v>
      </c>
      <c r="BJ4" s="3153" t="s">
        <v>5438</v>
      </c>
      <c r="BK4" s="3153" t="s">
        <v>5439</v>
      </c>
      <c r="BL4" s="3153" t="s">
        <v>5960</v>
      </c>
      <c r="BM4" s="3153" t="s">
        <v>5440</v>
      </c>
      <c r="BN4" s="3153" t="s">
        <v>5441</v>
      </c>
      <c r="BO4" s="3153" t="s">
        <v>5961</v>
      </c>
      <c r="BP4" s="3153" t="s">
        <v>5974</v>
      </c>
      <c r="BQ4" s="3153" t="s">
        <v>5975</v>
      </c>
      <c r="BR4" s="3153" t="s">
        <v>5976</v>
      </c>
      <c r="BS4" s="3153" t="s">
        <v>5977</v>
      </c>
      <c r="BT4" s="3153" t="s">
        <v>5978</v>
      </c>
      <c r="BU4" s="3153" t="s">
        <v>5979</v>
      </c>
      <c r="BV4" s="3153" t="s">
        <v>5962</v>
      </c>
      <c r="BW4" s="3153" t="s">
        <v>5963</v>
      </c>
      <c r="BX4" s="3153" t="s">
        <v>5964</v>
      </c>
      <c r="BY4" s="3153" t="s">
        <v>5965</v>
      </c>
      <c r="BZ4" s="3153" t="s">
        <v>5966</v>
      </c>
      <c r="CA4" s="3153" t="s">
        <v>5967</v>
      </c>
      <c r="CB4" s="3153" t="s">
        <v>5968</v>
      </c>
      <c r="CC4" s="3153" t="s">
        <v>5969</v>
      </c>
      <c r="CD4" s="3153" t="s">
        <v>5970</v>
      </c>
      <c r="CE4" s="3153" t="s">
        <v>5980</v>
      </c>
      <c r="CF4" s="3153" t="s">
        <v>5971</v>
      </c>
      <c r="CG4" s="3153" t="s">
        <v>5981</v>
      </c>
      <c r="CH4" s="3153" t="s">
        <v>5982</v>
      </c>
      <c r="CI4" s="3153" t="s">
        <v>5972</v>
      </c>
    </row>
    <row r="5" spans="1:87" s="1289" customFormat="1">
      <c r="A5" s="3970"/>
      <c r="B5" s="3970"/>
      <c r="C5" s="3970"/>
      <c r="D5" s="1597"/>
      <c r="E5" s="1597"/>
      <c r="F5" s="1598"/>
      <c r="G5" s="1598"/>
      <c r="H5" s="1598"/>
      <c r="I5" s="1598"/>
      <c r="J5" s="1598"/>
      <c r="K5" s="1598"/>
      <c r="L5" s="1598"/>
      <c r="M5" s="1599"/>
      <c r="N5" s="1598"/>
      <c r="O5" s="3028"/>
      <c r="P5" s="1600"/>
      <c r="Q5" s="1609"/>
      <c r="R5" s="2927"/>
      <c r="S5" s="1289">
        <v>0</v>
      </c>
      <c r="BB5" s="3223"/>
      <c r="BC5" s="3223"/>
      <c r="BD5" s="3223"/>
      <c r="BE5" s="3223"/>
      <c r="BF5" s="3223"/>
      <c r="BG5" s="3223"/>
      <c r="BH5" s="3223"/>
      <c r="BI5" s="3223"/>
      <c r="BJ5" s="3223"/>
      <c r="BK5" s="3223"/>
      <c r="BL5" s="3223"/>
      <c r="BM5" s="3223"/>
      <c r="BN5" s="3223"/>
      <c r="BO5" s="3223"/>
      <c r="BP5" s="3223"/>
      <c r="BQ5" s="3223"/>
      <c r="BR5" s="3223"/>
      <c r="BS5" s="3223"/>
      <c r="BT5" s="3223"/>
      <c r="BU5" s="3223"/>
      <c r="BV5" s="3223"/>
      <c r="BW5" s="3223"/>
      <c r="BX5" s="3223"/>
      <c r="BY5" s="3223"/>
      <c r="BZ5" s="3223"/>
      <c r="CA5" s="3223"/>
      <c r="CB5" s="3223"/>
      <c r="CC5" s="3223"/>
      <c r="CD5" s="3223"/>
      <c r="CE5" s="3223"/>
      <c r="CF5" s="3223"/>
      <c r="CG5" s="3223"/>
      <c r="CH5" s="3223"/>
      <c r="CI5" s="3223"/>
    </row>
    <row r="6" spans="1:87" s="1281" customFormat="1">
      <c r="A6" s="1290">
        <v>12.1</v>
      </c>
      <c r="B6" s="1148"/>
      <c r="C6" s="1148" t="s">
        <v>1444</v>
      </c>
      <c r="D6" s="1660"/>
      <c r="E6" s="1660"/>
      <c r="F6" s="1148"/>
      <c r="G6" s="1148"/>
      <c r="H6" s="1148"/>
      <c r="I6" s="1148"/>
      <c r="J6" s="1148"/>
      <c r="K6" s="1148"/>
      <c r="L6" s="1148"/>
      <c r="M6" s="1453"/>
      <c r="N6" s="1148"/>
      <c r="O6" s="3036">
        <f>SUM(O7:O11)</f>
        <v>3.29352</v>
      </c>
      <c r="P6" s="1661"/>
      <c r="Q6" s="1602"/>
      <c r="R6" s="2872">
        <f>SUM(R7:R11)</f>
        <v>3.29</v>
      </c>
      <c r="BB6" s="3215"/>
      <c r="BC6" s="3215"/>
      <c r="BD6" s="3215"/>
      <c r="BE6" s="3215"/>
      <c r="BF6" s="3215"/>
      <c r="BG6" s="3215"/>
      <c r="BH6" s="3215"/>
      <c r="BI6" s="3215"/>
      <c r="BJ6" s="3215"/>
      <c r="BK6" s="3215"/>
      <c r="BL6" s="3215"/>
      <c r="BM6" s="3215"/>
      <c r="BN6" s="3215"/>
      <c r="BO6" s="3215"/>
      <c r="BP6" s="3215"/>
      <c r="BQ6" s="3215"/>
      <c r="BR6" s="3215"/>
      <c r="BS6" s="3215"/>
      <c r="BT6" s="3215"/>
      <c r="BU6" s="3215"/>
      <c r="BV6" s="3215"/>
      <c r="BW6" s="3215"/>
      <c r="BX6" s="3215"/>
      <c r="BY6" s="3215"/>
      <c r="BZ6" s="3215"/>
      <c r="CA6" s="3215"/>
      <c r="CB6" s="3215"/>
      <c r="CC6" s="3215"/>
      <c r="CD6" s="3215"/>
      <c r="CE6" s="3215"/>
      <c r="CF6" s="3215"/>
      <c r="CG6" s="3215"/>
      <c r="CH6" s="3215"/>
      <c r="CI6" s="3215">
        <f>SUM(BB6:CH6)</f>
        <v>0</v>
      </c>
    </row>
    <row r="7" spans="1:87">
      <c r="A7" s="1662" t="s">
        <v>1445</v>
      </c>
      <c r="B7" s="509" t="s">
        <v>764</v>
      </c>
      <c r="C7" s="509" t="s">
        <v>1446</v>
      </c>
      <c r="D7" s="1642" t="s">
        <v>85</v>
      </c>
      <c r="E7" s="1663" t="s">
        <v>113</v>
      </c>
      <c r="F7" s="2219">
        <v>0</v>
      </c>
      <c r="G7" s="452"/>
      <c r="H7" s="2219">
        <v>0</v>
      </c>
      <c r="I7" s="452"/>
      <c r="J7" s="452"/>
      <c r="K7" s="452"/>
      <c r="L7" s="277"/>
      <c r="M7" s="297">
        <f>L7/100000</f>
        <v>0</v>
      </c>
      <c r="N7" s="277"/>
      <c r="O7" s="3037">
        <f>M7*N7</f>
        <v>0</v>
      </c>
      <c r="P7" s="780"/>
      <c r="Q7" s="3032" t="str">
        <f>'Ab1. RMNCH+A'!Q97</f>
        <v>-</v>
      </c>
      <c r="R7" s="2959">
        <f>'Ab1. RMNCH+A'!R97</f>
        <v>0</v>
      </c>
      <c r="BB7" s="3222"/>
      <c r="BC7" s="3222"/>
      <c r="BD7" s="3222"/>
      <c r="BE7" s="3222"/>
      <c r="BF7" s="3222"/>
      <c r="BG7" s="3222"/>
      <c r="BH7" s="3222"/>
      <c r="BI7" s="3222"/>
      <c r="BJ7" s="3222"/>
      <c r="BK7" s="3222"/>
      <c r="BL7" s="3222"/>
      <c r="BM7" s="3222"/>
      <c r="BN7" s="3222"/>
      <c r="BO7" s="3222"/>
      <c r="BP7" s="3222"/>
      <c r="BQ7" s="3222"/>
      <c r="BR7" s="3222"/>
      <c r="BS7" s="3222"/>
      <c r="BT7" s="3222"/>
      <c r="BU7" s="3222"/>
      <c r="BV7" s="3222"/>
      <c r="BW7" s="3222"/>
      <c r="BX7" s="3222"/>
      <c r="BY7" s="3222"/>
      <c r="BZ7" s="3222"/>
      <c r="CA7" s="3222"/>
      <c r="CB7" s="3222"/>
      <c r="CC7" s="3222"/>
      <c r="CD7" s="3222"/>
      <c r="CE7" s="3222"/>
      <c r="CF7" s="3222"/>
      <c r="CG7" s="3222"/>
      <c r="CH7" s="3222"/>
      <c r="CI7" s="3215">
        <f t="shared" ref="CI7:CI70" si="0">SUM(BB7:CH7)</f>
        <v>0</v>
      </c>
    </row>
    <row r="8" spans="1:87" ht="30">
      <c r="A8" s="1662" t="s">
        <v>1447</v>
      </c>
      <c r="B8" s="509" t="s">
        <v>1448</v>
      </c>
      <c r="C8" s="509" t="s">
        <v>1449</v>
      </c>
      <c r="D8" s="1642" t="s">
        <v>85</v>
      </c>
      <c r="E8" s="1643" t="s">
        <v>113</v>
      </c>
      <c r="F8" s="2219">
        <v>0</v>
      </c>
      <c r="G8" s="452"/>
      <c r="H8" s="2219">
        <v>0</v>
      </c>
      <c r="I8" s="452"/>
      <c r="J8" s="452"/>
      <c r="K8" s="452"/>
      <c r="L8" s="277"/>
      <c r="M8" s="297">
        <f>L8/100000</f>
        <v>0</v>
      </c>
      <c r="N8" s="277"/>
      <c r="O8" s="3037">
        <f>M8*N8</f>
        <v>0</v>
      </c>
      <c r="P8" s="780"/>
      <c r="Q8" s="3032" t="str">
        <f>'Ab1. RMNCH+A'!Q98</f>
        <v>-</v>
      </c>
      <c r="R8" s="2959">
        <f>'Ab1. RMNCH+A'!R98</f>
        <v>0</v>
      </c>
      <c r="BB8" s="3222"/>
      <c r="BC8" s="3222"/>
      <c r="BD8" s="3222"/>
      <c r="BE8" s="3222"/>
      <c r="BF8" s="3222"/>
      <c r="BG8" s="3222"/>
      <c r="BH8" s="3222"/>
      <c r="BI8" s="3222"/>
      <c r="BJ8" s="3222"/>
      <c r="BK8" s="3222"/>
      <c r="BL8" s="3222"/>
      <c r="BM8" s="3222"/>
      <c r="BN8" s="3222"/>
      <c r="BO8" s="3222"/>
      <c r="BP8" s="3222"/>
      <c r="BQ8" s="3222"/>
      <c r="BR8" s="3222"/>
      <c r="BS8" s="3222"/>
      <c r="BT8" s="3222"/>
      <c r="BU8" s="3222"/>
      <c r="BV8" s="3222"/>
      <c r="BW8" s="3222"/>
      <c r="BX8" s="3222"/>
      <c r="BY8" s="3222"/>
      <c r="BZ8" s="3222"/>
      <c r="CA8" s="3222"/>
      <c r="CB8" s="3222"/>
      <c r="CC8" s="3222"/>
      <c r="CD8" s="3222"/>
      <c r="CE8" s="3222"/>
      <c r="CF8" s="3222"/>
      <c r="CG8" s="3222"/>
      <c r="CH8" s="3222"/>
      <c r="CI8" s="3215">
        <f t="shared" si="0"/>
        <v>0</v>
      </c>
    </row>
    <row r="9" spans="1:87" s="1674" customFormat="1" ht="51">
      <c r="A9" s="1665" t="s">
        <v>1450</v>
      </c>
      <c r="B9" s="521"/>
      <c r="C9" s="521" t="s">
        <v>3976</v>
      </c>
      <c r="D9" s="1737" t="s">
        <v>85</v>
      </c>
      <c r="E9" s="1677" t="s">
        <v>113</v>
      </c>
      <c r="F9" s="2223">
        <v>1</v>
      </c>
      <c r="G9" s="457"/>
      <c r="H9" s="2223">
        <v>40</v>
      </c>
      <c r="I9" s="2440">
        <v>30.69</v>
      </c>
      <c r="J9" s="2440">
        <v>9.31</v>
      </c>
      <c r="K9" s="457"/>
      <c r="L9" s="2440">
        <v>27446</v>
      </c>
      <c r="M9" s="298">
        <f>L9/100000</f>
        <v>0.27445999999999998</v>
      </c>
      <c r="N9" s="2440">
        <v>12</v>
      </c>
      <c r="O9" s="3038">
        <f>M9*N9</f>
        <v>3.29352</v>
      </c>
      <c r="P9" s="2441" t="s">
        <v>5280</v>
      </c>
      <c r="Q9" s="3039" t="str">
        <f>'Ab1. RMNCH+A'!Q99</f>
        <v>Recommended for approval as per state proposal.</v>
      </c>
      <c r="R9" s="3040">
        <f>'Ab1. RMNCH+A'!R99</f>
        <v>3.29</v>
      </c>
      <c r="BB9" s="3221">
        <v>3.29</v>
      </c>
      <c r="BC9" s="3221"/>
      <c r="BD9" s="3221"/>
      <c r="BE9" s="3221"/>
      <c r="BF9" s="3221"/>
      <c r="BG9" s="3221"/>
      <c r="BH9" s="3221"/>
      <c r="BI9" s="3221"/>
      <c r="BJ9" s="3221"/>
      <c r="BK9" s="3221"/>
      <c r="BL9" s="3221"/>
      <c r="BM9" s="3221"/>
      <c r="BN9" s="3221"/>
      <c r="BO9" s="3221"/>
      <c r="BP9" s="3221"/>
      <c r="BQ9" s="3221"/>
      <c r="BR9" s="3221"/>
      <c r="BS9" s="3221"/>
      <c r="BT9" s="3221"/>
      <c r="BU9" s="3221"/>
      <c r="BV9" s="3221"/>
      <c r="BW9" s="3221"/>
      <c r="BX9" s="3221"/>
      <c r="BY9" s="3221"/>
      <c r="BZ9" s="3221"/>
      <c r="CA9" s="3221"/>
      <c r="CB9" s="3221"/>
      <c r="CC9" s="3221"/>
      <c r="CD9" s="3221"/>
      <c r="CE9" s="3221"/>
      <c r="CF9" s="3221"/>
      <c r="CG9" s="3221"/>
      <c r="CH9" s="3221"/>
      <c r="CI9" s="3215">
        <f t="shared" si="0"/>
        <v>3.29</v>
      </c>
    </row>
    <row r="10" spans="1:87">
      <c r="A10" s="1662" t="s">
        <v>2374</v>
      </c>
      <c r="B10" s="521"/>
      <c r="C10" s="509" t="s">
        <v>2392</v>
      </c>
      <c r="D10" s="1642" t="s">
        <v>85</v>
      </c>
      <c r="E10" s="1643" t="s">
        <v>126</v>
      </c>
      <c r="F10" s="2219">
        <v>0</v>
      </c>
      <c r="G10" s="452"/>
      <c r="H10" s="2219">
        <v>0</v>
      </c>
      <c r="I10" s="452"/>
      <c r="J10" s="452"/>
      <c r="K10" s="452"/>
      <c r="L10" s="277"/>
      <c r="M10" s="297">
        <f>L10/100000</f>
        <v>0</v>
      </c>
      <c r="N10" s="277"/>
      <c r="O10" s="3037">
        <f>M10*N10</f>
        <v>0</v>
      </c>
      <c r="P10" s="781"/>
      <c r="Q10" s="3032" t="str">
        <f>'Ab1. RMNCH+A'!Q181</f>
        <v>-</v>
      </c>
      <c r="R10" s="2959">
        <f>'Ab1. RMNCH+A'!R181</f>
        <v>0</v>
      </c>
      <c r="BB10" s="3222"/>
      <c r="BC10" s="3222"/>
      <c r="BD10" s="3222"/>
      <c r="BE10" s="3222"/>
      <c r="BF10" s="3222"/>
      <c r="BG10" s="3222"/>
      <c r="BH10" s="3222"/>
      <c r="BI10" s="3222"/>
      <c r="BJ10" s="3222"/>
      <c r="BK10" s="3222"/>
      <c r="BL10" s="3222"/>
      <c r="BM10" s="3222"/>
      <c r="BN10" s="3222"/>
      <c r="BO10" s="3222"/>
      <c r="BP10" s="3222"/>
      <c r="BQ10" s="3222"/>
      <c r="BR10" s="3222"/>
      <c r="BS10" s="3222"/>
      <c r="BT10" s="3222"/>
      <c r="BU10" s="3222"/>
      <c r="BV10" s="3222"/>
      <c r="BW10" s="3222"/>
      <c r="BX10" s="3222"/>
      <c r="BY10" s="3222"/>
      <c r="BZ10" s="3222"/>
      <c r="CA10" s="3222"/>
      <c r="CB10" s="3222"/>
      <c r="CC10" s="3222"/>
      <c r="CD10" s="3222"/>
      <c r="CE10" s="3222"/>
      <c r="CF10" s="3222"/>
      <c r="CG10" s="3222"/>
      <c r="CH10" s="3222"/>
      <c r="CI10" s="3215">
        <f t="shared" si="0"/>
        <v>0</v>
      </c>
    </row>
    <row r="11" spans="1:87">
      <c r="A11" s="1662" t="s">
        <v>2391</v>
      </c>
      <c r="B11" s="521"/>
      <c r="C11" s="509" t="s">
        <v>1304</v>
      </c>
      <c r="D11" s="1642" t="s">
        <v>85</v>
      </c>
      <c r="E11" s="1643" t="s">
        <v>113</v>
      </c>
      <c r="F11" s="2219">
        <v>0</v>
      </c>
      <c r="G11" s="452"/>
      <c r="H11" s="2219">
        <v>0</v>
      </c>
      <c r="I11" s="452"/>
      <c r="J11" s="452"/>
      <c r="K11" s="452"/>
      <c r="L11" s="277"/>
      <c r="M11" s="297">
        <f>L11/100000</f>
        <v>0</v>
      </c>
      <c r="N11" s="277"/>
      <c r="O11" s="3037">
        <f>M11*N11</f>
        <v>0</v>
      </c>
      <c r="P11" s="780"/>
      <c r="Q11" s="3032" t="str">
        <f>'Ab1. RMNCH+A'!Q100</f>
        <v>-</v>
      </c>
      <c r="R11" s="2959">
        <f>'Ab1. RMNCH+A'!R100</f>
        <v>0</v>
      </c>
      <c r="BB11" s="3222"/>
      <c r="BC11" s="3222"/>
      <c r="BD11" s="3222"/>
      <c r="BE11" s="3222"/>
      <c r="BF11" s="3222"/>
      <c r="BG11" s="3222"/>
      <c r="BH11" s="3222"/>
      <c r="BI11" s="3222"/>
      <c r="BJ11" s="3222"/>
      <c r="BK11" s="3222"/>
      <c r="BL11" s="3222"/>
      <c r="BM11" s="3222"/>
      <c r="BN11" s="3222"/>
      <c r="BO11" s="3222"/>
      <c r="BP11" s="3222"/>
      <c r="BQ11" s="3222"/>
      <c r="BR11" s="3222"/>
      <c r="BS11" s="3222"/>
      <c r="BT11" s="3222"/>
      <c r="BU11" s="3222"/>
      <c r="BV11" s="3222"/>
      <c r="BW11" s="3222"/>
      <c r="BX11" s="3222"/>
      <c r="BY11" s="3222"/>
      <c r="BZ11" s="3222"/>
      <c r="CA11" s="3222"/>
      <c r="CB11" s="3222"/>
      <c r="CC11" s="3222"/>
      <c r="CD11" s="3222"/>
      <c r="CE11" s="3222"/>
      <c r="CF11" s="3222"/>
      <c r="CG11" s="3222"/>
      <c r="CH11" s="3222"/>
      <c r="CI11" s="3215">
        <f t="shared" si="0"/>
        <v>0</v>
      </c>
    </row>
    <row r="12" spans="1:87">
      <c r="A12" s="1290">
        <v>12.2</v>
      </c>
      <c r="B12" s="1148"/>
      <c r="C12" s="1148" t="s">
        <v>1451</v>
      </c>
      <c r="D12" s="1660"/>
      <c r="E12" s="1660"/>
      <c r="F12" s="267"/>
      <c r="G12" s="267"/>
      <c r="H12" s="267"/>
      <c r="I12" s="267"/>
      <c r="J12" s="267"/>
      <c r="K12" s="267"/>
      <c r="L12" s="267"/>
      <c r="M12" s="1453"/>
      <c r="N12" s="267"/>
      <c r="O12" s="3036">
        <f>SUM(O13:O26)</f>
        <v>71.504999999999995</v>
      </c>
      <c r="P12" s="779"/>
      <c r="Q12" s="1602"/>
      <c r="R12" s="2872">
        <f>SUM(R13:R26)</f>
        <v>67.91</v>
      </c>
      <c r="BB12" s="3222"/>
      <c r="BC12" s="3222"/>
      <c r="BD12" s="3222"/>
      <c r="BE12" s="3222"/>
      <c r="BF12" s="3222"/>
      <c r="BG12" s="3222"/>
      <c r="BH12" s="3222"/>
      <c r="BI12" s="3222"/>
      <c r="BJ12" s="3222"/>
      <c r="BK12" s="3222"/>
      <c r="BL12" s="3222"/>
      <c r="BM12" s="3222"/>
      <c r="BN12" s="3222"/>
      <c r="BO12" s="3222"/>
      <c r="BP12" s="3222"/>
      <c r="BQ12" s="3222"/>
      <c r="BR12" s="3222"/>
      <c r="BS12" s="3222"/>
      <c r="BT12" s="3222"/>
      <c r="BU12" s="3222"/>
      <c r="BV12" s="3222"/>
      <c r="BW12" s="3222"/>
      <c r="BX12" s="3222"/>
      <c r="BY12" s="3222"/>
      <c r="BZ12" s="3222"/>
      <c r="CA12" s="3222"/>
      <c r="CB12" s="3222"/>
      <c r="CC12" s="3222"/>
      <c r="CD12" s="3222"/>
      <c r="CE12" s="3222"/>
      <c r="CF12" s="3222"/>
      <c r="CG12" s="3222"/>
      <c r="CH12" s="3222"/>
      <c r="CI12" s="3215">
        <f t="shared" si="0"/>
        <v>0</v>
      </c>
    </row>
    <row r="13" spans="1:87" s="1674" customFormat="1" ht="51.75" customHeight="1">
      <c r="A13" s="1665" t="s">
        <v>1452</v>
      </c>
      <c r="B13" s="521" t="s">
        <v>824</v>
      </c>
      <c r="C13" s="521" t="s">
        <v>3268</v>
      </c>
      <c r="D13" s="1737" t="s">
        <v>85</v>
      </c>
      <c r="E13" s="1356" t="s">
        <v>126</v>
      </c>
      <c r="F13" s="2223">
        <v>0</v>
      </c>
      <c r="G13" s="457"/>
      <c r="H13" s="2223">
        <v>0</v>
      </c>
      <c r="I13" s="2584">
        <v>0</v>
      </c>
      <c r="J13" s="2584">
        <v>0</v>
      </c>
      <c r="K13" s="2584">
        <v>1</v>
      </c>
      <c r="L13" s="2504">
        <v>450</v>
      </c>
      <c r="M13" s="298">
        <f t="shared" ref="M13:M26" si="1">L13/100000</f>
        <v>4.4999999999999997E-3</v>
      </c>
      <c r="N13" s="2504">
        <v>350</v>
      </c>
      <c r="O13" s="3038">
        <f>M13*N13</f>
        <v>1.575</v>
      </c>
      <c r="P13" s="2585" t="s">
        <v>5380</v>
      </c>
      <c r="Q13" s="1268" t="str">
        <f>'Ab1. RMNCH+A'!Q182</f>
        <v>New Activity:Rs. 0.48 Lakh is recommended for approval for printing as per below details:a) 100 NBSU Participants Modules for Mos and SNs @ Rs. 450 per Module.b) 20 NBSU Facilitators Modules for Master Trainers @ Rs. 150 per Module.The State to book expenditure as per actuals.</v>
      </c>
      <c r="R13" s="2960">
        <f>'Ab1. RMNCH+A'!R182</f>
        <v>0.48</v>
      </c>
      <c r="BB13" s="3221">
        <v>0.48</v>
      </c>
      <c r="BC13" s="3221"/>
      <c r="BD13" s="3221"/>
      <c r="BE13" s="3221"/>
      <c r="BF13" s="3221"/>
      <c r="BG13" s="3221"/>
      <c r="BH13" s="3221"/>
      <c r="BI13" s="3221"/>
      <c r="BJ13" s="3221"/>
      <c r="BK13" s="3221"/>
      <c r="BL13" s="3221"/>
      <c r="BM13" s="3221"/>
      <c r="BN13" s="3221"/>
      <c r="BO13" s="3221"/>
      <c r="BP13" s="3221"/>
      <c r="BQ13" s="3221"/>
      <c r="BR13" s="3221"/>
      <c r="BS13" s="3221"/>
      <c r="BT13" s="3221"/>
      <c r="BU13" s="3221"/>
      <c r="BV13" s="3221"/>
      <c r="BW13" s="3221"/>
      <c r="BX13" s="3221"/>
      <c r="BY13" s="3221"/>
      <c r="BZ13" s="3221"/>
      <c r="CA13" s="3221"/>
      <c r="CB13" s="3221"/>
      <c r="CC13" s="3221"/>
      <c r="CD13" s="3221"/>
      <c r="CE13" s="3221"/>
      <c r="CF13" s="3221"/>
      <c r="CG13" s="3221"/>
      <c r="CH13" s="3221"/>
      <c r="CI13" s="3215">
        <f t="shared" si="0"/>
        <v>0.48</v>
      </c>
    </row>
    <row r="14" spans="1:87" s="1674" customFormat="1" ht="45">
      <c r="A14" s="1665" t="s">
        <v>1453</v>
      </c>
      <c r="B14" s="521" t="s">
        <v>827</v>
      </c>
      <c r="C14" s="1347" t="s">
        <v>4228</v>
      </c>
      <c r="D14" s="1737" t="s">
        <v>85</v>
      </c>
      <c r="E14" s="1356" t="s">
        <v>126</v>
      </c>
      <c r="F14" s="2223">
        <v>3000</v>
      </c>
      <c r="G14" s="457"/>
      <c r="H14" s="2223">
        <v>3</v>
      </c>
      <c r="I14" s="2584">
        <v>0.02</v>
      </c>
      <c r="J14" s="2584">
        <v>2.98</v>
      </c>
      <c r="K14" s="2584">
        <v>0</v>
      </c>
      <c r="L14" s="2504">
        <v>0</v>
      </c>
      <c r="M14" s="298">
        <f t="shared" si="1"/>
        <v>0</v>
      </c>
      <c r="N14" s="283"/>
      <c r="O14" s="3038">
        <f>M14*N14</f>
        <v>0</v>
      </c>
      <c r="P14" s="2586"/>
      <c r="Q14" s="1268" t="str">
        <f>'Ab1. RMNCH+A'!Q183</f>
        <v>The State to ensure implementation of SAANS Program as per GoI Guideline</v>
      </c>
      <c r="R14" s="2960">
        <f>'Ab1. RMNCH+A'!R183</f>
        <v>0</v>
      </c>
      <c r="BB14" s="3221"/>
      <c r="BC14" s="3221"/>
      <c r="BD14" s="3221"/>
      <c r="BE14" s="3221"/>
      <c r="BF14" s="3221"/>
      <c r="BG14" s="3221"/>
      <c r="BH14" s="3221"/>
      <c r="BI14" s="3221"/>
      <c r="BJ14" s="3221"/>
      <c r="BK14" s="3221"/>
      <c r="BL14" s="3221"/>
      <c r="BM14" s="3221"/>
      <c r="BN14" s="3221"/>
      <c r="BO14" s="3221"/>
      <c r="BP14" s="3221"/>
      <c r="BQ14" s="3221"/>
      <c r="BR14" s="3221"/>
      <c r="BS14" s="3221"/>
      <c r="BT14" s="3221"/>
      <c r="BU14" s="3221"/>
      <c r="BV14" s="3221"/>
      <c r="BW14" s="3221"/>
      <c r="BX14" s="3221"/>
      <c r="BY14" s="3221"/>
      <c r="BZ14" s="3221"/>
      <c r="CA14" s="3221"/>
      <c r="CB14" s="3221"/>
      <c r="CC14" s="3221"/>
      <c r="CD14" s="3221"/>
      <c r="CE14" s="3221"/>
      <c r="CF14" s="3221"/>
      <c r="CG14" s="3221"/>
      <c r="CH14" s="3221"/>
      <c r="CI14" s="3215">
        <f t="shared" si="0"/>
        <v>0</v>
      </c>
    </row>
    <row r="15" spans="1:87" s="1674" customFormat="1" ht="90">
      <c r="A15" s="1665" t="s">
        <v>1454</v>
      </c>
      <c r="B15" s="521" t="s">
        <v>127</v>
      </c>
      <c r="C15" s="1347" t="s">
        <v>3269</v>
      </c>
      <c r="D15" s="1737" t="s">
        <v>85</v>
      </c>
      <c r="E15" s="1356" t="s">
        <v>126</v>
      </c>
      <c r="F15" s="2223">
        <v>700000</v>
      </c>
      <c r="G15" s="457"/>
      <c r="H15" s="2223">
        <v>7</v>
      </c>
      <c r="I15" s="457"/>
      <c r="J15" s="457">
        <v>7</v>
      </c>
      <c r="K15" s="457"/>
      <c r="L15" s="283"/>
      <c r="M15" s="298">
        <f t="shared" si="1"/>
        <v>0</v>
      </c>
      <c r="N15" s="283"/>
      <c r="O15" s="3038">
        <f>M15*N15</f>
        <v>0</v>
      </c>
      <c r="P15" s="2586"/>
      <c r="Q15" s="1268" t="str">
        <f>'Ab1. RMNCH+A'!Q184</f>
        <v>The State to ensure availability pf IEC material, reporting formats and training materials under AMB</v>
      </c>
      <c r="R15" s="2960">
        <f>'Ab1. RMNCH+A'!R184</f>
        <v>0</v>
      </c>
      <c r="BB15" s="3221"/>
      <c r="BC15" s="3221"/>
      <c r="BD15" s="3221"/>
      <c r="BE15" s="3221"/>
      <c r="BF15" s="3221"/>
      <c r="BG15" s="3221"/>
      <c r="BH15" s="3221"/>
      <c r="BI15" s="3221"/>
      <c r="BJ15" s="3221"/>
      <c r="BK15" s="3221"/>
      <c r="BL15" s="3221"/>
      <c r="BM15" s="3221"/>
      <c r="BN15" s="3221"/>
      <c r="BO15" s="3221"/>
      <c r="BP15" s="3221"/>
      <c r="BQ15" s="3221"/>
      <c r="BR15" s="3221"/>
      <c r="BS15" s="3221"/>
      <c r="BT15" s="3221"/>
      <c r="BU15" s="3221"/>
      <c r="BV15" s="3221"/>
      <c r="BW15" s="3221"/>
      <c r="BX15" s="3221"/>
      <c r="BY15" s="3221"/>
      <c r="BZ15" s="3221"/>
      <c r="CA15" s="3221"/>
      <c r="CB15" s="3221"/>
      <c r="CC15" s="3221"/>
      <c r="CD15" s="3221"/>
      <c r="CE15" s="3221"/>
      <c r="CF15" s="3221"/>
      <c r="CG15" s="3221"/>
      <c r="CH15" s="3221"/>
      <c r="CI15" s="3215">
        <f t="shared" si="0"/>
        <v>0</v>
      </c>
    </row>
    <row r="16" spans="1:87">
      <c r="A16" s="1662" t="s">
        <v>1455</v>
      </c>
      <c r="B16" s="1360" t="s">
        <v>830</v>
      </c>
      <c r="C16" s="509" t="s">
        <v>1456</v>
      </c>
      <c r="D16" s="1642" t="s">
        <v>85</v>
      </c>
      <c r="E16" s="1663" t="s">
        <v>126</v>
      </c>
      <c r="F16" s="2219">
        <v>0</v>
      </c>
      <c r="G16" s="452"/>
      <c r="H16" s="2219">
        <v>0</v>
      </c>
      <c r="I16" s="452"/>
      <c r="J16" s="452"/>
      <c r="K16" s="452"/>
      <c r="L16" s="277"/>
      <c r="M16" s="297">
        <f t="shared" si="1"/>
        <v>0</v>
      </c>
      <c r="N16" s="277"/>
      <c r="O16" s="3037">
        <f>M16*N16</f>
        <v>0</v>
      </c>
      <c r="P16" s="780"/>
      <c r="Q16" s="3032" t="str">
        <f>'Ab1. RMNCH+A'!Q185</f>
        <v>-</v>
      </c>
      <c r="R16" s="2959">
        <f>'Ab1. RMNCH+A'!R185</f>
        <v>0</v>
      </c>
      <c r="BB16" s="3222"/>
      <c r="BC16" s="3222"/>
      <c r="BD16" s="3222"/>
      <c r="BE16" s="3222"/>
      <c r="BF16" s="3222"/>
      <c r="BG16" s="3222"/>
      <c r="BH16" s="3222"/>
      <c r="BI16" s="3222"/>
      <c r="BJ16" s="3222"/>
      <c r="BK16" s="3222"/>
      <c r="BL16" s="3222"/>
      <c r="BM16" s="3222"/>
      <c r="BN16" s="3222"/>
      <c r="BO16" s="3222"/>
      <c r="BP16" s="3222"/>
      <c r="BQ16" s="3222"/>
      <c r="BR16" s="3222"/>
      <c r="BS16" s="3222"/>
      <c r="BT16" s="3222"/>
      <c r="BU16" s="3222"/>
      <c r="BV16" s="3222"/>
      <c r="BW16" s="3222"/>
      <c r="BX16" s="3222"/>
      <c r="BY16" s="3222"/>
      <c r="BZ16" s="3222"/>
      <c r="CA16" s="3222"/>
      <c r="CB16" s="3222"/>
      <c r="CC16" s="3222"/>
      <c r="CD16" s="3222"/>
      <c r="CE16" s="3222"/>
      <c r="CF16" s="3222"/>
      <c r="CG16" s="3222"/>
      <c r="CH16" s="3222"/>
      <c r="CI16" s="3215">
        <f t="shared" si="0"/>
        <v>0</v>
      </c>
    </row>
    <row r="17" spans="1:87" ht="60">
      <c r="A17" s="1662" t="s">
        <v>1457</v>
      </c>
      <c r="B17" s="509" t="s">
        <v>1458</v>
      </c>
      <c r="C17" s="509" t="s">
        <v>1459</v>
      </c>
      <c r="D17" s="1642" t="s">
        <v>85</v>
      </c>
      <c r="E17" s="1643" t="s">
        <v>126</v>
      </c>
      <c r="F17" s="2219">
        <v>0</v>
      </c>
      <c r="G17" s="452"/>
      <c r="H17" s="2219">
        <v>0</v>
      </c>
      <c r="I17" s="452"/>
      <c r="J17" s="452"/>
      <c r="K17" s="452"/>
      <c r="L17" s="277"/>
      <c r="M17" s="297">
        <f t="shared" si="1"/>
        <v>0</v>
      </c>
      <c r="N17" s="277"/>
      <c r="O17" s="3037">
        <f>M17*N17</f>
        <v>0</v>
      </c>
      <c r="P17" s="759"/>
      <c r="Q17" s="3032" t="str">
        <f>'Ab1. RMNCH+A'!Q186</f>
        <v xml:space="preserve">The State to ensure availability of IFA compliance cards for children 5-9 years old. For children 6-59 months, revised MCP cards to be utilized. </v>
      </c>
      <c r="R17" s="2959">
        <f>'Ab1. RMNCH+A'!R186</f>
        <v>0</v>
      </c>
      <c r="BB17" s="3222"/>
      <c r="BC17" s="3222"/>
      <c r="BD17" s="3222"/>
      <c r="BE17" s="3222"/>
      <c r="BF17" s="3222"/>
      <c r="BG17" s="3222"/>
      <c r="BH17" s="3222"/>
      <c r="BI17" s="3222"/>
      <c r="BJ17" s="3222"/>
      <c r="BK17" s="3222"/>
      <c r="BL17" s="3222"/>
      <c r="BM17" s="3222"/>
      <c r="BN17" s="3222"/>
      <c r="BO17" s="3222"/>
      <c r="BP17" s="3222"/>
      <c r="BQ17" s="3222"/>
      <c r="BR17" s="3222"/>
      <c r="BS17" s="3222"/>
      <c r="BT17" s="3222"/>
      <c r="BU17" s="3222"/>
      <c r="BV17" s="3222"/>
      <c r="BW17" s="3222"/>
      <c r="BX17" s="3222"/>
      <c r="BY17" s="3222"/>
      <c r="BZ17" s="3222"/>
      <c r="CA17" s="3222"/>
      <c r="CB17" s="3222"/>
      <c r="CC17" s="3222"/>
      <c r="CD17" s="3222"/>
      <c r="CE17" s="3222"/>
      <c r="CF17" s="3222"/>
      <c r="CG17" s="3222"/>
      <c r="CH17" s="3222"/>
      <c r="CI17" s="3215">
        <f t="shared" si="0"/>
        <v>0</v>
      </c>
    </row>
    <row r="18" spans="1:87" s="1674" customFormat="1" ht="75">
      <c r="A18" s="1665" t="s">
        <v>1460</v>
      </c>
      <c r="B18" s="521" t="s">
        <v>1461</v>
      </c>
      <c r="C18" s="521" t="s">
        <v>1462</v>
      </c>
      <c r="D18" s="1737" t="s">
        <v>85</v>
      </c>
      <c r="E18" s="1677" t="s">
        <v>126</v>
      </c>
      <c r="F18" s="2223">
        <v>300000</v>
      </c>
      <c r="G18" s="457"/>
      <c r="H18" s="2387">
        <v>30</v>
      </c>
      <c r="I18" s="2388">
        <v>0.04</v>
      </c>
      <c r="J18" s="2584">
        <v>29.96</v>
      </c>
      <c r="K18" s="2584">
        <v>1</v>
      </c>
      <c r="L18" s="2504">
        <v>10</v>
      </c>
      <c r="M18" s="298">
        <f t="shared" si="1"/>
        <v>1E-4</v>
      </c>
      <c r="N18" s="2504">
        <v>300000</v>
      </c>
      <c r="O18" s="3038">
        <f t="shared" ref="O18:O23" si="2">M18*N18</f>
        <v>30</v>
      </c>
      <c r="P18" s="2585" t="s">
        <v>5381</v>
      </c>
      <c r="Q18" s="1268" t="str">
        <f>'Ab1. RMNCH+A'!Q187</f>
        <v>Continued activity: Rs. 30 Lakhs is recommended for approval for printing of Training material, IEC and reproting format @ Rs. 2.50 lakhs per District for 12 Districts for two rounds of NDD</v>
      </c>
      <c r="R18" s="2960">
        <f>'Ab1. RMNCH+A'!R187</f>
        <v>30</v>
      </c>
      <c r="BB18" s="3221">
        <v>30</v>
      </c>
      <c r="BC18" s="3221"/>
      <c r="BD18" s="3221"/>
      <c r="BE18" s="3221"/>
      <c r="BF18" s="3221"/>
      <c r="BG18" s="3221"/>
      <c r="BH18" s="3221"/>
      <c r="BI18" s="3221"/>
      <c r="BJ18" s="3221"/>
      <c r="BK18" s="3221"/>
      <c r="BL18" s="3221"/>
      <c r="BM18" s="3221"/>
      <c r="BN18" s="3221"/>
      <c r="BO18" s="3221"/>
      <c r="BP18" s="3221"/>
      <c r="BQ18" s="3221"/>
      <c r="BR18" s="3221"/>
      <c r="BS18" s="3221"/>
      <c r="BT18" s="3221"/>
      <c r="BU18" s="3221"/>
      <c r="BV18" s="3221"/>
      <c r="BW18" s="3221"/>
      <c r="BX18" s="3221"/>
      <c r="BY18" s="3221"/>
      <c r="BZ18" s="3221"/>
      <c r="CA18" s="3221"/>
      <c r="CB18" s="3221"/>
      <c r="CC18" s="3221"/>
      <c r="CD18" s="3221"/>
      <c r="CE18" s="3221"/>
      <c r="CF18" s="3221"/>
      <c r="CG18" s="3221"/>
      <c r="CH18" s="3221"/>
      <c r="CI18" s="3215">
        <f t="shared" si="0"/>
        <v>30</v>
      </c>
    </row>
    <row r="19" spans="1:87" s="1674" customFormat="1" ht="75">
      <c r="A19" s="1665" t="s">
        <v>1463</v>
      </c>
      <c r="B19" s="521" t="s">
        <v>1464</v>
      </c>
      <c r="C19" s="521" t="s">
        <v>1465</v>
      </c>
      <c r="D19" s="1737" t="s">
        <v>85</v>
      </c>
      <c r="E19" s="1677" t="s">
        <v>126</v>
      </c>
      <c r="F19" s="2223">
        <v>200000</v>
      </c>
      <c r="G19" s="457"/>
      <c r="H19" s="2223">
        <v>6</v>
      </c>
      <c r="I19" s="457"/>
      <c r="J19" s="2584">
        <v>6</v>
      </c>
      <c r="K19" s="2584">
        <v>1</v>
      </c>
      <c r="L19" s="2504">
        <v>3</v>
      </c>
      <c r="M19" s="298">
        <f t="shared" si="1"/>
        <v>3.0000000000000001E-5</v>
      </c>
      <c r="N19" s="2504">
        <v>200000</v>
      </c>
      <c r="O19" s="3038">
        <f t="shared" si="2"/>
        <v>6</v>
      </c>
      <c r="P19" s="2587" t="s">
        <v>5382</v>
      </c>
      <c r="Q19" s="1268" t="str">
        <f>'Ab1. RMNCH+A'!Q188</f>
        <v xml:space="preserve">Rs. 6.00 lakhs is recommended for approval for printing of IEC, training materials and monitoring format of IDCF @ Rs. 0.5 lakhs per District for 12 Districts as per IDCF guidelines. </v>
      </c>
      <c r="R19" s="2960">
        <f>'Ab1. RMNCH+A'!R188</f>
        <v>6</v>
      </c>
      <c r="BB19" s="3221">
        <v>6</v>
      </c>
      <c r="BC19" s="3221"/>
      <c r="BD19" s="3221"/>
      <c r="BE19" s="3221"/>
      <c r="BF19" s="3221"/>
      <c r="BG19" s="3221"/>
      <c r="BH19" s="3221"/>
      <c r="BI19" s="3221"/>
      <c r="BJ19" s="3221"/>
      <c r="BK19" s="3221"/>
      <c r="BL19" s="3221"/>
      <c r="BM19" s="3221"/>
      <c r="BN19" s="3221"/>
      <c r="BO19" s="3221"/>
      <c r="BP19" s="3221"/>
      <c r="BQ19" s="3221"/>
      <c r="BR19" s="3221"/>
      <c r="BS19" s="3221"/>
      <c r="BT19" s="3221"/>
      <c r="BU19" s="3221"/>
      <c r="BV19" s="3221"/>
      <c r="BW19" s="3221"/>
      <c r="BX19" s="3221"/>
      <c r="BY19" s="3221"/>
      <c r="BZ19" s="3221"/>
      <c r="CA19" s="3221"/>
      <c r="CB19" s="3221"/>
      <c r="CC19" s="3221"/>
      <c r="CD19" s="3221"/>
      <c r="CE19" s="3221"/>
      <c r="CF19" s="3221"/>
      <c r="CG19" s="3221"/>
      <c r="CH19" s="3221"/>
      <c r="CI19" s="3215">
        <f t="shared" si="0"/>
        <v>6</v>
      </c>
    </row>
    <row r="20" spans="1:87" ht="45">
      <c r="A20" s="1662" t="s">
        <v>1466</v>
      </c>
      <c r="B20" s="509" t="s">
        <v>1467</v>
      </c>
      <c r="C20" s="509" t="s">
        <v>1468</v>
      </c>
      <c r="D20" s="1642" t="s">
        <v>85</v>
      </c>
      <c r="E20" s="1643" t="s">
        <v>126</v>
      </c>
      <c r="F20" s="2220">
        <v>0</v>
      </c>
      <c r="G20" s="454"/>
      <c r="H20" s="2220">
        <v>0</v>
      </c>
      <c r="I20" s="454"/>
      <c r="J20" s="454"/>
      <c r="K20" s="452"/>
      <c r="L20" s="277"/>
      <c r="M20" s="297">
        <f t="shared" si="1"/>
        <v>0</v>
      </c>
      <c r="N20" s="277"/>
      <c r="O20" s="3037">
        <f t="shared" si="2"/>
        <v>0</v>
      </c>
      <c r="P20" s="780"/>
      <c r="Q20" s="3032" t="str">
        <f>'Ab1. RMNCH+A'!Q189</f>
        <v>-</v>
      </c>
      <c r="R20" s="2959">
        <f>'Ab1. RMNCH+A'!R189</f>
        <v>0</v>
      </c>
      <c r="BB20" s="3222"/>
      <c r="BC20" s="3222"/>
      <c r="BD20" s="3222"/>
      <c r="BE20" s="3222"/>
      <c r="BF20" s="3222"/>
      <c r="BG20" s="3222"/>
      <c r="BH20" s="3222"/>
      <c r="BI20" s="3222"/>
      <c r="BJ20" s="3222"/>
      <c r="BK20" s="3222"/>
      <c r="BL20" s="3222"/>
      <c r="BM20" s="3222"/>
      <c r="BN20" s="3222"/>
      <c r="BO20" s="3222"/>
      <c r="BP20" s="3222"/>
      <c r="BQ20" s="3222"/>
      <c r="BR20" s="3222"/>
      <c r="BS20" s="3222"/>
      <c r="BT20" s="3222"/>
      <c r="BU20" s="3222"/>
      <c r="BV20" s="3222"/>
      <c r="BW20" s="3222"/>
      <c r="BX20" s="3222"/>
      <c r="BY20" s="3222"/>
      <c r="BZ20" s="3222"/>
      <c r="CA20" s="3222"/>
      <c r="CB20" s="3222"/>
      <c r="CC20" s="3222"/>
      <c r="CD20" s="3222"/>
      <c r="CE20" s="3222"/>
      <c r="CF20" s="3222"/>
      <c r="CG20" s="3222"/>
      <c r="CH20" s="3222"/>
      <c r="CI20" s="3215">
        <f t="shared" si="0"/>
        <v>0</v>
      </c>
    </row>
    <row r="21" spans="1:87" s="1674" customFormat="1" ht="60">
      <c r="A21" s="1665" t="s">
        <v>1469</v>
      </c>
      <c r="B21" s="521"/>
      <c r="C21" s="521" t="s">
        <v>2379</v>
      </c>
      <c r="D21" s="1737" t="s">
        <v>85</v>
      </c>
      <c r="E21" s="1677" t="s">
        <v>126</v>
      </c>
      <c r="F21" s="2223">
        <v>25</v>
      </c>
      <c r="G21" s="457"/>
      <c r="H21" s="2223">
        <v>0.15</v>
      </c>
      <c r="I21" s="2584">
        <v>0.27</v>
      </c>
      <c r="J21" s="2584">
        <v>-0.12</v>
      </c>
      <c r="K21" s="2584">
        <v>1</v>
      </c>
      <c r="L21" s="2504">
        <v>600</v>
      </c>
      <c r="M21" s="298">
        <f t="shared" si="1"/>
        <v>6.0000000000000001E-3</v>
      </c>
      <c r="N21" s="2504">
        <v>30</v>
      </c>
      <c r="O21" s="3038">
        <f t="shared" si="2"/>
        <v>0.18</v>
      </c>
      <c r="P21" s="2585" t="s">
        <v>5383</v>
      </c>
      <c r="Q21" s="1268" t="str">
        <f>'Ab1. RMNCH+A'!Q190</f>
        <v>Ongoing Activity:Rs. 0.18 lakh is recommended for approval for printing of SNCU/KMC/NBSU register @ Rs. 600 each for 30 quantity as proposed by the State.</v>
      </c>
      <c r="R21" s="2960">
        <f>'Ab1. RMNCH+A'!R190</f>
        <v>0.18</v>
      </c>
      <c r="BB21" s="3221">
        <v>0.18</v>
      </c>
      <c r="BC21" s="3221"/>
      <c r="BD21" s="3221"/>
      <c r="BE21" s="3221"/>
      <c r="BF21" s="3221"/>
      <c r="BG21" s="3221"/>
      <c r="BH21" s="3221"/>
      <c r="BI21" s="3221"/>
      <c r="BJ21" s="3221"/>
      <c r="BK21" s="3221"/>
      <c r="BL21" s="3221"/>
      <c r="BM21" s="3221"/>
      <c r="BN21" s="3221"/>
      <c r="BO21" s="3221"/>
      <c r="BP21" s="3221"/>
      <c r="BQ21" s="3221"/>
      <c r="BR21" s="3221"/>
      <c r="BS21" s="3221"/>
      <c r="BT21" s="3221"/>
      <c r="BU21" s="3221"/>
      <c r="BV21" s="3221"/>
      <c r="BW21" s="3221"/>
      <c r="BX21" s="3221"/>
      <c r="BY21" s="3221"/>
      <c r="BZ21" s="3221"/>
      <c r="CA21" s="3221"/>
      <c r="CB21" s="3221"/>
      <c r="CC21" s="3221"/>
      <c r="CD21" s="3221"/>
      <c r="CE21" s="3221"/>
      <c r="CF21" s="3221"/>
      <c r="CG21" s="3221"/>
      <c r="CH21" s="3221"/>
      <c r="CI21" s="3215">
        <f t="shared" si="0"/>
        <v>0.18</v>
      </c>
    </row>
    <row r="22" spans="1:87" s="1674" customFormat="1" ht="90">
      <c r="A22" s="1665" t="s">
        <v>2375</v>
      </c>
      <c r="B22" s="521"/>
      <c r="C22" s="521" t="s">
        <v>2376</v>
      </c>
      <c r="D22" s="1737" t="s">
        <v>85</v>
      </c>
      <c r="E22" s="1677" t="s">
        <v>126</v>
      </c>
      <c r="F22" s="2223">
        <v>40000</v>
      </c>
      <c r="G22" s="457"/>
      <c r="H22" s="2387">
        <v>10</v>
      </c>
      <c r="I22" s="2588"/>
      <c r="J22" s="2584">
        <v>10</v>
      </c>
      <c r="K22" s="2589">
        <v>1</v>
      </c>
      <c r="L22" s="2504">
        <v>25</v>
      </c>
      <c r="M22" s="298">
        <f t="shared" si="1"/>
        <v>2.5000000000000001E-4</v>
      </c>
      <c r="N22" s="2504">
        <v>40000</v>
      </c>
      <c r="O22" s="3038">
        <f t="shared" si="2"/>
        <v>10</v>
      </c>
      <c r="P22" s="2640" t="s">
        <v>5470</v>
      </c>
      <c r="Q22" s="1268" t="str">
        <f>'Ab1. RMNCH+A'!Q191</f>
        <v>Ongoing Activity:Rs. 10 lakh is recommended for approval for printing of SNCU registers and formats @ Rs. 25 for 40000 quantity.The State to ensure printing following due norms and book the expenditure as per actual.</v>
      </c>
      <c r="R22" s="2960">
        <f>'Ab1. RMNCH+A'!R191</f>
        <v>10</v>
      </c>
      <c r="BB22" s="3221">
        <v>10</v>
      </c>
      <c r="BC22" s="3221"/>
      <c r="BD22" s="3221"/>
      <c r="BE22" s="3221"/>
      <c r="BF22" s="3221"/>
      <c r="BG22" s="3221"/>
      <c r="BH22" s="3221"/>
      <c r="BI22" s="3221"/>
      <c r="BJ22" s="3221"/>
      <c r="BK22" s="3221"/>
      <c r="BL22" s="3221"/>
      <c r="BM22" s="3221"/>
      <c r="BN22" s="3221"/>
      <c r="BO22" s="3221"/>
      <c r="BP22" s="3221"/>
      <c r="BQ22" s="3221"/>
      <c r="BR22" s="3221"/>
      <c r="BS22" s="3221"/>
      <c r="BT22" s="3221"/>
      <c r="BU22" s="3221"/>
      <c r="BV22" s="3221"/>
      <c r="BW22" s="3221"/>
      <c r="BX22" s="3221"/>
      <c r="BY22" s="3221"/>
      <c r="BZ22" s="3221"/>
      <c r="CA22" s="3221"/>
      <c r="CB22" s="3221"/>
      <c r="CC22" s="3221"/>
      <c r="CD22" s="3221"/>
      <c r="CE22" s="3221"/>
      <c r="CF22" s="3221"/>
      <c r="CG22" s="3221"/>
      <c r="CH22" s="3221"/>
      <c r="CI22" s="3215">
        <f t="shared" si="0"/>
        <v>10</v>
      </c>
    </row>
    <row r="23" spans="1:87" s="3382" customFormat="1" ht="60">
      <c r="A23" s="3371" t="s">
        <v>2378</v>
      </c>
      <c r="B23" s="3351"/>
      <c r="C23" s="3351" t="s">
        <v>2389</v>
      </c>
      <c r="D23" s="3372" t="s">
        <v>85</v>
      </c>
      <c r="E23" s="3373" t="s">
        <v>126</v>
      </c>
      <c r="F23" s="3374">
        <v>7964</v>
      </c>
      <c r="G23" s="3375"/>
      <c r="H23" s="3376">
        <v>15.93</v>
      </c>
      <c r="I23" s="3377">
        <v>5</v>
      </c>
      <c r="J23" s="3378"/>
      <c r="K23" s="3378">
        <v>1</v>
      </c>
      <c r="L23" s="3341">
        <v>200</v>
      </c>
      <c r="M23" s="3342">
        <f t="shared" si="1"/>
        <v>2E-3</v>
      </c>
      <c r="N23" s="3341">
        <v>8500</v>
      </c>
      <c r="O23" s="3379">
        <f t="shared" si="2"/>
        <v>17</v>
      </c>
      <c r="P23" s="3380" t="s">
        <v>5384</v>
      </c>
      <c r="Q23" s="3381" t="str">
        <f>'Ab1. RMNCH+A'!Q192</f>
        <v>Ongoing Activity:Rs. 17.00 lakhs is recommended for approval for printing of 8500 HBNC booklets @ Rs. 200/- per booklet</v>
      </c>
      <c r="R23" s="3040">
        <f>'Ab1. RMNCH+A'!R192</f>
        <v>17</v>
      </c>
      <c r="BB23" s="3383">
        <v>17</v>
      </c>
      <c r="BC23" s="3383"/>
      <c r="BD23" s="3383"/>
      <c r="BE23" s="3383"/>
      <c r="BF23" s="3383"/>
      <c r="BG23" s="3383"/>
      <c r="BH23" s="3383"/>
      <c r="BI23" s="3383"/>
      <c r="BJ23" s="3383"/>
      <c r="BK23" s="3383"/>
      <c r="BL23" s="3383"/>
      <c r="BM23" s="3383"/>
      <c r="BN23" s="3383"/>
      <c r="BO23" s="3383"/>
      <c r="BP23" s="3383"/>
      <c r="BQ23" s="3383"/>
      <c r="BR23" s="3383"/>
      <c r="BS23" s="3383"/>
      <c r="BT23" s="3383"/>
      <c r="BU23" s="3383"/>
      <c r="BV23" s="3383"/>
      <c r="BW23" s="3383"/>
      <c r="BX23" s="3383"/>
      <c r="BY23" s="3383"/>
      <c r="BZ23" s="3383"/>
      <c r="CA23" s="3383"/>
      <c r="CB23" s="3383"/>
      <c r="CC23" s="3383"/>
      <c r="CD23" s="3383"/>
      <c r="CE23" s="3383"/>
      <c r="CF23" s="3383"/>
      <c r="CG23" s="3383"/>
      <c r="CH23" s="3383"/>
      <c r="CI23" s="3363">
        <f t="shared" si="0"/>
        <v>17</v>
      </c>
    </row>
    <row r="24" spans="1:87" s="3382" customFormat="1" ht="90">
      <c r="A24" s="3371" t="s">
        <v>2388</v>
      </c>
      <c r="B24" s="3351"/>
      <c r="C24" s="3384" t="s">
        <v>3270</v>
      </c>
      <c r="D24" s="3372" t="s">
        <v>85</v>
      </c>
      <c r="E24" s="3385" t="s">
        <v>126</v>
      </c>
      <c r="F24" s="3374">
        <v>1863</v>
      </c>
      <c r="G24" s="3375"/>
      <c r="H24" s="3374">
        <v>4.66</v>
      </c>
      <c r="I24" s="3375"/>
      <c r="J24" s="3375"/>
      <c r="K24" s="3386">
        <v>1</v>
      </c>
      <c r="L24" s="3339">
        <v>250</v>
      </c>
      <c r="M24" s="3342">
        <f t="shared" si="1"/>
        <v>2.5000000000000001E-3</v>
      </c>
      <c r="N24" s="3339">
        <v>1700</v>
      </c>
      <c r="O24" s="3379">
        <f>M24*N24</f>
        <v>4.25</v>
      </c>
      <c r="P24" s="3387" t="s">
        <v>5150</v>
      </c>
      <c r="Q24" s="3381" t="str">
        <f>'Ab1. RMNCH+A'!Q193</f>
        <v>Ongoing Activity:Rs. 4.25 lakhs is recommended for approval for printing of 1700 copies of HBYC handbook @ Rs.125 and Job aid @ Rs. 125 for ASHAs in HBYC implementing Districts (Kullu &amp; Shimla)</v>
      </c>
      <c r="R24" s="3040">
        <f>'Ab1. RMNCH+A'!R193</f>
        <v>4.25</v>
      </c>
      <c r="BB24" s="3383">
        <v>4.25</v>
      </c>
      <c r="BC24" s="3383"/>
      <c r="BD24" s="3383"/>
      <c r="BE24" s="3383"/>
      <c r="BF24" s="3383"/>
      <c r="BG24" s="3383"/>
      <c r="BH24" s="3383"/>
      <c r="BI24" s="3383"/>
      <c r="BJ24" s="3383"/>
      <c r="BK24" s="3383"/>
      <c r="BL24" s="3383"/>
      <c r="BM24" s="3383"/>
      <c r="BN24" s="3383"/>
      <c r="BO24" s="3383"/>
      <c r="BP24" s="3383"/>
      <c r="BQ24" s="3383"/>
      <c r="BR24" s="3383"/>
      <c r="BS24" s="3383"/>
      <c r="BT24" s="3383"/>
      <c r="BU24" s="3383"/>
      <c r="BV24" s="3383"/>
      <c r="BW24" s="3383"/>
      <c r="BX24" s="3383"/>
      <c r="BY24" s="3383"/>
      <c r="BZ24" s="3383"/>
      <c r="CA24" s="3383"/>
      <c r="CB24" s="3383"/>
      <c r="CC24" s="3383"/>
      <c r="CD24" s="3383"/>
      <c r="CE24" s="3383"/>
      <c r="CF24" s="3383"/>
      <c r="CG24" s="3383"/>
      <c r="CH24" s="3383"/>
      <c r="CI24" s="3363">
        <f t="shared" si="0"/>
        <v>4.25</v>
      </c>
    </row>
    <row r="25" spans="1:87" s="1674" customFormat="1" ht="30">
      <c r="A25" s="1665" t="s">
        <v>3273</v>
      </c>
      <c r="B25" s="521"/>
      <c r="C25" s="2266" t="s">
        <v>4556</v>
      </c>
      <c r="D25" s="1737" t="s">
        <v>85</v>
      </c>
      <c r="E25" s="1356" t="s">
        <v>126</v>
      </c>
      <c r="F25" s="457"/>
      <c r="G25" s="457"/>
      <c r="H25" s="457"/>
      <c r="I25" s="457"/>
      <c r="J25" s="457"/>
      <c r="K25" s="2246"/>
      <c r="L25" s="283"/>
      <c r="M25" s="298">
        <f>L25/100000</f>
        <v>0</v>
      </c>
      <c r="N25" s="283"/>
      <c r="O25" s="3038">
        <f>M25*N25</f>
        <v>0</v>
      </c>
      <c r="P25" s="2267"/>
      <c r="Q25" s="1268" t="str">
        <f>'Ab1. RMNCH+A'!Q194</f>
        <v>-</v>
      </c>
      <c r="R25" s="2960">
        <f>'Ab1. RMNCH+A'!R194</f>
        <v>0</v>
      </c>
      <c r="BB25" s="3221"/>
      <c r="BC25" s="3221"/>
      <c r="BD25" s="3221"/>
      <c r="BE25" s="3221"/>
      <c r="BF25" s="3221"/>
      <c r="BG25" s="3221"/>
      <c r="BH25" s="3221"/>
      <c r="BI25" s="3221"/>
      <c r="BJ25" s="3221"/>
      <c r="BK25" s="3221"/>
      <c r="BL25" s="3221"/>
      <c r="BM25" s="3221"/>
      <c r="BN25" s="3221"/>
      <c r="BO25" s="3221"/>
      <c r="BP25" s="3221"/>
      <c r="BQ25" s="3221"/>
      <c r="BR25" s="3221"/>
      <c r="BS25" s="3221"/>
      <c r="BT25" s="3221"/>
      <c r="BU25" s="3221"/>
      <c r="BV25" s="3221"/>
      <c r="BW25" s="3221"/>
      <c r="BX25" s="3221"/>
      <c r="BY25" s="3221"/>
      <c r="BZ25" s="3221"/>
      <c r="CA25" s="3221"/>
      <c r="CB25" s="3221"/>
      <c r="CC25" s="3221"/>
      <c r="CD25" s="3221"/>
      <c r="CE25" s="3221"/>
      <c r="CF25" s="3221"/>
      <c r="CG25" s="3221"/>
      <c r="CH25" s="3221"/>
      <c r="CI25" s="3215">
        <f t="shared" si="0"/>
        <v>0</v>
      </c>
    </row>
    <row r="26" spans="1:87" s="1674" customFormat="1" ht="49.5" customHeight="1">
      <c r="A26" s="1665" t="s">
        <v>4555</v>
      </c>
      <c r="B26" s="1665" t="s">
        <v>2388</v>
      </c>
      <c r="C26" s="521" t="s">
        <v>1304</v>
      </c>
      <c r="D26" s="1737" t="s">
        <v>85</v>
      </c>
      <c r="E26" s="1677" t="s">
        <v>126</v>
      </c>
      <c r="F26" s="457"/>
      <c r="G26" s="457"/>
      <c r="H26" s="457"/>
      <c r="I26" s="457"/>
      <c r="J26" s="457"/>
      <c r="K26" s="457"/>
      <c r="L26" s="283">
        <v>25</v>
      </c>
      <c r="M26" s="298">
        <f t="shared" si="1"/>
        <v>2.5000000000000001E-4</v>
      </c>
      <c r="N26" s="283">
        <v>10000</v>
      </c>
      <c r="O26" s="3038">
        <f>M26*N26</f>
        <v>2.5</v>
      </c>
      <c r="P26" s="2641" t="s">
        <v>5471</v>
      </c>
      <c r="Q26" s="1268" t="str">
        <f>'Ab1. RMNCH+A'!Q195</f>
        <v>Not Recommended as separate budget. The State may book expenditure as per actuals and considering case load of NBSUs under FMR 1.3.1.2.</v>
      </c>
      <c r="R26" s="2960">
        <f>'Ab1. RMNCH+A'!R195</f>
        <v>0</v>
      </c>
      <c r="BB26" s="3221"/>
      <c r="BC26" s="3221"/>
      <c r="BD26" s="3221"/>
      <c r="BE26" s="3221"/>
      <c r="BF26" s="3221"/>
      <c r="BG26" s="3221"/>
      <c r="BH26" s="3221"/>
      <c r="BI26" s="3221"/>
      <c r="BJ26" s="3221"/>
      <c r="BK26" s="3221"/>
      <c r="BL26" s="3221"/>
      <c r="BM26" s="3221"/>
      <c r="BN26" s="3221"/>
      <c r="BO26" s="3221"/>
      <c r="BP26" s="3221"/>
      <c r="BQ26" s="3221"/>
      <c r="BR26" s="3221"/>
      <c r="BS26" s="3221"/>
      <c r="BT26" s="3221"/>
      <c r="BU26" s="3221"/>
      <c r="BV26" s="3221"/>
      <c r="BW26" s="3221"/>
      <c r="BX26" s="3221"/>
      <c r="BY26" s="3221"/>
      <c r="BZ26" s="3221"/>
      <c r="CA26" s="3221"/>
      <c r="CB26" s="3221"/>
      <c r="CC26" s="3221"/>
      <c r="CD26" s="3221"/>
      <c r="CE26" s="3221"/>
      <c r="CF26" s="3221"/>
      <c r="CG26" s="3221"/>
      <c r="CH26" s="3221"/>
      <c r="CI26" s="3215">
        <f t="shared" si="0"/>
        <v>0</v>
      </c>
    </row>
    <row r="27" spans="1:87">
      <c r="A27" s="1290">
        <v>12.3</v>
      </c>
      <c r="B27" s="1148"/>
      <c r="C27" s="1148" t="s">
        <v>1470</v>
      </c>
      <c r="D27" s="1660"/>
      <c r="E27" s="1660"/>
      <c r="F27" s="267"/>
      <c r="G27" s="267"/>
      <c r="H27" s="267"/>
      <c r="I27" s="267"/>
      <c r="J27" s="267"/>
      <c r="K27" s="267"/>
      <c r="L27" s="267"/>
      <c r="M27" s="1453"/>
      <c r="N27" s="267"/>
      <c r="O27" s="3036">
        <f>SUM(O28:O32)</f>
        <v>0</v>
      </c>
      <c r="P27" s="779"/>
      <c r="Q27" s="1602"/>
      <c r="R27" s="2872">
        <f>SUM(R28:R32)</f>
        <v>0</v>
      </c>
      <c r="BB27" s="3222"/>
      <c r="BC27" s="3222"/>
      <c r="BD27" s="3222"/>
      <c r="BE27" s="3222"/>
      <c r="BF27" s="3222"/>
      <c r="BG27" s="3222"/>
      <c r="BH27" s="3222"/>
      <c r="BI27" s="3222"/>
      <c r="BJ27" s="3222"/>
      <c r="BK27" s="3222"/>
      <c r="BL27" s="3222"/>
      <c r="BM27" s="3222"/>
      <c r="BN27" s="3222"/>
      <c r="BO27" s="3222"/>
      <c r="BP27" s="3222"/>
      <c r="BQ27" s="3222"/>
      <c r="BR27" s="3222"/>
      <c r="BS27" s="3222"/>
      <c r="BT27" s="3222"/>
      <c r="BU27" s="3222"/>
      <c r="BV27" s="3222"/>
      <c r="BW27" s="3222"/>
      <c r="BX27" s="3222"/>
      <c r="BY27" s="3222"/>
      <c r="BZ27" s="3222"/>
      <c r="CA27" s="3222"/>
      <c r="CB27" s="3222"/>
      <c r="CC27" s="3222"/>
      <c r="CD27" s="3222"/>
      <c r="CE27" s="3222"/>
      <c r="CF27" s="3222"/>
      <c r="CG27" s="3222"/>
      <c r="CH27" s="3222"/>
      <c r="CI27" s="3215">
        <f t="shared" si="0"/>
        <v>0</v>
      </c>
    </row>
    <row r="28" spans="1:87" ht="29.1" customHeight="1">
      <c r="A28" s="1662" t="s">
        <v>1471</v>
      </c>
      <c r="B28" s="509" t="s">
        <v>880</v>
      </c>
      <c r="C28" s="509" t="s">
        <v>1472</v>
      </c>
      <c r="D28" s="1642" t="s">
        <v>85</v>
      </c>
      <c r="E28" s="1663" t="s">
        <v>86</v>
      </c>
      <c r="F28" s="359">
        <v>0</v>
      </c>
      <c r="G28" s="359"/>
      <c r="H28" s="359">
        <v>0</v>
      </c>
      <c r="I28" s="359"/>
      <c r="J28" s="359"/>
      <c r="K28" s="452"/>
      <c r="L28" s="277"/>
      <c r="M28" s="297">
        <f>L28/100000</f>
        <v>0</v>
      </c>
      <c r="N28" s="277"/>
      <c r="O28" s="3037">
        <f>M28*N28</f>
        <v>0</v>
      </c>
      <c r="P28" s="780"/>
      <c r="Q28" s="3032" t="str">
        <f>'Ab1. RMNCH+A'!Q278</f>
        <v>--</v>
      </c>
      <c r="R28" s="2959">
        <f>'Ab1. RMNCH+A'!R278</f>
        <v>0</v>
      </c>
      <c r="BB28" s="3222"/>
      <c r="BC28" s="3222"/>
      <c r="BD28" s="3222"/>
      <c r="BE28" s="3222"/>
      <c r="BF28" s="3222"/>
      <c r="BG28" s="3222"/>
      <c r="BH28" s="3222"/>
      <c r="BI28" s="3222"/>
      <c r="BJ28" s="3222"/>
      <c r="BK28" s="3222"/>
      <c r="BL28" s="3222"/>
      <c r="BM28" s="3222"/>
      <c r="BN28" s="3222"/>
      <c r="BO28" s="3222"/>
      <c r="BP28" s="3222"/>
      <c r="BQ28" s="3222"/>
      <c r="BR28" s="3222"/>
      <c r="BS28" s="3222"/>
      <c r="BT28" s="3222"/>
      <c r="BU28" s="3222"/>
      <c r="BV28" s="3222"/>
      <c r="BW28" s="3222"/>
      <c r="BX28" s="3222"/>
      <c r="BY28" s="3222"/>
      <c r="BZ28" s="3222"/>
      <c r="CA28" s="3222"/>
      <c r="CB28" s="3222"/>
      <c r="CC28" s="3222"/>
      <c r="CD28" s="3222"/>
      <c r="CE28" s="3222"/>
      <c r="CF28" s="3222"/>
      <c r="CG28" s="3222"/>
      <c r="CH28" s="3222"/>
      <c r="CI28" s="3215">
        <f t="shared" si="0"/>
        <v>0</v>
      </c>
    </row>
    <row r="29" spans="1:87" ht="30">
      <c r="A29" s="1662" t="s">
        <v>1473</v>
      </c>
      <c r="B29" s="1360" t="s">
        <v>1354</v>
      </c>
      <c r="C29" s="509" t="s">
        <v>1474</v>
      </c>
      <c r="D29" s="1642" t="s">
        <v>85</v>
      </c>
      <c r="E29" s="1663" t="s">
        <v>86</v>
      </c>
      <c r="F29" s="2219">
        <v>0</v>
      </c>
      <c r="G29" s="452"/>
      <c r="H29" s="2219">
        <v>0</v>
      </c>
      <c r="I29" s="452"/>
      <c r="J29" s="452"/>
      <c r="K29" s="452"/>
      <c r="L29" s="277"/>
      <c r="M29" s="297">
        <f>L29/100000</f>
        <v>0</v>
      </c>
      <c r="N29" s="277"/>
      <c r="O29" s="3037">
        <f>M29*N29</f>
        <v>0</v>
      </c>
      <c r="P29" s="780"/>
      <c r="Q29" s="3032" t="str">
        <f>'Ab1. RMNCH+A'!Q279</f>
        <v>--</v>
      </c>
      <c r="R29" s="2959">
        <f>'Ab1. RMNCH+A'!R279</f>
        <v>0</v>
      </c>
      <c r="BB29" s="3222"/>
      <c r="BC29" s="3222"/>
      <c r="BD29" s="3222"/>
      <c r="BE29" s="3222"/>
      <c r="BF29" s="3222"/>
      <c r="BG29" s="3222"/>
      <c r="BH29" s="3222"/>
      <c r="BI29" s="3222"/>
      <c r="BJ29" s="3222"/>
      <c r="BK29" s="3222"/>
      <c r="BL29" s="3222"/>
      <c r="BM29" s="3222"/>
      <c r="BN29" s="3222"/>
      <c r="BO29" s="3222"/>
      <c r="BP29" s="3222"/>
      <c r="BQ29" s="3222"/>
      <c r="BR29" s="3222"/>
      <c r="BS29" s="3222"/>
      <c r="BT29" s="3222"/>
      <c r="BU29" s="3222"/>
      <c r="BV29" s="3222"/>
      <c r="BW29" s="3222"/>
      <c r="BX29" s="3222"/>
      <c r="BY29" s="3222"/>
      <c r="BZ29" s="3222"/>
      <c r="CA29" s="3222"/>
      <c r="CB29" s="3222"/>
      <c r="CC29" s="3222"/>
      <c r="CD29" s="3222"/>
      <c r="CE29" s="3222"/>
      <c r="CF29" s="3222"/>
      <c r="CG29" s="3222"/>
      <c r="CH29" s="3222"/>
      <c r="CI29" s="3215">
        <f t="shared" si="0"/>
        <v>0</v>
      </c>
    </row>
    <row r="30" spans="1:87">
      <c r="A30" s="1662" t="s">
        <v>1475</v>
      </c>
      <c r="B30" s="509" t="s">
        <v>1476</v>
      </c>
      <c r="C30" s="509" t="s">
        <v>1477</v>
      </c>
      <c r="D30" s="1642" t="s">
        <v>85</v>
      </c>
      <c r="E30" s="1663" t="s">
        <v>86</v>
      </c>
      <c r="F30" s="2219">
        <v>0</v>
      </c>
      <c r="G30" s="452"/>
      <c r="H30" s="2219">
        <v>0</v>
      </c>
      <c r="I30" s="452"/>
      <c r="J30" s="452"/>
      <c r="K30" s="452"/>
      <c r="L30" s="277"/>
      <c r="M30" s="297">
        <f>L30/100000</f>
        <v>0</v>
      </c>
      <c r="N30" s="277"/>
      <c r="O30" s="3037">
        <f>M30*N30</f>
        <v>0</v>
      </c>
      <c r="P30" s="781"/>
      <c r="Q30" s="3032" t="str">
        <f>'Ab1. RMNCH+A'!Q280</f>
        <v>--</v>
      </c>
      <c r="R30" s="2959">
        <f>'Ab1. RMNCH+A'!R280</f>
        <v>0</v>
      </c>
      <c r="BB30" s="3222"/>
      <c r="BC30" s="3222"/>
      <c r="BD30" s="3222"/>
      <c r="BE30" s="3222"/>
      <c r="BF30" s="3222"/>
      <c r="BG30" s="3222"/>
      <c r="BH30" s="3222"/>
      <c r="BI30" s="3222"/>
      <c r="BJ30" s="3222"/>
      <c r="BK30" s="3222"/>
      <c r="BL30" s="3222"/>
      <c r="BM30" s="3222"/>
      <c r="BN30" s="3222"/>
      <c r="BO30" s="3222"/>
      <c r="BP30" s="3222"/>
      <c r="BQ30" s="3222"/>
      <c r="BR30" s="3222"/>
      <c r="BS30" s="3222"/>
      <c r="BT30" s="3222"/>
      <c r="BU30" s="3222"/>
      <c r="BV30" s="3222"/>
      <c r="BW30" s="3222"/>
      <c r="BX30" s="3222"/>
      <c r="BY30" s="3222"/>
      <c r="BZ30" s="3222"/>
      <c r="CA30" s="3222"/>
      <c r="CB30" s="3222"/>
      <c r="CC30" s="3222"/>
      <c r="CD30" s="3222"/>
      <c r="CE30" s="3222"/>
      <c r="CF30" s="3222"/>
      <c r="CG30" s="3222"/>
      <c r="CH30" s="3222"/>
      <c r="CI30" s="3215">
        <f t="shared" si="0"/>
        <v>0</v>
      </c>
    </row>
    <row r="31" spans="1:87" ht="30">
      <c r="A31" s="1662" t="s">
        <v>1478</v>
      </c>
      <c r="B31" s="509" t="s">
        <v>1479</v>
      </c>
      <c r="C31" s="509" t="s">
        <v>1480</v>
      </c>
      <c r="D31" s="1642" t="s">
        <v>85</v>
      </c>
      <c r="E31" s="1643" t="s">
        <v>86</v>
      </c>
      <c r="F31" s="2219">
        <v>0</v>
      </c>
      <c r="G31" s="452"/>
      <c r="H31" s="2221">
        <v>0</v>
      </c>
      <c r="I31" s="453"/>
      <c r="J31" s="452"/>
      <c r="K31" s="452"/>
      <c r="L31" s="277"/>
      <c r="M31" s="297">
        <f>L31/100000</f>
        <v>0</v>
      </c>
      <c r="N31" s="277"/>
      <c r="O31" s="3037">
        <f>M31*N31</f>
        <v>0</v>
      </c>
      <c r="P31" s="780"/>
      <c r="Q31" s="3032" t="str">
        <f>'Ab1. RMNCH+A'!Q281</f>
        <v>--</v>
      </c>
      <c r="R31" s="2959">
        <f>'Ab1. RMNCH+A'!R281</f>
        <v>0</v>
      </c>
      <c r="BB31" s="3222"/>
      <c r="BC31" s="3222"/>
      <c r="BD31" s="3222"/>
      <c r="BE31" s="3222"/>
      <c r="BF31" s="3222"/>
      <c r="BG31" s="3222"/>
      <c r="BH31" s="3222"/>
      <c r="BI31" s="3222"/>
      <c r="BJ31" s="3222"/>
      <c r="BK31" s="3222"/>
      <c r="BL31" s="3222"/>
      <c r="BM31" s="3222"/>
      <c r="BN31" s="3222"/>
      <c r="BO31" s="3222"/>
      <c r="BP31" s="3222"/>
      <c r="BQ31" s="3222"/>
      <c r="BR31" s="3222"/>
      <c r="BS31" s="3222"/>
      <c r="BT31" s="3222"/>
      <c r="BU31" s="3222"/>
      <c r="BV31" s="3222"/>
      <c r="BW31" s="3222"/>
      <c r="BX31" s="3222"/>
      <c r="BY31" s="3222"/>
      <c r="BZ31" s="3222"/>
      <c r="CA31" s="3222"/>
      <c r="CB31" s="3222"/>
      <c r="CC31" s="3222"/>
      <c r="CD31" s="3222"/>
      <c r="CE31" s="3222"/>
      <c r="CF31" s="3222"/>
      <c r="CG31" s="3222"/>
      <c r="CH31" s="3222"/>
      <c r="CI31" s="3215">
        <f t="shared" si="0"/>
        <v>0</v>
      </c>
    </row>
    <row r="32" spans="1:87">
      <c r="A32" s="1662" t="s">
        <v>1481</v>
      </c>
      <c r="B32" s="521"/>
      <c r="C32" s="509" t="s">
        <v>1304</v>
      </c>
      <c r="D32" s="1642" t="s">
        <v>85</v>
      </c>
      <c r="E32" s="1643" t="s">
        <v>86</v>
      </c>
      <c r="F32" s="2219">
        <v>0</v>
      </c>
      <c r="G32" s="452"/>
      <c r="H32" s="2219">
        <v>0</v>
      </c>
      <c r="I32" s="452"/>
      <c r="J32" s="452"/>
      <c r="K32" s="452"/>
      <c r="L32" s="277"/>
      <c r="M32" s="297">
        <f>L32/100000</f>
        <v>0</v>
      </c>
      <c r="N32" s="277"/>
      <c r="O32" s="3037">
        <f>M32*N32</f>
        <v>0</v>
      </c>
      <c r="P32" s="780"/>
      <c r="Q32" s="3032" t="str">
        <f>'Ab1. RMNCH+A'!Q282</f>
        <v>--</v>
      </c>
      <c r="R32" s="2959">
        <f>'Ab1. RMNCH+A'!R282</f>
        <v>0</v>
      </c>
      <c r="BB32" s="3222"/>
      <c r="BC32" s="3222"/>
      <c r="BD32" s="3222"/>
      <c r="BE32" s="3222"/>
      <c r="BF32" s="3222"/>
      <c r="BG32" s="3222"/>
      <c r="BH32" s="3222"/>
      <c r="BI32" s="3222"/>
      <c r="BJ32" s="3222"/>
      <c r="BK32" s="3222"/>
      <c r="BL32" s="3222"/>
      <c r="BM32" s="3222"/>
      <c r="BN32" s="3222"/>
      <c r="BO32" s="3222"/>
      <c r="BP32" s="3222"/>
      <c r="BQ32" s="3222"/>
      <c r="BR32" s="3222"/>
      <c r="BS32" s="3222"/>
      <c r="BT32" s="3222"/>
      <c r="BU32" s="3222"/>
      <c r="BV32" s="3222"/>
      <c r="BW32" s="3222"/>
      <c r="BX32" s="3222"/>
      <c r="BY32" s="3222"/>
      <c r="BZ32" s="3222"/>
      <c r="CA32" s="3222"/>
      <c r="CB32" s="3222"/>
      <c r="CC32" s="3222"/>
      <c r="CD32" s="3222"/>
      <c r="CE32" s="3222"/>
      <c r="CF32" s="3222"/>
      <c r="CG32" s="3222"/>
      <c r="CH32" s="3222"/>
      <c r="CI32" s="3215">
        <f t="shared" si="0"/>
        <v>0</v>
      </c>
    </row>
    <row r="33" spans="1:87">
      <c r="A33" s="1290">
        <v>12.4</v>
      </c>
      <c r="B33" s="1148"/>
      <c r="C33" s="1148" t="s">
        <v>1482</v>
      </c>
      <c r="D33" s="1660"/>
      <c r="E33" s="1660"/>
      <c r="F33" s="267"/>
      <c r="G33" s="267"/>
      <c r="H33" s="267"/>
      <c r="I33" s="267"/>
      <c r="J33" s="267"/>
      <c r="K33" s="267"/>
      <c r="L33" s="267"/>
      <c r="M33" s="1453"/>
      <c r="N33" s="267"/>
      <c r="O33" s="3036">
        <f>SUM(O34:O39)</f>
        <v>15.415759999999999</v>
      </c>
      <c r="P33" s="779"/>
      <c r="Q33" s="1602"/>
      <c r="R33" s="2872">
        <f>SUM(R34:R39)</f>
        <v>15.42</v>
      </c>
      <c r="BB33" s="3222"/>
      <c r="BC33" s="3222"/>
      <c r="BD33" s="3222"/>
      <c r="BE33" s="3222"/>
      <c r="BF33" s="3222"/>
      <c r="BG33" s="3222"/>
      <c r="BH33" s="3222"/>
      <c r="BI33" s="3222"/>
      <c r="BJ33" s="3222"/>
      <c r="BK33" s="3222"/>
      <c r="BL33" s="3222"/>
      <c r="BM33" s="3222"/>
      <c r="BN33" s="3222"/>
      <c r="BO33" s="3222"/>
      <c r="BP33" s="3222"/>
      <c r="BQ33" s="3222"/>
      <c r="BR33" s="3222"/>
      <c r="BS33" s="3222"/>
      <c r="BT33" s="3222"/>
      <c r="BU33" s="3222"/>
      <c r="BV33" s="3222"/>
      <c r="BW33" s="3222"/>
      <c r="BX33" s="3222"/>
      <c r="BY33" s="3222"/>
      <c r="BZ33" s="3222"/>
      <c r="CA33" s="3222"/>
      <c r="CB33" s="3222"/>
      <c r="CC33" s="3222"/>
      <c r="CD33" s="3222"/>
      <c r="CE33" s="3222"/>
      <c r="CF33" s="3222"/>
      <c r="CG33" s="3222"/>
      <c r="CH33" s="3222"/>
      <c r="CI33" s="3215">
        <f t="shared" si="0"/>
        <v>0</v>
      </c>
    </row>
    <row r="34" spans="1:87" s="1674" customFormat="1" ht="57" customHeight="1">
      <c r="A34" s="1665" t="s">
        <v>1483</v>
      </c>
      <c r="B34" s="1676" t="s">
        <v>1484</v>
      </c>
      <c r="C34" s="1676" t="s">
        <v>1485</v>
      </c>
      <c r="D34" s="1737" t="s">
        <v>85</v>
      </c>
      <c r="E34" s="1356" t="s">
        <v>188</v>
      </c>
      <c r="F34" s="2304">
        <v>400</v>
      </c>
      <c r="G34" s="2304"/>
      <c r="H34" s="2304">
        <v>2</v>
      </c>
      <c r="I34" s="2304">
        <v>0</v>
      </c>
      <c r="J34" s="2304">
        <v>0</v>
      </c>
      <c r="K34" s="2487"/>
      <c r="L34" s="2477">
        <v>500</v>
      </c>
      <c r="M34" s="298">
        <f t="shared" ref="M34:M39" si="3">L34/100000</f>
        <v>5.0000000000000001E-3</v>
      </c>
      <c r="N34" s="2477">
        <v>2116</v>
      </c>
      <c r="O34" s="3038">
        <f t="shared" ref="O34:O39" si="4">M34*N34</f>
        <v>10.58</v>
      </c>
      <c r="P34" s="2488" t="s">
        <v>5252</v>
      </c>
      <c r="Q34" s="1268" t="str">
        <f>'Ab1. RMNCH+A'!Q335</f>
        <v xml:space="preserve">Continued activityRecommended for approval of Rs 10.58 lakhs for PE kit +diary for selected 2116 PEs @ Rs 500/set </v>
      </c>
      <c r="R34" s="2960">
        <f>'Ab1. RMNCH+A'!R335</f>
        <v>10.58</v>
      </c>
      <c r="BB34" s="3221">
        <v>10.58</v>
      </c>
      <c r="BC34" s="3221"/>
      <c r="BD34" s="3221"/>
      <c r="BE34" s="3221"/>
      <c r="BF34" s="3221"/>
      <c r="BG34" s="3221"/>
      <c r="BH34" s="3221"/>
      <c r="BI34" s="3221"/>
      <c r="BJ34" s="3221"/>
      <c r="BK34" s="3221"/>
      <c r="BL34" s="3221"/>
      <c r="BM34" s="3221"/>
      <c r="BN34" s="3221"/>
      <c r="BO34" s="3221"/>
      <c r="BP34" s="3221"/>
      <c r="BQ34" s="3221"/>
      <c r="BR34" s="3221"/>
      <c r="BS34" s="3221"/>
      <c r="BT34" s="3221"/>
      <c r="BU34" s="3221"/>
      <c r="BV34" s="3221"/>
      <c r="BW34" s="3221"/>
      <c r="BX34" s="3221"/>
      <c r="BY34" s="3221"/>
      <c r="BZ34" s="3221"/>
      <c r="CA34" s="3221"/>
      <c r="CB34" s="3221"/>
      <c r="CC34" s="3221"/>
      <c r="CD34" s="3221"/>
      <c r="CE34" s="3221"/>
      <c r="CF34" s="3221"/>
      <c r="CG34" s="3221"/>
      <c r="CH34" s="3221"/>
      <c r="CI34" s="3215">
        <f t="shared" si="0"/>
        <v>10.58</v>
      </c>
    </row>
    <row r="35" spans="1:87" ht="30">
      <c r="A35" s="1662" t="s">
        <v>1486</v>
      </c>
      <c r="B35" s="509" t="s">
        <v>1487</v>
      </c>
      <c r="C35" s="509" t="s">
        <v>2409</v>
      </c>
      <c r="D35" s="1642" t="s">
        <v>85</v>
      </c>
      <c r="E35" s="1643" t="s">
        <v>188</v>
      </c>
      <c r="F35" s="2219">
        <v>0</v>
      </c>
      <c r="G35" s="452"/>
      <c r="H35" s="2219">
        <v>0</v>
      </c>
      <c r="I35" s="452"/>
      <c r="J35" s="452"/>
      <c r="K35" s="452"/>
      <c r="L35" s="277"/>
      <c r="M35" s="297">
        <f t="shared" si="3"/>
        <v>0</v>
      </c>
      <c r="N35" s="277"/>
      <c r="O35" s="3037">
        <f t="shared" si="4"/>
        <v>0</v>
      </c>
      <c r="P35" s="759"/>
      <c r="Q35" s="3032" t="str">
        <f>'Ab1. RMNCH+A'!Q336</f>
        <v>--</v>
      </c>
      <c r="R35" s="2959">
        <f>'Ab1. RMNCH+A'!R336</f>
        <v>0</v>
      </c>
      <c r="BB35" s="3222"/>
      <c r="BC35" s="3222"/>
      <c r="BD35" s="3222"/>
      <c r="BE35" s="3222"/>
      <c r="BF35" s="3222"/>
      <c r="BG35" s="3222"/>
      <c r="BH35" s="3222"/>
      <c r="BI35" s="3222"/>
      <c r="BJ35" s="3222"/>
      <c r="BK35" s="3222"/>
      <c r="BL35" s="3222"/>
      <c r="BM35" s="3222"/>
      <c r="BN35" s="3222"/>
      <c r="BO35" s="3222"/>
      <c r="BP35" s="3222"/>
      <c r="BQ35" s="3222"/>
      <c r="BR35" s="3222"/>
      <c r="BS35" s="3222"/>
      <c r="BT35" s="3222"/>
      <c r="BU35" s="3222"/>
      <c r="BV35" s="3222"/>
      <c r="BW35" s="3222"/>
      <c r="BX35" s="3222"/>
      <c r="BY35" s="3222"/>
      <c r="BZ35" s="3222"/>
      <c r="CA35" s="3222"/>
      <c r="CB35" s="3222"/>
      <c r="CC35" s="3222"/>
      <c r="CD35" s="3222"/>
      <c r="CE35" s="3222"/>
      <c r="CF35" s="3222"/>
      <c r="CG35" s="3222"/>
      <c r="CH35" s="3222"/>
      <c r="CI35" s="3215">
        <f t="shared" si="0"/>
        <v>0</v>
      </c>
    </row>
    <row r="36" spans="1:87" s="1674" customFormat="1" ht="30">
      <c r="A36" s="1665" t="s">
        <v>1488</v>
      </c>
      <c r="B36" s="521" t="s">
        <v>1489</v>
      </c>
      <c r="C36" s="521" t="s">
        <v>2411</v>
      </c>
      <c r="D36" s="1737" t="s">
        <v>85</v>
      </c>
      <c r="E36" s="1677" t="s">
        <v>188</v>
      </c>
      <c r="F36" s="456">
        <v>36</v>
      </c>
      <c r="G36" s="456"/>
      <c r="H36" s="456">
        <v>7.0000000000000007E-2</v>
      </c>
      <c r="I36" s="456">
        <v>3.77</v>
      </c>
      <c r="J36" s="456">
        <v>-3.7</v>
      </c>
      <c r="K36" s="457"/>
      <c r="L36" s="283"/>
      <c r="M36" s="298">
        <f t="shared" si="3"/>
        <v>0</v>
      </c>
      <c r="N36" s="283"/>
      <c r="O36" s="3038">
        <f t="shared" si="4"/>
        <v>0</v>
      </c>
      <c r="P36" s="782"/>
      <c r="Q36" s="1268" t="str">
        <f>'Ab1. RMNCH+A'!Q337</f>
        <v>--</v>
      </c>
      <c r="R36" s="2960">
        <f>'Ab1. RMNCH+A'!R337</f>
        <v>0</v>
      </c>
      <c r="BB36" s="3221"/>
      <c r="BC36" s="3221"/>
      <c r="BD36" s="3221"/>
      <c r="BE36" s="3221"/>
      <c r="BF36" s="3221"/>
      <c r="BG36" s="3221"/>
      <c r="BH36" s="3221"/>
      <c r="BI36" s="3221"/>
      <c r="BJ36" s="3221"/>
      <c r="BK36" s="3221"/>
      <c r="BL36" s="3221"/>
      <c r="BM36" s="3221"/>
      <c r="BN36" s="3221"/>
      <c r="BO36" s="3221"/>
      <c r="BP36" s="3221"/>
      <c r="BQ36" s="3221"/>
      <c r="BR36" s="3221"/>
      <c r="BS36" s="3221"/>
      <c r="BT36" s="3221"/>
      <c r="BU36" s="3221"/>
      <c r="BV36" s="3221"/>
      <c r="BW36" s="3221"/>
      <c r="BX36" s="3221"/>
      <c r="BY36" s="3221"/>
      <c r="BZ36" s="3221"/>
      <c r="CA36" s="3221"/>
      <c r="CB36" s="3221"/>
      <c r="CC36" s="3221"/>
      <c r="CD36" s="3221"/>
      <c r="CE36" s="3221"/>
      <c r="CF36" s="3221"/>
      <c r="CG36" s="3221"/>
      <c r="CH36" s="3221"/>
      <c r="CI36" s="3215">
        <f t="shared" si="0"/>
        <v>0</v>
      </c>
    </row>
    <row r="37" spans="1:87" s="1674" customFormat="1" ht="75">
      <c r="A37" s="1665" t="s">
        <v>1490</v>
      </c>
      <c r="B37" s="521"/>
      <c r="C37" s="521" t="s">
        <v>3977</v>
      </c>
      <c r="D37" s="1737" t="s">
        <v>85</v>
      </c>
      <c r="E37" s="1677" t="s">
        <v>188</v>
      </c>
      <c r="F37" s="2223">
        <v>1</v>
      </c>
      <c r="G37" s="457"/>
      <c r="H37" s="2223">
        <v>1.79</v>
      </c>
      <c r="I37" s="2487">
        <v>0</v>
      </c>
      <c r="J37" s="2487">
        <v>1.79</v>
      </c>
      <c r="K37" s="2487"/>
      <c r="L37" s="2477">
        <v>483576</v>
      </c>
      <c r="M37" s="298">
        <f t="shared" si="3"/>
        <v>4.8357599999999996</v>
      </c>
      <c r="N37" s="283">
        <v>1</v>
      </c>
      <c r="O37" s="3038">
        <f t="shared" si="4"/>
        <v>4.8357599999999996</v>
      </c>
      <c r="P37" s="2488" t="s">
        <v>5253</v>
      </c>
      <c r="Q37" s="1268" t="str">
        <f>'Ab1. RMNCH+A'!Q338</f>
        <v>Continued activityRecommended for approval of Rs 4.84 lakhs for printing of AFHS training manuals for MOs, ANMs, Counsellors  and PE training manuals</v>
      </c>
      <c r="R37" s="2960">
        <f>'Ab1. RMNCH+A'!R338</f>
        <v>4.84</v>
      </c>
      <c r="BB37" s="3221">
        <v>4.84</v>
      </c>
      <c r="BC37" s="3221"/>
      <c r="BD37" s="3221"/>
      <c r="BE37" s="3221"/>
      <c r="BF37" s="3221"/>
      <c r="BG37" s="3221"/>
      <c r="BH37" s="3221"/>
      <c r="BI37" s="3221"/>
      <c r="BJ37" s="3221"/>
      <c r="BK37" s="3221"/>
      <c r="BL37" s="3221"/>
      <c r="BM37" s="3221"/>
      <c r="BN37" s="3221"/>
      <c r="BO37" s="3221"/>
      <c r="BP37" s="3221"/>
      <c r="BQ37" s="3221"/>
      <c r="BR37" s="3221"/>
      <c r="BS37" s="3221"/>
      <c r="BT37" s="3221"/>
      <c r="BU37" s="3221"/>
      <c r="BV37" s="3221"/>
      <c r="BW37" s="3221"/>
      <c r="BX37" s="3221"/>
      <c r="BY37" s="3221"/>
      <c r="BZ37" s="3221"/>
      <c r="CA37" s="3221"/>
      <c r="CB37" s="3221"/>
      <c r="CC37" s="3221"/>
      <c r="CD37" s="3221"/>
      <c r="CE37" s="3221"/>
      <c r="CF37" s="3221"/>
      <c r="CG37" s="3221"/>
      <c r="CH37" s="3221"/>
      <c r="CI37" s="3215">
        <f t="shared" si="0"/>
        <v>4.84</v>
      </c>
    </row>
    <row r="38" spans="1:87" ht="30">
      <c r="A38" s="1662" t="s">
        <v>2410</v>
      </c>
      <c r="B38" s="521"/>
      <c r="C38" s="509" t="s">
        <v>4008</v>
      </c>
      <c r="D38" s="1642" t="s">
        <v>85</v>
      </c>
      <c r="E38" s="1643" t="s">
        <v>188</v>
      </c>
      <c r="F38" s="2219">
        <v>0</v>
      </c>
      <c r="G38" s="452"/>
      <c r="H38" s="2219">
        <v>0</v>
      </c>
      <c r="I38" s="452"/>
      <c r="J38" s="452"/>
      <c r="K38" s="452"/>
      <c r="L38" s="277"/>
      <c r="M38" s="297">
        <f t="shared" si="3"/>
        <v>0</v>
      </c>
      <c r="N38" s="277"/>
      <c r="O38" s="3037">
        <f t="shared" si="4"/>
        <v>0</v>
      </c>
      <c r="P38" s="780"/>
      <c r="Q38" s="3032" t="str">
        <f>'Ab1. RMNCH+A'!Q339</f>
        <v>-</v>
      </c>
      <c r="R38" s="2959">
        <f>'Ab1. RMNCH+A'!R339</f>
        <v>0</v>
      </c>
      <c r="BB38" s="3222"/>
      <c r="BC38" s="3222"/>
      <c r="BD38" s="3222"/>
      <c r="BE38" s="3222"/>
      <c r="BF38" s="3222"/>
      <c r="BG38" s="3222"/>
      <c r="BH38" s="3222"/>
      <c r="BI38" s="3222"/>
      <c r="BJ38" s="3222"/>
      <c r="BK38" s="3222"/>
      <c r="BL38" s="3222"/>
      <c r="BM38" s="3222"/>
      <c r="BN38" s="3222"/>
      <c r="BO38" s="3222"/>
      <c r="BP38" s="3222"/>
      <c r="BQ38" s="3222"/>
      <c r="BR38" s="3222"/>
      <c r="BS38" s="3222"/>
      <c r="BT38" s="3222"/>
      <c r="BU38" s="3222"/>
      <c r="BV38" s="3222"/>
      <c r="BW38" s="3222"/>
      <c r="BX38" s="3222"/>
      <c r="BY38" s="3222"/>
      <c r="BZ38" s="3222"/>
      <c r="CA38" s="3222"/>
      <c r="CB38" s="3222"/>
      <c r="CC38" s="3222"/>
      <c r="CD38" s="3222"/>
      <c r="CE38" s="3222"/>
      <c r="CF38" s="3222"/>
      <c r="CG38" s="3222"/>
      <c r="CH38" s="3222"/>
      <c r="CI38" s="3215">
        <f t="shared" si="0"/>
        <v>0</v>
      </c>
    </row>
    <row r="39" spans="1:87">
      <c r="A39" s="1662" t="s">
        <v>4007</v>
      </c>
      <c r="B39" s="521"/>
      <c r="C39" s="509" t="s">
        <v>1304</v>
      </c>
      <c r="D39" s="1642" t="s">
        <v>85</v>
      </c>
      <c r="E39" s="1643" t="s">
        <v>188</v>
      </c>
      <c r="F39" s="455">
        <v>0</v>
      </c>
      <c r="G39" s="455"/>
      <c r="H39" s="455">
        <v>0</v>
      </c>
      <c r="I39" s="455"/>
      <c r="J39" s="455"/>
      <c r="K39" s="452"/>
      <c r="L39" s="277"/>
      <c r="M39" s="297">
        <f t="shared" si="3"/>
        <v>0</v>
      </c>
      <c r="N39" s="277"/>
      <c r="O39" s="3037">
        <f t="shared" si="4"/>
        <v>0</v>
      </c>
      <c r="P39" s="780"/>
      <c r="Q39" s="3032" t="str">
        <f>'Ab1. RMNCH+A'!Q340</f>
        <v>-</v>
      </c>
      <c r="R39" s="2959">
        <f>'Ab1. RMNCH+A'!R340</f>
        <v>0</v>
      </c>
      <c r="BB39" s="3222"/>
      <c r="BC39" s="3222"/>
      <c r="BD39" s="3222"/>
      <c r="BE39" s="3222"/>
      <c r="BF39" s="3222"/>
      <c r="BG39" s="3222"/>
      <c r="BH39" s="3222"/>
      <c r="BI39" s="3222"/>
      <c r="BJ39" s="3222"/>
      <c r="BK39" s="3222"/>
      <c r="BL39" s="3222"/>
      <c r="BM39" s="3222"/>
      <c r="BN39" s="3222"/>
      <c r="BO39" s="3222"/>
      <c r="BP39" s="3222"/>
      <c r="BQ39" s="3222"/>
      <c r="BR39" s="3222"/>
      <c r="BS39" s="3222"/>
      <c r="BT39" s="3222"/>
      <c r="BU39" s="3222"/>
      <c r="BV39" s="3222"/>
      <c r="BW39" s="3222"/>
      <c r="BX39" s="3222"/>
      <c r="BY39" s="3222"/>
      <c r="BZ39" s="3222"/>
      <c r="CA39" s="3222"/>
      <c r="CB39" s="3222"/>
      <c r="CC39" s="3222"/>
      <c r="CD39" s="3222"/>
      <c r="CE39" s="3222"/>
      <c r="CF39" s="3222"/>
      <c r="CG39" s="3222"/>
      <c r="CH39" s="3222"/>
      <c r="CI39" s="3215">
        <f t="shared" si="0"/>
        <v>0</v>
      </c>
    </row>
    <row r="40" spans="1:87">
      <c r="A40" s="1290">
        <v>12.5</v>
      </c>
      <c r="B40" s="1148"/>
      <c r="C40" s="1148" t="s">
        <v>1491</v>
      </c>
      <c r="D40" s="1660"/>
      <c r="E40" s="1660"/>
      <c r="F40" s="267"/>
      <c r="G40" s="267"/>
      <c r="H40" s="267"/>
      <c r="I40" s="267"/>
      <c r="J40" s="267"/>
      <c r="K40" s="267"/>
      <c r="L40" s="267"/>
      <c r="M40" s="1453"/>
      <c r="N40" s="267"/>
      <c r="O40" s="3036">
        <f>SUM(O41:O46)</f>
        <v>31.5</v>
      </c>
      <c r="P40" s="779"/>
      <c r="Q40" s="1602"/>
      <c r="R40" s="2872">
        <f>SUM(R41:R46)</f>
        <v>0</v>
      </c>
      <c r="BB40" s="3222"/>
      <c r="BC40" s="3222"/>
      <c r="BD40" s="3222"/>
      <c r="BE40" s="3222"/>
      <c r="BF40" s="3222"/>
      <c r="BG40" s="3222"/>
      <c r="BH40" s="3222"/>
      <c r="BI40" s="3222"/>
      <c r="BJ40" s="3222"/>
      <c r="BK40" s="3222"/>
      <c r="BL40" s="3222"/>
      <c r="BM40" s="3222"/>
      <c r="BN40" s="3222"/>
      <c r="BO40" s="3222"/>
      <c r="BP40" s="3222"/>
      <c r="BQ40" s="3222"/>
      <c r="BR40" s="3222"/>
      <c r="BS40" s="3222"/>
      <c r="BT40" s="3222"/>
      <c r="BU40" s="3222"/>
      <c r="BV40" s="3222"/>
      <c r="BW40" s="3222"/>
      <c r="BX40" s="3222"/>
      <c r="BY40" s="3222"/>
      <c r="BZ40" s="3222"/>
      <c r="CA40" s="3222"/>
      <c r="CB40" s="3222"/>
      <c r="CC40" s="3222"/>
      <c r="CD40" s="3222"/>
      <c r="CE40" s="3222"/>
      <c r="CF40" s="3222"/>
      <c r="CG40" s="3222"/>
      <c r="CH40" s="3222"/>
      <c r="CI40" s="3215">
        <f t="shared" si="0"/>
        <v>0</v>
      </c>
    </row>
    <row r="41" spans="1:87" ht="30">
      <c r="A41" s="1662" t="s">
        <v>1492</v>
      </c>
      <c r="B41" s="509" t="s">
        <v>1493</v>
      </c>
      <c r="C41" s="509" t="s">
        <v>1494</v>
      </c>
      <c r="D41" s="1642" t="s">
        <v>85</v>
      </c>
      <c r="E41" s="1663" t="s">
        <v>91</v>
      </c>
      <c r="F41" s="359">
        <v>750</v>
      </c>
      <c r="G41" s="359"/>
      <c r="H41" s="2221">
        <v>1.1299999999999999</v>
      </c>
      <c r="I41" s="453">
        <v>0.41</v>
      </c>
      <c r="J41" s="359">
        <v>0.72</v>
      </c>
      <c r="K41" s="454"/>
      <c r="L41" s="277"/>
      <c r="M41" s="297">
        <f t="shared" ref="M41:M46" si="5">L41/100000</f>
        <v>0</v>
      </c>
      <c r="N41" s="277"/>
      <c r="O41" s="3037">
        <f t="shared" ref="O41:O46" si="6">M41*N41</f>
        <v>0</v>
      </c>
      <c r="P41" s="759"/>
      <c r="Q41" s="3032" t="str">
        <f>'Ab1. RMNCH+A'!Q371</f>
        <v>-</v>
      </c>
      <c r="R41" s="2959">
        <f>'Ab1. RMNCH+A'!R371</f>
        <v>0</v>
      </c>
      <c r="BB41" s="3222"/>
      <c r="BC41" s="3222"/>
      <c r="BD41" s="3222"/>
      <c r="BE41" s="3222"/>
      <c r="BF41" s="3222"/>
      <c r="BG41" s="3222"/>
      <c r="BH41" s="3222"/>
      <c r="BI41" s="3222"/>
      <c r="BJ41" s="3222"/>
      <c r="BK41" s="3222"/>
      <c r="BL41" s="3222"/>
      <c r="BM41" s="3222"/>
      <c r="BN41" s="3222"/>
      <c r="BO41" s="3222"/>
      <c r="BP41" s="3222"/>
      <c r="BQ41" s="3222"/>
      <c r="BR41" s="3222"/>
      <c r="BS41" s="3222"/>
      <c r="BT41" s="3222"/>
      <c r="BU41" s="3222"/>
      <c r="BV41" s="3222"/>
      <c r="BW41" s="3222"/>
      <c r="BX41" s="3222"/>
      <c r="BY41" s="3222"/>
      <c r="BZ41" s="3222"/>
      <c r="CA41" s="3222"/>
      <c r="CB41" s="3222"/>
      <c r="CC41" s="3222"/>
      <c r="CD41" s="3222"/>
      <c r="CE41" s="3222"/>
      <c r="CF41" s="3222"/>
      <c r="CG41" s="3222"/>
      <c r="CH41" s="3222"/>
      <c r="CI41" s="3215">
        <f t="shared" si="0"/>
        <v>0</v>
      </c>
    </row>
    <row r="42" spans="1:87">
      <c r="A42" s="1662" t="s">
        <v>1495</v>
      </c>
      <c r="B42" s="509" t="s">
        <v>1496</v>
      </c>
      <c r="C42" s="1667" t="s">
        <v>1497</v>
      </c>
      <c r="D42" s="1642" t="s">
        <v>85</v>
      </c>
      <c r="E42" s="1663" t="s">
        <v>91</v>
      </c>
      <c r="F42" s="359">
        <v>0</v>
      </c>
      <c r="G42" s="359"/>
      <c r="H42" s="2221">
        <v>0</v>
      </c>
      <c r="I42" s="453"/>
      <c r="J42" s="359"/>
      <c r="K42" s="452"/>
      <c r="L42" s="277"/>
      <c r="M42" s="297">
        <f t="shared" si="5"/>
        <v>0</v>
      </c>
      <c r="N42" s="277"/>
      <c r="O42" s="3037">
        <f t="shared" si="6"/>
        <v>0</v>
      </c>
      <c r="P42" s="759"/>
      <c r="Q42" s="3032" t="str">
        <f>'Ab1. RMNCH+A'!Q372</f>
        <v>-</v>
      </c>
      <c r="R42" s="2959">
        <f>'Ab1. RMNCH+A'!R372</f>
        <v>0</v>
      </c>
      <c r="BB42" s="3222"/>
      <c r="BC42" s="3222"/>
      <c r="BD42" s="3222"/>
      <c r="BE42" s="3222"/>
      <c r="BF42" s="3222"/>
      <c r="BG42" s="3222"/>
      <c r="BH42" s="3222"/>
      <c r="BI42" s="3222"/>
      <c r="BJ42" s="3222"/>
      <c r="BK42" s="3222"/>
      <c r="BL42" s="3222"/>
      <c r="BM42" s="3222"/>
      <c r="BN42" s="3222"/>
      <c r="BO42" s="3222"/>
      <c r="BP42" s="3222"/>
      <c r="BQ42" s="3222"/>
      <c r="BR42" s="3222"/>
      <c r="BS42" s="3222"/>
      <c r="BT42" s="3222"/>
      <c r="BU42" s="3222"/>
      <c r="BV42" s="3222"/>
      <c r="BW42" s="3222"/>
      <c r="BX42" s="3222"/>
      <c r="BY42" s="3222"/>
      <c r="BZ42" s="3222"/>
      <c r="CA42" s="3222"/>
      <c r="CB42" s="3222"/>
      <c r="CC42" s="3222"/>
      <c r="CD42" s="3222"/>
      <c r="CE42" s="3222"/>
      <c r="CF42" s="3222"/>
      <c r="CG42" s="3222"/>
      <c r="CH42" s="3222"/>
      <c r="CI42" s="3215">
        <f t="shared" si="0"/>
        <v>0</v>
      </c>
    </row>
    <row r="43" spans="1:87">
      <c r="A43" s="1662" t="s">
        <v>1498</v>
      </c>
      <c r="B43" s="509" t="s">
        <v>1499</v>
      </c>
      <c r="C43" s="1667" t="s">
        <v>1500</v>
      </c>
      <c r="D43" s="1642" t="s">
        <v>85</v>
      </c>
      <c r="E43" s="1663" t="s">
        <v>91</v>
      </c>
      <c r="F43" s="359">
        <v>0</v>
      </c>
      <c r="G43" s="359"/>
      <c r="H43" s="2221">
        <v>0</v>
      </c>
      <c r="I43" s="453"/>
      <c r="J43" s="359"/>
      <c r="K43" s="452"/>
      <c r="L43" s="277"/>
      <c r="M43" s="297">
        <f t="shared" si="5"/>
        <v>0</v>
      </c>
      <c r="N43" s="277"/>
      <c r="O43" s="3037">
        <f t="shared" si="6"/>
        <v>0</v>
      </c>
      <c r="P43" s="759"/>
      <c r="Q43" s="3032" t="str">
        <f>'Ab1. RMNCH+A'!Q373</f>
        <v>-</v>
      </c>
      <c r="R43" s="2959">
        <f>'Ab1. RMNCH+A'!R373</f>
        <v>0</v>
      </c>
      <c r="BB43" s="3222"/>
      <c r="BC43" s="3222"/>
      <c r="BD43" s="3222"/>
      <c r="BE43" s="3222"/>
      <c r="BF43" s="3222"/>
      <c r="BG43" s="3222"/>
      <c r="BH43" s="3222"/>
      <c r="BI43" s="3222"/>
      <c r="BJ43" s="3222"/>
      <c r="BK43" s="3222"/>
      <c r="BL43" s="3222"/>
      <c r="BM43" s="3222"/>
      <c r="BN43" s="3222"/>
      <c r="BO43" s="3222"/>
      <c r="BP43" s="3222"/>
      <c r="BQ43" s="3222"/>
      <c r="BR43" s="3222"/>
      <c r="BS43" s="3222"/>
      <c r="BT43" s="3222"/>
      <c r="BU43" s="3222"/>
      <c r="BV43" s="3222"/>
      <c r="BW43" s="3222"/>
      <c r="BX43" s="3222"/>
      <c r="BY43" s="3222"/>
      <c r="BZ43" s="3222"/>
      <c r="CA43" s="3222"/>
      <c r="CB43" s="3222"/>
      <c r="CC43" s="3222"/>
      <c r="CD43" s="3222"/>
      <c r="CE43" s="3222"/>
      <c r="CF43" s="3222"/>
      <c r="CG43" s="3222"/>
      <c r="CH43" s="3222"/>
      <c r="CI43" s="3215">
        <f t="shared" si="0"/>
        <v>0</v>
      </c>
    </row>
    <row r="44" spans="1:87" s="1674" customFormat="1" ht="24.75" customHeight="1">
      <c r="A44" s="1665" t="s">
        <v>1501</v>
      </c>
      <c r="B44" s="521" t="s">
        <v>1502</v>
      </c>
      <c r="C44" s="521" t="s">
        <v>1503</v>
      </c>
      <c r="D44" s="1737" t="s">
        <v>85</v>
      </c>
      <c r="E44" s="1677" t="s">
        <v>91</v>
      </c>
      <c r="F44" s="456">
        <v>200000</v>
      </c>
      <c r="G44" s="456"/>
      <c r="H44" s="2387">
        <v>21.87</v>
      </c>
      <c r="I44" s="2388"/>
      <c r="J44" s="456">
        <v>21.87</v>
      </c>
      <c r="K44" s="2246"/>
      <c r="L44" s="283"/>
      <c r="M44" s="298">
        <f t="shared" si="5"/>
        <v>0</v>
      </c>
      <c r="N44" s="283"/>
      <c r="O44" s="3038">
        <f t="shared" si="6"/>
        <v>0</v>
      </c>
      <c r="P44" s="2586"/>
      <c r="Q44" s="1268" t="str">
        <f>'Ab1. RMNCH+A'!Q374</f>
        <v xml:space="preserve">The State to ensure that each child under RbSK is screened with age appropriate updated screening formats (with TB and Leprosy screening - Ref D. O. No. Z.25O2Ol1Ol2019-HBSK-CH dated  09th August 2019). </v>
      </c>
      <c r="R44" s="2960">
        <f>'Ab1. RMNCH+A'!R374</f>
        <v>0</v>
      </c>
      <c r="BB44" s="3221"/>
      <c r="BC44" s="3221"/>
      <c r="BD44" s="3221"/>
      <c r="BE44" s="3221"/>
      <c r="BF44" s="3221"/>
      <c r="BG44" s="3221"/>
      <c r="BH44" s="3221"/>
      <c r="BI44" s="3221"/>
      <c r="BJ44" s="3221"/>
      <c r="BK44" s="3221"/>
      <c r="BL44" s="3221"/>
      <c r="BM44" s="3221"/>
      <c r="BN44" s="3221"/>
      <c r="BO44" s="3221"/>
      <c r="BP44" s="3221"/>
      <c r="BQ44" s="3221"/>
      <c r="BR44" s="3221"/>
      <c r="BS44" s="3221"/>
      <c r="BT44" s="3221"/>
      <c r="BU44" s="3221"/>
      <c r="BV44" s="3221"/>
      <c r="BW44" s="3221"/>
      <c r="BX44" s="3221"/>
      <c r="BY44" s="3221"/>
      <c r="BZ44" s="3221"/>
      <c r="CA44" s="3221"/>
      <c r="CB44" s="3221"/>
      <c r="CC44" s="3221"/>
      <c r="CD44" s="3221"/>
      <c r="CE44" s="3221"/>
      <c r="CF44" s="3221"/>
      <c r="CG44" s="3221"/>
      <c r="CH44" s="3221"/>
      <c r="CI44" s="3215">
        <f t="shared" si="0"/>
        <v>0</v>
      </c>
    </row>
    <row r="45" spans="1:87" s="1674" customFormat="1" ht="45">
      <c r="A45" s="1665" t="s">
        <v>1504</v>
      </c>
      <c r="B45" s="521" t="s">
        <v>1505</v>
      </c>
      <c r="C45" s="521" t="s">
        <v>1506</v>
      </c>
      <c r="D45" s="1737" t="s">
        <v>85</v>
      </c>
      <c r="E45" s="1677" t="s">
        <v>91</v>
      </c>
      <c r="F45" s="456">
        <v>0</v>
      </c>
      <c r="G45" s="456"/>
      <c r="H45" s="2387">
        <v>0</v>
      </c>
      <c r="I45" s="2388"/>
      <c r="J45" s="456"/>
      <c r="K45" s="2246"/>
      <c r="L45" s="283"/>
      <c r="M45" s="298">
        <f t="shared" si="5"/>
        <v>0</v>
      </c>
      <c r="N45" s="283"/>
      <c r="O45" s="3038">
        <f t="shared" si="6"/>
        <v>0</v>
      </c>
      <c r="P45" s="2586"/>
      <c r="Q45" s="1268" t="str">
        <f>'Ab1. RMNCH+A'!Q375</f>
        <v xml:space="preserve">The State to ensure that each functional DEIC maintains details of children supported under RBSK as per guidelines. </v>
      </c>
      <c r="R45" s="2960">
        <f>'Ab1. RMNCH+A'!R375</f>
        <v>0</v>
      </c>
      <c r="BB45" s="3221"/>
      <c r="BC45" s="3221"/>
      <c r="BD45" s="3221"/>
      <c r="BE45" s="3221"/>
      <c r="BF45" s="3221"/>
      <c r="BG45" s="3221"/>
      <c r="BH45" s="3221"/>
      <c r="BI45" s="3221"/>
      <c r="BJ45" s="3221"/>
      <c r="BK45" s="3221"/>
      <c r="BL45" s="3221"/>
      <c r="BM45" s="3221"/>
      <c r="BN45" s="3221"/>
      <c r="BO45" s="3221"/>
      <c r="BP45" s="3221"/>
      <c r="BQ45" s="3221"/>
      <c r="BR45" s="3221"/>
      <c r="BS45" s="3221"/>
      <c r="BT45" s="3221"/>
      <c r="BU45" s="3221"/>
      <c r="BV45" s="3221"/>
      <c r="BW45" s="3221"/>
      <c r="BX45" s="3221"/>
      <c r="BY45" s="3221"/>
      <c r="BZ45" s="3221"/>
      <c r="CA45" s="3221"/>
      <c r="CB45" s="3221"/>
      <c r="CC45" s="3221"/>
      <c r="CD45" s="3221"/>
      <c r="CE45" s="3221"/>
      <c r="CF45" s="3221"/>
      <c r="CG45" s="3221"/>
      <c r="CH45" s="3221"/>
      <c r="CI45" s="3215">
        <f t="shared" si="0"/>
        <v>0</v>
      </c>
    </row>
    <row r="46" spans="1:87" s="1674" customFormat="1" ht="30" customHeight="1">
      <c r="A46" s="1665" t="s">
        <v>1507</v>
      </c>
      <c r="B46" s="521"/>
      <c r="C46" s="521" t="s">
        <v>1304</v>
      </c>
      <c r="D46" s="1737" t="s">
        <v>85</v>
      </c>
      <c r="E46" s="1677" t="s">
        <v>91</v>
      </c>
      <c r="F46" s="456">
        <v>0</v>
      </c>
      <c r="G46" s="456"/>
      <c r="H46" s="2387">
        <v>0</v>
      </c>
      <c r="I46" s="2388"/>
      <c r="J46" s="456"/>
      <c r="K46" s="2590">
        <v>1</v>
      </c>
      <c r="L46" s="2504">
        <v>90</v>
      </c>
      <c r="M46" s="298">
        <f t="shared" si="5"/>
        <v>8.9999999999999998E-4</v>
      </c>
      <c r="N46" s="2504">
        <v>35000</v>
      </c>
      <c r="O46" s="3038">
        <f t="shared" si="6"/>
        <v>31.5</v>
      </c>
      <c r="P46" s="2587" t="s">
        <v>5385</v>
      </c>
      <c r="Q46" s="1268" t="str">
        <f>'Ab1. RMNCH+A'!Q376</f>
        <v xml:space="preserve">Not recommended as First 1000 days booklet is for service pfroviders and not for individual women, who are to be encouraged to use the AYUSHMAN BHAVA APP available and supported by ECD call centre as per guidelines. </v>
      </c>
      <c r="R46" s="2960">
        <f>'Ab1. RMNCH+A'!R376</f>
        <v>0</v>
      </c>
      <c r="BB46" s="3221"/>
      <c r="BC46" s="3221"/>
      <c r="BD46" s="3221"/>
      <c r="BE46" s="3221"/>
      <c r="BF46" s="3221"/>
      <c r="BG46" s="3221"/>
      <c r="BH46" s="3221"/>
      <c r="BI46" s="3221"/>
      <c r="BJ46" s="3221"/>
      <c r="BK46" s="3221"/>
      <c r="BL46" s="3221"/>
      <c r="BM46" s="3221"/>
      <c r="BN46" s="3221"/>
      <c r="BO46" s="3221"/>
      <c r="BP46" s="3221"/>
      <c r="BQ46" s="3221"/>
      <c r="BR46" s="3221"/>
      <c r="BS46" s="3221"/>
      <c r="BT46" s="3221"/>
      <c r="BU46" s="3221"/>
      <c r="BV46" s="3221"/>
      <c r="BW46" s="3221"/>
      <c r="BX46" s="3221"/>
      <c r="BY46" s="3221"/>
      <c r="BZ46" s="3221"/>
      <c r="CA46" s="3221"/>
      <c r="CB46" s="3221"/>
      <c r="CC46" s="3221"/>
      <c r="CD46" s="3221"/>
      <c r="CE46" s="3221"/>
      <c r="CF46" s="3221"/>
      <c r="CG46" s="3221"/>
      <c r="CH46" s="3221"/>
      <c r="CI46" s="3215">
        <f t="shared" si="0"/>
        <v>0</v>
      </c>
    </row>
    <row r="47" spans="1:87">
      <c r="A47" s="1668">
        <v>12.1</v>
      </c>
      <c r="B47" s="1148"/>
      <c r="C47" s="1148" t="s">
        <v>1530</v>
      </c>
      <c r="D47" s="1660"/>
      <c r="E47" s="1660"/>
      <c r="F47" s="267"/>
      <c r="G47" s="267"/>
      <c r="H47" s="267"/>
      <c r="I47" s="267"/>
      <c r="J47" s="267"/>
      <c r="K47" s="267"/>
      <c r="L47" s="267"/>
      <c r="M47" s="1453"/>
      <c r="N47" s="267"/>
      <c r="O47" s="3036">
        <f>SUM(O48:O49)</f>
        <v>27.6</v>
      </c>
      <c r="P47" s="779"/>
      <c r="Q47" s="1602"/>
      <c r="R47" s="2872">
        <f>SUM(R48:R49)</f>
        <v>24</v>
      </c>
      <c r="BB47" s="3222"/>
      <c r="BC47" s="3222"/>
      <c r="BD47" s="3222"/>
      <c r="BE47" s="3222"/>
      <c r="BF47" s="3222"/>
      <c r="BG47" s="3222"/>
      <c r="BH47" s="3222"/>
      <c r="BI47" s="3222"/>
      <c r="BJ47" s="3222"/>
      <c r="BK47" s="3222"/>
      <c r="BL47" s="3222"/>
      <c r="BM47" s="3222"/>
      <c r="BN47" s="3222"/>
      <c r="BO47" s="3222"/>
      <c r="BP47" s="3222"/>
      <c r="BQ47" s="3222"/>
      <c r="BR47" s="3222"/>
      <c r="BS47" s="3222"/>
      <c r="BT47" s="3222"/>
      <c r="BU47" s="3222"/>
      <c r="BV47" s="3222"/>
      <c r="BW47" s="3222"/>
      <c r="BX47" s="3222"/>
      <c r="BY47" s="3222"/>
      <c r="BZ47" s="3222"/>
      <c r="CA47" s="3222"/>
      <c r="CB47" s="3222"/>
      <c r="CC47" s="3222"/>
      <c r="CD47" s="3222"/>
      <c r="CE47" s="3222"/>
      <c r="CF47" s="3222"/>
      <c r="CG47" s="3222"/>
      <c r="CH47" s="3222"/>
      <c r="CI47" s="3215">
        <f t="shared" si="0"/>
        <v>0</v>
      </c>
    </row>
    <row r="48" spans="1:87" s="3424" customFormat="1" ht="60">
      <c r="A48" s="3412" t="s">
        <v>1531</v>
      </c>
      <c r="B48" s="1559" t="s">
        <v>1532</v>
      </c>
      <c r="C48" s="1559" t="s">
        <v>1533</v>
      </c>
      <c r="D48" s="3413" t="s">
        <v>85</v>
      </c>
      <c r="E48" s="3414" t="s">
        <v>200</v>
      </c>
      <c r="F48" s="3415">
        <v>70000</v>
      </c>
      <c r="G48" s="3415"/>
      <c r="H48" s="3416">
        <v>14</v>
      </c>
      <c r="I48" s="3417">
        <v>27.22</v>
      </c>
      <c r="J48" s="3415">
        <v>-13.22</v>
      </c>
      <c r="K48" s="3418">
        <v>1</v>
      </c>
      <c r="L48" s="3419">
        <v>23</v>
      </c>
      <c r="M48" s="1700">
        <f>L48/100000</f>
        <v>2.3000000000000001E-4</v>
      </c>
      <c r="N48" s="3419">
        <v>120000</v>
      </c>
      <c r="O48" s="3420">
        <f>M48*N48</f>
        <v>27.6</v>
      </c>
      <c r="P48" s="3421" t="s">
        <v>5407</v>
      </c>
      <c r="Q48" s="3422" t="str">
        <f>'Ab1. RMNCH+A'!Q421</f>
        <v>Recommended for approval of Rs.24.00 lakhs  as per norms @ Rs 20/ beneficiary for 120000 beneficiaries (for budget purpose)</v>
      </c>
      <c r="R48" s="3423">
        <f>'Ab1. RMNCH+A'!R421</f>
        <v>24</v>
      </c>
      <c r="BB48" s="3425">
        <v>24</v>
      </c>
      <c r="BC48" s="3425"/>
      <c r="BD48" s="3425"/>
      <c r="BE48" s="3425"/>
      <c r="BF48" s="3425"/>
      <c r="BG48" s="3425"/>
      <c r="BH48" s="3425"/>
      <c r="BI48" s="3425"/>
      <c r="BJ48" s="3425"/>
      <c r="BK48" s="3425"/>
      <c r="BL48" s="3425"/>
      <c r="BM48" s="3425"/>
      <c r="BN48" s="3425"/>
      <c r="BO48" s="3425"/>
      <c r="BP48" s="3425"/>
      <c r="BQ48" s="3425"/>
      <c r="BR48" s="3425"/>
      <c r="BS48" s="3425"/>
      <c r="BT48" s="3425"/>
      <c r="BU48" s="3425"/>
      <c r="BV48" s="3425"/>
      <c r="BW48" s="3425"/>
      <c r="BX48" s="3425"/>
      <c r="BY48" s="3425"/>
      <c r="BZ48" s="3425"/>
      <c r="CA48" s="3425"/>
      <c r="CB48" s="3425"/>
      <c r="CC48" s="3425"/>
      <c r="CD48" s="3425"/>
      <c r="CE48" s="3425"/>
      <c r="CF48" s="3425"/>
      <c r="CG48" s="3425"/>
      <c r="CH48" s="3425"/>
      <c r="CI48" s="3426">
        <f t="shared" si="0"/>
        <v>24</v>
      </c>
    </row>
    <row r="49" spans="1:87">
      <c r="A49" s="1662" t="s">
        <v>1534</v>
      </c>
      <c r="B49" s="521"/>
      <c r="C49" s="509" t="s">
        <v>1304</v>
      </c>
      <c r="D49" s="1642" t="s">
        <v>85</v>
      </c>
      <c r="E49" s="1643" t="s">
        <v>200</v>
      </c>
      <c r="F49" s="455">
        <v>0</v>
      </c>
      <c r="G49" s="455"/>
      <c r="H49" s="455">
        <v>0</v>
      </c>
      <c r="I49" s="455"/>
      <c r="J49" s="455"/>
      <c r="K49" s="452"/>
      <c r="L49" s="277"/>
      <c r="M49" s="297">
        <f>L49/100000</f>
        <v>0</v>
      </c>
      <c r="N49" s="277"/>
      <c r="O49" s="3037">
        <f>M49*N49</f>
        <v>0</v>
      </c>
      <c r="P49" s="780"/>
      <c r="Q49" s="3032" t="str">
        <f>'Ab1. RMNCH+A'!Q422</f>
        <v>--</v>
      </c>
      <c r="R49" s="2959">
        <f>'Ab1. RMNCH+A'!R422</f>
        <v>0</v>
      </c>
      <c r="BB49" s="3222"/>
      <c r="BC49" s="3222"/>
      <c r="BD49" s="3222"/>
      <c r="BE49" s="3222"/>
      <c r="BF49" s="3222"/>
      <c r="BG49" s="3222"/>
      <c r="BH49" s="3222"/>
      <c r="BI49" s="3222"/>
      <c r="BJ49" s="3222"/>
      <c r="BK49" s="3222"/>
      <c r="BL49" s="3222"/>
      <c r="BM49" s="3222"/>
      <c r="BN49" s="3222"/>
      <c r="BO49" s="3222"/>
      <c r="BP49" s="3222"/>
      <c r="BQ49" s="3222"/>
      <c r="BR49" s="3222"/>
      <c r="BS49" s="3222"/>
      <c r="BT49" s="3222"/>
      <c r="BU49" s="3222"/>
      <c r="BV49" s="3222"/>
      <c r="BW49" s="3222"/>
      <c r="BX49" s="3222"/>
      <c r="BY49" s="3222"/>
      <c r="BZ49" s="3222"/>
      <c r="CA49" s="3222"/>
      <c r="CB49" s="3222"/>
      <c r="CC49" s="3222"/>
      <c r="CD49" s="3222"/>
      <c r="CE49" s="3222"/>
      <c r="CF49" s="3222"/>
      <c r="CG49" s="3222"/>
      <c r="CH49" s="3222"/>
      <c r="CI49" s="3215">
        <f t="shared" si="0"/>
        <v>0</v>
      </c>
    </row>
    <row r="50" spans="1:87">
      <c r="A50" s="1290">
        <v>12.18</v>
      </c>
      <c r="B50" s="1148"/>
      <c r="C50" s="1148" t="s">
        <v>4908</v>
      </c>
      <c r="D50" s="1660"/>
      <c r="E50" s="1660"/>
      <c r="F50" s="267"/>
      <c r="G50" s="267"/>
      <c r="H50" s="267"/>
      <c r="I50" s="267"/>
      <c r="J50" s="267"/>
      <c r="K50" s="267"/>
      <c r="L50" s="267"/>
      <c r="M50" s="1453"/>
      <c r="N50" s="267"/>
      <c r="O50" s="3036">
        <f>SUM(O51:O53)</f>
        <v>0</v>
      </c>
      <c r="P50" s="779"/>
      <c r="Q50" s="1602"/>
      <c r="R50" s="2872">
        <f>SUM(R51:R53)</f>
        <v>0</v>
      </c>
      <c r="BB50" s="3222"/>
      <c r="BC50" s="3222"/>
      <c r="BD50" s="3222"/>
      <c r="BE50" s="3222"/>
      <c r="BF50" s="3222"/>
      <c r="BG50" s="3222"/>
      <c r="BH50" s="3222"/>
      <c r="BI50" s="3222"/>
      <c r="BJ50" s="3222"/>
      <c r="BK50" s="3222"/>
      <c r="BL50" s="3222"/>
      <c r="BM50" s="3222"/>
      <c r="BN50" s="3222"/>
      <c r="BO50" s="3222"/>
      <c r="BP50" s="3222"/>
      <c r="BQ50" s="3222"/>
      <c r="BR50" s="3222"/>
      <c r="BS50" s="3222"/>
      <c r="BT50" s="3222"/>
      <c r="BU50" s="3222"/>
      <c r="BV50" s="3222"/>
      <c r="BW50" s="3222"/>
      <c r="BX50" s="3222"/>
      <c r="BY50" s="3222"/>
      <c r="BZ50" s="3222"/>
      <c r="CA50" s="3222"/>
      <c r="CB50" s="3222"/>
      <c r="CC50" s="3222"/>
      <c r="CD50" s="3222"/>
      <c r="CE50" s="3222"/>
      <c r="CF50" s="3222"/>
      <c r="CG50" s="3222"/>
      <c r="CH50" s="3222"/>
      <c r="CI50" s="3215">
        <f t="shared" si="0"/>
        <v>0</v>
      </c>
    </row>
    <row r="51" spans="1:87">
      <c r="A51" s="1662" t="s">
        <v>3707</v>
      </c>
      <c r="B51" s="509" t="s">
        <v>1566</v>
      </c>
      <c r="C51" s="575" t="s">
        <v>3271</v>
      </c>
      <c r="D51" s="1642" t="s">
        <v>85</v>
      </c>
      <c r="E51" s="1618" t="s">
        <v>1128</v>
      </c>
      <c r="F51" s="455">
        <v>0</v>
      </c>
      <c r="G51" s="455"/>
      <c r="H51" s="455">
        <v>0</v>
      </c>
      <c r="I51" s="455"/>
      <c r="J51" s="455"/>
      <c r="K51" s="452"/>
      <c r="L51" s="277"/>
      <c r="M51" s="297">
        <f>L51/100000</f>
        <v>0</v>
      </c>
      <c r="N51" s="277"/>
      <c r="O51" s="3037">
        <f>M51*N51</f>
        <v>0</v>
      </c>
      <c r="P51" s="780"/>
      <c r="Q51" s="3032" t="str">
        <f>'Ab1. RMNCH+A'!Q387</f>
        <v>-</v>
      </c>
      <c r="R51" s="2959">
        <f>'Ab1. RMNCH+A'!R387</f>
        <v>0</v>
      </c>
      <c r="BB51" s="3222"/>
      <c r="BC51" s="3222"/>
      <c r="BD51" s="3222"/>
      <c r="BE51" s="3222"/>
      <c r="BF51" s="3222"/>
      <c r="BG51" s="3222"/>
      <c r="BH51" s="3222"/>
      <c r="BI51" s="3222"/>
      <c r="BJ51" s="3222"/>
      <c r="BK51" s="3222"/>
      <c r="BL51" s="3222"/>
      <c r="BM51" s="3222"/>
      <c r="BN51" s="3222"/>
      <c r="BO51" s="3222"/>
      <c r="BP51" s="3222"/>
      <c r="BQ51" s="3222"/>
      <c r="BR51" s="3222"/>
      <c r="BS51" s="3222"/>
      <c r="BT51" s="3222"/>
      <c r="BU51" s="3222"/>
      <c r="BV51" s="3222"/>
      <c r="BW51" s="3222"/>
      <c r="BX51" s="3222"/>
      <c r="BY51" s="3222"/>
      <c r="BZ51" s="3222"/>
      <c r="CA51" s="3222"/>
      <c r="CB51" s="3222"/>
      <c r="CC51" s="3222"/>
      <c r="CD51" s="3222"/>
      <c r="CE51" s="3222"/>
      <c r="CF51" s="3222"/>
      <c r="CG51" s="3222"/>
      <c r="CH51" s="3222"/>
      <c r="CI51" s="3215">
        <f t="shared" si="0"/>
        <v>0</v>
      </c>
    </row>
    <row r="52" spans="1:87">
      <c r="A52" s="1662" t="s">
        <v>3708</v>
      </c>
      <c r="B52" s="1665"/>
      <c r="C52" s="1669" t="s">
        <v>3272</v>
      </c>
      <c r="D52" s="1642" t="s">
        <v>85</v>
      </c>
      <c r="E52" s="1618" t="s">
        <v>1128</v>
      </c>
      <c r="F52" s="2219">
        <v>0</v>
      </c>
      <c r="G52" s="452"/>
      <c r="H52" s="2219">
        <v>0</v>
      </c>
      <c r="I52" s="452"/>
      <c r="J52" s="452"/>
      <c r="K52" s="452"/>
      <c r="L52" s="277"/>
      <c r="M52" s="297">
        <f>L52/100000</f>
        <v>0</v>
      </c>
      <c r="N52" s="277"/>
      <c r="O52" s="3037">
        <f>M52*N52</f>
        <v>0</v>
      </c>
      <c r="P52" s="780"/>
      <c r="Q52" s="3032" t="str">
        <f>'Ab1. RMNCH+A'!Q388</f>
        <v>-</v>
      </c>
      <c r="R52" s="2959">
        <f>'Ab1. RMNCH+A'!R388</f>
        <v>0</v>
      </c>
      <c r="BB52" s="3222"/>
      <c r="BC52" s="3222"/>
      <c r="BD52" s="3222"/>
      <c r="BE52" s="3222"/>
      <c r="BF52" s="3222"/>
      <c r="BG52" s="3222"/>
      <c r="BH52" s="3222"/>
      <c r="BI52" s="3222"/>
      <c r="BJ52" s="3222"/>
      <c r="BK52" s="3222"/>
      <c r="BL52" s="3222"/>
      <c r="BM52" s="3222"/>
      <c r="BN52" s="3222"/>
      <c r="BO52" s="3222"/>
      <c r="BP52" s="3222"/>
      <c r="BQ52" s="3222"/>
      <c r="BR52" s="3222"/>
      <c r="BS52" s="3222"/>
      <c r="BT52" s="3222"/>
      <c r="BU52" s="3222"/>
      <c r="BV52" s="3222"/>
      <c r="BW52" s="3222"/>
      <c r="BX52" s="3222"/>
      <c r="BY52" s="3222"/>
      <c r="BZ52" s="3222"/>
      <c r="CA52" s="3222"/>
      <c r="CB52" s="3222"/>
      <c r="CC52" s="3222"/>
      <c r="CD52" s="3222"/>
      <c r="CE52" s="3222"/>
      <c r="CF52" s="3222"/>
      <c r="CG52" s="3222"/>
      <c r="CH52" s="3222"/>
      <c r="CI52" s="3215">
        <f t="shared" si="0"/>
        <v>0</v>
      </c>
    </row>
    <row r="53" spans="1:87" s="1674" customFormat="1">
      <c r="A53" s="1665"/>
      <c r="B53" s="1665"/>
      <c r="C53" s="521" t="s">
        <v>1304</v>
      </c>
      <c r="D53" s="1737" t="s">
        <v>85</v>
      </c>
      <c r="E53" s="2268" t="s">
        <v>1128</v>
      </c>
      <c r="F53" s="457"/>
      <c r="G53" s="457"/>
      <c r="H53" s="457"/>
      <c r="I53" s="457"/>
      <c r="J53" s="457"/>
      <c r="K53" s="457"/>
      <c r="L53" s="283"/>
      <c r="M53" s="298">
        <f>L53/100000</f>
        <v>0</v>
      </c>
      <c r="N53" s="283"/>
      <c r="O53" s="3038">
        <f>M53*N53</f>
        <v>0</v>
      </c>
      <c r="P53" s="782"/>
      <c r="Q53" s="1268" t="str">
        <f>'Ab1. RMNCH+A'!Q389</f>
        <v>-</v>
      </c>
      <c r="R53" s="2960">
        <f>'Ab1. RMNCH+A'!R389</f>
        <v>0</v>
      </c>
      <c r="BB53" s="3221"/>
      <c r="BC53" s="3221"/>
      <c r="BD53" s="3221"/>
      <c r="BE53" s="3221"/>
      <c r="BF53" s="3221"/>
      <c r="BG53" s="3221"/>
      <c r="BH53" s="3221"/>
      <c r="BI53" s="3221"/>
      <c r="BJ53" s="3221"/>
      <c r="BK53" s="3221"/>
      <c r="BL53" s="3221"/>
      <c r="BM53" s="3221"/>
      <c r="BN53" s="3221"/>
      <c r="BO53" s="3221"/>
      <c r="BP53" s="3221"/>
      <c r="BQ53" s="3221"/>
      <c r="BR53" s="3221"/>
      <c r="BS53" s="3221"/>
      <c r="BT53" s="3221"/>
      <c r="BU53" s="3221"/>
      <c r="BV53" s="3221"/>
      <c r="BW53" s="3221"/>
      <c r="BX53" s="3221"/>
      <c r="BY53" s="3221"/>
      <c r="BZ53" s="3221"/>
      <c r="CA53" s="3221"/>
      <c r="CB53" s="3221"/>
      <c r="CC53" s="3221"/>
      <c r="CD53" s="3221"/>
      <c r="CE53" s="3221"/>
      <c r="CF53" s="3221"/>
      <c r="CG53" s="3221"/>
      <c r="CH53" s="3221"/>
      <c r="CI53" s="3215">
        <f t="shared" si="0"/>
        <v>0</v>
      </c>
    </row>
    <row r="54" spans="1:87" s="1289" customFormat="1">
      <c r="A54" s="3970"/>
      <c r="B54" s="3970"/>
      <c r="C54" s="3970"/>
      <c r="D54" s="1597"/>
      <c r="E54" s="1597"/>
      <c r="F54" s="685"/>
      <c r="G54" s="685"/>
      <c r="H54" s="685"/>
      <c r="I54" s="685"/>
      <c r="J54" s="685"/>
      <c r="K54" s="685"/>
      <c r="L54" s="685"/>
      <c r="M54" s="1599"/>
      <c r="N54" s="685"/>
      <c r="O54" s="3028"/>
      <c r="P54" s="764"/>
      <c r="Q54" s="1609"/>
      <c r="R54" s="2927"/>
      <c r="BB54" s="3223"/>
      <c r="BC54" s="3223"/>
      <c r="BD54" s="3223"/>
      <c r="BE54" s="3223"/>
      <c r="BF54" s="3223"/>
      <c r="BG54" s="3223"/>
      <c r="BH54" s="3223"/>
      <c r="BI54" s="3223"/>
      <c r="BJ54" s="3223"/>
      <c r="BK54" s="3223"/>
      <c r="BL54" s="3223"/>
      <c r="BM54" s="3223"/>
      <c r="BN54" s="3223"/>
      <c r="BO54" s="3223"/>
      <c r="BP54" s="3223"/>
      <c r="BQ54" s="3223"/>
      <c r="BR54" s="3223"/>
      <c r="BS54" s="3223"/>
      <c r="BT54" s="3223"/>
      <c r="BU54" s="3223"/>
      <c r="BV54" s="3223"/>
      <c r="BW54" s="3223"/>
      <c r="BX54" s="3223"/>
      <c r="BY54" s="3223"/>
      <c r="BZ54" s="3223"/>
      <c r="CA54" s="3223"/>
      <c r="CB54" s="3223"/>
      <c r="CC54" s="3223"/>
      <c r="CD54" s="3223"/>
      <c r="CE54" s="3223"/>
      <c r="CF54" s="3223"/>
      <c r="CG54" s="3223"/>
      <c r="CH54" s="3223"/>
      <c r="CI54" s="3215">
        <f t="shared" si="0"/>
        <v>0</v>
      </c>
    </row>
    <row r="55" spans="1:87">
      <c r="A55" s="1290">
        <v>12.6</v>
      </c>
      <c r="B55" s="1148"/>
      <c r="C55" s="1148" t="s">
        <v>1508</v>
      </c>
      <c r="D55" s="1660"/>
      <c r="E55" s="1660"/>
      <c r="F55" s="267"/>
      <c r="G55" s="267"/>
      <c r="H55" s="267"/>
      <c r="I55" s="267"/>
      <c r="J55" s="267"/>
      <c r="K55" s="267"/>
      <c r="L55" s="267"/>
      <c r="M55" s="1453"/>
      <c r="N55" s="267"/>
      <c r="O55" s="3036">
        <f>SUM(O56:O57)</f>
        <v>0</v>
      </c>
      <c r="P55" s="779"/>
      <c r="Q55" s="1602"/>
      <c r="R55" s="2872">
        <f>SUM(R56:R57)</f>
        <v>0</v>
      </c>
      <c r="BB55" s="3222"/>
      <c r="BC55" s="3222"/>
      <c r="BD55" s="3222"/>
      <c r="BE55" s="3222"/>
      <c r="BF55" s="3222"/>
      <c r="BG55" s="3222"/>
      <c r="BH55" s="3222"/>
      <c r="BI55" s="3222"/>
      <c r="BJ55" s="3222"/>
      <c r="BK55" s="3222"/>
      <c r="BL55" s="3222"/>
      <c r="BM55" s="3222"/>
      <c r="BN55" s="3222"/>
      <c r="BO55" s="3222"/>
      <c r="BP55" s="3222"/>
      <c r="BQ55" s="3222"/>
      <c r="BR55" s="3222"/>
      <c r="BS55" s="3222"/>
      <c r="BT55" s="3222"/>
      <c r="BU55" s="3222"/>
      <c r="BV55" s="3222"/>
      <c r="BW55" s="3222"/>
      <c r="BX55" s="3222"/>
      <c r="BY55" s="3222"/>
      <c r="BZ55" s="3222"/>
      <c r="CA55" s="3222"/>
      <c r="CB55" s="3222"/>
      <c r="CC55" s="3222"/>
      <c r="CD55" s="3222"/>
      <c r="CE55" s="3222"/>
      <c r="CF55" s="3222"/>
      <c r="CG55" s="3222"/>
      <c r="CH55" s="3222"/>
      <c r="CI55" s="3215">
        <f t="shared" si="0"/>
        <v>0</v>
      </c>
    </row>
    <row r="56" spans="1:87">
      <c r="A56" s="1662" t="s">
        <v>1509</v>
      </c>
      <c r="B56" s="509" t="s">
        <v>754</v>
      </c>
      <c r="C56" s="509" t="s">
        <v>1510</v>
      </c>
      <c r="D56" s="908" t="s">
        <v>65</v>
      </c>
      <c r="E56" s="1643" t="s">
        <v>737</v>
      </c>
      <c r="F56" s="455">
        <v>0</v>
      </c>
      <c r="G56" s="455"/>
      <c r="H56" s="455">
        <v>0</v>
      </c>
      <c r="I56" s="455"/>
      <c r="J56" s="455"/>
      <c r="K56" s="452"/>
      <c r="L56" s="277"/>
      <c r="M56" s="297">
        <f>L56/100000</f>
        <v>0</v>
      </c>
      <c r="N56" s="277"/>
      <c r="O56" s="3037">
        <f>M56*N56</f>
        <v>0</v>
      </c>
      <c r="P56" s="780"/>
      <c r="Q56" s="1278"/>
      <c r="R56" s="3033"/>
      <c r="BB56" s="3222"/>
      <c r="BC56" s="3222"/>
      <c r="BD56" s="3222"/>
      <c r="BE56" s="3222"/>
      <c r="BF56" s="3222"/>
      <c r="BG56" s="3222"/>
      <c r="BH56" s="3222"/>
      <c r="BI56" s="3222"/>
      <c r="BJ56" s="3222"/>
      <c r="BK56" s="3222"/>
      <c r="BL56" s="3222"/>
      <c r="BM56" s="3222"/>
      <c r="BN56" s="3222"/>
      <c r="BO56" s="3222"/>
      <c r="BP56" s="3222"/>
      <c r="BQ56" s="3222"/>
      <c r="BR56" s="3222"/>
      <c r="BS56" s="3222"/>
      <c r="BT56" s="3222"/>
      <c r="BU56" s="3222"/>
      <c r="BV56" s="3222"/>
      <c r="BW56" s="3222"/>
      <c r="BX56" s="3222"/>
      <c r="BY56" s="3222"/>
      <c r="BZ56" s="3222"/>
      <c r="CA56" s="3222"/>
      <c r="CB56" s="3222"/>
      <c r="CC56" s="3222"/>
      <c r="CD56" s="3222"/>
      <c r="CE56" s="3222"/>
      <c r="CF56" s="3222"/>
      <c r="CG56" s="3222"/>
      <c r="CH56" s="3222"/>
      <c r="CI56" s="3215">
        <f t="shared" si="0"/>
        <v>0</v>
      </c>
    </row>
    <row r="57" spans="1:87">
      <c r="A57" s="1662" t="s">
        <v>1511</v>
      </c>
      <c r="B57" s="521"/>
      <c r="C57" s="509" t="s">
        <v>1304</v>
      </c>
      <c r="D57" s="908" t="s">
        <v>65</v>
      </c>
      <c r="E57" s="1643" t="s">
        <v>737</v>
      </c>
      <c r="F57" s="455">
        <v>0</v>
      </c>
      <c r="G57" s="455"/>
      <c r="H57" s="455">
        <v>0</v>
      </c>
      <c r="I57" s="455"/>
      <c r="J57" s="455"/>
      <c r="K57" s="452"/>
      <c r="L57" s="277"/>
      <c r="M57" s="297">
        <f>L57/100000</f>
        <v>0</v>
      </c>
      <c r="N57" s="277"/>
      <c r="O57" s="3037">
        <f>M57*N57</f>
        <v>0</v>
      </c>
      <c r="P57" s="780"/>
      <c r="Q57" s="1278"/>
      <c r="R57" s="3033"/>
      <c r="BB57" s="3222"/>
      <c r="BC57" s="3222"/>
      <c r="BD57" s="3222"/>
      <c r="BE57" s="3222"/>
      <c r="BF57" s="3222"/>
      <c r="BG57" s="3222"/>
      <c r="BH57" s="3222"/>
      <c r="BI57" s="3222"/>
      <c r="BJ57" s="3222"/>
      <c r="BK57" s="3222"/>
      <c r="BL57" s="3222"/>
      <c r="BM57" s="3222"/>
      <c r="BN57" s="3222"/>
      <c r="BO57" s="3222"/>
      <c r="BP57" s="3222"/>
      <c r="BQ57" s="3222"/>
      <c r="BR57" s="3222"/>
      <c r="BS57" s="3222"/>
      <c r="BT57" s="3222"/>
      <c r="BU57" s="3222"/>
      <c r="BV57" s="3222"/>
      <c r="BW57" s="3222"/>
      <c r="BX57" s="3222"/>
      <c r="BY57" s="3222"/>
      <c r="BZ57" s="3222"/>
      <c r="CA57" s="3222"/>
      <c r="CB57" s="3222"/>
      <c r="CC57" s="3222"/>
      <c r="CD57" s="3222"/>
      <c r="CE57" s="3222"/>
      <c r="CF57" s="3222"/>
      <c r="CG57" s="3222"/>
      <c r="CH57" s="3222"/>
      <c r="CI57" s="3215">
        <f t="shared" si="0"/>
        <v>0</v>
      </c>
    </row>
    <row r="58" spans="1:87">
      <c r="A58" s="1290">
        <v>12.7</v>
      </c>
      <c r="B58" s="1148"/>
      <c r="C58" s="1148" t="s">
        <v>1512</v>
      </c>
      <c r="D58" s="1660"/>
      <c r="E58" s="1660"/>
      <c r="F58" s="267"/>
      <c r="G58" s="267"/>
      <c r="H58" s="267"/>
      <c r="I58" s="267"/>
      <c r="J58" s="267"/>
      <c r="K58" s="267"/>
      <c r="L58" s="267"/>
      <c r="M58" s="1453"/>
      <c r="N58" s="267"/>
      <c r="O58" s="3036">
        <f>SUM(O59:O63)</f>
        <v>34.245000000000005</v>
      </c>
      <c r="P58" s="779"/>
      <c r="Q58" s="1602"/>
      <c r="R58" s="2872">
        <f>SUM(R59:R63)</f>
        <v>25.83</v>
      </c>
      <c r="BB58" s="3222"/>
      <c r="BC58" s="3222"/>
      <c r="BD58" s="3222"/>
      <c r="BE58" s="3222"/>
      <c r="BF58" s="3222"/>
      <c r="BG58" s="3222"/>
      <c r="BH58" s="3222"/>
      <c r="BI58" s="3222"/>
      <c r="BJ58" s="3222"/>
      <c r="BK58" s="3222"/>
      <c r="BL58" s="3222"/>
      <c r="BM58" s="3222"/>
      <c r="BN58" s="3222"/>
      <c r="BO58" s="3222"/>
      <c r="BP58" s="3222"/>
      <c r="BQ58" s="3222"/>
      <c r="BR58" s="3222"/>
      <c r="BS58" s="3222"/>
      <c r="BT58" s="3222"/>
      <c r="BU58" s="3222"/>
      <c r="BV58" s="3222"/>
      <c r="BW58" s="3222"/>
      <c r="BX58" s="3222"/>
      <c r="BY58" s="3222"/>
      <c r="BZ58" s="3222"/>
      <c r="CA58" s="3222"/>
      <c r="CB58" s="3222"/>
      <c r="CC58" s="3222"/>
      <c r="CD58" s="3222"/>
      <c r="CE58" s="3222"/>
      <c r="CF58" s="3222"/>
      <c r="CG58" s="3222"/>
      <c r="CH58" s="3222"/>
      <c r="CI58" s="3215">
        <f t="shared" si="0"/>
        <v>0</v>
      </c>
    </row>
    <row r="59" spans="1:87" s="1674" customFormat="1" ht="45">
      <c r="A59" s="1665" t="s">
        <v>1513</v>
      </c>
      <c r="B59" s="521" t="s">
        <v>238</v>
      </c>
      <c r="C59" s="521" t="s">
        <v>1514</v>
      </c>
      <c r="D59" s="982" t="s">
        <v>65</v>
      </c>
      <c r="E59" s="2384" t="s">
        <v>4723</v>
      </c>
      <c r="F59" s="2385">
        <v>0</v>
      </c>
      <c r="G59" s="2386"/>
      <c r="H59" s="2387">
        <v>0</v>
      </c>
      <c r="I59" s="2388"/>
      <c r="J59" s="456"/>
      <c r="K59" s="2382">
        <v>1</v>
      </c>
      <c r="L59" s="2318">
        <v>100</v>
      </c>
      <c r="M59" s="298">
        <f>L59/100000</f>
        <v>1E-3</v>
      </c>
      <c r="N59" s="2318">
        <v>9000</v>
      </c>
      <c r="O59" s="3038">
        <f>M59*N59</f>
        <v>9</v>
      </c>
      <c r="P59" s="2389" t="s">
        <v>5146</v>
      </c>
      <c r="Q59" s="1268" t="str">
        <f>'Ab3. ASHA'!Q98</f>
        <v>Recommended for approvalRs. 9L for printing of 9000 ASHA diaries @Rs. 100 per diary</v>
      </c>
      <c r="R59" s="2960">
        <f>'Ab3. ASHA'!R98</f>
        <v>9</v>
      </c>
      <c r="BB59" s="3221">
        <v>9</v>
      </c>
      <c r="BC59" s="3221"/>
      <c r="BD59" s="3221"/>
      <c r="BE59" s="3221"/>
      <c r="BF59" s="3221"/>
      <c r="BG59" s="3221"/>
      <c r="BH59" s="3221"/>
      <c r="BI59" s="3221"/>
      <c r="BJ59" s="3221"/>
      <c r="BK59" s="3221"/>
      <c r="BL59" s="3221"/>
      <c r="BM59" s="3221"/>
      <c r="BN59" s="3221"/>
      <c r="BO59" s="3221"/>
      <c r="BP59" s="3221"/>
      <c r="BQ59" s="3221"/>
      <c r="BR59" s="3221"/>
      <c r="BS59" s="3221"/>
      <c r="BT59" s="3221"/>
      <c r="BU59" s="3221"/>
      <c r="BV59" s="3221"/>
      <c r="BW59" s="3221"/>
      <c r="BX59" s="3221"/>
      <c r="BY59" s="3221"/>
      <c r="BZ59" s="3221"/>
      <c r="CA59" s="3221"/>
      <c r="CB59" s="3221"/>
      <c r="CC59" s="3221"/>
      <c r="CD59" s="3221"/>
      <c r="CE59" s="3221"/>
      <c r="CF59" s="3221"/>
      <c r="CG59" s="3221"/>
      <c r="CH59" s="3221"/>
      <c r="CI59" s="3215">
        <f t="shared" si="0"/>
        <v>9</v>
      </c>
    </row>
    <row r="60" spans="1:87" s="1674" customFormat="1" ht="75">
      <c r="A60" s="1665" t="s">
        <v>1515</v>
      </c>
      <c r="B60" s="521"/>
      <c r="C60" s="521" t="s">
        <v>2444</v>
      </c>
      <c r="D60" s="982" t="s">
        <v>65</v>
      </c>
      <c r="E60" s="2384" t="s">
        <v>4723</v>
      </c>
      <c r="F60" s="456">
        <v>280</v>
      </c>
      <c r="G60" s="456"/>
      <c r="H60" s="456">
        <v>0.56000000000000005</v>
      </c>
      <c r="I60" s="456"/>
      <c r="J60" s="456"/>
      <c r="K60" s="2390">
        <v>1</v>
      </c>
      <c r="L60" s="2318">
        <v>300</v>
      </c>
      <c r="M60" s="298">
        <f>L60/100000</f>
        <v>3.0000000000000001E-3</v>
      </c>
      <c r="N60" s="2318">
        <v>8415</v>
      </c>
      <c r="O60" s="3038">
        <f>M60*N60</f>
        <v>25.245000000000001</v>
      </c>
      <c r="P60" s="2383" t="s">
        <v>5147</v>
      </c>
      <c r="Q60" s="1268" t="str">
        <f>'Ab3. ASHA'!Q99</f>
        <v>Recommended for approvalRs. 16.83L for printing of modules and format for ASHAs @Rs. 200</v>
      </c>
      <c r="R60" s="2960">
        <f>'Ab3. ASHA'!R99</f>
        <v>16.829999999999998</v>
      </c>
      <c r="BB60" s="3221">
        <v>16.829999999999998</v>
      </c>
      <c r="BC60" s="3221"/>
      <c r="BD60" s="3221"/>
      <c r="BE60" s="3221"/>
      <c r="BF60" s="3221"/>
      <c r="BG60" s="3221"/>
      <c r="BH60" s="3221"/>
      <c r="BI60" s="3221"/>
      <c r="BJ60" s="3221"/>
      <c r="BK60" s="3221"/>
      <c r="BL60" s="3221"/>
      <c r="BM60" s="3221"/>
      <c r="BN60" s="3221"/>
      <c r="BO60" s="3221"/>
      <c r="BP60" s="3221"/>
      <c r="BQ60" s="3221"/>
      <c r="BR60" s="3221"/>
      <c r="BS60" s="3221"/>
      <c r="BT60" s="3221"/>
      <c r="BU60" s="3221"/>
      <c r="BV60" s="3221"/>
      <c r="BW60" s="3221"/>
      <c r="BX60" s="3221"/>
      <c r="BY60" s="3221"/>
      <c r="BZ60" s="3221"/>
      <c r="CA60" s="3221"/>
      <c r="CB60" s="3221"/>
      <c r="CC60" s="3221"/>
      <c r="CD60" s="3221"/>
      <c r="CE60" s="3221"/>
      <c r="CF60" s="3221"/>
      <c r="CG60" s="3221"/>
      <c r="CH60" s="3221"/>
      <c r="CI60" s="3215">
        <f t="shared" si="0"/>
        <v>16.829999999999998</v>
      </c>
    </row>
    <row r="61" spans="1:87">
      <c r="A61" s="1662" t="s">
        <v>2442</v>
      </c>
      <c r="B61" s="521"/>
      <c r="C61" s="509" t="s">
        <v>2445</v>
      </c>
      <c r="D61" s="908" t="s">
        <v>65</v>
      </c>
      <c r="E61" s="1670" t="s">
        <v>4723</v>
      </c>
      <c r="F61" s="455">
        <v>0</v>
      </c>
      <c r="G61" s="455"/>
      <c r="H61" s="455">
        <v>0</v>
      </c>
      <c r="I61" s="455"/>
      <c r="J61" s="455"/>
      <c r="K61" s="452"/>
      <c r="L61" s="277"/>
      <c r="M61" s="297">
        <f>L61/100000</f>
        <v>0</v>
      </c>
      <c r="N61" s="277"/>
      <c r="O61" s="3037">
        <f>M61*N61</f>
        <v>0</v>
      </c>
      <c r="P61" s="780"/>
      <c r="Q61" s="3032">
        <f>'Ab3. ASHA'!Q100</f>
        <v>0</v>
      </c>
      <c r="R61" s="2959">
        <f>'Ab3. ASHA'!R100</f>
        <v>0</v>
      </c>
      <c r="BB61" s="3222"/>
      <c r="BC61" s="3222"/>
      <c r="BD61" s="3222"/>
      <c r="BE61" s="3222"/>
      <c r="BF61" s="3222"/>
      <c r="BG61" s="3222"/>
      <c r="BH61" s="3222"/>
      <c r="BI61" s="3222"/>
      <c r="BJ61" s="3222"/>
      <c r="BK61" s="3222"/>
      <c r="BL61" s="3222"/>
      <c r="BM61" s="3222"/>
      <c r="BN61" s="3222"/>
      <c r="BO61" s="3222"/>
      <c r="BP61" s="3222"/>
      <c r="BQ61" s="3222"/>
      <c r="BR61" s="3222"/>
      <c r="BS61" s="3222"/>
      <c r="BT61" s="3222"/>
      <c r="BU61" s="3222"/>
      <c r="BV61" s="3222"/>
      <c r="BW61" s="3222"/>
      <c r="BX61" s="3222"/>
      <c r="BY61" s="3222"/>
      <c r="BZ61" s="3222"/>
      <c r="CA61" s="3222"/>
      <c r="CB61" s="3222"/>
      <c r="CC61" s="3222"/>
      <c r="CD61" s="3222"/>
      <c r="CE61" s="3222"/>
      <c r="CF61" s="3222"/>
      <c r="CG61" s="3222"/>
      <c r="CH61" s="3222"/>
      <c r="CI61" s="3215">
        <f t="shared" si="0"/>
        <v>0</v>
      </c>
    </row>
    <row r="62" spans="1:87">
      <c r="A62" s="1662" t="s">
        <v>2443</v>
      </c>
      <c r="B62" s="521"/>
      <c r="C62" s="509" t="s">
        <v>2775</v>
      </c>
      <c r="D62" s="908" t="s">
        <v>65</v>
      </c>
      <c r="E62" s="1670" t="s">
        <v>4723</v>
      </c>
      <c r="F62" s="455">
        <v>0</v>
      </c>
      <c r="G62" s="455"/>
      <c r="H62" s="455">
        <v>0</v>
      </c>
      <c r="I62" s="455"/>
      <c r="J62" s="455"/>
      <c r="K62" s="452"/>
      <c r="L62" s="277"/>
      <c r="M62" s="297">
        <f>L62/100000</f>
        <v>0</v>
      </c>
      <c r="N62" s="277"/>
      <c r="O62" s="3037">
        <f>M62*N62</f>
        <v>0</v>
      </c>
      <c r="P62" s="780"/>
      <c r="Q62" s="3032">
        <f>'Ab3. ASHA'!Q101</f>
        <v>0</v>
      </c>
      <c r="R62" s="2959">
        <f>'Ab3. ASHA'!R101</f>
        <v>0</v>
      </c>
      <c r="BB62" s="3222"/>
      <c r="BC62" s="3222"/>
      <c r="BD62" s="3222"/>
      <c r="BE62" s="3222"/>
      <c r="BF62" s="3222"/>
      <c r="BG62" s="3222"/>
      <c r="BH62" s="3222"/>
      <c r="BI62" s="3222"/>
      <c r="BJ62" s="3222"/>
      <c r="BK62" s="3222"/>
      <c r="BL62" s="3222"/>
      <c r="BM62" s="3222"/>
      <c r="BN62" s="3222"/>
      <c r="BO62" s="3222"/>
      <c r="BP62" s="3222"/>
      <c r="BQ62" s="3222"/>
      <c r="BR62" s="3222"/>
      <c r="BS62" s="3222"/>
      <c r="BT62" s="3222"/>
      <c r="BU62" s="3222"/>
      <c r="BV62" s="3222"/>
      <c r="BW62" s="3222"/>
      <c r="BX62" s="3222"/>
      <c r="BY62" s="3222"/>
      <c r="BZ62" s="3222"/>
      <c r="CA62" s="3222"/>
      <c r="CB62" s="3222"/>
      <c r="CC62" s="3222"/>
      <c r="CD62" s="3222"/>
      <c r="CE62" s="3222"/>
      <c r="CF62" s="3222"/>
      <c r="CG62" s="3222"/>
      <c r="CH62" s="3222"/>
      <c r="CI62" s="3215">
        <f t="shared" si="0"/>
        <v>0</v>
      </c>
    </row>
    <row r="63" spans="1:87">
      <c r="A63" s="1662" t="s">
        <v>2774</v>
      </c>
      <c r="B63" s="521"/>
      <c r="C63" s="509" t="s">
        <v>1304</v>
      </c>
      <c r="D63" s="908" t="s">
        <v>65</v>
      </c>
      <c r="E63" s="1670" t="s">
        <v>4723</v>
      </c>
      <c r="F63" s="455">
        <v>0</v>
      </c>
      <c r="G63" s="455"/>
      <c r="H63" s="455">
        <v>0</v>
      </c>
      <c r="I63" s="455"/>
      <c r="J63" s="455"/>
      <c r="K63" s="452"/>
      <c r="L63" s="277"/>
      <c r="M63" s="297">
        <f>L63/100000</f>
        <v>0</v>
      </c>
      <c r="N63" s="277"/>
      <c r="O63" s="3037">
        <f>M63*N63</f>
        <v>0</v>
      </c>
      <c r="P63" s="780"/>
      <c r="Q63" s="3032">
        <f>'Ab3. ASHA'!Q102</f>
        <v>0</v>
      </c>
      <c r="R63" s="2959">
        <f>'Ab3. ASHA'!R102</f>
        <v>0</v>
      </c>
      <c r="BB63" s="3222"/>
      <c r="BC63" s="3222"/>
      <c r="BD63" s="3222"/>
      <c r="BE63" s="3222"/>
      <c r="BF63" s="3222"/>
      <c r="BG63" s="3222"/>
      <c r="BH63" s="3222"/>
      <c r="BI63" s="3222"/>
      <c r="BJ63" s="3222"/>
      <c r="BK63" s="3222"/>
      <c r="BL63" s="3222"/>
      <c r="BM63" s="3222"/>
      <c r="BN63" s="3222"/>
      <c r="BO63" s="3222"/>
      <c r="BP63" s="3222"/>
      <c r="BQ63" s="3222"/>
      <c r="BR63" s="3222"/>
      <c r="BS63" s="3222"/>
      <c r="BT63" s="3222"/>
      <c r="BU63" s="3222"/>
      <c r="BV63" s="3222"/>
      <c r="BW63" s="3222"/>
      <c r="BX63" s="3222"/>
      <c r="BY63" s="3222"/>
      <c r="BZ63" s="3222"/>
      <c r="CA63" s="3222"/>
      <c r="CB63" s="3222"/>
      <c r="CC63" s="3222"/>
      <c r="CD63" s="3222"/>
      <c r="CE63" s="3222"/>
      <c r="CF63" s="3222"/>
      <c r="CG63" s="3222"/>
      <c r="CH63" s="3222"/>
      <c r="CI63" s="3215">
        <f t="shared" si="0"/>
        <v>0</v>
      </c>
    </row>
    <row r="64" spans="1:87" ht="30">
      <c r="A64" s="1290">
        <v>12.8</v>
      </c>
      <c r="B64" s="1148"/>
      <c r="C64" s="1148" t="s">
        <v>2571</v>
      </c>
      <c r="D64" s="1660"/>
      <c r="E64" s="1660"/>
      <c r="F64" s="267"/>
      <c r="G64" s="267"/>
      <c r="H64" s="267"/>
      <c r="I64" s="267"/>
      <c r="J64" s="267"/>
      <c r="K64" s="267"/>
      <c r="L64" s="267"/>
      <c r="M64" s="1453"/>
      <c r="N64" s="267"/>
      <c r="O64" s="3036">
        <f>SUM(O65:O66)</f>
        <v>0</v>
      </c>
      <c r="P64" s="779"/>
      <c r="Q64" s="1602"/>
      <c r="R64" s="2872">
        <f>SUM(R65:R66)</f>
        <v>0</v>
      </c>
      <c r="BB64" s="3222"/>
      <c r="BC64" s="3222"/>
      <c r="BD64" s="3222"/>
      <c r="BE64" s="3222"/>
      <c r="BF64" s="3222"/>
      <c r="BG64" s="3222"/>
      <c r="BH64" s="3222"/>
      <c r="BI64" s="3222"/>
      <c r="BJ64" s="3222"/>
      <c r="BK64" s="3222"/>
      <c r="BL64" s="3222"/>
      <c r="BM64" s="3222"/>
      <c r="BN64" s="3222"/>
      <c r="BO64" s="3222"/>
      <c r="BP64" s="3222"/>
      <c r="BQ64" s="3222"/>
      <c r="BR64" s="3222"/>
      <c r="BS64" s="3222"/>
      <c r="BT64" s="3222"/>
      <c r="BU64" s="3222"/>
      <c r="BV64" s="3222"/>
      <c r="BW64" s="3222"/>
      <c r="BX64" s="3222"/>
      <c r="BY64" s="3222"/>
      <c r="BZ64" s="3222"/>
      <c r="CA64" s="3222"/>
      <c r="CB64" s="3222"/>
      <c r="CC64" s="3222"/>
      <c r="CD64" s="3222"/>
      <c r="CE64" s="3222"/>
      <c r="CF64" s="3222"/>
      <c r="CG64" s="3222"/>
      <c r="CH64" s="3222"/>
      <c r="CI64" s="3215">
        <f t="shared" si="0"/>
        <v>0</v>
      </c>
    </row>
    <row r="65" spans="1:87" s="1674" customFormat="1" ht="30">
      <c r="A65" s="1665" t="s">
        <v>1516</v>
      </c>
      <c r="B65" s="521" t="s">
        <v>1367</v>
      </c>
      <c r="C65" s="521" t="s">
        <v>1517</v>
      </c>
      <c r="D65" s="982" t="s">
        <v>65</v>
      </c>
      <c r="E65" s="1677" t="s">
        <v>3214</v>
      </c>
      <c r="F65" s="456">
        <v>6000</v>
      </c>
      <c r="G65" s="456"/>
      <c r="H65" s="456">
        <v>0.24</v>
      </c>
      <c r="I65" s="456"/>
      <c r="J65" s="456"/>
      <c r="K65" s="2591"/>
      <c r="L65" s="2536"/>
      <c r="M65" s="298">
        <f>L65/100000</f>
        <v>0</v>
      </c>
      <c r="N65" s="2536"/>
      <c r="O65" s="3038">
        <f>M65*N65</f>
        <v>0</v>
      </c>
      <c r="P65" s="2592"/>
      <c r="Q65" s="1268">
        <f>'Abs5. Blood services &amp; Disorder'!Q27</f>
        <v>0</v>
      </c>
      <c r="R65" s="2960">
        <f>'Abs5. Blood services &amp; Disorder'!R27</f>
        <v>0</v>
      </c>
      <c r="BB65" s="3221"/>
      <c r="BC65" s="3221"/>
      <c r="BD65" s="3221"/>
      <c r="BE65" s="3221"/>
      <c r="BF65" s="3221"/>
      <c r="BG65" s="3221"/>
      <c r="BH65" s="3221"/>
      <c r="BI65" s="3221"/>
      <c r="BJ65" s="3221"/>
      <c r="BK65" s="3221"/>
      <c r="BL65" s="3221"/>
      <c r="BM65" s="3221"/>
      <c r="BN65" s="3221"/>
      <c r="BO65" s="3221"/>
      <c r="BP65" s="3221"/>
      <c r="BQ65" s="3221"/>
      <c r="BR65" s="3221"/>
      <c r="BS65" s="3221"/>
      <c r="BT65" s="3221"/>
      <c r="BU65" s="3221"/>
      <c r="BV65" s="3221"/>
      <c r="BW65" s="3221"/>
      <c r="BX65" s="3221"/>
      <c r="BY65" s="3221"/>
      <c r="BZ65" s="3221"/>
      <c r="CA65" s="3221"/>
      <c r="CB65" s="3221"/>
      <c r="CC65" s="3221"/>
      <c r="CD65" s="3221"/>
      <c r="CE65" s="3221"/>
      <c r="CF65" s="3221"/>
      <c r="CG65" s="3221"/>
      <c r="CH65" s="3221"/>
      <c r="CI65" s="3215">
        <f t="shared" si="0"/>
        <v>0</v>
      </c>
    </row>
    <row r="66" spans="1:87">
      <c r="A66" s="1662" t="s">
        <v>1518</v>
      </c>
      <c r="B66" s="521"/>
      <c r="C66" s="509" t="s">
        <v>1304</v>
      </c>
      <c r="D66" s="908" t="s">
        <v>65</v>
      </c>
      <c r="E66" s="1643" t="s">
        <v>3214</v>
      </c>
      <c r="F66" s="455">
        <v>0</v>
      </c>
      <c r="G66" s="455"/>
      <c r="H66" s="455">
        <v>0</v>
      </c>
      <c r="I66" s="455"/>
      <c r="J66" s="455"/>
      <c r="K66" s="454"/>
      <c r="L66" s="277"/>
      <c r="M66" s="297">
        <f>L66/100000</f>
        <v>0</v>
      </c>
      <c r="N66" s="277"/>
      <c r="O66" s="3037">
        <f>M66*N66</f>
        <v>0</v>
      </c>
      <c r="P66" s="781"/>
      <c r="Q66" s="3032">
        <f>'Abs5. Blood services &amp; Disorder'!Q28</f>
        <v>0</v>
      </c>
      <c r="R66" s="2959">
        <f>'Abs5. Blood services &amp; Disorder'!R28</f>
        <v>0</v>
      </c>
      <c r="BB66" s="3222"/>
      <c r="BC66" s="3222"/>
      <c r="BD66" s="3222"/>
      <c r="BE66" s="3222"/>
      <c r="BF66" s="3222"/>
      <c r="BG66" s="3222"/>
      <c r="BH66" s="3222"/>
      <c r="BI66" s="3222"/>
      <c r="BJ66" s="3222"/>
      <c r="BK66" s="3222"/>
      <c r="BL66" s="3222"/>
      <c r="BM66" s="3222"/>
      <c r="BN66" s="3222"/>
      <c r="BO66" s="3222"/>
      <c r="BP66" s="3222"/>
      <c r="BQ66" s="3222"/>
      <c r="BR66" s="3222"/>
      <c r="BS66" s="3222"/>
      <c r="BT66" s="3222"/>
      <c r="BU66" s="3222"/>
      <c r="BV66" s="3222"/>
      <c r="BW66" s="3222"/>
      <c r="BX66" s="3222"/>
      <c r="BY66" s="3222"/>
      <c r="BZ66" s="3222"/>
      <c r="CA66" s="3222"/>
      <c r="CB66" s="3222"/>
      <c r="CC66" s="3222"/>
      <c r="CD66" s="3222"/>
      <c r="CE66" s="3222"/>
      <c r="CF66" s="3222"/>
      <c r="CG66" s="3222"/>
      <c r="CH66" s="3222"/>
      <c r="CI66" s="3215">
        <f t="shared" si="0"/>
        <v>0</v>
      </c>
    </row>
    <row r="67" spans="1:87">
      <c r="A67" s="1290">
        <v>12.9</v>
      </c>
      <c r="B67" s="1148"/>
      <c r="C67" s="1148" t="s">
        <v>1519</v>
      </c>
      <c r="D67" s="1660"/>
      <c r="E67" s="1660"/>
      <c r="F67" s="267"/>
      <c r="G67" s="267"/>
      <c r="H67" s="267"/>
      <c r="I67" s="267"/>
      <c r="J67" s="267"/>
      <c r="K67" s="267"/>
      <c r="L67" s="267"/>
      <c r="M67" s="1453"/>
      <c r="N67" s="267"/>
      <c r="O67" s="3036">
        <f>SUM(O68:O71)</f>
        <v>0</v>
      </c>
      <c r="P67" s="779"/>
      <c r="Q67" s="1602"/>
      <c r="R67" s="2872">
        <f>SUM(R68:R71)</f>
        <v>0</v>
      </c>
      <c r="BB67" s="3222"/>
      <c r="BC67" s="3222"/>
      <c r="BD67" s="3222"/>
      <c r="BE67" s="3222"/>
      <c r="BF67" s="3222"/>
      <c r="BG67" s="3222"/>
      <c r="BH67" s="3222"/>
      <c r="BI67" s="3222"/>
      <c r="BJ67" s="3222"/>
      <c r="BK67" s="3222"/>
      <c r="BL67" s="3222"/>
      <c r="BM67" s="3222"/>
      <c r="BN67" s="3222"/>
      <c r="BO67" s="3222"/>
      <c r="BP67" s="3222"/>
      <c r="BQ67" s="3222"/>
      <c r="BR67" s="3222"/>
      <c r="BS67" s="3222"/>
      <c r="BT67" s="3222"/>
      <c r="BU67" s="3222"/>
      <c r="BV67" s="3222"/>
      <c r="BW67" s="3222"/>
      <c r="BX67" s="3222"/>
      <c r="BY67" s="3222"/>
      <c r="BZ67" s="3222"/>
      <c r="CA67" s="3222"/>
      <c r="CB67" s="3222"/>
      <c r="CC67" s="3222"/>
      <c r="CD67" s="3222"/>
      <c r="CE67" s="3222"/>
      <c r="CF67" s="3222"/>
      <c r="CG67" s="3222"/>
      <c r="CH67" s="3222"/>
      <c r="CI67" s="3215">
        <f t="shared" si="0"/>
        <v>0</v>
      </c>
    </row>
    <row r="68" spans="1:87" s="1674" customFormat="1">
      <c r="A68" s="1665" t="s">
        <v>1520</v>
      </c>
      <c r="B68" s="521" t="s">
        <v>1521</v>
      </c>
      <c r="C68" s="521" t="s">
        <v>1522</v>
      </c>
      <c r="D68" s="982" t="s">
        <v>65</v>
      </c>
      <c r="E68" s="1677" t="s">
        <v>2848</v>
      </c>
      <c r="F68" s="2432">
        <v>50000</v>
      </c>
      <c r="G68" s="2433"/>
      <c r="H68" s="2387">
        <v>1</v>
      </c>
      <c r="I68" s="2388"/>
      <c r="J68" s="2434"/>
      <c r="K68" s="2433"/>
      <c r="L68" s="283"/>
      <c r="M68" s="298">
        <f t="shared" ref="M68:M75" si="7">L68/100000</f>
        <v>0</v>
      </c>
      <c r="N68" s="283"/>
      <c r="O68" s="3038">
        <f t="shared" ref="O68:O75" si="8">M68*N68</f>
        <v>0</v>
      </c>
      <c r="P68" s="2435" t="s">
        <v>5189</v>
      </c>
      <c r="Q68" s="1268">
        <f>'Ab4. HMIS-MCTS'!Q14</f>
        <v>0</v>
      </c>
      <c r="R68" s="2960">
        <f>'Ab4. HMIS-MCTS'!R14</f>
        <v>0</v>
      </c>
      <c r="BB68" s="3221"/>
      <c r="BC68" s="3221"/>
      <c r="BD68" s="3221"/>
      <c r="BE68" s="3221"/>
      <c r="BF68" s="3221"/>
      <c r="BG68" s="3221"/>
      <c r="BH68" s="3221"/>
      <c r="BI68" s="3221"/>
      <c r="BJ68" s="3221"/>
      <c r="BK68" s="3221"/>
      <c r="BL68" s="3221"/>
      <c r="BM68" s="3221"/>
      <c r="BN68" s="3221"/>
      <c r="BO68" s="3221"/>
      <c r="BP68" s="3221"/>
      <c r="BQ68" s="3221"/>
      <c r="BR68" s="3221"/>
      <c r="BS68" s="3221"/>
      <c r="BT68" s="3221"/>
      <c r="BU68" s="3221"/>
      <c r="BV68" s="3221"/>
      <c r="BW68" s="3221"/>
      <c r="BX68" s="3221"/>
      <c r="BY68" s="3221"/>
      <c r="BZ68" s="3221"/>
      <c r="CA68" s="3221"/>
      <c r="CB68" s="3221"/>
      <c r="CC68" s="3221"/>
      <c r="CD68" s="3221"/>
      <c r="CE68" s="3221"/>
      <c r="CF68" s="3221"/>
      <c r="CG68" s="3221"/>
      <c r="CH68" s="3221"/>
      <c r="CI68" s="3215">
        <f t="shared" si="0"/>
        <v>0</v>
      </c>
    </row>
    <row r="69" spans="1:87" s="1674" customFormat="1">
      <c r="A69" s="1665" t="s">
        <v>1523</v>
      </c>
      <c r="B69" s="521" t="s">
        <v>1524</v>
      </c>
      <c r="C69" s="521" t="s">
        <v>1525</v>
      </c>
      <c r="D69" s="982" t="s">
        <v>65</v>
      </c>
      <c r="E69" s="1677" t="s">
        <v>2848</v>
      </c>
      <c r="F69" s="2436">
        <v>0</v>
      </c>
      <c r="G69" s="2437"/>
      <c r="H69" s="2387">
        <v>0</v>
      </c>
      <c r="I69" s="2388"/>
      <c r="J69" s="2437"/>
      <c r="K69" s="2433"/>
      <c r="L69" s="283"/>
      <c r="M69" s="298">
        <f t="shared" si="7"/>
        <v>0</v>
      </c>
      <c r="N69" s="283"/>
      <c r="O69" s="3038">
        <f t="shared" si="8"/>
        <v>0</v>
      </c>
      <c r="P69" s="2435" t="s">
        <v>5189</v>
      </c>
      <c r="Q69" s="1268">
        <f>'Ab4. HMIS-MCTS'!Q15</f>
        <v>0</v>
      </c>
      <c r="R69" s="2960">
        <f>'Ab4. HMIS-MCTS'!R15</f>
        <v>0</v>
      </c>
      <c r="BB69" s="3221"/>
      <c r="BC69" s="3221"/>
      <c r="BD69" s="3221"/>
      <c r="BE69" s="3221"/>
      <c r="BF69" s="3221"/>
      <c r="BG69" s="3221"/>
      <c r="BH69" s="3221"/>
      <c r="BI69" s="3221"/>
      <c r="BJ69" s="3221"/>
      <c r="BK69" s="3221"/>
      <c r="BL69" s="3221"/>
      <c r="BM69" s="3221"/>
      <c r="BN69" s="3221"/>
      <c r="BO69" s="3221"/>
      <c r="BP69" s="3221"/>
      <c r="BQ69" s="3221"/>
      <c r="BR69" s="3221"/>
      <c r="BS69" s="3221"/>
      <c r="BT69" s="3221"/>
      <c r="BU69" s="3221"/>
      <c r="BV69" s="3221"/>
      <c r="BW69" s="3221"/>
      <c r="BX69" s="3221"/>
      <c r="BY69" s="3221"/>
      <c r="BZ69" s="3221"/>
      <c r="CA69" s="3221"/>
      <c r="CB69" s="3221"/>
      <c r="CC69" s="3221"/>
      <c r="CD69" s="3221"/>
      <c r="CE69" s="3221"/>
      <c r="CF69" s="3221"/>
      <c r="CG69" s="3221"/>
      <c r="CH69" s="3221"/>
      <c r="CI69" s="3215">
        <f t="shared" si="0"/>
        <v>0</v>
      </c>
    </row>
    <row r="70" spans="1:87" s="1674" customFormat="1" ht="30">
      <c r="A70" s="1665" t="s">
        <v>1526</v>
      </c>
      <c r="B70" s="521" t="s">
        <v>1527</v>
      </c>
      <c r="C70" s="521" t="s">
        <v>1528</v>
      </c>
      <c r="D70" s="982" t="s">
        <v>65</v>
      </c>
      <c r="E70" s="1677" t="s">
        <v>2848</v>
      </c>
      <c r="F70" s="2432">
        <v>100000</v>
      </c>
      <c r="G70" s="2433"/>
      <c r="H70" s="2387">
        <v>1</v>
      </c>
      <c r="I70" s="2388"/>
      <c r="J70" s="2434"/>
      <c r="K70" s="2433"/>
      <c r="L70" s="283"/>
      <c r="M70" s="298">
        <f t="shared" si="7"/>
        <v>0</v>
      </c>
      <c r="N70" s="283"/>
      <c r="O70" s="3038">
        <f t="shared" si="8"/>
        <v>0</v>
      </c>
      <c r="P70" s="2435" t="s">
        <v>5189</v>
      </c>
      <c r="Q70" s="1268">
        <f>'Ab4. HMIS-MCTS'!Q16</f>
        <v>0</v>
      </c>
      <c r="R70" s="2960">
        <f>'Ab4. HMIS-MCTS'!R16</f>
        <v>0</v>
      </c>
      <c r="BB70" s="3221"/>
      <c r="BC70" s="3221"/>
      <c r="BD70" s="3221"/>
      <c r="BE70" s="3221"/>
      <c r="BF70" s="3221"/>
      <c r="BG70" s="3221"/>
      <c r="BH70" s="3221"/>
      <c r="BI70" s="3221"/>
      <c r="BJ70" s="3221"/>
      <c r="BK70" s="3221"/>
      <c r="BL70" s="3221"/>
      <c r="BM70" s="3221"/>
      <c r="BN70" s="3221"/>
      <c r="BO70" s="3221"/>
      <c r="BP70" s="3221"/>
      <c r="BQ70" s="3221"/>
      <c r="BR70" s="3221"/>
      <c r="BS70" s="3221"/>
      <c r="BT70" s="3221"/>
      <c r="BU70" s="3221"/>
      <c r="BV70" s="3221"/>
      <c r="BW70" s="3221"/>
      <c r="BX70" s="3221"/>
      <c r="BY70" s="3221"/>
      <c r="BZ70" s="3221"/>
      <c r="CA70" s="3221"/>
      <c r="CB70" s="3221"/>
      <c r="CC70" s="3221"/>
      <c r="CD70" s="3221"/>
      <c r="CE70" s="3221"/>
      <c r="CF70" s="3221"/>
      <c r="CG70" s="3221"/>
      <c r="CH70" s="3221"/>
      <c r="CI70" s="3215">
        <f t="shared" si="0"/>
        <v>0</v>
      </c>
    </row>
    <row r="71" spans="1:87">
      <c r="A71" s="1662" t="s">
        <v>1529</v>
      </c>
      <c r="B71" s="521"/>
      <c r="C71" s="509" t="s">
        <v>1304</v>
      </c>
      <c r="D71" s="908" t="s">
        <v>65</v>
      </c>
      <c r="E71" s="1643" t="s">
        <v>2848</v>
      </c>
      <c r="F71" s="455">
        <v>0</v>
      </c>
      <c r="G71" s="455"/>
      <c r="H71" s="455">
        <v>0</v>
      </c>
      <c r="I71" s="455"/>
      <c r="J71" s="455"/>
      <c r="K71" s="452"/>
      <c r="L71" s="277"/>
      <c r="M71" s="297">
        <f t="shared" si="7"/>
        <v>0</v>
      </c>
      <c r="N71" s="277"/>
      <c r="O71" s="3037">
        <f t="shared" si="8"/>
        <v>0</v>
      </c>
      <c r="P71" s="780"/>
      <c r="Q71" s="3032">
        <f>'Ab4. HMIS-MCTS'!Q17</f>
        <v>0</v>
      </c>
      <c r="R71" s="2959">
        <f>'Ab4. HMIS-MCTS'!R17</f>
        <v>0</v>
      </c>
      <c r="BB71" s="3222"/>
      <c r="BC71" s="3222"/>
      <c r="BD71" s="3222"/>
      <c r="BE71" s="3222"/>
      <c r="BF71" s="3222"/>
      <c r="BG71" s="3222"/>
      <c r="BH71" s="3222"/>
      <c r="BI71" s="3222"/>
      <c r="BJ71" s="3222"/>
      <c r="BK71" s="3222"/>
      <c r="BL71" s="3222"/>
      <c r="BM71" s="3222"/>
      <c r="BN71" s="3222"/>
      <c r="BO71" s="3222"/>
      <c r="BP71" s="3222"/>
      <c r="BQ71" s="3222"/>
      <c r="BR71" s="3222"/>
      <c r="BS71" s="3222"/>
      <c r="BT71" s="3222"/>
      <c r="BU71" s="3222"/>
      <c r="BV71" s="3222"/>
      <c r="BW71" s="3222"/>
      <c r="BX71" s="3222"/>
      <c r="BY71" s="3222"/>
      <c r="BZ71" s="3222"/>
      <c r="CA71" s="3222"/>
      <c r="CB71" s="3222"/>
      <c r="CC71" s="3222"/>
      <c r="CD71" s="3222"/>
      <c r="CE71" s="3222"/>
      <c r="CF71" s="3222"/>
      <c r="CG71" s="3222"/>
      <c r="CH71" s="3222"/>
      <c r="CI71" s="3215">
        <f t="shared" ref="CI71:CI109" si="9">SUM(BB71:CH71)</f>
        <v>0</v>
      </c>
    </row>
    <row r="72" spans="1:87" s="1674" customFormat="1" ht="45">
      <c r="A72" s="586" t="s">
        <v>1565</v>
      </c>
      <c r="B72" s="536"/>
      <c r="C72" s="536" t="s">
        <v>3757</v>
      </c>
      <c r="D72" s="982" t="s">
        <v>65</v>
      </c>
      <c r="E72" s="1356" t="s">
        <v>4218</v>
      </c>
      <c r="F72" s="2304">
        <v>800</v>
      </c>
      <c r="G72" s="2304"/>
      <c r="H72" s="2304">
        <v>10</v>
      </c>
      <c r="I72" s="2304">
        <v>0</v>
      </c>
      <c r="J72" s="2304"/>
      <c r="K72" s="2304">
        <v>1</v>
      </c>
      <c r="L72" s="283">
        <v>1250</v>
      </c>
      <c r="M72" s="298">
        <f t="shared" si="7"/>
        <v>1.2500000000000001E-2</v>
      </c>
      <c r="N72" s="283">
        <v>800</v>
      </c>
      <c r="O72" s="3038">
        <f t="shared" si="8"/>
        <v>10</v>
      </c>
      <c r="P72" s="2305" t="s">
        <v>5153</v>
      </c>
      <c r="Q72" s="1268" t="str">
        <f>'Abs6. CPHC'!Q31</f>
        <v>Recommended for approvalRs. 10 lakh for printing of modules and family folders</v>
      </c>
      <c r="R72" s="2924">
        <f>'Abs6. CPHC'!R31</f>
        <v>10</v>
      </c>
      <c r="BB72" s="3221">
        <v>10</v>
      </c>
      <c r="BC72" s="3221"/>
      <c r="BD72" s="3221"/>
      <c r="BE72" s="3221"/>
      <c r="BF72" s="3221"/>
      <c r="BG72" s="3221"/>
      <c r="BH72" s="3221"/>
      <c r="BI72" s="3221"/>
      <c r="BJ72" s="3221"/>
      <c r="BK72" s="3221"/>
      <c r="BL72" s="3221"/>
      <c r="BM72" s="3221"/>
      <c r="BN72" s="3221"/>
      <c r="BO72" s="3221"/>
      <c r="BP72" s="3221"/>
      <c r="BQ72" s="3221"/>
      <c r="BR72" s="3221"/>
      <c r="BS72" s="3221"/>
      <c r="BT72" s="3221"/>
      <c r="BU72" s="3221"/>
      <c r="BV72" s="3221"/>
      <c r="BW72" s="3221"/>
      <c r="BX72" s="3221"/>
      <c r="BY72" s="3221"/>
      <c r="BZ72" s="3221"/>
      <c r="CA72" s="3221"/>
      <c r="CB72" s="3221"/>
      <c r="CC72" s="3221"/>
      <c r="CD72" s="3221"/>
      <c r="CE72" s="3221"/>
      <c r="CF72" s="3221"/>
      <c r="CG72" s="3221"/>
      <c r="CH72" s="3221"/>
      <c r="CI72" s="3215">
        <f t="shared" si="9"/>
        <v>10</v>
      </c>
    </row>
    <row r="73" spans="1:87" ht="30">
      <c r="A73" s="1662" t="s">
        <v>2446</v>
      </c>
      <c r="B73" s="509" t="s">
        <v>1566</v>
      </c>
      <c r="C73" s="509" t="s">
        <v>3767</v>
      </c>
      <c r="D73" s="908" t="s">
        <v>65</v>
      </c>
      <c r="E73" s="1643" t="s">
        <v>65</v>
      </c>
      <c r="F73" s="455">
        <v>0</v>
      </c>
      <c r="G73" s="455"/>
      <c r="H73" s="455">
        <v>0</v>
      </c>
      <c r="I73" s="455"/>
      <c r="J73" s="455"/>
      <c r="K73" s="452"/>
      <c r="L73" s="277"/>
      <c r="M73" s="297">
        <f t="shared" si="7"/>
        <v>0</v>
      </c>
      <c r="N73" s="277"/>
      <c r="O73" s="3037">
        <f t="shared" si="8"/>
        <v>0</v>
      </c>
      <c r="P73" s="780"/>
      <c r="Q73" s="1278"/>
      <c r="R73" s="3033"/>
      <c r="BB73" s="3222"/>
      <c r="BC73" s="3222"/>
      <c r="BD73" s="3222"/>
      <c r="BE73" s="3222"/>
      <c r="BF73" s="3222"/>
      <c r="BG73" s="3222"/>
      <c r="BH73" s="3222"/>
      <c r="BI73" s="3222"/>
      <c r="BJ73" s="3222"/>
      <c r="BK73" s="3222"/>
      <c r="BL73" s="3222"/>
      <c r="BM73" s="3222"/>
      <c r="BN73" s="3222"/>
      <c r="BO73" s="3222"/>
      <c r="BP73" s="3222"/>
      <c r="BQ73" s="3222"/>
      <c r="BR73" s="3222"/>
      <c r="BS73" s="3222"/>
      <c r="BT73" s="3222"/>
      <c r="BU73" s="3222"/>
      <c r="BV73" s="3222"/>
      <c r="BW73" s="3222"/>
      <c r="BX73" s="3222"/>
      <c r="BY73" s="3222"/>
      <c r="BZ73" s="3222"/>
      <c r="CA73" s="3222"/>
      <c r="CB73" s="3222"/>
      <c r="CC73" s="3222"/>
      <c r="CD73" s="3222"/>
      <c r="CE73" s="3222"/>
      <c r="CF73" s="3222"/>
      <c r="CG73" s="3222"/>
      <c r="CH73" s="3222"/>
      <c r="CI73" s="3215">
        <f t="shared" si="9"/>
        <v>0</v>
      </c>
    </row>
    <row r="74" spans="1:87" ht="30">
      <c r="A74" s="1662" t="s">
        <v>3888</v>
      </c>
      <c r="B74" s="1665"/>
      <c r="C74" s="1672" t="s">
        <v>3889</v>
      </c>
      <c r="D74" s="908" t="s">
        <v>65</v>
      </c>
      <c r="E74" s="1120" t="s">
        <v>3769</v>
      </c>
      <c r="F74" s="2219">
        <v>0</v>
      </c>
      <c r="G74" s="452"/>
      <c r="H74" s="2219">
        <v>0</v>
      </c>
      <c r="I74" s="452"/>
      <c r="J74" s="452"/>
      <c r="K74" s="459"/>
      <c r="L74" s="277"/>
      <c r="M74" s="297">
        <f t="shared" si="7"/>
        <v>0</v>
      </c>
      <c r="N74" s="277"/>
      <c r="O74" s="3037">
        <f t="shared" si="8"/>
        <v>0</v>
      </c>
      <c r="P74" s="780"/>
      <c r="Q74" s="1278"/>
      <c r="R74" s="3033"/>
      <c r="BB74" s="3222"/>
      <c r="BC74" s="3222"/>
      <c r="BD74" s="3222"/>
      <c r="BE74" s="3222"/>
      <c r="BF74" s="3222"/>
      <c r="BG74" s="3222"/>
      <c r="BH74" s="3222"/>
      <c r="BI74" s="3222"/>
      <c r="BJ74" s="3222"/>
      <c r="BK74" s="3222"/>
      <c r="BL74" s="3222"/>
      <c r="BM74" s="3222"/>
      <c r="BN74" s="3222"/>
      <c r="BO74" s="3222"/>
      <c r="BP74" s="3222"/>
      <c r="BQ74" s="3222"/>
      <c r="BR74" s="3222"/>
      <c r="BS74" s="3222"/>
      <c r="BT74" s="3222"/>
      <c r="BU74" s="3222"/>
      <c r="BV74" s="3222"/>
      <c r="BW74" s="3222"/>
      <c r="BX74" s="3222"/>
      <c r="BY74" s="3222"/>
      <c r="BZ74" s="3222"/>
      <c r="CA74" s="3222"/>
      <c r="CB74" s="3222"/>
      <c r="CC74" s="3222"/>
      <c r="CD74" s="3222"/>
      <c r="CE74" s="3222"/>
      <c r="CF74" s="3222"/>
      <c r="CG74" s="3222"/>
      <c r="CH74" s="3222"/>
      <c r="CI74" s="3215">
        <f t="shared" si="9"/>
        <v>0</v>
      </c>
    </row>
    <row r="75" spans="1:87">
      <c r="A75" s="1662" t="s">
        <v>4266</v>
      </c>
      <c r="B75" s="1665"/>
      <c r="C75" s="1662" t="s">
        <v>1304</v>
      </c>
      <c r="D75" s="908" t="s">
        <v>65</v>
      </c>
      <c r="E75" s="1643"/>
      <c r="F75" s="2219">
        <v>0</v>
      </c>
      <c r="G75" s="452"/>
      <c r="H75" s="2219">
        <v>0</v>
      </c>
      <c r="I75" s="452"/>
      <c r="J75" s="452"/>
      <c r="K75" s="452"/>
      <c r="L75" s="277"/>
      <c r="M75" s="297">
        <f t="shared" si="7"/>
        <v>0</v>
      </c>
      <c r="N75" s="277"/>
      <c r="O75" s="3038">
        <f t="shared" si="8"/>
        <v>0</v>
      </c>
      <c r="P75" s="780"/>
      <c r="Q75" s="1278"/>
      <c r="R75" s="3033"/>
      <c r="BB75" s="3222"/>
      <c r="BC75" s="3222"/>
      <c r="BD75" s="3222"/>
      <c r="BE75" s="3222"/>
      <c r="BF75" s="3222"/>
      <c r="BG75" s="3222"/>
      <c r="BH75" s="3222"/>
      <c r="BI75" s="3222"/>
      <c r="BJ75" s="3222"/>
      <c r="BK75" s="3222"/>
      <c r="BL75" s="3222"/>
      <c r="BM75" s="3222"/>
      <c r="BN75" s="3222"/>
      <c r="BO75" s="3222"/>
      <c r="BP75" s="3222"/>
      <c r="BQ75" s="3222"/>
      <c r="BR75" s="3222"/>
      <c r="BS75" s="3222"/>
      <c r="BT75" s="3222"/>
      <c r="BU75" s="3222"/>
      <c r="BV75" s="3222"/>
      <c r="BW75" s="3222"/>
      <c r="BX75" s="3222"/>
      <c r="BY75" s="3222"/>
      <c r="BZ75" s="3222"/>
      <c r="CA75" s="3222"/>
      <c r="CB75" s="3222"/>
      <c r="CC75" s="3222"/>
      <c r="CD75" s="3222"/>
      <c r="CE75" s="3222"/>
      <c r="CF75" s="3222"/>
      <c r="CG75" s="3222"/>
      <c r="CH75" s="3222"/>
      <c r="CI75" s="3215">
        <f t="shared" si="9"/>
        <v>0</v>
      </c>
    </row>
    <row r="76" spans="1:87" s="1289" customFormat="1">
      <c r="A76" s="3970"/>
      <c r="B76" s="3970"/>
      <c r="C76" s="3970"/>
      <c r="D76" s="1597"/>
      <c r="E76" s="1597"/>
      <c r="F76" s="685"/>
      <c r="G76" s="685"/>
      <c r="H76" s="685"/>
      <c r="I76" s="685"/>
      <c r="J76" s="685"/>
      <c r="K76" s="685"/>
      <c r="L76" s="685"/>
      <c r="M76" s="1599"/>
      <c r="N76" s="685"/>
      <c r="O76" s="3028"/>
      <c r="P76" s="764"/>
      <c r="Q76" s="1609"/>
      <c r="R76" s="2927"/>
      <c r="BB76" s="3223"/>
      <c r="BC76" s="3223"/>
      <c r="BD76" s="3223"/>
      <c r="BE76" s="3223"/>
      <c r="BF76" s="3223"/>
      <c r="BG76" s="3223"/>
      <c r="BH76" s="3223"/>
      <c r="BI76" s="3223"/>
      <c r="BJ76" s="3223"/>
      <c r="BK76" s="3223"/>
      <c r="BL76" s="3223"/>
      <c r="BM76" s="3223"/>
      <c r="BN76" s="3223"/>
      <c r="BO76" s="3223"/>
      <c r="BP76" s="3223"/>
      <c r="BQ76" s="3223"/>
      <c r="BR76" s="3223"/>
      <c r="BS76" s="3223"/>
      <c r="BT76" s="3223"/>
      <c r="BU76" s="3223"/>
      <c r="BV76" s="3223"/>
      <c r="BW76" s="3223"/>
      <c r="BX76" s="3223"/>
      <c r="BY76" s="3223"/>
      <c r="BZ76" s="3223"/>
      <c r="CA76" s="3223"/>
      <c r="CB76" s="3223"/>
      <c r="CC76" s="3223"/>
      <c r="CD76" s="3223"/>
      <c r="CE76" s="3223"/>
      <c r="CF76" s="3223"/>
      <c r="CG76" s="3223"/>
      <c r="CH76" s="3223"/>
      <c r="CI76" s="3215">
        <f t="shared" si="9"/>
        <v>0</v>
      </c>
    </row>
    <row r="77" spans="1:87">
      <c r="A77" s="1290">
        <v>12.11</v>
      </c>
      <c r="B77" s="1148"/>
      <c r="C77" s="1148" t="s">
        <v>1535</v>
      </c>
      <c r="D77" s="1660"/>
      <c r="E77" s="1660"/>
      <c r="F77" s="267"/>
      <c r="G77" s="267"/>
      <c r="H77" s="267"/>
      <c r="I77" s="267"/>
      <c r="J77" s="267"/>
      <c r="K77" s="267"/>
      <c r="L77" s="267"/>
      <c r="M77" s="1453"/>
      <c r="N77" s="267"/>
      <c r="O77" s="3036">
        <f>SUM(O78:O81)</f>
        <v>0</v>
      </c>
      <c r="P77" s="779"/>
      <c r="Q77" s="1602"/>
      <c r="R77" s="2872">
        <f>SUM(R78:R81)</f>
        <v>0</v>
      </c>
      <c r="BB77" s="3222"/>
      <c r="BC77" s="3222"/>
      <c r="BD77" s="3222"/>
      <c r="BE77" s="3222"/>
      <c r="BF77" s="3222"/>
      <c r="BG77" s="3222"/>
      <c r="BH77" s="3222"/>
      <c r="BI77" s="3222"/>
      <c r="BJ77" s="3222"/>
      <c r="BK77" s="3222"/>
      <c r="BL77" s="3222"/>
      <c r="BM77" s="3222"/>
      <c r="BN77" s="3222"/>
      <c r="BO77" s="3222"/>
      <c r="BP77" s="3222"/>
      <c r="BQ77" s="3222"/>
      <c r="BR77" s="3222"/>
      <c r="BS77" s="3222"/>
      <c r="BT77" s="3222"/>
      <c r="BU77" s="3222"/>
      <c r="BV77" s="3222"/>
      <c r="BW77" s="3222"/>
      <c r="BX77" s="3222"/>
      <c r="BY77" s="3222"/>
      <c r="BZ77" s="3222"/>
      <c r="CA77" s="3222"/>
      <c r="CB77" s="3222"/>
      <c r="CC77" s="3222"/>
      <c r="CD77" s="3222"/>
      <c r="CE77" s="3222"/>
      <c r="CF77" s="3222"/>
      <c r="CG77" s="3222"/>
      <c r="CH77" s="3222"/>
      <c r="CI77" s="3215">
        <f t="shared" si="9"/>
        <v>0</v>
      </c>
    </row>
    <row r="78" spans="1:87" ht="30">
      <c r="A78" s="1662" t="s">
        <v>1536</v>
      </c>
      <c r="B78" s="1645" t="s">
        <v>1537</v>
      </c>
      <c r="C78" s="1645" t="s">
        <v>1538</v>
      </c>
      <c r="D78" s="1007" t="s">
        <v>4219</v>
      </c>
      <c r="E78" s="1640" t="s">
        <v>4711</v>
      </c>
      <c r="F78" s="455">
        <v>0</v>
      </c>
      <c r="G78" s="455"/>
      <c r="H78" s="455">
        <v>0</v>
      </c>
      <c r="I78" s="455"/>
      <c r="J78" s="455"/>
      <c r="K78" s="452"/>
      <c r="L78" s="277"/>
      <c r="M78" s="297">
        <f>L78/100000</f>
        <v>0</v>
      </c>
      <c r="N78" s="277"/>
      <c r="O78" s="3037">
        <f>M78*N78</f>
        <v>0</v>
      </c>
      <c r="P78" s="780"/>
      <c r="Q78" s="3032">
        <f>'Abs9. NVBDCP'!Q99</f>
        <v>0</v>
      </c>
      <c r="R78" s="2959">
        <f>'Abs9. NVBDCP'!Q99</f>
        <v>0</v>
      </c>
      <c r="BB78" s="3222"/>
      <c r="BC78" s="3222"/>
      <c r="BD78" s="3222"/>
      <c r="BE78" s="3222"/>
      <c r="BF78" s="3222"/>
      <c r="BG78" s="3222"/>
      <c r="BH78" s="3222"/>
      <c r="BI78" s="3222"/>
      <c r="BJ78" s="3222"/>
      <c r="BK78" s="3222"/>
      <c r="BL78" s="3222"/>
      <c r="BM78" s="3222"/>
      <c r="BN78" s="3222"/>
      <c r="BO78" s="3222"/>
      <c r="BP78" s="3222"/>
      <c r="BQ78" s="3222"/>
      <c r="BR78" s="3222"/>
      <c r="BS78" s="3222"/>
      <c r="BT78" s="3222"/>
      <c r="BU78" s="3222"/>
      <c r="BV78" s="3222"/>
      <c r="BW78" s="3222"/>
      <c r="BX78" s="3222"/>
      <c r="BY78" s="3222"/>
      <c r="BZ78" s="3222"/>
      <c r="CA78" s="3222"/>
      <c r="CB78" s="3222"/>
      <c r="CC78" s="3222"/>
      <c r="CD78" s="3222"/>
      <c r="CE78" s="3222"/>
      <c r="CF78" s="3222"/>
      <c r="CG78" s="3222"/>
      <c r="CH78" s="3222"/>
      <c r="CI78" s="3215">
        <f t="shared" si="9"/>
        <v>0</v>
      </c>
    </row>
    <row r="79" spans="1:87" ht="30">
      <c r="A79" s="1662" t="s">
        <v>1539</v>
      </c>
      <c r="B79" s="1645" t="s">
        <v>1540</v>
      </c>
      <c r="C79" s="1645" t="s">
        <v>1541</v>
      </c>
      <c r="D79" s="1007" t="s">
        <v>4219</v>
      </c>
      <c r="E79" s="1640" t="s">
        <v>1542</v>
      </c>
      <c r="F79" s="455">
        <v>0</v>
      </c>
      <c r="G79" s="455"/>
      <c r="H79" s="455">
        <v>0</v>
      </c>
      <c r="I79" s="455"/>
      <c r="J79" s="455"/>
      <c r="K79" s="452"/>
      <c r="L79" s="277"/>
      <c r="M79" s="297">
        <f>L79/100000</f>
        <v>0</v>
      </c>
      <c r="N79" s="277"/>
      <c r="O79" s="3037">
        <f>M79*N79</f>
        <v>0</v>
      </c>
      <c r="P79" s="780"/>
      <c r="Q79" s="3032">
        <f>'Abs9. NVBDCP'!Q100</f>
        <v>0</v>
      </c>
      <c r="R79" s="2959">
        <f>'Abs9. NVBDCP'!Q100</f>
        <v>0</v>
      </c>
      <c r="BB79" s="3222"/>
      <c r="BC79" s="3222"/>
      <c r="BD79" s="3222"/>
      <c r="BE79" s="3222"/>
      <c r="BF79" s="3222"/>
      <c r="BG79" s="3222"/>
      <c r="BH79" s="3222"/>
      <c r="BI79" s="3222"/>
      <c r="BJ79" s="3222"/>
      <c r="BK79" s="3222"/>
      <c r="BL79" s="3222"/>
      <c r="BM79" s="3222"/>
      <c r="BN79" s="3222"/>
      <c r="BO79" s="3222"/>
      <c r="BP79" s="3222"/>
      <c r="BQ79" s="3222"/>
      <c r="BR79" s="3222"/>
      <c r="BS79" s="3222"/>
      <c r="BT79" s="3222"/>
      <c r="BU79" s="3222"/>
      <c r="BV79" s="3222"/>
      <c r="BW79" s="3222"/>
      <c r="BX79" s="3222"/>
      <c r="BY79" s="3222"/>
      <c r="BZ79" s="3222"/>
      <c r="CA79" s="3222"/>
      <c r="CB79" s="3222"/>
      <c r="CC79" s="3222"/>
      <c r="CD79" s="3222"/>
      <c r="CE79" s="3222"/>
      <c r="CF79" s="3222"/>
      <c r="CG79" s="3222"/>
      <c r="CH79" s="3222"/>
      <c r="CI79" s="3215">
        <f t="shared" si="9"/>
        <v>0</v>
      </c>
    </row>
    <row r="80" spans="1:87" s="1674" customFormat="1" ht="30">
      <c r="A80" s="1665" t="s">
        <v>1543</v>
      </c>
      <c r="B80" s="1673"/>
      <c r="C80" s="1673" t="s">
        <v>4306</v>
      </c>
      <c r="D80" s="1007" t="s">
        <v>4219</v>
      </c>
      <c r="E80" s="1639" t="s">
        <v>4714</v>
      </c>
      <c r="F80" s="456">
        <v>5</v>
      </c>
      <c r="G80" s="456"/>
      <c r="H80" s="456">
        <v>5</v>
      </c>
      <c r="I80" s="456"/>
      <c r="J80" s="456">
        <v>5</v>
      </c>
      <c r="K80" s="457"/>
      <c r="L80" s="277"/>
      <c r="M80" s="297">
        <f>L80/100000</f>
        <v>0</v>
      </c>
      <c r="N80" s="277"/>
      <c r="O80" s="3038">
        <f>M80*N80</f>
        <v>0</v>
      </c>
      <c r="P80" s="782"/>
      <c r="Q80" s="3032">
        <f>'Abs9. NVBDCP'!Q101</f>
        <v>0</v>
      </c>
      <c r="R80" s="2959">
        <f>'Abs9. NVBDCP'!Q101</f>
        <v>0</v>
      </c>
      <c r="BB80" s="3221"/>
      <c r="BC80" s="3221"/>
      <c r="BD80" s="3221"/>
      <c r="BE80" s="3221"/>
      <c r="BF80" s="3221"/>
      <c r="BG80" s="3221"/>
      <c r="BH80" s="3221"/>
      <c r="BI80" s="3221"/>
      <c r="BJ80" s="3221"/>
      <c r="BK80" s="3221"/>
      <c r="BL80" s="3221"/>
      <c r="BM80" s="3221"/>
      <c r="BN80" s="3221"/>
      <c r="BO80" s="3221"/>
      <c r="BP80" s="3221"/>
      <c r="BQ80" s="3221"/>
      <c r="BR80" s="3221"/>
      <c r="BS80" s="3221"/>
      <c r="BT80" s="3221"/>
      <c r="BU80" s="3221"/>
      <c r="BV80" s="3221"/>
      <c r="BW80" s="3221"/>
      <c r="BX80" s="3221"/>
      <c r="BY80" s="3221"/>
      <c r="BZ80" s="3221"/>
      <c r="CA80" s="3221"/>
      <c r="CB80" s="3221"/>
      <c r="CC80" s="3221"/>
      <c r="CD80" s="3221"/>
      <c r="CE80" s="3221"/>
      <c r="CF80" s="3221"/>
      <c r="CG80" s="3221"/>
      <c r="CH80" s="3221"/>
      <c r="CI80" s="3215">
        <f t="shared" si="9"/>
        <v>0</v>
      </c>
    </row>
    <row r="81" spans="1:87">
      <c r="A81" s="1662" t="s">
        <v>4305</v>
      </c>
      <c r="B81" s="1673"/>
      <c r="C81" s="1645" t="s">
        <v>1304</v>
      </c>
      <c r="D81" s="1007" t="s">
        <v>4219</v>
      </c>
      <c r="E81" s="1640" t="s">
        <v>1542</v>
      </c>
      <c r="F81" s="455">
        <v>0</v>
      </c>
      <c r="G81" s="455"/>
      <c r="H81" s="455">
        <v>0</v>
      </c>
      <c r="I81" s="455"/>
      <c r="J81" s="455"/>
      <c r="K81" s="452"/>
      <c r="L81" s="277"/>
      <c r="M81" s="297">
        <f>L81/100000</f>
        <v>0</v>
      </c>
      <c r="N81" s="277"/>
      <c r="O81" s="3037">
        <f>M81*N81</f>
        <v>0</v>
      </c>
      <c r="P81" s="780"/>
      <c r="Q81" s="3032">
        <f>'Abs9. NVBDCP'!Q102</f>
        <v>0</v>
      </c>
      <c r="R81" s="2959">
        <f>'Abs9. NVBDCP'!Q102</f>
        <v>0</v>
      </c>
      <c r="BB81" s="3222"/>
      <c r="BC81" s="3222"/>
      <c r="BD81" s="3222"/>
      <c r="BE81" s="3222"/>
      <c r="BF81" s="3222"/>
      <c r="BG81" s="3222"/>
      <c r="BH81" s="3222"/>
      <c r="BI81" s="3222"/>
      <c r="BJ81" s="3222"/>
      <c r="BK81" s="3222"/>
      <c r="BL81" s="3222"/>
      <c r="BM81" s="3222"/>
      <c r="BN81" s="3222"/>
      <c r="BO81" s="3222"/>
      <c r="BP81" s="3222"/>
      <c r="BQ81" s="3222"/>
      <c r="BR81" s="3222"/>
      <c r="BS81" s="3222"/>
      <c r="BT81" s="3222"/>
      <c r="BU81" s="3222"/>
      <c r="BV81" s="3222"/>
      <c r="BW81" s="3222"/>
      <c r="BX81" s="3222"/>
      <c r="BY81" s="3222"/>
      <c r="BZ81" s="3222"/>
      <c r="CA81" s="3222"/>
      <c r="CB81" s="3222"/>
      <c r="CC81" s="3222"/>
      <c r="CD81" s="3222"/>
      <c r="CE81" s="3222"/>
      <c r="CF81" s="3222"/>
      <c r="CG81" s="3222"/>
      <c r="CH81" s="3222"/>
      <c r="CI81" s="3215">
        <f t="shared" si="9"/>
        <v>0</v>
      </c>
    </row>
    <row r="82" spans="1:87">
      <c r="A82" s="1290">
        <v>12.12</v>
      </c>
      <c r="B82" s="1148"/>
      <c r="C82" s="1148" t="s">
        <v>1544</v>
      </c>
      <c r="D82" s="1660"/>
      <c r="E82" s="1660"/>
      <c r="F82" s="267"/>
      <c r="G82" s="267"/>
      <c r="H82" s="267"/>
      <c r="I82" s="267"/>
      <c r="J82" s="267"/>
      <c r="K82" s="267"/>
      <c r="L82" s="267"/>
      <c r="M82" s="1453"/>
      <c r="N82" s="267"/>
      <c r="O82" s="3036">
        <f>O83</f>
        <v>0</v>
      </c>
      <c r="P82" s="779"/>
      <c r="Q82" s="1602"/>
      <c r="R82" s="2872">
        <f>R83</f>
        <v>0</v>
      </c>
      <c r="BB82" s="3222"/>
      <c r="BC82" s="3222"/>
      <c r="BD82" s="3222"/>
      <c r="BE82" s="3222"/>
      <c r="BF82" s="3222"/>
      <c r="BG82" s="3222"/>
      <c r="BH82" s="3222"/>
      <c r="BI82" s="3222"/>
      <c r="BJ82" s="3222"/>
      <c r="BK82" s="3222"/>
      <c r="BL82" s="3222"/>
      <c r="BM82" s="3222"/>
      <c r="BN82" s="3222"/>
      <c r="BO82" s="3222"/>
      <c r="BP82" s="3222"/>
      <c r="BQ82" s="3222"/>
      <c r="BR82" s="3222"/>
      <c r="BS82" s="3222"/>
      <c r="BT82" s="3222"/>
      <c r="BU82" s="3222"/>
      <c r="BV82" s="3222"/>
      <c r="BW82" s="3222"/>
      <c r="BX82" s="3222"/>
      <c r="BY82" s="3222"/>
      <c r="BZ82" s="3222"/>
      <c r="CA82" s="3222"/>
      <c r="CB82" s="3222"/>
      <c r="CC82" s="3222"/>
      <c r="CD82" s="3222"/>
      <c r="CE82" s="3222"/>
      <c r="CF82" s="3222"/>
      <c r="CG82" s="3222"/>
      <c r="CH82" s="3222"/>
      <c r="CI82" s="3215">
        <f t="shared" si="9"/>
        <v>0</v>
      </c>
    </row>
    <row r="83" spans="1:87">
      <c r="A83" s="1662" t="s">
        <v>1545</v>
      </c>
      <c r="B83" s="1675" t="s">
        <v>1546</v>
      </c>
      <c r="C83" s="1641" t="s">
        <v>1547</v>
      </c>
      <c r="D83" s="1007" t="s">
        <v>4219</v>
      </c>
      <c r="E83" s="1643" t="s">
        <v>141</v>
      </c>
      <c r="F83" s="333">
        <v>13</v>
      </c>
      <c r="G83" s="333"/>
      <c r="H83" s="2222">
        <v>2.6</v>
      </c>
      <c r="I83" s="424">
        <v>0.15</v>
      </c>
      <c r="J83" s="333"/>
      <c r="K83" s="458"/>
      <c r="L83" s="277"/>
      <c r="M83" s="297">
        <f>L83/100000</f>
        <v>0</v>
      </c>
      <c r="N83" s="277"/>
      <c r="O83" s="3007">
        <f>M83*N83</f>
        <v>0</v>
      </c>
      <c r="P83" s="781"/>
      <c r="Q83" s="3032">
        <f>'Abs10. NLEP'!Q32</f>
        <v>0</v>
      </c>
      <c r="R83" s="2959">
        <f>'Abs10. NLEP'!R32</f>
        <v>0</v>
      </c>
      <c r="BB83" s="3222"/>
      <c r="BC83" s="3222"/>
      <c r="BD83" s="3222"/>
      <c r="BE83" s="3222"/>
      <c r="BF83" s="3222"/>
      <c r="BG83" s="3222"/>
      <c r="BH83" s="3222"/>
      <c r="BI83" s="3222"/>
      <c r="BJ83" s="3222"/>
      <c r="BK83" s="3222"/>
      <c r="BL83" s="3222"/>
      <c r="BM83" s="3222"/>
      <c r="BN83" s="3222"/>
      <c r="BO83" s="3222"/>
      <c r="BP83" s="3222"/>
      <c r="BQ83" s="3222"/>
      <c r="BR83" s="3222"/>
      <c r="BS83" s="3222"/>
      <c r="BT83" s="3222"/>
      <c r="BU83" s="3222"/>
      <c r="BV83" s="3222"/>
      <c r="BW83" s="3222"/>
      <c r="BX83" s="3222"/>
      <c r="BY83" s="3222"/>
      <c r="BZ83" s="3222"/>
      <c r="CA83" s="3222"/>
      <c r="CB83" s="3222"/>
      <c r="CC83" s="3222"/>
      <c r="CD83" s="3222"/>
      <c r="CE83" s="3222"/>
      <c r="CF83" s="3222"/>
      <c r="CG83" s="3222"/>
      <c r="CH83" s="3222"/>
      <c r="CI83" s="3215">
        <f t="shared" si="9"/>
        <v>0</v>
      </c>
    </row>
    <row r="84" spans="1:87">
      <c r="A84" s="1290">
        <v>12.13</v>
      </c>
      <c r="B84" s="1148"/>
      <c r="C84" s="1148" t="s">
        <v>4640</v>
      </c>
      <c r="D84" s="1660"/>
      <c r="E84" s="1660"/>
      <c r="F84" s="267"/>
      <c r="G84" s="267"/>
      <c r="H84" s="267"/>
      <c r="I84" s="267"/>
      <c r="J84" s="267"/>
      <c r="K84" s="267"/>
      <c r="L84" s="267"/>
      <c r="M84" s="1453"/>
      <c r="N84" s="267"/>
      <c r="O84" s="3036">
        <f>SUM(O85:O86)</f>
        <v>25.595999999999997</v>
      </c>
      <c r="P84" s="779"/>
      <c r="Q84" s="1602"/>
      <c r="R84" s="2872">
        <f>SUM(R85:R86)</f>
        <v>25.6</v>
      </c>
      <c r="BB84" s="3222"/>
      <c r="BC84" s="3222"/>
      <c r="BD84" s="3222"/>
      <c r="BE84" s="3222"/>
      <c r="BF84" s="3222"/>
      <c r="BG84" s="3222"/>
      <c r="BH84" s="3222"/>
      <c r="BI84" s="3222"/>
      <c r="BJ84" s="3222"/>
      <c r="BK84" s="3222"/>
      <c r="BL84" s="3222"/>
      <c r="BM84" s="3222"/>
      <c r="BN84" s="3222"/>
      <c r="BO84" s="3222"/>
      <c r="BP84" s="3222"/>
      <c r="BQ84" s="3222"/>
      <c r="BR84" s="3222"/>
      <c r="BS84" s="3222"/>
      <c r="BT84" s="3222"/>
      <c r="BU84" s="3222"/>
      <c r="BV84" s="3222"/>
      <c r="BW84" s="3222"/>
      <c r="BX84" s="3222"/>
      <c r="BY84" s="3222"/>
      <c r="BZ84" s="3222"/>
      <c r="CA84" s="3222"/>
      <c r="CB84" s="3222"/>
      <c r="CC84" s="3222"/>
      <c r="CD84" s="3222"/>
      <c r="CE84" s="3222"/>
      <c r="CF84" s="3222"/>
      <c r="CG84" s="3222"/>
      <c r="CH84" s="3222"/>
      <c r="CI84" s="3215">
        <f t="shared" si="9"/>
        <v>0</v>
      </c>
    </row>
    <row r="85" spans="1:87" s="1674" customFormat="1" ht="33" customHeight="1">
      <c r="A85" s="1665" t="s">
        <v>1548</v>
      </c>
      <c r="B85" s="1673" t="s">
        <v>1403</v>
      </c>
      <c r="C85" s="1673" t="s">
        <v>1549</v>
      </c>
      <c r="D85" s="2254" t="s">
        <v>4219</v>
      </c>
      <c r="E85" s="1677" t="s">
        <v>4525</v>
      </c>
      <c r="F85" s="456">
        <v>86</v>
      </c>
      <c r="G85" s="2391">
        <v>4562</v>
      </c>
      <c r="H85" s="2387">
        <v>5.99</v>
      </c>
      <c r="I85" s="2391">
        <v>6</v>
      </c>
      <c r="J85" s="456">
        <v>2</v>
      </c>
      <c r="K85" s="2392">
        <v>12</v>
      </c>
      <c r="L85" s="2368">
        <v>2965</v>
      </c>
      <c r="M85" s="298">
        <f t="shared" ref="M85:M90" si="10">L85/100000</f>
        <v>2.9649999999999999E-2</v>
      </c>
      <c r="N85" s="2368">
        <v>230</v>
      </c>
      <c r="O85" s="3038">
        <f t="shared" ref="O85:O90" si="11">M85*N85</f>
        <v>6.8194999999999997</v>
      </c>
      <c r="P85" s="2393" t="s">
        <v>5175</v>
      </c>
      <c r="Q85" s="1268" t="str">
        <f>'Abs11. NTEP'!Q45</f>
        <v>Recommended</v>
      </c>
      <c r="R85" s="2960">
        <f>'Abs11. NTEP'!R45</f>
        <v>6.82</v>
      </c>
      <c r="BB85" s="3221">
        <v>0.36</v>
      </c>
      <c r="BC85" s="3221">
        <v>0.37</v>
      </c>
      <c r="BD85" s="3221">
        <v>0.46</v>
      </c>
      <c r="BE85" s="3221">
        <v>0.78</v>
      </c>
      <c r="BF85" s="3221">
        <v>0.81</v>
      </c>
      <c r="BG85" s="3221">
        <v>0.31</v>
      </c>
      <c r="BH85" s="3221">
        <v>0.6</v>
      </c>
      <c r="BI85" s="3221">
        <v>0.31</v>
      </c>
      <c r="BJ85" s="3221">
        <v>0.78</v>
      </c>
      <c r="BK85" s="3221">
        <v>0.87</v>
      </c>
      <c r="BL85" s="3221">
        <v>0.4</v>
      </c>
      <c r="BM85" s="3221">
        <v>0.4</v>
      </c>
      <c r="BN85" s="3221">
        <v>0.37</v>
      </c>
      <c r="BO85" s="3221"/>
      <c r="BP85" s="3221"/>
      <c r="BQ85" s="3221"/>
      <c r="BR85" s="3221"/>
      <c r="BS85" s="3221"/>
      <c r="BT85" s="3221"/>
      <c r="BU85" s="3221"/>
      <c r="BV85" s="3221"/>
      <c r="BW85" s="3221"/>
      <c r="BX85" s="3221"/>
      <c r="BY85" s="3221"/>
      <c r="BZ85" s="3221"/>
      <c r="CA85" s="3221"/>
      <c r="CB85" s="3221"/>
      <c r="CC85" s="3221"/>
      <c r="CD85" s="3221"/>
      <c r="CE85" s="3221"/>
      <c r="CF85" s="3221"/>
      <c r="CG85" s="3221"/>
      <c r="CH85" s="3221"/>
      <c r="CI85" s="3215">
        <f t="shared" si="9"/>
        <v>6.8200000000000012</v>
      </c>
    </row>
    <row r="86" spans="1:87" s="1674" customFormat="1" ht="38.25" customHeight="1">
      <c r="A86" s="1665" t="s">
        <v>1550</v>
      </c>
      <c r="B86" s="1673" t="s">
        <v>1551</v>
      </c>
      <c r="C86" s="1673" t="s">
        <v>25</v>
      </c>
      <c r="D86" s="2254" t="s">
        <v>4219</v>
      </c>
      <c r="E86" s="1677" t="s">
        <v>4525</v>
      </c>
      <c r="F86" s="456">
        <v>351</v>
      </c>
      <c r="G86" s="456">
        <v>2016</v>
      </c>
      <c r="H86" s="2387">
        <v>15.51</v>
      </c>
      <c r="I86" s="2394">
        <v>8.1999999999999993</v>
      </c>
      <c r="J86" s="456">
        <v>6</v>
      </c>
      <c r="K86" s="2392">
        <v>12</v>
      </c>
      <c r="L86" s="2368">
        <v>4418</v>
      </c>
      <c r="M86" s="298">
        <f t="shared" si="10"/>
        <v>4.4179999999999997E-2</v>
      </c>
      <c r="N86" s="2368">
        <v>425</v>
      </c>
      <c r="O86" s="3038">
        <f t="shared" si="11"/>
        <v>18.776499999999999</v>
      </c>
      <c r="P86" s="2393" t="s">
        <v>5176</v>
      </c>
      <c r="Q86" s="1268" t="str">
        <f>'Abs11. NTEP'!Q46</f>
        <v>Recommended</v>
      </c>
      <c r="R86" s="2960">
        <f>'Abs11. NTEP'!R46</f>
        <v>18.78</v>
      </c>
      <c r="BB86" s="3221">
        <v>11</v>
      </c>
      <c r="BC86" s="3221">
        <v>0.44</v>
      </c>
      <c r="BD86" s="3221">
        <v>0.5</v>
      </c>
      <c r="BE86" s="3221">
        <v>0.7</v>
      </c>
      <c r="BF86" s="3221">
        <v>0.9</v>
      </c>
      <c r="BG86" s="3221">
        <v>0.3</v>
      </c>
      <c r="BH86" s="3221">
        <v>0.5</v>
      </c>
      <c r="BI86" s="3221">
        <v>0.2</v>
      </c>
      <c r="BJ86" s="3221">
        <v>0.9</v>
      </c>
      <c r="BK86" s="3221">
        <v>0.9</v>
      </c>
      <c r="BL86" s="3221">
        <v>0.53</v>
      </c>
      <c r="BM86" s="3221">
        <v>0.53</v>
      </c>
      <c r="BN86" s="3221">
        <v>0.48</v>
      </c>
      <c r="BO86" s="3221"/>
      <c r="BP86" s="3221"/>
      <c r="BQ86" s="3221"/>
      <c r="BR86" s="3221"/>
      <c r="BS86" s="3221"/>
      <c r="BT86" s="3221"/>
      <c r="BU86" s="3221"/>
      <c r="BV86" s="3221"/>
      <c r="BW86" s="3221"/>
      <c r="BX86" s="3221"/>
      <c r="BY86" s="3221"/>
      <c r="BZ86" s="3221"/>
      <c r="CA86" s="3221"/>
      <c r="CB86" s="3221"/>
      <c r="CC86" s="3221"/>
      <c r="CD86" s="3221"/>
      <c r="CE86" s="3221">
        <v>0.9</v>
      </c>
      <c r="CF86" s="3221"/>
      <c r="CG86" s="3221"/>
      <c r="CH86" s="3221"/>
      <c r="CI86" s="3215">
        <f t="shared" si="9"/>
        <v>18.78</v>
      </c>
    </row>
    <row r="87" spans="1:87" s="1674" customFormat="1" ht="30">
      <c r="A87" s="1665" t="s">
        <v>3998</v>
      </c>
      <c r="B87" s="1665"/>
      <c r="C87" s="1676" t="s">
        <v>4267</v>
      </c>
      <c r="D87" s="1007" t="s">
        <v>4219</v>
      </c>
      <c r="E87" s="1677" t="s">
        <v>3223</v>
      </c>
      <c r="F87" s="2223">
        <v>0</v>
      </c>
      <c r="G87" s="457"/>
      <c r="H87" s="2223">
        <v>0</v>
      </c>
      <c r="I87" s="457"/>
      <c r="J87" s="457"/>
      <c r="K87" s="457"/>
      <c r="L87" s="277"/>
      <c r="M87" s="297">
        <f t="shared" si="10"/>
        <v>0</v>
      </c>
      <c r="N87" s="277"/>
      <c r="O87" s="3038">
        <f t="shared" si="11"/>
        <v>0</v>
      </c>
      <c r="P87" s="782"/>
      <c r="Q87" s="3032">
        <f>'Abs12. NVHCP'!Q35</f>
        <v>0</v>
      </c>
      <c r="R87" s="2962">
        <f>'Abs12. NVHCP'!R35</f>
        <v>0</v>
      </c>
      <c r="BB87" s="3221"/>
      <c r="BC87" s="3221"/>
      <c r="BD87" s="3221"/>
      <c r="BE87" s="3221"/>
      <c r="BF87" s="3221"/>
      <c r="BG87" s="3221"/>
      <c r="BH87" s="3221"/>
      <c r="BI87" s="3221"/>
      <c r="BJ87" s="3221"/>
      <c r="BK87" s="3221"/>
      <c r="BL87" s="3221"/>
      <c r="BM87" s="3221"/>
      <c r="BN87" s="3221"/>
      <c r="BO87" s="3221"/>
      <c r="BP87" s="3221"/>
      <c r="BQ87" s="3221"/>
      <c r="BR87" s="3221"/>
      <c r="BS87" s="3221"/>
      <c r="BT87" s="3221"/>
      <c r="BU87" s="3221"/>
      <c r="BV87" s="3221"/>
      <c r="BW87" s="3221"/>
      <c r="BX87" s="3221"/>
      <c r="BY87" s="3221"/>
      <c r="BZ87" s="3221"/>
      <c r="CA87" s="3221"/>
      <c r="CB87" s="3221"/>
      <c r="CC87" s="3221"/>
      <c r="CD87" s="3221"/>
      <c r="CE87" s="3221"/>
      <c r="CF87" s="3221"/>
      <c r="CG87" s="3221"/>
      <c r="CH87" s="3221"/>
      <c r="CI87" s="3215">
        <f t="shared" si="9"/>
        <v>0</v>
      </c>
    </row>
    <row r="88" spans="1:87" s="1674" customFormat="1">
      <c r="A88" s="1665"/>
      <c r="B88" s="1665"/>
      <c r="C88" s="1676" t="s">
        <v>4909</v>
      </c>
      <c r="D88" s="2254" t="s">
        <v>4219</v>
      </c>
      <c r="E88" s="1677" t="s">
        <v>288</v>
      </c>
      <c r="F88" s="457"/>
      <c r="G88" s="457"/>
      <c r="H88" s="457"/>
      <c r="I88" s="457"/>
      <c r="J88" s="457"/>
      <c r="K88" s="457"/>
      <c r="L88" s="283"/>
      <c r="M88" s="298">
        <f t="shared" si="10"/>
        <v>0</v>
      </c>
      <c r="N88" s="283"/>
      <c r="O88" s="3038">
        <f t="shared" si="11"/>
        <v>0</v>
      </c>
      <c r="P88" s="782"/>
      <c r="Q88" s="1268">
        <f>'Abs8. IDSP'!Q28</f>
        <v>0</v>
      </c>
      <c r="R88" s="2963">
        <f>'Abs8. IDSP'!R28</f>
        <v>0</v>
      </c>
      <c r="BB88" s="3221"/>
      <c r="BC88" s="3221"/>
      <c r="BD88" s="3221"/>
      <c r="BE88" s="3221"/>
      <c r="BF88" s="3221"/>
      <c r="BG88" s="3221"/>
      <c r="BH88" s="3221"/>
      <c r="BI88" s="3221"/>
      <c r="BJ88" s="3221"/>
      <c r="BK88" s="3221"/>
      <c r="BL88" s="3221"/>
      <c r="BM88" s="3221"/>
      <c r="BN88" s="3221"/>
      <c r="BO88" s="3221"/>
      <c r="BP88" s="3221"/>
      <c r="BQ88" s="3221"/>
      <c r="BR88" s="3221"/>
      <c r="BS88" s="3221"/>
      <c r="BT88" s="3221"/>
      <c r="BU88" s="3221"/>
      <c r="BV88" s="3221"/>
      <c r="BW88" s="3221"/>
      <c r="BX88" s="3221"/>
      <c r="BY88" s="3221"/>
      <c r="BZ88" s="3221"/>
      <c r="CA88" s="3221"/>
      <c r="CB88" s="3221"/>
      <c r="CC88" s="3221"/>
      <c r="CD88" s="3221"/>
      <c r="CE88" s="3221"/>
      <c r="CF88" s="3221"/>
      <c r="CG88" s="3221"/>
      <c r="CH88" s="3221"/>
      <c r="CI88" s="3215">
        <f t="shared" si="9"/>
        <v>0</v>
      </c>
    </row>
    <row r="89" spans="1:87" ht="30">
      <c r="A89" s="1662" t="s">
        <v>2447</v>
      </c>
      <c r="B89" s="1665"/>
      <c r="C89" s="1641" t="s">
        <v>4897</v>
      </c>
      <c r="D89" s="1007" t="s">
        <v>4219</v>
      </c>
      <c r="E89" s="1643" t="s">
        <v>3855</v>
      </c>
      <c r="F89" s="452">
        <v>0</v>
      </c>
      <c r="G89" s="452"/>
      <c r="H89" s="452">
        <v>0</v>
      </c>
      <c r="I89" s="452"/>
      <c r="J89" s="452"/>
      <c r="K89" s="452"/>
      <c r="L89" s="277"/>
      <c r="M89" s="297">
        <f t="shared" si="10"/>
        <v>0</v>
      </c>
      <c r="N89" s="277"/>
      <c r="O89" s="3037">
        <f t="shared" si="11"/>
        <v>0</v>
      </c>
      <c r="P89" s="780"/>
      <c r="Q89" s="3032">
        <f>'Abs13. NRCP'!Q14</f>
        <v>0</v>
      </c>
      <c r="R89" s="2962">
        <f>'Abs13. NRCP'!R14</f>
        <v>0</v>
      </c>
      <c r="BB89" s="3222"/>
      <c r="BC89" s="3222"/>
      <c r="BD89" s="3222"/>
      <c r="BE89" s="3222"/>
      <c r="BF89" s="3222"/>
      <c r="BG89" s="3222"/>
      <c r="BH89" s="3222"/>
      <c r="BI89" s="3222"/>
      <c r="BJ89" s="3222"/>
      <c r="BK89" s="3222"/>
      <c r="BL89" s="3222"/>
      <c r="BM89" s="3222"/>
      <c r="BN89" s="3222"/>
      <c r="BO89" s="3222"/>
      <c r="BP89" s="3222"/>
      <c r="BQ89" s="3222"/>
      <c r="BR89" s="3222"/>
      <c r="BS89" s="3222"/>
      <c r="BT89" s="3222"/>
      <c r="BU89" s="3222"/>
      <c r="BV89" s="3222"/>
      <c r="BW89" s="3222"/>
      <c r="BX89" s="3222"/>
      <c r="BY89" s="3222"/>
      <c r="BZ89" s="3222"/>
      <c r="CA89" s="3222"/>
      <c r="CB89" s="3222"/>
      <c r="CC89" s="3222"/>
      <c r="CD89" s="3222"/>
      <c r="CE89" s="3222"/>
      <c r="CF89" s="3222"/>
      <c r="CG89" s="3222"/>
      <c r="CH89" s="3222"/>
      <c r="CI89" s="3215">
        <f t="shared" si="9"/>
        <v>0</v>
      </c>
    </row>
    <row r="90" spans="1:87" s="1674" customFormat="1" ht="14.25" customHeight="1">
      <c r="A90" s="1665"/>
      <c r="B90" s="1665"/>
      <c r="C90" s="1676" t="s">
        <v>4898</v>
      </c>
      <c r="D90" s="2254" t="s">
        <v>4219</v>
      </c>
      <c r="E90" s="1677" t="s">
        <v>4405</v>
      </c>
      <c r="F90" s="457"/>
      <c r="G90" s="457"/>
      <c r="H90" s="457"/>
      <c r="I90" s="457"/>
      <c r="J90" s="457"/>
      <c r="K90" s="457"/>
      <c r="L90" s="283"/>
      <c r="M90" s="298">
        <f t="shared" si="10"/>
        <v>0</v>
      </c>
      <c r="N90" s="283"/>
      <c r="O90" s="3038">
        <f t="shared" si="11"/>
        <v>0</v>
      </c>
      <c r="P90" s="782"/>
      <c r="Q90" s="1268">
        <f>'Abs14. PPCL'!Q14</f>
        <v>0</v>
      </c>
      <c r="R90" s="2963">
        <f>'Abs14. PPCL'!R14</f>
        <v>0</v>
      </c>
      <c r="BB90" s="3221"/>
      <c r="BC90" s="3221"/>
      <c r="BD90" s="3221"/>
      <c r="BE90" s="3221"/>
      <c r="BF90" s="3221"/>
      <c r="BG90" s="3221"/>
      <c r="BH90" s="3221"/>
      <c r="BI90" s="3221"/>
      <c r="BJ90" s="3221"/>
      <c r="BK90" s="3221"/>
      <c r="BL90" s="3221"/>
      <c r="BM90" s="3221"/>
      <c r="BN90" s="3221"/>
      <c r="BO90" s="3221"/>
      <c r="BP90" s="3221"/>
      <c r="BQ90" s="3221"/>
      <c r="BR90" s="3221"/>
      <c r="BS90" s="3221"/>
      <c r="BT90" s="3221"/>
      <c r="BU90" s="3221"/>
      <c r="BV90" s="3221"/>
      <c r="BW90" s="3221"/>
      <c r="BX90" s="3221"/>
      <c r="BY90" s="3221"/>
      <c r="BZ90" s="3221"/>
      <c r="CA90" s="3221"/>
      <c r="CB90" s="3221"/>
      <c r="CC90" s="3221"/>
      <c r="CD90" s="3221"/>
      <c r="CE90" s="3221"/>
      <c r="CF90" s="3221"/>
      <c r="CG90" s="3221"/>
      <c r="CH90" s="3221"/>
      <c r="CI90" s="3215">
        <f t="shared" si="9"/>
        <v>0</v>
      </c>
    </row>
    <row r="91" spans="1:87" s="1289" customFormat="1">
      <c r="A91" s="3970"/>
      <c r="B91" s="3970"/>
      <c r="C91" s="3970"/>
      <c r="D91" s="1597"/>
      <c r="E91" s="1597"/>
      <c r="F91" s="685"/>
      <c r="G91" s="685"/>
      <c r="H91" s="685"/>
      <c r="I91" s="685"/>
      <c r="J91" s="685"/>
      <c r="K91" s="685"/>
      <c r="L91" s="685"/>
      <c r="M91" s="1599"/>
      <c r="N91" s="685"/>
      <c r="O91" s="3028"/>
      <c r="P91" s="764"/>
      <c r="Q91" s="1609"/>
      <c r="R91" s="2927"/>
      <c r="BB91" s="3223"/>
      <c r="BC91" s="3223"/>
      <c r="BD91" s="3223"/>
      <c r="BE91" s="3223"/>
      <c r="BF91" s="3223"/>
      <c r="BG91" s="3223"/>
      <c r="BH91" s="3223"/>
      <c r="BI91" s="3223"/>
      <c r="BJ91" s="3223"/>
      <c r="BK91" s="3223"/>
      <c r="BL91" s="3223"/>
      <c r="BM91" s="3223"/>
      <c r="BN91" s="3223"/>
      <c r="BO91" s="3223"/>
      <c r="BP91" s="3223"/>
      <c r="BQ91" s="3223"/>
      <c r="BR91" s="3223"/>
      <c r="BS91" s="3223"/>
      <c r="BT91" s="3223"/>
      <c r="BU91" s="3223"/>
      <c r="BV91" s="3223"/>
      <c r="BW91" s="3223"/>
      <c r="BX91" s="3223"/>
      <c r="BY91" s="3223"/>
      <c r="BZ91" s="3223"/>
      <c r="CA91" s="3223"/>
      <c r="CB91" s="3223"/>
      <c r="CC91" s="3223"/>
      <c r="CD91" s="3223"/>
      <c r="CE91" s="3223"/>
      <c r="CF91" s="3223"/>
      <c r="CG91" s="3223"/>
      <c r="CH91" s="3223"/>
      <c r="CI91" s="3215">
        <f t="shared" si="9"/>
        <v>0</v>
      </c>
    </row>
    <row r="92" spans="1:87" s="2272" customFormat="1">
      <c r="A92" s="1678"/>
      <c r="B92" s="1678"/>
      <c r="C92" s="1676" t="s">
        <v>4899</v>
      </c>
      <c r="D92" s="2264" t="s">
        <v>80</v>
      </c>
      <c r="E92" s="2269" t="s">
        <v>81</v>
      </c>
      <c r="F92" s="2270"/>
      <c r="G92" s="2270"/>
      <c r="H92" s="2270"/>
      <c r="I92" s="2270"/>
      <c r="J92" s="2270"/>
      <c r="K92" s="2270"/>
      <c r="L92" s="283"/>
      <c r="M92" s="298">
        <f>L92/100000</f>
        <v>0</v>
      </c>
      <c r="N92" s="283"/>
      <c r="O92" s="3038">
        <f>M92*N92</f>
        <v>0</v>
      </c>
      <c r="P92" s="2271"/>
      <c r="Q92" s="1268">
        <f>'Abs15. NPCB'!Q31</f>
        <v>0</v>
      </c>
      <c r="R92" s="2930">
        <f>'Abs15. NPCB'!R31</f>
        <v>0</v>
      </c>
      <c r="BB92" s="3224"/>
      <c r="BC92" s="3224"/>
      <c r="BD92" s="3224"/>
      <c r="BE92" s="3224"/>
      <c r="BF92" s="3224"/>
      <c r="BG92" s="3224"/>
      <c r="BH92" s="3224"/>
      <c r="BI92" s="3224"/>
      <c r="BJ92" s="3224"/>
      <c r="BK92" s="3224"/>
      <c r="BL92" s="3224"/>
      <c r="BM92" s="3224"/>
      <c r="BN92" s="3224"/>
      <c r="BO92" s="3224"/>
      <c r="BP92" s="3224"/>
      <c r="BQ92" s="3224"/>
      <c r="BR92" s="3224"/>
      <c r="BS92" s="3224"/>
      <c r="BT92" s="3224"/>
      <c r="BU92" s="3224"/>
      <c r="BV92" s="3224"/>
      <c r="BW92" s="3224"/>
      <c r="BX92" s="3224"/>
      <c r="BY92" s="3224"/>
      <c r="BZ92" s="3224"/>
      <c r="CA92" s="3224"/>
      <c r="CB92" s="3224"/>
      <c r="CC92" s="3224"/>
      <c r="CD92" s="3224"/>
      <c r="CE92" s="3224"/>
      <c r="CF92" s="3224"/>
      <c r="CG92" s="3224"/>
      <c r="CH92" s="3224"/>
      <c r="CI92" s="3215">
        <f t="shared" si="9"/>
        <v>0</v>
      </c>
    </row>
    <row r="93" spans="1:87" s="2272" customFormat="1">
      <c r="A93" s="1678"/>
      <c r="B93" s="1678"/>
      <c r="C93" s="1676" t="s">
        <v>4900</v>
      </c>
      <c r="D93" s="2264" t="s">
        <v>80</v>
      </c>
      <c r="E93" s="1679" t="s">
        <v>145</v>
      </c>
      <c r="F93" s="2270"/>
      <c r="G93" s="2270"/>
      <c r="H93" s="2270"/>
      <c r="I93" s="2270"/>
      <c r="J93" s="2270"/>
      <c r="K93" s="2270"/>
      <c r="L93" s="283"/>
      <c r="M93" s="298">
        <f>L93/100000</f>
        <v>0</v>
      </c>
      <c r="N93" s="283"/>
      <c r="O93" s="3038">
        <f>M93*N93</f>
        <v>0</v>
      </c>
      <c r="P93" s="2271"/>
      <c r="Q93" s="1268">
        <f>'Abs16. NMHP'!Q26</f>
        <v>0</v>
      </c>
      <c r="R93" s="2930">
        <f>'Abs16. NMHP'!R26</f>
        <v>0</v>
      </c>
      <c r="BB93" s="3224"/>
      <c r="BC93" s="3224"/>
      <c r="BD93" s="3224"/>
      <c r="BE93" s="3224"/>
      <c r="BF93" s="3224"/>
      <c r="BG93" s="3224"/>
      <c r="BH93" s="3224"/>
      <c r="BI93" s="3224"/>
      <c r="BJ93" s="3224"/>
      <c r="BK93" s="3224"/>
      <c r="BL93" s="3224"/>
      <c r="BM93" s="3224"/>
      <c r="BN93" s="3224"/>
      <c r="BO93" s="3224"/>
      <c r="BP93" s="3224"/>
      <c r="BQ93" s="3224"/>
      <c r="BR93" s="3224"/>
      <c r="BS93" s="3224"/>
      <c r="BT93" s="3224"/>
      <c r="BU93" s="3224"/>
      <c r="BV93" s="3224"/>
      <c r="BW93" s="3224"/>
      <c r="BX93" s="3224"/>
      <c r="BY93" s="3224"/>
      <c r="BZ93" s="3224"/>
      <c r="CA93" s="3224"/>
      <c r="CB93" s="3224"/>
      <c r="CC93" s="3224"/>
      <c r="CD93" s="3224"/>
      <c r="CE93" s="3224"/>
      <c r="CF93" s="3224"/>
      <c r="CG93" s="3224"/>
      <c r="CH93" s="3224"/>
      <c r="CI93" s="3215">
        <f t="shared" si="9"/>
        <v>0</v>
      </c>
    </row>
    <row r="94" spans="1:87" s="2272" customFormat="1">
      <c r="A94" s="1678"/>
      <c r="B94" s="1678"/>
      <c r="C94" s="1676" t="s">
        <v>4901</v>
      </c>
      <c r="D94" s="2264" t="s">
        <v>80</v>
      </c>
      <c r="E94" s="2269" t="s">
        <v>394</v>
      </c>
      <c r="F94" s="2270"/>
      <c r="G94" s="2270"/>
      <c r="H94" s="2270"/>
      <c r="I94" s="2270"/>
      <c r="J94" s="2270"/>
      <c r="K94" s="2270"/>
      <c r="L94" s="283"/>
      <c r="M94" s="298">
        <f>L94/100000</f>
        <v>0</v>
      </c>
      <c r="N94" s="283"/>
      <c r="O94" s="3038">
        <f>M94*N94</f>
        <v>0</v>
      </c>
      <c r="P94" s="2271"/>
      <c r="Q94" s="1268">
        <f>'Abs17. NPHCE'!Q31</f>
        <v>0</v>
      </c>
      <c r="R94" s="3034">
        <f>'Abs17. NPHCE'!R31</f>
        <v>0</v>
      </c>
      <c r="BB94" s="3224"/>
      <c r="BC94" s="3224"/>
      <c r="BD94" s="3224"/>
      <c r="BE94" s="3224"/>
      <c r="BF94" s="3224"/>
      <c r="BG94" s="3224"/>
      <c r="BH94" s="3224"/>
      <c r="BI94" s="3224"/>
      <c r="BJ94" s="3224"/>
      <c r="BK94" s="3224"/>
      <c r="BL94" s="3224"/>
      <c r="BM94" s="3224"/>
      <c r="BN94" s="3224"/>
      <c r="BO94" s="3224"/>
      <c r="BP94" s="3224"/>
      <c r="BQ94" s="3224"/>
      <c r="BR94" s="3224"/>
      <c r="BS94" s="3224"/>
      <c r="BT94" s="3224"/>
      <c r="BU94" s="3224"/>
      <c r="BV94" s="3224"/>
      <c r="BW94" s="3224"/>
      <c r="BX94" s="3224"/>
      <c r="BY94" s="3224"/>
      <c r="BZ94" s="3224"/>
      <c r="CA94" s="3224"/>
      <c r="CB94" s="3224"/>
      <c r="CC94" s="3224"/>
      <c r="CD94" s="3224"/>
      <c r="CE94" s="3224"/>
      <c r="CF94" s="3224"/>
      <c r="CG94" s="3224"/>
      <c r="CH94" s="3224"/>
      <c r="CI94" s="3215">
        <f t="shared" si="9"/>
        <v>0</v>
      </c>
    </row>
    <row r="95" spans="1:87">
      <c r="A95" s="1290">
        <v>12.14</v>
      </c>
      <c r="B95" s="1148"/>
      <c r="C95" s="1148" t="s">
        <v>1552</v>
      </c>
      <c r="D95" s="1660"/>
      <c r="E95" s="1660"/>
      <c r="F95" s="267"/>
      <c r="G95" s="267"/>
      <c r="H95" s="267"/>
      <c r="I95" s="267"/>
      <c r="J95" s="267"/>
      <c r="K95" s="267"/>
      <c r="L95" s="267"/>
      <c r="M95" s="1453"/>
      <c r="N95" s="267"/>
      <c r="O95" s="3036">
        <f>SUM(O96:O97)</f>
        <v>0</v>
      </c>
      <c r="P95" s="779"/>
      <c r="Q95" s="1602"/>
      <c r="R95" s="2872">
        <f>SUM(R96:R97)</f>
        <v>0</v>
      </c>
      <c r="BB95" s="3222"/>
      <c r="BC95" s="3222"/>
      <c r="BD95" s="3222"/>
      <c r="BE95" s="3222"/>
      <c r="BF95" s="3222"/>
      <c r="BG95" s="3222"/>
      <c r="BH95" s="3222"/>
      <c r="BI95" s="3222"/>
      <c r="BJ95" s="3222"/>
      <c r="BK95" s="3222"/>
      <c r="BL95" s="3222"/>
      <c r="BM95" s="3222"/>
      <c r="BN95" s="3222"/>
      <c r="BO95" s="3222"/>
      <c r="BP95" s="3222"/>
      <c r="BQ95" s="3222"/>
      <c r="BR95" s="3222"/>
      <c r="BS95" s="3222"/>
      <c r="BT95" s="3222"/>
      <c r="BU95" s="3222"/>
      <c r="BV95" s="3222"/>
      <c r="BW95" s="3222"/>
      <c r="BX95" s="3222"/>
      <c r="BY95" s="3222"/>
      <c r="BZ95" s="3222"/>
      <c r="CA95" s="3222"/>
      <c r="CB95" s="3222"/>
      <c r="CC95" s="3222"/>
      <c r="CD95" s="3222"/>
      <c r="CE95" s="3222"/>
      <c r="CF95" s="3222"/>
      <c r="CG95" s="3222"/>
      <c r="CH95" s="3222"/>
      <c r="CI95" s="3215">
        <f t="shared" si="9"/>
        <v>0</v>
      </c>
    </row>
    <row r="96" spans="1:87">
      <c r="A96" s="1662" t="s">
        <v>1553</v>
      </c>
      <c r="B96" s="509" t="s">
        <v>1554</v>
      </c>
      <c r="C96" s="509" t="s">
        <v>1555</v>
      </c>
      <c r="D96" s="1549" t="s">
        <v>80</v>
      </c>
      <c r="E96" s="1643" t="s">
        <v>147</v>
      </c>
      <c r="F96" s="455">
        <v>0</v>
      </c>
      <c r="G96" s="455"/>
      <c r="H96" s="455">
        <v>0</v>
      </c>
      <c r="I96" s="453"/>
      <c r="J96" s="455"/>
      <c r="K96" s="348"/>
      <c r="L96" s="277"/>
      <c r="M96" s="297">
        <f>L96/100000</f>
        <v>0</v>
      </c>
      <c r="N96" s="277"/>
      <c r="O96" s="3037">
        <f>M96*N96</f>
        <v>0</v>
      </c>
      <c r="P96" s="783"/>
      <c r="Q96" s="3032">
        <f>'Abs18. NTCP'!Q26</f>
        <v>0</v>
      </c>
      <c r="R96" s="2959">
        <f>'Abs18. NTCP'!R26</f>
        <v>0</v>
      </c>
      <c r="BB96" s="3222"/>
      <c r="BC96" s="3222"/>
      <c r="BD96" s="3222"/>
      <c r="BE96" s="3222"/>
      <c r="BF96" s="3222"/>
      <c r="BG96" s="3222"/>
      <c r="BH96" s="3222"/>
      <c r="BI96" s="3222"/>
      <c r="BJ96" s="3222"/>
      <c r="BK96" s="3222"/>
      <c r="BL96" s="3222"/>
      <c r="BM96" s="3222"/>
      <c r="BN96" s="3222"/>
      <c r="BO96" s="3222"/>
      <c r="BP96" s="3222"/>
      <c r="BQ96" s="3222"/>
      <c r="BR96" s="3222"/>
      <c r="BS96" s="3222"/>
      <c r="BT96" s="3222"/>
      <c r="BU96" s="3222"/>
      <c r="BV96" s="3222"/>
      <c r="BW96" s="3222"/>
      <c r="BX96" s="3222"/>
      <c r="BY96" s="3222"/>
      <c r="BZ96" s="3222"/>
      <c r="CA96" s="3222"/>
      <c r="CB96" s="3222"/>
      <c r="CC96" s="3222"/>
      <c r="CD96" s="3222"/>
      <c r="CE96" s="3222"/>
      <c r="CF96" s="3222"/>
      <c r="CG96" s="3222"/>
      <c r="CH96" s="3222"/>
      <c r="CI96" s="3215">
        <f t="shared" si="9"/>
        <v>0</v>
      </c>
    </row>
    <row r="97" spans="1:87">
      <c r="A97" s="1662" t="s">
        <v>1556</v>
      </c>
      <c r="B97" s="521"/>
      <c r="C97" s="509" t="s">
        <v>1304</v>
      </c>
      <c r="D97" s="1549" t="s">
        <v>80</v>
      </c>
      <c r="E97" s="1643" t="s">
        <v>147</v>
      </c>
      <c r="F97" s="455">
        <v>0</v>
      </c>
      <c r="G97" s="455"/>
      <c r="H97" s="455">
        <v>0</v>
      </c>
      <c r="I97" s="455"/>
      <c r="J97" s="455"/>
      <c r="K97" s="452"/>
      <c r="L97" s="277"/>
      <c r="M97" s="297">
        <f>L97/100000</f>
        <v>0</v>
      </c>
      <c r="N97" s="277"/>
      <c r="O97" s="3037">
        <f>M97*N97</f>
        <v>0</v>
      </c>
      <c r="P97" s="780"/>
      <c r="Q97" s="3032">
        <f>'Abs18. NTCP'!Q27</f>
        <v>0</v>
      </c>
      <c r="R97" s="2959">
        <f>'Abs18. NTCP'!R27</f>
        <v>0</v>
      </c>
      <c r="BB97" s="3222"/>
      <c r="BC97" s="3222"/>
      <c r="BD97" s="3222"/>
      <c r="BE97" s="3222"/>
      <c r="BF97" s="3222"/>
      <c r="BG97" s="3222"/>
      <c r="BH97" s="3222"/>
      <c r="BI97" s="3222"/>
      <c r="BJ97" s="3222"/>
      <c r="BK97" s="3222"/>
      <c r="BL97" s="3222"/>
      <c r="BM97" s="3222"/>
      <c r="BN97" s="3222"/>
      <c r="BO97" s="3222"/>
      <c r="BP97" s="3222"/>
      <c r="BQ97" s="3222"/>
      <c r="BR97" s="3222"/>
      <c r="BS97" s="3222"/>
      <c r="BT97" s="3222"/>
      <c r="BU97" s="3222"/>
      <c r="BV97" s="3222"/>
      <c r="BW97" s="3222"/>
      <c r="BX97" s="3222"/>
      <c r="BY97" s="3222"/>
      <c r="BZ97" s="3222"/>
      <c r="CA97" s="3222"/>
      <c r="CB97" s="3222"/>
      <c r="CC97" s="3222"/>
      <c r="CD97" s="3222"/>
      <c r="CE97" s="3222"/>
      <c r="CF97" s="3222"/>
      <c r="CG97" s="3222"/>
      <c r="CH97" s="3222"/>
      <c r="CI97" s="3215">
        <f t="shared" si="9"/>
        <v>0</v>
      </c>
    </row>
    <row r="98" spans="1:87">
      <c r="A98" s="1290">
        <v>12.15</v>
      </c>
      <c r="B98" s="1148"/>
      <c r="C98" s="1148" t="s">
        <v>1557</v>
      </c>
      <c r="D98" s="1660"/>
      <c r="E98" s="1660"/>
      <c r="F98" s="267"/>
      <c r="G98" s="267"/>
      <c r="H98" s="267"/>
      <c r="I98" s="267"/>
      <c r="J98" s="267"/>
      <c r="K98" s="267"/>
      <c r="L98" s="267"/>
      <c r="M98" s="1453"/>
      <c r="N98" s="267"/>
      <c r="O98" s="3036">
        <f>SUM(O99:O102)</f>
        <v>20</v>
      </c>
      <c r="P98" s="779"/>
      <c r="Q98" s="1602"/>
      <c r="R98" s="2872">
        <f>SUM(R99:R102)</f>
        <v>20</v>
      </c>
      <c r="BB98" s="3222"/>
      <c r="BC98" s="3222"/>
      <c r="BD98" s="3222"/>
      <c r="BE98" s="3222"/>
      <c r="BF98" s="3222"/>
      <c r="BG98" s="3222"/>
      <c r="BH98" s="3222"/>
      <c r="BI98" s="3222"/>
      <c r="BJ98" s="3222"/>
      <c r="BK98" s="3222"/>
      <c r="BL98" s="3222"/>
      <c r="BM98" s="3222"/>
      <c r="BN98" s="3222"/>
      <c r="BO98" s="3222"/>
      <c r="BP98" s="3222"/>
      <c r="BQ98" s="3222"/>
      <c r="BR98" s="3222"/>
      <c r="BS98" s="3222"/>
      <c r="BT98" s="3222"/>
      <c r="BU98" s="3222"/>
      <c r="BV98" s="3222"/>
      <c r="BW98" s="3222"/>
      <c r="BX98" s="3222"/>
      <c r="BY98" s="3222"/>
      <c r="BZ98" s="3222"/>
      <c r="CA98" s="3222"/>
      <c r="CB98" s="3222"/>
      <c r="CC98" s="3222"/>
      <c r="CD98" s="3222"/>
      <c r="CE98" s="3222"/>
      <c r="CF98" s="3222"/>
      <c r="CG98" s="3222"/>
      <c r="CH98" s="3222"/>
      <c r="CI98" s="3215">
        <f t="shared" si="9"/>
        <v>0</v>
      </c>
    </row>
    <row r="99" spans="1:87">
      <c r="A99" s="1662" t="s">
        <v>1558</v>
      </c>
      <c r="B99" s="1675" t="s">
        <v>1559</v>
      </c>
      <c r="C99" s="1645" t="s">
        <v>1560</v>
      </c>
      <c r="D99" s="1549" t="s">
        <v>80</v>
      </c>
      <c r="E99" s="1643" t="s">
        <v>410</v>
      </c>
      <c r="F99" s="455">
        <v>0</v>
      </c>
      <c r="G99" s="455"/>
      <c r="H99" s="455">
        <v>0</v>
      </c>
      <c r="I99" s="455"/>
      <c r="J99" s="455"/>
      <c r="K99" s="452"/>
      <c r="L99" s="277"/>
      <c r="M99" s="297">
        <f t="shared" ref="M99:M109" si="12">L99/100000</f>
        <v>0</v>
      </c>
      <c r="N99" s="277"/>
      <c r="O99" s="3037">
        <f t="shared" ref="O99:O109" si="13">M99*N99</f>
        <v>0</v>
      </c>
      <c r="P99" s="780"/>
      <c r="Q99" s="3032">
        <f>'Abs19. NPCDCS'!Q52</f>
        <v>0</v>
      </c>
      <c r="R99" s="2959">
        <f>'Abs19. NPCDCS'!R52</f>
        <v>0</v>
      </c>
      <c r="BB99" s="3222"/>
      <c r="BC99" s="3222"/>
      <c r="BD99" s="3222"/>
      <c r="BE99" s="3222"/>
      <c r="BF99" s="3222"/>
      <c r="BG99" s="3222"/>
      <c r="BH99" s="3222"/>
      <c r="BI99" s="3222"/>
      <c r="BJ99" s="3222"/>
      <c r="BK99" s="3222"/>
      <c r="BL99" s="3222"/>
      <c r="BM99" s="3222"/>
      <c r="BN99" s="3222"/>
      <c r="BO99" s="3222"/>
      <c r="BP99" s="3222"/>
      <c r="BQ99" s="3222"/>
      <c r="BR99" s="3222"/>
      <c r="BS99" s="3222"/>
      <c r="BT99" s="3222"/>
      <c r="BU99" s="3222"/>
      <c r="BV99" s="3222"/>
      <c r="BW99" s="3222"/>
      <c r="BX99" s="3222"/>
      <c r="BY99" s="3222"/>
      <c r="BZ99" s="3222"/>
      <c r="CA99" s="3222"/>
      <c r="CB99" s="3222"/>
      <c r="CC99" s="3222"/>
      <c r="CD99" s="3222"/>
      <c r="CE99" s="3222"/>
      <c r="CF99" s="3222"/>
      <c r="CG99" s="3222"/>
      <c r="CH99" s="3222"/>
      <c r="CI99" s="3215">
        <f t="shared" si="9"/>
        <v>0</v>
      </c>
    </row>
    <row r="100" spans="1:87" s="1674" customFormat="1">
      <c r="A100" s="1665" t="s">
        <v>1561</v>
      </c>
      <c r="B100" s="1680" t="s">
        <v>1562</v>
      </c>
      <c r="C100" s="1673" t="s">
        <v>1563</v>
      </c>
      <c r="D100" s="2264" t="s">
        <v>80</v>
      </c>
      <c r="E100" s="1677" t="s">
        <v>410</v>
      </c>
      <c r="F100" s="456">
        <v>1</v>
      </c>
      <c r="G100" s="456"/>
      <c r="H100" s="456">
        <v>5</v>
      </c>
      <c r="I100" s="456">
        <v>3.28</v>
      </c>
      <c r="J100" s="456">
        <f>H100-I100</f>
        <v>1.7200000000000002</v>
      </c>
      <c r="K100" s="2593"/>
      <c r="L100" s="2519">
        <v>1000000</v>
      </c>
      <c r="M100" s="298">
        <f t="shared" si="12"/>
        <v>10</v>
      </c>
      <c r="N100" s="283">
        <v>1</v>
      </c>
      <c r="O100" s="3038">
        <f t="shared" si="13"/>
        <v>10</v>
      </c>
      <c r="P100" s="2594" t="s">
        <v>5308</v>
      </c>
      <c r="Q100" s="1268" t="str">
        <f>'Abs19. NPCDCS'!Q53</f>
        <v>Recommended for approval</v>
      </c>
      <c r="R100" s="2960">
        <f>'Abs19. NPCDCS'!R53</f>
        <v>10</v>
      </c>
      <c r="BB100" s="3221">
        <v>10</v>
      </c>
      <c r="BC100" s="3221"/>
      <c r="BD100" s="3221"/>
      <c r="BE100" s="3221"/>
      <c r="BF100" s="3221"/>
      <c r="BG100" s="3221"/>
      <c r="BH100" s="3221"/>
      <c r="BI100" s="3221"/>
      <c r="BJ100" s="3221"/>
      <c r="BK100" s="3221"/>
      <c r="BL100" s="3221"/>
      <c r="BM100" s="3221"/>
      <c r="BN100" s="3221"/>
      <c r="BO100" s="3221"/>
      <c r="BP100" s="3221"/>
      <c r="BQ100" s="3221"/>
      <c r="BR100" s="3221"/>
      <c r="BS100" s="3221"/>
      <c r="BT100" s="3221"/>
      <c r="BU100" s="3221"/>
      <c r="BV100" s="3221"/>
      <c r="BW100" s="3221"/>
      <c r="BX100" s="3221"/>
      <c r="BY100" s="3221"/>
      <c r="BZ100" s="3221"/>
      <c r="CA100" s="3221"/>
      <c r="CB100" s="3221"/>
      <c r="CC100" s="3221"/>
      <c r="CD100" s="3221"/>
      <c r="CE100" s="3221"/>
      <c r="CF100" s="3221"/>
      <c r="CG100" s="3221"/>
      <c r="CH100" s="3221"/>
      <c r="CI100" s="3215">
        <f t="shared" si="9"/>
        <v>10</v>
      </c>
    </row>
    <row r="101" spans="1:87" s="1674" customFormat="1" ht="75">
      <c r="A101" s="1665" t="s">
        <v>1564</v>
      </c>
      <c r="B101" s="1680"/>
      <c r="C101" s="1628" t="s">
        <v>2458</v>
      </c>
      <c r="D101" s="2264" t="s">
        <v>80</v>
      </c>
      <c r="E101" s="1677" t="s">
        <v>410</v>
      </c>
      <c r="F101" s="456">
        <v>1</v>
      </c>
      <c r="G101" s="456"/>
      <c r="H101" s="456">
        <v>10</v>
      </c>
      <c r="I101" s="456">
        <v>0.14000000000000001</v>
      </c>
      <c r="J101" s="456">
        <v>9.86</v>
      </c>
      <c r="K101" s="2595"/>
      <c r="L101" s="2519">
        <v>1000000</v>
      </c>
      <c r="M101" s="298">
        <f t="shared" si="12"/>
        <v>10</v>
      </c>
      <c r="N101" s="283">
        <v>1</v>
      </c>
      <c r="O101" s="3038">
        <f t="shared" si="13"/>
        <v>10</v>
      </c>
      <c r="P101" s="2596" t="s">
        <v>5309</v>
      </c>
      <c r="Q101" s="1268" t="str">
        <f>'Abs19. NPCDCS'!Q54</f>
        <v>Recommended for approval Rs. 10L for printing of 5 L revised CBAC form @ Rs. 2 per formState to ensure that there is no duplication with the printing of family folder proposed under CPHC</v>
      </c>
      <c r="R101" s="2960">
        <f>'Abs19. NPCDCS'!R54</f>
        <v>10</v>
      </c>
      <c r="BB101" s="3221">
        <v>10</v>
      </c>
      <c r="BC101" s="3221"/>
      <c r="BD101" s="3221"/>
      <c r="BE101" s="3221"/>
      <c r="BF101" s="3221"/>
      <c r="BG101" s="3221"/>
      <c r="BH101" s="3221"/>
      <c r="BI101" s="3221"/>
      <c r="BJ101" s="3221"/>
      <c r="BK101" s="3221"/>
      <c r="BL101" s="3221"/>
      <c r="BM101" s="3221"/>
      <c r="BN101" s="3221"/>
      <c r="BO101" s="3221"/>
      <c r="BP101" s="3221"/>
      <c r="BQ101" s="3221"/>
      <c r="BR101" s="3221"/>
      <c r="BS101" s="3221"/>
      <c r="BT101" s="3221"/>
      <c r="BU101" s="3221"/>
      <c r="BV101" s="3221"/>
      <c r="BW101" s="3221"/>
      <c r="BX101" s="3221"/>
      <c r="BY101" s="3221"/>
      <c r="BZ101" s="3221"/>
      <c r="CA101" s="3221"/>
      <c r="CB101" s="3221"/>
      <c r="CC101" s="3221"/>
      <c r="CD101" s="3221"/>
      <c r="CE101" s="3221"/>
      <c r="CF101" s="3221"/>
      <c r="CG101" s="3221"/>
      <c r="CH101" s="3221"/>
      <c r="CI101" s="3215">
        <f t="shared" si="9"/>
        <v>10</v>
      </c>
    </row>
    <row r="102" spans="1:87">
      <c r="A102" s="1662" t="s">
        <v>2777</v>
      </c>
      <c r="B102" s="1680"/>
      <c r="C102" s="1645" t="s">
        <v>1304</v>
      </c>
      <c r="D102" s="1549" t="s">
        <v>80</v>
      </c>
      <c r="E102" s="1643" t="s">
        <v>410</v>
      </c>
      <c r="F102" s="455">
        <v>0</v>
      </c>
      <c r="G102" s="455"/>
      <c r="H102" s="455">
        <v>0</v>
      </c>
      <c r="I102" s="455"/>
      <c r="J102" s="455"/>
      <c r="K102" s="452"/>
      <c r="L102" s="277"/>
      <c r="M102" s="297">
        <f t="shared" si="12"/>
        <v>0</v>
      </c>
      <c r="N102" s="277"/>
      <c r="O102" s="3037">
        <f t="shared" si="13"/>
        <v>0</v>
      </c>
      <c r="P102" s="780"/>
      <c r="Q102" s="3032">
        <f>'Abs19. NPCDCS'!Q55</f>
        <v>0</v>
      </c>
      <c r="R102" s="2959">
        <f>'Abs19. NPCDCS'!R55</f>
        <v>0</v>
      </c>
      <c r="BB102" s="3222"/>
      <c r="BC102" s="3222"/>
      <c r="BD102" s="3222"/>
      <c r="BE102" s="3222"/>
      <c r="BF102" s="3222"/>
      <c r="BG102" s="3222"/>
      <c r="BH102" s="3222"/>
      <c r="BI102" s="3222"/>
      <c r="BJ102" s="3222"/>
      <c r="BK102" s="3222"/>
      <c r="BL102" s="3222"/>
      <c r="BM102" s="3222"/>
      <c r="BN102" s="3222"/>
      <c r="BO102" s="3222"/>
      <c r="BP102" s="3222"/>
      <c r="BQ102" s="3222"/>
      <c r="BR102" s="3222"/>
      <c r="BS102" s="3222"/>
      <c r="BT102" s="3222"/>
      <c r="BU102" s="3222"/>
      <c r="BV102" s="3222"/>
      <c r="BW102" s="3222"/>
      <c r="BX102" s="3222"/>
      <c r="BY102" s="3222"/>
      <c r="BZ102" s="3222"/>
      <c r="CA102" s="3222"/>
      <c r="CB102" s="3222"/>
      <c r="CC102" s="3222"/>
      <c r="CD102" s="3222"/>
      <c r="CE102" s="3222"/>
      <c r="CF102" s="3222"/>
      <c r="CG102" s="3222"/>
      <c r="CH102" s="3222"/>
      <c r="CI102" s="3215">
        <f t="shared" si="9"/>
        <v>0</v>
      </c>
    </row>
    <row r="103" spans="1:87" s="2272" customFormat="1">
      <c r="A103" s="1678"/>
      <c r="B103" s="1678"/>
      <c r="C103" s="1676" t="s">
        <v>4902</v>
      </c>
      <c r="D103" s="2264" t="s">
        <v>80</v>
      </c>
      <c r="E103" s="2269" t="s">
        <v>4668</v>
      </c>
      <c r="F103" s="2270"/>
      <c r="G103" s="2270"/>
      <c r="H103" s="2270"/>
      <c r="I103" s="2270"/>
      <c r="J103" s="2270"/>
      <c r="K103" s="2270"/>
      <c r="L103" s="283"/>
      <c r="M103" s="298">
        <f t="shared" si="12"/>
        <v>0</v>
      </c>
      <c r="N103" s="283"/>
      <c r="O103" s="3038">
        <f t="shared" si="13"/>
        <v>0</v>
      </c>
      <c r="P103" s="2271"/>
      <c r="Q103" s="1268">
        <f>'Abs20. PMNDP'!Q21</f>
        <v>0</v>
      </c>
      <c r="R103" s="3034">
        <f>'Abs20. PMNDP'!R21</f>
        <v>0</v>
      </c>
      <c r="BB103" s="3224"/>
      <c r="BC103" s="3224"/>
      <c r="BD103" s="3224"/>
      <c r="BE103" s="3224"/>
      <c r="BF103" s="3224"/>
      <c r="BG103" s="3224"/>
      <c r="BH103" s="3224"/>
      <c r="BI103" s="3224"/>
      <c r="BJ103" s="3224"/>
      <c r="BK103" s="3224"/>
      <c r="BL103" s="3224"/>
      <c r="BM103" s="3224"/>
      <c r="BN103" s="3224"/>
      <c r="BO103" s="3224"/>
      <c r="BP103" s="3224"/>
      <c r="BQ103" s="3224"/>
      <c r="BR103" s="3224"/>
      <c r="BS103" s="3224"/>
      <c r="BT103" s="3224"/>
      <c r="BU103" s="3224"/>
      <c r="BV103" s="3224"/>
      <c r="BW103" s="3224"/>
      <c r="BX103" s="3224"/>
      <c r="BY103" s="3224"/>
      <c r="BZ103" s="3224"/>
      <c r="CA103" s="3224"/>
      <c r="CB103" s="3224"/>
      <c r="CC103" s="3224"/>
      <c r="CD103" s="3224"/>
      <c r="CE103" s="3224"/>
      <c r="CF103" s="3224"/>
      <c r="CG103" s="3224"/>
      <c r="CH103" s="3224"/>
      <c r="CI103" s="3215">
        <f t="shared" si="9"/>
        <v>0</v>
      </c>
    </row>
    <row r="104" spans="1:87" s="1674" customFormat="1" ht="30">
      <c r="A104" s="1665" t="s">
        <v>3864</v>
      </c>
      <c r="B104" s="1665"/>
      <c r="C104" s="1676" t="s">
        <v>3999</v>
      </c>
      <c r="D104" s="2264" t="s">
        <v>80</v>
      </c>
      <c r="E104" s="1677" t="s">
        <v>3989</v>
      </c>
      <c r="F104" s="457">
        <v>0</v>
      </c>
      <c r="G104" s="457"/>
      <c r="H104" s="457">
        <v>0</v>
      </c>
      <c r="I104" s="457"/>
      <c r="J104" s="457"/>
      <c r="K104" s="457"/>
      <c r="L104" s="283">
        <v>630</v>
      </c>
      <c r="M104" s="298">
        <f t="shared" si="12"/>
        <v>6.3E-3</v>
      </c>
      <c r="N104" s="283">
        <v>50</v>
      </c>
      <c r="O104" s="3038">
        <f t="shared" si="13"/>
        <v>0.315</v>
      </c>
      <c r="P104" s="2638" t="s">
        <v>5462</v>
      </c>
      <c r="Q104" s="1268" t="str">
        <f>'Abs21. NPCCHH'!Q18</f>
        <v>Recommended for approval</v>
      </c>
      <c r="R104" s="2963">
        <f>'Abs21. NPCCHH'!R18</f>
        <v>0.32</v>
      </c>
      <c r="BB104" s="3221">
        <v>0.32</v>
      </c>
      <c r="BC104" s="3221"/>
      <c r="BD104" s="3221"/>
      <c r="BE104" s="3221"/>
      <c r="BF104" s="3221"/>
      <c r="BG104" s="3221"/>
      <c r="BH104" s="3221"/>
      <c r="BI104" s="3221"/>
      <c r="BJ104" s="3221"/>
      <c r="BK104" s="3221"/>
      <c r="BL104" s="3221"/>
      <c r="BM104" s="3221"/>
      <c r="BN104" s="3221"/>
      <c r="BO104" s="3221"/>
      <c r="BP104" s="3221"/>
      <c r="BQ104" s="3221"/>
      <c r="BR104" s="3221"/>
      <c r="BS104" s="3221"/>
      <c r="BT104" s="3221"/>
      <c r="BU104" s="3221"/>
      <c r="BV104" s="3221"/>
      <c r="BW104" s="3221"/>
      <c r="BX104" s="3221"/>
      <c r="BY104" s="3221"/>
      <c r="BZ104" s="3221"/>
      <c r="CA104" s="3221"/>
      <c r="CB104" s="3221"/>
      <c r="CC104" s="3221"/>
      <c r="CD104" s="3221"/>
      <c r="CE104" s="3221"/>
      <c r="CF104" s="3221"/>
      <c r="CG104" s="3221"/>
      <c r="CH104" s="3221"/>
      <c r="CI104" s="3215">
        <f t="shared" si="9"/>
        <v>0.32</v>
      </c>
    </row>
    <row r="105" spans="1:87" s="2272" customFormat="1">
      <c r="A105" s="1678"/>
      <c r="B105" s="1678"/>
      <c r="C105" s="1676" t="s">
        <v>4905</v>
      </c>
      <c r="D105" s="2264" t="s">
        <v>80</v>
      </c>
      <c r="E105" s="2269" t="s">
        <v>1014</v>
      </c>
      <c r="F105" s="2270"/>
      <c r="G105" s="2270"/>
      <c r="H105" s="2270"/>
      <c r="I105" s="2270"/>
      <c r="J105" s="2270"/>
      <c r="K105" s="2270"/>
      <c r="L105" s="283"/>
      <c r="M105" s="298">
        <f t="shared" si="12"/>
        <v>0</v>
      </c>
      <c r="N105" s="283"/>
      <c r="O105" s="3038">
        <f t="shared" si="13"/>
        <v>0</v>
      </c>
      <c r="P105" s="2271"/>
      <c r="Q105" s="1268">
        <f>'Abs22. NPPCD'!Q18</f>
        <v>0</v>
      </c>
      <c r="R105" s="2924">
        <f>'Abs22. NPPCD'!R18</f>
        <v>0</v>
      </c>
      <c r="BB105" s="3224"/>
      <c r="BC105" s="3224"/>
      <c r="BD105" s="3224"/>
      <c r="BE105" s="3224"/>
      <c r="BF105" s="3224"/>
      <c r="BG105" s="3224"/>
      <c r="BH105" s="3224"/>
      <c r="BI105" s="3224"/>
      <c r="BJ105" s="3224"/>
      <c r="BK105" s="3224"/>
      <c r="BL105" s="3224"/>
      <c r="BM105" s="3224"/>
      <c r="BN105" s="3224"/>
      <c r="BO105" s="3224"/>
      <c r="BP105" s="3224"/>
      <c r="BQ105" s="3224"/>
      <c r="BR105" s="3224"/>
      <c r="BS105" s="3224"/>
      <c r="BT105" s="3224"/>
      <c r="BU105" s="3224"/>
      <c r="BV105" s="3224"/>
      <c r="BW105" s="3224"/>
      <c r="BX105" s="3224"/>
      <c r="BY105" s="3224"/>
      <c r="BZ105" s="3224"/>
      <c r="CA105" s="3224"/>
      <c r="CB105" s="3224"/>
      <c r="CC105" s="3224"/>
      <c r="CD105" s="3224"/>
      <c r="CE105" s="3224"/>
      <c r="CF105" s="3224"/>
      <c r="CG105" s="3224"/>
      <c r="CH105" s="3224"/>
      <c r="CI105" s="3215">
        <f t="shared" si="9"/>
        <v>0</v>
      </c>
    </row>
    <row r="106" spans="1:87" s="2272" customFormat="1">
      <c r="A106" s="1678"/>
      <c r="B106" s="1678"/>
      <c r="C106" s="1676" t="s">
        <v>4907</v>
      </c>
      <c r="D106" s="2264" t="s">
        <v>80</v>
      </c>
      <c r="E106" s="2269" t="s">
        <v>1028</v>
      </c>
      <c r="F106" s="2270"/>
      <c r="G106" s="2270"/>
      <c r="H106" s="2270"/>
      <c r="I106" s="2270"/>
      <c r="J106" s="2270"/>
      <c r="K106" s="2270"/>
      <c r="L106" s="283"/>
      <c r="M106" s="298">
        <f t="shared" si="12"/>
        <v>0</v>
      </c>
      <c r="N106" s="283"/>
      <c r="O106" s="3038">
        <f t="shared" si="13"/>
        <v>0</v>
      </c>
      <c r="P106" s="2271"/>
      <c r="Q106" s="1268">
        <f>'Abs23. NPPCF'!Q18</f>
        <v>0</v>
      </c>
      <c r="R106" s="2930">
        <f>'Abs23. NPPCF'!R18</f>
        <v>0</v>
      </c>
      <c r="BB106" s="3224"/>
      <c r="BC106" s="3224"/>
      <c r="BD106" s="3224"/>
      <c r="BE106" s="3224"/>
      <c r="BF106" s="3224"/>
      <c r="BG106" s="3224"/>
      <c r="BH106" s="3224"/>
      <c r="BI106" s="3224"/>
      <c r="BJ106" s="3224"/>
      <c r="BK106" s="3224"/>
      <c r="BL106" s="3224"/>
      <c r="BM106" s="3224"/>
      <c r="BN106" s="3224"/>
      <c r="BO106" s="3224"/>
      <c r="BP106" s="3224"/>
      <c r="BQ106" s="3224"/>
      <c r="BR106" s="3224"/>
      <c r="BS106" s="3224"/>
      <c r="BT106" s="3224"/>
      <c r="BU106" s="3224"/>
      <c r="BV106" s="3224"/>
      <c r="BW106" s="3224"/>
      <c r="BX106" s="3224"/>
      <c r="BY106" s="3224"/>
      <c r="BZ106" s="3224"/>
      <c r="CA106" s="3224"/>
      <c r="CB106" s="3224"/>
      <c r="CC106" s="3224"/>
      <c r="CD106" s="3224"/>
      <c r="CE106" s="3224"/>
      <c r="CF106" s="3224"/>
      <c r="CG106" s="3224"/>
      <c r="CH106" s="3224"/>
      <c r="CI106" s="3215">
        <f t="shared" si="9"/>
        <v>0</v>
      </c>
    </row>
    <row r="107" spans="1:87" s="2272" customFormat="1">
      <c r="A107" s="1678"/>
      <c r="B107" s="1678"/>
      <c r="C107" s="1676" t="s">
        <v>4906</v>
      </c>
      <c r="D107" s="2264" t="s">
        <v>80</v>
      </c>
      <c r="E107" s="2269" t="s">
        <v>307</v>
      </c>
      <c r="F107" s="2270"/>
      <c r="G107" s="2270"/>
      <c r="H107" s="2270"/>
      <c r="I107" s="2270"/>
      <c r="J107" s="2270"/>
      <c r="K107" s="2270"/>
      <c r="L107" s="283"/>
      <c r="M107" s="298">
        <f t="shared" si="12"/>
        <v>0</v>
      </c>
      <c r="N107" s="283"/>
      <c r="O107" s="3038">
        <f t="shared" si="13"/>
        <v>0</v>
      </c>
      <c r="P107" s="2271"/>
      <c r="Q107" s="1268">
        <f>'Abs24. NOHP'!Q15</f>
        <v>0</v>
      </c>
      <c r="R107" s="3034">
        <f>'Abs24. NOHP'!R15</f>
        <v>0</v>
      </c>
      <c r="BB107" s="3224"/>
      <c r="BC107" s="3224"/>
      <c r="BD107" s="3224"/>
      <c r="BE107" s="3224"/>
      <c r="BF107" s="3224"/>
      <c r="BG107" s="3224"/>
      <c r="BH107" s="3224"/>
      <c r="BI107" s="3224"/>
      <c r="BJ107" s="3224"/>
      <c r="BK107" s="3224"/>
      <c r="BL107" s="3224"/>
      <c r="BM107" s="3224"/>
      <c r="BN107" s="3224"/>
      <c r="BO107" s="3224"/>
      <c r="BP107" s="3224"/>
      <c r="BQ107" s="3224"/>
      <c r="BR107" s="3224"/>
      <c r="BS107" s="3224"/>
      <c r="BT107" s="3224"/>
      <c r="BU107" s="3224"/>
      <c r="BV107" s="3224"/>
      <c r="BW107" s="3224"/>
      <c r="BX107" s="3224"/>
      <c r="BY107" s="3224"/>
      <c r="BZ107" s="3224"/>
      <c r="CA107" s="3224"/>
      <c r="CB107" s="3224"/>
      <c r="CC107" s="3224"/>
      <c r="CD107" s="3224"/>
      <c r="CE107" s="3224"/>
      <c r="CF107" s="3224"/>
      <c r="CG107" s="3224"/>
      <c r="CH107" s="3224"/>
      <c r="CI107" s="3215">
        <f t="shared" si="9"/>
        <v>0</v>
      </c>
    </row>
    <row r="108" spans="1:87" s="2272" customFormat="1">
      <c r="A108" s="1678"/>
      <c r="B108" s="1678"/>
      <c r="C108" s="1676" t="s">
        <v>4904</v>
      </c>
      <c r="D108" s="2264" t="s">
        <v>80</v>
      </c>
      <c r="E108" s="2269" t="s">
        <v>309</v>
      </c>
      <c r="F108" s="2270"/>
      <c r="G108" s="2270"/>
      <c r="H108" s="2270"/>
      <c r="I108" s="2270"/>
      <c r="J108" s="2270"/>
      <c r="K108" s="2270"/>
      <c r="L108" s="283"/>
      <c r="M108" s="298">
        <f t="shared" si="12"/>
        <v>0</v>
      </c>
      <c r="N108" s="283"/>
      <c r="O108" s="3038">
        <f t="shared" si="13"/>
        <v>0</v>
      </c>
      <c r="P108" s="2271"/>
      <c r="Q108" s="1268">
        <f>'Abs25. NPPC'!Q21</f>
        <v>0</v>
      </c>
      <c r="R108" s="3035">
        <f>'Abs25. NPPC'!R21</f>
        <v>0</v>
      </c>
      <c r="BB108" s="3224"/>
      <c r="BC108" s="3224"/>
      <c r="BD108" s="3224"/>
      <c r="BE108" s="3224"/>
      <c r="BF108" s="3224"/>
      <c r="BG108" s="3224"/>
      <c r="BH108" s="3224"/>
      <c r="BI108" s="3224"/>
      <c r="BJ108" s="3224"/>
      <c r="BK108" s="3224"/>
      <c r="BL108" s="3224"/>
      <c r="BM108" s="3224"/>
      <c r="BN108" s="3224"/>
      <c r="BO108" s="3224"/>
      <c r="BP108" s="3224"/>
      <c r="BQ108" s="3224"/>
      <c r="BR108" s="3224"/>
      <c r="BS108" s="3224"/>
      <c r="BT108" s="3224"/>
      <c r="BU108" s="3224"/>
      <c r="BV108" s="3224"/>
      <c r="BW108" s="3224"/>
      <c r="BX108" s="3224"/>
      <c r="BY108" s="3224"/>
      <c r="BZ108" s="3224"/>
      <c r="CA108" s="3224"/>
      <c r="CB108" s="3224"/>
      <c r="CC108" s="3224"/>
      <c r="CD108" s="3224"/>
      <c r="CE108" s="3224"/>
      <c r="CF108" s="3224"/>
      <c r="CG108" s="3224"/>
      <c r="CH108" s="3224"/>
      <c r="CI108" s="3215">
        <f t="shared" si="9"/>
        <v>0</v>
      </c>
    </row>
    <row r="109" spans="1:87" s="2272" customFormat="1" ht="30">
      <c r="A109" s="1678"/>
      <c r="B109" s="1678"/>
      <c r="C109" s="1676" t="s">
        <v>4903</v>
      </c>
      <c r="D109" s="2264" t="s">
        <v>80</v>
      </c>
      <c r="E109" s="2269" t="s">
        <v>4533</v>
      </c>
      <c r="F109" s="2270"/>
      <c r="G109" s="2270"/>
      <c r="H109" s="2270"/>
      <c r="I109" s="2270"/>
      <c r="J109" s="2270"/>
      <c r="K109" s="2270"/>
      <c r="L109" s="283"/>
      <c r="M109" s="298">
        <f t="shared" si="12"/>
        <v>0</v>
      </c>
      <c r="N109" s="283"/>
      <c r="O109" s="3038">
        <f t="shared" si="13"/>
        <v>0</v>
      </c>
      <c r="P109" s="2271"/>
      <c r="Q109" s="1268">
        <f>'Abs26. Burns &amp; Injury'!Q12</f>
        <v>0</v>
      </c>
      <c r="R109" s="2924">
        <f>'Abs26. Burns &amp; Injury'!R12</f>
        <v>0</v>
      </c>
      <c r="BB109" s="3224"/>
      <c r="BC109" s="3224"/>
      <c r="BD109" s="3224"/>
      <c r="BE109" s="3224"/>
      <c r="BF109" s="3224"/>
      <c r="BG109" s="3224"/>
      <c r="BH109" s="3224"/>
      <c r="BI109" s="3224"/>
      <c r="BJ109" s="3224"/>
      <c r="BK109" s="3224"/>
      <c r="BL109" s="3224"/>
      <c r="BM109" s="3224"/>
      <c r="BN109" s="3224"/>
      <c r="BO109" s="3224"/>
      <c r="BP109" s="3224"/>
      <c r="BQ109" s="3224"/>
      <c r="BR109" s="3224"/>
      <c r="BS109" s="3224"/>
      <c r="BT109" s="3224"/>
      <c r="BU109" s="3224"/>
      <c r="BV109" s="3224"/>
      <c r="BW109" s="3224"/>
      <c r="BX109" s="3224"/>
      <c r="BY109" s="3224"/>
      <c r="BZ109" s="3224"/>
      <c r="CA109" s="3224"/>
      <c r="CB109" s="3224"/>
      <c r="CC109" s="3224"/>
      <c r="CD109" s="3224"/>
      <c r="CE109" s="3224"/>
      <c r="CF109" s="3224"/>
      <c r="CG109" s="3224"/>
      <c r="CH109" s="3224"/>
      <c r="CI109" s="3215">
        <f t="shared" si="9"/>
        <v>0</v>
      </c>
    </row>
    <row r="110" spans="1:87">
      <c r="R110" s="2964">
        <f>+'12.Printing Annex'!E3</f>
        <v>192.36999999999998</v>
      </c>
      <c r="BB110" s="3222">
        <f>SUM(BB6:BB109)</f>
        <v>178.13</v>
      </c>
      <c r="BC110" s="3222">
        <f t="shared" ref="BC110:CI110" si="14">SUM(BC6:BC109)</f>
        <v>0.81</v>
      </c>
      <c r="BD110" s="3222">
        <f t="shared" si="14"/>
        <v>0.96</v>
      </c>
      <c r="BE110" s="3222">
        <f t="shared" si="14"/>
        <v>1.48</v>
      </c>
      <c r="BF110" s="3222">
        <f t="shared" si="14"/>
        <v>1.71</v>
      </c>
      <c r="BG110" s="3222">
        <f t="shared" si="14"/>
        <v>0.61</v>
      </c>
      <c r="BH110" s="3222">
        <f t="shared" si="14"/>
        <v>1.1000000000000001</v>
      </c>
      <c r="BI110" s="3222">
        <f t="shared" si="14"/>
        <v>0.51</v>
      </c>
      <c r="BJ110" s="3222">
        <f t="shared" si="14"/>
        <v>1.6800000000000002</v>
      </c>
      <c r="BK110" s="3222">
        <f t="shared" si="14"/>
        <v>1.77</v>
      </c>
      <c r="BL110" s="3222">
        <f t="shared" si="14"/>
        <v>0.93</v>
      </c>
      <c r="BM110" s="3222">
        <f t="shared" si="14"/>
        <v>0.93</v>
      </c>
      <c r="BN110" s="3222">
        <f t="shared" si="14"/>
        <v>0.85</v>
      </c>
      <c r="BO110" s="3222">
        <f t="shared" si="14"/>
        <v>0</v>
      </c>
      <c r="BP110" s="3222">
        <f t="shared" si="14"/>
        <v>0</v>
      </c>
      <c r="BQ110" s="3222">
        <f t="shared" si="14"/>
        <v>0</v>
      </c>
      <c r="BR110" s="3222">
        <f t="shared" si="14"/>
        <v>0</v>
      </c>
      <c r="BS110" s="3222">
        <f t="shared" si="14"/>
        <v>0</v>
      </c>
      <c r="BT110" s="3222">
        <f t="shared" si="14"/>
        <v>0</v>
      </c>
      <c r="BU110" s="3222">
        <f t="shared" si="14"/>
        <v>0</v>
      </c>
      <c r="BV110" s="3222">
        <f t="shared" si="14"/>
        <v>0</v>
      </c>
      <c r="BW110" s="3222">
        <f t="shared" si="14"/>
        <v>0</v>
      </c>
      <c r="BX110" s="3222">
        <f t="shared" si="14"/>
        <v>0</v>
      </c>
      <c r="BY110" s="3222">
        <f t="shared" si="14"/>
        <v>0</v>
      </c>
      <c r="BZ110" s="3222">
        <f t="shared" si="14"/>
        <v>0</v>
      </c>
      <c r="CA110" s="3222">
        <f t="shared" si="14"/>
        <v>0</v>
      </c>
      <c r="CB110" s="3222">
        <f t="shared" si="14"/>
        <v>0</v>
      </c>
      <c r="CC110" s="3222">
        <f t="shared" si="14"/>
        <v>0</v>
      </c>
      <c r="CD110" s="3222">
        <f t="shared" si="14"/>
        <v>0</v>
      </c>
      <c r="CE110" s="3222">
        <f t="shared" si="14"/>
        <v>0.9</v>
      </c>
      <c r="CF110" s="3222">
        <f t="shared" si="14"/>
        <v>0</v>
      </c>
      <c r="CG110" s="3222">
        <f t="shared" si="14"/>
        <v>0</v>
      </c>
      <c r="CH110" s="3222">
        <f t="shared" si="14"/>
        <v>0</v>
      </c>
      <c r="CI110" s="3222">
        <f t="shared" si="14"/>
        <v>192.36999999999998</v>
      </c>
    </row>
    <row r="111" spans="1:87">
      <c r="BB111" s="1662"/>
      <c r="BC111" s="1662"/>
      <c r="BD111" s="1662"/>
      <c r="BE111" s="1662"/>
      <c r="BF111" s="1662"/>
      <c r="BG111" s="1662"/>
      <c r="BH111" s="1662"/>
      <c r="BI111" s="1662"/>
      <c r="BJ111" s="1662"/>
      <c r="BK111" s="1662"/>
      <c r="BL111" s="1662"/>
      <c r="BM111" s="1662"/>
      <c r="BN111" s="1662"/>
      <c r="BO111" s="1662"/>
      <c r="BP111" s="1662"/>
      <c r="BQ111" s="1662"/>
      <c r="BR111" s="1662"/>
      <c r="BS111" s="1662"/>
      <c r="BT111" s="1662"/>
      <c r="BU111" s="1662"/>
      <c r="BV111" s="1662"/>
      <c r="BW111" s="1662"/>
      <c r="BX111" s="1662"/>
      <c r="BY111" s="1662"/>
      <c r="BZ111" s="1662"/>
      <c r="CA111" s="1662"/>
      <c r="CB111" s="1662"/>
      <c r="CC111" s="1662"/>
      <c r="CD111" s="1662"/>
      <c r="CE111" s="1662"/>
      <c r="CF111" s="1662"/>
      <c r="CG111" s="1662"/>
      <c r="CH111" s="1662"/>
      <c r="CI111" s="1662"/>
    </row>
    <row r="112" spans="1:87">
      <c r="BB112" s="1662"/>
      <c r="BC112" s="1662"/>
      <c r="BD112" s="1662"/>
      <c r="BE112" s="1662"/>
      <c r="BF112" s="1662"/>
      <c r="BG112" s="1662"/>
      <c r="BH112" s="1662"/>
      <c r="BI112" s="1662"/>
      <c r="BJ112" s="1662"/>
      <c r="BK112" s="1662"/>
      <c r="BL112" s="1662"/>
      <c r="BM112" s="1662"/>
      <c r="BN112" s="1662"/>
      <c r="BO112" s="1662"/>
      <c r="BP112" s="1662"/>
      <c r="BQ112" s="1662"/>
      <c r="BR112" s="1662"/>
      <c r="BS112" s="1662"/>
      <c r="BT112" s="1662"/>
      <c r="BU112" s="1662"/>
      <c r="BV112" s="1662"/>
      <c r="BW112" s="1662"/>
      <c r="BX112" s="1662"/>
      <c r="BY112" s="1662"/>
      <c r="BZ112" s="1662"/>
      <c r="CA112" s="1662"/>
      <c r="CB112" s="1662"/>
      <c r="CC112" s="1662"/>
      <c r="CD112" s="1662"/>
      <c r="CE112" s="1662"/>
      <c r="CF112" s="1662"/>
      <c r="CG112" s="1662"/>
      <c r="CH112" s="1662"/>
      <c r="CI112" s="1662"/>
    </row>
  </sheetData>
  <sheetProtection password="CC49" sheet="1" objects="1" scenarios="1" autoFilter="0"/>
  <autoFilter ref="A4:BD109">
    <filterColumn colId="0" showButton="0"/>
  </autoFilter>
  <mergeCells count="12">
    <mergeCell ref="A5:C5"/>
    <mergeCell ref="A54:C54"/>
    <mergeCell ref="A76:C76"/>
    <mergeCell ref="A91:C91"/>
    <mergeCell ref="A1:C1"/>
    <mergeCell ref="A3:B4"/>
    <mergeCell ref="K3:P3"/>
    <mergeCell ref="Q3:R3"/>
    <mergeCell ref="F3:J3"/>
    <mergeCell ref="C3:C4"/>
    <mergeCell ref="D3:D4"/>
    <mergeCell ref="E3:E4"/>
  </mergeCells>
  <phoneticPr fontId="68" type="noConversion"/>
  <pageMargins left="0.7" right="0.7" top="0.75" bottom="0.75" header="0.3" footer="0.3"/>
  <pageSetup orientation="portrait" horizontalDpi="4294967295" verticalDpi="4294967295" r:id="rId1"/>
</worksheet>
</file>

<file path=xl/worksheets/sheet19.xml><?xml version="1.0" encoding="utf-8"?>
<worksheet xmlns="http://schemas.openxmlformats.org/spreadsheetml/2006/main" xmlns:r="http://schemas.openxmlformats.org/officeDocument/2006/relationships">
  <sheetPr codeName="Sheet9">
    <tabColor rgb="FF00B050"/>
  </sheetPr>
  <dimension ref="A1:CI37"/>
  <sheetViews>
    <sheetView zoomScale="70" zoomScaleNormal="70" workbookViewId="0">
      <pane xSplit="5" ySplit="7" topLeftCell="P24" activePane="bottomRight" state="frozen"/>
      <selection activeCell="A2" sqref="A2:A4"/>
      <selection pane="topRight" activeCell="A2" sqref="A2:A4"/>
      <selection pane="bottomLeft" activeCell="A2" sqref="A2:A4"/>
      <selection pane="bottomRight" activeCell="P34" sqref="P34"/>
    </sheetView>
  </sheetViews>
  <sheetFormatPr defaultColWidth="9.140625" defaultRowHeight="15"/>
  <cols>
    <col min="1" max="1" width="9" style="1410" bestFit="1" customWidth="1"/>
    <col min="2" max="2" width="16.85546875" style="1380" bestFit="1" customWidth="1"/>
    <col min="3" max="3" width="47.140625" style="1196" bestFit="1" customWidth="1"/>
    <col min="4" max="4" width="8.85546875" style="1130" customWidth="1"/>
    <col min="5" max="5" width="20" style="1130" customWidth="1"/>
    <col min="6" max="6" width="13.140625" style="1378" hidden="1" customWidth="1"/>
    <col min="7" max="7" width="24.85546875" style="1378" hidden="1" customWidth="1"/>
    <col min="8" max="8" width="12.5703125" style="1378" hidden="1" customWidth="1"/>
    <col min="9" max="9" width="15.28515625" style="1378" hidden="1" customWidth="1"/>
    <col min="10" max="10" width="15.85546875" style="1378" hidden="1" customWidth="1"/>
    <col min="11" max="11" width="13.42578125" style="1378" hidden="1" customWidth="1"/>
    <col min="12" max="12" width="14.42578125" style="1378" hidden="1" customWidth="1"/>
    <col min="13" max="13" width="11.140625" style="1324" hidden="1" customWidth="1"/>
    <col min="14" max="14" width="10" style="1378" hidden="1" customWidth="1"/>
    <col min="15" max="15" width="14.85546875" style="1324" hidden="1" customWidth="1"/>
    <col min="16" max="16" width="35.7109375" style="1410" customWidth="1"/>
    <col min="17" max="17" width="32.140625" style="1410" customWidth="1"/>
    <col min="18" max="18" width="15.85546875" style="1324" bestFit="1" customWidth="1"/>
    <col min="19" max="19" width="6.140625" style="1378" hidden="1" customWidth="1"/>
    <col min="20" max="20" width="3.7109375" style="1378" hidden="1" customWidth="1"/>
    <col min="21" max="21" width="11" style="1378" hidden="1" customWidth="1"/>
    <col min="22" max="22" width="4" style="1378" hidden="1" customWidth="1"/>
    <col min="23" max="23" width="6.42578125" style="1378" hidden="1" customWidth="1"/>
    <col min="24" max="24" width="4.7109375" style="1378" hidden="1" customWidth="1"/>
    <col min="25" max="25" width="5.85546875" style="1378" hidden="1" customWidth="1"/>
    <col min="26" max="26" width="7.140625" style="1378" hidden="1" customWidth="1"/>
    <col min="27" max="27" width="3.85546875" style="1378" hidden="1" customWidth="1"/>
    <col min="28" max="28" width="8.28515625" style="1378" hidden="1" customWidth="1"/>
    <col min="29" max="29" width="4.28515625" style="1378" hidden="1" customWidth="1"/>
    <col min="30" max="30" width="3.85546875" style="1378" hidden="1" customWidth="1"/>
    <col min="31" max="31" width="7.28515625" style="1378" hidden="1" customWidth="1"/>
    <col min="32" max="32" width="3.42578125" style="1378" hidden="1" customWidth="1"/>
    <col min="33" max="34" width="7.140625" style="1378" hidden="1" customWidth="1"/>
    <col min="35" max="35" width="4.7109375" style="1378" hidden="1" customWidth="1"/>
    <col min="36" max="36" width="8.140625" style="1378" hidden="1" customWidth="1"/>
    <col min="37" max="37" width="5.140625" style="1378" hidden="1" customWidth="1"/>
    <col min="38" max="38" width="5.42578125" style="1378" hidden="1" customWidth="1"/>
    <col min="39" max="39" width="7" style="1378" hidden="1" customWidth="1"/>
    <col min="40" max="40" width="5.5703125" style="1378" hidden="1" customWidth="1"/>
    <col min="41" max="41" width="5" style="1378" hidden="1" customWidth="1"/>
    <col min="42" max="42" width="5.5703125" style="1378" hidden="1" customWidth="1"/>
    <col min="43" max="43" width="6.42578125" style="1378" hidden="1" customWidth="1"/>
    <col min="44" max="44" width="6.7109375" style="1378" hidden="1" customWidth="1"/>
    <col min="45" max="45" width="5.42578125" style="1378" hidden="1" customWidth="1"/>
    <col min="46" max="46" width="7.7109375" style="1378" hidden="1" customWidth="1"/>
    <col min="47" max="47" width="7.42578125" style="1378" hidden="1" customWidth="1"/>
    <col min="48" max="48" width="8.140625" style="1378" hidden="1" customWidth="1"/>
    <col min="49" max="49" width="6.140625" style="1378" hidden="1" customWidth="1"/>
    <col min="50" max="50" width="5.5703125" style="1378" hidden="1" customWidth="1"/>
    <col min="51" max="51" width="6.42578125" style="1378" hidden="1" customWidth="1"/>
    <col min="52" max="52" width="6.85546875" style="1378" hidden="1" customWidth="1"/>
    <col min="53" max="53" width="7.7109375" style="1378" hidden="1" customWidth="1"/>
    <col min="54" max="54" width="9.140625" style="1378"/>
    <col min="55" max="55" width="13.5703125" style="1378" bestFit="1" customWidth="1"/>
    <col min="56" max="56" width="11.7109375" style="1378" bestFit="1" customWidth="1"/>
    <col min="57" max="57" width="14.28515625" style="1378" bestFit="1" customWidth="1"/>
    <col min="58" max="58" width="11.7109375" style="1378" bestFit="1" customWidth="1"/>
    <col min="59" max="59" width="12.140625" style="1378" bestFit="1" customWidth="1"/>
    <col min="60" max="60" width="9.140625" style="1378"/>
    <col min="61" max="61" width="11.42578125" style="1378" bestFit="1" customWidth="1"/>
    <col min="62" max="62" width="9.140625" style="1378"/>
    <col min="63" max="63" width="10.5703125" style="1378" bestFit="1" customWidth="1"/>
    <col min="64" max="64" width="12.5703125" style="1378" bestFit="1" customWidth="1"/>
    <col min="65" max="65" width="10" style="1378" bestFit="1" customWidth="1"/>
    <col min="66" max="67" width="9.140625" style="1378"/>
    <col min="68" max="68" width="14.5703125" style="1378" bestFit="1" customWidth="1"/>
    <col min="69" max="69" width="13" style="1378" bestFit="1" customWidth="1"/>
    <col min="70" max="70" width="16.140625" style="1378" customWidth="1"/>
    <col min="71" max="71" width="19" style="1378" customWidth="1"/>
    <col min="72" max="72" width="12" style="1378" bestFit="1" customWidth="1"/>
    <col min="73" max="73" width="10.7109375" style="1378" bestFit="1" customWidth="1"/>
    <col min="74" max="74" width="12" style="1378" bestFit="1" customWidth="1"/>
    <col min="75" max="78" width="9.140625" style="1378"/>
    <col min="79" max="79" width="10.7109375" style="1378" bestFit="1" customWidth="1"/>
    <col min="80" max="80" width="15.28515625" style="1378" customWidth="1"/>
    <col min="81" max="81" width="14.5703125" style="1378" customWidth="1"/>
    <col min="82" max="82" width="14.28515625" style="1378" customWidth="1"/>
    <col min="83" max="83" width="11.7109375" style="1378" bestFit="1" customWidth="1"/>
    <col min="84" max="84" width="9.140625" style="1378"/>
    <col min="85" max="86" width="11.7109375" style="1378" bestFit="1" customWidth="1"/>
    <col min="87" max="16384" width="9.140625" style="1378"/>
  </cols>
  <sheetData>
    <row r="1" spans="1:87">
      <c r="A1" s="3914" t="s">
        <v>1234</v>
      </c>
      <c r="B1" s="3914"/>
      <c r="C1" s="3914"/>
      <c r="D1" s="1685"/>
      <c r="E1" s="3858" t="s">
        <v>4534</v>
      </c>
      <c r="F1" s="3909" t="s">
        <v>4532</v>
      </c>
      <c r="G1" s="3910"/>
      <c r="H1" s="3910"/>
      <c r="I1" s="3910"/>
      <c r="J1" s="3910"/>
      <c r="K1" s="3910"/>
      <c r="L1" s="3910"/>
      <c r="M1" s="3982"/>
      <c r="N1" s="3911"/>
      <c r="O1" s="3983" t="s">
        <v>65</v>
      </c>
      <c r="P1" s="3794"/>
      <c r="Q1" s="3794"/>
      <c r="R1" s="3984"/>
      <c r="S1" s="3794"/>
      <c r="T1" s="3794"/>
      <c r="U1" s="3794"/>
      <c r="V1" s="3794"/>
      <c r="W1" s="3794"/>
      <c r="X1" s="3794"/>
      <c r="Y1" s="3794"/>
      <c r="Z1" s="3794"/>
      <c r="AA1" s="3794"/>
      <c r="AB1" s="3794"/>
      <c r="AC1" s="3794"/>
      <c r="AD1" s="3794"/>
      <c r="AE1" s="3794"/>
      <c r="AF1" s="3794"/>
      <c r="AG1" s="3794"/>
      <c r="AH1" s="3794"/>
      <c r="AI1" s="3900" t="s">
        <v>4219</v>
      </c>
      <c r="AJ1" s="3901"/>
      <c r="AK1" s="3901"/>
      <c r="AL1" s="3901"/>
      <c r="AM1" s="3901"/>
      <c r="AN1" s="3901"/>
      <c r="AO1" s="3902"/>
      <c r="AP1" s="3889" t="s">
        <v>80</v>
      </c>
      <c r="AQ1" s="3890"/>
      <c r="AR1" s="3890"/>
      <c r="AS1" s="3890"/>
      <c r="AT1" s="3890"/>
      <c r="AU1" s="3890"/>
      <c r="AV1" s="3890"/>
      <c r="AW1" s="3890"/>
      <c r="AX1" s="3890"/>
      <c r="AY1" s="3890"/>
      <c r="AZ1" s="3890"/>
      <c r="BA1" s="3891"/>
    </row>
    <row r="2" spans="1:87" s="1380" customFormat="1" ht="45">
      <c r="A2" s="3855" t="str">
        <f>HYPERLINK("#Index!A4", "Index Pg")</f>
        <v>Index Pg</v>
      </c>
      <c r="B2" s="1379" t="str">
        <f>HYPERLINK("#'Summary of Abstracts'!A2", "Summary of Abst.")</f>
        <v>Summary of Abst.</v>
      </c>
      <c r="C2" s="869"/>
      <c r="E2" s="3858"/>
      <c r="F2" s="906" t="s">
        <v>113</v>
      </c>
      <c r="G2" s="906" t="s">
        <v>126</v>
      </c>
      <c r="H2" s="906" t="s">
        <v>86</v>
      </c>
      <c r="I2" s="906" t="s">
        <v>4530</v>
      </c>
      <c r="J2" s="906" t="s">
        <v>91</v>
      </c>
      <c r="K2" s="1225" t="s">
        <v>3933</v>
      </c>
      <c r="L2" s="907" t="s">
        <v>4531</v>
      </c>
      <c r="M2" s="907" t="s">
        <v>4535</v>
      </c>
      <c r="N2" s="907" t="s">
        <v>203</v>
      </c>
      <c r="O2" s="909" t="s">
        <v>4218</v>
      </c>
      <c r="P2" s="909" t="s">
        <v>3751</v>
      </c>
      <c r="Q2" s="909" t="s">
        <v>4543</v>
      </c>
      <c r="R2" s="909" t="s">
        <v>4540</v>
      </c>
      <c r="S2" s="909" t="s">
        <v>4541</v>
      </c>
      <c r="T2" s="909" t="s">
        <v>4542</v>
      </c>
      <c r="U2" s="909" t="s">
        <v>4544</v>
      </c>
      <c r="V2" s="909" t="s">
        <v>4528</v>
      </c>
      <c r="W2" s="909" t="s">
        <v>4545</v>
      </c>
      <c r="X2" s="909" t="s">
        <v>29</v>
      </c>
      <c r="Y2" s="909" t="s">
        <v>4546</v>
      </c>
      <c r="Z2" s="909" t="s">
        <v>4547</v>
      </c>
      <c r="AA2" s="909" t="s">
        <v>4537</v>
      </c>
      <c r="AB2" s="909" t="s">
        <v>737</v>
      </c>
      <c r="AC2" s="909" t="s">
        <v>4538</v>
      </c>
      <c r="AD2" s="909" t="s">
        <v>4539</v>
      </c>
      <c r="AE2" s="909" t="s">
        <v>2293</v>
      </c>
      <c r="AF2" s="909" t="s">
        <v>4548</v>
      </c>
      <c r="AG2" s="909" t="s">
        <v>3750</v>
      </c>
      <c r="AH2" s="909" t="s">
        <v>302</v>
      </c>
      <c r="AI2" s="910" t="s">
        <v>288</v>
      </c>
      <c r="AJ2" s="910" t="s">
        <v>109</v>
      </c>
      <c r="AK2" s="910" t="s">
        <v>141</v>
      </c>
      <c r="AL2" s="910" t="s">
        <v>4525</v>
      </c>
      <c r="AM2" s="910" t="s">
        <v>3223</v>
      </c>
      <c r="AN2" s="910" t="s">
        <v>3855</v>
      </c>
      <c r="AO2" s="910" t="s">
        <v>4405</v>
      </c>
      <c r="AP2" s="911" t="s">
        <v>81</v>
      </c>
      <c r="AQ2" s="911" t="s">
        <v>145</v>
      </c>
      <c r="AR2" s="911" t="s">
        <v>394</v>
      </c>
      <c r="AS2" s="911" t="s">
        <v>147</v>
      </c>
      <c r="AT2" s="911" t="s">
        <v>410</v>
      </c>
      <c r="AU2" s="911" t="s">
        <v>4459</v>
      </c>
      <c r="AV2" s="911" t="s">
        <v>3989</v>
      </c>
      <c r="AW2" s="911" t="s">
        <v>307</v>
      </c>
      <c r="AX2" s="911" t="s">
        <v>309</v>
      </c>
      <c r="AY2" s="911" t="s">
        <v>1028</v>
      </c>
      <c r="AZ2" s="911" t="s">
        <v>1014</v>
      </c>
      <c r="BA2" s="911" t="s">
        <v>4533</v>
      </c>
    </row>
    <row r="3" spans="1:87" s="1687" customFormat="1">
      <c r="A3" s="3856"/>
      <c r="B3" s="1686" t="str">
        <f>HYPERLINK("#'Budget Summary I'!A1:AL1", "Budget Summary I")</f>
        <v>Budget Summary I</v>
      </c>
      <c r="C3" s="865" t="s">
        <v>4460</v>
      </c>
      <c r="E3" s="1688">
        <f>R7</f>
        <v>289.92999999999995</v>
      </c>
      <c r="F3" s="161"/>
      <c r="G3" s="161"/>
      <c r="H3" s="161"/>
      <c r="I3" s="161"/>
      <c r="J3" s="161"/>
      <c r="K3" s="985"/>
      <c r="L3" s="161">
        <f>R34</f>
        <v>0</v>
      </c>
      <c r="M3" s="161"/>
      <c r="N3" s="985"/>
      <c r="O3" s="985"/>
      <c r="P3" s="985"/>
      <c r="Q3" s="985"/>
      <c r="R3" s="985"/>
      <c r="S3" s="985"/>
      <c r="T3" s="985"/>
      <c r="U3" s="985">
        <f>R10+R11+R12+R13+R14+R15+R16+R17+R18+R19+R20+R22+R23+R25+R26+R27+R28+R29+R30+R31</f>
        <v>289.92999999999995</v>
      </c>
      <c r="V3" s="985"/>
      <c r="W3" s="985"/>
      <c r="X3" s="985"/>
      <c r="Y3" s="985"/>
      <c r="Z3" s="985"/>
      <c r="AA3" s="985"/>
      <c r="AB3" s="985"/>
      <c r="AC3" s="985"/>
      <c r="AD3" s="985"/>
      <c r="AE3" s="985"/>
      <c r="AF3" s="985"/>
      <c r="AG3" s="985"/>
      <c r="AH3" s="985">
        <f>R33+R35</f>
        <v>0</v>
      </c>
      <c r="AI3" s="985"/>
      <c r="AJ3" s="985"/>
      <c r="AK3" s="985"/>
      <c r="AL3" s="985"/>
      <c r="AM3" s="985"/>
      <c r="AN3" s="985"/>
      <c r="AO3" s="985"/>
      <c r="AP3" s="985"/>
      <c r="AQ3" s="985"/>
      <c r="AR3" s="985"/>
      <c r="AS3" s="985"/>
      <c r="AT3" s="985"/>
      <c r="AU3" s="985"/>
      <c r="AV3" s="985"/>
      <c r="AW3" s="985"/>
      <c r="AX3" s="985"/>
      <c r="AY3" s="985"/>
      <c r="AZ3" s="985"/>
      <c r="BA3" s="985"/>
    </row>
    <row r="4" spans="1:87" s="1687" customFormat="1">
      <c r="A4" s="3857"/>
      <c r="B4" s="1686" t="str">
        <f>HYPERLINK("#'Budget Summary II'!A3:B5", "Budget Summary II")</f>
        <v>Budget Summary II</v>
      </c>
      <c r="C4" s="865" t="s">
        <v>4461</v>
      </c>
      <c r="E4" s="1688">
        <f>O7</f>
        <v>351.93002469999999</v>
      </c>
      <c r="F4" s="161"/>
      <c r="G4" s="161"/>
      <c r="H4" s="161"/>
      <c r="I4" s="161"/>
      <c r="J4" s="161"/>
      <c r="K4" s="985"/>
      <c r="L4" s="161">
        <f>O34</f>
        <v>0</v>
      </c>
      <c r="M4" s="161"/>
      <c r="N4" s="985"/>
      <c r="O4" s="985"/>
      <c r="P4" s="985"/>
      <c r="Q4" s="985"/>
      <c r="R4" s="985"/>
      <c r="S4" s="985"/>
      <c r="T4" s="985"/>
      <c r="U4" s="985">
        <f>O10+O11+O12+O13+O14+O15+O16+O17+O18+O19+O20+O22+O23+O25+O26+O27+O28+O29+O30+O31</f>
        <v>351.93002469999999</v>
      </c>
      <c r="V4" s="985"/>
      <c r="W4" s="985"/>
      <c r="X4" s="985"/>
      <c r="Y4" s="985"/>
      <c r="Z4" s="985"/>
      <c r="AA4" s="985"/>
      <c r="AB4" s="985"/>
      <c r="AC4" s="985"/>
      <c r="AD4" s="985"/>
      <c r="AE4" s="985"/>
      <c r="AF4" s="985"/>
      <c r="AG4" s="985"/>
      <c r="AH4" s="985">
        <f>O33+O35</f>
        <v>0</v>
      </c>
      <c r="AI4" s="985"/>
      <c r="AJ4" s="985"/>
      <c r="AK4" s="985"/>
      <c r="AL4" s="985"/>
      <c r="AM4" s="985"/>
      <c r="AN4" s="985"/>
      <c r="AO4" s="985"/>
      <c r="AP4" s="985"/>
      <c r="AQ4" s="985"/>
      <c r="AR4" s="985"/>
      <c r="AS4" s="985"/>
      <c r="AT4" s="985"/>
      <c r="AU4" s="985"/>
      <c r="AV4" s="985"/>
      <c r="AW4" s="985"/>
      <c r="AX4" s="985"/>
      <c r="AY4" s="985"/>
      <c r="AZ4" s="985"/>
      <c r="BA4" s="985"/>
    </row>
    <row r="5" spans="1:87" s="1689" customFormat="1">
      <c r="A5" s="3801" t="s">
        <v>48</v>
      </c>
      <c r="B5" s="3801" t="s">
        <v>49</v>
      </c>
      <c r="C5" s="3801" t="s">
        <v>50</v>
      </c>
      <c r="D5" s="3801" t="s">
        <v>51</v>
      </c>
      <c r="E5" s="3801" t="s">
        <v>52</v>
      </c>
      <c r="F5" s="3866" t="s">
        <v>4478</v>
      </c>
      <c r="G5" s="3866"/>
      <c r="H5" s="3866"/>
      <c r="I5" s="3866"/>
      <c r="J5" s="3866"/>
      <c r="K5" s="3894" t="s">
        <v>4484</v>
      </c>
      <c r="L5" s="3903"/>
      <c r="M5" s="3980"/>
      <c r="N5" s="3903"/>
      <c r="O5" s="3980"/>
      <c r="P5" s="3904"/>
      <c r="Q5" s="3905" t="s">
        <v>4514</v>
      </c>
      <c r="R5" s="3981"/>
    </row>
    <row r="6" spans="1:87" s="1130" customFormat="1" ht="60">
      <c r="A6" s="3801"/>
      <c r="B6" s="3801"/>
      <c r="C6" s="3801"/>
      <c r="D6" s="3801"/>
      <c r="E6" s="3801"/>
      <c r="F6" s="918" t="s">
        <v>4479</v>
      </c>
      <c r="G6" s="918" t="s">
        <v>4482</v>
      </c>
      <c r="H6" s="918" t="s">
        <v>4480</v>
      </c>
      <c r="I6" s="918" t="s">
        <v>4483</v>
      </c>
      <c r="J6" s="918" t="s">
        <v>2448</v>
      </c>
      <c r="K6" s="919" t="s">
        <v>53</v>
      </c>
      <c r="L6" s="919" t="s">
        <v>54</v>
      </c>
      <c r="M6" s="920" t="s">
        <v>55</v>
      </c>
      <c r="N6" s="919" t="s">
        <v>56</v>
      </c>
      <c r="O6" s="920" t="s">
        <v>57</v>
      </c>
      <c r="P6" s="919" t="s">
        <v>5069</v>
      </c>
      <c r="Q6" s="921" t="s">
        <v>2450</v>
      </c>
      <c r="R6" s="922" t="s">
        <v>4515</v>
      </c>
      <c r="S6" s="3106" t="s">
        <v>4538</v>
      </c>
      <c r="BB6" s="3153" t="s">
        <v>5973</v>
      </c>
      <c r="BC6" s="3153" t="s">
        <v>5432</v>
      </c>
      <c r="BD6" s="3153" t="s">
        <v>5433</v>
      </c>
      <c r="BE6" s="3153" t="s">
        <v>5434</v>
      </c>
      <c r="BF6" s="3153" t="s">
        <v>5435</v>
      </c>
      <c r="BG6" s="3153" t="s">
        <v>5436</v>
      </c>
      <c r="BH6" s="3153" t="s">
        <v>5437</v>
      </c>
      <c r="BI6" s="3153" t="s">
        <v>5959</v>
      </c>
      <c r="BJ6" s="3153" t="s">
        <v>5438</v>
      </c>
      <c r="BK6" s="3153" t="s">
        <v>5439</v>
      </c>
      <c r="BL6" s="3153" t="s">
        <v>5960</v>
      </c>
      <c r="BM6" s="3153" t="s">
        <v>5440</v>
      </c>
      <c r="BN6" s="3153" t="s">
        <v>5441</v>
      </c>
      <c r="BO6" s="3153" t="s">
        <v>5961</v>
      </c>
      <c r="BP6" s="3153" t="s">
        <v>5974</v>
      </c>
      <c r="BQ6" s="3153" t="s">
        <v>5975</v>
      </c>
      <c r="BR6" s="3153" t="s">
        <v>5976</v>
      </c>
      <c r="BS6" s="3153" t="s">
        <v>5977</v>
      </c>
      <c r="BT6" s="3153" t="s">
        <v>5978</v>
      </c>
      <c r="BU6" s="3153" t="s">
        <v>5979</v>
      </c>
      <c r="BV6" s="3153" t="s">
        <v>5962</v>
      </c>
      <c r="BW6" s="3153" t="s">
        <v>5963</v>
      </c>
      <c r="BX6" s="3153" t="s">
        <v>5964</v>
      </c>
      <c r="BY6" s="3153" t="s">
        <v>5965</v>
      </c>
      <c r="BZ6" s="3153" t="s">
        <v>5966</v>
      </c>
      <c r="CA6" s="3153" t="s">
        <v>5967</v>
      </c>
      <c r="CB6" s="3153" t="s">
        <v>5968</v>
      </c>
      <c r="CC6" s="3153" t="s">
        <v>5969</v>
      </c>
      <c r="CD6" s="3153" t="s">
        <v>5970</v>
      </c>
      <c r="CE6" s="3153" t="s">
        <v>5980</v>
      </c>
      <c r="CF6" s="3153" t="s">
        <v>5971</v>
      </c>
      <c r="CG6" s="3153" t="s">
        <v>5981</v>
      </c>
      <c r="CH6" s="3153" t="s">
        <v>5982</v>
      </c>
      <c r="CI6" s="3153" t="s">
        <v>5972</v>
      </c>
    </row>
    <row r="7" spans="1:87">
      <c r="A7" s="217">
        <v>13</v>
      </c>
      <c r="B7" s="217"/>
      <c r="C7" s="217" t="s">
        <v>26</v>
      </c>
      <c r="D7" s="991"/>
      <c r="E7" s="991"/>
      <c r="F7" s="217"/>
      <c r="G7" s="217"/>
      <c r="H7" s="217"/>
      <c r="I7" s="217"/>
      <c r="J7" s="217"/>
      <c r="K7" s="217"/>
      <c r="L7" s="217"/>
      <c r="M7" s="429"/>
      <c r="N7" s="217"/>
      <c r="O7" s="429">
        <f>O8+O21+O32</f>
        <v>351.93002469999999</v>
      </c>
      <c r="P7" s="217"/>
      <c r="Q7" s="217"/>
      <c r="R7" s="429">
        <f>R8+R21+R32</f>
        <v>289.92999999999995</v>
      </c>
      <c r="S7" s="1378">
        <v>0</v>
      </c>
      <c r="BB7" s="3218"/>
      <c r="BC7" s="3218"/>
      <c r="BD7" s="3218"/>
      <c r="BE7" s="3218"/>
      <c r="BF7" s="3218"/>
      <c r="BG7" s="3218"/>
      <c r="BH7" s="3218"/>
      <c r="BI7" s="3218"/>
      <c r="BJ7" s="3218"/>
      <c r="BK7" s="3218"/>
      <c r="BL7" s="3218"/>
      <c r="BM7" s="3218"/>
      <c r="BN7" s="3218"/>
      <c r="BO7" s="3218"/>
      <c r="BP7" s="3218"/>
      <c r="BQ7" s="3218"/>
      <c r="BR7" s="3218"/>
      <c r="BS7" s="3218"/>
      <c r="BT7" s="3218"/>
      <c r="BU7" s="3218"/>
      <c r="BV7" s="3218"/>
      <c r="BW7" s="3218"/>
      <c r="BX7" s="3218"/>
      <c r="BY7" s="3218"/>
      <c r="BZ7" s="3218"/>
      <c r="CA7" s="3218"/>
      <c r="CB7" s="3218"/>
      <c r="CC7" s="3218"/>
      <c r="CD7" s="3218"/>
      <c r="CE7" s="3218"/>
      <c r="CF7" s="3218"/>
      <c r="CG7" s="3218"/>
      <c r="CH7" s="3218"/>
      <c r="CI7" s="3219">
        <f t="shared" ref="CI7:CI19" si="0">SUM(BB7:CH7)</f>
        <v>0</v>
      </c>
    </row>
    <row r="8" spans="1:87">
      <c r="A8" s="1468">
        <v>13.1</v>
      </c>
      <c r="B8" s="1148"/>
      <c r="C8" s="1148" t="s">
        <v>26</v>
      </c>
      <c r="D8" s="1567"/>
      <c r="E8" s="1567"/>
      <c r="F8" s="1452"/>
      <c r="G8" s="1452"/>
      <c r="H8" s="1452"/>
      <c r="I8" s="1452"/>
      <c r="J8" s="1452"/>
      <c r="K8" s="1452"/>
      <c r="L8" s="1452"/>
      <c r="M8" s="1384"/>
      <c r="N8" s="1248"/>
      <c r="O8" s="464">
        <f>O9+SUM(O16:O20)</f>
        <v>136.50004009999998</v>
      </c>
      <c r="P8" s="471"/>
      <c r="Q8" s="471"/>
      <c r="R8" s="464">
        <f>R9+SUM(R16:R20)</f>
        <v>74.5</v>
      </c>
      <c r="BB8" s="3218"/>
      <c r="BC8" s="3218"/>
      <c r="BD8" s="3218"/>
      <c r="BE8" s="3218"/>
      <c r="BF8" s="3218"/>
      <c r="BG8" s="3218"/>
      <c r="BH8" s="3218"/>
      <c r="BI8" s="3218"/>
      <c r="BJ8" s="3218"/>
      <c r="BK8" s="3218"/>
      <c r="BL8" s="3218"/>
      <c r="BM8" s="3218"/>
      <c r="BN8" s="3218"/>
      <c r="BO8" s="3218"/>
      <c r="BP8" s="3218"/>
      <c r="BQ8" s="3218"/>
      <c r="BR8" s="3218"/>
      <c r="BS8" s="3218"/>
      <c r="BT8" s="3218"/>
      <c r="BU8" s="3218"/>
      <c r="BV8" s="3218"/>
      <c r="BW8" s="3218"/>
      <c r="BX8" s="3218"/>
      <c r="BY8" s="3218"/>
      <c r="BZ8" s="3218"/>
      <c r="CA8" s="3218"/>
      <c r="CB8" s="3218"/>
      <c r="CC8" s="3218"/>
      <c r="CD8" s="3218"/>
      <c r="CE8" s="3218"/>
      <c r="CF8" s="3218"/>
      <c r="CG8" s="3218"/>
      <c r="CH8" s="3218"/>
      <c r="CI8" s="3219">
        <f t="shared" si="0"/>
        <v>0</v>
      </c>
    </row>
    <row r="9" spans="1:87" s="1101" customFormat="1" ht="30">
      <c r="A9" s="469" t="s">
        <v>1235</v>
      </c>
      <c r="B9" s="514" t="s">
        <v>1236</v>
      </c>
      <c r="C9" s="514" t="s">
        <v>1237</v>
      </c>
      <c r="D9" s="1509" t="s">
        <v>65</v>
      </c>
      <c r="E9" s="1509" t="s">
        <v>3769</v>
      </c>
      <c r="F9" s="1690"/>
      <c r="G9" s="1509"/>
      <c r="H9" s="1691"/>
      <c r="I9" s="1691"/>
      <c r="J9" s="1690"/>
      <c r="K9" s="1692"/>
      <c r="L9" s="1690"/>
      <c r="M9" s="470"/>
      <c r="N9" s="1692"/>
      <c r="O9" s="468">
        <f>SUM(O10:O15)</f>
        <v>7.5</v>
      </c>
      <c r="P9" s="966"/>
      <c r="Q9" s="469"/>
      <c r="R9" s="468">
        <f>SUM(R10:R15)</f>
        <v>7.5</v>
      </c>
      <c r="BB9" s="3225"/>
      <c r="BC9" s="3225"/>
      <c r="BD9" s="3225"/>
      <c r="BE9" s="3225"/>
      <c r="BF9" s="3225"/>
      <c r="BG9" s="3225"/>
      <c r="BH9" s="3225"/>
      <c r="BI9" s="3225"/>
      <c r="BJ9" s="3225"/>
      <c r="BK9" s="3225"/>
      <c r="BL9" s="3225"/>
      <c r="BM9" s="3225"/>
      <c r="BN9" s="3225"/>
      <c r="BO9" s="3225"/>
      <c r="BP9" s="3225"/>
      <c r="BQ9" s="3225"/>
      <c r="BR9" s="3225"/>
      <c r="BS9" s="3225"/>
      <c r="BT9" s="3225"/>
      <c r="BU9" s="3225"/>
      <c r="BV9" s="3225"/>
      <c r="BW9" s="3225"/>
      <c r="BX9" s="3225"/>
      <c r="BY9" s="3225"/>
      <c r="BZ9" s="3225"/>
      <c r="CA9" s="3225"/>
      <c r="CB9" s="3225"/>
      <c r="CC9" s="3225"/>
      <c r="CD9" s="3225"/>
      <c r="CE9" s="3225"/>
      <c r="CF9" s="3225"/>
      <c r="CG9" s="3225"/>
      <c r="CH9" s="3225"/>
      <c r="CI9" s="3219">
        <f t="shared" si="0"/>
        <v>0</v>
      </c>
    </row>
    <row r="10" spans="1:87" s="1380" customFormat="1" ht="60">
      <c r="A10" s="473" t="s">
        <v>3895</v>
      </c>
      <c r="B10" s="521"/>
      <c r="C10" s="521" t="s">
        <v>3890</v>
      </c>
      <c r="D10" s="982" t="s">
        <v>65</v>
      </c>
      <c r="E10" s="1075" t="s">
        <v>3769</v>
      </c>
      <c r="F10" s="2226">
        <v>0</v>
      </c>
      <c r="G10" s="828"/>
      <c r="H10" s="2230">
        <v>0</v>
      </c>
      <c r="I10" s="477"/>
      <c r="J10" s="472"/>
      <c r="K10" s="273"/>
      <c r="L10" s="283"/>
      <c r="M10" s="298">
        <f t="shared" ref="M10:M20" si="1">L10/100000</f>
        <v>0</v>
      </c>
      <c r="N10" s="283"/>
      <c r="O10" s="298">
        <f t="shared" ref="O10:O15" si="2">M10*N10</f>
        <v>0</v>
      </c>
      <c r="P10" s="2489" t="s">
        <v>5215</v>
      </c>
      <c r="Q10" s="2830"/>
      <c r="R10" s="2273"/>
      <c r="BB10" s="3219"/>
      <c r="BC10" s="3219"/>
      <c r="BD10" s="3219"/>
      <c r="BE10" s="3219"/>
      <c r="BF10" s="3219"/>
      <c r="BG10" s="3219"/>
      <c r="BH10" s="3219"/>
      <c r="BI10" s="3219"/>
      <c r="BJ10" s="3219"/>
      <c r="BK10" s="3219"/>
      <c r="BL10" s="3219"/>
      <c r="BM10" s="3219"/>
      <c r="BN10" s="3219"/>
      <c r="BO10" s="3219"/>
      <c r="BP10" s="3219"/>
      <c r="BQ10" s="3219"/>
      <c r="BR10" s="3219"/>
      <c r="BS10" s="3219"/>
      <c r="BT10" s="3219"/>
      <c r="BU10" s="3219"/>
      <c r="BV10" s="3219"/>
      <c r="BW10" s="3219"/>
      <c r="BX10" s="3219"/>
      <c r="BY10" s="3219"/>
      <c r="BZ10" s="3219"/>
      <c r="CA10" s="3219"/>
      <c r="CB10" s="3219"/>
      <c r="CC10" s="3219"/>
      <c r="CD10" s="3219"/>
      <c r="CE10" s="3219"/>
      <c r="CF10" s="3219"/>
      <c r="CG10" s="3219"/>
      <c r="CH10" s="3219"/>
      <c r="CI10" s="3219">
        <f t="shared" si="0"/>
        <v>0</v>
      </c>
    </row>
    <row r="11" spans="1:87" s="1380" customFormat="1" ht="120">
      <c r="A11" s="473" t="s">
        <v>3896</v>
      </c>
      <c r="B11" s="521"/>
      <c r="C11" s="521" t="s">
        <v>3891</v>
      </c>
      <c r="D11" s="982" t="s">
        <v>65</v>
      </c>
      <c r="E11" s="1075" t="s">
        <v>3769</v>
      </c>
      <c r="F11" s="2226">
        <v>10</v>
      </c>
      <c r="G11" s="828"/>
      <c r="H11" s="2230">
        <v>5</v>
      </c>
      <c r="I11" s="477"/>
      <c r="J11" s="472"/>
      <c r="K11" s="273"/>
      <c r="L11" s="2469">
        <v>50000</v>
      </c>
      <c r="M11" s="298">
        <f t="shared" si="1"/>
        <v>0.5</v>
      </c>
      <c r="N11" s="2469">
        <v>15</v>
      </c>
      <c r="O11" s="298">
        <f t="shared" si="2"/>
        <v>7.5</v>
      </c>
      <c r="P11" s="2470" t="s">
        <v>5216</v>
      </c>
      <c r="Q11" s="2831" t="s">
        <v>5773</v>
      </c>
      <c r="R11" s="2273">
        <v>7.5</v>
      </c>
      <c r="S11" s="2829"/>
      <c r="BB11" s="3219"/>
      <c r="BC11" s="3219">
        <v>0.5</v>
      </c>
      <c r="BD11" s="3219">
        <v>0.5</v>
      </c>
      <c r="BE11" s="3219">
        <v>1</v>
      </c>
      <c r="BF11" s="3219">
        <v>1</v>
      </c>
      <c r="BG11" s="3219">
        <v>0</v>
      </c>
      <c r="BH11" s="3219">
        <v>0.5</v>
      </c>
      <c r="BI11" s="3219">
        <v>0</v>
      </c>
      <c r="BJ11" s="3219">
        <v>1</v>
      </c>
      <c r="BK11" s="3219">
        <v>0</v>
      </c>
      <c r="BL11" s="3219">
        <v>0.5</v>
      </c>
      <c r="BM11" s="3219">
        <v>0.5</v>
      </c>
      <c r="BN11" s="3219">
        <v>1</v>
      </c>
      <c r="BO11" s="3219"/>
      <c r="BP11" s="3219"/>
      <c r="BQ11" s="3219"/>
      <c r="BR11" s="3219"/>
      <c r="BS11" s="3219"/>
      <c r="BT11" s="3219"/>
      <c r="BU11" s="3219"/>
      <c r="BV11" s="3219"/>
      <c r="BW11" s="3219"/>
      <c r="BX11" s="3219"/>
      <c r="BY11" s="3219"/>
      <c r="BZ11" s="3219"/>
      <c r="CA11" s="3219"/>
      <c r="CB11" s="3219">
        <v>0.5</v>
      </c>
      <c r="CC11" s="3219">
        <v>0.5</v>
      </c>
      <c r="CD11" s="3219"/>
      <c r="CE11" s="3219"/>
      <c r="CF11" s="3219"/>
      <c r="CG11" s="3219"/>
      <c r="CH11" s="3219"/>
      <c r="CI11" s="3219">
        <f t="shared" si="0"/>
        <v>7.5</v>
      </c>
    </row>
    <row r="12" spans="1:87" s="1380" customFormat="1">
      <c r="A12" s="473" t="s">
        <v>3897</v>
      </c>
      <c r="B12" s="521"/>
      <c r="C12" s="521" t="s">
        <v>3892</v>
      </c>
      <c r="D12" s="982" t="s">
        <v>65</v>
      </c>
      <c r="E12" s="1075" t="s">
        <v>3769</v>
      </c>
      <c r="F12" s="2226">
        <v>0</v>
      </c>
      <c r="G12" s="828"/>
      <c r="H12" s="2230">
        <v>0</v>
      </c>
      <c r="I12" s="477"/>
      <c r="J12" s="472"/>
      <c r="K12" s="273"/>
      <c r="L12" s="283"/>
      <c r="M12" s="298">
        <f t="shared" si="1"/>
        <v>0</v>
      </c>
      <c r="N12" s="283"/>
      <c r="O12" s="298">
        <f t="shared" si="2"/>
        <v>0</v>
      </c>
      <c r="P12" s="2489" t="s">
        <v>5217</v>
      </c>
      <c r="Q12" s="480"/>
      <c r="R12" s="2273"/>
      <c r="BB12" s="3219"/>
      <c r="BC12" s="3219"/>
      <c r="BD12" s="3219"/>
      <c r="BE12" s="3219"/>
      <c r="BF12" s="3219"/>
      <c r="BG12" s="3219"/>
      <c r="BH12" s="3219"/>
      <c r="BI12" s="3219"/>
      <c r="BJ12" s="3219"/>
      <c r="BK12" s="3219"/>
      <c r="BL12" s="3219"/>
      <c r="BM12" s="3219"/>
      <c r="BN12" s="3219"/>
      <c r="BO12" s="3219"/>
      <c r="BP12" s="3219"/>
      <c r="BQ12" s="3219"/>
      <c r="BR12" s="3219"/>
      <c r="BS12" s="3219"/>
      <c r="BT12" s="3219"/>
      <c r="BU12" s="3219"/>
      <c r="BV12" s="3219"/>
      <c r="BW12" s="3219"/>
      <c r="BX12" s="3219"/>
      <c r="BY12" s="3219"/>
      <c r="BZ12" s="3219"/>
      <c r="CA12" s="3219"/>
      <c r="CB12" s="3219"/>
      <c r="CC12" s="3219"/>
      <c r="CD12" s="3219"/>
      <c r="CE12" s="3219"/>
      <c r="CF12" s="3219"/>
      <c r="CG12" s="3219"/>
      <c r="CH12" s="3219"/>
      <c r="CI12" s="3219">
        <f t="shared" si="0"/>
        <v>0</v>
      </c>
    </row>
    <row r="13" spans="1:87" s="1380" customFormat="1" ht="30">
      <c r="A13" s="473" t="s">
        <v>3898</v>
      </c>
      <c r="B13" s="521"/>
      <c r="C13" s="521" t="s">
        <v>3893</v>
      </c>
      <c r="D13" s="982" t="s">
        <v>65</v>
      </c>
      <c r="E13" s="1075" t="s">
        <v>3769</v>
      </c>
      <c r="F13" s="2226">
        <v>0</v>
      </c>
      <c r="G13" s="828"/>
      <c r="H13" s="2230">
        <v>0</v>
      </c>
      <c r="I13" s="477"/>
      <c r="J13" s="472"/>
      <c r="K13" s="273"/>
      <c r="L13" s="283"/>
      <c r="M13" s="298">
        <f t="shared" si="1"/>
        <v>0</v>
      </c>
      <c r="N13" s="283"/>
      <c r="O13" s="298">
        <f t="shared" si="2"/>
        <v>0</v>
      </c>
      <c r="P13" s="2489" t="s">
        <v>5217</v>
      </c>
      <c r="Q13" s="480"/>
      <c r="R13" s="2273"/>
      <c r="BB13" s="3219"/>
      <c r="BC13" s="3219"/>
      <c r="BD13" s="3219"/>
      <c r="BE13" s="3219"/>
      <c r="BF13" s="3219"/>
      <c r="BG13" s="3219"/>
      <c r="BH13" s="3219"/>
      <c r="BI13" s="3219"/>
      <c r="BJ13" s="3219"/>
      <c r="BK13" s="3219"/>
      <c r="BL13" s="3219"/>
      <c r="BM13" s="3219"/>
      <c r="BN13" s="3219"/>
      <c r="BO13" s="3219"/>
      <c r="BP13" s="3219"/>
      <c r="BQ13" s="3219"/>
      <c r="BR13" s="3219"/>
      <c r="BS13" s="3219"/>
      <c r="BT13" s="3219"/>
      <c r="BU13" s="3219"/>
      <c r="BV13" s="3219"/>
      <c r="BW13" s="3219"/>
      <c r="BX13" s="3219"/>
      <c r="BY13" s="3219"/>
      <c r="BZ13" s="3219"/>
      <c r="CA13" s="3219"/>
      <c r="CB13" s="3219"/>
      <c r="CC13" s="3219"/>
      <c r="CD13" s="3219"/>
      <c r="CE13" s="3219"/>
      <c r="CF13" s="3219"/>
      <c r="CG13" s="3219"/>
      <c r="CH13" s="3219"/>
      <c r="CI13" s="3219">
        <f t="shared" si="0"/>
        <v>0</v>
      </c>
    </row>
    <row r="14" spans="1:87" s="1380" customFormat="1" ht="30">
      <c r="A14" s="473" t="s">
        <v>3899</v>
      </c>
      <c r="B14" s="521"/>
      <c r="C14" s="521" t="s">
        <v>3894</v>
      </c>
      <c r="D14" s="982" t="s">
        <v>65</v>
      </c>
      <c r="E14" s="1075" t="s">
        <v>3769</v>
      </c>
      <c r="F14" s="2226">
        <v>20</v>
      </c>
      <c r="G14" s="828"/>
      <c r="H14" s="2230">
        <v>10</v>
      </c>
      <c r="I14" s="477"/>
      <c r="J14" s="472"/>
      <c r="K14" s="273"/>
      <c r="L14" s="283"/>
      <c r="M14" s="298">
        <f t="shared" si="1"/>
        <v>0</v>
      </c>
      <c r="N14" s="283"/>
      <c r="O14" s="298">
        <f t="shared" si="2"/>
        <v>0</v>
      </c>
      <c r="P14" s="2490" t="s">
        <v>5217</v>
      </c>
      <c r="Q14" s="480"/>
      <c r="R14" s="2273"/>
      <c r="BB14" s="3219"/>
      <c r="BC14" s="3219"/>
      <c r="BD14" s="3219"/>
      <c r="BE14" s="3219"/>
      <c r="BF14" s="3219"/>
      <c r="BG14" s="3219"/>
      <c r="BH14" s="3219"/>
      <c r="BI14" s="3219"/>
      <c r="BJ14" s="3219"/>
      <c r="BK14" s="3219"/>
      <c r="BL14" s="3219"/>
      <c r="BM14" s="3219"/>
      <c r="BN14" s="3219"/>
      <c r="BO14" s="3219"/>
      <c r="BP14" s="3219"/>
      <c r="BQ14" s="3219"/>
      <c r="BR14" s="3219"/>
      <c r="BS14" s="3219"/>
      <c r="BT14" s="3219"/>
      <c r="BU14" s="3219"/>
      <c r="BV14" s="3219"/>
      <c r="BW14" s="3219"/>
      <c r="BX14" s="3219"/>
      <c r="BY14" s="3219"/>
      <c r="BZ14" s="3219"/>
      <c r="CA14" s="3219"/>
      <c r="CB14" s="3219"/>
      <c r="CC14" s="3219"/>
      <c r="CD14" s="3219"/>
      <c r="CE14" s="3219"/>
      <c r="CF14" s="3219"/>
      <c r="CG14" s="3219"/>
      <c r="CH14" s="3219"/>
      <c r="CI14" s="3219">
        <f t="shared" si="0"/>
        <v>0</v>
      </c>
    </row>
    <row r="15" spans="1:87" s="1380" customFormat="1">
      <c r="A15" s="473" t="s">
        <v>3900</v>
      </c>
      <c r="B15" s="521"/>
      <c r="C15" s="521" t="s">
        <v>1304</v>
      </c>
      <c r="D15" s="982" t="s">
        <v>65</v>
      </c>
      <c r="E15" s="1075" t="s">
        <v>3769</v>
      </c>
      <c r="F15" s="2226">
        <v>20</v>
      </c>
      <c r="G15" s="828"/>
      <c r="H15" s="2230">
        <v>40</v>
      </c>
      <c r="I15" s="477"/>
      <c r="J15" s="472"/>
      <c r="K15" s="273"/>
      <c r="L15" s="283"/>
      <c r="M15" s="298">
        <f t="shared" si="1"/>
        <v>0</v>
      </c>
      <c r="N15" s="283"/>
      <c r="O15" s="298">
        <f t="shared" si="2"/>
        <v>0</v>
      </c>
      <c r="P15" s="2433"/>
      <c r="Q15" s="480"/>
      <c r="R15" s="2273"/>
      <c r="BB15" s="3219"/>
      <c r="BC15" s="3219"/>
      <c r="BD15" s="3219"/>
      <c r="BE15" s="3219"/>
      <c r="BF15" s="3219"/>
      <c r="BG15" s="3219"/>
      <c r="BH15" s="3219"/>
      <c r="BI15" s="3219"/>
      <c r="BJ15" s="3219"/>
      <c r="BK15" s="3219"/>
      <c r="BL15" s="3219"/>
      <c r="BM15" s="3219"/>
      <c r="BN15" s="3219"/>
      <c r="BO15" s="3219"/>
      <c r="BP15" s="3219"/>
      <c r="BQ15" s="3219"/>
      <c r="BR15" s="3219"/>
      <c r="BS15" s="3219"/>
      <c r="BT15" s="3219"/>
      <c r="BU15" s="3219"/>
      <c r="BV15" s="3219"/>
      <c r="BW15" s="3219"/>
      <c r="BX15" s="3219"/>
      <c r="BY15" s="3219"/>
      <c r="BZ15" s="3219"/>
      <c r="CA15" s="3219"/>
      <c r="CB15" s="3219"/>
      <c r="CC15" s="3219"/>
      <c r="CD15" s="3219"/>
      <c r="CE15" s="3219"/>
      <c r="CF15" s="3219"/>
      <c r="CG15" s="3219"/>
      <c r="CH15" s="3219"/>
      <c r="CI15" s="3219">
        <f t="shared" si="0"/>
        <v>0</v>
      </c>
    </row>
    <row r="16" spans="1:87" s="1380" customFormat="1" ht="85.5" customHeight="1">
      <c r="A16" s="473" t="s">
        <v>1238</v>
      </c>
      <c r="B16" s="521" t="s">
        <v>1239</v>
      </c>
      <c r="C16" s="521" t="s">
        <v>3901</v>
      </c>
      <c r="D16" s="982" t="s">
        <v>65</v>
      </c>
      <c r="E16" s="1075" t="s">
        <v>3769</v>
      </c>
      <c r="F16" s="2226">
        <v>396</v>
      </c>
      <c r="G16" s="828"/>
      <c r="H16" s="2230">
        <v>1.98</v>
      </c>
      <c r="I16" s="477"/>
      <c r="J16" s="472"/>
      <c r="K16" s="273"/>
      <c r="L16" s="283">
        <v>500</v>
      </c>
      <c r="M16" s="298">
        <f t="shared" si="1"/>
        <v>5.0000000000000001E-3</v>
      </c>
      <c r="N16" s="2469">
        <v>240</v>
      </c>
      <c r="O16" s="298">
        <f>M16*N16</f>
        <v>1.2</v>
      </c>
      <c r="P16" s="2491" t="s">
        <v>5218</v>
      </c>
      <c r="Q16" s="2831" t="s">
        <v>5758</v>
      </c>
      <c r="R16" s="2273">
        <v>1.2</v>
      </c>
      <c r="BB16" s="3219">
        <v>0.2</v>
      </c>
      <c r="BC16" s="3219">
        <v>0.1</v>
      </c>
      <c r="BD16" s="3219">
        <v>0.1</v>
      </c>
      <c r="BE16" s="3219">
        <v>0.1</v>
      </c>
      <c r="BF16" s="3219">
        <v>0.1</v>
      </c>
      <c r="BG16" s="3219">
        <v>0</v>
      </c>
      <c r="BH16" s="3219">
        <v>0.1</v>
      </c>
      <c r="BI16" s="3219">
        <v>0</v>
      </c>
      <c r="BJ16" s="3219">
        <v>0.1</v>
      </c>
      <c r="BK16" s="3219">
        <v>0.1</v>
      </c>
      <c r="BL16" s="3219">
        <v>0.1</v>
      </c>
      <c r="BM16" s="3219">
        <v>0.1</v>
      </c>
      <c r="BN16" s="3219">
        <v>0.1</v>
      </c>
      <c r="BO16" s="3219"/>
      <c r="BP16" s="3219"/>
      <c r="BQ16" s="3219"/>
      <c r="BR16" s="3219"/>
      <c r="BS16" s="3219"/>
      <c r="BT16" s="3219"/>
      <c r="BU16" s="3219"/>
      <c r="BV16" s="3219"/>
      <c r="BW16" s="3219"/>
      <c r="BX16" s="3219"/>
      <c r="BY16" s="3219"/>
      <c r="BZ16" s="3219"/>
      <c r="CA16" s="3219"/>
      <c r="CB16" s="3219"/>
      <c r="CC16" s="3219"/>
      <c r="CD16" s="3219"/>
      <c r="CE16" s="3219"/>
      <c r="CF16" s="3219"/>
      <c r="CG16" s="3219"/>
      <c r="CH16" s="3219"/>
      <c r="CI16" s="3219">
        <f t="shared" si="0"/>
        <v>1.2</v>
      </c>
    </row>
    <row r="17" spans="1:87" s="1380" customFormat="1" ht="75.75" customHeight="1">
      <c r="A17" s="473" t="s">
        <v>1240</v>
      </c>
      <c r="B17" s="521"/>
      <c r="C17" s="521" t="s">
        <v>3902</v>
      </c>
      <c r="D17" s="982" t="s">
        <v>65</v>
      </c>
      <c r="E17" s="1075" t="s">
        <v>3769</v>
      </c>
      <c r="F17" s="2226">
        <v>25</v>
      </c>
      <c r="G17" s="2492">
        <v>3</v>
      </c>
      <c r="H17" s="2230">
        <v>15.85</v>
      </c>
      <c r="I17" s="477"/>
      <c r="J17" s="472"/>
      <c r="K17" s="273"/>
      <c r="L17" s="2469">
        <v>102500</v>
      </c>
      <c r="M17" s="298">
        <f t="shared" si="1"/>
        <v>1.0249999999999999</v>
      </c>
      <c r="N17" s="283">
        <v>12</v>
      </c>
      <c r="O17" s="298">
        <f>M17*N17</f>
        <v>12.299999999999999</v>
      </c>
      <c r="P17" s="2502" t="s">
        <v>5299</v>
      </c>
      <c r="Q17" s="2831" t="s">
        <v>5759</v>
      </c>
      <c r="R17" s="2273">
        <v>12.3</v>
      </c>
      <c r="BB17" s="3219">
        <v>12.3</v>
      </c>
      <c r="BC17" s="3219"/>
      <c r="BD17" s="3219"/>
      <c r="BE17" s="3219"/>
      <c r="BF17" s="3219"/>
      <c r="BG17" s="3219"/>
      <c r="BH17" s="3219"/>
      <c r="BI17" s="3219"/>
      <c r="BJ17" s="3219"/>
      <c r="BK17" s="3219"/>
      <c r="BL17" s="3219"/>
      <c r="BM17" s="3219"/>
      <c r="BN17" s="3219"/>
      <c r="BO17" s="3219"/>
      <c r="BP17" s="3219"/>
      <c r="BQ17" s="3219"/>
      <c r="BR17" s="3219"/>
      <c r="BS17" s="3219"/>
      <c r="BT17" s="3219"/>
      <c r="BU17" s="3219"/>
      <c r="BV17" s="3219"/>
      <c r="BW17" s="3219"/>
      <c r="BX17" s="3219"/>
      <c r="BY17" s="3219"/>
      <c r="BZ17" s="3219"/>
      <c r="CA17" s="3219"/>
      <c r="CB17" s="3219"/>
      <c r="CC17" s="3219"/>
      <c r="CD17" s="3219"/>
      <c r="CE17" s="3219"/>
      <c r="CF17" s="3219"/>
      <c r="CG17" s="3219"/>
      <c r="CH17" s="3219"/>
      <c r="CI17" s="3219">
        <f t="shared" si="0"/>
        <v>12.3</v>
      </c>
    </row>
    <row r="18" spans="1:87" s="1380" customFormat="1" ht="180">
      <c r="A18" s="473" t="s">
        <v>2572</v>
      </c>
      <c r="B18" s="521"/>
      <c r="C18" s="521" t="s">
        <v>3903</v>
      </c>
      <c r="D18" s="982" t="s">
        <v>65</v>
      </c>
      <c r="E18" s="1075" t="s">
        <v>3769</v>
      </c>
      <c r="F18" s="2226">
        <v>29</v>
      </c>
      <c r="G18" s="2492">
        <v>10</v>
      </c>
      <c r="H18" s="2230">
        <v>10.4</v>
      </c>
      <c r="I18" s="477">
        <v>0.01</v>
      </c>
      <c r="J18" s="472">
        <v>10.39</v>
      </c>
      <c r="K18" s="273"/>
      <c r="L18" s="2469">
        <v>68823.53</v>
      </c>
      <c r="M18" s="298">
        <f t="shared" si="1"/>
        <v>0.68823529999999999</v>
      </c>
      <c r="N18" s="283">
        <v>17</v>
      </c>
      <c r="O18" s="298">
        <f>M18*N18</f>
        <v>11.7000001</v>
      </c>
      <c r="P18" s="2490" t="s">
        <v>5300</v>
      </c>
      <c r="Q18" s="2831" t="s">
        <v>5760</v>
      </c>
      <c r="R18" s="2273">
        <v>11.7</v>
      </c>
      <c r="BB18" s="3219">
        <v>11.7</v>
      </c>
      <c r="BC18" s="3219"/>
      <c r="BD18" s="3219"/>
      <c r="BE18" s="3219"/>
      <c r="BF18" s="3219"/>
      <c r="BG18" s="3219"/>
      <c r="BH18" s="3219"/>
      <c r="BI18" s="3219"/>
      <c r="BJ18" s="3219"/>
      <c r="BK18" s="3219"/>
      <c r="BL18" s="3219"/>
      <c r="BM18" s="3219"/>
      <c r="BN18" s="3219"/>
      <c r="BO18" s="3219"/>
      <c r="BP18" s="3219"/>
      <c r="BQ18" s="3219"/>
      <c r="BR18" s="3219"/>
      <c r="BS18" s="3219"/>
      <c r="BT18" s="3219"/>
      <c r="BU18" s="3219"/>
      <c r="BV18" s="3219"/>
      <c r="BW18" s="3219"/>
      <c r="BX18" s="3219"/>
      <c r="BY18" s="3219"/>
      <c r="BZ18" s="3219"/>
      <c r="CA18" s="3219"/>
      <c r="CB18" s="3219"/>
      <c r="CC18" s="3219"/>
      <c r="CD18" s="3219"/>
      <c r="CE18" s="3219"/>
      <c r="CF18" s="3219"/>
      <c r="CG18" s="3219"/>
      <c r="CH18" s="3219"/>
      <c r="CI18" s="3219">
        <f t="shared" si="0"/>
        <v>11.7</v>
      </c>
    </row>
    <row r="19" spans="1:87" s="1380" customFormat="1" ht="62.25" customHeight="1">
      <c r="A19" s="473" t="s">
        <v>3905</v>
      </c>
      <c r="B19" s="521" t="s">
        <v>1148</v>
      </c>
      <c r="C19" s="521" t="s">
        <v>3904</v>
      </c>
      <c r="D19" s="982" t="s">
        <v>65</v>
      </c>
      <c r="E19" s="1075" t="s">
        <v>3769</v>
      </c>
      <c r="F19" s="2226">
        <v>2</v>
      </c>
      <c r="G19" s="2492">
        <v>1</v>
      </c>
      <c r="H19" s="2230">
        <v>29.8</v>
      </c>
      <c r="I19" s="477">
        <v>29.8</v>
      </c>
      <c r="J19" s="472">
        <v>0</v>
      </c>
      <c r="K19" s="472"/>
      <c r="L19" s="2469">
        <v>10000</v>
      </c>
      <c r="M19" s="298">
        <f t="shared" si="1"/>
        <v>0.1</v>
      </c>
      <c r="N19" s="283">
        <v>298</v>
      </c>
      <c r="O19" s="298">
        <f>M19*N19</f>
        <v>29.8</v>
      </c>
      <c r="P19" s="2490" t="s">
        <v>5301</v>
      </c>
      <c r="Q19" s="2831" t="s">
        <v>5761</v>
      </c>
      <c r="R19" s="2273">
        <v>29.8</v>
      </c>
      <c r="BB19" s="3219">
        <v>29.8</v>
      </c>
      <c r="BC19" s="3219"/>
      <c r="BD19" s="3219"/>
      <c r="BE19" s="3219"/>
      <c r="BF19" s="3219"/>
      <c r="BG19" s="3219"/>
      <c r="BH19" s="3219"/>
      <c r="BI19" s="3219"/>
      <c r="BJ19" s="3219"/>
      <c r="BK19" s="3219"/>
      <c r="BL19" s="3219"/>
      <c r="BM19" s="3219"/>
      <c r="BN19" s="3219"/>
      <c r="BO19" s="3219"/>
      <c r="BP19" s="3219"/>
      <c r="BQ19" s="3219"/>
      <c r="BR19" s="3219"/>
      <c r="BS19" s="3219"/>
      <c r="BT19" s="3219"/>
      <c r="BU19" s="3219"/>
      <c r="BV19" s="3219"/>
      <c r="BW19" s="3219"/>
      <c r="BX19" s="3219"/>
      <c r="BY19" s="3219"/>
      <c r="BZ19" s="3219"/>
      <c r="CA19" s="3219"/>
      <c r="CB19" s="3219"/>
      <c r="CC19" s="3219"/>
      <c r="CD19" s="3219"/>
      <c r="CE19" s="3219"/>
      <c r="CF19" s="3219"/>
      <c r="CG19" s="3219"/>
      <c r="CH19" s="3219"/>
      <c r="CI19" s="3219">
        <f t="shared" si="0"/>
        <v>29.8</v>
      </c>
    </row>
    <row r="20" spans="1:87" s="1380" customFormat="1" ht="46.5" customHeight="1">
      <c r="A20" s="473" t="s">
        <v>3906</v>
      </c>
      <c r="B20" s="521"/>
      <c r="C20" s="521" t="s">
        <v>1304</v>
      </c>
      <c r="D20" s="982" t="s">
        <v>65</v>
      </c>
      <c r="E20" s="1075" t="s">
        <v>3769</v>
      </c>
      <c r="F20" s="2226">
        <v>0</v>
      </c>
      <c r="G20" s="828"/>
      <c r="H20" s="477">
        <v>0</v>
      </c>
      <c r="I20" s="477"/>
      <c r="J20" s="472"/>
      <c r="K20" s="273"/>
      <c r="L20" s="2440">
        <v>616667</v>
      </c>
      <c r="M20" s="298">
        <f t="shared" si="1"/>
        <v>6.1666699999999999</v>
      </c>
      <c r="N20" s="283">
        <v>12</v>
      </c>
      <c r="O20" s="298">
        <f>M20*N20</f>
        <v>74.000039999999998</v>
      </c>
      <c r="P20" s="2441" t="s">
        <v>5281</v>
      </c>
      <c r="Q20" s="2831" t="s">
        <v>5762</v>
      </c>
      <c r="R20" s="2273">
        <v>12</v>
      </c>
      <c r="BB20" s="3219"/>
      <c r="BC20" s="3219"/>
      <c r="BD20" s="3219"/>
      <c r="BE20" s="3219"/>
      <c r="BF20" s="3219"/>
      <c r="BG20" s="3219">
        <v>6</v>
      </c>
      <c r="BH20" s="3219"/>
      <c r="BI20" s="3219"/>
      <c r="BJ20" s="3219"/>
      <c r="BK20" s="3219"/>
      <c r="BL20" s="3219"/>
      <c r="BM20" s="3219"/>
      <c r="BN20" s="3219"/>
      <c r="BO20" s="3219"/>
      <c r="BP20" s="3219"/>
      <c r="BQ20" s="3219">
        <v>3</v>
      </c>
      <c r="BR20" s="3219"/>
      <c r="BS20" s="3219"/>
      <c r="BT20" s="3219"/>
      <c r="BU20" s="3219"/>
      <c r="BV20" s="3219"/>
      <c r="BW20" s="3219"/>
      <c r="BX20" s="3219"/>
      <c r="BY20" s="3219">
        <v>3</v>
      </c>
      <c r="BZ20" s="3219"/>
      <c r="CA20" s="3219"/>
      <c r="CB20" s="3219"/>
      <c r="CC20" s="3219"/>
      <c r="CD20" s="3219"/>
      <c r="CE20" s="3219"/>
      <c r="CF20" s="3219"/>
      <c r="CG20" s="3219"/>
      <c r="CH20" s="3219"/>
      <c r="CI20" s="3219">
        <f>SUM(BB20:CH20)</f>
        <v>12</v>
      </c>
    </row>
    <row r="21" spans="1:87">
      <c r="A21" s="1468">
        <v>13.2</v>
      </c>
      <c r="B21" s="1148"/>
      <c r="C21" s="1148" t="s">
        <v>27</v>
      </c>
      <c r="D21" s="1567"/>
      <c r="E21" s="1567"/>
      <c r="F21" s="389"/>
      <c r="G21" s="389"/>
      <c r="H21" s="389"/>
      <c r="I21" s="389"/>
      <c r="J21" s="389"/>
      <c r="K21" s="389"/>
      <c r="L21" s="389"/>
      <c r="M21" s="1384"/>
      <c r="N21" s="319"/>
      <c r="O21" s="464">
        <f>SUM(O22:O24)+SUM(O29:O31)</f>
        <v>215.42998459999998</v>
      </c>
      <c r="P21" s="463"/>
      <c r="Q21" s="471"/>
      <c r="R21" s="464">
        <f>SUM(R22:R24)+SUM(R29:R31)</f>
        <v>215.42999999999998</v>
      </c>
      <c r="BB21" s="3218"/>
      <c r="BC21" s="3218"/>
      <c r="BD21" s="3218"/>
      <c r="BE21" s="3218"/>
      <c r="BF21" s="3218"/>
      <c r="BG21" s="3218"/>
      <c r="BH21" s="3218"/>
      <c r="BI21" s="3218"/>
      <c r="BJ21" s="3218"/>
      <c r="BK21" s="3218"/>
      <c r="BL21" s="3218"/>
      <c r="BM21" s="3218"/>
      <c r="BN21" s="3218"/>
      <c r="BO21" s="3218"/>
      <c r="BP21" s="3218"/>
      <c r="BQ21" s="3218"/>
      <c r="BR21" s="3218"/>
      <c r="BS21" s="3218"/>
      <c r="BT21" s="3218"/>
      <c r="BU21" s="3218"/>
      <c r="BV21" s="3218"/>
      <c r="BW21" s="3218"/>
      <c r="BX21" s="3218"/>
      <c r="BY21" s="3218"/>
      <c r="BZ21" s="3218"/>
      <c r="CA21" s="3218"/>
      <c r="CB21" s="3218"/>
      <c r="CC21" s="3218"/>
      <c r="CD21" s="3218"/>
      <c r="CE21" s="3218"/>
      <c r="CF21" s="3218"/>
      <c r="CG21" s="3218"/>
      <c r="CH21" s="3218"/>
      <c r="CI21" s="3219">
        <f t="shared" ref="CI21:CI22" si="3">SUM(BB21:CH21)</f>
        <v>0</v>
      </c>
    </row>
    <row r="22" spans="1:87" s="1380" customFormat="1" ht="409.5">
      <c r="A22" s="473" t="s">
        <v>1241</v>
      </c>
      <c r="B22" s="521" t="s">
        <v>1242</v>
      </c>
      <c r="C22" s="521" t="s">
        <v>1243</v>
      </c>
      <c r="D22" s="982" t="s">
        <v>65</v>
      </c>
      <c r="E22" s="1075" t="s">
        <v>3769</v>
      </c>
      <c r="F22" s="2226">
        <v>829</v>
      </c>
      <c r="G22" s="2492">
        <v>815</v>
      </c>
      <c r="H22" s="2230">
        <v>15.03</v>
      </c>
      <c r="I22" s="2493">
        <v>8.5299999999999994</v>
      </c>
      <c r="J22" s="2494">
        <v>6.5</v>
      </c>
      <c r="K22" s="273"/>
      <c r="L22" s="2469">
        <v>3740.88</v>
      </c>
      <c r="M22" s="298">
        <f>L22/100000</f>
        <v>3.7408799999999999E-2</v>
      </c>
      <c r="N22" s="2469">
        <v>1316</v>
      </c>
      <c r="O22" s="298">
        <f t="shared" ref="O22:O31" si="4">M22*N22</f>
        <v>49.2299808</v>
      </c>
      <c r="P22" s="2614" t="s">
        <v>5425</v>
      </c>
      <c r="Q22" s="296" t="s">
        <v>5763</v>
      </c>
      <c r="R22" s="2273">
        <v>49.23</v>
      </c>
      <c r="BB22" s="3219">
        <v>27.36</v>
      </c>
      <c r="BC22" s="3219">
        <v>1.53</v>
      </c>
      <c r="BD22" s="3219">
        <v>1.58</v>
      </c>
      <c r="BE22" s="3219">
        <v>1.18</v>
      </c>
      <c r="BF22" s="3219">
        <v>3.57</v>
      </c>
      <c r="BG22" s="3219">
        <v>0.89</v>
      </c>
      <c r="BH22" s="3219">
        <v>1.42</v>
      </c>
      <c r="BI22" s="3219">
        <v>0.23</v>
      </c>
      <c r="BJ22" s="3219">
        <v>4.4400000000000004</v>
      </c>
      <c r="BK22" s="3219">
        <v>2.99</v>
      </c>
      <c r="BL22" s="3219">
        <v>1.33</v>
      </c>
      <c r="BM22" s="3219">
        <v>1.51</v>
      </c>
      <c r="BN22" s="3219">
        <v>1.2</v>
      </c>
      <c r="BO22" s="3219"/>
      <c r="BP22" s="3219"/>
      <c r="BQ22" s="3219"/>
      <c r="BR22" s="3219"/>
      <c r="BS22" s="3219"/>
      <c r="BT22" s="3219"/>
      <c r="BU22" s="3219"/>
      <c r="BV22" s="3219"/>
      <c r="BW22" s="3219"/>
      <c r="BX22" s="3219"/>
      <c r="BY22" s="3219"/>
      <c r="BZ22" s="3219"/>
      <c r="CA22" s="3219"/>
      <c r="CB22" s="3219"/>
      <c r="CC22" s="3219"/>
      <c r="CD22" s="3219"/>
      <c r="CE22" s="3219"/>
      <c r="CF22" s="3219"/>
      <c r="CG22" s="3219"/>
      <c r="CH22" s="3219"/>
      <c r="CI22" s="3219">
        <f t="shared" si="3"/>
        <v>49.23</v>
      </c>
    </row>
    <row r="23" spans="1:87" s="1380" customFormat="1" ht="390">
      <c r="A23" s="473" t="s">
        <v>1244</v>
      </c>
      <c r="B23" s="521" t="s">
        <v>1245</v>
      </c>
      <c r="C23" s="521" t="s">
        <v>1246</v>
      </c>
      <c r="D23" s="982" t="s">
        <v>65</v>
      </c>
      <c r="E23" s="1075" t="s">
        <v>3769</v>
      </c>
      <c r="F23" s="2226">
        <v>57</v>
      </c>
      <c r="G23" s="828">
        <v>114</v>
      </c>
      <c r="H23" s="2230">
        <v>135.5</v>
      </c>
      <c r="I23" s="477">
        <v>95.81</v>
      </c>
      <c r="J23" s="472">
        <v>39.69</v>
      </c>
      <c r="K23" s="273"/>
      <c r="L23" s="2469">
        <v>128032.79</v>
      </c>
      <c r="M23" s="298">
        <f>L23/100000</f>
        <v>1.2803278999999999</v>
      </c>
      <c r="N23" s="2469">
        <v>122</v>
      </c>
      <c r="O23" s="298">
        <f t="shared" si="4"/>
        <v>156.20000379999999</v>
      </c>
      <c r="P23" s="2491" t="s">
        <v>5219</v>
      </c>
      <c r="Q23" s="296" t="s">
        <v>5764</v>
      </c>
      <c r="R23" s="2273">
        <v>156.19999999999999</v>
      </c>
      <c r="BB23" s="3219">
        <v>156.19999999999999</v>
      </c>
      <c r="BC23" s="3219"/>
      <c r="BD23" s="3219"/>
      <c r="BE23" s="3219"/>
      <c r="BF23" s="3219"/>
      <c r="BG23" s="3219"/>
      <c r="BH23" s="3219"/>
      <c r="BI23" s="3219"/>
      <c r="BJ23" s="3219"/>
      <c r="BK23" s="3219"/>
      <c r="BL23" s="3219"/>
      <c r="BM23" s="3219"/>
      <c r="BN23" s="3219"/>
      <c r="BO23" s="3219"/>
      <c r="BP23" s="3219"/>
      <c r="BQ23" s="3219"/>
      <c r="BR23" s="3219"/>
      <c r="BS23" s="3219"/>
      <c r="BT23" s="3219"/>
      <c r="BU23" s="3219"/>
      <c r="BV23" s="3219"/>
      <c r="BW23" s="3219"/>
      <c r="BX23" s="3219"/>
      <c r="BY23" s="3219"/>
      <c r="BZ23" s="3219"/>
      <c r="CA23" s="3219"/>
      <c r="CB23" s="3219"/>
      <c r="CC23" s="3219"/>
      <c r="CD23" s="3219"/>
      <c r="CE23" s="3219"/>
      <c r="CF23" s="3219"/>
      <c r="CG23" s="3219"/>
      <c r="CH23" s="3219"/>
      <c r="CI23" s="3219">
        <f t="shared" ref="CI23:CI37" si="5">SUM(BB23:CH23)</f>
        <v>156.19999999999999</v>
      </c>
    </row>
    <row r="24" spans="1:87" s="1101" customFormat="1">
      <c r="A24" s="469" t="s">
        <v>1247</v>
      </c>
      <c r="B24" s="514" t="s">
        <v>1248</v>
      </c>
      <c r="C24" s="1694" t="s">
        <v>1249</v>
      </c>
      <c r="D24" s="1509" t="s">
        <v>65</v>
      </c>
      <c r="E24" s="1509" t="s">
        <v>3769</v>
      </c>
      <c r="F24" s="465"/>
      <c r="G24" s="466"/>
      <c r="H24" s="467"/>
      <c r="I24" s="467"/>
      <c r="J24" s="465"/>
      <c r="K24" s="465"/>
      <c r="L24" s="465"/>
      <c r="M24" s="470"/>
      <c r="N24" s="274"/>
      <c r="O24" s="470">
        <f>SUM(O25:O28)</f>
        <v>8</v>
      </c>
      <c r="P24" s="396"/>
      <c r="Q24" s="469"/>
      <c r="R24" s="470">
        <f>SUM(R25:R28)</f>
        <v>8</v>
      </c>
      <c r="BB24" s="3225"/>
      <c r="BC24" s="3225"/>
      <c r="BD24" s="3225"/>
      <c r="BE24" s="3225"/>
      <c r="BF24" s="3225"/>
      <c r="BG24" s="3225"/>
      <c r="BH24" s="3225"/>
      <c r="BI24" s="3225"/>
      <c r="BJ24" s="3225"/>
      <c r="BK24" s="3225"/>
      <c r="BL24" s="3225"/>
      <c r="BM24" s="3225"/>
      <c r="BN24" s="3225"/>
      <c r="BO24" s="3225"/>
      <c r="BP24" s="3225"/>
      <c r="BQ24" s="3225"/>
      <c r="BR24" s="3225"/>
      <c r="BS24" s="3225"/>
      <c r="BT24" s="3225"/>
      <c r="BU24" s="3225"/>
      <c r="BV24" s="3225"/>
      <c r="BW24" s="3225"/>
      <c r="BX24" s="3225"/>
      <c r="BY24" s="3225"/>
      <c r="BZ24" s="3225"/>
      <c r="CA24" s="3225"/>
      <c r="CB24" s="3225"/>
      <c r="CC24" s="3225"/>
      <c r="CD24" s="3225"/>
      <c r="CE24" s="3225"/>
      <c r="CF24" s="3225"/>
      <c r="CG24" s="3225"/>
      <c r="CH24" s="3225"/>
      <c r="CI24" s="3219">
        <f t="shared" si="5"/>
        <v>0</v>
      </c>
    </row>
    <row r="25" spans="1:87" s="1380" customFormat="1" ht="42.75" customHeight="1">
      <c r="A25" s="473" t="s">
        <v>3907</v>
      </c>
      <c r="B25" s="521"/>
      <c r="C25" s="1556" t="s">
        <v>3911</v>
      </c>
      <c r="D25" s="982" t="s">
        <v>65</v>
      </c>
      <c r="E25" s="1075" t="s">
        <v>3769</v>
      </c>
      <c r="F25" s="2226">
        <v>50</v>
      </c>
      <c r="G25" s="828"/>
      <c r="H25" s="2230">
        <v>10</v>
      </c>
      <c r="I25" s="477">
        <v>0.03</v>
      </c>
      <c r="J25" s="472">
        <v>9.9700000000000006</v>
      </c>
      <c r="K25" s="472"/>
      <c r="L25" s="2469">
        <v>10000</v>
      </c>
      <c r="M25" s="298">
        <f t="shared" ref="M25:M31" si="6">L25/100000</f>
        <v>0.1</v>
      </c>
      <c r="N25" s="2469">
        <v>80</v>
      </c>
      <c r="O25" s="298">
        <f>M25*N25</f>
        <v>8</v>
      </c>
      <c r="P25" s="2491" t="s">
        <v>5220</v>
      </c>
      <c r="Q25" s="2831" t="s">
        <v>5765</v>
      </c>
      <c r="R25" s="2273">
        <v>8</v>
      </c>
      <c r="BB25" s="3219">
        <v>8</v>
      </c>
      <c r="BC25" s="3219"/>
      <c r="BD25" s="3219"/>
      <c r="BE25" s="3219"/>
      <c r="BF25" s="3219"/>
      <c r="BG25" s="3219"/>
      <c r="BH25" s="3219"/>
      <c r="BI25" s="3219"/>
      <c r="BJ25" s="3219"/>
      <c r="BK25" s="3219"/>
      <c r="BL25" s="3219"/>
      <c r="BM25" s="3219"/>
      <c r="BN25" s="3219"/>
      <c r="BO25" s="3219"/>
      <c r="BP25" s="3219"/>
      <c r="BQ25" s="3219"/>
      <c r="BR25" s="3219"/>
      <c r="BS25" s="3219"/>
      <c r="BT25" s="3219"/>
      <c r="BU25" s="3219"/>
      <c r="BV25" s="3219"/>
      <c r="BW25" s="3219"/>
      <c r="BX25" s="3219"/>
      <c r="BY25" s="3219"/>
      <c r="BZ25" s="3219"/>
      <c r="CA25" s="3219"/>
      <c r="CB25" s="3219"/>
      <c r="CC25" s="3219"/>
      <c r="CD25" s="3219"/>
      <c r="CE25" s="3219"/>
      <c r="CF25" s="3219"/>
      <c r="CG25" s="3219"/>
      <c r="CH25" s="3219"/>
      <c r="CI25" s="3219">
        <f t="shared" si="5"/>
        <v>8</v>
      </c>
    </row>
    <row r="26" spans="1:87" s="1380" customFormat="1">
      <c r="A26" s="473" t="s">
        <v>3908</v>
      </c>
      <c r="B26" s="521"/>
      <c r="C26" s="1556" t="s">
        <v>3912</v>
      </c>
      <c r="D26" s="982" t="s">
        <v>65</v>
      </c>
      <c r="E26" s="1075" t="s">
        <v>3769</v>
      </c>
      <c r="F26" s="2226">
        <v>0</v>
      </c>
      <c r="G26" s="828"/>
      <c r="H26" s="2230">
        <v>0</v>
      </c>
      <c r="I26" s="477"/>
      <c r="J26" s="472"/>
      <c r="K26" s="472"/>
      <c r="L26" s="283"/>
      <c r="M26" s="298">
        <f t="shared" si="6"/>
        <v>0</v>
      </c>
      <c r="N26" s="283"/>
      <c r="O26" s="298">
        <f>M26*N26</f>
        <v>0</v>
      </c>
      <c r="P26" s="2491" t="s">
        <v>5217</v>
      </c>
      <c r="Q26" s="480"/>
      <c r="R26" s="2273"/>
      <c r="BB26" s="3219"/>
      <c r="BC26" s="3219"/>
      <c r="BD26" s="3219"/>
      <c r="BE26" s="3219"/>
      <c r="BF26" s="3219"/>
      <c r="BG26" s="3219"/>
      <c r="BH26" s="3219"/>
      <c r="BI26" s="3219"/>
      <c r="BJ26" s="3219"/>
      <c r="BK26" s="3219"/>
      <c r="BL26" s="3219"/>
      <c r="BM26" s="3219"/>
      <c r="BN26" s="3219"/>
      <c r="BO26" s="3219"/>
      <c r="BP26" s="3219"/>
      <c r="BQ26" s="3219"/>
      <c r="BR26" s="3219"/>
      <c r="BS26" s="3219"/>
      <c r="BT26" s="3219"/>
      <c r="BU26" s="3219"/>
      <c r="BV26" s="3219"/>
      <c r="BW26" s="3219"/>
      <c r="BX26" s="3219"/>
      <c r="BY26" s="3219"/>
      <c r="BZ26" s="3219"/>
      <c r="CA26" s="3219"/>
      <c r="CB26" s="3219"/>
      <c r="CC26" s="3219"/>
      <c r="CD26" s="3219"/>
      <c r="CE26" s="3219"/>
      <c r="CF26" s="3219"/>
      <c r="CG26" s="3219"/>
      <c r="CH26" s="3219"/>
      <c r="CI26" s="3219">
        <f t="shared" si="5"/>
        <v>0</v>
      </c>
    </row>
    <row r="27" spans="1:87" s="1380" customFormat="1">
      <c r="A27" s="473" t="s">
        <v>3909</v>
      </c>
      <c r="B27" s="521"/>
      <c r="C27" s="1556" t="s">
        <v>3978</v>
      </c>
      <c r="D27" s="982" t="s">
        <v>65</v>
      </c>
      <c r="E27" s="1075" t="s">
        <v>3769</v>
      </c>
      <c r="F27" s="2226">
        <v>0</v>
      </c>
      <c r="G27" s="828"/>
      <c r="H27" s="2230">
        <v>0</v>
      </c>
      <c r="I27" s="477"/>
      <c r="J27" s="472"/>
      <c r="K27" s="472"/>
      <c r="L27" s="283"/>
      <c r="M27" s="298">
        <f t="shared" si="6"/>
        <v>0</v>
      </c>
      <c r="N27" s="283"/>
      <c r="O27" s="298">
        <f>M27*N27</f>
        <v>0</v>
      </c>
      <c r="P27" s="2491" t="s">
        <v>5217</v>
      </c>
      <c r="Q27" s="480"/>
      <c r="R27" s="2273"/>
      <c r="BB27" s="3219"/>
      <c r="BC27" s="3219"/>
      <c r="BD27" s="3219"/>
      <c r="BE27" s="3219"/>
      <c r="BF27" s="3219"/>
      <c r="BG27" s="3219"/>
      <c r="BH27" s="3219"/>
      <c r="BI27" s="3219"/>
      <c r="BJ27" s="3219"/>
      <c r="BK27" s="3219"/>
      <c r="BL27" s="3219"/>
      <c r="BM27" s="3219"/>
      <c r="BN27" s="3219"/>
      <c r="BO27" s="3219"/>
      <c r="BP27" s="3219"/>
      <c r="BQ27" s="3219"/>
      <c r="BR27" s="3219"/>
      <c r="BS27" s="3219"/>
      <c r="BT27" s="3219"/>
      <c r="BU27" s="3219"/>
      <c r="BV27" s="3219"/>
      <c r="BW27" s="3219"/>
      <c r="BX27" s="3219"/>
      <c r="BY27" s="3219"/>
      <c r="BZ27" s="3219"/>
      <c r="CA27" s="3219"/>
      <c r="CB27" s="3219"/>
      <c r="CC27" s="3219"/>
      <c r="CD27" s="3219"/>
      <c r="CE27" s="3219"/>
      <c r="CF27" s="3219"/>
      <c r="CG27" s="3219"/>
      <c r="CH27" s="3219"/>
      <c r="CI27" s="3219">
        <f t="shared" si="5"/>
        <v>0</v>
      </c>
    </row>
    <row r="28" spans="1:87" s="1380" customFormat="1">
      <c r="A28" s="473" t="s">
        <v>3910</v>
      </c>
      <c r="B28" s="521"/>
      <c r="C28" s="1480" t="s">
        <v>1304</v>
      </c>
      <c r="D28" s="982" t="s">
        <v>65</v>
      </c>
      <c r="E28" s="1075" t="s">
        <v>3769</v>
      </c>
      <c r="F28" s="2226">
        <v>0</v>
      </c>
      <c r="G28" s="828"/>
      <c r="H28" s="2230">
        <v>0</v>
      </c>
      <c r="I28" s="477"/>
      <c r="J28" s="472"/>
      <c r="K28" s="472"/>
      <c r="L28" s="283"/>
      <c r="M28" s="298">
        <f t="shared" si="6"/>
        <v>0</v>
      </c>
      <c r="N28" s="283"/>
      <c r="O28" s="298">
        <f>M28*N28</f>
        <v>0</v>
      </c>
      <c r="P28" s="2491" t="s">
        <v>5217</v>
      </c>
      <c r="Q28" s="480"/>
      <c r="R28" s="2273"/>
      <c r="BB28" s="3219"/>
      <c r="BC28" s="3219"/>
      <c r="BD28" s="3219"/>
      <c r="BE28" s="3219"/>
      <c r="BF28" s="3219"/>
      <c r="BG28" s="3219"/>
      <c r="BH28" s="3219"/>
      <c r="BI28" s="3219"/>
      <c r="BJ28" s="3219"/>
      <c r="BK28" s="3219"/>
      <c r="BL28" s="3219"/>
      <c r="BM28" s="3219"/>
      <c r="BN28" s="3219"/>
      <c r="BO28" s="3219"/>
      <c r="BP28" s="3219"/>
      <c r="BQ28" s="3219"/>
      <c r="BR28" s="3219"/>
      <c r="BS28" s="3219"/>
      <c r="BT28" s="3219"/>
      <c r="BU28" s="3219"/>
      <c r="BV28" s="3219"/>
      <c r="BW28" s="3219"/>
      <c r="BX28" s="3219"/>
      <c r="BY28" s="3219"/>
      <c r="BZ28" s="3219"/>
      <c r="CA28" s="3219"/>
      <c r="CB28" s="3219"/>
      <c r="CC28" s="3219"/>
      <c r="CD28" s="3219"/>
      <c r="CE28" s="3219"/>
      <c r="CF28" s="3219"/>
      <c r="CG28" s="3219"/>
      <c r="CH28" s="3219"/>
      <c r="CI28" s="3219">
        <f t="shared" si="5"/>
        <v>0</v>
      </c>
    </row>
    <row r="29" spans="1:87" s="1380" customFormat="1" ht="45">
      <c r="A29" s="473" t="s">
        <v>1250</v>
      </c>
      <c r="B29" s="521" t="s">
        <v>1251</v>
      </c>
      <c r="C29" s="1480" t="s">
        <v>1252</v>
      </c>
      <c r="D29" s="982" t="s">
        <v>65</v>
      </c>
      <c r="E29" s="1075" t="s">
        <v>3769</v>
      </c>
      <c r="F29" s="2226">
        <v>1</v>
      </c>
      <c r="G29" s="828"/>
      <c r="H29" s="2230">
        <v>2</v>
      </c>
      <c r="I29" s="477"/>
      <c r="J29" s="472"/>
      <c r="K29" s="472"/>
      <c r="L29" s="2469">
        <v>200000</v>
      </c>
      <c r="M29" s="298">
        <f t="shared" si="6"/>
        <v>2</v>
      </c>
      <c r="N29" s="283">
        <v>1</v>
      </c>
      <c r="O29" s="298">
        <f t="shared" si="4"/>
        <v>2</v>
      </c>
      <c r="P29" s="2491" t="s">
        <v>5221</v>
      </c>
      <c r="Q29" s="2832" t="s">
        <v>5766</v>
      </c>
      <c r="R29" s="2833">
        <v>2</v>
      </c>
      <c r="BB29" s="3219">
        <v>2</v>
      </c>
      <c r="BC29" s="3219"/>
      <c r="BD29" s="3219"/>
      <c r="BE29" s="3219"/>
      <c r="BF29" s="3219"/>
      <c r="BG29" s="3219"/>
      <c r="BH29" s="3219"/>
      <c r="BI29" s="3219"/>
      <c r="BJ29" s="3219"/>
      <c r="BK29" s="3219"/>
      <c r="BL29" s="3219"/>
      <c r="BM29" s="3219"/>
      <c r="BN29" s="3219"/>
      <c r="BO29" s="3219"/>
      <c r="BP29" s="3219"/>
      <c r="BQ29" s="3219"/>
      <c r="BR29" s="3219"/>
      <c r="BS29" s="3219"/>
      <c r="BT29" s="3219"/>
      <c r="BU29" s="3219"/>
      <c r="BV29" s="3219"/>
      <c r="BW29" s="3219"/>
      <c r="BX29" s="3219"/>
      <c r="BY29" s="3219"/>
      <c r="BZ29" s="3219"/>
      <c r="CA29" s="3219"/>
      <c r="CB29" s="3219"/>
      <c r="CC29" s="3219"/>
      <c r="CD29" s="3219"/>
      <c r="CE29" s="3219"/>
      <c r="CF29" s="3219"/>
      <c r="CG29" s="3219"/>
      <c r="CH29" s="3219"/>
      <c r="CI29" s="3219">
        <f t="shared" si="5"/>
        <v>2</v>
      </c>
    </row>
    <row r="30" spans="1:87" s="1380" customFormat="1">
      <c r="A30" s="473" t="s">
        <v>1253</v>
      </c>
      <c r="B30" s="521" t="s">
        <v>1254</v>
      </c>
      <c r="C30" s="1480" t="s">
        <v>1255</v>
      </c>
      <c r="D30" s="982" t="s">
        <v>65</v>
      </c>
      <c r="E30" s="1075" t="s">
        <v>3769</v>
      </c>
      <c r="F30" s="2226">
        <v>0</v>
      </c>
      <c r="G30" s="828"/>
      <c r="H30" s="2230">
        <v>0</v>
      </c>
      <c r="I30" s="477"/>
      <c r="J30" s="472"/>
      <c r="K30" s="273"/>
      <c r="L30" s="283"/>
      <c r="M30" s="298">
        <f t="shared" si="6"/>
        <v>0</v>
      </c>
      <c r="N30" s="283"/>
      <c r="O30" s="298">
        <f t="shared" si="4"/>
        <v>0</v>
      </c>
      <c r="P30" s="2491" t="s">
        <v>5217</v>
      </c>
      <c r="Q30" s="480"/>
      <c r="R30" s="2273"/>
      <c r="BB30" s="3219"/>
      <c r="BC30" s="3219"/>
      <c r="BD30" s="3219"/>
      <c r="BE30" s="3219"/>
      <c r="BF30" s="3219"/>
      <c r="BG30" s="3219"/>
      <c r="BH30" s="3219"/>
      <c r="BI30" s="3219"/>
      <c r="BJ30" s="3219"/>
      <c r="BK30" s="3219"/>
      <c r="BL30" s="3219"/>
      <c r="BM30" s="3219"/>
      <c r="BN30" s="3219"/>
      <c r="BO30" s="3219"/>
      <c r="BP30" s="3219"/>
      <c r="BQ30" s="3219"/>
      <c r="BR30" s="3219"/>
      <c r="BS30" s="3219"/>
      <c r="BT30" s="3219"/>
      <c r="BU30" s="3219"/>
      <c r="BV30" s="3219"/>
      <c r="BW30" s="3219"/>
      <c r="BX30" s="3219"/>
      <c r="BY30" s="3219"/>
      <c r="BZ30" s="3219"/>
      <c r="CA30" s="3219"/>
      <c r="CB30" s="3219"/>
      <c r="CC30" s="3219"/>
      <c r="CD30" s="3219"/>
      <c r="CE30" s="3219"/>
      <c r="CF30" s="3219"/>
      <c r="CG30" s="3219"/>
      <c r="CH30" s="3219"/>
      <c r="CI30" s="3219">
        <f t="shared" si="5"/>
        <v>0</v>
      </c>
    </row>
    <row r="31" spans="1:87" s="1380" customFormat="1">
      <c r="A31" s="473" t="s">
        <v>2573</v>
      </c>
      <c r="B31" s="521"/>
      <c r="C31" s="1480" t="s">
        <v>1304</v>
      </c>
      <c r="D31" s="982" t="s">
        <v>65</v>
      </c>
      <c r="E31" s="1075" t="s">
        <v>3769</v>
      </c>
      <c r="F31" s="2226">
        <v>0</v>
      </c>
      <c r="G31" s="828"/>
      <c r="H31" s="2230">
        <v>0</v>
      </c>
      <c r="I31" s="477"/>
      <c r="J31" s="472"/>
      <c r="K31" s="472"/>
      <c r="L31" s="283"/>
      <c r="M31" s="298">
        <f t="shared" si="6"/>
        <v>0</v>
      </c>
      <c r="N31" s="283"/>
      <c r="O31" s="298">
        <f t="shared" si="4"/>
        <v>0</v>
      </c>
      <c r="P31" s="2491" t="s">
        <v>5217</v>
      </c>
      <c r="Q31" s="480"/>
      <c r="R31" s="2273"/>
      <c r="BB31" s="3219"/>
      <c r="BC31" s="3219"/>
      <c r="BD31" s="3219"/>
      <c r="BE31" s="3219"/>
      <c r="BF31" s="3219"/>
      <c r="BG31" s="3219"/>
      <c r="BH31" s="3219"/>
      <c r="BI31" s="3219"/>
      <c r="BJ31" s="3219"/>
      <c r="BK31" s="3219"/>
      <c r="BL31" s="3219"/>
      <c r="BM31" s="3219"/>
      <c r="BN31" s="3219"/>
      <c r="BO31" s="3219"/>
      <c r="BP31" s="3219"/>
      <c r="BQ31" s="3219"/>
      <c r="BR31" s="3219"/>
      <c r="BS31" s="3219"/>
      <c r="BT31" s="3219"/>
      <c r="BU31" s="3219"/>
      <c r="BV31" s="3219"/>
      <c r="BW31" s="3219"/>
      <c r="BX31" s="3219"/>
      <c r="BY31" s="3219"/>
      <c r="BZ31" s="3219"/>
      <c r="CA31" s="3219"/>
      <c r="CB31" s="3219"/>
      <c r="CC31" s="3219"/>
      <c r="CD31" s="3219"/>
      <c r="CE31" s="3219"/>
      <c r="CF31" s="3219"/>
      <c r="CG31" s="3219"/>
      <c r="CH31" s="3219"/>
      <c r="CI31" s="3219">
        <f t="shared" si="5"/>
        <v>0</v>
      </c>
    </row>
    <row r="32" spans="1:87" s="1024" customFormat="1">
      <c r="A32" s="1468">
        <v>13.3</v>
      </c>
      <c r="B32" s="1148"/>
      <c r="C32" s="1148" t="s">
        <v>2464</v>
      </c>
      <c r="D32" s="1567"/>
      <c r="E32" s="1567"/>
      <c r="F32" s="389"/>
      <c r="G32" s="389"/>
      <c r="H32" s="389"/>
      <c r="I32" s="389"/>
      <c r="J32" s="389"/>
      <c r="K32" s="389"/>
      <c r="L32" s="389"/>
      <c r="M32" s="1384"/>
      <c r="N32" s="319"/>
      <c r="O32" s="464">
        <f>SUM(O33:O35)</f>
        <v>0</v>
      </c>
      <c r="P32" s="463"/>
      <c r="Q32" s="471"/>
      <c r="R32" s="464">
        <f>SUM(R33:R35)</f>
        <v>0</v>
      </c>
      <c r="BB32" s="840"/>
      <c r="BC32" s="840"/>
      <c r="BD32" s="840"/>
      <c r="BE32" s="840"/>
      <c r="BF32" s="840"/>
      <c r="BG32" s="840"/>
      <c r="BH32" s="840"/>
      <c r="BI32" s="840"/>
      <c r="BJ32" s="840"/>
      <c r="BK32" s="840"/>
      <c r="BL32" s="840"/>
      <c r="BM32" s="840"/>
      <c r="BN32" s="840"/>
      <c r="BO32" s="840"/>
      <c r="BP32" s="840"/>
      <c r="BQ32" s="840"/>
      <c r="BR32" s="840"/>
      <c r="BS32" s="840"/>
      <c r="BT32" s="840"/>
      <c r="BU32" s="840"/>
      <c r="BV32" s="840"/>
      <c r="BW32" s="840"/>
      <c r="BX32" s="840"/>
      <c r="BY32" s="840"/>
      <c r="BZ32" s="840"/>
      <c r="CA32" s="840"/>
      <c r="CB32" s="840"/>
      <c r="CC32" s="840"/>
      <c r="CD32" s="840"/>
      <c r="CE32" s="840"/>
      <c r="CF32" s="840"/>
      <c r="CG32" s="840"/>
      <c r="CH32" s="840"/>
      <c r="CI32" s="3219">
        <f t="shared" si="5"/>
        <v>0</v>
      </c>
    </row>
    <row r="33" spans="1:87" s="1024" customFormat="1" ht="30">
      <c r="A33" s="473" t="s">
        <v>1256</v>
      </c>
      <c r="B33" s="1349" t="s">
        <v>3784</v>
      </c>
      <c r="C33" s="1535" t="s">
        <v>2256</v>
      </c>
      <c r="D33" s="908" t="s">
        <v>65</v>
      </c>
      <c r="E33" s="1120" t="s">
        <v>3783</v>
      </c>
      <c r="F33" s="2224">
        <v>0</v>
      </c>
      <c r="G33" s="426"/>
      <c r="H33" s="2224">
        <v>0</v>
      </c>
      <c r="I33" s="426"/>
      <c r="J33" s="426"/>
      <c r="K33" s="426"/>
      <c r="L33" s="277"/>
      <c r="M33" s="297">
        <f>L33/100000</f>
        <v>0</v>
      </c>
      <c r="N33" s="277"/>
      <c r="O33" s="297">
        <f>M33*N33</f>
        <v>0</v>
      </c>
      <c r="P33" s="272"/>
      <c r="Q33" s="428"/>
      <c r="R33" s="554"/>
      <c r="BB33" s="840"/>
      <c r="BC33" s="840"/>
      <c r="BD33" s="840"/>
      <c r="BE33" s="840"/>
      <c r="BF33" s="840"/>
      <c r="BG33" s="840"/>
      <c r="BH33" s="840"/>
      <c r="BI33" s="840"/>
      <c r="BJ33" s="840"/>
      <c r="BK33" s="840"/>
      <c r="BL33" s="840"/>
      <c r="BM33" s="840"/>
      <c r="BN33" s="840"/>
      <c r="BO33" s="840"/>
      <c r="BP33" s="840"/>
      <c r="BQ33" s="840"/>
      <c r="BR33" s="840"/>
      <c r="BS33" s="840"/>
      <c r="BT33" s="840"/>
      <c r="BU33" s="840"/>
      <c r="BV33" s="840"/>
      <c r="BW33" s="840"/>
      <c r="BX33" s="840"/>
      <c r="BY33" s="840"/>
      <c r="BZ33" s="840"/>
      <c r="CA33" s="840"/>
      <c r="CB33" s="840"/>
      <c r="CC33" s="840"/>
      <c r="CD33" s="840"/>
      <c r="CE33" s="840"/>
      <c r="CF33" s="840"/>
      <c r="CG33" s="840"/>
      <c r="CH33" s="840"/>
      <c r="CI33" s="3219">
        <f t="shared" si="5"/>
        <v>0</v>
      </c>
    </row>
    <row r="34" spans="1:87" s="1114" customFormat="1" ht="90">
      <c r="A34" s="473" t="s">
        <v>3782</v>
      </c>
      <c r="B34" s="1480"/>
      <c r="C34" s="1480" t="s">
        <v>4385</v>
      </c>
      <c r="D34" s="1075" t="s">
        <v>85</v>
      </c>
      <c r="E34" s="1075" t="s">
        <v>200</v>
      </c>
      <c r="F34" s="2226">
        <v>0</v>
      </c>
      <c r="G34" s="472"/>
      <c r="H34" s="2226">
        <v>0</v>
      </c>
      <c r="I34" s="472"/>
      <c r="J34" s="472"/>
      <c r="K34" s="472"/>
      <c r="L34" s="283"/>
      <c r="M34" s="298">
        <f>L34/100000</f>
        <v>0</v>
      </c>
      <c r="N34" s="283"/>
      <c r="O34" s="298">
        <f>M34*N34</f>
        <v>0</v>
      </c>
      <c r="P34" s="2515" t="s">
        <v>5408</v>
      </c>
      <c r="Q34" s="391" t="str">
        <f>'Ab1. RMNCH+A'!Q424</f>
        <v xml:space="preserve">Recommended for approval. Expenditure should be as per norms. As per State's remarks, budget for this activity will be met from FMR 13.2.1 for District Chamba and Mandi. </v>
      </c>
      <c r="R34" s="686">
        <f>'Ab1. RMNCH+A'!R424</f>
        <v>0</v>
      </c>
      <c r="BB34" s="833"/>
      <c r="BC34" s="833"/>
      <c r="BD34" s="833"/>
      <c r="BE34" s="833"/>
      <c r="BF34" s="833"/>
      <c r="BG34" s="833"/>
      <c r="BH34" s="833"/>
      <c r="BI34" s="833"/>
      <c r="BJ34" s="833"/>
      <c r="BK34" s="833"/>
      <c r="BL34" s="833"/>
      <c r="BM34" s="833"/>
      <c r="BN34" s="833"/>
      <c r="BO34" s="833"/>
      <c r="BP34" s="833"/>
      <c r="BQ34" s="833"/>
      <c r="BR34" s="833"/>
      <c r="BS34" s="833"/>
      <c r="BT34" s="833"/>
      <c r="BU34" s="833"/>
      <c r="BV34" s="833"/>
      <c r="BW34" s="833"/>
      <c r="BX34" s="833"/>
      <c r="BY34" s="833"/>
      <c r="BZ34" s="833"/>
      <c r="CA34" s="833"/>
      <c r="CB34" s="833"/>
      <c r="CC34" s="833"/>
      <c r="CD34" s="833"/>
      <c r="CE34" s="833"/>
      <c r="CF34" s="833"/>
      <c r="CG34" s="833"/>
      <c r="CH34" s="833"/>
      <c r="CI34" s="3219">
        <f t="shared" si="5"/>
        <v>0</v>
      </c>
    </row>
    <row r="35" spans="1:87">
      <c r="A35" s="473" t="s">
        <v>4384</v>
      </c>
      <c r="B35" s="1697"/>
      <c r="C35" s="1349" t="s">
        <v>4011</v>
      </c>
      <c r="D35" s="908" t="s">
        <v>65</v>
      </c>
      <c r="E35" s="1120" t="s">
        <v>65</v>
      </c>
      <c r="F35" s="2224">
        <v>0</v>
      </c>
      <c r="G35" s="426"/>
      <c r="H35" s="2224">
        <v>0</v>
      </c>
      <c r="I35" s="426"/>
      <c r="J35" s="426"/>
      <c r="K35" s="426"/>
      <c r="L35" s="277"/>
      <c r="M35" s="297">
        <f>L35/100000</f>
        <v>0</v>
      </c>
      <c r="N35" s="277"/>
      <c r="O35" s="297">
        <f>M35*N35</f>
        <v>0</v>
      </c>
      <c r="P35" s="272"/>
      <c r="Q35" s="428"/>
      <c r="R35" s="554"/>
      <c r="BB35" s="3218"/>
      <c r="BC35" s="3218"/>
      <c r="BD35" s="3218"/>
      <c r="BE35" s="3218"/>
      <c r="BF35" s="3218"/>
      <c r="BG35" s="3218"/>
      <c r="BH35" s="3218"/>
      <c r="BI35" s="3218"/>
      <c r="BJ35" s="3218"/>
      <c r="BK35" s="3218"/>
      <c r="BL35" s="3218"/>
      <c r="BM35" s="3218"/>
      <c r="BN35" s="3218"/>
      <c r="BO35" s="3218"/>
      <c r="BP35" s="3218"/>
      <c r="BQ35" s="3218"/>
      <c r="BR35" s="3218"/>
      <c r="BS35" s="3218"/>
      <c r="BT35" s="3218"/>
      <c r="BU35" s="3218"/>
      <c r="BV35" s="3218"/>
      <c r="BW35" s="3218"/>
      <c r="BX35" s="3218"/>
      <c r="BY35" s="3218"/>
      <c r="BZ35" s="3218"/>
      <c r="CA35" s="3218"/>
      <c r="CB35" s="3218"/>
      <c r="CC35" s="3218"/>
      <c r="CD35" s="3218"/>
      <c r="CE35" s="3218"/>
      <c r="CF35" s="3218"/>
      <c r="CG35" s="3218"/>
      <c r="CH35" s="3218"/>
      <c r="CI35" s="3219">
        <f t="shared" si="5"/>
        <v>0</v>
      </c>
    </row>
    <row r="36" spans="1:87">
      <c r="R36" s="1324">
        <f>+E3</f>
        <v>289.92999999999995</v>
      </c>
      <c r="BB36" s="3218">
        <f>SUM(BB7:BB35)</f>
        <v>247.56</v>
      </c>
      <c r="BC36" s="3218">
        <f t="shared" ref="BC36:CI36" si="7">SUM(BC7:BC35)</f>
        <v>2.13</v>
      </c>
      <c r="BD36" s="3218">
        <f t="shared" si="7"/>
        <v>2.1800000000000002</v>
      </c>
      <c r="BE36" s="3218">
        <f t="shared" si="7"/>
        <v>2.2800000000000002</v>
      </c>
      <c r="BF36" s="3218">
        <f t="shared" si="7"/>
        <v>4.67</v>
      </c>
      <c r="BG36" s="3218">
        <f t="shared" si="7"/>
        <v>6.89</v>
      </c>
      <c r="BH36" s="3218">
        <f t="shared" si="7"/>
        <v>2.02</v>
      </c>
      <c r="BI36" s="3218">
        <f t="shared" si="7"/>
        <v>0.23</v>
      </c>
      <c r="BJ36" s="3218">
        <f t="shared" si="7"/>
        <v>5.5400000000000009</v>
      </c>
      <c r="BK36" s="3218">
        <f t="shared" si="7"/>
        <v>3.0900000000000003</v>
      </c>
      <c r="BL36" s="3218">
        <f t="shared" si="7"/>
        <v>1.9300000000000002</v>
      </c>
      <c r="BM36" s="3218">
        <f t="shared" si="7"/>
        <v>2.11</v>
      </c>
      <c r="BN36" s="3218">
        <f t="shared" si="7"/>
        <v>2.2999999999999998</v>
      </c>
      <c r="BO36" s="3218">
        <f t="shared" si="7"/>
        <v>0</v>
      </c>
      <c r="BP36" s="3218">
        <f t="shared" si="7"/>
        <v>0</v>
      </c>
      <c r="BQ36" s="3218">
        <f t="shared" si="7"/>
        <v>3</v>
      </c>
      <c r="BR36" s="3218">
        <f t="shared" si="7"/>
        <v>0</v>
      </c>
      <c r="BS36" s="3218">
        <f t="shared" si="7"/>
        <v>0</v>
      </c>
      <c r="BT36" s="3218">
        <f t="shared" si="7"/>
        <v>0</v>
      </c>
      <c r="BU36" s="3218">
        <f t="shared" si="7"/>
        <v>0</v>
      </c>
      <c r="BV36" s="3218">
        <f t="shared" si="7"/>
        <v>0</v>
      </c>
      <c r="BW36" s="3218">
        <f t="shared" si="7"/>
        <v>0</v>
      </c>
      <c r="BX36" s="3218">
        <f t="shared" si="7"/>
        <v>0</v>
      </c>
      <c r="BY36" s="3218">
        <f t="shared" si="7"/>
        <v>3</v>
      </c>
      <c r="BZ36" s="3218">
        <f t="shared" si="7"/>
        <v>0</v>
      </c>
      <c r="CA36" s="3218">
        <f t="shared" si="7"/>
        <v>0</v>
      </c>
      <c r="CB36" s="3218">
        <f t="shared" si="7"/>
        <v>0.5</v>
      </c>
      <c r="CC36" s="3218">
        <f t="shared" si="7"/>
        <v>0.5</v>
      </c>
      <c r="CD36" s="3218">
        <f t="shared" si="7"/>
        <v>0</v>
      </c>
      <c r="CE36" s="3218">
        <f t="shared" si="7"/>
        <v>0</v>
      </c>
      <c r="CF36" s="3218">
        <f t="shared" si="7"/>
        <v>0</v>
      </c>
      <c r="CG36" s="3218">
        <f t="shared" si="7"/>
        <v>0</v>
      </c>
      <c r="CH36" s="3218">
        <f t="shared" si="7"/>
        <v>0</v>
      </c>
      <c r="CI36" s="3218">
        <f t="shared" si="7"/>
        <v>289.92999999999995</v>
      </c>
    </row>
    <row r="37" spans="1:87">
      <c r="BB37" s="3218"/>
      <c r="BC37" s="3218"/>
      <c r="BD37" s="3218"/>
      <c r="BE37" s="3218"/>
      <c r="BF37" s="3218"/>
      <c r="BG37" s="3218"/>
      <c r="BH37" s="3218"/>
      <c r="BI37" s="3218"/>
      <c r="BJ37" s="3218"/>
      <c r="BK37" s="3218"/>
      <c r="BL37" s="3218"/>
      <c r="BM37" s="3218"/>
      <c r="BN37" s="3218"/>
      <c r="BO37" s="3218"/>
      <c r="BP37" s="3218"/>
      <c r="BQ37" s="3218"/>
      <c r="BR37" s="3218"/>
      <c r="BS37" s="3218"/>
      <c r="BT37" s="3218"/>
      <c r="BU37" s="3218"/>
      <c r="BV37" s="3218"/>
      <c r="BW37" s="3218"/>
      <c r="BX37" s="3218"/>
      <c r="BY37" s="3218"/>
      <c r="BZ37" s="3218"/>
      <c r="CA37" s="3218"/>
      <c r="CB37" s="3218"/>
      <c r="CC37" s="3218"/>
      <c r="CD37" s="3218"/>
      <c r="CE37" s="3218"/>
      <c r="CF37" s="3218"/>
      <c r="CG37" s="3218"/>
      <c r="CH37" s="3218"/>
      <c r="CI37" s="3219">
        <f t="shared" si="5"/>
        <v>0</v>
      </c>
    </row>
  </sheetData>
  <sheetProtection password="CC49" sheet="1" objects="1" scenarios="1" autoFilter="0"/>
  <autoFilter ref="A6:R35"/>
  <mergeCells count="15">
    <mergeCell ref="AI1:AO1"/>
    <mergeCell ref="AP1:BA1"/>
    <mergeCell ref="K5:P5"/>
    <mergeCell ref="Q5:R5"/>
    <mergeCell ref="A1:C1"/>
    <mergeCell ref="F5:J5"/>
    <mergeCell ref="A5:A6"/>
    <mergeCell ref="B5:B6"/>
    <mergeCell ref="C5:C6"/>
    <mergeCell ref="D5:D6"/>
    <mergeCell ref="E5:E6"/>
    <mergeCell ref="E1:E2"/>
    <mergeCell ref="F1:N1"/>
    <mergeCell ref="A2:A4"/>
    <mergeCell ref="O1:AH1"/>
  </mergeCells>
  <phoneticPr fontId="68"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sheetPr codeName="Sheet11">
    <tabColor rgb="FF00B050"/>
  </sheetPr>
  <dimension ref="A1:CI119"/>
  <sheetViews>
    <sheetView zoomScale="70" zoomScaleNormal="70" zoomScaleSheetLayoutView="90" workbookViewId="0">
      <pane xSplit="5" ySplit="7" topLeftCell="N8" activePane="bottomRight" state="frozen"/>
      <selection pane="topRight" activeCell="F1" sqref="F1"/>
      <selection pane="bottomLeft" activeCell="A8" sqref="A8"/>
      <selection pane="bottomRight" activeCell="CJ1" sqref="CJ1:CK1048576"/>
    </sheetView>
  </sheetViews>
  <sheetFormatPr defaultColWidth="9.140625" defaultRowHeight="15"/>
  <cols>
    <col min="1" max="1" width="11" style="904" customWidth="1"/>
    <col min="2" max="2" width="9.85546875" style="904" customWidth="1"/>
    <col min="3" max="3" width="40.5703125" style="904" customWidth="1"/>
    <col min="4" max="4" width="9.140625" style="868" customWidth="1"/>
    <col min="5" max="5" width="16.28515625" style="868" customWidth="1"/>
    <col min="6" max="6" width="22.5703125" style="868" hidden="1" customWidth="1"/>
    <col min="7" max="7" width="28.7109375" style="868" hidden="1" customWidth="1"/>
    <col min="8" max="8" width="22.140625" style="868" hidden="1" customWidth="1"/>
    <col min="9" max="9" width="22.5703125" style="868" hidden="1" customWidth="1"/>
    <col min="10" max="10" width="33" style="868" hidden="1" customWidth="1"/>
    <col min="11" max="11" width="23.28515625" style="868" hidden="1" customWidth="1"/>
    <col min="12" max="12" width="18.5703125" style="868" hidden="1" customWidth="1"/>
    <col min="13" max="13" width="26.42578125" style="978" hidden="1" customWidth="1"/>
    <col min="14" max="14" width="12.85546875" style="868" customWidth="1"/>
    <col min="15" max="15" width="17.140625" style="2823" bestFit="1" customWidth="1"/>
    <col min="16" max="16" width="44.28515625" style="904" customWidth="1"/>
    <col min="17" max="17" width="34.5703125" style="904" customWidth="1"/>
    <col min="18" max="18" width="12.85546875" style="979" customWidth="1"/>
    <col min="19" max="19" width="11" style="941" hidden="1" customWidth="1"/>
    <col min="20" max="20" width="12.140625" style="941" hidden="1" customWidth="1"/>
    <col min="21" max="21" width="7.85546875" style="941" hidden="1" customWidth="1"/>
    <col min="22" max="22" width="12.5703125" style="941" hidden="1" customWidth="1"/>
    <col min="23" max="23" width="8.5703125" style="941" hidden="1" customWidth="1"/>
    <col min="24" max="24" width="8.7109375" style="941" hidden="1" customWidth="1"/>
    <col min="25" max="25" width="10.85546875" style="941" hidden="1" customWidth="1"/>
    <col min="26" max="26" width="11" style="941" hidden="1" customWidth="1"/>
    <col min="27" max="27" width="11.42578125" style="941" hidden="1" customWidth="1"/>
    <col min="28" max="29" width="11.85546875" style="941" hidden="1" customWidth="1"/>
    <col min="30" max="30" width="12.5703125" style="941" hidden="1" customWidth="1"/>
    <col min="31" max="31" width="18.140625" style="941" hidden="1" customWidth="1"/>
    <col min="32" max="32" width="18.42578125" style="941" hidden="1" customWidth="1"/>
    <col min="33" max="33" width="0" style="941" hidden="1" customWidth="1"/>
    <col min="34" max="35" width="10.42578125" style="941" hidden="1" customWidth="1"/>
    <col min="36" max="37" width="0" style="941" hidden="1" customWidth="1"/>
    <col min="38" max="38" width="13.85546875" style="941" hidden="1" customWidth="1"/>
    <col min="39" max="39" width="0" style="941" hidden="1" customWidth="1"/>
    <col min="40" max="40" width="7.85546875" style="941" hidden="1" customWidth="1"/>
    <col min="41" max="41" width="12.5703125" style="941" hidden="1" customWidth="1"/>
    <col min="42" max="42" width="8.5703125" style="941" hidden="1" customWidth="1"/>
    <col min="43" max="43" width="8.7109375" style="941" hidden="1" customWidth="1"/>
    <col min="44" max="44" width="10.85546875" style="941" hidden="1" customWidth="1"/>
    <col min="45" max="45" width="9.140625" style="941" hidden="1" customWidth="1"/>
    <col min="46" max="46" width="8.7109375" style="941" hidden="1" customWidth="1"/>
    <col min="47" max="47" width="9.140625" style="941" hidden="1" customWidth="1"/>
    <col min="48" max="48" width="9.5703125" style="941" hidden="1" customWidth="1"/>
    <col min="49" max="49" width="10.85546875" style="941" hidden="1" customWidth="1"/>
    <col min="50" max="50" width="0" style="941" hidden="1" customWidth="1"/>
    <col min="51" max="51" width="12.5703125" style="941" hidden="1" customWidth="1"/>
    <col min="52" max="52" width="11.42578125" style="941" hidden="1" customWidth="1"/>
    <col min="53" max="53" width="12.85546875" style="941" hidden="1" customWidth="1"/>
    <col min="54" max="54" width="12.85546875" style="941" customWidth="1"/>
    <col min="55" max="55" width="15.42578125" style="941" customWidth="1"/>
    <col min="56" max="56" width="13.42578125" style="941" customWidth="1"/>
    <col min="57" max="57" width="17" style="941" customWidth="1"/>
    <col min="58" max="58" width="13.140625" style="941" customWidth="1"/>
    <col min="59" max="59" width="13.7109375" style="941" customWidth="1"/>
    <col min="60" max="60" width="12" style="941" customWidth="1"/>
    <col min="61" max="61" width="12.7109375" style="941" customWidth="1"/>
    <col min="62" max="62" width="10.5703125" style="941" customWidth="1"/>
    <col min="63" max="63" width="13.7109375" style="941" customWidth="1"/>
    <col min="64" max="64" width="16.42578125" style="941" customWidth="1"/>
    <col min="65" max="65" width="12" style="941" customWidth="1"/>
    <col min="66" max="66" width="9.140625" style="941"/>
    <col min="67" max="67" width="14.42578125" style="941" customWidth="1"/>
    <col min="68" max="68" width="14.5703125" style="941" customWidth="1"/>
    <col min="69" max="69" width="14.85546875" style="941" customWidth="1"/>
    <col min="70" max="70" width="15.7109375" style="941" customWidth="1"/>
    <col min="71" max="71" width="18.5703125" style="941" bestFit="1" customWidth="1"/>
    <col min="72" max="73" width="17" style="941" customWidth="1"/>
    <col min="74" max="74" width="13.7109375" style="941" customWidth="1"/>
    <col min="75" max="75" width="12.7109375" style="941" customWidth="1"/>
    <col min="76" max="76" width="17.28515625" style="941" bestFit="1" customWidth="1"/>
    <col min="77" max="77" width="11.7109375" style="941" customWidth="1"/>
    <col min="78" max="78" width="13" style="941" customWidth="1"/>
    <col min="79" max="79" width="12.28515625" style="941" customWidth="1"/>
    <col min="80" max="80" width="15.28515625" style="941" customWidth="1"/>
    <col min="81" max="81" width="12.7109375" style="941" customWidth="1"/>
    <col min="82" max="82" width="13.140625" style="941" customWidth="1"/>
    <col min="83" max="83" width="19.7109375" style="941" bestFit="1" customWidth="1"/>
    <col min="84" max="84" width="11.5703125" style="941" customWidth="1"/>
    <col min="85" max="85" width="15.140625" style="941" customWidth="1"/>
    <col min="86" max="86" width="13.28515625" style="941" bestFit="1" customWidth="1"/>
    <col min="87" max="87" width="14.140625" style="941" customWidth="1"/>
    <col min="88" max="16384" width="9.140625" style="941"/>
  </cols>
  <sheetData>
    <row r="1" spans="1:87" s="860" customFormat="1">
      <c r="A1" s="3791" t="s">
        <v>1944</v>
      </c>
      <c r="B1" s="3791"/>
      <c r="C1" s="3791"/>
      <c r="D1" s="905"/>
      <c r="E1" s="3858" t="s">
        <v>4534</v>
      </c>
      <c r="F1" s="3792" t="s">
        <v>4532</v>
      </c>
      <c r="G1" s="3792"/>
      <c r="H1" s="3792"/>
      <c r="I1" s="3792"/>
      <c r="J1" s="3792"/>
      <c r="K1" s="3792"/>
      <c r="L1" s="3792"/>
      <c r="M1" s="3792"/>
      <c r="N1" s="3792"/>
      <c r="O1" s="3793" t="s">
        <v>65</v>
      </c>
      <c r="P1" s="3794"/>
      <c r="Q1" s="3794"/>
      <c r="R1" s="3794"/>
      <c r="S1" s="3794"/>
      <c r="T1" s="3794"/>
      <c r="U1" s="3794"/>
      <c r="V1" s="3794"/>
      <c r="W1" s="3794"/>
      <c r="X1" s="3794"/>
      <c r="Y1" s="3794"/>
      <c r="Z1" s="3794"/>
      <c r="AA1" s="3794"/>
      <c r="AB1" s="3794"/>
      <c r="AC1" s="3794"/>
      <c r="AD1" s="3794"/>
      <c r="AE1" s="3794"/>
      <c r="AF1" s="3794"/>
      <c r="AG1" s="3794"/>
      <c r="AH1" s="3795"/>
      <c r="AI1" s="3859" t="s">
        <v>4219</v>
      </c>
      <c r="AJ1" s="3860"/>
      <c r="AK1" s="3860"/>
      <c r="AL1" s="3860"/>
      <c r="AM1" s="3860"/>
      <c r="AN1" s="3860"/>
      <c r="AO1" s="3861"/>
      <c r="AP1" s="3854" t="s">
        <v>80</v>
      </c>
      <c r="AQ1" s="3854"/>
      <c r="AR1" s="3854"/>
      <c r="AS1" s="3854"/>
      <c r="AT1" s="3854"/>
      <c r="AU1" s="3854"/>
      <c r="AV1" s="3854"/>
      <c r="AW1" s="3854"/>
      <c r="AX1" s="3854"/>
      <c r="AY1" s="3854"/>
      <c r="AZ1" s="3854"/>
      <c r="BA1" s="3854"/>
      <c r="BB1" s="3151"/>
    </row>
    <row r="2" spans="1:87" s="869" customFormat="1">
      <c r="A2" s="3855" t="str">
        <f>HYPERLINK("#Index!A4", "Index Pg")</f>
        <v>Index Pg</v>
      </c>
      <c r="D2" s="900"/>
      <c r="E2" s="3858"/>
      <c r="F2" s="906" t="s">
        <v>113</v>
      </c>
      <c r="G2" s="906" t="s">
        <v>126</v>
      </c>
      <c r="H2" s="906" t="s">
        <v>86</v>
      </c>
      <c r="I2" s="906" t="s">
        <v>4530</v>
      </c>
      <c r="J2" s="906" t="s">
        <v>91</v>
      </c>
      <c r="K2" s="906" t="s">
        <v>3933</v>
      </c>
      <c r="L2" s="907" t="s">
        <v>4531</v>
      </c>
      <c r="M2" s="906" t="s">
        <v>4535</v>
      </c>
      <c r="N2" s="907" t="s">
        <v>203</v>
      </c>
      <c r="O2" s="2974" t="s">
        <v>4218</v>
      </c>
      <c r="P2" s="909" t="s">
        <v>3751</v>
      </c>
      <c r="Q2" s="909" t="s">
        <v>4543</v>
      </c>
      <c r="R2" s="909" t="s">
        <v>4540</v>
      </c>
      <c r="S2" s="909" t="s">
        <v>4541</v>
      </c>
      <c r="T2" s="909" t="s">
        <v>4542</v>
      </c>
      <c r="U2" s="909" t="s">
        <v>4544</v>
      </c>
      <c r="V2" s="909" t="s">
        <v>4528</v>
      </c>
      <c r="W2" s="909" t="s">
        <v>4545</v>
      </c>
      <c r="X2" s="909" t="s">
        <v>29</v>
      </c>
      <c r="Y2" s="909" t="s">
        <v>4546</v>
      </c>
      <c r="Z2" s="909" t="s">
        <v>4547</v>
      </c>
      <c r="AA2" s="909" t="s">
        <v>4537</v>
      </c>
      <c r="AB2" s="909" t="s">
        <v>737</v>
      </c>
      <c r="AC2" s="909" t="s">
        <v>4538</v>
      </c>
      <c r="AD2" s="909" t="s">
        <v>4539</v>
      </c>
      <c r="AE2" s="909" t="s">
        <v>2293</v>
      </c>
      <c r="AF2" s="909" t="s">
        <v>4548</v>
      </c>
      <c r="AG2" s="909" t="s">
        <v>3750</v>
      </c>
      <c r="AH2" s="909" t="s">
        <v>302</v>
      </c>
      <c r="AI2" s="910" t="s">
        <v>288</v>
      </c>
      <c r="AJ2" s="910" t="s">
        <v>109</v>
      </c>
      <c r="AK2" s="910" t="s">
        <v>141</v>
      </c>
      <c r="AL2" s="910" t="s">
        <v>4525</v>
      </c>
      <c r="AM2" s="910" t="s">
        <v>3223</v>
      </c>
      <c r="AN2" s="910" t="s">
        <v>3855</v>
      </c>
      <c r="AO2" s="910" t="s">
        <v>4405</v>
      </c>
      <c r="AP2" s="911" t="s">
        <v>81</v>
      </c>
      <c r="AQ2" s="911" t="s">
        <v>145</v>
      </c>
      <c r="AR2" s="911" t="s">
        <v>394</v>
      </c>
      <c r="AS2" s="911" t="s">
        <v>147</v>
      </c>
      <c r="AT2" s="911" t="s">
        <v>410</v>
      </c>
      <c r="AU2" s="911" t="s">
        <v>4459</v>
      </c>
      <c r="AV2" s="911" t="s">
        <v>3989</v>
      </c>
      <c r="AW2" s="912" t="s">
        <v>307</v>
      </c>
      <c r="AX2" s="913" t="s">
        <v>309</v>
      </c>
      <c r="AY2" s="913" t="s">
        <v>1028</v>
      </c>
      <c r="AZ2" s="913" t="s">
        <v>1014</v>
      </c>
      <c r="BA2" s="913" t="s">
        <v>4533</v>
      </c>
      <c r="BB2" s="3152"/>
    </row>
    <row r="3" spans="1:87" s="917" customFormat="1">
      <c r="A3" s="3856"/>
      <c r="B3" s="914" t="str">
        <f>HYPERLINK("#'Budget Summary I'!A1:AL1", "Budget Summary I")</f>
        <v>Budget Summary I</v>
      </c>
      <c r="C3" s="865" t="s">
        <v>4460</v>
      </c>
      <c r="D3" s="915"/>
      <c r="E3" s="915">
        <f>R7</f>
        <v>1355.5920000000001</v>
      </c>
      <c r="F3" s="915">
        <f>R10+R11+R12+R13+R14+R15+R61+R63+R64+R65</f>
        <v>261.97199999999998</v>
      </c>
      <c r="G3" s="915">
        <f>R84+R85+R86+R87+R88+R96+R97+R98</f>
        <v>161.69999999999999</v>
      </c>
      <c r="H3" s="915">
        <f>R23+R24+R26+R27+R28+R68+R69+R71+R72+R73+R74+R75+R76</f>
        <v>98.45</v>
      </c>
      <c r="I3" s="915">
        <f>R30+R31+R89+R106</f>
        <v>4.55</v>
      </c>
      <c r="J3" s="915">
        <f>R17+R18+R19+R90+R20</f>
        <v>151.66</v>
      </c>
      <c r="K3" s="915"/>
      <c r="L3" s="915">
        <f>R112</f>
        <v>1.44</v>
      </c>
      <c r="M3" s="915">
        <f>R51+R52+R56</f>
        <v>0</v>
      </c>
      <c r="N3" s="915"/>
      <c r="O3" s="2975">
        <f>R55</f>
        <v>0</v>
      </c>
      <c r="P3" s="915"/>
      <c r="Q3" s="915"/>
      <c r="R3" s="915"/>
      <c r="S3" s="915"/>
      <c r="T3" s="915"/>
      <c r="U3" s="915"/>
      <c r="V3" s="915"/>
      <c r="W3" s="915"/>
      <c r="X3" s="915"/>
      <c r="Y3" s="915"/>
      <c r="Z3" s="915"/>
      <c r="AA3" s="915"/>
      <c r="AB3" s="915"/>
      <c r="AC3" s="915"/>
      <c r="AD3" s="915"/>
      <c r="AE3" s="915"/>
      <c r="AF3" s="915">
        <f>R53+R57</f>
        <v>80</v>
      </c>
      <c r="AG3" s="915"/>
      <c r="AH3" s="915">
        <f>R39+R49+R54+R58+R81+R107+R109+R114</f>
        <v>0</v>
      </c>
      <c r="AI3" s="916"/>
      <c r="AJ3" s="915">
        <f>R33+R34+R35+R80</f>
        <v>0</v>
      </c>
      <c r="AK3" s="916">
        <f>R36+R37+R78</f>
        <v>5</v>
      </c>
      <c r="AL3" s="916">
        <f>R38+R79+R95</f>
        <v>526.82000000000005</v>
      </c>
      <c r="AM3" s="916">
        <f>R99+R101+R102+R104+R105</f>
        <v>8</v>
      </c>
      <c r="AN3" s="916"/>
      <c r="AO3" s="916"/>
      <c r="AP3" s="916"/>
      <c r="AQ3" s="916"/>
      <c r="AR3" s="915"/>
      <c r="AS3" s="915"/>
      <c r="AT3" s="915">
        <f>R41+R42+R91+R92+R93+R94</f>
        <v>6</v>
      </c>
      <c r="AU3" s="915">
        <f>R46+R47+R48</f>
        <v>50</v>
      </c>
      <c r="AV3" s="915"/>
      <c r="AW3" s="915"/>
      <c r="AX3" s="915">
        <f>R113</f>
        <v>0</v>
      </c>
      <c r="AY3" s="915">
        <f>R43+R44+R110+R111</f>
        <v>0</v>
      </c>
      <c r="AZ3" s="915"/>
      <c r="BA3" s="915"/>
      <c r="BB3" s="1845"/>
    </row>
    <row r="4" spans="1:87" s="917" customFormat="1">
      <c r="A4" s="3857"/>
      <c r="B4" s="864" t="str">
        <f>HYPERLINK("#'Budget Summary II'!A3:B5", "Budget Summary II")</f>
        <v>Budget Summary II</v>
      </c>
      <c r="C4" s="865" t="s">
        <v>4461</v>
      </c>
      <c r="D4" s="915"/>
      <c r="E4" s="915">
        <f>O7</f>
        <v>1313.5947899999999</v>
      </c>
      <c r="F4" s="915">
        <f>O10+O11+O12+O13+O14+O15+O61+O63+O64+O65</f>
        <v>213.97200000000001</v>
      </c>
      <c r="G4" s="915">
        <f>O84+O85+O86+O87+O88+O96+O97+O98</f>
        <v>161.69999999999999</v>
      </c>
      <c r="H4" s="915">
        <f>O23+O24+O26+O27+O28+O68+O69+O71+O72+O73+O74+O75+O76</f>
        <v>104.45</v>
      </c>
      <c r="I4" s="915">
        <f>O30+O31+O89+O106</f>
        <v>4.5500000000000007</v>
      </c>
      <c r="J4" s="915">
        <f>O17+O18+O19+O90+O20</f>
        <v>151.66</v>
      </c>
      <c r="K4" s="915"/>
      <c r="L4" s="915">
        <f>O112</f>
        <v>1.44</v>
      </c>
      <c r="M4" s="915">
        <f>O51+O52+O56</f>
        <v>0</v>
      </c>
      <c r="N4" s="915"/>
      <c r="O4" s="2975">
        <f>O55</f>
        <v>0</v>
      </c>
      <c r="P4" s="915"/>
      <c r="Q4" s="915"/>
      <c r="R4" s="915"/>
      <c r="S4" s="915"/>
      <c r="T4" s="915"/>
      <c r="U4" s="915"/>
      <c r="V4" s="915"/>
      <c r="W4" s="915"/>
      <c r="X4" s="915"/>
      <c r="Y4" s="915"/>
      <c r="Z4" s="915"/>
      <c r="AA4" s="915"/>
      <c r="AB4" s="915"/>
      <c r="AC4" s="915"/>
      <c r="AD4" s="915"/>
      <c r="AE4" s="915"/>
      <c r="AF4" s="915">
        <f>O53+O57</f>
        <v>80</v>
      </c>
      <c r="AG4" s="915"/>
      <c r="AH4" s="915">
        <f>O39+O49+O54+O58+O81+O107+O109+O114</f>
        <v>0</v>
      </c>
      <c r="AI4" s="916"/>
      <c r="AJ4" s="915">
        <f>O33+O34+O35+O80</f>
        <v>0</v>
      </c>
      <c r="AK4" s="916">
        <f>O36+O37+O78</f>
        <v>5</v>
      </c>
      <c r="AL4" s="916">
        <f>O38+O79+O95</f>
        <v>526.82279000000005</v>
      </c>
      <c r="AM4" s="916">
        <f>O99+O101+O102+O104+O105</f>
        <v>8</v>
      </c>
      <c r="AN4" s="916"/>
      <c r="AO4" s="916"/>
      <c r="AP4" s="916"/>
      <c r="AQ4" s="916"/>
      <c r="AR4" s="915"/>
      <c r="AS4" s="915"/>
      <c r="AT4" s="915">
        <f>O41+O42+O91+O92+O93+O94</f>
        <v>6</v>
      </c>
      <c r="AU4" s="915">
        <f>O46+O47+O48</f>
        <v>50</v>
      </c>
      <c r="AV4" s="915"/>
      <c r="AW4" s="915"/>
      <c r="AX4" s="915">
        <f>O113</f>
        <v>0</v>
      </c>
      <c r="AY4" s="915">
        <f>O43+O44+O110+O111</f>
        <v>0</v>
      </c>
      <c r="AZ4" s="915"/>
      <c r="BA4" s="915"/>
      <c r="BB4" s="1845"/>
    </row>
    <row r="5" spans="1:87" s="868" customFormat="1" ht="57.75" customHeight="1">
      <c r="A5" s="3801" t="s">
        <v>48</v>
      </c>
      <c r="B5" s="3801" t="s">
        <v>49</v>
      </c>
      <c r="C5" s="3801" t="s">
        <v>50</v>
      </c>
      <c r="D5" s="3801" t="s">
        <v>51</v>
      </c>
      <c r="E5" s="3801" t="s">
        <v>52</v>
      </c>
      <c r="F5" s="3799" t="s">
        <v>4478</v>
      </c>
      <c r="G5" s="3799"/>
      <c r="H5" s="3799"/>
      <c r="I5" s="3799"/>
      <c r="J5" s="3799"/>
      <c r="K5" s="3799" t="s">
        <v>4484</v>
      </c>
      <c r="L5" s="3799"/>
      <c r="M5" s="3799"/>
      <c r="N5" s="3799"/>
      <c r="O5" s="3799"/>
      <c r="P5" s="3799"/>
      <c r="Q5" s="3800" t="s">
        <v>4514</v>
      </c>
      <c r="R5" s="3800"/>
      <c r="BB5" s="886" t="s">
        <v>5973</v>
      </c>
      <c r="BC5" s="886" t="s">
        <v>5432</v>
      </c>
      <c r="BD5" s="886" t="s">
        <v>5433</v>
      </c>
      <c r="BE5" s="886" t="s">
        <v>5434</v>
      </c>
      <c r="BF5" s="886" t="s">
        <v>5435</v>
      </c>
      <c r="BG5" s="886" t="s">
        <v>5436</v>
      </c>
      <c r="BH5" s="886" t="s">
        <v>5437</v>
      </c>
      <c r="BI5" s="886" t="s">
        <v>5959</v>
      </c>
      <c r="BJ5" s="886" t="s">
        <v>5438</v>
      </c>
      <c r="BK5" s="886" t="s">
        <v>5439</v>
      </c>
      <c r="BL5" s="886" t="s">
        <v>5960</v>
      </c>
      <c r="BM5" s="886" t="s">
        <v>5440</v>
      </c>
      <c r="BN5" s="886" t="s">
        <v>5441</v>
      </c>
      <c r="BO5" s="886" t="s">
        <v>5961</v>
      </c>
      <c r="BP5" s="886" t="s">
        <v>5974</v>
      </c>
      <c r="BQ5" s="886" t="s">
        <v>5975</v>
      </c>
      <c r="BR5" s="886" t="s">
        <v>5976</v>
      </c>
      <c r="BS5" s="886" t="s">
        <v>5977</v>
      </c>
      <c r="BT5" s="886" t="s">
        <v>5978</v>
      </c>
      <c r="BU5" s="886" t="s">
        <v>5979</v>
      </c>
      <c r="BV5" s="886" t="s">
        <v>5962</v>
      </c>
      <c r="BW5" s="886" t="s">
        <v>5963</v>
      </c>
      <c r="BX5" s="886" t="s">
        <v>5964</v>
      </c>
      <c r="BY5" s="886" t="s">
        <v>5965</v>
      </c>
      <c r="BZ5" s="886" t="s">
        <v>5966</v>
      </c>
      <c r="CA5" s="886" t="s">
        <v>5967</v>
      </c>
      <c r="CB5" s="886" t="s">
        <v>5968</v>
      </c>
      <c r="CC5" s="886" t="s">
        <v>5969</v>
      </c>
      <c r="CD5" s="886" t="s">
        <v>5970</v>
      </c>
      <c r="CE5" s="886" t="s">
        <v>5980</v>
      </c>
      <c r="CF5" s="886" t="s">
        <v>5971</v>
      </c>
      <c r="CG5" s="886" t="s">
        <v>5981</v>
      </c>
      <c r="CH5" s="886" t="s">
        <v>5982</v>
      </c>
      <c r="CI5" s="886" t="s">
        <v>5972</v>
      </c>
    </row>
    <row r="6" spans="1:87" s="923" customFormat="1" ht="30.75" customHeight="1">
      <c r="A6" s="3801"/>
      <c r="B6" s="3801"/>
      <c r="C6" s="3801"/>
      <c r="D6" s="3801"/>
      <c r="E6" s="3801"/>
      <c r="F6" s="918" t="s">
        <v>4479</v>
      </c>
      <c r="G6" s="918" t="s">
        <v>4482</v>
      </c>
      <c r="H6" s="918" t="s">
        <v>4480</v>
      </c>
      <c r="I6" s="918" t="s">
        <v>4483</v>
      </c>
      <c r="J6" s="918" t="s">
        <v>2448</v>
      </c>
      <c r="K6" s="919" t="s">
        <v>53</v>
      </c>
      <c r="L6" s="919" t="s">
        <v>54</v>
      </c>
      <c r="M6" s="920" t="s">
        <v>55</v>
      </c>
      <c r="N6" s="919" t="s">
        <v>56</v>
      </c>
      <c r="O6" s="2821" t="s">
        <v>57</v>
      </c>
      <c r="P6" s="919" t="s">
        <v>5069</v>
      </c>
      <c r="Q6" s="921" t="s">
        <v>2450</v>
      </c>
      <c r="R6" s="922" t="s">
        <v>4515</v>
      </c>
      <c r="S6" s="3103" t="s">
        <v>4538</v>
      </c>
      <c r="BB6" s="3150"/>
      <c r="BC6" s="3150"/>
      <c r="BD6" s="3150"/>
      <c r="BE6" s="3150"/>
      <c r="BF6" s="3150"/>
      <c r="BG6" s="3150"/>
      <c r="BH6" s="3150"/>
      <c r="BI6" s="3150"/>
      <c r="BJ6" s="3150"/>
      <c r="BK6" s="3150"/>
      <c r="BL6" s="3150"/>
      <c r="BM6" s="3150"/>
      <c r="BN6" s="3150"/>
      <c r="BO6" s="3150"/>
      <c r="BP6" s="3150"/>
      <c r="BQ6" s="3150"/>
      <c r="BR6" s="3150"/>
      <c r="BS6" s="3150"/>
      <c r="BT6" s="3150"/>
      <c r="BU6" s="3150"/>
      <c r="BV6" s="3150"/>
      <c r="BW6" s="3150"/>
      <c r="BX6" s="3150"/>
      <c r="BY6" s="3150"/>
      <c r="BZ6" s="3150"/>
      <c r="CA6" s="3150"/>
      <c r="CB6" s="3150"/>
      <c r="CC6" s="3150"/>
      <c r="CD6" s="3150"/>
      <c r="CE6" s="3150"/>
      <c r="CF6" s="3150"/>
      <c r="CG6" s="3150"/>
      <c r="CH6" s="3150"/>
      <c r="CI6" s="3150"/>
    </row>
    <row r="7" spans="1:87" s="927" customFormat="1" ht="45.75" customHeight="1">
      <c r="A7" s="165">
        <v>1</v>
      </c>
      <c r="B7" s="924"/>
      <c r="C7" s="165" t="s">
        <v>0</v>
      </c>
      <c r="D7" s="925"/>
      <c r="E7" s="926"/>
      <c r="F7" s="926"/>
      <c r="G7" s="926"/>
      <c r="H7" s="926"/>
      <c r="I7" s="926"/>
      <c r="J7" s="926"/>
      <c r="K7" s="925"/>
      <c r="L7" s="925"/>
      <c r="M7" s="160"/>
      <c r="N7" s="925"/>
      <c r="O7" s="2948">
        <f>O8+O59+O82</f>
        <v>1313.5947899999999</v>
      </c>
      <c r="P7" s="165"/>
      <c r="Q7" s="165"/>
      <c r="R7" s="207">
        <f>R8+R59+R82</f>
        <v>1355.5920000000001</v>
      </c>
      <c r="S7" s="3130">
        <f>S14+S31+S95+S112</f>
        <v>10.95759493670886</v>
      </c>
      <c r="BB7" s="3260"/>
      <c r="BC7" s="3260"/>
      <c r="BD7" s="3260"/>
      <c r="BE7" s="3260"/>
      <c r="BF7" s="3260"/>
      <c r="BG7" s="3260"/>
      <c r="BH7" s="3260"/>
      <c r="BI7" s="3260"/>
      <c r="BJ7" s="3260"/>
      <c r="BK7" s="3260"/>
      <c r="BL7" s="3260"/>
      <c r="BM7" s="3260"/>
      <c r="BN7" s="3260"/>
      <c r="BO7" s="3260"/>
      <c r="BP7" s="3260"/>
      <c r="BQ7" s="3260"/>
      <c r="BR7" s="3260"/>
      <c r="BS7" s="3260"/>
      <c r="BT7" s="3260"/>
      <c r="BU7" s="3260"/>
      <c r="BV7" s="3260"/>
      <c r="BW7" s="3260"/>
      <c r="BX7" s="3260"/>
      <c r="BY7" s="3260"/>
      <c r="BZ7" s="3260"/>
      <c r="CA7" s="3260"/>
      <c r="CB7" s="3260"/>
      <c r="CC7" s="3260"/>
      <c r="CD7" s="3260"/>
      <c r="CE7" s="3260"/>
      <c r="CF7" s="3260"/>
      <c r="CG7" s="3260"/>
      <c r="CH7" s="3260"/>
      <c r="CI7" s="3260"/>
    </row>
    <row r="8" spans="1:87" s="927" customFormat="1" ht="20.25" customHeight="1">
      <c r="A8" s="872">
        <v>1.1000000000000001</v>
      </c>
      <c r="B8" s="928"/>
      <c r="C8" s="84" t="s">
        <v>1</v>
      </c>
      <c r="D8" s="929"/>
      <c r="E8" s="930"/>
      <c r="F8" s="931"/>
      <c r="G8" s="931"/>
      <c r="H8" s="931"/>
      <c r="I8" s="931"/>
      <c r="J8" s="931"/>
      <c r="K8" s="932"/>
      <c r="L8" s="932"/>
      <c r="M8" s="933"/>
      <c r="N8" s="934"/>
      <c r="O8" s="2817">
        <f>O9+O16+O21+O29+O32+O40+O50</f>
        <v>454.32479999999998</v>
      </c>
      <c r="P8" s="167"/>
      <c r="Q8" s="167"/>
      <c r="R8" s="208">
        <f>R9+R16+R21+R29+R32+R40+R50</f>
        <v>502.322</v>
      </c>
      <c r="BB8" s="3260"/>
      <c r="BC8" s="3260"/>
      <c r="BD8" s="3260"/>
      <c r="BE8" s="3260"/>
      <c r="BF8" s="3260"/>
      <c r="BG8" s="3260"/>
      <c r="BH8" s="3260"/>
      <c r="BI8" s="3260"/>
      <c r="BJ8" s="3260"/>
      <c r="BK8" s="3260"/>
      <c r="BL8" s="3260"/>
      <c r="BM8" s="3260"/>
      <c r="BN8" s="3260"/>
      <c r="BO8" s="3260"/>
      <c r="BP8" s="3260"/>
      <c r="BQ8" s="3260"/>
      <c r="BR8" s="3260"/>
      <c r="BS8" s="3260"/>
      <c r="BT8" s="3260"/>
      <c r="BU8" s="3260"/>
      <c r="BV8" s="3260"/>
      <c r="BW8" s="3260"/>
      <c r="BX8" s="3260"/>
      <c r="BY8" s="3260"/>
      <c r="BZ8" s="3260"/>
      <c r="CA8" s="3260"/>
      <c r="CB8" s="3260"/>
      <c r="CC8" s="3260"/>
      <c r="CD8" s="3260"/>
      <c r="CE8" s="3260"/>
      <c r="CF8" s="3260"/>
      <c r="CG8" s="3260"/>
      <c r="CH8" s="3260"/>
      <c r="CI8" s="3184">
        <f t="shared" ref="CI8:CI9" si="0">SUM(BB8:CH8)</f>
        <v>0</v>
      </c>
    </row>
    <row r="9" spans="1:87">
      <c r="A9" s="935" t="s">
        <v>1945</v>
      </c>
      <c r="B9" s="936"/>
      <c r="C9" s="85" t="s">
        <v>4208</v>
      </c>
      <c r="D9" s="937"/>
      <c r="E9" s="938"/>
      <c r="F9" s="939"/>
      <c r="G9" s="939"/>
      <c r="H9" s="939"/>
      <c r="I9" s="939"/>
      <c r="J9" s="939"/>
      <c r="K9" s="937"/>
      <c r="L9" s="938"/>
      <c r="M9" s="940"/>
      <c r="N9" s="939"/>
      <c r="O9" s="2976">
        <f>SUM(O10:O15)</f>
        <v>105.47200000000001</v>
      </c>
      <c r="P9" s="85"/>
      <c r="Q9" s="85"/>
      <c r="R9" s="209">
        <f>SUM(R10:R15)</f>
        <v>153.47200000000001</v>
      </c>
      <c r="BB9" s="3182"/>
      <c r="BC9" s="3182"/>
      <c r="BD9" s="3182"/>
      <c r="BE9" s="3182"/>
      <c r="BF9" s="3182"/>
      <c r="BG9" s="3182"/>
      <c r="BH9" s="3182"/>
      <c r="BI9" s="3182"/>
      <c r="BJ9" s="3182"/>
      <c r="BK9" s="3182"/>
      <c r="BL9" s="3182"/>
      <c r="BM9" s="3182"/>
      <c r="BN9" s="3182"/>
      <c r="BO9" s="3182"/>
      <c r="BP9" s="3182"/>
      <c r="BQ9" s="3182"/>
      <c r="BR9" s="3182"/>
      <c r="BS9" s="3182"/>
      <c r="BT9" s="3182"/>
      <c r="BU9" s="3182"/>
      <c r="BV9" s="3182"/>
      <c r="BW9" s="3182"/>
      <c r="BX9" s="3182"/>
      <c r="BY9" s="3182"/>
      <c r="BZ9" s="3182"/>
      <c r="CA9" s="3182"/>
      <c r="CB9" s="3182"/>
      <c r="CC9" s="3182"/>
      <c r="CD9" s="3182"/>
      <c r="CE9" s="3182"/>
      <c r="CF9" s="3182"/>
      <c r="CG9" s="3182"/>
      <c r="CH9" s="3182"/>
      <c r="CI9" s="3184">
        <f t="shared" si="0"/>
        <v>0</v>
      </c>
    </row>
    <row r="10" spans="1:87" ht="75">
      <c r="A10" s="107" t="s">
        <v>1946</v>
      </c>
      <c r="B10" s="942" t="s">
        <v>1947</v>
      </c>
      <c r="C10" s="3462" t="s">
        <v>1948</v>
      </c>
      <c r="D10" s="943" t="s">
        <v>85</v>
      </c>
      <c r="E10" s="944" t="s">
        <v>113</v>
      </c>
      <c r="F10" s="168">
        <v>0</v>
      </c>
      <c r="G10" s="168"/>
      <c r="H10" s="169">
        <v>0</v>
      </c>
      <c r="I10" s="169"/>
      <c r="J10" s="168"/>
      <c r="K10" s="155"/>
      <c r="L10" s="170"/>
      <c r="M10" s="193">
        <f t="shared" ref="M10:M15" si="1">L10/100000</f>
        <v>0</v>
      </c>
      <c r="N10" s="170"/>
      <c r="O10" s="2977">
        <f>M10*N10</f>
        <v>0</v>
      </c>
      <c r="P10" s="171"/>
      <c r="Q10" s="88" t="str">
        <f>'Ab1. RMNCH+A'!Q8</f>
        <v xml:space="preserve">Activity shifted from FMR 3.1.1.1.1  Recommended for approval of Rs. 48 lakhs for 4000 ASHAs for PMSMA activity @ Rs. 100/- per month for 12 months </v>
      </c>
      <c r="R10" s="690">
        <f>'Ab1. RMNCH+A'!R8</f>
        <v>48</v>
      </c>
      <c r="BB10" s="3182"/>
      <c r="BC10" s="3182">
        <v>2.78</v>
      </c>
      <c r="BD10" s="3182">
        <v>4.4000000000000004</v>
      </c>
      <c r="BE10" s="3182">
        <v>2.99</v>
      </c>
      <c r="BF10" s="3182">
        <v>9.64</v>
      </c>
      <c r="BG10" s="3182">
        <v>0.46</v>
      </c>
      <c r="BH10" s="3182">
        <v>2.69</v>
      </c>
      <c r="BI10" s="3182">
        <v>0.09</v>
      </c>
      <c r="BJ10" s="3182">
        <v>6.65</v>
      </c>
      <c r="BK10" s="3182">
        <v>5</v>
      </c>
      <c r="BL10" s="3182">
        <v>4.29</v>
      </c>
      <c r="BM10" s="3182">
        <v>5.42</v>
      </c>
      <c r="BN10" s="3182">
        <v>3.59</v>
      </c>
      <c r="BO10" s="3182"/>
      <c r="BP10" s="3182"/>
      <c r="BQ10" s="3182"/>
      <c r="BR10" s="3182"/>
      <c r="BS10" s="3182"/>
      <c r="BT10" s="3182"/>
      <c r="BU10" s="3182"/>
      <c r="BV10" s="3182"/>
      <c r="BW10" s="3182"/>
      <c r="BX10" s="3182"/>
      <c r="BY10" s="3182"/>
      <c r="BZ10" s="3182"/>
      <c r="CA10" s="3182"/>
      <c r="CB10" s="3182"/>
      <c r="CC10" s="3182"/>
      <c r="CD10" s="3182"/>
      <c r="CE10" s="3182"/>
      <c r="CF10" s="3182"/>
      <c r="CG10" s="3182"/>
      <c r="CH10" s="3182"/>
      <c r="CI10" s="3184">
        <f t="shared" ref="CI10:CI73" si="2">SUM(BB10:CH10)</f>
        <v>48</v>
      </c>
    </row>
    <row r="11" spans="1:87" s="963" customFormat="1" ht="68.25" customHeight="1">
      <c r="A11" s="107" t="s">
        <v>1949</v>
      </c>
      <c r="B11" s="948" t="s">
        <v>1950</v>
      </c>
      <c r="C11" s="948" t="s">
        <v>3939</v>
      </c>
      <c r="D11" s="982" t="s">
        <v>85</v>
      </c>
      <c r="E11" s="956" t="s">
        <v>113</v>
      </c>
      <c r="F11" s="178">
        <v>75394</v>
      </c>
      <c r="G11" s="2442">
        <v>17763</v>
      </c>
      <c r="H11" s="198">
        <v>85.2</v>
      </c>
      <c r="I11" s="2442">
        <v>6.32</v>
      </c>
      <c r="J11" s="2443">
        <v>78.88</v>
      </c>
      <c r="K11" s="178"/>
      <c r="L11" s="2442">
        <v>102</v>
      </c>
      <c r="M11" s="957">
        <f t="shared" si="1"/>
        <v>1.0200000000000001E-3</v>
      </c>
      <c r="N11" s="2442">
        <v>50000</v>
      </c>
      <c r="O11" s="2978">
        <f>N11*M11</f>
        <v>51.000000000000007</v>
      </c>
      <c r="P11" s="2444" t="s">
        <v>5257</v>
      </c>
      <c r="Q11" s="107" t="str">
        <f>'Ab1. RMNCH+A'!Q9</f>
        <v>Recommended for approval of Rs. 51 lakhs for diet services for JSSK benificiaries for 45000 Normal deliveries and 5000 C-sectionsNormal Delivery = 45000 x Rs.90 (Rs. 30 for 3 days) = Rs.40.50 lakhs; C-Section = 5000 x Rs.210 (Rs.30 x 7 days) = Rs.10.50 lakhs.                                                                                                   Therefore total is Rs. 51.00 lakhs.</v>
      </c>
      <c r="R11" s="655">
        <f>'Ab1. RMNCH+A'!R9</f>
        <v>51</v>
      </c>
      <c r="BB11" s="3184"/>
      <c r="BC11" s="3184">
        <v>0.44</v>
      </c>
      <c r="BD11" s="3184">
        <v>1</v>
      </c>
      <c r="BE11" s="3184">
        <v>0.6</v>
      </c>
      <c r="BF11" s="3184">
        <v>1.95</v>
      </c>
      <c r="BG11" s="3184">
        <v>0.13</v>
      </c>
      <c r="BH11" s="3184">
        <v>0.33</v>
      </c>
      <c r="BI11" s="3184">
        <v>7.0000000000000007E-2</v>
      </c>
      <c r="BJ11" s="3184">
        <v>2.85</v>
      </c>
      <c r="BK11" s="3184">
        <v>0.71</v>
      </c>
      <c r="BL11" s="3184">
        <v>2.86</v>
      </c>
      <c r="BM11" s="3184">
        <v>3.2</v>
      </c>
      <c r="BN11" s="3184">
        <v>0.2</v>
      </c>
      <c r="BO11" s="3184"/>
      <c r="BP11" s="3184">
        <v>6.5</v>
      </c>
      <c r="BQ11" s="3184">
        <v>2.31</v>
      </c>
      <c r="BR11" s="3184">
        <v>3.09</v>
      </c>
      <c r="BS11" s="3184">
        <v>0.34</v>
      </c>
      <c r="BT11" s="3184">
        <v>1.75</v>
      </c>
      <c r="BU11" s="3184">
        <v>5.62</v>
      </c>
      <c r="BV11" s="3184">
        <v>1.58</v>
      </c>
      <c r="BW11" s="3184">
        <v>0.11</v>
      </c>
      <c r="BX11" s="3184">
        <v>1.46</v>
      </c>
      <c r="BY11" s="3184">
        <v>2.56</v>
      </c>
      <c r="BZ11" s="3184">
        <v>4.04</v>
      </c>
      <c r="CA11" s="3184">
        <v>0.03</v>
      </c>
      <c r="CB11" s="3184">
        <v>2.35</v>
      </c>
      <c r="CC11" s="3184">
        <v>0.62</v>
      </c>
      <c r="CD11" s="3184">
        <v>1.66</v>
      </c>
      <c r="CE11" s="3184"/>
      <c r="CF11" s="3184">
        <v>2.64</v>
      </c>
      <c r="CG11" s="3184"/>
      <c r="CH11" s="3184"/>
      <c r="CI11" s="3184">
        <f t="shared" si="2"/>
        <v>50.999999999999993</v>
      </c>
    </row>
    <row r="12" spans="1:87" s="963" customFormat="1" ht="47.25" customHeight="1">
      <c r="A12" s="107" t="s">
        <v>1951</v>
      </c>
      <c r="B12" s="948" t="s">
        <v>1952</v>
      </c>
      <c r="C12" s="948" t="s">
        <v>1953</v>
      </c>
      <c r="D12" s="982" t="s">
        <v>85</v>
      </c>
      <c r="E12" s="956" t="s">
        <v>113</v>
      </c>
      <c r="F12" s="178">
        <v>0</v>
      </c>
      <c r="G12" s="2442">
        <v>1138</v>
      </c>
      <c r="H12" s="198">
        <v>0</v>
      </c>
      <c r="I12" s="2442"/>
      <c r="J12" s="178"/>
      <c r="K12" s="2445"/>
      <c r="L12" s="2313">
        <v>0</v>
      </c>
      <c r="M12" s="957">
        <f t="shared" si="1"/>
        <v>0</v>
      </c>
      <c r="N12" s="2313">
        <v>0</v>
      </c>
      <c r="O12" s="2978">
        <f>N12*M12</f>
        <v>0</v>
      </c>
      <c r="P12" s="2444" t="s">
        <v>5258</v>
      </c>
      <c r="Q12" s="107" t="str">
        <f>'Ab1. RMNCH+A'!Q10</f>
        <v>--</v>
      </c>
      <c r="R12" s="655">
        <f>'Ab1. RMNCH+A'!R10</f>
        <v>0</v>
      </c>
      <c r="BB12" s="3184"/>
      <c r="BC12" s="3184"/>
      <c r="BD12" s="3184"/>
      <c r="BE12" s="3184"/>
      <c r="BF12" s="3184"/>
      <c r="BG12" s="3184"/>
      <c r="BH12" s="3184"/>
      <c r="BI12" s="3184"/>
      <c r="BJ12" s="3184"/>
      <c r="BK12" s="3184"/>
      <c r="BL12" s="3184"/>
      <c r="BM12" s="3184"/>
      <c r="BN12" s="3184"/>
      <c r="BO12" s="3184"/>
      <c r="BP12" s="3184"/>
      <c r="BQ12" s="3184"/>
      <c r="BR12" s="3184"/>
      <c r="BS12" s="3184"/>
      <c r="BT12" s="3184"/>
      <c r="BU12" s="3184"/>
      <c r="BV12" s="3184"/>
      <c r="BW12" s="3184"/>
      <c r="BX12" s="3184"/>
      <c r="BY12" s="3184"/>
      <c r="BZ12" s="3184"/>
      <c r="CA12" s="3184"/>
      <c r="CB12" s="3184"/>
      <c r="CC12" s="3184"/>
      <c r="CD12" s="3184"/>
      <c r="CE12" s="3184"/>
      <c r="CF12" s="3184"/>
      <c r="CG12" s="3184"/>
      <c r="CH12" s="3184"/>
      <c r="CI12" s="3184">
        <f t="shared" si="2"/>
        <v>0</v>
      </c>
    </row>
    <row r="13" spans="1:87" s="963" customFormat="1" ht="90">
      <c r="A13" s="107" t="s">
        <v>1954</v>
      </c>
      <c r="B13" s="948" t="s">
        <v>1955</v>
      </c>
      <c r="C13" s="948" t="s">
        <v>3940</v>
      </c>
      <c r="D13" s="982" t="s">
        <v>85</v>
      </c>
      <c r="E13" s="964" t="s">
        <v>5068</v>
      </c>
      <c r="F13" s="178">
        <v>0</v>
      </c>
      <c r="H13" s="178">
        <v>0</v>
      </c>
      <c r="J13" s="178"/>
      <c r="K13" s="178"/>
      <c r="L13" s="2313"/>
      <c r="M13" s="957">
        <f t="shared" si="1"/>
        <v>0</v>
      </c>
      <c r="N13" s="2313"/>
      <c r="O13" s="2978">
        <f>N13*M13</f>
        <v>0</v>
      </c>
      <c r="Q13" s="107" t="str">
        <f>'Ab1. RMNCH+A'!Q11</f>
        <v>Activity relates to Blood Cell.</v>
      </c>
      <c r="R13" s="655">
        <f>'Ab1. RMNCH+A'!R11</f>
        <v>0</v>
      </c>
      <c r="BB13" s="3184"/>
      <c r="BC13" s="3184"/>
      <c r="BD13" s="3184"/>
      <c r="BE13" s="3184"/>
      <c r="BF13" s="3184"/>
      <c r="BG13" s="3184"/>
      <c r="BH13" s="3184"/>
      <c r="BI13" s="3184"/>
      <c r="BJ13" s="3184"/>
      <c r="BK13" s="3184"/>
      <c r="BL13" s="3184"/>
      <c r="BM13" s="3184"/>
      <c r="BN13" s="3184"/>
      <c r="BO13" s="3184"/>
      <c r="BP13" s="3184"/>
      <c r="BQ13" s="3184"/>
      <c r="BR13" s="3184"/>
      <c r="BS13" s="3184"/>
      <c r="BT13" s="3184"/>
      <c r="BU13" s="3184"/>
      <c r="BV13" s="3184"/>
      <c r="BW13" s="3184"/>
      <c r="BX13" s="3184"/>
      <c r="BY13" s="3184"/>
      <c r="BZ13" s="3184"/>
      <c r="CA13" s="3184"/>
      <c r="CB13" s="3184"/>
      <c r="CC13" s="3184"/>
      <c r="CD13" s="3184"/>
      <c r="CE13" s="3184"/>
      <c r="CF13" s="3184"/>
      <c r="CG13" s="3184"/>
      <c r="CH13" s="3184"/>
      <c r="CI13" s="3184">
        <f t="shared" si="2"/>
        <v>0</v>
      </c>
    </row>
    <row r="14" spans="1:87" s="963" customFormat="1" ht="65.25" customHeight="1">
      <c r="A14" s="107" t="s">
        <v>1956</v>
      </c>
      <c r="B14" s="948"/>
      <c r="C14" s="948" t="s">
        <v>2366</v>
      </c>
      <c r="D14" s="982" t="s">
        <v>85</v>
      </c>
      <c r="E14" s="956" t="s">
        <v>113</v>
      </c>
      <c r="F14" s="178">
        <v>22</v>
      </c>
      <c r="G14" s="178"/>
      <c r="H14" s="2343">
        <v>53.31</v>
      </c>
      <c r="I14" s="2443" t="s">
        <v>5259</v>
      </c>
      <c r="J14" s="2442">
        <v>0</v>
      </c>
      <c r="K14" s="2442">
        <v>1</v>
      </c>
      <c r="L14" s="2442">
        <v>247600</v>
      </c>
      <c r="M14" s="957">
        <f t="shared" si="1"/>
        <v>2.476</v>
      </c>
      <c r="N14" s="2442">
        <v>22</v>
      </c>
      <c r="O14" s="2978">
        <f>N14*M14</f>
        <v>54.472000000000001</v>
      </c>
      <c r="P14" s="2444" t="s">
        <v>5260</v>
      </c>
      <c r="Q14" s="107" t="str">
        <f>'Ab1. RMNCH+A'!Q12</f>
        <v xml:space="preserve">Recommended for approval of Rs. 54,47,200/- as under:                                                                                                                      Activity 1: Rs. 39,16,800/- for State mentoring visit @ Rs. 6,800/- for 4 visits per month for 12 months in 12 Districts by State mentors (Rs.6800*4*12*12 = Rs.3916800)                   Activity 2: Rs. 1,77,600/- for quarterly National Mentoring visit @ Rs. 44,400 (Rs.44400*4 = Rs.177600)                                                Activity 3: Rs. 6,88,800 for DCT visits @ Rs. 4100 for 2 visits per month in 7 facilities for 12 months (Rs.4100*2*7*12 = Rs.688800)                                         Activity 4: Rs. 4,32,000 for quarterly District level review meeting in 12 Districts @ Rs. 9000 (Rs.9000*4*12 = Rs.432000) Activity 5: Approved for quarterly State level review meeting @ Rs-58000/- Total=58000*4=Rs.232000/- </v>
      </c>
      <c r="R14" s="655">
        <f>'Ab1. RMNCH+A'!R12</f>
        <v>54.472000000000001</v>
      </c>
      <c r="S14" s="963">
        <f>(432000+232000)/100000</f>
        <v>6.64</v>
      </c>
      <c r="BB14" s="3184">
        <v>50.15</v>
      </c>
      <c r="BC14" s="3184">
        <v>0.36</v>
      </c>
      <c r="BD14" s="3184">
        <v>0.36</v>
      </c>
      <c r="BE14" s="3184">
        <v>0.36</v>
      </c>
      <c r="BF14" s="3184">
        <v>0.36</v>
      </c>
      <c r="BG14" s="3184">
        <v>0.36</v>
      </c>
      <c r="BH14" s="3184">
        <v>0.36</v>
      </c>
      <c r="BI14" s="3184">
        <v>0.36</v>
      </c>
      <c r="BJ14" s="3184">
        <v>0.36</v>
      </c>
      <c r="BK14" s="3184">
        <v>0.36</v>
      </c>
      <c r="BL14" s="3184">
        <v>0.36</v>
      </c>
      <c r="BM14" s="3184">
        <v>0.36</v>
      </c>
      <c r="BN14" s="3184">
        <v>0.36</v>
      </c>
      <c r="BO14" s="3184"/>
      <c r="BP14" s="3184"/>
      <c r="BQ14" s="3184"/>
      <c r="BR14" s="3184"/>
      <c r="BS14" s="3184"/>
      <c r="BT14" s="3184"/>
      <c r="BU14" s="3184"/>
      <c r="BV14" s="3184"/>
      <c r="BW14" s="3184"/>
      <c r="BX14" s="3184"/>
      <c r="BY14" s="3184"/>
      <c r="BZ14" s="3184"/>
      <c r="CA14" s="3184"/>
      <c r="CB14" s="3184"/>
      <c r="CC14" s="3184"/>
      <c r="CD14" s="3184"/>
      <c r="CE14" s="3184"/>
      <c r="CF14" s="3184"/>
      <c r="CG14" s="3184"/>
      <c r="CH14" s="3184"/>
      <c r="CI14" s="3184">
        <f t="shared" si="2"/>
        <v>54.469999999999992</v>
      </c>
    </row>
    <row r="15" spans="1:87" ht="24.75" customHeight="1">
      <c r="A15" s="107" t="s">
        <v>2311</v>
      </c>
      <c r="B15" s="107"/>
      <c r="C15" s="88" t="s">
        <v>1304</v>
      </c>
      <c r="D15" s="949" t="s">
        <v>85</v>
      </c>
      <c r="E15" s="158" t="s">
        <v>113</v>
      </c>
      <c r="F15" s="155">
        <v>0</v>
      </c>
      <c r="G15" s="155"/>
      <c r="H15" s="155">
        <v>0</v>
      </c>
      <c r="I15" s="155"/>
      <c r="J15" s="155"/>
      <c r="K15" s="155"/>
      <c r="L15" s="170"/>
      <c r="M15" s="193">
        <f t="shared" si="1"/>
        <v>0</v>
      </c>
      <c r="N15" s="170"/>
      <c r="O15" s="2977">
        <f>N15*M15</f>
        <v>0</v>
      </c>
      <c r="P15" s="171"/>
      <c r="Q15" s="88" t="str">
        <f>'Ab1. RMNCH+A'!Q13</f>
        <v>--</v>
      </c>
      <c r="R15" s="690">
        <f>'Ab1. RMNCH+A'!R13</f>
        <v>0</v>
      </c>
      <c r="BB15" s="3182"/>
      <c r="BC15" s="3182"/>
      <c r="BD15" s="3182"/>
      <c r="BE15" s="3182"/>
      <c r="BF15" s="3182"/>
      <c r="BG15" s="3182"/>
      <c r="BH15" s="3182"/>
      <c r="BI15" s="3182"/>
      <c r="BJ15" s="3182"/>
      <c r="BK15" s="3182"/>
      <c r="BL15" s="3182"/>
      <c r="BM15" s="3182"/>
      <c r="BN15" s="3182"/>
      <c r="BO15" s="3182"/>
      <c r="BP15" s="3182"/>
      <c r="BQ15" s="3182"/>
      <c r="BR15" s="3182"/>
      <c r="BS15" s="3182"/>
      <c r="BT15" s="3182"/>
      <c r="BU15" s="3182"/>
      <c r="BV15" s="3182"/>
      <c r="BW15" s="3182"/>
      <c r="BX15" s="3182"/>
      <c r="BY15" s="3182"/>
      <c r="BZ15" s="3182"/>
      <c r="CA15" s="3182"/>
      <c r="CB15" s="3182"/>
      <c r="CC15" s="3182"/>
      <c r="CD15" s="3182"/>
      <c r="CE15" s="3182"/>
      <c r="CF15" s="3182"/>
      <c r="CG15" s="3182"/>
      <c r="CH15" s="3182"/>
      <c r="CI15" s="3184">
        <f t="shared" si="2"/>
        <v>0</v>
      </c>
    </row>
    <row r="16" spans="1:87">
      <c r="A16" s="935" t="s">
        <v>1957</v>
      </c>
      <c r="B16" s="936"/>
      <c r="C16" s="85" t="s">
        <v>1958</v>
      </c>
      <c r="D16" s="937"/>
      <c r="E16" s="938"/>
      <c r="F16" s="148"/>
      <c r="G16" s="148"/>
      <c r="H16" s="148"/>
      <c r="I16" s="148"/>
      <c r="J16" s="148"/>
      <c r="K16" s="149"/>
      <c r="L16" s="192"/>
      <c r="M16" s="950"/>
      <c r="N16" s="195"/>
      <c r="O16" s="2979">
        <f>SUM(O17:O20)</f>
        <v>150.69999999999999</v>
      </c>
      <c r="P16" s="94"/>
      <c r="Q16" s="85"/>
      <c r="R16" s="209">
        <f>SUM(R17:R20)</f>
        <v>150.69999999999999</v>
      </c>
      <c r="BB16" s="3182"/>
      <c r="BC16" s="3182"/>
      <c r="BD16" s="3182"/>
      <c r="BE16" s="3182"/>
      <c r="BF16" s="3182"/>
      <c r="BG16" s="3182"/>
      <c r="BH16" s="3182"/>
      <c r="BI16" s="3182"/>
      <c r="BJ16" s="3182"/>
      <c r="BK16" s="3182"/>
      <c r="BL16" s="3182"/>
      <c r="BM16" s="3182"/>
      <c r="BN16" s="3182"/>
      <c r="BO16" s="3182"/>
      <c r="BP16" s="3182"/>
      <c r="BQ16" s="3182"/>
      <c r="BR16" s="3182"/>
      <c r="BS16" s="3182"/>
      <c r="BT16" s="3182"/>
      <c r="BU16" s="3182"/>
      <c r="BV16" s="3182"/>
      <c r="BW16" s="3182"/>
      <c r="BX16" s="3182"/>
      <c r="BY16" s="3182"/>
      <c r="BZ16" s="3182"/>
      <c r="CA16" s="3182"/>
      <c r="CB16" s="3182"/>
      <c r="CC16" s="3182"/>
      <c r="CD16" s="3182"/>
      <c r="CE16" s="3182"/>
      <c r="CF16" s="3182"/>
      <c r="CG16" s="3182"/>
      <c r="CH16" s="3182"/>
      <c r="CI16" s="3184">
        <f t="shared" si="2"/>
        <v>0</v>
      </c>
    </row>
    <row r="17" spans="1:87" ht="75">
      <c r="A17" s="107" t="s">
        <v>1959</v>
      </c>
      <c r="B17" s="942" t="s">
        <v>131</v>
      </c>
      <c r="C17" s="942" t="s">
        <v>132</v>
      </c>
      <c r="D17" s="943" t="s">
        <v>85</v>
      </c>
      <c r="E17" s="944" t="s">
        <v>91</v>
      </c>
      <c r="F17" s="173">
        <v>0</v>
      </c>
      <c r="G17" s="155"/>
      <c r="H17" s="194">
        <v>0</v>
      </c>
      <c r="I17" s="194"/>
      <c r="J17" s="155"/>
      <c r="K17" s="155"/>
      <c r="L17" s="170"/>
      <c r="M17" s="193">
        <f>L17/100000</f>
        <v>0</v>
      </c>
      <c r="N17" s="170"/>
      <c r="O17" s="2977">
        <f>N17*M17</f>
        <v>0</v>
      </c>
      <c r="P17" s="171"/>
      <c r="Q17" s="88" t="str">
        <f>'Ab1. RMNCH+A'!Q343</f>
        <v>-</v>
      </c>
      <c r="R17" s="690">
        <f>'Ab1. RMNCH+A'!R343</f>
        <v>0</v>
      </c>
      <c r="BB17" s="3182"/>
      <c r="BC17" s="3182"/>
      <c r="BD17" s="3182"/>
      <c r="BE17" s="3182"/>
      <c r="BF17" s="3182"/>
      <c r="BG17" s="3182"/>
      <c r="BH17" s="3182"/>
      <c r="BI17" s="3182"/>
      <c r="BJ17" s="3182"/>
      <c r="BK17" s="3182"/>
      <c r="BL17" s="3182"/>
      <c r="BM17" s="3182"/>
      <c r="BN17" s="3182"/>
      <c r="BO17" s="3182"/>
      <c r="BP17" s="3182"/>
      <c r="BQ17" s="3182"/>
      <c r="BR17" s="3182"/>
      <c r="BS17" s="3182"/>
      <c r="BT17" s="3182"/>
      <c r="BU17" s="3182"/>
      <c r="BV17" s="3182"/>
      <c r="BW17" s="3182"/>
      <c r="BX17" s="3182"/>
      <c r="BY17" s="3182"/>
      <c r="BZ17" s="3182"/>
      <c r="CA17" s="3182"/>
      <c r="CB17" s="3182"/>
      <c r="CC17" s="3182"/>
      <c r="CD17" s="3182"/>
      <c r="CE17" s="3182"/>
      <c r="CF17" s="3182"/>
      <c r="CG17" s="3182"/>
      <c r="CH17" s="3182"/>
      <c r="CI17" s="3184">
        <f t="shared" si="2"/>
        <v>0</v>
      </c>
    </row>
    <row r="18" spans="1:87" s="963" customFormat="1" ht="102.75" customHeight="1">
      <c r="A18" s="107" t="s">
        <v>1960</v>
      </c>
      <c r="B18" s="948" t="s">
        <v>133</v>
      </c>
      <c r="C18" s="948" t="s">
        <v>3941</v>
      </c>
      <c r="D18" s="982" t="s">
        <v>85</v>
      </c>
      <c r="E18" s="956" t="s">
        <v>91</v>
      </c>
      <c r="F18" s="178">
        <v>1</v>
      </c>
      <c r="G18" s="178"/>
      <c r="H18" s="198">
        <v>0</v>
      </c>
      <c r="I18" s="198"/>
      <c r="J18" s="178"/>
      <c r="K18" s="178"/>
      <c r="L18" s="2313">
        <v>70</v>
      </c>
      <c r="M18" s="957">
        <f>L18/100000</f>
        <v>6.9999999999999999E-4</v>
      </c>
      <c r="N18" s="2313">
        <v>1000</v>
      </c>
      <c r="O18" s="2978">
        <f>N18*M18</f>
        <v>0.7</v>
      </c>
      <c r="P18" s="2256" t="s">
        <v>5469</v>
      </c>
      <c r="Q18" s="107" t="str">
        <f>'Ab1. RMNCH+A'!Q344</f>
        <v xml:space="preserve">New activityRecommended for approval of Rs.0.70 lakh for printing of printing of comprehensive new born screening guidelines. The State to ensure that screening and referral formats are available in adequate number in each delivery points and visible birth defect poster as per guidelines are displayed in the record room of LR.  </v>
      </c>
      <c r="R18" s="655">
        <f>'Ab1. RMNCH+A'!R344</f>
        <v>0.7</v>
      </c>
      <c r="BB18" s="3184">
        <v>0.7</v>
      </c>
      <c r="BC18" s="3184"/>
      <c r="BD18" s="3184"/>
      <c r="BE18" s="3184"/>
      <c r="BF18" s="3184"/>
      <c r="BG18" s="3184"/>
      <c r="BH18" s="3184"/>
      <c r="BI18" s="3184"/>
      <c r="BJ18" s="3184"/>
      <c r="BK18" s="3184"/>
      <c r="BL18" s="3184"/>
      <c r="BM18" s="3184"/>
      <c r="BN18" s="3184"/>
      <c r="BO18" s="3184"/>
      <c r="BP18" s="3184"/>
      <c r="BQ18" s="3184"/>
      <c r="BR18" s="3184"/>
      <c r="BS18" s="3184"/>
      <c r="BT18" s="3184"/>
      <c r="BU18" s="3184"/>
      <c r="BV18" s="3184"/>
      <c r="BW18" s="3184"/>
      <c r="BX18" s="3184"/>
      <c r="BY18" s="3184"/>
      <c r="BZ18" s="3184"/>
      <c r="CA18" s="3184"/>
      <c r="CB18" s="3184"/>
      <c r="CC18" s="3184"/>
      <c r="CD18" s="3184"/>
      <c r="CE18" s="3184"/>
      <c r="CF18" s="3184"/>
      <c r="CG18" s="3184"/>
      <c r="CH18" s="3184"/>
      <c r="CI18" s="3184">
        <f t="shared" si="2"/>
        <v>0.7</v>
      </c>
    </row>
    <row r="19" spans="1:87" s="963" customFormat="1" ht="117" customHeight="1">
      <c r="A19" s="107" t="s">
        <v>1961</v>
      </c>
      <c r="B19" s="107" t="s">
        <v>400</v>
      </c>
      <c r="C19" s="107" t="s">
        <v>401</v>
      </c>
      <c r="D19" s="2095" t="s">
        <v>85</v>
      </c>
      <c r="E19" s="900" t="s">
        <v>91</v>
      </c>
      <c r="F19" s="178">
        <v>1</v>
      </c>
      <c r="G19" s="2521">
        <v>10</v>
      </c>
      <c r="H19" s="198">
        <v>285.60000000000002</v>
      </c>
      <c r="I19" s="198">
        <v>8.5</v>
      </c>
      <c r="J19" s="178">
        <v>277.10000000000002</v>
      </c>
      <c r="K19" s="178">
        <v>1</v>
      </c>
      <c r="L19" s="2504">
        <v>15000000</v>
      </c>
      <c r="M19" s="957">
        <f>L19/100000</f>
        <v>150</v>
      </c>
      <c r="N19" s="2504">
        <v>1</v>
      </c>
      <c r="O19" s="2978">
        <f>M19*N19</f>
        <v>150</v>
      </c>
      <c r="P19" s="2256" t="s">
        <v>5338</v>
      </c>
      <c r="Q19" s="107" t="str">
        <f>'Ab1. RMNCH+A'!Q345</f>
        <v xml:space="preserve">Continued activityRs 150 lakhs as proposed by the State is recommended for approval for 1145 children for health conditions as per RBSK procedures and model costing for surgeries guidelines.The State also has proposed to use Rs.277.1 lakhs kept as committed unspent of approved Rs.285.6 lakhs in FY 2021-22.Illustrative details is in Annexure. Expenditure will be as per actuals. The State to follow RBSK procedures and model costing for surgeries guidelines.  Details of children supported to be included in monthly reports of RBSK. </v>
      </c>
      <c r="R19" s="655">
        <f>'Ab1. RMNCH+A'!R345</f>
        <v>150</v>
      </c>
      <c r="BB19" s="3184">
        <v>150</v>
      </c>
      <c r="BC19" s="3184"/>
      <c r="BD19" s="3184"/>
      <c r="BE19" s="3184"/>
      <c r="BF19" s="3184"/>
      <c r="BG19" s="3184"/>
      <c r="BH19" s="3184"/>
      <c r="BI19" s="3184"/>
      <c r="BJ19" s="3184"/>
      <c r="BK19" s="3184"/>
      <c r="BL19" s="3184"/>
      <c r="BM19" s="3184"/>
      <c r="BN19" s="3184"/>
      <c r="BO19" s="3184"/>
      <c r="BP19" s="3184"/>
      <c r="BQ19" s="3184"/>
      <c r="BR19" s="3184"/>
      <c r="BS19" s="3184"/>
      <c r="BT19" s="3184"/>
      <c r="BU19" s="3184"/>
      <c r="BV19" s="3184"/>
      <c r="BW19" s="3184"/>
      <c r="BX19" s="3184"/>
      <c r="BY19" s="3184"/>
      <c r="BZ19" s="3184"/>
      <c r="CA19" s="3184"/>
      <c r="CB19" s="3184"/>
      <c r="CC19" s="3184"/>
      <c r="CD19" s="3184"/>
      <c r="CE19" s="3184"/>
      <c r="CF19" s="3184"/>
      <c r="CG19" s="3184"/>
      <c r="CH19" s="3184"/>
      <c r="CI19" s="3184">
        <f t="shared" si="2"/>
        <v>150</v>
      </c>
    </row>
    <row r="20" spans="1:87">
      <c r="A20" s="107" t="s">
        <v>2308</v>
      </c>
      <c r="B20" s="107"/>
      <c r="C20" s="88" t="s">
        <v>1304</v>
      </c>
      <c r="D20" s="949" t="s">
        <v>85</v>
      </c>
      <c r="E20" s="158" t="s">
        <v>91</v>
      </c>
      <c r="F20" s="155">
        <v>0</v>
      </c>
      <c r="G20" s="155"/>
      <c r="H20" s="194">
        <v>0</v>
      </c>
      <c r="I20" s="194"/>
      <c r="J20" s="155"/>
      <c r="K20" s="155"/>
      <c r="L20" s="170"/>
      <c r="M20" s="193">
        <f>L20/100000</f>
        <v>0</v>
      </c>
      <c r="N20" s="170"/>
      <c r="O20" s="2977">
        <f>N20*M20</f>
        <v>0</v>
      </c>
      <c r="P20" s="171"/>
      <c r="Q20" s="88" t="str">
        <f>'Ab1. RMNCH+A'!Q346</f>
        <v>--</v>
      </c>
      <c r="R20" s="690">
        <f>'Ab1. RMNCH+A'!R346</f>
        <v>0</v>
      </c>
      <c r="BB20" s="3182"/>
      <c r="BC20" s="3182"/>
      <c r="BD20" s="3182"/>
      <c r="BE20" s="3182"/>
      <c r="BF20" s="3182"/>
      <c r="BG20" s="3182"/>
      <c r="BH20" s="3182"/>
      <c r="BI20" s="3182"/>
      <c r="BJ20" s="3182"/>
      <c r="BK20" s="3182"/>
      <c r="BL20" s="3182"/>
      <c r="BM20" s="3182"/>
      <c r="BN20" s="3182"/>
      <c r="BO20" s="3182"/>
      <c r="BP20" s="3182"/>
      <c r="BQ20" s="3182"/>
      <c r="BR20" s="3182"/>
      <c r="BS20" s="3182"/>
      <c r="BT20" s="3182"/>
      <c r="BU20" s="3182"/>
      <c r="BV20" s="3182"/>
      <c r="BW20" s="3182"/>
      <c r="BX20" s="3182"/>
      <c r="BY20" s="3182"/>
      <c r="BZ20" s="3182"/>
      <c r="CA20" s="3182"/>
      <c r="CB20" s="3182"/>
      <c r="CC20" s="3182"/>
      <c r="CD20" s="3182"/>
      <c r="CE20" s="3182"/>
      <c r="CF20" s="3182"/>
      <c r="CG20" s="3182"/>
      <c r="CH20" s="3182"/>
      <c r="CI20" s="3184">
        <f t="shared" si="2"/>
        <v>0</v>
      </c>
    </row>
    <row r="21" spans="1:87">
      <c r="A21" s="935" t="s">
        <v>1962</v>
      </c>
      <c r="B21" s="936"/>
      <c r="C21" s="85" t="s">
        <v>1963</v>
      </c>
      <c r="D21" s="937"/>
      <c r="E21" s="938"/>
      <c r="F21" s="148"/>
      <c r="G21" s="148"/>
      <c r="H21" s="148"/>
      <c r="I21" s="148"/>
      <c r="J21" s="148"/>
      <c r="K21" s="149"/>
      <c r="L21" s="192"/>
      <c r="M21" s="950"/>
      <c r="N21" s="195"/>
      <c r="O21" s="2979">
        <f>O22+O25+O28</f>
        <v>5.2</v>
      </c>
      <c r="P21" s="94"/>
      <c r="Q21" s="85"/>
      <c r="R21" s="209">
        <f>R22+R25+R28</f>
        <v>5.2</v>
      </c>
      <c r="BB21" s="3182"/>
      <c r="BC21" s="3182"/>
      <c r="BD21" s="3182"/>
      <c r="BE21" s="3182"/>
      <c r="BF21" s="3182"/>
      <c r="BG21" s="3182"/>
      <c r="BH21" s="3182"/>
      <c r="BI21" s="3182"/>
      <c r="BJ21" s="3182"/>
      <c r="BK21" s="3182"/>
      <c r="BL21" s="3182"/>
      <c r="BM21" s="3182"/>
      <c r="BN21" s="3182"/>
      <c r="BO21" s="3182"/>
      <c r="BP21" s="3182"/>
      <c r="BQ21" s="3182"/>
      <c r="BR21" s="3182"/>
      <c r="BS21" s="3182"/>
      <c r="BT21" s="3182"/>
      <c r="BU21" s="3182"/>
      <c r="BV21" s="3182"/>
      <c r="BW21" s="3182"/>
      <c r="BX21" s="3182"/>
      <c r="BY21" s="3182"/>
      <c r="BZ21" s="3182"/>
      <c r="CA21" s="3182"/>
      <c r="CB21" s="3182"/>
      <c r="CC21" s="3182"/>
      <c r="CD21" s="3182"/>
      <c r="CE21" s="3182"/>
      <c r="CF21" s="3182"/>
      <c r="CG21" s="3182"/>
      <c r="CH21" s="3182"/>
      <c r="CI21" s="3184">
        <f t="shared" si="2"/>
        <v>0</v>
      </c>
    </row>
    <row r="22" spans="1:87">
      <c r="A22" s="177" t="s">
        <v>1964</v>
      </c>
      <c r="B22" s="177" t="s">
        <v>1965</v>
      </c>
      <c r="C22" s="177" t="s">
        <v>1966</v>
      </c>
      <c r="D22" s="953"/>
      <c r="E22" s="954"/>
      <c r="F22" s="196"/>
      <c r="G22" s="196"/>
      <c r="H22" s="196"/>
      <c r="I22" s="196"/>
      <c r="J22" s="196"/>
      <c r="K22" s="196"/>
      <c r="L22" s="197"/>
      <c r="M22" s="955"/>
      <c r="N22" s="197"/>
      <c r="O22" s="2980">
        <f>SUM(O23:O24)</f>
        <v>5.2</v>
      </c>
      <c r="P22" s="176"/>
      <c r="Q22" s="177"/>
      <c r="R22" s="211">
        <f>SUM(R23:R24)</f>
        <v>5.2</v>
      </c>
      <c r="BB22" s="3182"/>
      <c r="BC22" s="3182"/>
      <c r="BD22" s="3182"/>
      <c r="BE22" s="3182"/>
      <c r="BF22" s="3182"/>
      <c r="BG22" s="3182"/>
      <c r="BH22" s="3182"/>
      <c r="BI22" s="3182"/>
      <c r="BJ22" s="3182"/>
      <c r="BK22" s="3182"/>
      <c r="BL22" s="3182"/>
      <c r="BM22" s="3182"/>
      <c r="BN22" s="3182"/>
      <c r="BO22" s="3182"/>
      <c r="BP22" s="3182"/>
      <c r="BQ22" s="3182"/>
      <c r="BR22" s="3182"/>
      <c r="BS22" s="3182"/>
      <c r="BT22" s="3182"/>
      <c r="BU22" s="3182"/>
      <c r="BV22" s="3182"/>
      <c r="BW22" s="3182"/>
      <c r="BX22" s="3182"/>
      <c r="BY22" s="3182"/>
      <c r="BZ22" s="3182"/>
      <c r="CA22" s="3182"/>
      <c r="CB22" s="3182"/>
      <c r="CC22" s="3182"/>
      <c r="CD22" s="3182"/>
      <c r="CE22" s="3182"/>
      <c r="CF22" s="3182"/>
      <c r="CG22" s="3182"/>
      <c r="CH22" s="3182"/>
      <c r="CI22" s="3184">
        <f t="shared" si="2"/>
        <v>0</v>
      </c>
    </row>
    <row r="23" spans="1:87" s="963" customFormat="1" ht="90" customHeight="1">
      <c r="A23" s="107" t="s">
        <v>2587</v>
      </c>
      <c r="B23" s="948" t="s">
        <v>1967</v>
      </c>
      <c r="C23" s="948" t="s">
        <v>1968</v>
      </c>
      <c r="D23" s="982" t="s">
        <v>85</v>
      </c>
      <c r="E23" s="956" t="s">
        <v>86</v>
      </c>
      <c r="F23" s="178">
        <v>32</v>
      </c>
      <c r="G23" s="2522"/>
      <c r="H23" s="198">
        <v>3.2</v>
      </c>
      <c r="I23" s="198">
        <v>0.34</v>
      </c>
      <c r="J23" s="178">
        <v>2.86</v>
      </c>
      <c r="K23" s="178">
        <v>1</v>
      </c>
      <c r="L23" s="2504">
        <v>10000</v>
      </c>
      <c r="M23" s="957">
        <f>L23/100000</f>
        <v>0.1</v>
      </c>
      <c r="N23" s="2504">
        <v>32</v>
      </c>
      <c r="O23" s="2978">
        <f>N23*M23</f>
        <v>3.2</v>
      </c>
      <c r="P23" s="2256" t="s">
        <v>5312</v>
      </c>
      <c r="Q23" s="107" t="str">
        <f>'Ab1. RMNCH+A'!Q198</f>
        <v xml:space="preserve">Ongoing activity :Rs 3.20 lakhs is recommended for approval for  32 Female sterlization  FDS @ Rs.10,000/FDS (2 FDS per District in 11 Districts   and  2 FDS per Medical colleges in 5 Medical Colleges. </v>
      </c>
      <c r="R23" s="655">
        <f>'Ab1. RMNCH+A'!R198</f>
        <v>3.2</v>
      </c>
      <c r="BB23" s="3184"/>
      <c r="BC23" s="3184">
        <v>0.15</v>
      </c>
      <c r="BD23" s="3184">
        <v>0.05</v>
      </c>
      <c r="BE23" s="3184">
        <v>0.2</v>
      </c>
      <c r="BF23" s="3184">
        <v>0.25</v>
      </c>
      <c r="BG23" s="3184">
        <v>0.05</v>
      </c>
      <c r="BH23" s="3184">
        <v>0.05</v>
      </c>
      <c r="BI23" s="3184">
        <v>0.05</v>
      </c>
      <c r="BJ23" s="3184">
        <v>0.2</v>
      </c>
      <c r="BK23" s="3184">
        <v>0.05</v>
      </c>
      <c r="BL23" s="3184">
        <v>0.1</v>
      </c>
      <c r="BM23" s="3184">
        <v>0.15</v>
      </c>
      <c r="BN23" s="3184">
        <v>0.15</v>
      </c>
      <c r="BO23" s="3184"/>
      <c r="BP23" s="3184">
        <v>0.2</v>
      </c>
      <c r="BQ23" s="3184">
        <v>0.05</v>
      </c>
      <c r="BR23" s="3184">
        <v>0.1</v>
      </c>
      <c r="BS23" s="3184"/>
      <c r="BT23" s="3184">
        <v>0.2</v>
      </c>
      <c r="BU23" s="3184">
        <v>0.2</v>
      </c>
      <c r="BV23" s="3184">
        <v>0.15</v>
      </c>
      <c r="BW23" s="3184">
        <v>0.1</v>
      </c>
      <c r="BX23" s="3184">
        <v>0.05</v>
      </c>
      <c r="BY23" s="3184">
        <v>0.05</v>
      </c>
      <c r="BZ23" s="3184">
        <v>0.2</v>
      </c>
      <c r="CA23" s="3184">
        <v>0.05</v>
      </c>
      <c r="CB23" s="3184">
        <v>0.05</v>
      </c>
      <c r="CC23" s="3184">
        <v>0.05</v>
      </c>
      <c r="CD23" s="3184">
        <v>0.15</v>
      </c>
      <c r="CE23" s="3184"/>
      <c r="CF23" s="3184">
        <v>0.15</v>
      </c>
      <c r="CG23" s="3184"/>
      <c r="CH23" s="3184"/>
      <c r="CI23" s="3184">
        <f t="shared" si="2"/>
        <v>3.1999999999999997</v>
      </c>
    </row>
    <row r="24" spans="1:87" s="963" customFormat="1" ht="67.5" customHeight="1">
      <c r="A24" s="107" t="s">
        <v>2588</v>
      </c>
      <c r="B24" s="948" t="s">
        <v>1969</v>
      </c>
      <c r="C24" s="948" t="s">
        <v>1970</v>
      </c>
      <c r="D24" s="982" t="s">
        <v>85</v>
      </c>
      <c r="E24" s="956" t="s">
        <v>86</v>
      </c>
      <c r="F24" s="178">
        <v>10</v>
      </c>
      <c r="G24" s="2522"/>
      <c r="H24" s="198">
        <v>2</v>
      </c>
      <c r="I24" s="198">
        <v>0.15</v>
      </c>
      <c r="J24" s="178">
        <v>1.85</v>
      </c>
      <c r="K24" s="178"/>
      <c r="L24" s="2504">
        <v>20000</v>
      </c>
      <c r="M24" s="957">
        <f>L24/100000</f>
        <v>0.2</v>
      </c>
      <c r="N24" s="2504">
        <v>10</v>
      </c>
      <c r="O24" s="2978">
        <f>N24*M24</f>
        <v>2</v>
      </c>
      <c r="P24" s="2256" t="s">
        <v>5313</v>
      </c>
      <c r="Q24" s="107" t="str">
        <f>'Ab1. RMNCH+A'!Q199</f>
        <v xml:space="preserve">Ongoing activity :Rs 2.00 lakhs is recommended for approval for 10 Male  sterlization  FDS @ Rs.20,000/FDS.One FDS /District  in 10 Districts </v>
      </c>
      <c r="R24" s="655">
        <f>'Ab1. RMNCH+A'!R199</f>
        <v>2</v>
      </c>
      <c r="BB24" s="3184"/>
      <c r="BC24" s="3184">
        <v>0.05</v>
      </c>
      <c r="BD24" s="3184">
        <v>0.3</v>
      </c>
      <c r="BE24" s="3184">
        <v>0.03</v>
      </c>
      <c r="BF24" s="3184">
        <v>0.05</v>
      </c>
      <c r="BG24" s="3184">
        <v>0.03</v>
      </c>
      <c r="BH24" s="3184">
        <v>0.15</v>
      </c>
      <c r="BI24" s="3184">
        <v>0.03</v>
      </c>
      <c r="BJ24" s="3184">
        <v>0.02</v>
      </c>
      <c r="BK24" s="3184">
        <v>0.08</v>
      </c>
      <c r="BL24" s="3184">
        <v>0.08</v>
      </c>
      <c r="BM24" s="3184">
        <v>0.1</v>
      </c>
      <c r="BN24" s="3184">
        <v>0.05</v>
      </c>
      <c r="BO24" s="3184">
        <v>0</v>
      </c>
      <c r="BP24" s="3184">
        <v>0.05</v>
      </c>
      <c r="BQ24" s="3184">
        <v>0.3</v>
      </c>
      <c r="BR24" s="3184">
        <v>0.03</v>
      </c>
      <c r="BS24" s="3184"/>
      <c r="BT24" s="3184">
        <v>0.08</v>
      </c>
      <c r="BU24" s="3184"/>
      <c r="BV24" s="3184">
        <v>0.05</v>
      </c>
      <c r="BW24" s="3184">
        <v>0.02</v>
      </c>
      <c r="BX24" s="3184">
        <v>0.02</v>
      </c>
      <c r="BY24" s="3184">
        <v>0.15</v>
      </c>
      <c r="BZ24" s="3184">
        <v>0.02</v>
      </c>
      <c r="CA24" s="3184">
        <v>0.06</v>
      </c>
      <c r="CB24" s="3184">
        <v>0.05</v>
      </c>
      <c r="CC24" s="3184">
        <v>0.05</v>
      </c>
      <c r="CD24" s="3184">
        <v>0.1</v>
      </c>
      <c r="CE24" s="3184"/>
      <c r="CF24" s="3184">
        <v>0.05</v>
      </c>
      <c r="CG24" s="3184"/>
      <c r="CH24" s="3184"/>
      <c r="CI24" s="3184">
        <f t="shared" si="2"/>
        <v>2.0000000000000004</v>
      </c>
    </row>
    <row r="25" spans="1:87">
      <c r="A25" s="177" t="s">
        <v>1971</v>
      </c>
      <c r="B25" s="177" t="s">
        <v>1972</v>
      </c>
      <c r="C25" s="177" t="s">
        <v>1973</v>
      </c>
      <c r="D25" s="953"/>
      <c r="E25" s="954"/>
      <c r="F25" s="196"/>
      <c r="G25" s="196"/>
      <c r="H25" s="196"/>
      <c r="I25" s="196"/>
      <c r="J25" s="196"/>
      <c r="K25" s="196"/>
      <c r="L25" s="197"/>
      <c r="M25" s="955"/>
      <c r="N25" s="197"/>
      <c r="O25" s="2980">
        <f>SUM(O26:O27)</f>
        <v>0</v>
      </c>
      <c r="P25" s="176"/>
      <c r="Q25" s="177"/>
      <c r="R25" s="211">
        <f>SUM(R26:R27)</f>
        <v>0</v>
      </c>
      <c r="BB25" s="3182"/>
      <c r="BC25" s="3182"/>
      <c r="BD25" s="3182"/>
      <c r="BE25" s="3182"/>
      <c r="BF25" s="3182"/>
      <c r="BG25" s="3182"/>
      <c r="BH25" s="3182"/>
      <c r="BI25" s="3182"/>
      <c r="BJ25" s="3182"/>
      <c r="BK25" s="3182"/>
      <c r="BL25" s="3182"/>
      <c r="BM25" s="3182"/>
      <c r="BN25" s="3182"/>
      <c r="BO25" s="3182"/>
      <c r="BP25" s="3182"/>
      <c r="BQ25" s="3182"/>
      <c r="BR25" s="3182"/>
      <c r="BS25" s="3182"/>
      <c r="BT25" s="3182"/>
      <c r="BU25" s="3182"/>
      <c r="BV25" s="3182"/>
      <c r="BW25" s="3182"/>
      <c r="BX25" s="3182"/>
      <c r="BY25" s="3182"/>
      <c r="BZ25" s="3182"/>
      <c r="CA25" s="3182"/>
      <c r="CB25" s="3182"/>
      <c r="CC25" s="3182"/>
      <c r="CD25" s="3182"/>
      <c r="CE25" s="3182"/>
      <c r="CF25" s="3182"/>
      <c r="CG25" s="3182"/>
      <c r="CH25" s="3182"/>
      <c r="CI25" s="3184">
        <f t="shared" si="2"/>
        <v>0</v>
      </c>
    </row>
    <row r="26" spans="1:87">
      <c r="A26" s="107" t="s">
        <v>2589</v>
      </c>
      <c r="B26" s="942" t="s">
        <v>1974</v>
      </c>
      <c r="C26" s="942" t="s">
        <v>1975</v>
      </c>
      <c r="D26" s="943" t="s">
        <v>85</v>
      </c>
      <c r="E26" s="944" t="s">
        <v>86</v>
      </c>
      <c r="F26" s="155">
        <v>0</v>
      </c>
      <c r="G26" s="155"/>
      <c r="H26" s="155">
        <v>0</v>
      </c>
      <c r="I26" s="155"/>
      <c r="J26" s="155"/>
      <c r="K26" s="155"/>
      <c r="L26" s="170"/>
      <c r="M26" s="193">
        <f>L26/100000</f>
        <v>0</v>
      </c>
      <c r="N26" s="170"/>
      <c r="O26" s="2977">
        <f>N26*M26</f>
        <v>0</v>
      </c>
      <c r="P26" s="171"/>
      <c r="Q26" s="88" t="str">
        <f>'Ab1. RMNCH+A'!Q200</f>
        <v>-</v>
      </c>
      <c r="R26" s="690">
        <f>'Ab1. RMNCH+A'!R200</f>
        <v>0</v>
      </c>
      <c r="BB26" s="3182"/>
      <c r="BC26" s="3182"/>
      <c r="BD26" s="3182"/>
      <c r="BE26" s="3182"/>
      <c r="BF26" s="3182"/>
      <c r="BG26" s="3182"/>
      <c r="BH26" s="3182"/>
      <c r="BI26" s="3182"/>
      <c r="BJ26" s="3182"/>
      <c r="BK26" s="3182"/>
      <c r="BL26" s="3182"/>
      <c r="BM26" s="3182"/>
      <c r="BN26" s="3182"/>
      <c r="BO26" s="3182"/>
      <c r="BP26" s="3182"/>
      <c r="BQ26" s="3182"/>
      <c r="BR26" s="3182"/>
      <c r="BS26" s="3182"/>
      <c r="BT26" s="3182"/>
      <c r="BU26" s="3182"/>
      <c r="BV26" s="3182"/>
      <c r="BW26" s="3182"/>
      <c r="BX26" s="3182"/>
      <c r="BY26" s="3182"/>
      <c r="BZ26" s="3182"/>
      <c r="CA26" s="3182"/>
      <c r="CB26" s="3182"/>
      <c r="CC26" s="3182"/>
      <c r="CD26" s="3182"/>
      <c r="CE26" s="3182"/>
      <c r="CF26" s="3182"/>
      <c r="CG26" s="3182"/>
      <c r="CH26" s="3182"/>
      <c r="CI26" s="3184">
        <f t="shared" si="2"/>
        <v>0</v>
      </c>
    </row>
    <row r="27" spans="1:87" ht="30">
      <c r="A27" s="107" t="s">
        <v>2589</v>
      </c>
      <c r="B27" s="942" t="s">
        <v>245</v>
      </c>
      <c r="C27" s="942" t="s">
        <v>1976</v>
      </c>
      <c r="D27" s="943" t="s">
        <v>85</v>
      </c>
      <c r="E27" s="944" t="s">
        <v>86</v>
      </c>
      <c r="F27" s="155">
        <v>0</v>
      </c>
      <c r="G27" s="155"/>
      <c r="H27" s="155">
        <v>0</v>
      </c>
      <c r="I27" s="155"/>
      <c r="J27" s="155"/>
      <c r="K27" s="155"/>
      <c r="L27" s="170"/>
      <c r="M27" s="193">
        <f>L27/100000</f>
        <v>0</v>
      </c>
      <c r="N27" s="170"/>
      <c r="O27" s="2977">
        <f>N27*M27</f>
        <v>0</v>
      </c>
      <c r="P27" s="171"/>
      <c r="Q27" s="88" t="str">
        <f>'Ab1. RMNCH+A'!Q201</f>
        <v>-</v>
      </c>
      <c r="R27" s="690">
        <f>'Ab1. RMNCH+A'!R201</f>
        <v>0</v>
      </c>
      <c r="BB27" s="3182"/>
      <c r="BC27" s="3182"/>
      <c r="BD27" s="3182"/>
      <c r="BE27" s="3182"/>
      <c r="BF27" s="3182"/>
      <c r="BG27" s="3182"/>
      <c r="BH27" s="3182"/>
      <c r="BI27" s="3182"/>
      <c r="BJ27" s="3182"/>
      <c r="BK27" s="3182"/>
      <c r="BL27" s="3182"/>
      <c r="BM27" s="3182"/>
      <c r="BN27" s="3182"/>
      <c r="BO27" s="3182"/>
      <c r="BP27" s="3182"/>
      <c r="BQ27" s="3182"/>
      <c r="BR27" s="3182"/>
      <c r="BS27" s="3182"/>
      <c r="BT27" s="3182"/>
      <c r="BU27" s="3182"/>
      <c r="BV27" s="3182"/>
      <c r="BW27" s="3182"/>
      <c r="BX27" s="3182"/>
      <c r="BY27" s="3182"/>
      <c r="BZ27" s="3182"/>
      <c r="CA27" s="3182"/>
      <c r="CB27" s="3182"/>
      <c r="CC27" s="3182"/>
      <c r="CD27" s="3182"/>
      <c r="CE27" s="3182"/>
      <c r="CF27" s="3182"/>
      <c r="CG27" s="3182"/>
      <c r="CH27" s="3182"/>
      <c r="CI27" s="3184">
        <f t="shared" si="2"/>
        <v>0</v>
      </c>
    </row>
    <row r="28" spans="1:87">
      <c r="A28" s="107" t="s">
        <v>2468</v>
      </c>
      <c r="B28" s="958"/>
      <c r="C28" s="959" t="s">
        <v>1304</v>
      </c>
      <c r="D28" s="943" t="s">
        <v>85</v>
      </c>
      <c r="E28" s="944" t="s">
        <v>86</v>
      </c>
      <c r="F28" s="185">
        <v>0</v>
      </c>
      <c r="G28" s="185"/>
      <c r="H28" s="185">
        <v>0</v>
      </c>
      <c r="I28" s="185"/>
      <c r="J28" s="185"/>
      <c r="K28" s="185"/>
      <c r="L28" s="170"/>
      <c r="M28" s="193">
        <f>L28/100000</f>
        <v>0</v>
      </c>
      <c r="N28" s="170"/>
      <c r="O28" s="2977">
        <f>N28*M28</f>
        <v>0</v>
      </c>
      <c r="P28" s="171"/>
      <c r="Q28" s="88" t="str">
        <f>'Ab1. RMNCH+A'!Q202</f>
        <v>-</v>
      </c>
      <c r="R28" s="690">
        <f>'Ab1. RMNCH+A'!R202</f>
        <v>0</v>
      </c>
      <c r="BB28" s="3182"/>
      <c r="BC28" s="3182"/>
      <c r="BD28" s="3182"/>
      <c r="BE28" s="3182"/>
      <c r="BF28" s="3182"/>
      <c r="BG28" s="3182"/>
      <c r="BH28" s="3182"/>
      <c r="BI28" s="3182"/>
      <c r="BJ28" s="3182"/>
      <c r="BK28" s="3182"/>
      <c r="BL28" s="3182"/>
      <c r="BM28" s="3182"/>
      <c r="BN28" s="3182"/>
      <c r="BO28" s="3182"/>
      <c r="BP28" s="3182"/>
      <c r="BQ28" s="3182"/>
      <c r="BR28" s="3182"/>
      <c r="BS28" s="3182"/>
      <c r="BT28" s="3182"/>
      <c r="BU28" s="3182"/>
      <c r="BV28" s="3182"/>
      <c r="BW28" s="3182"/>
      <c r="BX28" s="3182"/>
      <c r="BY28" s="3182"/>
      <c r="BZ28" s="3182"/>
      <c r="CA28" s="3182"/>
      <c r="CB28" s="3182"/>
      <c r="CC28" s="3182"/>
      <c r="CD28" s="3182"/>
      <c r="CE28" s="3182"/>
      <c r="CF28" s="3182"/>
      <c r="CG28" s="3182"/>
      <c r="CH28" s="3182"/>
      <c r="CI28" s="3184">
        <f t="shared" si="2"/>
        <v>0</v>
      </c>
    </row>
    <row r="29" spans="1:87">
      <c r="A29" s="935" t="s">
        <v>1977</v>
      </c>
      <c r="B29" s="936"/>
      <c r="C29" s="85" t="s">
        <v>1978</v>
      </c>
      <c r="D29" s="937"/>
      <c r="E29" s="938"/>
      <c r="F29" s="148"/>
      <c r="G29" s="148"/>
      <c r="H29" s="148"/>
      <c r="I29" s="148"/>
      <c r="J29" s="148"/>
      <c r="K29" s="149"/>
      <c r="L29" s="192"/>
      <c r="M29" s="950"/>
      <c r="N29" s="195"/>
      <c r="O29" s="2979">
        <f>SUM(O30:O31)</f>
        <v>1.25</v>
      </c>
      <c r="P29" s="94"/>
      <c r="Q29" s="85"/>
      <c r="R29" s="209">
        <f>SUM(R30:R31)</f>
        <v>1.25</v>
      </c>
      <c r="BB29" s="3182"/>
      <c r="BC29" s="3182"/>
      <c r="BD29" s="3182"/>
      <c r="BE29" s="3182"/>
      <c r="BF29" s="3182"/>
      <c r="BG29" s="3182"/>
      <c r="BH29" s="3182"/>
      <c r="BI29" s="3182"/>
      <c r="BJ29" s="3182"/>
      <c r="BK29" s="3182"/>
      <c r="BL29" s="3182"/>
      <c r="BM29" s="3182"/>
      <c r="BN29" s="3182"/>
      <c r="BO29" s="3182"/>
      <c r="BP29" s="3182"/>
      <c r="BQ29" s="3182"/>
      <c r="BR29" s="3182"/>
      <c r="BS29" s="3182"/>
      <c r="BT29" s="3182"/>
      <c r="BU29" s="3182"/>
      <c r="BV29" s="3182"/>
      <c r="BW29" s="3182"/>
      <c r="BX29" s="3182"/>
      <c r="BY29" s="3182"/>
      <c r="BZ29" s="3182"/>
      <c r="CA29" s="3182"/>
      <c r="CB29" s="3182"/>
      <c r="CC29" s="3182"/>
      <c r="CD29" s="3182"/>
      <c r="CE29" s="3182"/>
      <c r="CF29" s="3182"/>
      <c r="CG29" s="3182"/>
      <c r="CH29" s="3182"/>
      <c r="CI29" s="3184">
        <f t="shared" si="2"/>
        <v>0</v>
      </c>
    </row>
    <row r="30" spans="1:87" s="963" customFormat="1" ht="80.25" customHeight="1">
      <c r="A30" s="107" t="s">
        <v>1979</v>
      </c>
      <c r="B30" s="948"/>
      <c r="C30" s="1004" t="s">
        <v>4004</v>
      </c>
      <c r="D30" s="982" t="s">
        <v>85</v>
      </c>
      <c r="E30" s="956" t="s">
        <v>188</v>
      </c>
      <c r="F30" s="178">
        <v>0</v>
      </c>
      <c r="G30" s="178"/>
      <c r="H30" s="178">
        <v>0</v>
      </c>
      <c r="I30" s="178"/>
      <c r="J30" s="178"/>
      <c r="K30" s="178"/>
      <c r="L30" s="2448">
        <v>15000</v>
      </c>
      <c r="M30" s="957">
        <f>L30/100000</f>
        <v>0.15</v>
      </c>
      <c r="N30" s="2313">
        <v>6</v>
      </c>
      <c r="O30" s="2978">
        <f>N30*M30</f>
        <v>0.89999999999999991</v>
      </c>
      <c r="P30" s="2256" t="s">
        <v>5224</v>
      </c>
      <c r="Q30" s="655" t="str">
        <f>'Ab1. RMNCH+A'!Q290</f>
        <v>Continued activityRecommended for approval of Rs 0.9 lakh for bi-annual District level coordination meeting between Health and Education @ Rs.7500 per meeting under SHP for 6 School Health Program - Ayushman Bharat implementing Districts</v>
      </c>
      <c r="R30" s="655">
        <f>'Ab1. RMNCH+A'!R290</f>
        <v>0.9</v>
      </c>
      <c r="BB30" s="3184"/>
      <c r="BC30" s="3184">
        <v>0.15</v>
      </c>
      <c r="BD30" s="3184">
        <v>0.15</v>
      </c>
      <c r="BE30" s="3184"/>
      <c r="BF30" s="3184">
        <v>0.15</v>
      </c>
      <c r="BG30" s="3184"/>
      <c r="BH30" s="3184"/>
      <c r="BI30" s="3184"/>
      <c r="BJ30" s="3184">
        <v>0.15</v>
      </c>
      <c r="BK30" s="3184"/>
      <c r="BL30" s="3184">
        <v>0.15</v>
      </c>
      <c r="BM30" s="3184"/>
      <c r="BN30" s="3184">
        <v>0.15</v>
      </c>
      <c r="BO30" s="3184"/>
      <c r="BP30" s="3184"/>
      <c r="BQ30" s="3184"/>
      <c r="BR30" s="3184"/>
      <c r="BS30" s="3184"/>
      <c r="BT30" s="3184"/>
      <c r="BU30" s="3184"/>
      <c r="BV30" s="3184"/>
      <c r="BW30" s="3184"/>
      <c r="BX30" s="3184"/>
      <c r="BY30" s="3184"/>
      <c r="BZ30" s="3184"/>
      <c r="CA30" s="3184"/>
      <c r="CB30" s="3184"/>
      <c r="CC30" s="3184"/>
      <c r="CD30" s="3184"/>
      <c r="CE30" s="3184"/>
      <c r="CF30" s="3184"/>
      <c r="CG30" s="3184"/>
      <c r="CH30" s="3184"/>
      <c r="CI30" s="3184">
        <f t="shared" si="2"/>
        <v>0.9</v>
      </c>
    </row>
    <row r="31" spans="1:87" s="963" customFormat="1" ht="60">
      <c r="A31" s="107" t="s">
        <v>1982</v>
      </c>
      <c r="B31" s="107"/>
      <c r="C31" s="107" t="s">
        <v>1304</v>
      </c>
      <c r="D31" s="2095" t="s">
        <v>85</v>
      </c>
      <c r="E31" s="900" t="s">
        <v>188</v>
      </c>
      <c r="F31" s="178">
        <v>0</v>
      </c>
      <c r="G31" s="178"/>
      <c r="H31" s="178">
        <v>0</v>
      </c>
      <c r="I31" s="178"/>
      <c r="J31" s="178"/>
      <c r="K31" s="178"/>
      <c r="L31" s="2448">
        <v>35000</v>
      </c>
      <c r="M31" s="957">
        <f>L31/100000</f>
        <v>0.35</v>
      </c>
      <c r="N31" s="2313">
        <v>1</v>
      </c>
      <c r="O31" s="2978">
        <f>N31*M31</f>
        <v>0.35</v>
      </c>
      <c r="P31" s="2256" t="s">
        <v>5225</v>
      </c>
      <c r="Q31" s="655" t="str">
        <f>'Ab1. RMNCH+A'!Q291</f>
        <v>Continued activityRecommended for approval of Rs 0.35 lakhs for one State level convergence meeting  @ Rs.35,000/-</v>
      </c>
      <c r="R31" s="655">
        <f>'Ab1. RMNCH+A'!R291</f>
        <v>0.35</v>
      </c>
      <c r="S31" s="3080">
        <f>R31</f>
        <v>0.35</v>
      </c>
      <c r="BB31" s="3184">
        <v>0.35</v>
      </c>
      <c r="BC31" s="3184"/>
      <c r="BD31" s="3184"/>
      <c r="BE31" s="3184"/>
      <c r="BF31" s="3184"/>
      <c r="BG31" s="3184"/>
      <c r="BH31" s="3184"/>
      <c r="BI31" s="3184"/>
      <c r="BJ31" s="3184"/>
      <c r="BK31" s="3184"/>
      <c r="BL31" s="3184"/>
      <c r="BM31" s="3184"/>
      <c r="BN31" s="3184"/>
      <c r="BO31" s="3184"/>
      <c r="BP31" s="3184"/>
      <c r="BQ31" s="3184"/>
      <c r="BR31" s="3184"/>
      <c r="BS31" s="3184"/>
      <c r="BT31" s="3184"/>
      <c r="BU31" s="3184"/>
      <c r="BV31" s="3184"/>
      <c r="BW31" s="3184"/>
      <c r="BX31" s="3184"/>
      <c r="BY31" s="3184"/>
      <c r="BZ31" s="3184"/>
      <c r="CA31" s="3184"/>
      <c r="CB31" s="3184"/>
      <c r="CC31" s="3184"/>
      <c r="CD31" s="3184"/>
      <c r="CE31" s="3184"/>
      <c r="CF31" s="3184"/>
      <c r="CG31" s="3184"/>
      <c r="CH31" s="3184"/>
      <c r="CI31" s="3184">
        <f t="shared" si="2"/>
        <v>0.35</v>
      </c>
    </row>
    <row r="32" spans="1:87">
      <c r="A32" s="935" t="s">
        <v>1983</v>
      </c>
      <c r="B32" s="936"/>
      <c r="C32" s="85" t="s">
        <v>1984</v>
      </c>
      <c r="D32" s="937"/>
      <c r="E32" s="938"/>
      <c r="F32" s="148"/>
      <c r="G32" s="148"/>
      <c r="H32" s="148"/>
      <c r="I32" s="148"/>
      <c r="J32" s="148"/>
      <c r="K32" s="149"/>
      <c r="L32" s="192"/>
      <c r="M32" s="950"/>
      <c r="N32" s="195"/>
      <c r="O32" s="2979">
        <f>SUM(O33:O39)</f>
        <v>61.702799999999996</v>
      </c>
      <c r="P32" s="94"/>
      <c r="Q32" s="85"/>
      <c r="R32" s="209">
        <f>SUM(R33:R39)</f>
        <v>61.7</v>
      </c>
      <c r="BB32" s="3182"/>
      <c r="BC32" s="3182"/>
      <c r="BD32" s="3182"/>
      <c r="BE32" s="3182"/>
      <c r="BF32" s="3182"/>
      <c r="BG32" s="3182"/>
      <c r="BH32" s="3182"/>
      <c r="BI32" s="3182"/>
      <c r="BJ32" s="3182"/>
      <c r="BK32" s="3182"/>
      <c r="BL32" s="3182"/>
      <c r="BM32" s="3182"/>
      <c r="BN32" s="3182"/>
      <c r="BO32" s="3182"/>
      <c r="BP32" s="3182"/>
      <c r="BQ32" s="3182"/>
      <c r="BR32" s="3182"/>
      <c r="BS32" s="3182"/>
      <c r="BT32" s="3182"/>
      <c r="BU32" s="3182"/>
      <c r="BV32" s="3182"/>
      <c r="BW32" s="3182"/>
      <c r="BX32" s="3182"/>
      <c r="BY32" s="3182"/>
      <c r="BZ32" s="3182"/>
      <c r="CA32" s="3182"/>
      <c r="CB32" s="3182"/>
      <c r="CC32" s="3182"/>
      <c r="CD32" s="3182"/>
      <c r="CE32" s="3182"/>
      <c r="CF32" s="3182"/>
      <c r="CG32" s="3182"/>
      <c r="CH32" s="3182"/>
      <c r="CI32" s="3184">
        <f t="shared" si="2"/>
        <v>0</v>
      </c>
    </row>
    <row r="33" spans="1:87" s="963" customFormat="1" ht="30">
      <c r="A33" s="107" t="s">
        <v>1985</v>
      </c>
      <c r="B33" s="961" t="s">
        <v>1986</v>
      </c>
      <c r="C33" s="961" t="s">
        <v>1987</v>
      </c>
      <c r="D33" s="982" t="s">
        <v>4219</v>
      </c>
      <c r="E33" s="2381" t="s">
        <v>4709</v>
      </c>
      <c r="F33" s="178">
        <v>0</v>
      </c>
      <c r="G33" s="178"/>
      <c r="H33" s="198">
        <v>0</v>
      </c>
      <c r="I33" s="198"/>
      <c r="J33" s="178">
        <v>0</v>
      </c>
      <c r="K33" s="178"/>
      <c r="L33" s="2313">
        <v>0</v>
      </c>
      <c r="M33" s="957">
        <f t="shared" ref="M33:M39" si="3">L33/100000</f>
        <v>0</v>
      </c>
      <c r="N33" s="2313">
        <v>0</v>
      </c>
      <c r="O33" s="2978">
        <f t="shared" ref="O33:O39" si="4">N33*M33</f>
        <v>0</v>
      </c>
      <c r="P33" s="2523" t="s">
        <v>5282</v>
      </c>
      <c r="Q33" s="107">
        <f>'Abs9. NVBDCP'!Q7</f>
        <v>0</v>
      </c>
      <c r="R33" s="655">
        <f>'Abs9. NVBDCP'!R7</f>
        <v>0</v>
      </c>
      <c r="BB33" s="3184"/>
      <c r="BC33" s="3184"/>
      <c r="BD33" s="3184"/>
      <c r="BE33" s="3184"/>
      <c r="BF33" s="3184"/>
      <c r="BG33" s="3184"/>
      <c r="BH33" s="3184"/>
      <c r="BI33" s="3184"/>
      <c r="BJ33" s="3184"/>
      <c r="BK33" s="3184"/>
      <c r="BL33" s="3184"/>
      <c r="BM33" s="3184"/>
      <c r="BN33" s="3184"/>
      <c r="BO33" s="3184"/>
      <c r="BP33" s="3184"/>
      <c r="BQ33" s="3184"/>
      <c r="BR33" s="3184"/>
      <c r="BS33" s="3184"/>
      <c r="BT33" s="3184"/>
      <c r="BU33" s="3184"/>
      <c r="BV33" s="3184"/>
      <c r="BW33" s="3184"/>
      <c r="BX33" s="3184"/>
      <c r="BY33" s="3184"/>
      <c r="BZ33" s="3184"/>
      <c r="CA33" s="3184"/>
      <c r="CB33" s="3184"/>
      <c r="CC33" s="3184"/>
      <c r="CD33" s="3184"/>
      <c r="CE33" s="3184"/>
      <c r="CF33" s="3184"/>
      <c r="CG33" s="3184"/>
      <c r="CH33" s="3184"/>
      <c r="CI33" s="3184">
        <f t="shared" si="2"/>
        <v>0</v>
      </c>
    </row>
    <row r="34" spans="1:87" ht="45">
      <c r="A34" s="107" t="s">
        <v>1988</v>
      </c>
      <c r="B34" s="960" t="s">
        <v>1989</v>
      </c>
      <c r="C34" s="960" t="s">
        <v>1990</v>
      </c>
      <c r="D34" s="910" t="s">
        <v>4219</v>
      </c>
      <c r="E34" s="944" t="s">
        <v>4710</v>
      </c>
      <c r="F34" s="155">
        <v>0</v>
      </c>
      <c r="G34" s="155"/>
      <c r="H34" s="155">
        <v>0</v>
      </c>
      <c r="I34" s="155"/>
      <c r="J34" s="155"/>
      <c r="K34" s="155"/>
      <c r="L34" s="170"/>
      <c r="M34" s="193">
        <f t="shared" si="3"/>
        <v>0</v>
      </c>
      <c r="N34" s="170"/>
      <c r="O34" s="2977">
        <f t="shared" si="4"/>
        <v>0</v>
      </c>
      <c r="P34" s="171"/>
      <c r="Q34" s="88">
        <f>'Abs9. NVBDCP'!Q8</f>
        <v>0</v>
      </c>
      <c r="R34" s="690">
        <f>'Abs9. NVBDCP'!R8</f>
        <v>0</v>
      </c>
      <c r="BB34" s="3182"/>
      <c r="BC34" s="3182"/>
      <c r="BD34" s="3182"/>
      <c r="BE34" s="3182"/>
      <c r="BF34" s="3182"/>
      <c r="BG34" s="3182"/>
      <c r="BH34" s="3182"/>
      <c r="BI34" s="3182"/>
      <c r="BJ34" s="3182"/>
      <c r="BK34" s="3182"/>
      <c r="BL34" s="3182"/>
      <c r="BM34" s="3182"/>
      <c r="BN34" s="3182"/>
      <c r="BO34" s="3182"/>
      <c r="BP34" s="3182"/>
      <c r="BQ34" s="3182"/>
      <c r="BR34" s="3182"/>
      <c r="BS34" s="3182"/>
      <c r="BT34" s="3182"/>
      <c r="BU34" s="3182"/>
      <c r="BV34" s="3182"/>
      <c r="BW34" s="3182"/>
      <c r="BX34" s="3182"/>
      <c r="BY34" s="3182"/>
      <c r="BZ34" s="3182"/>
      <c r="CA34" s="3182"/>
      <c r="CB34" s="3182"/>
      <c r="CC34" s="3182"/>
      <c r="CD34" s="3182"/>
      <c r="CE34" s="3182"/>
      <c r="CF34" s="3182"/>
      <c r="CG34" s="3182"/>
      <c r="CH34" s="3182"/>
      <c r="CI34" s="3184">
        <f t="shared" si="2"/>
        <v>0</v>
      </c>
    </row>
    <row r="35" spans="1:87" ht="45">
      <c r="A35" s="107" t="s">
        <v>1991</v>
      </c>
      <c r="B35" s="960" t="s">
        <v>1537</v>
      </c>
      <c r="C35" s="960" t="s">
        <v>1992</v>
      </c>
      <c r="D35" s="910" t="s">
        <v>4219</v>
      </c>
      <c r="E35" s="944" t="s">
        <v>4711</v>
      </c>
      <c r="F35" s="155">
        <v>0</v>
      </c>
      <c r="G35" s="155"/>
      <c r="H35" s="155">
        <v>0</v>
      </c>
      <c r="I35" s="155"/>
      <c r="J35" s="155"/>
      <c r="K35" s="155"/>
      <c r="L35" s="170"/>
      <c r="M35" s="193">
        <f t="shared" si="3"/>
        <v>0</v>
      </c>
      <c r="N35" s="170"/>
      <c r="O35" s="2977">
        <f t="shared" si="4"/>
        <v>0</v>
      </c>
      <c r="P35" s="171"/>
      <c r="Q35" s="88">
        <f>'Abs9. NVBDCP'!Q9</f>
        <v>0</v>
      </c>
      <c r="R35" s="690">
        <f>'Abs9. NVBDCP'!R9</f>
        <v>0</v>
      </c>
      <c r="BB35" s="3182"/>
      <c r="BC35" s="3182"/>
      <c r="BD35" s="3182"/>
      <c r="BE35" s="3182"/>
      <c r="BF35" s="3182"/>
      <c r="BG35" s="3182"/>
      <c r="BH35" s="3182"/>
      <c r="BI35" s="3182"/>
      <c r="BJ35" s="3182"/>
      <c r="BK35" s="3182"/>
      <c r="BL35" s="3182"/>
      <c r="BM35" s="3182"/>
      <c r="BN35" s="3182"/>
      <c r="BO35" s="3182"/>
      <c r="BP35" s="3182"/>
      <c r="BQ35" s="3182"/>
      <c r="BR35" s="3182"/>
      <c r="BS35" s="3182"/>
      <c r="BT35" s="3182"/>
      <c r="BU35" s="3182"/>
      <c r="BV35" s="3182"/>
      <c r="BW35" s="3182"/>
      <c r="BX35" s="3182"/>
      <c r="BY35" s="3182"/>
      <c r="BZ35" s="3182"/>
      <c r="CA35" s="3182"/>
      <c r="CB35" s="3182"/>
      <c r="CC35" s="3182"/>
      <c r="CD35" s="3182"/>
      <c r="CE35" s="3182"/>
      <c r="CF35" s="3182"/>
      <c r="CG35" s="3182"/>
      <c r="CH35" s="3182"/>
      <c r="CI35" s="3184">
        <f t="shared" si="2"/>
        <v>0</v>
      </c>
    </row>
    <row r="36" spans="1:87" s="963" customFormat="1" ht="72" customHeight="1">
      <c r="A36" s="107" t="s">
        <v>1993</v>
      </c>
      <c r="B36" s="2342" t="s">
        <v>5132</v>
      </c>
      <c r="C36" s="2342" t="s">
        <v>5133</v>
      </c>
      <c r="D36" s="982" t="s">
        <v>4219</v>
      </c>
      <c r="E36" s="956" t="s">
        <v>141</v>
      </c>
      <c r="F36" s="178">
        <v>50</v>
      </c>
      <c r="G36" s="2343">
        <v>38</v>
      </c>
      <c r="H36" s="178">
        <v>5</v>
      </c>
      <c r="I36" s="178">
        <v>11.36</v>
      </c>
      <c r="J36" s="178">
        <v>0</v>
      </c>
      <c r="K36" s="178">
        <v>0</v>
      </c>
      <c r="L36" s="2344">
        <v>500000</v>
      </c>
      <c r="M36" s="957">
        <f t="shared" si="3"/>
        <v>5</v>
      </c>
      <c r="N36" s="2313">
        <v>1</v>
      </c>
      <c r="O36" s="2978">
        <f t="shared" si="4"/>
        <v>5</v>
      </c>
      <c r="P36" s="2256" t="s">
        <v>5197</v>
      </c>
      <c r="Q36" s="107" t="str">
        <f>'Abs10. NLEP'!Q7</f>
        <v>Recommended, Active case detection has to be done throughout the state round the year on regular basis as per new ACD&amp;RS guidelines.State must estimate the eligible population for leprosy screening and propose the additional budget if required as per new ACD &amp; RS guidelines in SPIP.</v>
      </c>
      <c r="R36" s="655">
        <f>'Abs10. NLEP'!R7</f>
        <v>5</v>
      </c>
      <c r="BB36" s="3184"/>
      <c r="BC36" s="3184">
        <v>0.2</v>
      </c>
      <c r="BD36" s="3184">
        <v>0.75</v>
      </c>
      <c r="BE36" s="3184">
        <v>0.25</v>
      </c>
      <c r="BF36" s="3184">
        <v>0.9</v>
      </c>
      <c r="BG36" s="3184">
        <v>0.15</v>
      </c>
      <c r="BH36" s="3184">
        <v>0.25</v>
      </c>
      <c r="BI36" s="3184">
        <v>0.15</v>
      </c>
      <c r="BJ36" s="3184">
        <v>0.5</v>
      </c>
      <c r="BK36" s="3184">
        <v>0.5</v>
      </c>
      <c r="BL36" s="3184">
        <v>0.6</v>
      </c>
      <c r="BM36" s="3184">
        <v>0.5</v>
      </c>
      <c r="BN36" s="3184">
        <v>0.25</v>
      </c>
      <c r="BO36" s="3184"/>
      <c r="BP36" s="3184"/>
      <c r="BQ36" s="3184"/>
      <c r="BR36" s="3184"/>
      <c r="BS36" s="3184"/>
      <c r="BT36" s="3184"/>
      <c r="BU36" s="3184"/>
      <c r="BV36" s="3184"/>
      <c r="BW36" s="3184"/>
      <c r="BX36" s="3184"/>
      <c r="BY36" s="3184"/>
      <c r="BZ36" s="3184"/>
      <c r="CA36" s="3184"/>
      <c r="CB36" s="3184"/>
      <c r="CC36" s="3184"/>
      <c r="CD36" s="3184"/>
      <c r="CE36" s="3184"/>
      <c r="CF36" s="3184"/>
      <c r="CG36" s="3184"/>
      <c r="CH36" s="3184"/>
      <c r="CI36" s="3184">
        <f t="shared" si="2"/>
        <v>5</v>
      </c>
    </row>
    <row r="37" spans="1:87" s="963" customFormat="1" ht="22.5" customHeight="1">
      <c r="A37" s="107" t="s">
        <v>1996</v>
      </c>
      <c r="B37" s="961" t="s">
        <v>1997</v>
      </c>
      <c r="C37" s="961" t="s">
        <v>1998</v>
      </c>
      <c r="D37" s="982" t="s">
        <v>4219</v>
      </c>
      <c r="E37" s="956" t="s">
        <v>141</v>
      </c>
      <c r="F37" s="178">
        <v>0</v>
      </c>
      <c r="G37" s="178"/>
      <c r="H37" s="178">
        <v>0</v>
      </c>
      <c r="I37" s="178"/>
      <c r="J37" s="178"/>
      <c r="K37" s="178"/>
      <c r="L37" s="2313"/>
      <c r="M37" s="957">
        <f t="shared" si="3"/>
        <v>0</v>
      </c>
      <c r="N37" s="2313"/>
      <c r="O37" s="2978">
        <f t="shared" si="4"/>
        <v>0</v>
      </c>
      <c r="P37" s="2256"/>
      <c r="Q37" s="107">
        <f>'Abs10. NLEP'!Q8</f>
        <v>0</v>
      </c>
      <c r="R37" s="655">
        <f>'Abs10. NLEP'!R8</f>
        <v>0</v>
      </c>
      <c r="BB37" s="3184"/>
      <c r="BC37" s="3184"/>
      <c r="BD37" s="3184"/>
      <c r="BE37" s="3184"/>
      <c r="BF37" s="3184"/>
      <c r="BG37" s="3184"/>
      <c r="BH37" s="3184"/>
      <c r="BI37" s="3184"/>
      <c r="BJ37" s="3184"/>
      <c r="BK37" s="3184"/>
      <c r="BL37" s="3184"/>
      <c r="BM37" s="3184"/>
      <c r="BN37" s="3184"/>
      <c r="BO37" s="3184"/>
      <c r="BP37" s="3184"/>
      <c r="BQ37" s="3184"/>
      <c r="BR37" s="3184"/>
      <c r="BS37" s="3184"/>
      <c r="BT37" s="3184"/>
      <c r="BU37" s="3184"/>
      <c r="BV37" s="3184"/>
      <c r="BW37" s="3184"/>
      <c r="BX37" s="3184"/>
      <c r="BY37" s="3184"/>
      <c r="BZ37" s="3184"/>
      <c r="CA37" s="3184"/>
      <c r="CB37" s="3184"/>
      <c r="CC37" s="3184"/>
      <c r="CD37" s="3184"/>
      <c r="CE37" s="3184"/>
      <c r="CF37" s="3184"/>
      <c r="CG37" s="3184"/>
      <c r="CH37" s="3184"/>
      <c r="CI37" s="3184">
        <f t="shared" si="2"/>
        <v>0</v>
      </c>
    </row>
    <row r="38" spans="1:87" s="3331" customFormat="1" ht="393.75" customHeight="1">
      <c r="A38" s="3323" t="s">
        <v>4220</v>
      </c>
      <c r="B38" s="3322"/>
      <c r="C38" s="3322" t="s">
        <v>4372</v>
      </c>
      <c r="D38" s="3226" t="s">
        <v>4219</v>
      </c>
      <c r="E38" s="3324" t="s">
        <v>4525</v>
      </c>
      <c r="F38" s="3325">
        <v>0</v>
      </c>
      <c r="G38" s="3325"/>
      <c r="H38" s="3325">
        <v>0</v>
      </c>
      <c r="I38" s="3325"/>
      <c r="J38" s="3325"/>
      <c r="K38" s="3325"/>
      <c r="L38" s="3326">
        <v>1078</v>
      </c>
      <c r="M38" s="3327">
        <f t="shared" si="3"/>
        <v>1.078E-2</v>
      </c>
      <c r="N38" s="3326">
        <v>5260</v>
      </c>
      <c r="O38" s="3328">
        <f t="shared" si="4"/>
        <v>56.702799999999996</v>
      </c>
      <c r="P38" s="3329" t="s">
        <v>5488</v>
      </c>
      <c r="Q38" s="3329" t="str">
        <f>'Abs11. NTEP'!Q7</f>
        <v>Recommended Rs 56.70 lakhs towards implementation of LTBI diagnosis and management in 4 districts (Bilaspur, Una, Kinnaur and Lahul &amp; Spiti). Funds recommended for IGRA testing of eligible contacts of pulmonary TB patients and other eligible patients such as those undergoing dialysis @ rs 1300/- as proposed by the State. Actual expenditure shall be based on due procedures. Drugs for LTBI treatment shall be taken from central supply</v>
      </c>
      <c r="R38" s="3330">
        <f>'Abs11. NTEP'!R7</f>
        <v>56.7</v>
      </c>
      <c r="BB38" s="3332"/>
      <c r="BC38" s="3332">
        <v>5</v>
      </c>
      <c r="BD38" s="3332"/>
      <c r="BE38" s="3332"/>
      <c r="BF38" s="3332"/>
      <c r="BG38" s="3332">
        <v>2</v>
      </c>
      <c r="BH38" s="3332"/>
      <c r="BI38" s="3332">
        <v>1</v>
      </c>
      <c r="BJ38" s="3332"/>
      <c r="BK38" s="3332"/>
      <c r="BL38" s="3332"/>
      <c r="BM38" s="3332"/>
      <c r="BN38" s="3332">
        <v>5</v>
      </c>
      <c r="BO38" s="3332"/>
      <c r="BP38" s="3332"/>
      <c r="BQ38" s="3332"/>
      <c r="BR38" s="3332"/>
      <c r="BS38" s="3332"/>
      <c r="BT38" s="3332"/>
      <c r="BU38" s="3332"/>
      <c r="BV38" s="3332"/>
      <c r="BW38" s="3332"/>
      <c r="BX38" s="3332"/>
      <c r="BY38" s="3332"/>
      <c r="BZ38" s="3332"/>
      <c r="CA38" s="3332"/>
      <c r="CB38" s="3332"/>
      <c r="CC38" s="3332"/>
      <c r="CD38" s="3332"/>
      <c r="CE38" s="3332">
        <v>43.7</v>
      </c>
      <c r="CF38" s="3332"/>
      <c r="CG38" s="3332"/>
      <c r="CH38" s="3332"/>
      <c r="CI38" s="3332">
        <f t="shared" si="2"/>
        <v>56.7</v>
      </c>
    </row>
    <row r="39" spans="1:87">
      <c r="A39" s="107" t="s">
        <v>4371</v>
      </c>
      <c r="B39" s="107"/>
      <c r="C39" s="88" t="s">
        <v>1304</v>
      </c>
      <c r="D39" s="908" t="s">
        <v>65</v>
      </c>
      <c r="E39" s="964" t="s">
        <v>65</v>
      </c>
      <c r="F39" s="155">
        <v>0</v>
      </c>
      <c r="G39" s="155"/>
      <c r="H39" s="155">
        <v>0</v>
      </c>
      <c r="I39" s="155"/>
      <c r="J39" s="155"/>
      <c r="K39" s="155"/>
      <c r="L39" s="170"/>
      <c r="M39" s="193">
        <f t="shared" si="3"/>
        <v>0</v>
      </c>
      <c r="N39" s="170"/>
      <c r="O39" s="2977">
        <f t="shared" si="4"/>
        <v>0</v>
      </c>
      <c r="P39" s="171"/>
      <c r="Q39" s="175"/>
      <c r="R39" s="213"/>
      <c r="BB39" s="3182"/>
      <c r="BC39" s="3182"/>
      <c r="BD39" s="3182"/>
      <c r="BE39" s="3182"/>
      <c r="BF39" s="3182"/>
      <c r="BG39" s="3182"/>
      <c r="BH39" s="3182"/>
      <c r="BI39" s="3182"/>
      <c r="BJ39" s="3182"/>
      <c r="BK39" s="3182"/>
      <c r="BL39" s="3182"/>
      <c r="BM39" s="3182"/>
      <c r="BN39" s="3182"/>
      <c r="BO39" s="3182"/>
      <c r="BP39" s="3182"/>
      <c r="BQ39" s="3182"/>
      <c r="BR39" s="3182"/>
      <c r="BS39" s="3182"/>
      <c r="BT39" s="3182"/>
      <c r="BU39" s="3182"/>
      <c r="BV39" s="3182"/>
      <c r="BW39" s="3182"/>
      <c r="BX39" s="3182"/>
      <c r="BY39" s="3182"/>
      <c r="BZ39" s="3182"/>
      <c r="CA39" s="3182"/>
      <c r="CB39" s="3182"/>
      <c r="CC39" s="3182"/>
      <c r="CD39" s="3182"/>
      <c r="CE39" s="3182"/>
      <c r="CF39" s="3182"/>
      <c r="CG39" s="3182"/>
      <c r="CH39" s="3182"/>
      <c r="CI39" s="3184">
        <f t="shared" si="2"/>
        <v>0</v>
      </c>
    </row>
    <row r="40" spans="1:87">
      <c r="A40" s="935" t="s">
        <v>1999</v>
      </c>
      <c r="B40" s="936"/>
      <c r="C40" s="85" t="s">
        <v>2000</v>
      </c>
      <c r="D40" s="937"/>
      <c r="E40" s="938"/>
      <c r="F40" s="148"/>
      <c r="G40" s="148"/>
      <c r="H40" s="148"/>
      <c r="I40" s="148"/>
      <c r="J40" s="148"/>
      <c r="K40" s="149"/>
      <c r="L40" s="192"/>
      <c r="M40" s="950"/>
      <c r="N40" s="195"/>
      <c r="O40" s="2976">
        <f>SUM(O41:O45)+O49</f>
        <v>50</v>
      </c>
      <c r="P40" s="94"/>
      <c r="Q40" s="85"/>
      <c r="R40" s="209">
        <f>SUM(R41:R45)+R49</f>
        <v>50</v>
      </c>
      <c r="BB40" s="3182"/>
      <c r="BC40" s="3182"/>
      <c r="BD40" s="3182"/>
      <c r="BE40" s="3182"/>
      <c r="BF40" s="3182"/>
      <c r="BG40" s="3182"/>
      <c r="BH40" s="3182"/>
      <c r="BI40" s="3182"/>
      <c r="BJ40" s="3182"/>
      <c r="BK40" s="3182"/>
      <c r="BL40" s="3182"/>
      <c r="BM40" s="3182"/>
      <c r="BN40" s="3182"/>
      <c r="BO40" s="3182"/>
      <c r="BP40" s="3182"/>
      <c r="BQ40" s="3182"/>
      <c r="BR40" s="3182"/>
      <c r="BS40" s="3182"/>
      <c r="BT40" s="3182"/>
      <c r="BU40" s="3182"/>
      <c r="BV40" s="3182"/>
      <c r="BW40" s="3182"/>
      <c r="BX40" s="3182"/>
      <c r="BY40" s="3182"/>
      <c r="BZ40" s="3182"/>
      <c r="CA40" s="3182"/>
      <c r="CB40" s="3182"/>
      <c r="CC40" s="3182"/>
      <c r="CD40" s="3182"/>
      <c r="CE40" s="3182"/>
      <c r="CF40" s="3182"/>
      <c r="CG40" s="3182"/>
      <c r="CH40" s="3182"/>
      <c r="CI40" s="3184">
        <f t="shared" si="2"/>
        <v>0</v>
      </c>
    </row>
    <row r="41" spans="1:87" ht="30">
      <c r="A41" s="107" t="s">
        <v>2001</v>
      </c>
      <c r="B41" s="960" t="s">
        <v>2003</v>
      </c>
      <c r="C41" s="960" t="s">
        <v>2004</v>
      </c>
      <c r="D41" s="911" t="s">
        <v>80</v>
      </c>
      <c r="E41" s="944" t="s">
        <v>410</v>
      </c>
      <c r="F41" s="155">
        <v>0</v>
      </c>
      <c r="G41" s="155"/>
      <c r="H41" s="155">
        <v>0</v>
      </c>
      <c r="I41" s="155"/>
      <c r="J41" s="155"/>
      <c r="K41" s="155"/>
      <c r="L41" s="170"/>
      <c r="M41" s="193">
        <f>L41/100000</f>
        <v>0</v>
      </c>
      <c r="N41" s="170"/>
      <c r="O41" s="2977">
        <f>N41*M41</f>
        <v>0</v>
      </c>
      <c r="P41" s="171"/>
      <c r="Q41" s="88">
        <f>'Abs19. NPCDCS'!Q7</f>
        <v>0</v>
      </c>
      <c r="R41" s="690">
        <f>'Abs19. NPCDCS'!R7</f>
        <v>0</v>
      </c>
      <c r="BB41" s="3182"/>
      <c r="BC41" s="3182"/>
      <c r="BD41" s="3182"/>
      <c r="BE41" s="3182"/>
      <c r="BF41" s="3182"/>
      <c r="BG41" s="3182"/>
      <c r="BH41" s="3182"/>
      <c r="BI41" s="3182"/>
      <c r="BJ41" s="3182"/>
      <c r="BK41" s="3182"/>
      <c r="BL41" s="3182"/>
      <c r="BM41" s="3182"/>
      <c r="BN41" s="3182"/>
      <c r="BO41" s="3182"/>
      <c r="BP41" s="3182"/>
      <c r="BQ41" s="3182"/>
      <c r="BR41" s="3182"/>
      <c r="BS41" s="3182"/>
      <c r="BT41" s="3182"/>
      <c r="BU41" s="3182"/>
      <c r="BV41" s="3182"/>
      <c r="BW41" s="3182"/>
      <c r="BX41" s="3182"/>
      <c r="BY41" s="3182"/>
      <c r="BZ41" s="3182"/>
      <c r="CA41" s="3182"/>
      <c r="CB41" s="3182"/>
      <c r="CC41" s="3182"/>
      <c r="CD41" s="3182"/>
      <c r="CE41" s="3182"/>
      <c r="CF41" s="3182"/>
      <c r="CG41" s="3182"/>
      <c r="CH41" s="3182"/>
      <c r="CI41" s="3184">
        <f t="shared" si="2"/>
        <v>0</v>
      </c>
    </row>
    <row r="42" spans="1:87">
      <c r="A42" s="107" t="s">
        <v>2002</v>
      </c>
      <c r="B42" s="960" t="s">
        <v>2006</v>
      </c>
      <c r="C42" s="960" t="s">
        <v>2007</v>
      </c>
      <c r="D42" s="911" t="s">
        <v>80</v>
      </c>
      <c r="E42" s="944" t="s">
        <v>410</v>
      </c>
      <c r="F42" s="155">
        <v>0</v>
      </c>
      <c r="G42" s="155"/>
      <c r="H42" s="155">
        <v>0</v>
      </c>
      <c r="I42" s="155"/>
      <c r="J42" s="155"/>
      <c r="K42" s="155"/>
      <c r="L42" s="170"/>
      <c r="M42" s="193">
        <f>L42/100000</f>
        <v>0</v>
      </c>
      <c r="N42" s="170"/>
      <c r="O42" s="2977">
        <f>N42*M42</f>
        <v>0</v>
      </c>
      <c r="P42" s="171"/>
      <c r="Q42" s="88">
        <f>'Abs19. NPCDCS'!Q8</f>
        <v>0</v>
      </c>
      <c r="R42" s="690">
        <f>'Abs19. NPCDCS'!R8</f>
        <v>0</v>
      </c>
      <c r="BB42" s="3182"/>
      <c r="BC42" s="3182"/>
      <c r="BD42" s="3182"/>
      <c r="BE42" s="3182"/>
      <c r="BF42" s="3182"/>
      <c r="BG42" s="3182"/>
      <c r="BH42" s="3182"/>
      <c r="BI42" s="3182"/>
      <c r="BJ42" s="3182"/>
      <c r="BK42" s="3182"/>
      <c r="BL42" s="3182"/>
      <c r="BM42" s="3182"/>
      <c r="BN42" s="3182"/>
      <c r="BO42" s="3182"/>
      <c r="BP42" s="3182"/>
      <c r="BQ42" s="3182"/>
      <c r="BR42" s="3182"/>
      <c r="BS42" s="3182"/>
      <c r="BT42" s="3182"/>
      <c r="BU42" s="3182"/>
      <c r="BV42" s="3182"/>
      <c r="BW42" s="3182"/>
      <c r="BX42" s="3182"/>
      <c r="BY42" s="3182"/>
      <c r="BZ42" s="3182"/>
      <c r="CA42" s="3182"/>
      <c r="CB42" s="3182"/>
      <c r="CC42" s="3182"/>
      <c r="CD42" s="3182"/>
      <c r="CE42" s="3182"/>
      <c r="CF42" s="3182"/>
      <c r="CG42" s="3182"/>
      <c r="CH42" s="3182"/>
      <c r="CI42" s="3184">
        <f t="shared" si="2"/>
        <v>0</v>
      </c>
    </row>
    <row r="43" spans="1:87" ht="45">
      <c r="A43" s="107" t="s">
        <v>2005</v>
      </c>
      <c r="B43" s="942" t="s">
        <v>2009</v>
      </c>
      <c r="C43" s="942" t="s">
        <v>2010</v>
      </c>
      <c r="D43" s="913" t="s">
        <v>80</v>
      </c>
      <c r="E43" s="944" t="s">
        <v>1028</v>
      </c>
      <c r="F43" s="155">
        <v>0</v>
      </c>
      <c r="G43" s="155"/>
      <c r="H43" s="186">
        <v>0</v>
      </c>
      <c r="I43" s="186"/>
      <c r="J43" s="155"/>
      <c r="K43" s="155"/>
      <c r="L43" s="170"/>
      <c r="M43" s="193">
        <f>L43/100000</f>
        <v>0</v>
      </c>
      <c r="N43" s="170"/>
      <c r="O43" s="2977">
        <f>N43*M43</f>
        <v>0</v>
      </c>
      <c r="P43" s="171"/>
      <c r="Q43" s="88">
        <f>'Abs23. NPPCF'!Q7</f>
        <v>0</v>
      </c>
      <c r="R43" s="690">
        <f>'Abs23. NPPCF'!R7</f>
        <v>0</v>
      </c>
      <c r="BB43" s="3182"/>
      <c r="BC43" s="3182"/>
      <c r="BD43" s="3182"/>
      <c r="BE43" s="3182"/>
      <c r="BF43" s="3182"/>
      <c r="BG43" s="3182"/>
      <c r="BH43" s="3182"/>
      <c r="BI43" s="3182"/>
      <c r="BJ43" s="3182"/>
      <c r="BK43" s="3182"/>
      <c r="BL43" s="3182"/>
      <c r="BM43" s="3182"/>
      <c r="BN43" s="3182"/>
      <c r="BO43" s="3182"/>
      <c r="BP43" s="3182"/>
      <c r="BQ43" s="3182"/>
      <c r="BR43" s="3182"/>
      <c r="BS43" s="3182"/>
      <c r="BT43" s="3182"/>
      <c r="BU43" s="3182"/>
      <c r="BV43" s="3182"/>
      <c r="BW43" s="3182"/>
      <c r="BX43" s="3182"/>
      <c r="BY43" s="3182"/>
      <c r="BZ43" s="3182"/>
      <c r="CA43" s="3182"/>
      <c r="CB43" s="3182"/>
      <c r="CC43" s="3182"/>
      <c r="CD43" s="3182"/>
      <c r="CE43" s="3182"/>
      <c r="CF43" s="3182"/>
      <c r="CG43" s="3182"/>
      <c r="CH43" s="3182"/>
      <c r="CI43" s="3184">
        <f t="shared" si="2"/>
        <v>0</v>
      </c>
    </row>
    <row r="44" spans="1:87" ht="45">
      <c r="A44" s="107" t="s">
        <v>2008</v>
      </c>
      <c r="B44" s="942" t="s">
        <v>2012</v>
      </c>
      <c r="C44" s="942" t="s">
        <v>2013</v>
      </c>
      <c r="D44" s="913" t="s">
        <v>80</v>
      </c>
      <c r="E44" s="944" t="s">
        <v>1028</v>
      </c>
      <c r="F44" s="155">
        <v>0</v>
      </c>
      <c r="G44" s="155"/>
      <c r="H44" s="186">
        <v>0</v>
      </c>
      <c r="I44" s="155"/>
      <c r="J44" s="155"/>
      <c r="K44" s="155"/>
      <c r="L44" s="170"/>
      <c r="M44" s="193">
        <f>L44/100000</f>
        <v>0</v>
      </c>
      <c r="N44" s="170"/>
      <c r="O44" s="2977">
        <f>N44*M44</f>
        <v>0</v>
      </c>
      <c r="P44" s="171"/>
      <c r="Q44" s="88">
        <f>'Abs23. NPPCF'!Q8</f>
        <v>0</v>
      </c>
      <c r="R44" s="690">
        <f>'Abs23. NPPCF'!R8</f>
        <v>0</v>
      </c>
      <c r="BB44" s="3182"/>
      <c r="BC44" s="3182"/>
      <c r="BD44" s="3182"/>
      <c r="BE44" s="3182"/>
      <c r="BF44" s="3182"/>
      <c r="BG44" s="3182"/>
      <c r="BH44" s="3182"/>
      <c r="BI44" s="3182"/>
      <c r="BJ44" s="3182"/>
      <c r="BK44" s="3182"/>
      <c r="BL44" s="3182"/>
      <c r="BM44" s="3182"/>
      <c r="BN44" s="3182"/>
      <c r="BO44" s="3182"/>
      <c r="BP44" s="3182"/>
      <c r="BQ44" s="3182"/>
      <c r="BR44" s="3182"/>
      <c r="BS44" s="3182"/>
      <c r="BT44" s="3182"/>
      <c r="BU44" s="3182"/>
      <c r="BV44" s="3182"/>
      <c r="BW44" s="3182"/>
      <c r="BX44" s="3182"/>
      <c r="BY44" s="3182"/>
      <c r="BZ44" s="3182"/>
      <c r="CA44" s="3182"/>
      <c r="CB44" s="3182"/>
      <c r="CC44" s="3182"/>
      <c r="CD44" s="3182"/>
      <c r="CE44" s="3182"/>
      <c r="CF44" s="3182"/>
      <c r="CG44" s="3182"/>
      <c r="CH44" s="3182"/>
      <c r="CI44" s="3184">
        <f t="shared" si="2"/>
        <v>0</v>
      </c>
    </row>
    <row r="45" spans="1:87" ht="30">
      <c r="A45" s="965" t="s">
        <v>2011</v>
      </c>
      <c r="B45" s="966" t="s">
        <v>1332</v>
      </c>
      <c r="C45" s="966" t="s">
        <v>1333</v>
      </c>
      <c r="D45" s="967"/>
      <c r="E45" s="967"/>
      <c r="F45" s="181"/>
      <c r="G45" s="181"/>
      <c r="H45" s="199"/>
      <c r="I45" s="199"/>
      <c r="J45" s="181"/>
      <c r="K45" s="181"/>
      <c r="L45" s="200"/>
      <c r="M45" s="955"/>
      <c r="N45" s="201"/>
      <c r="O45" s="2980">
        <f>O46+O47+O48</f>
        <v>50</v>
      </c>
      <c r="P45" s="182"/>
      <c r="Q45" s="183"/>
      <c r="R45" s="214">
        <f>R46+R47+R48</f>
        <v>50</v>
      </c>
      <c r="BB45" s="3182"/>
      <c r="BC45" s="3182"/>
      <c r="BD45" s="3182"/>
      <c r="BE45" s="3182"/>
      <c r="BF45" s="3182"/>
      <c r="BG45" s="3182"/>
      <c r="BH45" s="3182"/>
      <c r="BI45" s="3182"/>
      <c r="BJ45" s="3182"/>
      <c r="BK45" s="3182"/>
      <c r="BL45" s="3182"/>
      <c r="BM45" s="3182"/>
      <c r="BN45" s="3182"/>
      <c r="BO45" s="3182"/>
      <c r="BP45" s="3182"/>
      <c r="BQ45" s="3182"/>
      <c r="BR45" s="3182"/>
      <c r="BS45" s="3182"/>
      <c r="BT45" s="3182"/>
      <c r="BU45" s="3182"/>
      <c r="BV45" s="3182"/>
      <c r="BW45" s="3182"/>
      <c r="BX45" s="3182"/>
      <c r="BY45" s="3182"/>
      <c r="BZ45" s="3182"/>
      <c r="CA45" s="3182"/>
      <c r="CB45" s="3182"/>
      <c r="CC45" s="3182"/>
      <c r="CD45" s="3182"/>
      <c r="CE45" s="3182"/>
      <c r="CF45" s="3182"/>
      <c r="CG45" s="3182"/>
      <c r="CH45" s="3182"/>
      <c r="CI45" s="3184">
        <f t="shared" si="2"/>
        <v>0</v>
      </c>
    </row>
    <row r="46" spans="1:87" s="963" customFormat="1" ht="22.5" customHeight="1">
      <c r="A46" s="107" t="s">
        <v>3734</v>
      </c>
      <c r="B46" s="961"/>
      <c r="C46" s="961" t="s">
        <v>3732</v>
      </c>
      <c r="D46" s="1699" t="s">
        <v>80</v>
      </c>
      <c r="E46" s="964" t="s">
        <v>4668</v>
      </c>
      <c r="F46" s="178">
        <v>13330</v>
      </c>
      <c r="G46" s="178"/>
      <c r="H46" s="198">
        <v>199.95</v>
      </c>
      <c r="I46" s="198"/>
      <c r="J46" s="178">
        <v>199.95</v>
      </c>
      <c r="K46" s="178"/>
      <c r="L46" s="2313"/>
      <c r="M46" s="957">
        <f>L46/100000</f>
        <v>0</v>
      </c>
      <c r="N46" s="2313"/>
      <c r="O46" s="2978">
        <f>N46*M46</f>
        <v>0</v>
      </c>
      <c r="P46" s="2256"/>
      <c r="Q46" s="107">
        <f>'Abs20. PMNDP'!Q7</f>
        <v>0</v>
      </c>
      <c r="R46" s="655">
        <f>'Abs20. PMNDP'!R7</f>
        <v>0</v>
      </c>
      <c r="BB46" s="3184"/>
      <c r="BC46" s="3184"/>
      <c r="BD46" s="3184"/>
      <c r="BE46" s="3184"/>
      <c r="BF46" s="3184"/>
      <c r="BG46" s="3184"/>
      <c r="BH46" s="3184"/>
      <c r="BI46" s="3184"/>
      <c r="BJ46" s="3184"/>
      <c r="BK46" s="3184"/>
      <c r="BL46" s="3184"/>
      <c r="BM46" s="3184"/>
      <c r="BN46" s="3184"/>
      <c r="BO46" s="3184"/>
      <c r="BP46" s="3184"/>
      <c r="BQ46" s="3184"/>
      <c r="BR46" s="3184"/>
      <c r="BS46" s="3184"/>
      <c r="BT46" s="3184"/>
      <c r="BU46" s="3184"/>
      <c r="BV46" s="3184"/>
      <c r="BW46" s="3184"/>
      <c r="BX46" s="3184"/>
      <c r="BY46" s="3184"/>
      <c r="BZ46" s="3184"/>
      <c r="CA46" s="3184"/>
      <c r="CB46" s="3184"/>
      <c r="CC46" s="3184"/>
      <c r="CD46" s="3184"/>
      <c r="CE46" s="3184"/>
      <c r="CF46" s="3184"/>
      <c r="CG46" s="3184"/>
      <c r="CH46" s="3184"/>
      <c r="CI46" s="3184">
        <f t="shared" si="2"/>
        <v>0</v>
      </c>
    </row>
    <row r="47" spans="1:87" s="963" customFormat="1" ht="39.75" customHeight="1">
      <c r="A47" s="107" t="s">
        <v>3735</v>
      </c>
      <c r="B47" s="961"/>
      <c r="C47" s="961" t="s">
        <v>3733</v>
      </c>
      <c r="D47" s="1699" t="s">
        <v>80</v>
      </c>
      <c r="E47" s="964" t="s">
        <v>4668</v>
      </c>
      <c r="F47" s="178">
        <v>25</v>
      </c>
      <c r="G47" s="178"/>
      <c r="H47" s="198">
        <v>50</v>
      </c>
      <c r="I47" s="198"/>
      <c r="J47" s="178">
        <v>50</v>
      </c>
      <c r="K47" s="178"/>
      <c r="L47" s="2519">
        <v>200000</v>
      </c>
      <c r="M47" s="957">
        <f>L47/100000</f>
        <v>2</v>
      </c>
      <c r="N47" s="2313">
        <v>25</v>
      </c>
      <c r="O47" s="2978">
        <f>N47*M47</f>
        <v>50</v>
      </c>
      <c r="P47" s="2256" t="s">
        <v>5294</v>
      </c>
      <c r="Q47" s="107" t="str">
        <f>'Abs20. PMNDP'!Q8</f>
        <v>1. Recommended Rs 50 lakh for providing free Peritoneal Dialysis to additional 25 patients (BPL) @ Rs 16,666 per month per patient.                                                            2. State is suggested to utilise Medical colleges for monitoring and supportive supervision purposes only.</v>
      </c>
      <c r="R47" s="655">
        <f>'Abs20. PMNDP'!R8</f>
        <v>50</v>
      </c>
      <c r="BB47" s="3184">
        <v>50</v>
      </c>
      <c r="BC47" s="3184"/>
      <c r="BD47" s="3184"/>
      <c r="BE47" s="3184"/>
      <c r="BF47" s="3184"/>
      <c r="BG47" s="3184"/>
      <c r="BH47" s="3184"/>
      <c r="BI47" s="3184"/>
      <c r="BJ47" s="3184"/>
      <c r="BK47" s="3184"/>
      <c r="BL47" s="3184"/>
      <c r="BM47" s="3184"/>
      <c r="BN47" s="3184"/>
      <c r="BO47" s="3184"/>
      <c r="BP47" s="3184"/>
      <c r="BQ47" s="3184"/>
      <c r="BR47" s="3184"/>
      <c r="BS47" s="3184"/>
      <c r="BT47" s="3184"/>
      <c r="BU47" s="3184"/>
      <c r="BV47" s="3184"/>
      <c r="BW47" s="3184"/>
      <c r="BX47" s="3184"/>
      <c r="BY47" s="3184"/>
      <c r="BZ47" s="3184"/>
      <c r="CA47" s="3184"/>
      <c r="CB47" s="3184"/>
      <c r="CC47" s="3184"/>
      <c r="CD47" s="3184"/>
      <c r="CE47" s="3184"/>
      <c r="CF47" s="3184"/>
      <c r="CG47" s="3184"/>
      <c r="CH47" s="3184"/>
      <c r="CI47" s="3184">
        <f t="shared" si="2"/>
        <v>50</v>
      </c>
    </row>
    <row r="48" spans="1:87" s="963" customFormat="1" ht="45">
      <c r="A48" s="107" t="s">
        <v>4393</v>
      </c>
      <c r="B48" s="107"/>
      <c r="C48" s="948" t="s">
        <v>4394</v>
      </c>
      <c r="D48" s="911" t="s">
        <v>80</v>
      </c>
      <c r="E48" s="947" t="s">
        <v>4668</v>
      </c>
      <c r="F48" s="178">
        <v>0</v>
      </c>
      <c r="G48" s="178"/>
      <c r="H48" s="198">
        <v>0</v>
      </c>
      <c r="I48" s="198"/>
      <c r="J48" s="178"/>
      <c r="K48" s="178"/>
      <c r="L48" s="170"/>
      <c r="M48" s="957">
        <f>L48/100000</f>
        <v>0</v>
      </c>
      <c r="N48" s="170"/>
      <c r="O48" s="2978">
        <f>N48*M48</f>
        <v>0</v>
      </c>
      <c r="P48" s="171"/>
      <c r="Q48" s="107">
        <f>'Abs20. PMNDP'!Q9</f>
        <v>0</v>
      </c>
      <c r="R48" s="655">
        <f>'Abs20. PMNDP'!R9</f>
        <v>0</v>
      </c>
      <c r="BB48" s="3184"/>
      <c r="BC48" s="3184"/>
      <c r="BD48" s="3184"/>
      <c r="BE48" s="3184"/>
      <c r="BF48" s="3184"/>
      <c r="BG48" s="3184"/>
      <c r="BH48" s="3184"/>
      <c r="BI48" s="3184"/>
      <c r="BJ48" s="3184"/>
      <c r="BK48" s="3184"/>
      <c r="BL48" s="3184"/>
      <c r="BM48" s="3184"/>
      <c r="BN48" s="3184"/>
      <c r="BO48" s="3184"/>
      <c r="BP48" s="3184"/>
      <c r="BQ48" s="3184"/>
      <c r="BR48" s="3184"/>
      <c r="BS48" s="3184"/>
      <c r="BT48" s="3184"/>
      <c r="BU48" s="3184"/>
      <c r="BV48" s="3184"/>
      <c r="BW48" s="3184"/>
      <c r="BX48" s="3184"/>
      <c r="BY48" s="3184"/>
      <c r="BZ48" s="3184"/>
      <c r="CA48" s="3184"/>
      <c r="CB48" s="3184"/>
      <c r="CC48" s="3184"/>
      <c r="CD48" s="3184"/>
      <c r="CE48" s="3184"/>
      <c r="CF48" s="3184"/>
      <c r="CG48" s="3184"/>
      <c r="CH48" s="3184"/>
      <c r="CI48" s="3184">
        <f t="shared" si="2"/>
        <v>0</v>
      </c>
    </row>
    <row r="49" spans="1:87">
      <c r="A49" s="107" t="s">
        <v>2014</v>
      </c>
      <c r="B49" s="107"/>
      <c r="C49" s="88" t="s">
        <v>1304</v>
      </c>
      <c r="D49" s="908" t="s">
        <v>65</v>
      </c>
      <c r="E49" s="964" t="s">
        <v>65</v>
      </c>
      <c r="F49" s="155">
        <v>0</v>
      </c>
      <c r="G49" s="155"/>
      <c r="H49" s="155">
        <v>0</v>
      </c>
      <c r="I49" s="155"/>
      <c r="J49" s="155"/>
      <c r="K49" s="155"/>
      <c r="L49" s="170"/>
      <c r="M49" s="193">
        <f>L49/100000</f>
        <v>0</v>
      </c>
      <c r="N49" s="170"/>
      <c r="O49" s="2977">
        <f>N49*M49</f>
        <v>0</v>
      </c>
      <c r="P49" s="171"/>
      <c r="Q49" s="175"/>
      <c r="R49" s="213"/>
      <c r="BB49" s="3182"/>
      <c r="BC49" s="3182"/>
      <c r="BD49" s="3182"/>
      <c r="BE49" s="3182"/>
      <c r="BF49" s="3182"/>
      <c r="BG49" s="3182"/>
      <c r="BH49" s="3182"/>
      <c r="BI49" s="3182"/>
      <c r="BJ49" s="3182"/>
      <c r="BK49" s="3182"/>
      <c r="BL49" s="3182"/>
      <c r="BM49" s="3182"/>
      <c r="BN49" s="3182"/>
      <c r="BO49" s="3182"/>
      <c r="BP49" s="3182"/>
      <c r="BQ49" s="3182"/>
      <c r="BR49" s="3182"/>
      <c r="BS49" s="3182"/>
      <c r="BT49" s="3182"/>
      <c r="BU49" s="3182"/>
      <c r="BV49" s="3182"/>
      <c r="BW49" s="3182"/>
      <c r="BX49" s="3182"/>
      <c r="BY49" s="3182"/>
      <c r="BZ49" s="3182"/>
      <c r="CA49" s="3182"/>
      <c r="CB49" s="3182"/>
      <c r="CC49" s="3182"/>
      <c r="CD49" s="3182"/>
      <c r="CE49" s="3182"/>
      <c r="CF49" s="3182"/>
      <c r="CG49" s="3182"/>
      <c r="CH49" s="3182"/>
      <c r="CI49" s="3184">
        <f t="shared" si="2"/>
        <v>0</v>
      </c>
    </row>
    <row r="50" spans="1:87">
      <c r="A50" s="935" t="s">
        <v>2016</v>
      </c>
      <c r="B50" s="936"/>
      <c r="C50" s="85" t="s">
        <v>2017</v>
      </c>
      <c r="D50" s="937"/>
      <c r="E50" s="938"/>
      <c r="F50" s="148"/>
      <c r="G50" s="148"/>
      <c r="H50" s="148"/>
      <c r="I50" s="148"/>
      <c r="J50" s="148"/>
      <c r="K50" s="149"/>
      <c r="L50" s="192"/>
      <c r="M50" s="950"/>
      <c r="N50" s="195"/>
      <c r="O50" s="2979">
        <f>SUM(O51:O58)</f>
        <v>80</v>
      </c>
      <c r="P50" s="94"/>
      <c r="Q50" s="85"/>
      <c r="R50" s="209">
        <f>SUM(R51:R58)</f>
        <v>80</v>
      </c>
      <c r="BB50" s="3182"/>
      <c r="BC50" s="3182"/>
      <c r="BD50" s="3182"/>
      <c r="BE50" s="3182"/>
      <c r="BF50" s="3182"/>
      <c r="BG50" s="3182"/>
      <c r="BH50" s="3182"/>
      <c r="BI50" s="3182"/>
      <c r="BJ50" s="3182"/>
      <c r="BK50" s="3182"/>
      <c r="BL50" s="3182"/>
      <c r="BM50" s="3182"/>
      <c r="BN50" s="3182"/>
      <c r="BO50" s="3182"/>
      <c r="BP50" s="3182"/>
      <c r="BQ50" s="3182"/>
      <c r="BR50" s="3182"/>
      <c r="BS50" s="3182"/>
      <c r="BT50" s="3182"/>
      <c r="BU50" s="3182"/>
      <c r="BV50" s="3182"/>
      <c r="BW50" s="3182"/>
      <c r="BX50" s="3182"/>
      <c r="BY50" s="3182"/>
      <c r="BZ50" s="3182"/>
      <c r="CA50" s="3182"/>
      <c r="CB50" s="3182"/>
      <c r="CC50" s="3182"/>
      <c r="CD50" s="3182"/>
      <c r="CE50" s="3182"/>
      <c r="CF50" s="3182"/>
      <c r="CG50" s="3182"/>
      <c r="CH50" s="3182"/>
      <c r="CI50" s="3184">
        <f t="shared" si="2"/>
        <v>0</v>
      </c>
    </row>
    <row r="51" spans="1:87">
      <c r="A51" s="107" t="s">
        <v>2018</v>
      </c>
      <c r="B51" s="942" t="s">
        <v>2019</v>
      </c>
      <c r="C51" s="942" t="s">
        <v>2020</v>
      </c>
      <c r="D51" s="943" t="s">
        <v>85</v>
      </c>
      <c r="E51" s="945" t="s">
        <v>85</v>
      </c>
      <c r="F51" s="155">
        <v>0</v>
      </c>
      <c r="G51" s="155"/>
      <c r="H51" s="155">
        <v>0</v>
      </c>
      <c r="I51" s="155"/>
      <c r="J51" s="155"/>
      <c r="K51" s="155"/>
      <c r="L51" s="170"/>
      <c r="M51" s="193">
        <f t="shared" ref="M51:M56" si="5">L51/100000</f>
        <v>0</v>
      </c>
      <c r="N51" s="170"/>
      <c r="O51" s="2977">
        <f t="shared" ref="O51:O56" si="6">N51*M51</f>
        <v>0</v>
      </c>
      <c r="P51" s="171"/>
      <c r="Q51" s="88" t="str">
        <f>'Ab1. RMNCH+A'!Q434</f>
        <v>--</v>
      </c>
      <c r="R51" s="690">
        <f>'Ab1. RMNCH+A'!R434</f>
        <v>0</v>
      </c>
      <c r="BB51" s="3182"/>
      <c r="BC51" s="3182"/>
      <c r="BD51" s="3182"/>
      <c r="BE51" s="3182"/>
      <c r="BF51" s="3182"/>
      <c r="BG51" s="3182"/>
      <c r="BH51" s="3182"/>
      <c r="BI51" s="3182"/>
      <c r="BJ51" s="3182"/>
      <c r="BK51" s="3182"/>
      <c r="BL51" s="3182"/>
      <c r="BM51" s="3182"/>
      <c r="BN51" s="3182"/>
      <c r="BO51" s="3182"/>
      <c r="BP51" s="3182"/>
      <c r="BQ51" s="3182"/>
      <c r="BR51" s="3182"/>
      <c r="BS51" s="3182"/>
      <c r="BT51" s="3182"/>
      <c r="BU51" s="3182"/>
      <c r="BV51" s="3182"/>
      <c r="BW51" s="3182"/>
      <c r="BX51" s="3182"/>
      <c r="BY51" s="3182"/>
      <c r="BZ51" s="3182"/>
      <c r="CA51" s="3182"/>
      <c r="CB51" s="3182"/>
      <c r="CC51" s="3182"/>
      <c r="CD51" s="3182"/>
      <c r="CE51" s="3182"/>
      <c r="CF51" s="3182"/>
      <c r="CG51" s="3182"/>
      <c r="CH51" s="3182"/>
      <c r="CI51" s="3184">
        <f t="shared" si="2"/>
        <v>0</v>
      </c>
    </row>
    <row r="52" spans="1:87">
      <c r="A52" s="107" t="s">
        <v>2021</v>
      </c>
      <c r="B52" s="942" t="s">
        <v>2022</v>
      </c>
      <c r="C52" s="942" t="s">
        <v>2023</v>
      </c>
      <c r="D52" s="943" t="s">
        <v>85</v>
      </c>
      <c r="E52" s="945" t="s">
        <v>85</v>
      </c>
      <c r="F52" s="155">
        <v>0</v>
      </c>
      <c r="G52" s="155"/>
      <c r="H52" s="155">
        <v>0</v>
      </c>
      <c r="I52" s="155"/>
      <c r="J52" s="155"/>
      <c r="K52" s="155"/>
      <c r="L52" s="170"/>
      <c r="M52" s="193">
        <f t="shared" si="5"/>
        <v>0</v>
      </c>
      <c r="N52" s="170"/>
      <c r="O52" s="2977">
        <f t="shared" si="6"/>
        <v>0</v>
      </c>
      <c r="P52" s="171"/>
      <c r="Q52" s="88" t="str">
        <f>'Ab1. RMNCH+A'!Q435</f>
        <v>--</v>
      </c>
      <c r="R52" s="690">
        <f>'Ab1. RMNCH+A'!R435</f>
        <v>0</v>
      </c>
      <c r="BB52" s="3182"/>
      <c r="BC52" s="3182"/>
      <c r="BD52" s="3182"/>
      <c r="BE52" s="3182"/>
      <c r="BF52" s="3182"/>
      <c r="BG52" s="3182"/>
      <c r="BH52" s="3182"/>
      <c r="BI52" s="3182"/>
      <c r="BJ52" s="3182"/>
      <c r="BK52" s="3182"/>
      <c r="BL52" s="3182"/>
      <c r="BM52" s="3182"/>
      <c r="BN52" s="3182"/>
      <c r="BO52" s="3182"/>
      <c r="BP52" s="3182"/>
      <c r="BQ52" s="3182"/>
      <c r="BR52" s="3182"/>
      <c r="BS52" s="3182"/>
      <c r="BT52" s="3182"/>
      <c r="BU52" s="3182"/>
      <c r="BV52" s="3182"/>
      <c r="BW52" s="3182"/>
      <c r="BX52" s="3182"/>
      <c r="BY52" s="3182"/>
      <c r="BZ52" s="3182"/>
      <c r="CA52" s="3182"/>
      <c r="CB52" s="3182"/>
      <c r="CC52" s="3182"/>
      <c r="CD52" s="3182"/>
      <c r="CE52" s="3182"/>
      <c r="CF52" s="3182"/>
      <c r="CG52" s="3182"/>
      <c r="CH52" s="3182"/>
      <c r="CI52" s="3184">
        <f t="shared" si="2"/>
        <v>0</v>
      </c>
    </row>
    <row r="53" spans="1:87" ht="30">
      <c r="A53" s="107" t="s">
        <v>2024</v>
      </c>
      <c r="B53" s="942" t="s">
        <v>2025</v>
      </c>
      <c r="C53" s="960" t="s">
        <v>2026</v>
      </c>
      <c r="D53" s="908" t="s">
        <v>65</v>
      </c>
      <c r="E53" s="944" t="s">
        <v>4536</v>
      </c>
      <c r="F53" s="155">
        <v>0</v>
      </c>
      <c r="G53" s="155"/>
      <c r="H53" s="194">
        <v>0</v>
      </c>
      <c r="I53" s="194"/>
      <c r="J53" s="155"/>
      <c r="K53" s="155"/>
      <c r="L53" s="170"/>
      <c r="M53" s="193">
        <f t="shared" si="5"/>
        <v>0</v>
      </c>
      <c r="N53" s="170"/>
      <c r="O53" s="2977">
        <f t="shared" si="6"/>
        <v>0</v>
      </c>
      <c r="P53" s="171"/>
      <c r="Q53" s="88">
        <f>'Abs5. Blood services &amp; Disorder'!Q7</f>
        <v>0</v>
      </c>
      <c r="R53" s="690">
        <f>'Abs5. Blood services &amp; Disorder'!R7</f>
        <v>0</v>
      </c>
      <c r="BB53" s="3182"/>
      <c r="BC53" s="3182"/>
      <c r="BD53" s="3182"/>
      <c r="BE53" s="3182"/>
      <c r="BF53" s="3182"/>
      <c r="BG53" s="3182"/>
      <c r="BH53" s="3182"/>
      <c r="BI53" s="3182"/>
      <c r="BJ53" s="3182"/>
      <c r="BK53" s="3182"/>
      <c r="BL53" s="3182"/>
      <c r="BM53" s="3182"/>
      <c r="BN53" s="3182"/>
      <c r="BO53" s="3182"/>
      <c r="BP53" s="3182"/>
      <c r="BQ53" s="3182"/>
      <c r="BR53" s="3182"/>
      <c r="BS53" s="3182"/>
      <c r="BT53" s="3182"/>
      <c r="BU53" s="3182"/>
      <c r="BV53" s="3182"/>
      <c r="BW53" s="3182"/>
      <c r="BX53" s="3182"/>
      <c r="BY53" s="3182"/>
      <c r="BZ53" s="3182"/>
      <c r="CA53" s="3182"/>
      <c r="CB53" s="3182"/>
      <c r="CC53" s="3182"/>
      <c r="CD53" s="3182"/>
      <c r="CE53" s="3182"/>
      <c r="CF53" s="3182"/>
      <c r="CG53" s="3182"/>
      <c r="CH53" s="3182"/>
      <c r="CI53" s="3184">
        <f t="shared" si="2"/>
        <v>0</v>
      </c>
    </row>
    <row r="54" spans="1:87">
      <c r="A54" s="107" t="s">
        <v>2027</v>
      </c>
      <c r="B54" s="942" t="s">
        <v>2028</v>
      </c>
      <c r="C54" s="948" t="s">
        <v>2029</v>
      </c>
      <c r="D54" s="908" t="s">
        <v>65</v>
      </c>
      <c r="E54" s="944" t="s">
        <v>65</v>
      </c>
      <c r="F54" s="155">
        <v>0</v>
      </c>
      <c r="G54" s="155"/>
      <c r="H54" s="155">
        <v>0</v>
      </c>
      <c r="I54" s="155"/>
      <c r="J54" s="155"/>
      <c r="K54" s="155"/>
      <c r="L54" s="170"/>
      <c r="M54" s="193">
        <f t="shared" si="5"/>
        <v>0</v>
      </c>
      <c r="N54" s="170"/>
      <c r="O54" s="2977">
        <f t="shared" si="6"/>
        <v>0</v>
      </c>
      <c r="P54" s="171"/>
      <c r="Q54" s="175"/>
      <c r="R54" s="213"/>
      <c r="BB54" s="3182"/>
      <c r="BC54" s="3182"/>
      <c r="BD54" s="3182"/>
      <c r="BE54" s="3182"/>
      <c r="BF54" s="3182"/>
      <c r="BG54" s="3182"/>
      <c r="BH54" s="3182"/>
      <c r="BI54" s="3182"/>
      <c r="BJ54" s="3182"/>
      <c r="BK54" s="3182"/>
      <c r="BL54" s="3182"/>
      <c r="BM54" s="3182"/>
      <c r="BN54" s="3182"/>
      <c r="BO54" s="3182"/>
      <c r="BP54" s="3182"/>
      <c r="BQ54" s="3182"/>
      <c r="BR54" s="3182"/>
      <c r="BS54" s="3182"/>
      <c r="BT54" s="3182"/>
      <c r="BU54" s="3182"/>
      <c r="BV54" s="3182"/>
      <c r="BW54" s="3182"/>
      <c r="BX54" s="3182"/>
      <c r="BY54" s="3182"/>
      <c r="BZ54" s="3182"/>
      <c r="CA54" s="3182"/>
      <c r="CB54" s="3182"/>
      <c r="CC54" s="3182"/>
      <c r="CD54" s="3182"/>
      <c r="CE54" s="3182"/>
      <c r="CF54" s="3182"/>
      <c r="CG54" s="3182"/>
      <c r="CH54" s="3182"/>
      <c r="CI54" s="3184">
        <f t="shared" si="2"/>
        <v>0</v>
      </c>
    </row>
    <row r="55" spans="1:87">
      <c r="A55" s="107" t="s">
        <v>2030</v>
      </c>
      <c r="B55" s="948"/>
      <c r="C55" s="508" t="s">
        <v>4746</v>
      </c>
      <c r="D55" s="908" t="s">
        <v>65</v>
      </c>
      <c r="E55" s="947" t="s">
        <v>4218</v>
      </c>
      <c r="F55" s="155">
        <v>0</v>
      </c>
      <c r="G55" s="155"/>
      <c r="H55" s="194">
        <v>0</v>
      </c>
      <c r="I55" s="194"/>
      <c r="J55" s="185"/>
      <c r="K55" s="155"/>
      <c r="L55" s="170"/>
      <c r="M55" s="193">
        <f>L55/100000</f>
        <v>0</v>
      </c>
      <c r="N55" s="170"/>
      <c r="O55" s="2977">
        <f>N55*M55</f>
        <v>0</v>
      </c>
      <c r="P55" s="171"/>
      <c r="Q55" s="107">
        <f>'Abs6. CPHC'!Q7</f>
        <v>0</v>
      </c>
      <c r="R55" s="655">
        <f>'Abs6. CPHC'!R7</f>
        <v>0</v>
      </c>
      <c r="BB55" s="3182"/>
      <c r="BC55" s="3182"/>
      <c r="BD55" s="3182"/>
      <c r="BE55" s="3182"/>
      <c r="BF55" s="3182"/>
      <c r="BG55" s="3182"/>
      <c r="BH55" s="3182"/>
      <c r="BI55" s="3182"/>
      <c r="BJ55" s="3182"/>
      <c r="BK55" s="3182"/>
      <c r="BL55" s="3182"/>
      <c r="BM55" s="3182"/>
      <c r="BN55" s="3182"/>
      <c r="BO55" s="3182"/>
      <c r="BP55" s="3182"/>
      <c r="BQ55" s="3182"/>
      <c r="BR55" s="3182"/>
      <c r="BS55" s="3182"/>
      <c r="BT55" s="3182"/>
      <c r="BU55" s="3182"/>
      <c r="BV55" s="3182"/>
      <c r="BW55" s="3182"/>
      <c r="BX55" s="3182"/>
      <c r="BY55" s="3182"/>
      <c r="BZ55" s="3182"/>
      <c r="CA55" s="3182"/>
      <c r="CB55" s="3182"/>
      <c r="CC55" s="3182"/>
      <c r="CD55" s="3182"/>
      <c r="CE55" s="3182"/>
      <c r="CF55" s="3182"/>
      <c r="CG55" s="3182"/>
      <c r="CH55" s="3182"/>
      <c r="CI55" s="3184">
        <f t="shared" si="2"/>
        <v>0</v>
      </c>
    </row>
    <row r="56" spans="1:87" ht="30">
      <c r="A56" s="961" t="s">
        <v>3217</v>
      </c>
      <c r="B56" s="948"/>
      <c r="C56" s="968" t="s">
        <v>3218</v>
      </c>
      <c r="D56" s="943" t="s">
        <v>85</v>
      </c>
      <c r="E56" s="956" t="s">
        <v>85</v>
      </c>
      <c r="F56" s="155">
        <v>0</v>
      </c>
      <c r="G56" s="155"/>
      <c r="H56" s="155">
        <v>0</v>
      </c>
      <c r="I56" s="155"/>
      <c r="J56" s="155"/>
      <c r="K56" s="155"/>
      <c r="L56" s="170"/>
      <c r="M56" s="193">
        <f t="shared" si="5"/>
        <v>0</v>
      </c>
      <c r="N56" s="170"/>
      <c r="O56" s="2977">
        <f t="shared" si="6"/>
        <v>0</v>
      </c>
      <c r="P56" s="171"/>
      <c r="Q56" s="88" t="str">
        <f>'Ab1. RMNCH+A'!Q436</f>
        <v>--</v>
      </c>
      <c r="R56" s="690">
        <f>'Ab1. RMNCH+A'!R436</f>
        <v>0</v>
      </c>
      <c r="BB56" s="3182"/>
      <c r="BC56" s="3182"/>
      <c r="BD56" s="3182"/>
      <c r="BE56" s="3182"/>
      <c r="BF56" s="3182"/>
      <c r="BG56" s="3182"/>
      <c r="BH56" s="3182"/>
      <c r="BI56" s="3182"/>
      <c r="BJ56" s="3182"/>
      <c r="BK56" s="3182"/>
      <c r="BL56" s="3182"/>
      <c r="BM56" s="3182"/>
      <c r="BN56" s="3182"/>
      <c r="BO56" s="3182"/>
      <c r="BP56" s="3182"/>
      <c r="BQ56" s="3182"/>
      <c r="BR56" s="3182"/>
      <c r="BS56" s="3182"/>
      <c r="BT56" s="3182"/>
      <c r="BU56" s="3182"/>
      <c r="BV56" s="3182"/>
      <c r="BW56" s="3182"/>
      <c r="BX56" s="3182"/>
      <c r="BY56" s="3182"/>
      <c r="BZ56" s="3182"/>
      <c r="CA56" s="3182"/>
      <c r="CB56" s="3182"/>
      <c r="CC56" s="3182"/>
      <c r="CD56" s="3182"/>
      <c r="CE56" s="3182"/>
      <c r="CF56" s="3182"/>
      <c r="CG56" s="3182"/>
      <c r="CH56" s="3182"/>
      <c r="CI56" s="3184">
        <f t="shared" si="2"/>
        <v>0</v>
      </c>
    </row>
    <row r="57" spans="1:87" s="3449" customFormat="1" ht="54" customHeight="1">
      <c r="A57" s="3439" t="s">
        <v>2324</v>
      </c>
      <c r="B57" s="968"/>
      <c r="C57" s="968" t="s">
        <v>3729</v>
      </c>
      <c r="D57" s="3440" t="s">
        <v>65</v>
      </c>
      <c r="E57" s="3441" t="s">
        <v>4536</v>
      </c>
      <c r="F57" s="2739">
        <v>46000</v>
      </c>
      <c r="G57" s="2739"/>
      <c r="H57" s="2739">
        <v>92</v>
      </c>
      <c r="I57" s="3442">
        <v>0</v>
      </c>
      <c r="J57" s="3442"/>
      <c r="K57" s="3442">
        <v>1</v>
      </c>
      <c r="L57" s="3443">
        <v>200</v>
      </c>
      <c r="M57" s="3444">
        <f>L57/100000</f>
        <v>2E-3</v>
      </c>
      <c r="N57" s="3443">
        <v>40000</v>
      </c>
      <c r="O57" s="3445">
        <f>N57*M57</f>
        <v>80</v>
      </c>
      <c r="P57" s="3446" t="s">
        <v>5314</v>
      </c>
      <c r="Q57" s="3447" t="str">
        <f>'Abs5. Blood services &amp; Disorder'!Q8</f>
        <v>Recommended @ Rs 200 per unit for 40,000 beneficiaries for providing blood &amp; its components free of cost.</v>
      </c>
      <c r="R57" s="3448">
        <f>'Abs5. Blood services &amp; Disorder'!R8</f>
        <v>80</v>
      </c>
      <c r="BB57" s="3450">
        <v>4</v>
      </c>
      <c r="BC57" s="3450"/>
      <c r="BD57" s="3450"/>
      <c r="BE57" s="3450"/>
      <c r="BF57" s="3450">
        <v>1</v>
      </c>
      <c r="BG57" s="3450">
        <v>0.3</v>
      </c>
      <c r="BH57" s="3450">
        <v>1.5</v>
      </c>
      <c r="BI57" s="3450">
        <v>0.3</v>
      </c>
      <c r="BJ57" s="3450">
        <v>1.5</v>
      </c>
      <c r="BK57" s="3450">
        <v>1.5</v>
      </c>
      <c r="BL57" s="3450">
        <v>2</v>
      </c>
      <c r="BM57" s="3450">
        <v>3</v>
      </c>
      <c r="BN57" s="3450">
        <v>2</v>
      </c>
      <c r="BO57" s="3450">
        <v>16</v>
      </c>
      <c r="BP57" s="3450">
        <v>16</v>
      </c>
      <c r="BQ57" s="3450">
        <v>2.5</v>
      </c>
      <c r="BR57" s="3450">
        <v>5</v>
      </c>
      <c r="BS57" s="3450">
        <v>0</v>
      </c>
      <c r="BT57" s="3450">
        <v>1.7</v>
      </c>
      <c r="BU57" s="3450">
        <v>2.5</v>
      </c>
      <c r="BV57" s="3450">
        <v>3.7</v>
      </c>
      <c r="BW57" s="3450">
        <v>2</v>
      </c>
      <c r="BX57" s="3450">
        <v>2</v>
      </c>
      <c r="BY57" s="3450">
        <v>1.5</v>
      </c>
      <c r="BZ57" s="3450">
        <v>1.5</v>
      </c>
      <c r="CA57" s="3450">
        <v>1.5</v>
      </c>
      <c r="CB57" s="3450">
        <v>1.5</v>
      </c>
      <c r="CC57" s="3450">
        <v>0.5</v>
      </c>
      <c r="CD57" s="3450">
        <v>3</v>
      </c>
      <c r="CE57" s="3450"/>
      <c r="CF57" s="3450">
        <v>2</v>
      </c>
      <c r="CG57" s="3450"/>
      <c r="CH57" s="3450"/>
      <c r="CI57" s="3450">
        <f t="shared" si="2"/>
        <v>80</v>
      </c>
    </row>
    <row r="58" spans="1:87">
      <c r="A58" s="961" t="s">
        <v>3728</v>
      </c>
      <c r="B58" s="107"/>
      <c r="C58" s="88" t="s">
        <v>1304</v>
      </c>
      <c r="D58" s="969" t="s">
        <v>65</v>
      </c>
      <c r="E58" s="964" t="s">
        <v>65</v>
      </c>
      <c r="F58" s="155">
        <v>0</v>
      </c>
      <c r="G58" s="155"/>
      <c r="H58" s="155">
        <v>0</v>
      </c>
      <c r="I58" s="155"/>
      <c r="J58" s="155"/>
      <c r="K58" s="155"/>
      <c r="L58" s="170"/>
      <c r="M58" s="193">
        <f>L58/100000</f>
        <v>0</v>
      </c>
      <c r="N58" s="170"/>
      <c r="O58" s="2977">
        <f>N58*M58</f>
        <v>0</v>
      </c>
      <c r="P58" s="171"/>
      <c r="Q58" s="175"/>
      <c r="R58" s="213"/>
      <c r="BB58" s="3182"/>
      <c r="BC58" s="3182"/>
      <c r="BD58" s="3182"/>
      <c r="BE58" s="3182"/>
      <c r="BF58" s="3182"/>
      <c r="BG58" s="3182"/>
      <c r="BH58" s="3182"/>
      <c r="BI58" s="3182"/>
      <c r="BJ58" s="3182"/>
      <c r="BK58" s="3182"/>
      <c r="BL58" s="3182"/>
      <c r="BM58" s="3182"/>
      <c r="BN58" s="3182"/>
      <c r="BO58" s="3182"/>
      <c r="BP58" s="3182"/>
      <c r="BQ58" s="3182"/>
      <c r="BR58" s="3182"/>
      <c r="BS58" s="3182"/>
      <c r="BT58" s="3182"/>
      <c r="BU58" s="3182"/>
      <c r="BV58" s="3182"/>
      <c r="BW58" s="3182"/>
      <c r="BX58" s="3182"/>
      <c r="BY58" s="3182"/>
      <c r="BZ58" s="3182"/>
      <c r="CA58" s="3182"/>
      <c r="CB58" s="3182"/>
      <c r="CC58" s="3182"/>
      <c r="CD58" s="3182"/>
      <c r="CE58" s="3182"/>
      <c r="CF58" s="3182"/>
      <c r="CG58" s="3182"/>
      <c r="CH58" s="3182"/>
      <c r="CI58" s="3184">
        <f t="shared" si="2"/>
        <v>0</v>
      </c>
    </row>
    <row r="59" spans="1:87">
      <c r="A59" s="872">
        <v>1.2</v>
      </c>
      <c r="B59" s="928"/>
      <c r="C59" s="84" t="s">
        <v>2590</v>
      </c>
      <c r="D59" s="929"/>
      <c r="E59" s="930"/>
      <c r="F59" s="190"/>
      <c r="G59" s="190"/>
      <c r="H59" s="190"/>
      <c r="I59" s="190"/>
      <c r="J59" s="190"/>
      <c r="K59" s="202"/>
      <c r="L59" s="191"/>
      <c r="M59" s="933"/>
      <c r="N59" s="153"/>
      <c r="O59" s="2817">
        <f>O60+O66+O77</f>
        <v>672.75</v>
      </c>
      <c r="P59" s="166"/>
      <c r="Q59" s="167"/>
      <c r="R59" s="208">
        <f>R60+R66+R77</f>
        <v>666.75</v>
      </c>
      <c r="BB59" s="3182"/>
      <c r="BC59" s="3182"/>
      <c r="BD59" s="3182"/>
      <c r="BE59" s="3182"/>
      <c r="BF59" s="3182"/>
      <c r="BG59" s="3182"/>
      <c r="BH59" s="3182"/>
      <c r="BI59" s="3182"/>
      <c r="BJ59" s="3182"/>
      <c r="BK59" s="3182"/>
      <c r="BL59" s="3182"/>
      <c r="BM59" s="3182"/>
      <c r="BN59" s="3182"/>
      <c r="BO59" s="3182"/>
      <c r="BP59" s="3182"/>
      <c r="BQ59" s="3182"/>
      <c r="BR59" s="3182"/>
      <c r="BS59" s="3182"/>
      <c r="BT59" s="3182"/>
      <c r="BU59" s="3182"/>
      <c r="BV59" s="3182"/>
      <c r="BW59" s="3182"/>
      <c r="BX59" s="3182"/>
      <c r="BY59" s="3182"/>
      <c r="BZ59" s="3182"/>
      <c r="CA59" s="3182"/>
      <c r="CB59" s="3182"/>
      <c r="CC59" s="3182"/>
      <c r="CD59" s="3182"/>
      <c r="CE59" s="3182"/>
      <c r="CF59" s="3182"/>
      <c r="CG59" s="3182"/>
      <c r="CH59" s="3182"/>
      <c r="CI59" s="3184">
        <f t="shared" si="2"/>
        <v>0</v>
      </c>
    </row>
    <row r="60" spans="1:87" ht="33.75" customHeight="1">
      <c r="A60" s="935" t="s">
        <v>44</v>
      </c>
      <c r="B60" s="936"/>
      <c r="C60" s="85" t="s">
        <v>2032</v>
      </c>
      <c r="D60" s="937"/>
      <c r="E60" s="938"/>
      <c r="F60" s="148"/>
      <c r="G60" s="148"/>
      <c r="H60" s="148"/>
      <c r="I60" s="148"/>
      <c r="J60" s="148"/>
      <c r="K60" s="149"/>
      <c r="L60" s="192"/>
      <c r="M60" s="950"/>
      <c r="N60" s="195"/>
      <c r="O60" s="2979">
        <f>O61+O62</f>
        <v>108.5</v>
      </c>
      <c r="P60" s="94"/>
      <c r="Q60" s="85"/>
      <c r="R60" s="209">
        <f>R61+R62</f>
        <v>108.5</v>
      </c>
      <c r="BB60" s="3182"/>
      <c r="BC60" s="3182"/>
      <c r="BD60" s="3182"/>
      <c r="BE60" s="3182"/>
      <c r="BF60" s="3182"/>
      <c r="BG60" s="3182"/>
      <c r="BH60" s="3182"/>
      <c r="BI60" s="3182"/>
      <c r="BJ60" s="3182"/>
      <c r="BK60" s="3182"/>
      <c r="BL60" s="3182"/>
      <c r="BM60" s="3182"/>
      <c r="BN60" s="3182"/>
      <c r="BO60" s="3182"/>
      <c r="BP60" s="3182"/>
      <c r="BQ60" s="3182"/>
      <c r="BR60" s="3182"/>
      <c r="BS60" s="3182"/>
      <c r="BT60" s="3182"/>
      <c r="BU60" s="3182"/>
      <c r="BV60" s="3182"/>
      <c r="BW60" s="3182"/>
      <c r="BX60" s="3182"/>
      <c r="BY60" s="3182"/>
      <c r="BZ60" s="3182"/>
      <c r="CA60" s="3182"/>
      <c r="CB60" s="3182"/>
      <c r="CC60" s="3182"/>
      <c r="CD60" s="3182"/>
      <c r="CE60" s="3182"/>
      <c r="CF60" s="3182"/>
      <c r="CG60" s="3182"/>
      <c r="CH60" s="3182"/>
      <c r="CI60" s="3184">
        <f t="shared" si="2"/>
        <v>0</v>
      </c>
    </row>
    <row r="61" spans="1:87" s="963" customFormat="1" ht="45">
      <c r="A61" s="107" t="s">
        <v>2033</v>
      </c>
      <c r="B61" s="948" t="s">
        <v>2034</v>
      </c>
      <c r="C61" s="948" t="s">
        <v>2035</v>
      </c>
      <c r="D61" s="982" t="s">
        <v>85</v>
      </c>
      <c r="E61" s="956" t="s">
        <v>113</v>
      </c>
      <c r="F61" s="178">
        <v>300</v>
      </c>
      <c r="G61" s="2442">
        <v>121</v>
      </c>
      <c r="H61" s="198">
        <v>1.5</v>
      </c>
      <c r="I61" s="2442">
        <v>0.69</v>
      </c>
      <c r="J61" s="2442">
        <v>0.81</v>
      </c>
      <c r="K61" s="2442"/>
      <c r="L61" s="2442">
        <v>500</v>
      </c>
      <c r="M61" s="957">
        <f>L61/100000</f>
        <v>5.0000000000000001E-3</v>
      </c>
      <c r="N61" s="2442">
        <v>300</v>
      </c>
      <c r="O61" s="2978">
        <f>N61*M61</f>
        <v>1.5</v>
      </c>
      <c r="P61" s="2444" t="s">
        <v>5261</v>
      </c>
      <c r="Q61" s="107" t="str">
        <f>'Ab1. RMNCH+A'!Q15</f>
        <v>Rs.1.50 lakh is recommended for approval for 300 home deliveries of BPL women @ Rs.500/- per case.</v>
      </c>
      <c r="R61" s="655">
        <f>'Ab1. RMNCH+A'!R15</f>
        <v>1.5</v>
      </c>
      <c r="S61" s="3080"/>
      <c r="BB61" s="3184"/>
      <c r="BC61" s="3184">
        <v>0.04</v>
      </c>
      <c r="BD61" s="3184">
        <v>0.31</v>
      </c>
      <c r="BE61" s="3184">
        <v>0.09</v>
      </c>
      <c r="BF61" s="3184">
        <v>0.25</v>
      </c>
      <c r="BG61" s="3184">
        <v>0.01</v>
      </c>
      <c r="BH61" s="3184">
        <v>0.19</v>
      </c>
      <c r="BI61" s="3184">
        <v>0</v>
      </c>
      <c r="BJ61" s="3184">
        <v>0.19</v>
      </c>
      <c r="BK61" s="3184">
        <v>0.16</v>
      </c>
      <c r="BL61" s="3184">
        <v>0.09</v>
      </c>
      <c r="BM61" s="3184">
        <v>0.1</v>
      </c>
      <c r="BN61" s="3184">
        <v>7.0000000000000007E-2</v>
      </c>
      <c r="BO61" s="3184"/>
      <c r="BP61" s="3184"/>
      <c r="BQ61" s="3184"/>
      <c r="BR61" s="3184"/>
      <c r="BS61" s="3184"/>
      <c r="BT61" s="3184"/>
      <c r="BU61" s="3184"/>
      <c r="BV61" s="3184"/>
      <c r="BW61" s="3184"/>
      <c r="BX61" s="3184"/>
      <c r="BY61" s="3184"/>
      <c r="BZ61" s="3184"/>
      <c r="CA61" s="3184"/>
      <c r="CB61" s="3184"/>
      <c r="CC61" s="3184"/>
      <c r="CD61" s="3184"/>
      <c r="CE61" s="3184"/>
      <c r="CF61" s="3184"/>
      <c r="CG61" s="3184"/>
      <c r="CH61" s="3184"/>
      <c r="CI61" s="3184">
        <f t="shared" si="2"/>
        <v>1.5</v>
      </c>
    </row>
    <row r="62" spans="1:87" s="963" customFormat="1">
      <c r="A62" s="89" t="s">
        <v>2036</v>
      </c>
      <c r="B62" s="89" t="s">
        <v>2037</v>
      </c>
      <c r="C62" s="89" t="s">
        <v>2038</v>
      </c>
      <c r="D62" s="971"/>
      <c r="E62" s="971"/>
      <c r="F62" s="203"/>
      <c r="G62" s="203"/>
      <c r="H62" s="203"/>
      <c r="I62" s="203"/>
      <c r="J62" s="203"/>
      <c r="K62" s="203"/>
      <c r="L62" s="2321"/>
      <c r="M62" s="161"/>
      <c r="N62" s="2321"/>
      <c r="O62" s="2949">
        <f>SUM(O63:O65)</f>
        <v>107</v>
      </c>
      <c r="P62" s="87"/>
      <c r="Q62" s="89"/>
      <c r="R62" s="215">
        <f>SUM(R63:R65)</f>
        <v>107</v>
      </c>
      <c r="BB62" s="3184"/>
      <c r="BC62" s="3184"/>
      <c r="BD62" s="3184"/>
      <c r="BE62" s="3184"/>
      <c r="BF62" s="3184"/>
      <c r="BG62" s="3184"/>
      <c r="BH62" s="3184"/>
      <c r="BI62" s="3184"/>
      <c r="BJ62" s="3184"/>
      <c r="BK62" s="3184"/>
      <c r="BL62" s="3184"/>
      <c r="BM62" s="3184"/>
      <c r="BN62" s="3184"/>
      <c r="BO62" s="3184"/>
      <c r="BP62" s="3184"/>
      <c r="BQ62" s="3184"/>
      <c r="BR62" s="3184"/>
      <c r="BS62" s="3184"/>
      <c r="BT62" s="3184"/>
      <c r="BU62" s="3184"/>
      <c r="BV62" s="3184"/>
      <c r="BW62" s="3184"/>
      <c r="BX62" s="3184"/>
      <c r="BY62" s="3184"/>
      <c r="BZ62" s="3184"/>
      <c r="CA62" s="3184"/>
      <c r="CB62" s="3184"/>
      <c r="CC62" s="3184"/>
      <c r="CD62" s="3184"/>
      <c r="CE62" s="3184"/>
      <c r="CF62" s="3184"/>
      <c r="CG62" s="3184"/>
      <c r="CH62" s="3184"/>
      <c r="CI62" s="3184">
        <f t="shared" si="2"/>
        <v>0</v>
      </c>
    </row>
    <row r="63" spans="1:87" s="963" customFormat="1" ht="38.25" customHeight="1">
      <c r="A63" s="107" t="s">
        <v>4014</v>
      </c>
      <c r="B63" s="948" t="s">
        <v>2039</v>
      </c>
      <c r="C63" s="948" t="s">
        <v>2040</v>
      </c>
      <c r="D63" s="982" t="s">
        <v>85</v>
      </c>
      <c r="E63" s="956" t="s">
        <v>113</v>
      </c>
      <c r="F63" s="178">
        <v>14000</v>
      </c>
      <c r="G63" s="2442">
        <v>4781</v>
      </c>
      <c r="H63" s="198">
        <v>98</v>
      </c>
      <c r="I63" s="2442">
        <v>88.69</v>
      </c>
      <c r="J63" s="2442">
        <v>9.31</v>
      </c>
      <c r="K63" s="178"/>
      <c r="L63" s="2442">
        <v>700</v>
      </c>
      <c r="M63" s="957">
        <f>L63/100000</f>
        <v>7.0000000000000001E-3</v>
      </c>
      <c r="N63" s="2442">
        <v>14000</v>
      </c>
      <c r="O63" s="2978">
        <f>N63*M63</f>
        <v>98</v>
      </c>
      <c r="P63" s="3810" t="s">
        <v>5262</v>
      </c>
      <c r="Q63" s="107" t="str">
        <f>'Ab1. RMNCH+A'!Q17</f>
        <v>Rs.98.00 Lakh is recommended for approval for 14000 rural institutional deliveries @ Rs.700/- per case.</v>
      </c>
      <c r="R63" s="655">
        <f>'Ab1. RMNCH+A'!R17</f>
        <v>98</v>
      </c>
      <c r="BB63" s="3184"/>
      <c r="BC63" s="3184">
        <v>4.21</v>
      </c>
      <c r="BD63" s="3184">
        <v>4.8899999999999997</v>
      </c>
      <c r="BE63" s="3184">
        <v>4.21</v>
      </c>
      <c r="BF63" s="3184">
        <v>21.71</v>
      </c>
      <c r="BG63" s="3184">
        <v>1.99</v>
      </c>
      <c r="BH63" s="3184">
        <v>5.91</v>
      </c>
      <c r="BI63" s="3184">
        <v>0.47</v>
      </c>
      <c r="BJ63" s="3184">
        <v>22.64</v>
      </c>
      <c r="BK63" s="3184">
        <v>4.93</v>
      </c>
      <c r="BL63" s="3184">
        <v>8.59</v>
      </c>
      <c r="BM63" s="3184">
        <v>11.5</v>
      </c>
      <c r="BN63" s="3184">
        <v>6.95</v>
      </c>
      <c r="BO63" s="3184"/>
      <c r="BP63" s="3184"/>
      <c r="BQ63" s="3184"/>
      <c r="BR63" s="3184"/>
      <c r="BS63" s="3184"/>
      <c r="BT63" s="3184"/>
      <c r="BU63" s="3184"/>
      <c r="BV63" s="3184"/>
      <c r="BW63" s="3184"/>
      <c r="BX63" s="3184"/>
      <c r="BY63" s="3184"/>
      <c r="BZ63" s="3184"/>
      <c r="CA63" s="3184"/>
      <c r="CB63" s="3184"/>
      <c r="CC63" s="3184"/>
      <c r="CD63" s="3184"/>
      <c r="CE63" s="3184"/>
      <c r="CF63" s="3184"/>
      <c r="CG63" s="3184"/>
      <c r="CH63" s="3184"/>
      <c r="CI63" s="3184">
        <f t="shared" si="2"/>
        <v>98.000000000000014</v>
      </c>
    </row>
    <row r="64" spans="1:87" s="963" customFormat="1" ht="45">
      <c r="A64" s="107" t="s">
        <v>4015</v>
      </c>
      <c r="B64" s="948" t="s">
        <v>2041</v>
      </c>
      <c r="C64" s="948" t="s">
        <v>2042</v>
      </c>
      <c r="D64" s="982" t="s">
        <v>85</v>
      </c>
      <c r="E64" s="956" t="s">
        <v>113</v>
      </c>
      <c r="F64" s="178">
        <v>1000</v>
      </c>
      <c r="G64" s="2442">
        <v>589</v>
      </c>
      <c r="H64" s="198">
        <v>6</v>
      </c>
      <c r="I64" s="2442">
        <v>2.92</v>
      </c>
      <c r="J64" s="2442">
        <v>3.08</v>
      </c>
      <c r="K64" s="178"/>
      <c r="L64" s="2442">
        <v>600</v>
      </c>
      <c r="M64" s="957">
        <f>L64/100000</f>
        <v>6.0000000000000001E-3</v>
      </c>
      <c r="N64" s="2442">
        <v>1000</v>
      </c>
      <c r="O64" s="2978">
        <f>N64*M64</f>
        <v>6</v>
      </c>
      <c r="P64" s="3811"/>
      <c r="Q64" s="107" t="str">
        <f>'Ab1. RMNCH+A'!Q18</f>
        <v xml:space="preserve">Rs.6.00 Lakh is recommended for approval  for 1000 urban institutional deliveries @ Rs.600/- per case. </v>
      </c>
      <c r="R64" s="655">
        <f>'Ab1. RMNCH+A'!R18</f>
        <v>6</v>
      </c>
      <c r="BB64" s="3184"/>
      <c r="BC64" s="3184">
        <v>0.06</v>
      </c>
      <c r="BD64" s="3184">
        <v>0.08</v>
      </c>
      <c r="BE64" s="3184">
        <v>0.1</v>
      </c>
      <c r="BF64" s="3184">
        <v>2.39</v>
      </c>
      <c r="BG64" s="3184">
        <v>0.04</v>
      </c>
      <c r="BH64" s="3184">
        <v>0.04</v>
      </c>
      <c r="BI64" s="3184">
        <v>0</v>
      </c>
      <c r="BJ64" s="3184">
        <v>0.96</v>
      </c>
      <c r="BK64" s="3184">
        <v>0.23</v>
      </c>
      <c r="BL64" s="3184">
        <v>0.2</v>
      </c>
      <c r="BM64" s="3184">
        <v>1.1499999999999999</v>
      </c>
      <c r="BN64" s="3184">
        <v>0.75</v>
      </c>
      <c r="BO64" s="3184"/>
      <c r="BP64" s="3184"/>
      <c r="BQ64" s="3184"/>
      <c r="BR64" s="3184"/>
      <c r="BS64" s="3184"/>
      <c r="BT64" s="3184"/>
      <c r="BU64" s="3184"/>
      <c r="BV64" s="3184"/>
      <c r="BW64" s="3184"/>
      <c r="BX64" s="3184"/>
      <c r="BY64" s="3184"/>
      <c r="BZ64" s="3184"/>
      <c r="CA64" s="3184"/>
      <c r="CB64" s="3184"/>
      <c r="CC64" s="3184"/>
      <c r="CD64" s="3184"/>
      <c r="CE64" s="3184"/>
      <c r="CF64" s="3184"/>
      <c r="CG64" s="3184"/>
      <c r="CH64" s="3184"/>
      <c r="CI64" s="3184">
        <f t="shared" si="2"/>
        <v>6</v>
      </c>
    </row>
    <row r="65" spans="1:87" s="963" customFormat="1" ht="77.25" customHeight="1">
      <c r="A65" s="107" t="s">
        <v>4016</v>
      </c>
      <c r="B65" s="948" t="s">
        <v>2043</v>
      </c>
      <c r="C65" s="948" t="s">
        <v>2044</v>
      </c>
      <c r="D65" s="982" t="s">
        <v>85</v>
      </c>
      <c r="E65" s="956" t="s">
        <v>113</v>
      </c>
      <c r="F65" s="178">
        <v>100</v>
      </c>
      <c r="G65" s="178"/>
      <c r="H65" s="198">
        <v>3</v>
      </c>
      <c r="I65" s="2442">
        <v>0.21</v>
      </c>
      <c r="J65" s="2442">
        <v>2.79</v>
      </c>
      <c r="K65" s="178"/>
      <c r="L65" s="2442">
        <v>3000</v>
      </c>
      <c r="M65" s="957">
        <f>L65/100000</f>
        <v>0.03</v>
      </c>
      <c r="N65" s="2442">
        <v>100</v>
      </c>
      <c r="O65" s="2978">
        <f>N65*M65</f>
        <v>3</v>
      </c>
      <c r="P65" s="3812"/>
      <c r="Q65" s="107" t="str">
        <f>'Ab1. RMNCH+A'!Q19</f>
        <v>Rs.3.00 Lakh is recommended for approval for 100 C-Section cases as proposed by the State (@ Rs.3000 per Case as proposed by state). It may be ensured that the expenditure may be incurred limiting to the prevaling market situation to hire the services of private Specialists to conduct C-Sections under JSY.</v>
      </c>
      <c r="R65" s="655">
        <f>'Ab1. RMNCH+A'!R19</f>
        <v>3</v>
      </c>
      <c r="BB65" s="3184">
        <v>3</v>
      </c>
      <c r="BC65" s="3184"/>
      <c r="BD65" s="3184"/>
      <c r="BE65" s="3184"/>
      <c r="BF65" s="3184"/>
      <c r="BG65" s="3184"/>
      <c r="BH65" s="3184"/>
      <c r="BI65" s="3184"/>
      <c r="BJ65" s="3184"/>
      <c r="BK65" s="3184"/>
      <c r="BL65" s="3184"/>
      <c r="BM65" s="3184">
        <v>0</v>
      </c>
      <c r="BN65" s="3184"/>
      <c r="BO65" s="3184"/>
      <c r="BP65" s="3184"/>
      <c r="BQ65" s="3184"/>
      <c r="BR65" s="3184"/>
      <c r="BS65" s="3184"/>
      <c r="BT65" s="3184"/>
      <c r="BU65" s="3184"/>
      <c r="BV65" s="3184"/>
      <c r="BW65" s="3184"/>
      <c r="BX65" s="3184"/>
      <c r="BY65" s="3184"/>
      <c r="BZ65" s="3184"/>
      <c r="CA65" s="3184"/>
      <c r="CB65" s="3184"/>
      <c r="CC65" s="3184"/>
      <c r="CD65" s="3184"/>
      <c r="CE65" s="3184"/>
      <c r="CF65" s="3184"/>
      <c r="CG65" s="3184"/>
      <c r="CH65" s="3184"/>
      <c r="CI65" s="3184">
        <f t="shared" si="2"/>
        <v>3</v>
      </c>
    </row>
    <row r="66" spans="1:87" ht="30">
      <c r="A66" s="935" t="s">
        <v>45</v>
      </c>
      <c r="B66" s="936"/>
      <c r="C66" s="85" t="s">
        <v>2045</v>
      </c>
      <c r="D66" s="937"/>
      <c r="E66" s="938"/>
      <c r="F66" s="148"/>
      <c r="G66" s="148"/>
      <c r="H66" s="148"/>
      <c r="I66" s="148"/>
      <c r="J66" s="148"/>
      <c r="K66" s="149"/>
      <c r="L66" s="192"/>
      <c r="M66" s="950"/>
      <c r="N66" s="195"/>
      <c r="O66" s="2979">
        <f>O67+O70+O75+O76</f>
        <v>99.25</v>
      </c>
      <c r="P66" s="94"/>
      <c r="Q66" s="85"/>
      <c r="R66" s="209">
        <f>R67+R70+R75+R76</f>
        <v>93.25</v>
      </c>
      <c r="BB66" s="3182"/>
      <c r="BC66" s="3182"/>
      <c r="BD66" s="3182"/>
      <c r="BE66" s="3182"/>
      <c r="BF66" s="3182"/>
      <c r="BG66" s="3182"/>
      <c r="BH66" s="3182"/>
      <c r="BI66" s="3182"/>
      <c r="BJ66" s="3182"/>
      <c r="BK66" s="3182"/>
      <c r="BL66" s="3182"/>
      <c r="BM66" s="3182"/>
      <c r="BN66" s="3182"/>
      <c r="BO66" s="3182"/>
      <c r="BP66" s="3182"/>
      <c r="BQ66" s="3182"/>
      <c r="BR66" s="3182"/>
      <c r="BS66" s="3182"/>
      <c r="BT66" s="3182"/>
      <c r="BU66" s="3182"/>
      <c r="BV66" s="3182"/>
      <c r="BW66" s="3182"/>
      <c r="BX66" s="3182"/>
      <c r="BY66" s="3182"/>
      <c r="BZ66" s="3182"/>
      <c r="CA66" s="3182"/>
      <c r="CB66" s="3182"/>
      <c r="CC66" s="3182"/>
      <c r="CD66" s="3182"/>
      <c r="CE66" s="3182"/>
      <c r="CF66" s="3182"/>
      <c r="CG66" s="3182"/>
      <c r="CH66" s="3182"/>
      <c r="CI66" s="3184">
        <f t="shared" si="2"/>
        <v>0</v>
      </c>
    </row>
    <row r="67" spans="1:87" s="963" customFormat="1">
      <c r="A67" s="89" t="s">
        <v>2046</v>
      </c>
      <c r="B67" s="89" t="s">
        <v>1965</v>
      </c>
      <c r="C67" s="89" t="s">
        <v>1966</v>
      </c>
      <c r="D67" s="971"/>
      <c r="E67" s="971"/>
      <c r="F67" s="203">
        <v>0</v>
      </c>
      <c r="G67" s="203"/>
      <c r="H67" s="203">
        <v>118.75</v>
      </c>
      <c r="I67" s="203"/>
      <c r="J67" s="203"/>
      <c r="K67" s="203"/>
      <c r="L67" s="170"/>
      <c r="M67" s="161"/>
      <c r="N67" s="170"/>
      <c r="O67" s="2949">
        <f>SUM(O68:O69)</f>
        <v>68.75</v>
      </c>
      <c r="P67" s="171"/>
      <c r="Q67" s="89"/>
      <c r="R67" s="215">
        <f>SUM(R68:R69)</f>
        <v>68.75</v>
      </c>
      <c r="BB67" s="3184"/>
      <c r="BC67" s="3184"/>
      <c r="BD67" s="3184"/>
      <c r="BE67" s="3184"/>
      <c r="BF67" s="3184"/>
      <c r="BG67" s="3184"/>
      <c r="BH67" s="3184"/>
      <c r="BI67" s="3184"/>
      <c r="BJ67" s="3184"/>
      <c r="BK67" s="3184"/>
      <c r="BL67" s="3184"/>
      <c r="BM67" s="3184"/>
      <c r="BN67" s="3184"/>
      <c r="BO67" s="3184"/>
      <c r="BP67" s="3184"/>
      <c r="BQ67" s="3184"/>
      <c r="BR67" s="3184"/>
      <c r="BS67" s="3184"/>
      <c r="BT67" s="3184"/>
      <c r="BU67" s="3184"/>
      <c r="BV67" s="3184"/>
      <c r="BW67" s="3184"/>
      <c r="BX67" s="3184"/>
      <c r="BY67" s="3184"/>
      <c r="BZ67" s="3184"/>
      <c r="CA67" s="3184"/>
      <c r="CB67" s="3184"/>
      <c r="CC67" s="3184"/>
      <c r="CD67" s="3184"/>
      <c r="CE67" s="3184"/>
      <c r="CF67" s="3184"/>
      <c r="CG67" s="3184"/>
      <c r="CH67" s="3184"/>
      <c r="CI67" s="3184">
        <f t="shared" si="2"/>
        <v>0</v>
      </c>
    </row>
    <row r="68" spans="1:87" s="963" customFormat="1" ht="135">
      <c r="A68" s="107" t="s">
        <v>4017</v>
      </c>
      <c r="B68" s="948" t="s">
        <v>2047</v>
      </c>
      <c r="C68" s="948" t="s">
        <v>2048</v>
      </c>
      <c r="D68" s="982" t="s">
        <v>85</v>
      </c>
      <c r="E68" s="956" t="s">
        <v>86</v>
      </c>
      <c r="F68" s="2446">
        <v>10000</v>
      </c>
      <c r="G68" s="2526"/>
      <c r="H68" s="198">
        <v>100</v>
      </c>
      <c r="I68" s="2527">
        <v>6.03</v>
      </c>
      <c r="J68" s="2528">
        <v>93.97</v>
      </c>
      <c r="K68" s="2524">
        <v>1</v>
      </c>
      <c r="L68" s="2366">
        <v>1000</v>
      </c>
      <c r="M68" s="957">
        <f>L68/100000</f>
        <v>0.01</v>
      </c>
      <c r="N68" s="2366">
        <v>5000</v>
      </c>
      <c r="O68" s="2978">
        <f>N68*M68</f>
        <v>50</v>
      </c>
      <c r="P68" s="2525" t="s">
        <v>5315</v>
      </c>
      <c r="Q68" s="107" t="str">
        <f>'Ab1. RMNCH+A'!Q203</f>
        <v>Ongoing activity : Rs 50.0 lakhs is recommended for approval  for compensation amount of female sterlization to the 5,000 beneficiaries @ Rs.1000/case</v>
      </c>
      <c r="R68" s="655">
        <f>'Ab1. RMNCH+A'!R203</f>
        <v>50</v>
      </c>
      <c r="BB68" s="3184"/>
      <c r="BC68" s="3184">
        <v>2</v>
      </c>
      <c r="BD68" s="3184">
        <v>0.5</v>
      </c>
      <c r="BE68" s="3184">
        <v>3</v>
      </c>
      <c r="BF68" s="3184">
        <v>4</v>
      </c>
      <c r="BG68" s="3184">
        <v>0.2</v>
      </c>
      <c r="BH68" s="3184">
        <v>1.5</v>
      </c>
      <c r="BI68" s="3184">
        <v>0.3</v>
      </c>
      <c r="BJ68" s="3184">
        <v>4.25</v>
      </c>
      <c r="BK68" s="3184">
        <v>2</v>
      </c>
      <c r="BL68" s="3184">
        <v>3</v>
      </c>
      <c r="BM68" s="3184">
        <v>0.5</v>
      </c>
      <c r="BN68" s="3184">
        <v>1</v>
      </c>
      <c r="BO68" s="3184"/>
      <c r="BP68" s="3184">
        <v>1</v>
      </c>
      <c r="BQ68" s="3184">
        <v>0.5</v>
      </c>
      <c r="BR68" s="3184">
        <v>2</v>
      </c>
      <c r="BS68" s="3184"/>
      <c r="BT68" s="3184">
        <v>3</v>
      </c>
      <c r="BU68" s="3184">
        <v>2</v>
      </c>
      <c r="BV68" s="3184">
        <v>2</v>
      </c>
      <c r="BW68" s="3184">
        <v>3</v>
      </c>
      <c r="BX68" s="3184">
        <v>2</v>
      </c>
      <c r="BY68" s="3184">
        <v>1.5</v>
      </c>
      <c r="BZ68" s="3184">
        <v>4.25</v>
      </c>
      <c r="CA68" s="3184">
        <v>2</v>
      </c>
      <c r="CB68" s="3184">
        <v>1.5</v>
      </c>
      <c r="CC68" s="3184">
        <v>1.5</v>
      </c>
      <c r="CD68" s="3184">
        <v>0.5</v>
      </c>
      <c r="CE68" s="3184"/>
      <c r="CF68" s="3184">
        <v>1</v>
      </c>
      <c r="CG68" s="3184"/>
      <c r="CH68" s="3184"/>
      <c r="CI68" s="3184">
        <f t="shared" si="2"/>
        <v>50</v>
      </c>
    </row>
    <row r="69" spans="1:87" s="963" customFormat="1" ht="90">
      <c r="A69" s="107" t="s">
        <v>4018</v>
      </c>
      <c r="B69" s="948" t="s">
        <v>2049</v>
      </c>
      <c r="C69" s="948" t="s">
        <v>2050</v>
      </c>
      <c r="D69" s="982" t="s">
        <v>85</v>
      </c>
      <c r="E69" s="956" t="s">
        <v>86</v>
      </c>
      <c r="F69" s="2446">
        <v>1250</v>
      </c>
      <c r="G69" s="2526"/>
      <c r="H69" s="198">
        <v>18.75</v>
      </c>
      <c r="I69" s="2529">
        <v>0.86</v>
      </c>
      <c r="J69" s="2528">
        <v>17.89</v>
      </c>
      <c r="K69" s="2524">
        <v>1</v>
      </c>
      <c r="L69" s="2366">
        <v>1500</v>
      </c>
      <c r="M69" s="957">
        <f>L69/100000</f>
        <v>1.4999999999999999E-2</v>
      </c>
      <c r="N69" s="2366">
        <v>1250</v>
      </c>
      <c r="O69" s="2978">
        <f>N69*M69</f>
        <v>18.75</v>
      </c>
      <c r="P69" s="2530" t="s">
        <v>5318</v>
      </c>
      <c r="Q69" s="107" t="str">
        <f>'Ab1. RMNCH+A'!Q204</f>
        <v>Ongoing activity :Rs 18.75 lakhs is recommended for approval for compensation amount of male sterlization to the 1250 beneficiaries @ Rs.1500/case</v>
      </c>
      <c r="R69" s="655">
        <f>'Ab1. RMNCH+A'!R204</f>
        <v>18.75</v>
      </c>
      <c r="BB69" s="3184"/>
      <c r="BC69" s="3184">
        <v>0.2</v>
      </c>
      <c r="BD69" s="3184">
        <v>4</v>
      </c>
      <c r="BE69" s="3184">
        <v>0.19</v>
      </c>
      <c r="BF69" s="3184">
        <v>0.2</v>
      </c>
      <c r="BG69" s="3184">
        <v>0.3</v>
      </c>
      <c r="BH69" s="3184">
        <v>3</v>
      </c>
      <c r="BI69" s="3184">
        <v>0.15</v>
      </c>
      <c r="BJ69" s="3184">
        <v>0.35</v>
      </c>
      <c r="BK69" s="3184">
        <v>0.4</v>
      </c>
      <c r="BL69" s="3184">
        <v>0.15</v>
      </c>
      <c r="BM69" s="3184">
        <v>0.25</v>
      </c>
      <c r="BN69" s="3184">
        <v>0.1</v>
      </c>
      <c r="BO69" s="3184"/>
      <c r="BP69" s="3184">
        <v>0.1</v>
      </c>
      <c r="BQ69" s="3184">
        <v>3.5</v>
      </c>
      <c r="BR69" s="3184">
        <v>0.19</v>
      </c>
      <c r="BS69" s="3184"/>
      <c r="BT69" s="3184">
        <v>0.15</v>
      </c>
      <c r="BU69" s="3184">
        <v>0.5</v>
      </c>
      <c r="BV69" s="3184">
        <v>0.22</v>
      </c>
      <c r="BW69" s="3184">
        <v>0.15</v>
      </c>
      <c r="BX69" s="3184">
        <v>0.1</v>
      </c>
      <c r="BY69" s="3184">
        <v>3</v>
      </c>
      <c r="BZ69" s="3184">
        <v>0.35</v>
      </c>
      <c r="CA69" s="3184">
        <v>0.4</v>
      </c>
      <c r="CB69" s="3184">
        <v>0.25</v>
      </c>
      <c r="CC69" s="3184">
        <v>0.2</v>
      </c>
      <c r="CD69" s="3184">
        <v>0.25</v>
      </c>
      <c r="CE69" s="3184"/>
      <c r="CF69" s="3184">
        <v>0.1</v>
      </c>
      <c r="CG69" s="3184"/>
      <c r="CH69" s="3184"/>
      <c r="CI69" s="3184">
        <f t="shared" si="2"/>
        <v>18.750000000000004</v>
      </c>
    </row>
    <row r="70" spans="1:87" s="963" customFormat="1">
      <c r="A70" s="177" t="s">
        <v>2051</v>
      </c>
      <c r="B70" s="177" t="s">
        <v>1972</v>
      </c>
      <c r="C70" s="177" t="s">
        <v>1973</v>
      </c>
      <c r="D70" s="954"/>
      <c r="E70" s="954"/>
      <c r="F70" s="196"/>
      <c r="G70" s="196"/>
      <c r="H70" s="196"/>
      <c r="I70" s="196"/>
      <c r="J70" s="196"/>
      <c r="K70" s="196"/>
      <c r="L70" s="197"/>
      <c r="M70" s="955"/>
      <c r="N70" s="197"/>
      <c r="O70" s="2980">
        <f>SUM(O71:O74)</f>
        <v>18.5</v>
      </c>
      <c r="P70" s="176"/>
      <c r="Q70" s="177"/>
      <c r="R70" s="211">
        <f>SUM(R71:R74)</f>
        <v>18.5</v>
      </c>
      <c r="BB70" s="3184"/>
      <c r="BC70" s="3184"/>
      <c r="BD70" s="3184"/>
      <c r="BE70" s="3184"/>
      <c r="BF70" s="3184"/>
      <c r="BG70" s="3184"/>
      <c r="BH70" s="3184"/>
      <c r="BI70" s="3184"/>
      <c r="BJ70" s="3184"/>
      <c r="BK70" s="3184"/>
      <c r="BL70" s="3184"/>
      <c r="BM70" s="3184"/>
      <c r="BN70" s="3184"/>
      <c r="BO70" s="3184"/>
      <c r="BP70" s="3184"/>
      <c r="BQ70" s="3184"/>
      <c r="BR70" s="3184"/>
      <c r="BS70" s="3184"/>
      <c r="BT70" s="3184"/>
      <c r="BU70" s="3184"/>
      <c r="BV70" s="3184"/>
      <c r="BW70" s="3184"/>
      <c r="BX70" s="3184"/>
      <c r="BY70" s="3184"/>
      <c r="BZ70" s="3184"/>
      <c r="CA70" s="3184"/>
      <c r="CB70" s="3184"/>
      <c r="CC70" s="3184"/>
      <c r="CD70" s="3184"/>
      <c r="CE70" s="3184"/>
      <c r="CF70" s="3184"/>
      <c r="CG70" s="3184"/>
      <c r="CH70" s="3184"/>
      <c r="CI70" s="3184">
        <f t="shared" si="2"/>
        <v>0</v>
      </c>
    </row>
    <row r="71" spans="1:87" s="963" customFormat="1" ht="90">
      <c r="A71" s="107" t="s">
        <v>4019</v>
      </c>
      <c r="B71" s="948" t="s">
        <v>730</v>
      </c>
      <c r="C71" s="948" t="s">
        <v>3836</v>
      </c>
      <c r="D71" s="982" t="s">
        <v>85</v>
      </c>
      <c r="E71" s="956" t="s">
        <v>86</v>
      </c>
      <c r="F71" s="178">
        <v>10000</v>
      </c>
      <c r="G71" s="178"/>
      <c r="H71" s="198">
        <v>2</v>
      </c>
      <c r="I71" s="2527">
        <v>0.79</v>
      </c>
      <c r="J71" s="2528">
        <v>1.21</v>
      </c>
      <c r="K71" s="2524">
        <v>1</v>
      </c>
      <c r="L71" s="2366">
        <v>20</v>
      </c>
      <c r="M71" s="957">
        <f t="shared" ref="M71:M76" si="7">L71/100000</f>
        <v>2.0000000000000001E-4</v>
      </c>
      <c r="N71" s="2366">
        <v>10000</v>
      </c>
      <c r="O71" s="2978">
        <f t="shared" ref="O71:O76" si="8">N71*M71</f>
        <v>2</v>
      </c>
      <c r="P71" s="2525" t="s">
        <v>5319</v>
      </c>
      <c r="Q71" s="107" t="str">
        <f>'Ab1. RMNCH+A'!Q205</f>
        <v xml:space="preserve">Ongoing activity :Rs 2.00 lakhs is recommended for approval  for compensation amount of IUCD insertions at health facilities to 10,000 beneficiaries @ Rs 20/insertion </v>
      </c>
      <c r="R71" s="655">
        <f>'Ab1. RMNCH+A'!R205</f>
        <v>2</v>
      </c>
      <c r="BB71" s="3184"/>
      <c r="BC71" s="3184">
        <v>0.22</v>
      </c>
      <c r="BD71" s="3184">
        <v>0.05</v>
      </c>
      <c r="BE71" s="3184">
        <v>0.21</v>
      </c>
      <c r="BF71" s="3184">
        <v>0.12</v>
      </c>
      <c r="BG71" s="3184">
        <v>0.02</v>
      </c>
      <c r="BH71" s="3184">
        <v>0.05</v>
      </c>
      <c r="BI71" s="3184">
        <v>0</v>
      </c>
      <c r="BJ71" s="3184">
        <v>0.08</v>
      </c>
      <c r="BK71" s="3184">
        <v>0.02</v>
      </c>
      <c r="BL71" s="3184">
        <v>0.04</v>
      </c>
      <c r="BM71" s="3184">
        <v>0.12</v>
      </c>
      <c r="BN71" s="3184">
        <v>0.04</v>
      </c>
      <c r="BO71" s="3184"/>
      <c r="BP71" s="3184">
        <v>0.06</v>
      </c>
      <c r="BQ71" s="3184">
        <v>0.03</v>
      </c>
      <c r="BR71" s="3184">
        <v>0.21</v>
      </c>
      <c r="BS71" s="3184"/>
      <c r="BT71" s="3184">
        <v>0.04</v>
      </c>
      <c r="BU71" s="3184">
        <v>0.02</v>
      </c>
      <c r="BV71" s="3184">
        <v>0.2</v>
      </c>
      <c r="BW71" s="3184">
        <v>0.06</v>
      </c>
      <c r="BX71" s="3184">
        <v>0.06</v>
      </c>
      <c r="BY71" s="3184">
        <v>0.05</v>
      </c>
      <c r="BZ71" s="3184">
        <v>0.08</v>
      </c>
      <c r="CA71" s="3184">
        <v>0.02</v>
      </c>
      <c r="CB71" s="3184">
        <v>0.02</v>
      </c>
      <c r="CC71" s="3184">
        <v>0.02</v>
      </c>
      <c r="CD71" s="3184">
        <v>0.12</v>
      </c>
      <c r="CE71" s="3184"/>
      <c r="CF71" s="3184">
        <v>0.04</v>
      </c>
      <c r="CG71" s="3184"/>
      <c r="CH71" s="3184"/>
      <c r="CI71" s="3184">
        <f t="shared" si="2"/>
        <v>2.0000000000000004</v>
      </c>
    </row>
    <row r="72" spans="1:87" s="963" customFormat="1" ht="78.75">
      <c r="A72" s="107" t="s">
        <v>4020</v>
      </c>
      <c r="B72" s="948" t="s">
        <v>732</v>
      </c>
      <c r="C72" s="948" t="s">
        <v>3837</v>
      </c>
      <c r="D72" s="982" t="s">
        <v>85</v>
      </c>
      <c r="E72" s="956" t="s">
        <v>86</v>
      </c>
      <c r="F72" s="178">
        <v>5000</v>
      </c>
      <c r="G72" s="178"/>
      <c r="H72" s="198">
        <v>15</v>
      </c>
      <c r="I72" s="2524">
        <v>0.5</v>
      </c>
      <c r="J72" s="2528">
        <v>14.5</v>
      </c>
      <c r="K72" s="2524">
        <v>1</v>
      </c>
      <c r="L72" s="2366">
        <v>300</v>
      </c>
      <c r="M72" s="957">
        <f t="shared" si="7"/>
        <v>3.0000000000000001E-3</v>
      </c>
      <c r="N72" s="2366">
        <v>5000</v>
      </c>
      <c r="O72" s="2978">
        <f t="shared" si="8"/>
        <v>15</v>
      </c>
      <c r="P72" s="2525" t="s">
        <v>5320</v>
      </c>
      <c r="Q72" s="107" t="str">
        <f>'Ab1. RMNCH+A'!Q206</f>
        <v>Ongoing activity :Rs 15.00 lakhs is recommended for approval  for compensation to 5,000 beneficiaries for PPIUCD   insertions at  @ Rs.300/beneficiary</v>
      </c>
      <c r="R72" s="655">
        <f>'Ab1. RMNCH+A'!R206</f>
        <v>15</v>
      </c>
      <c r="BB72" s="3184">
        <v>0.21</v>
      </c>
      <c r="BC72" s="3184">
        <v>1.05</v>
      </c>
      <c r="BD72" s="3184">
        <v>0.3</v>
      </c>
      <c r="BE72" s="3184">
        <v>0.15</v>
      </c>
      <c r="BF72" s="3184">
        <v>0.85</v>
      </c>
      <c r="BG72" s="3184">
        <v>0.36</v>
      </c>
      <c r="BH72" s="3184">
        <v>0.45</v>
      </c>
      <c r="BI72" s="3184">
        <v>0</v>
      </c>
      <c r="BJ72" s="3184">
        <v>0.9</v>
      </c>
      <c r="BK72" s="3184">
        <v>0.3</v>
      </c>
      <c r="BL72" s="3184">
        <v>0.9</v>
      </c>
      <c r="BM72" s="3184">
        <v>0.75</v>
      </c>
      <c r="BN72" s="3184">
        <v>1.7</v>
      </c>
      <c r="BO72" s="3184"/>
      <c r="BP72" s="3184">
        <v>0.3</v>
      </c>
      <c r="BQ72" s="3184">
        <v>0.18</v>
      </c>
      <c r="BR72" s="3184">
        <v>0.15</v>
      </c>
      <c r="BS72" s="3184"/>
      <c r="BT72" s="3184">
        <v>0.15</v>
      </c>
      <c r="BU72" s="3184">
        <v>0.25</v>
      </c>
      <c r="BV72" s="3184">
        <v>1.05</v>
      </c>
      <c r="BW72" s="3184">
        <v>0.5</v>
      </c>
      <c r="BX72" s="3184">
        <v>0.35</v>
      </c>
      <c r="BY72" s="3184">
        <v>0.45</v>
      </c>
      <c r="BZ72" s="3184">
        <v>0.6</v>
      </c>
      <c r="CA72" s="3184">
        <v>0.25</v>
      </c>
      <c r="CB72" s="3184">
        <v>0.15</v>
      </c>
      <c r="CC72" s="3184">
        <v>0.25</v>
      </c>
      <c r="CD72" s="3184">
        <v>0.75</v>
      </c>
      <c r="CE72" s="3184"/>
      <c r="CF72" s="3184">
        <v>1.7</v>
      </c>
      <c r="CG72" s="3184"/>
      <c r="CH72" s="3184"/>
      <c r="CI72" s="3184">
        <f t="shared" si="2"/>
        <v>15</v>
      </c>
    </row>
    <row r="73" spans="1:87" s="963" customFormat="1" ht="75">
      <c r="A73" s="107" t="s">
        <v>4021</v>
      </c>
      <c r="B73" s="948" t="s">
        <v>734</v>
      </c>
      <c r="C73" s="948" t="s">
        <v>3838</v>
      </c>
      <c r="D73" s="982" t="s">
        <v>85</v>
      </c>
      <c r="E73" s="956" t="s">
        <v>86</v>
      </c>
      <c r="F73" s="178">
        <v>500</v>
      </c>
      <c r="G73" s="178"/>
      <c r="H73" s="198">
        <v>1.5</v>
      </c>
      <c r="I73" s="2524">
        <v>0.02</v>
      </c>
      <c r="J73" s="2528">
        <v>1.48</v>
      </c>
      <c r="K73" s="2524">
        <v>1</v>
      </c>
      <c r="L73" s="2366">
        <v>300</v>
      </c>
      <c r="M73" s="957">
        <f t="shared" si="7"/>
        <v>3.0000000000000001E-3</v>
      </c>
      <c r="N73" s="2366">
        <v>500</v>
      </c>
      <c r="O73" s="2978">
        <f t="shared" si="8"/>
        <v>1.5</v>
      </c>
      <c r="P73" s="2525" t="s">
        <v>5321</v>
      </c>
      <c r="Q73" s="107" t="str">
        <f>'Ab1. RMNCH+A'!Q207</f>
        <v>Ongoing activity :Rs 1.50 lakhs is recommended for approval  for compensation to 500 beneficiaries for PAIUCD   insertions at  @ Rs.300/beneficiary</v>
      </c>
      <c r="R73" s="655">
        <f>'Ab1. RMNCH+A'!R207</f>
        <v>1.5</v>
      </c>
      <c r="BB73" s="3184"/>
      <c r="BC73" s="3184">
        <v>0.02</v>
      </c>
      <c r="BD73" s="3184">
        <v>0.03</v>
      </c>
      <c r="BE73" s="3184">
        <v>0.02</v>
      </c>
      <c r="BF73" s="3184">
        <v>0.02</v>
      </c>
      <c r="BG73" s="3184">
        <v>0.1</v>
      </c>
      <c r="BH73" s="3184">
        <v>0.02</v>
      </c>
      <c r="BI73" s="3184">
        <v>0.02</v>
      </c>
      <c r="BJ73" s="3184">
        <v>0.03</v>
      </c>
      <c r="BK73" s="3184">
        <v>0.05</v>
      </c>
      <c r="BL73" s="3184">
        <v>0.06</v>
      </c>
      <c r="BM73" s="3184">
        <v>0.12</v>
      </c>
      <c r="BN73" s="3184">
        <v>0.02</v>
      </c>
      <c r="BO73" s="3184"/>
      <c r="BP73" s="3184">
        <v>0.21</v>
      </c>
      <c r="BQ73" s="3184">
        <v>0.05</v>
      </c>
      <c r="BR73" s="3184">
        <v>0.02</v>
      </c>
      <c r="BS73" s="3184"/>
      <c r="BT73" s="3184">
        <v>0.06</v>
      </c>
      <c r="BU73" s="3184">
        <v>0.1</v>
      </c>
      <c r="BV73" s="3184">
        <v>0.01</v>
      </c>
      <c r="BW73" s="3184">
        <v>0.01</v>
      </c>
      <c r="BX73" s="3184">
        <v>0.01</v>
      </c>
      <c r="BY73" s="3184">
        <v>0.01</v>
      </c>
      <c r="BZ73" s="3184">
        <v>0.24</v>
      </c>
      <c r="CA73" s="3184">
        <v>0.05</v>
      </c>
      <c r="CB73" s="3184">
        <v>0.05</v>
      </c>
      <c r="CC73" s="3184">
        <v>0.04</v>
      </c>
      <c r="CD73" s="3184">
        <v>0.12</v>
      </c>
      <c r="CE73" s="3184"/>
      <c r="CF73" s="3184">
        <v>0.01</v>
      </c>
      <c r="CG73" s="3184"/>
      <c r="CH73" s="3184"/>
      <c r="CI73" s="3184">
        <f t="shared" si="2"/>
        <v>1.5000000000000002</v>
      </c>
    </row>
    <row r="74" spans="1:87" ht="30">
      <c r="A74" s="107" t="s">
        <v>4022</v>
      </c>
      <c r="B74" s="942" t="s">
        <v>2052</v>
      </c>
      <c r="C74" s="942" t="s">
        <v>2053</v>
      </c>
      <c r="D74" s="943" t="s">
        <v>85</v>
      </c>
      <c r="E74" s="944" t="s">
        <v>86</v>
      </c>
      <c r="F74" s="155">
        <v>0</v>
      </c>
      <c r="G74" s="155"/>
      <c r="H74" s="194">
        <v>0</v>
      </c>
      <c r="I74" s="194"/>
      <c r="J74" s="155"/>
      <c r="K74" s="155"/>
      <c r="L74" s="170"/>
      <c r="M74" s="193">
        <f t="shared" si="7"/>
        <v>0</v>
      </c>
      <c r="N74" s="170"/>
      <c r="O74" s="2977">
        <f t="shared" si="8"/>
        <v>0</v>
      </c>
      <c r="P74" s="171"/>
      <c r="Q74" s="88" t="str">
        <f>'Ab1. RMNCH+A'!Q208</f>
        <v>--</v>
      </c>
      <c r="R74" s="690">
        <f>'Ab1. RMNCH+A'!R208</f>
        <v>0</v>
      </c>
      <c r="BB74" s="3182"/>
      <c r="BC74" s="3182"/>
      <c r="BD74" s="3182"/>
      <c r="BE74" s="3182"/>
      <c r="BF74" s="3182"/>
      <c r="BG74" s="3182"/>
      <c r="BH74" s="3182"/>
      <c r="BI74" s="3182"/>
      <c r="BJ74" s="3182"/>
      <c r="BK74" s="3182"/>
      <c r="BL74" s="3182"/>
      <c r="BM74" s="3182"/>
      <c r="BN74" s="3182"/>
      <c r="BO74" s="3182"/>
      <c r="BP74" s="3182"/>
      <c r="BQ74" s="3182"/>
      <c r="BR74" s="3182"/>
      <c r="BS74" s="3182"/>
      <c r="BT74" s="3182"/>
      <c r="BU74" s="3182"/>
      <c r="BV74" s="3182"/>
      <c r="BW74" s="3182"/>
      <c r="BX74" s="3182"/>
      <c r="BY74" s="3182"/>
      <c r="BZ74" s="3182"/>
      <c r="CA74" s="3182"/>
      <c r="CB74" s="3182"/>
      <c r="CC74" s="3182"/>
      <c r="CD74" s="3182"/>
      <c r="CE74" s="3182"/>
      <c r="CF74" s="3182"/>
      <c r="CG74" s="3182"/>
      <c r="CH74" s="3182"/>
      <c r="CI74" s="3184">
        <f t="shared" ref="CI74:CI78" si="9">SUM(BB74:CH74)</f>
        <v>0</v>
      </c>
    </row>
    <row r="75" spans="1:87" s="1137" customFormat="1" ht="90">
      <c r="A75" s="107" t="s">
        <v>2054</v>
      </c>
      <c r="B75" s="958" t="s">
        <v>2055</v>
      </c>
      <c r="C75" s="958" t="s">
        <v>2056</v>
      </c>
      <c r="D75" s="982" t="s">
        <v>85</v>
      </c>
      <c r="E75" s="956" t="s">
        <v>86</v>
      </c>
      <c r="F75" s="2446">
        <v>80</v>
      </c>
      <c r="G75" s="178"/>
      <c r="H75" s="2531">
        <v>6.82</v>
      </c>
      <c r="I75" s="2529">
        <v>23.7</v>
      </c>
      <c r="J75" s="2532">
        <v>-16.88</v>
      </c>
      <c r="K75" s="2524">
        <v>1</v>
      </c>
      <c r="L75" s="2366">
        <v>30000</v>
      </c>
      <c r="M75" s="957">
        <f t="shared" si="7"/>
        <v>0.3</v>
      </c>
      <c r="N75" s="2366">
        <v>40</v>
      </c>
      <c r="O75" s="2978">
        <f t="shared" si="8"/>
        <v>12</v>
      </c>
      <c r="P75" s="2525" t="s">
        <v>5322</v>
      </c>
      <c r="Q75" s="107" t="str">
        <f>'Ab1. RMNCH+A'!Q209</f>
        <v>Ongoing activity :Rs 6 lakhs is recommended for approval for FPIS based on the average number of cases in last 3 years and as per GoI norms (average number of cases is approx 12,000 @ Rs.50 per case.</v>
      </c>
      <c r="R75" s="655">
        <f>'Ab1. RMNCH+A'!R209</f>
        <v>6</v>
      </c>
      <c r="S75" s="963"/>
      <c r="BB75" s="3184">
        <v>6</v>
      </c>
      <c r="BC75" s="3261"/>
      <c r="BD75" s="3261"/>
      <c r="BE75" s="3261"/>
      <c r="BF75" s="3261"/>
      <c r="BG75" s="3261"/>
      <c r="BH75" s="3261"/>
      <c r="BI75" s="3261"/>
      <c r="BJ75" s="3261"/>
      <c r="BK75" s="3261"/>
      <c r="BL75" s="3261"/>
      <c r="BM75" s="3261"/>
      <c r="BN75" s="3261"/>
      <c r="BO75" s="3261"/>
      <c r="BP75" s="3261"/>
      <c r="BQ75" s="3261"/>
      <c r="BR75" s="3261"/>
      <c r="BS75" s="3261"/>
      <c r="BT75" s="3261"/>
      <c r="BU75" s="3261"/>
      <c r="BV75" s="3261"/>
      <c r="BW75" s="3261"/>
      <c r="BX75" s="3261"/>
      <c r="BY75" s="3261"/>
      <c r="BZ75" s="3261"/>
      <c r="CA75" s="3261"/>
      <c r="CB75" s="3261"/>
      <c r="CC75" s="3261"/>
      <c r="CD75" s="3261"/>
      <c r="CE75" s="3261"/>
      <c r="CF75" s="3261"/>
      <c r="CG75" s="3261"/>
      <c r="CH75" s="3261"/>
      <c r="CI75" s="3184">
        <f t="shared" si="9"/>
        <v>6</v>
      </c>
    </row>
    <row r="76" spans="1:87" s="973" customFormat="1">
      <c r="A76" s="107" t="s">
        <v>2469</v>
      </c>
      <c r="B76" s="958"/>
      <c r="C76" s="959" t="s">
        <v>1304</v>
      </c>
      <c r="D76" s="943" t="s">
        <v>85</v>
      </c>
      <c r="E76" s="944" t="s">
        <v>86</v>
      </c>
      <c r="F76" s="185">
        <v>0</v>
      </c>
      <c r="G76" s="155"/>
      <c r="H76" s="204">
        <v>0</v>
      </c>
      <c r="I76" s="204"/>
      <c r="J76" s="185"/>
      <c r="K76" s="155"/>
      <c r="L76" s="170"/>
      <c r="M76" s="193">
        <f t="shared" si="7"/>
        <v>0</v>
      </c>
      <c r="N76" s="170"/>
      <c r="O76" s="2977">
        <f t="shared" si="8"/>
        <v>0</v>
      </c>
      <c r="P76" s="171"/>
      <c r="Q76" s="88" t="str">
        <f>'Ab1. RMNCH+A'!Q210</f>
        <v>--</v>
      </c>
      <c r="R76" s="690">
        <f>'Ab1. RMNCH+A'!R210</f>
        <v>0</v>
      </c>
      <c r="BB76" s="3262"/>
      <c r="BC76" s="3262"/>
      <c r="BD76" s="3262"/>
      <c r="BE76" s="3262"/>
      <c r="BF76" s="3262"/>
      <c r="BG76" s="3262"/>
      <c r="BH76" s="3262"/>
      <c r="BI76" s="3262"/>
      <c r="BJ76" s="3262"/>
      <c r="BK76" s="3262"/>
      <c r="BL76" s="3262"/>
      <c r="BM76" s="3262"/>
      <c r="BN76" s="3262"/>
      <c r="BO76" s="3262"/>
      <c r="BP76" s="3262"/>
      <c r="BQ76" s="3262"/>
      <c r="BR76" s="3262"/>
      <c r="BS76" s="3262"/>
      <c r="BT76" s="3262"/>
      <c r="BU76" s="3262"/>
      <c r="BV76" s="3262"/>
      <c r="BW76" s="3262"/>
      <c r="BX76" s="3262"/>
      <c r="BY76" s="3262"/>
      <c r="BZ76" s="3262"/>
      <c r="CA76" s="3262"/>
      <c r="CB76" s="3262"/>
      <c r="CC76" s="3262"/>
      <c r="CD76" s="3262"/>
      <c r="CE76" s="3262"/>
      <c r="CF76" s="3262"/>
      <c r="CG76" s="3262"/>
      <c r="CH76" s="3262"/>
      <c r="CI76" s="3184">
        <f t="shared" si="9"/>
        <v>0</v>
      </c>
    </row>
    <row r="77" spans="1:87">
      <c r="A77" s="935" t="s">
        <v>46</v>
      </c>
      <c r="B77" s="936"/>
      <c r="C77" s="85" t="s">
        <v>39</v>
      </c>
      <c r="D77" s="937"/>
      <c r="E77" s="938"/>
      <c r="F77" s="148"/>
      <c r="G77" s="148"/>
      <c r="H77" s="148"/>
      <c r="I77" s="148"/>
      <c r="J77" s="148"/>
      <c r="K77" s="149"/>
      <c r="L77" s="192"/>
      <c r="M77" s="950"/>
      <c r="N77" s="195"/>
      <c r="O77" s="2979">
        <f>SUM(O78:O81)</f>
        <v>465</v>
      </c>
      <c r="P77" s="94"/>
      <c r="Q77" s="85"/>
      <c r="R77" s="209">
        <f>SUM(R78:R81)</f>
        <v>465</v>
      </c>
      <c r="S77" s="973"/>
      <c r="BB77" s="3182"/>
      <c r="BC77" s="3182"/>
      <c r="BD77" s="3182"/>
      <c r="BE77" s="3182"/>
      <c r="BF77" s="3182"/>
      <c r="BG77" s="3182"/>
      <c r="BH77" s="3182"/>
      <c r="BI77" s="3182"/>
      <c r="BJ77" s="3182"/>
      <c r="BK77" s="3182"/>
      <c r="BL77" s="3182"/>
      <c r="BM77" s="3182"/>
      <c r="BN77" s="3182"/>
      <c r="BO77" s="3182"/>
      <c r="BP77" s="3182"/>
      <c r="BQ77" s="3182"/>
      <c r="BR77" s="3182"/>
      <c r="BS77" s="3182"/>
      <c r="BT77" s="3182"/>
      <c r="BU77" s="3182"/>
      <c r="BV77" s="3182"/>
      <c r="BW77" s="3182"/>
      <c r="BX77" s="3182"/>
      <c r="BY77" s="3182"/>
      <c r="BZ77" s="3182"/>
      <c r="CA77" s="3182"/>
      <c r="CB77" s="3182"/>
      <c r="CC77" s="3182"/>
      <c r="CD77" s="3182"/>
      <c r="CE77" s="3182"/>
      <c r="CF77" s="3182"/>
      <c r="CG77" s="3182"/>
      <c r="CH77" s="3182"/>
      <c r="CI77" s="3184">
        <f t="shared" si="9"/>
        <v>0</v>
      </c>
    </row>
    <row r="78" spans="1:87" s="963" customFormat="1">
      <c r="A78" s="107" t="s">
        <v>2057</v>
      </c>
      <c r="B78" s="961" t="s">
        <v>1994</v>
      </c>
      <c r="C78" s="961" t="s">
        <v>1995</v>
      </c>
      <c r="D78" s="982" t="s">
        <v>4219</v>
      </c>
      <c r="E78" s="956" t="s">
        <v>141</v>
      </c>
      <c r="F78" s="178">
        <v>0</v>
      </c>
      <c r="G78" s="178"/>
      <c r="H78" s="178">
        <v>0</v>
      </c>
      <c r="I78" s="178"/>
      <c r="J78" s="178"/>
      <c r="K78" s="178"/>
      <c r="L78" s="2313"/>
      <c r="M78" s="957">
        <f>L78/100000</f>
        <v>0</v>
      </c>
      <c r="N78" s="2313"/>
      <c r="O78" s="2978">
        <f>N78*M78</f>
        <v>0</v>
      </c>
      <c r="P78" s="2256"/>
      <c r="Q78" s="107">
        <f>'Abs10. NLEP'!Q9</f>
        <v>0</v>
      </c>
      <c r="R78" s="655">
        <f>'Abs10. NLEP'!R9</f>
        <v>0</v>
      </c>
      <c r="BB78" s="3184"/>
      <c r="BC78" s="3184"/>
      <c r="BD78" s="3184"/>
      <c r="BE78" s="3184"/>
      <c r="BF78" s="3184"/>
      <c r="BG78" s="3184"/>
      <c r="BH78" s="3184"/>
      <c r="BI78" s="3184"/>
      <c r="BJ78" s="3184"/>
      <c r="BK78" s="3184"/>
      <c r="BL78" s="3184"/>
      <c r="BM78" s="3184"/>
      <c r="BN78" s="3184"/>
      <c r="BO78" s="3184"/>
      <c r="BP78" s="3184"/>
      <c r="BQ78" s="3184"/>
      <c r="BR78" s="3184"/>
      <c r="BS78" s="3184"/>
      <c r="BT78" s="3184"/>
      <c r="BU78" s="3184"/>
      <c r="BV78" s="3184"/>
      <c r="BW78" s="3184"/>
      <c r="BX78" s="3184"/>
      <c r="BY78" s="3184"/>
      <c r="BZ78" s="3184"/>
      <c r="CA78" s="3184"/>
      <c r="CB78" s="3184"/>
      <c r="CC78" s="3184"/>
      <c r="CD78" s="3184"/>
      <c r="CE78" s="3184"/>
      <c r="CF78" s="3184"/>
      <c r="CG78" s="3184"/>
      <c r="CH78" s="3184"/>
      <c r="CI78" s="3184">
        <f t="shared" si="9"/>
        <v>0</v>
      </c>
    </row>
    <row r="79" spans="1:87" s="963" customFormat="1" ht="200.1" customHeight="1">
      <c r="A79" s="107" t="s">
        <v>2058</v>
      </c>
      <c r="B79" s="961" t="s">
        <v>3936</v>
      </c>
      <c r="C79" s="961" t="s">
        <v>4442</v>
      </c>
      <c r="D79" s="982" t="s">
        <v>4219</v>
      </c>
      <c r="E79" s="956" t="s">
        <v>4525</v>
      </c>
      <c r="F79" s="178">
        <v>15000</v>
      </c>
      <c r="G79" s="178">
        <v>12000</v>
      </c>
      <c r="H79" s="178">
        <v>450</v>
      </c>
      <c r="I79" s="178">
        <v>465</v>
      </c>
      <c r="J79" s="178">
        <v>47</v>
      </c>
      <c r="K79" s="178">
        <v>15000</v>
      </c>
      <c r="L79" s="2345">
        <v>3100</v>
      </c>
      <c r="M79" s="2346">
        <f t="shared" ref="M79" si="10">L79/100000</f>
        <v>3.1E-2</v>
      </c>
      <c r="N79" s="2345">
        <v>15000</v>
      </c>
      <c r="O79" s="2978">
        <f>N79*M79</f>
        <v>465</v>
      </c>
      <c r="P79" s="2256" t="s">
        <v>5162</v>
      </c>
      <c r="Q79" s="107" t="str">
        <f>'Abs11. NTEP'!Q8</f>
        <v>Recommended Rs 465 lakhs towards NPY benefits  for an estimated number of 14500 DSTB patients (@ Rs 500/month for 6 months) and 500 DRTB patients ((@Rs 500/month for 12 months)</v>
      </c>
      <c r="R79" s="655">
        <f>'Abs11. NTEP'!R8</f>
        <v>465</v>
      </c>
      <c r="BB79" s="3184"/>
      <c r="BC79" s="3184">
        <v>16.3</v>
      </c>
      <c r="BD79" s="3184">
        <v>30.9</v>
      </c>
      <c r="BE79" s="3184">
        <v>21.88</v>
      </c>
      <c r="BF79" s="3184">
        <v>95.72</v>
      </c>
      <c r="BG79" s="3184">
        <v>2.99</v>
      </c>
      <c r="BH79" s="3184">
        <v>37.17</v>
      </c>
      <c r="BI79" s="3184">
        <v>1.19</v>
      </c>
      <c r="BJ79" s="3184">
        <v>61.49</v>
      </c>
      <c r="BK79" s="3184">
        <v>85.58</v>
      </c>
      <c r="BL79" s="3184">
        <v>33.46</v>
      </c>
      <c r="BM79" s="3184">
        <v>55.72</v>
      </c>
      <c r="BN79" s="3184">
        <v>22.6</v>
      </c>
      <c r="BO79" s="3184"/>
      <c r="BP79" s="3184"/>
      <c r="BQ79" s="3184"/>
      <c r="BR79" s="3184"/>
      <c r="BS79" s="3184"/>
      <c r="BT79" s="3184"/>
      <c r="BU79" s="3184"/>
      <c r="BV79" s="3184"/>
      <c r="BW79" s="3184"/>
      <c r="BX79" s="3184"/>
      <c r="BY79" s="3184"/>
      <c r="BZ79" s="3184"/>
      <c r="CA79" s="3184"/>
      <c r="CB79" s="3184"/>
      <c r="CC79" s="3184"/>
      <c r="CD79" s="3184"/>
      <c r="CE79" s="3184"/>
      <c r="CF79" s="3184"/>
      <c r="CG79" s="3184"/>
      <c r="CH79" s="3184"/>
      <c r="CI79" s="3184">
        <f>SUM(BB79:CH79)</f>
        <v>465</v>
      </c>
    </row>
    <row r="80" spans="1:87" s="963" customFormat="1" ht="30">
      <c r="A80" s="107" t="s">
        <v>3935</v>
      </c>
      <c r="B80" s="961"/>
      <c r="C80" s="961" t="s">
        <v>4443</v>
      </c>
      <c r="D80" s="910" t="s">
        <v>4219</v>
      </c>
      <c r="E80" s="956" t="s">
        <v>4712</v>
      </c>
      <c r="F80" s="178">
        <v>0</v>
      </c>
      <c r="G80" s="178"/>
      <c r="H80" s="178">
        <v>0</v>
      </c>
      <c r="I80" s="178"/>
      <c r="J80" s="178"/>
      <c r="K80" s="178"/>
      <c r="L80" s="170"/>
      <c r="M80" s="957">
        <f>L80/100000</f>
        <v>0</v>
      </c>
      <c r="N80" s="170"/>
      <c r="O80" s="2978">
        <f>N80*M80</f>
        <v>0</v>
      </c>
      <c r="P80" s="171"/>
      <c r="Q80" s="107">
        <f>'Abs9. NVBDCP'!Q10</f>
        <v>0</v>
      </c>
      <c r="R80" s="655">
        <f>'Abs9. NVBDCP'!R10</f>
        <v>0</v>
      </c>
      <c r="BB80" s="3184"/>
      <c r="BC80" s="3184"/>
      <c r="BD80" s="3184"/>
      <c r="BE80" s="3184"/>
      <c r="BF80" s="3184"/>
      <c r="BG80" s="3184"/>
      <c r="BH80" s="3184"/>
      <c r="BI80" s="3184"/>
      <c r="BJ80" s="3184"/>
      <c r="BK80" s="3184"/>
      <c r="BL80" s="3184"/>
      <c r="BM80" s="3184"/>
      <c r="BN80" s="3184"/>
      <c r="BO80" s="3184"/>
      <c r="BP80" s="3184"/>
      <c r="BQ80" s="3184"/>
      <c r="BR80" s="3184"/>
      <c r="BS80" s="3184"/>
      <c r="BT80" s="3184"/>
      <c r="BU80" s="3184"/>
      <c r="BV80" s="3184"/>
      <c r="BW80" s="3184"/>
      <c r="BX80" s="3184"/>
      <c r="BY80" s="3184"/>
      <c r="BZ80" s="3184"/>
      <c r="CA80" s="3184"/>
      <c r="CB80" s="3184"/>
      <c r="CC80" s="3184"/>
      <c r="CD80" s="3184"/>
      <c r="CE80" s="3184"/>
      <c r="CF80" s="3184"/>
      <c r="CG80" s="3184"/>
      <c r="CH80" s="3184"/>
      <c r="CI80" s="3184">
        <f t="shared" ref="CI80:CI114" si="11">SUM(BB80:CH80)</f>
        <v>0</v>
      </c>
    </row>
    <row r="81" spans="1:87">
      <c r="A81" s="107" t="s">
        <v>4441</v>
      </c>
      <c r="B81" s="107"/>
      <c r="C81" s="88" t="s">
        <v>1304</v>
      </c>
      <c r="D81" s="908" t="s">
        <v>65</v>
      </c>
      <c r="E81" s="964" t="s">
        <v>65</v>
      </c>
      <c r="F81" s="155">
        <v>0</v>
      </c>
      <c r="G81" s="155"/>
      <c r="H81" s="155">
        <v>0</v>
      </c>
      <c r="I81" s="155"/>
      <c r="J81" s="155"/>
      <c r="K81" s="155"/>
      <c r="L81" s="170"/>
      <c r="M81" s="193">
        <f>L81/100000</f>
        <v>0</v>
      </c>
      <c r="N81" s="170"/>
      <c r="O81" s="2977">
        <f>N81*M81</f>
        <v>0</v>
      </c>
      <c r="P81" s="171"/>
      <c r="Q81" s="175"/>
      <c r="R81" s="213"/>
      <c r="BB81" s="3182"/>
      <c r="BC81" s="3182"/>
      <c r="BD81" s="3182"/>
      <c r="BE81" s="3182"/>
      <c r="BF81" s="3182"/>
      <c r="BG81" s="3182"/>
      <c r="BH81" s="3182"/>
      <c r="BI81" s="3182"/>
      <c r="BJ81" s="3182"/>
      <c r="BK81" s="3182"/>
      <c r="BL81" s="3182"/>
      <c r="BM81" s="3182"/>
      <c r="BN81" s="3182"/>
      <c r="BO81" s="3182"/>
      <c r="BP81" s="3182"/>
      <c r="BQ81" s="3182"/>
      <c r="BR81" s="3182"/>
      <c r="BS81" s="3182"/>
      <c r="BT81" s="3182"/>
      <c r="BU81" s="3182"/>
      <c r="BV81" s="3182"/>
      <c r="BW81" s="3182"/>
      <c r="BX81" s="3182"/>
      <c r="BY81" s="3182"/>
      <c r="BZ81" s="3182"/>
      <c r="CA81" s="3182"/>
      <c r="CB81" s="3182"/>
      <c r="CC81" s="3182"/>
      <c r="CD81" s="3182"/>
      <c r="CE81" s="3182"/>
      <c r="CF81" s="3182"/>
      <c r="CG81" s="3182"/>
      <c r="CH81" s="3182"/>
      <c r="CI81" s="3184">
        <f t="shared" si="11"/>
        <v>0</v>
      </c>
    </row>
    <row r="82" spans="1:87">
      <c r="A82" s="872">
        <v>1.3</v>
      </c>
      <c r="B82" s="928"/>
      <c r="C82" s="84" t="s">
        <v>40</v>
      </c>
      <c r="D82" s="929"/>
      <c r="E82" s="930"/>
      <c r="F82" s="190"/>
      <c r="G82" s="190"/>
      <c r="H82" s="190"/>
      <c r="I82" s="190"/>
      <c r="J82" s="190"/>
      <c r="K82" s="202"/>
      <c r="L82" s="191"/>
      <c r="M82" s="933"/>
      <c r="N82" s="153"/>
      <c r="O82" s="2817">
        <f>O83+O108</f>
        <v>186.51999000000001</v>
      </c>
      <c r="P82" s="166"/>
      <c r="Q82" s="167"/>
      <c r="R82" s="208">
        <f>R83+R108</f>
        <v>186.52</v>
      </c>
      <c r="BB82" s="3182"/>
      <c r="BC82" s="3182"/>
      <c r="BD82" s="3182"/>
      <c r="BE82" s="3182"/>
      <c r="BF82" s="3182"/>
      <c r="BG82" s="3182"/>
      <c r="BH82" s="3182"/>
      <c r="BI82" s="3182"/>
      <c r="BJ82" s="3182"/>
      <c r="BK82" s="3182"/>
      <c r="BL82" s="3182"/>
      <c r="BM82" s="3182"/>
      <c r="BN82" s="3182"/>
      <c r="BO82" s="3182"/>
      <c r="BP82" s="3182"/>
      <c r="BQ82" s="3182"/>
      <c r="BR82" s="3182"/>
      <c r="BS82" s="3182"/>
      <c r="BT82" s="3182"/>
      <c r="BU82" s="3182"/>
      <c r="BV82" s="3182"/>
      <c r="BW82" s="3182"/>
      <c r="BX82" s="3182"/>
      <c r="BY82" s="3182"/>
      <c r="BZ82" s="3182"/>
      <c r="CA82" s="3182"/>
      <c r="CB82" s="3182"/>
      <c r="CC82" s="3182"/>
      <c r="CD82" s="3182"/>
      <c r="CE82" s="3182"/>
      <c r="CF82" s="3182"/>
      <c r="CG82" s="3182"/>
      <c r="CH82" s="3182"/>
      <c r="CI82" s="3184">
        <f t="shared" si="11"/>
        <v>0</v>
      </c>
    </row>
    <row r="83" spans="1:87" ht="45">
      <c r="A83" s="935" t="s">
        <v>2059</v>
      </c>
      <c r="B83" s="936"/>
      <c r="C83" s="85" t="s">
        <v>4529</v>
      </c>
      <c r="D83" s="937"/>
      <c r="E83" s="938"/>
      <c r="F83" s="148"/>
      <c r="G83" s="148"/>
      <c r="H83" s="148"/>
      <c r="I83" s="148"/>
      <c r="J83" s="148"/>
      <c r="K83" s="149"/>
      <c r="L83" s="192"/>
      <c r="M83" s="950"/>
      <c r="N83" s="195"/>
      <c r="O83" s="2976">
        <f>SUM(O84:O99)+O100+O103+O107+O106</f>
        <v>185.07999000000001</v>
      </c>
      <c r="P83" s="94"/>
      <c r="Q83" s="85"/>
      <c r="R83" s="209">
        <f>SUM(R84:R99)+R100+R103+R107+R106</f>
        <v>185.08</v>
      </c>
      <c r="BB83" s="3182"/>
      <c r="BC83" s="3182"/>
      <c r="BD83" s="3182"/>
      <c r="BE83" s="3182"/>
      <c r="BF83" s="3182"/>
      <c r="BG83" s="3182"/>
      <c r="BH83" s="3182"/>
      <c r="BI83" s="3182"/>
      <c r="BJ83" s="3182"/>
      <c r="BK83" s="3182"/>
      <c r="BL83" s="3182"/>
      <c r="BM83" s="3182"/>
      <c r="BN83" s="3182"/>
      <c r="BO83" s="3182"/>
      <c r="BP83" s="3182"/>
      <c r="BQ83" s="3182"/>
      <c r="BR83" s="3182"/>
      <c r="BS83" s="3182"/>
      <c r="BT83" s="3182"/>
      <c r="BU83" s="3182"/>
      <c r="BV83" s="3182"/>
      <c r="BW83" s="3182"/>
      <c r="BX83" s="3182"/>
      <c r="BY83" s="3182"/>
      <c r="BZ83" s="3182"/>
      <c r="CA83" s="3182"/>
      <c r="CB83" s="3182"/>
      <c r="CC83" s="3182"/>
      <c r="CD83" s="3182"/>
      <c r="CE83" s="3182"/>
      <c r="CF83" s="3182"/>
      <c r="CG83" s="3182"/>
      <c r="CH83" s="3182"/>
      <c r="CI83" s="3184">
        <f t="shared" si="11"/>
        <v>0</v>
      </c>
    </row>
    <row r="84" spans="1:87" s="3449" customFormat="1" ht="80.25" customHeight="1">
      <c r="A84" s="3447" t="s">
        <v>4023</v>
      </c>
      <c r="B84" s="968" t="s">
        <v>2060</v>
      </c>
      <c r="C84" s="3504" t="s">
        <v>5055</v>
      </c>
      <c r="D84" s="3440" t="s">
        <v>85</v>
      </c>
      <c r="E84" s="3441" t="s">
        <v>126</v>
      </c>
      <c r="F84" s="2739">
        <v>13</v>
      </c>
      <c r="G84" s="2739"/>
      <c r="H84" s="2739">
        <v>130</v>
      </c>
      <c r="I84" s="2739">
        <v>53.36</v>
      </c>
      <c r="J84" s="2739">
        <v>76.64</v>
      </c>
      <c r="K84" s="2739">
        <v>1</v>
      </c>
      <c r="L84" s="3494">
        <v>1000000</v>
      </c>
      <c r="M84" s="3444">
        <f t="shared" ref="M84:M92" si="12">L84/100000</f>
        <v>10</v>
      </c>
      <c r="N84" s="3494">
        <v>13</v>
      </c>
      <c r="O84" s="3445">
        <f t="shared" ref="O84:O92" si="13">N84*M84</f>
        <v>130</v>
      </c>
      <c r="P84" s="3496" t="s">
        <v>5339</v>
      </c>
      <c r="Q84" s="3447" t="str">
        <f>'Ab1. RMNCH+A'!Q103</f>
        <v>Ongoing Activity:Rs. 130 lakh is recommended for approval for operational cost for 13 SNCUs @ Rs. 10 lakh INR for each SNCU.The State to ensure not to book any HR related expenses under this budget head and book the expenditure as per actual.</v>
      </c>
      <c r="R84" s="3448">
        <f>'Ab1. RMNCH+A'!R103</f>
        <v>130</v>
      </c>
      <c r="BB84" s="3450">
        <v>112</v>
      </c>
      <c r="BC84" s="3450"/>
      <c r="BD84" s="3450"/>
      <c r="BE84" s="3450"/>
      <c r="BF84" s="3450"/>
      <c r="BG84" s="3450"/>
      <c r="BH84" s="3450"/>
      <c r="BI84" s="3450"/>
      <c r="BJ84" s="3450">
        <v>1</v>
      </c>
      <c r="BK84" s="3450"/>
      <c r="BL84" s="3450">
        <v>1</v>
      </c>
      <c r="BM84" s="3450"/>
      <c r="BN84" s="3450"/>
      <c r="BO84" s="3450">
        <v>2</v>
      </c>
      <c r="BP84" s="3450">
        <v>1</v>
      </c>
      <c r="BQ84" s="3450">
        <v>1</v>
      </c>
      <c r="BR84" s="3450">
        <v>1</v>
      </c>
      <c r="BS84" s="3450">
        <v>1</v>
      </c>
      <c r="BT84" s="3450">
        <v>1</v>
      </c>
      <c r="BU84" s="3450">
        <v>2</v>
      </c>
      <c r="BV84" s="3450">
        <v>1</v>
      </c>
      <c r="BW84" s="3450"/>
      <c r="BX84" s="3450">
        <v>1</v>
      </c>
      <c r="BY84" s="3450">
        <v>1.5</v>
      </c>
      <c r="BZ84" s="3450">
        <v>0.5</v>
      </c>
      <c r="CA84" s="3450"/>
      <c r="CB84" s="3450">
        <v>1</v>
      </c>
      <c r="CC84" s="3450"/>
      <c r="CD84" s="3450">
        <v>1</v>
      </c>
      <c r="CE84" s="3450"/>
      <c r="CF84" s="3450">
        <v>1</v>
      </c>
      <c r="CG84" s="3450"/>
      <c r="CH84" s="3450"/>
      <c r="CI84" s="3450">
        <f t="shared" si="11"/>
        <v>130</v>
      </c>
    </row>
    <row r="85" spans="1:87" s="963" customFormat="1" ht="48" customHeight="1">
      <c r="A85" s="107" t="s">
        <v>2082</v>
      </c>
      <c r="B85" s="1004" t="s">
        <v>2061</v>
      </c>
      <c r="C85" s="1004" t="s">
        <v>5056</v>
      </c>
      <c r="D85" s="2095" t="s">
        <v>85</v>
      </c>
      <c r="E85" s="900" t="s">
        <v>126</v>
      </c>
      <c r="F85" s="178">
        <v>10</v>
      </c>
      <c r="G85" s="178"/>
      <c r="H85" s="178">
        <v>2.9</v>
      </c>
      <c r="I85" s="178">
        <v>6</v>
      </c>
      <c r="J85" s="178">
        <v>0</v>
      </c>
      <c r="K85" s="178">
        <v>1</v>
      </c>
      <c r="L85" s="243">
        <v>29000</v>
      </c>
      <c r="M85" s="962">
        <f t="shared" si="12"/>
        <v>0.28999999999999998</v>
      </c>
      <c r="N85" s="243">
        <v>18</v>
      </c>
      <c r="O85" s="3505">
        <f t="shared" si="13"/>
        <v>5.22</v>
      </c>
      <c r="P85" s="108" t="s">
        <v>5340</v>
      </c>
      <c r="Q85" s="107" t="str">
        <f>'Ab1. RMNCH+A'!Q104</f>
        <v>Ongoing Activity:Rs. 5.22 Lakhs is recommended for approval as Operational Cost @ Rs. 29000 per NBSU for 18 NBSUs. This budget may be used for strengthening of NBSU services and clinical practices.</v>
      </c>
      <c r="R85" s="655">
        <f>'Ab1. RMNCH+A'!R104</f>
        <v>5.22</v>
      </c>
      <c r="BB85" s="3184">
        <v>2.9</v>
      </c>
      <c r="BC85" s="3184"/>
      <c r="BD85" s="3184">
        <v>0.57999999999999996</v>
      </c>
      <c r="BE85" s="3184"/>
      <c r="BF85" s="3184">
        <v>0.57999999999999996</v>
      </c>
      <c r="BG85" s="3184"/>
      <c r="BH85" s="3184"/>
      <c r="BI85" s="3184"/>
      <c r="BJ85" s="3184">
        <v>0.28999999999999998</v>
      </c>
      <c r="BK85" s="3184"/>
      <c r="BL85" s="3184"/>
      <c r="BM85" s="3184">
        <v>0.28999999999999998</v>
      </c>
      <c r="BN85" s="3184"/>
      <c r="BO85" s="3184"/>
      <c r="BP85" s="3184"/>
      <c r="BQ85" s="3184"/>
      <c r="BR85" s="3184"/>
      <c r="BS85" s="3184"/>
      <c r="BT85" s="3184">
        <v>0.28999999999999998</v>
      </c>
      <c r="BU85" s="3184"/>
      <c r="BV85" s="3184"/>
      <c r="BW85" s="3184">
        <v>0.28999999999999998</v>
      </c>
      <c r="BX85" s="3184"/>
      <c r="BY85" s="3184"/>
      <c r="BZ85" s="3184"/>
      <c r="CA85" s="3184"/>
      <c r="CB85" s="3184"/>
      <c r="CC85" s="3184"/>
      <c r="CD85" s="3184"/>
      <c r="CE85" s="3184"/>
      <c r="CF85" s="3184"/>
      <c r="CG85" s="3184"/>
      <c r="CH85" s="3184"/>
      <c r="CI85" s="3184">
        <f t="shared" si="11"/>
        <v>5.22</v>
      </c>
    </row>
    <row r="86" spans="1:87" s="963" customFormat="1" ht="55.5" customHeight="1">
      <c r="A86" s="107" t="s">
        <v>2083</v>
      </c>
      <c r="B86" s="948" t="s">
        <v>2062</v>
      </c>
      <c r="C86" s="2533" t="s">
        <v>5057</v>
      </c>
      <c r="D86" s="982" t="s">
        <v>85</v>
      </c>
      <c r="E86" s="956" t="s">
        <v>126</v>
      </c>
      <c r="F86" s="178">
        <v>1</v>
      </c>
      <c r="G86" s="178"/>
      <c r="H86" s="178">
        <v>2</v>
      </c>
      <c r="I86" s="178">
        <v>0</v>
      </c>
      <c r="J86" s="178">
        <v>2</v>
      </c>
      <c r="K86" s="178">
        <v>1</v>
      </c>
      <c r="L86" s="2504">
        <v>2000</v>
      </c>
      <c r="M86" s="957">
        <f t="shared" si="12"/>
        <v>0.02</v>
      </c>
      <c r="N86" s="2504">
        <v>124</v>
      </c>
      <c r="O86" s="2978">
        <f t="shared" si="13"/>
        <v>2.48</v>
      </c>
      <c r="P86" s="2256" t="s">
        <v>5341</v>
      </c>
      <c r="Q86" s="107" t="str">
        <f>'Ab1. RMNCH+A'!Q105</f>
        <v>Ongoing Activity:Rs. 2.48 lakh is recommended for approval as operational cost for 124 NBCC @ Rs. 2000 INR for each NBCC.The State to ensure not to book any HR related expenses under this budget head and book the expenditure as per actual.</v>
      </c>
      <c r="R86" s="655">
        <f>'Ab1. RMNCH+A'!R105</f>
        <v>2.48</v>
      </c>
      <c r="BB86" s="3184">
        <v>0.48</v>
      </c>
      <c r="BC86" s="3184">
        <v>0.1</v>
      </c>
      <c r="BD86" s="3184">
        <v>0.19</v>
      </c>
      <c r="BE86" s="3184">
        <v>0.13</v>
      </c>
      <c r="BF86" s="3184">
        <v>0.34</v>
      </c>
      <c r="BG86" s="3184">
        <v>0.09</v>
      </c>
      <c r="BH86" s="3184">
        <v>0.11</v>
      </c>
      <c r="BI86" s="3184">
        <v>0.05</v>
      </c>
      <c r="BJ86" s="3184">
        <v>0.32</v>
      </c>
      <c r="BK86" s="3184">
        <v>0.24</v>
      </c>
      <c r="BL86" s="3184">
        <v>0.13</v>
      </c>
      <c r="BM86" s="3184">
        <v>0.19</v>
      </c>
      <c r="BN86" s="3184">
        <v>0.11</v>
      </c>
      <c r="BO86" s="3184"/>
      <c r="BP86" s="3184"/>
      <c r="BQ86" s="3184"/>
      <c r="BR86" s="3184"/>
      <c r="BS86" s="3184"/>
      <c r="BT86" s="3184"/>
      <c r="BU86" s="3184"/>
      <c r="BV86" s="3184"/>
      <c r="BW86" s="3184"/>
      <c r="BX86" s="3184"/>
      <c r="BY86" s="3184"/>
      <c r="BZ86" s="3184"/>
      <c r="CA86" s="3184"/>
      <c r="CB86" s="3184"/>
      <c r="CC86" s="3184"/>
      <c r="CD86" s="3184"/>
      <c r="CE86" s="3184"/>
      <c r="CF86" s="3184"/>
      <c r="CG86" s="3184"/>
      <c r="CH86" s="3184"/>
      <c r="CI86" s="3184">
        <f t="shared" si="11"/>
        <v>2.48</v>
      </c>
    </row>
    <row r="87" spans="1:87" s="963" customFormat="1" ht="78" customHeight="1">
      <c r="A87" s="107" t="s">
        <v>2084</v>
      </c>
      <c r="B87" s="948" t="s">
        <v>344</v>
      </c>
      <c r="C87" s="2533" t="s">
        <v>5058</v>
      </c>
      <c r="D87" s="982" t="s">
        <v>85</v>
      </c>
      <c r="E87" s="956" t="s">
        <v>126</v>
      </c>
      <c r="F87" s="178">
        <v>3</v>
      </c>
      <c r="G87" s="178"/>
      <c r="H87" s="178">
        <v>6</v>
      </c>
      <c r="I87" s="178">
        <v>0</v>
      </c>
      <c r="J87" s="178">
        <v>6</v>
      </c>
      <c r="K87" s="178">
        <v>1</v>
      </c>
      <c r="L87" s="2504">
        <v>200000</v>
      </c>
      <c r="M87" s="957">
        <f t="shared" si="12"/>
        <v>2</v>
      </c>
      <c r="N87" s="2504">
        <v>3</v>
      </c>
      <c r="O87" s="2978">
        <f t="shared" si="13"/>
        <v>6</v>
      </c>
      <c r="P87" s="2256" t="s">
        <v>5342</v>
      </c>
      <c r="Q87" s="107" t="str">
        <f>'Ab1. RMNCH+A'!Q106</f>
        <v>Ongoing activity: Rs. 6 lakh is recommended for approval for opex of three functional NRCs (Shimla, Kangra &amp; Una) @ Rs. 2 lakh per NRC for 12 months, as per State's proposal.The State to ensure the optimum utilization of resources as bed occupancy rate was only 51% in FY 2019-20 and 29% in FY 2002-21, upto Q-3 reported data.</v>
      </c>
      <c r="R87" s="655">
        <f>'Ab1. RMNCH+A'!R106</f>
        <v>6</v>
      </c>
      <c r="BB87" s="3184">
        <v>3</v>
      </c>
      <c r="BC87" s="3184"/>
      <c r="BD87" s="3184"/>
      <c r="BE87" s="3184"/>
      <c r="BF87" s="3184"/>
      <c r="BG87" s="3184"/>
      <c r="BH87" s="3184"/>
      <c r="BI87" s="3184"/>
      <c r="BJ87" s="3184"/>
      <c r="BK87" s="3184"/>
      <c r="BL87" s="3184"/>
      <c r="BM87" s="3184"/>
      <c r="BN87" s="3184"/>
      <c r="BO87" s="3184">
        <v>1</v>
      </c>
      <c r="BP87" s="3184">
        <v>1</v>
      </c>
      <c r="BQ87" s="3184"/>
      <c r="BR87" s="3184"/>
      <c r="BS87" s="3184"/>
      <c r="BT87" s="3184"/>
      <c r="BU87" s="3184"/>
      <c r="BV87" s="3184"/>
      <c r="BW87" s="3184"/>
      <c r="BX87" s="3184"/>
      <c r="BY87" s="3184"/>
      <c r="BZ87" s="3184"/>
      <c r="CA87" s="3184"/>
      <c r="CB87" s="3184"/>
      <c r="CC87" s="3184"/>
      <c r="CD87" s="3184"/>
      <c r="CE87" s="3184"/>
      <c r="CF87" s="3184">
        <v>1</v>
      </c>
      <c r="CG87" s="3184"/>
      <c r="CH87" s="3184"/>
      <c r="CI87" s="3184">
        <f t="shared" si="11"/>
        <v>6</v>
      </c>
    </row>
    <row r="88" spans="1:87" s="963" customFormat="1" ht="63.75" customHeight="1">
      <c r="A88" s="107" t="s">
        <v>2085</v>
      </c>
      <c r="B88" s="948"/>
      <c r="C88" s="2533" t="s">
        <v>5059</v>
      </c>
      <c r="D88" s="982" t="s">
        <v>85</v>
      </c>
      <c r="E88" s="956" t="s">
        <v>126</v>
      </c>
      <c r="F88" s="178">
        <v>6000</v>
      </c>
      <c r="G88" s="178"/>
      <c r="H88" s="178">
        <v>12</v>
      </c>
      <c r="I88" s="178">
        <v>7.5</v>
      </c>
      <c r="J88" s="178">
        <v>4.5</v>
      </c>
      <c r="K88" s="178">
        <v>1</v>
      </c>
      <c r="L88" s="2504">
        <v>200</v>
      </c>
      <c r="M88" s="957">
        <f t="shared" si="12"/>
        <v>2E-3</v>
      </c>
      <c r="N88" s="2504">
        <v>5000</v>
      </c>
      <c r="O88" s="2978">
        <f t="shared" si="13"/>
        <v>10</v>
      </c>
      <c r="P88" s="2256" t="s">
        <v>5343</v>
      </c>
      <c r="Q88" s="107" t="str">
        <f>'Ab1. RMNCH+A'!Q107</f>
        <v>Ongoing Activity:Rs. 10 lakhs is recommended for approval for family participatory care operational cost and KMC binders as proposed by the State @ Rs. 200 unit cost for 5000 quantity. The State to follow procurement norms and book the expenditure as per actuals.</v>
      </c>
      <c r="R88" s="655">
        <f>'Ab1. RMNCH+A'!R107</f>
        <v>10</v>
      </c>
      <c r="BB88" s="3184">
        <v>10</v>
      </c>
      <c r="BC88" s="3184"/>
      <c r="BD88" s="3184"/>
      <c r="BE88" s="3184"/>
      <c r="BF88" s="3184"/>
      <c r="BG88" s="3184"/>
      <c r="BH88" s="3184"/>
      <c r="BI88" s="3184"/>
      <c r="BJ88" s="3184"/>
      <c r="BK88" s="3184"/>
      <c r="BL88" s="3184"/>
      <c r="BM88" s="3184"/>
      <c r="BN88" s="3184"/>
      <c r="BO88" s="3184"/>
      <c r="BP88" s="3184"/>
      <c r="BQ88" s="3184"/>
      <c r="BR88" s="3184"/>
      <c r="BS88" s="3184"/>
      <c r="BT88" s="3184"/>
      <c r="BU88" s="3184"/>
      <c r="BV88" s="3184"/>
      <c r="BW88" s="3184"/>
      <c r="BX88" s="3184"/>
      <c r="BY88" s="3184"/>
      <c r="BZ88" s="3184"/>
      <c r="CA88" s="3184"/>
      <c r="CB88" s="3184"/>
      <c r="CC88" s="3184"/>
      <c r="CD88" s="3184"/>
      <c r="CE88" s="3184"/>
      <c r="CF88" s="3184"/>
      <c r="CG88" s="3184"/>
      <c r="CH88" s="3184"/>
      <c r="CI88" s="3184">
        <f t="shared" si="11"/>
        <v>10</v>
      </c>
    </row>
    <row r="89" spans="1:87">
      <c r="A89" s="107" t="s">
        <v>2086</v>
      </c>
      <c r="B89" s="942" t="s">
        <v>2063</v>
      </c>
      <c r="C89" s="974" t="s">
        <v>5060</v>
      </c>
      <c r="D89" s="943" t="s">
        <v>85</v>
      </c>
      <c r="E89" s="956" t="s">
        <v>188</v>
      </c>
      <c r="F89" s="155">
        <v>0</v>
      </c>
      <c r="G89" s="155"/>
      <c r="H89" s="155">
        <v>0</v>
      </c>
      <c r="I89" s="155"/>
      <c r="J89" s="155"/>
      <c r="K89" s="155"/>
      <c r="L89" s="170"/>
      <c r="M89" s="193">
        <f t="shared" si="12"/>
        <v>0</v>
      </c>
      <c r="N89" s="170"/>
      <c r="O89" s="2977">
        <f t="shared" si="13"/>
        <v>0</v>
      </c>
      <c r="P89" s="171"/>
      <c r="Q89" s="88" t="str">
        <f>'Ab1. RMNCH+A'!Q292</f>
        <v>-</v>
      </c>
      <c r="R89" s="690">
        <f>'Ab1. RMNCH+A'!R292</f>
        <v>0</v>
      </c>
      <c r="BB89" s="3182"/>
      <c r="BC89" s="3182"/>
      <c r="BD89" s="3182"/>
      <c r="BE89" s="3182"/>
      <c r="BF89" s="3182"/>
      <c r="BG89" s="3182"/>
      <c r="BH89" s="3182"/>
      <c r="BI89" s="3182"/>
      <c r="BJ89" s="3182"/>
      <c r="BK89" s="3182"/>
      <c r="BL89" s="3182"/>
      <c r="BM89" s="3182"/>
      <c r="BN89" s="3182"/>
      <c r="BO89" s="3182"/>
      <c r="BP89" s="3182"/>
      <c r="BQ89" s="3182"/>
      <c r="BR89" s="3182"/>
      <c r="BS89" s="3182"/>
      <c r="BT89" s="3182"/>
      <c r="BU89" s="3182"/>
      <c r="BV89" s="3182"/>
      <c r="BW89" s="3182"/>
      <c r="BX89" s="3182"/>
      <c r="BY89" s="3182"/>
      <c r="BZ89" s="3182"/>
      <c r="CA89" s="3182"/>
      <c r="CB89" s="3182"/>
      <c r="CC89" s="3182"/>
      <c r="CD89" s="3182"/>
      <c r="CE89" s="3182"/>
      <c r="CF89" s="3182"/>
      <c r="CG89" s="3182"/>
      <c r="CH89" s="3182"/>
      <c r="CI89" s="3184">
        <f t="shared" si="11"/>
        <v>0</v>
      </c>
    </row>
    <row r="90" spans="1:87" s="963" customFormat="1" ht="113.25" customHeight="1">
      <c r="A90" s="107" t="s">
        <v>3216</v>
      </c>
      <c r="B90" s="948" t="s">
        <v>2394</v>
      </c>
      <c r="C90" s="948" t="s">
        <v>2395</v>
      </c>
      <c r="D90" s="982" t="s">
        <v>85</v>
      </c>
      <c r="E90" s="956" t="s">
        <v>91</v>
      </c>
      <c r="F90" s="178">
        <v>10</v>
      </c>
      <c r="G90" s="2446"/>
      <c r="H90" s="198">
        <v>0</v>
      </c>
      <c r="I90" s="198">
        <v>0</v>
      </c>
      <c r="J90" s="178">
        <v>0</v>
      </c>
      <c r="K90" s="178">
        <v>1</v>
      </c>
      <c r="L90" s="2504">
        <v>9600</v>
      </c>
      <c r="M90" s="957">
        <f t="shared" si="12"/>
        <v>9.6000000000000002E-2</v>
      </c>
      <c r="N90" s="2313">
        <v>10</v>
      </c>
      <c r="O90" s="2978">
        <f t="shared" si="13"/>
        <v>0.96</v>
      </c>
      <c r="P90" s="2256" t="s">
        <v>5344</v>
      </c>
      <c r="Q90" s="107" t="str">
        <f>'Ab1. RMNCH+A'!Q347</f>
        <v xml:space="preserve">As per DEIC checklist shared by the State, it is found that none of the DEICs are functional as per RBSK DEIC guidelines as Equipment, HR and infrastructure is deficient. As proposed by State, Rs 0.96 lakhs is recommendded. Expenditure is as per actual and for functional DEIC only. The State has proposed HR 30 (212 and 5 positions each in 5 DEICs) which is partial as the Medical professionals only proposed 2 MBBS and 1 DEntal )In position) State to inform programme division the details of  these 5 DEICs where these HR would be positioned in the first quarter of FY 2021-22.  </v>
      </c>
      <c r="R90" s="900">
        <f>'Ab1. RMNCH+A'!R347</f>
        <v>0.96</v>
      </c>
      <c r="BB90" s="3184">
        <v>0.26</v>
      </c>
      <c r="BC90" s="3184"/>
      <c r="BD90" s="3184"/>
      <c r="BE90" s="3184"/>
      <c r="BF90" s="3184"/>
      <c r="BG90" s="3184"/>
      <c r="BH90" s="3184"/>
      <c r="BI90" s="3184"/>
      <c r="BJ90" s="3184"/>
      <c r="BK90" s="3184"/>
      <c r="BL90" s="3184"/>
      <c r="BM90" s="3184"/>
      <c r="BN90" s="3184"/>
      <c r="BO90" s="3184">
        <v>0.1</v>
      </c>
      <c r="BP90" s="3184">
        <v>0.1</v>
      </c>
      <c r="BQ90" s="3184">
        <v>0.1</v>
      </c>
      <c r="BR90" s="3184">
        <v>0.1</v>
      </c>
      <c r="BS90" s="3184">
        <v>0.1</v>
      </c>
      <c r="BT90" s="3184"/>
      <c r="BU90" s="3184"/>
      <c r="BV90" s="3184">
        <v>0.1</v>
      </c>
      <c r="BW90" s="3184"/>
      <c r="BX90" s="3184"/>
      <c r="BY90" s="3184"/>
      <c r="BZ90" s="3184"/>
      <c r="CA90" s="3184"/>
      <c r="CB90" s="3184"/>
      <c r="CC90" s="3184"/>
      <c r="CD90" s="3184"/>
      <c r="CE90" s="3184"/>
      <c r="CF90" s="3184">
        <v>0.1</v>
      </c>
      <c r="CG90" s="3184"/>
      <c r="CH90" s="3184"/>
      <c r="CI90" s="3184">
        <f t="shared" si="11"/>
        <v>0.95999999999999985</v>
      </c>
    </row>
    <row r="91" spans="1:87" s="963" customFormat="1" ht="69.75" customHeight="1">
      <c r="A91" s="107" t="s">
        <v>2087</v>
      </c>
      <c r="B91" s="107" t="s">
        <v>2064</v>
      </c>
      <c r="C91" s="107" t="s">
        <v>4009</v>
      </c>
      <c r="D91" s="1077" t="s">
        <v>80</v>
      </c>
      <c r="E91" s="900" t="s">
        <v>410</v>
      </c>
      <c r="F91" s="178">
        <v>12</v>
      </c>
      <c r="G91" s="178">
        <v>2.5499999999999998</v>
      </c>
      <c r="H91" s="178">
        <v>12</v>
      </c>
      <c r="I91" s="178">
        <v>0.03</v>
      </c>
      <c r="J91" s="178">
        <v>11.97</v>
      </c>
      <c r="K91" s="178">
        <v>1</v>
      </c>
      <c r="L91" s="243">
        <v>50000</v>
      </c>
      <c r="M91" s="962">
        <f t="shared" si="12"/>
        <v>0.5</v>
      </c>
      <c r="N91" s="243">
        <v>12</v>
      </c>
      <c r="O91" s="3505">
        <f t="shared" si="13"/>
        <v>6</v>
      </c>
      <c r="P91" s="108" t="s">
        <v>5295</v>
      </c>
      <c r="Q91" s="107" t="str">
        <f>'Abs19. NPCDCS'!Q9</f>
        <v>Recommended for approval for strengthening labs, mobility, contingency in all 12 DH (including 10 integrated Nirog clinics).</v>
      </c>
      <c r="R91" s="655">
        <f>'Abs19. NPCDCS'!R9</f>
        <v>6</v>
      </c>
      <c r="BB91" s="3184">
        <v>0</v>
      </c>
      <c r="BC91" s="3184">
        <v>0</v>
      </c>
      <c r="BD91" s="3184">
        <v>0</v>
      </c>
      <c r="BE91" s="3184">
        <v>0</v>
      </c>
      <c r="BF91" s="3184">
        <v>0</v>
      </c>
      <c r="BG91" s="3184">
        <v>0.5</v>
      </c>
      <c r="BH91" s="3184">
        <v>0</v>
      </c>
      <c r="BI91" s="3184">
        <v>0.5</v>
      </c>
      <c r="BJ91" s="3184">
        <v>0</v>
      </c>
      <c r="BK91" s="3184">
        <v>0</v>
      </c>
      <c r="BL91" s="3184">
        <v>0.5</v>
      </c>
      <c r="BM91" s="3184">
        <v>0</v>
      </c>
      <c r="BN91" s="3184">
        <v>0</v>
      </c>
      <c r="BO91" s="3184"/>
      <c r="BP91" s="3184"/>
      <c r="BQ91" s="3184"/>
      <c r="BR91" s="3184"/>
      <c r="BS91" s="3184"/>
      <c r="BT91" s="3184">
        <v>0</v>
      </c>
      <c r="BU91" s="3184"/>
      <c r="BV91" s="3184">
        <v>0.5</v>
      </c>
      <c r="BW91" s="3184">
        <v>0.5</v>
      </c>
      <c r="BX91" s="3184">
        <v>0.5</v>
      </c>
      <c r="BY91" s="3184">
        <v>0.5</v>
      </c>
      <c r="BZ91" s="3184">
        <v>0.5</v>
      </c>
      <c r="CA91" s="3184">
        <v>0.5</v>
      </c>
      <c r="CB91" s="3184">
        <v>0.5</v>
      </c>
      <c r="CC91" s="3184"/>
      <c r="CD91" s="3184">
        <v>0.5</v>
      </c>
      <c r="CE91" s="3184"/>
      <c r="CF91" s="3184">
        <v>0.5</v>
      </c>
      <c r="CG91" s="3184"/>
      <c r="CH91" s="3184"/>
      <c r="CI91" s="3184">
        <f t="shared" si="11"/>
        <v>6</v>
      </c>
    </row>
    <row r="92" spans="1:87" ht="30">
      <c r="A92" s="107" t="s">
        <v>2088</v>
      </c>
      <c r="B92" s="960" t="s">
        <v>2065</v>
      </c>
      <c r="C92" s="960" t="s">
        <v>2591</v>
      </c>
      <c r="D92" s="911" t="s">
        <v>80</v>
      </c>
      <c r="E92" s="944" t="s">
        <v>410</v>
      </c>
      <c r="F92" s="155">
        <v>0</v>
      </c>
      <c r="G92" s="155"/>
      <c r="H92" s="155">
        <v>0</v>
      </c>
      <c r="I92" s="155"/>
      <c r="J92" s="155"/>
      <c r="K92" s="155"/>
      <c r="L92" s="170"/>
      <c r="M92" s="193">
        <f t="shared" si="12"/>
        <v>0</v>
      </c>
      <c r="N92" s="170"/>
      <c r="O92" s="2977">
        <f t="shared" si="13"/>
        <v>0</v>
      </c>
      <c r="P92" s="171"/>
      <c r="Q92" s="88">
        <f>'Abs19. NPCDCS'!Q10</f>
        <v>0</v>
      </c>
      <c r="R92" s="690">
        <f>'Abs19. NPCDCS'!R10</f>
        <v>0</v>
      </c>
      <c r="BB92" s="3182"/>
      <c r="BC92" s="3182"/>
      <c r="BD92" s="3182"/>
      <c r="BE92" s="3182"/>
      <c r="BF92" s="3182"/>
      <c r="BG92" s="3182"/>
      <c r="BH92" s="3182"/>
      <c r="BI92" s="3182"/>
      <c r="BJ92" s="3182"/>
      <c r="BK92" s="3182"/>
      <c r="BL92" s="3182"/>
      <c r="BM92" s="3182"/>
      <c r="BN92" s="3182"/>
      <c r="BO92" s="3182"/>
      <c r="BP92" s="3182"/>
      <c r="BQ92" s="3182"/>
      <c r="BR92" s="3182"/>
      <c r="BS92" s="3182"/>
      <c r="BT92" s="3182"/>
      <c r="BU92" s="3182"/>
      <c r="BV92" s="3182"/>
      <c r="BW92" s="3182"/>
      <c r="BX92" s="3182"/>
      <c r="BY92" s="3182"/>
      <c r="BZ92" s="3182"/>
      <c r="CA92" s="3182"/>
      <c r="CB92" s="3182"/>
      <c r="CC92" s="3182"/>
      <c r="CD92" s="3182"/>
      <c r="CE92" s="3182"/>
      <c r="CF92" s="3182"/>
      <c r="CG92" s="3182"/>
      <c r="CH92" s="3182"/>
      <c r="CI92" s="3184">
        <f t="shared" si="11"/>
        <v>0</v>
      </c>
    </row>
    <row r="93" spans="1:87" ht="30">
      <c r="A93" s="107" t="s">
        <v>2089</v>
      </c>
      <c r="B93" s="960" t="s">
        <v>2066</v>
      </c>
      <c r="C93" s="960" t="s">
        <v>3219</v>
      </c>
      <c r="D93" s="911" t="s">
        <v>80</v>
      </c>
      <c r="E93" s="944" t="s">
        <v>410</v>
      </c>
      <c r="F93" s="155">
        <v>0</v>
      </c>
      <c r="G93" s="155"/>
      <c r="H93" s="155">
        <v>0</v>
      </c>
      <c r="I93" s="155"/>
      <c r="J93" s="155"/>
      <c r="K93" s="155"/>
      <c r="L93" s="170"/>
      <c r="M93" s="193">
        <f>L93/100000</f>
        <v>0</v>
      </c>
      <c r="N93" s="170"/>
      <c r="O93" s="2977">
        <f>N93*M93</f>
        <v>0</v>
      </c>
      <c r="P93" s="171"/>
      <c r="Q93" s="88">
        <f>'Abs19. NPCDCS'!Q11</f>
        <v>0</v>
      </c>
      <c r="R93" s="690">
        <f>'Abs19. NPCDCS'!R11</f>
        <v>0</v>
      </c>
      <c r="BB93" s="3182"/>
      <c r="BC93" s="3182"/>
      <c r="BD93" s="3182"/>
      <c r="BE93" s="3182"/>
      <c r="BF93" s="3182"/>
      <c r="BG93" s="3182"/>
      <c r="BH93" s="3182"/>
      <c r="BI93" s="3182"/>
      <c r="BJ93" s="3182"/>
      <c r="BK93" s="3182"/>
      <c r="BL93" s="3182"/>
      <c r="BM93" s="3182"/>
      <c r="BN93" s="3182"/>
      <c r="BO93" s="3182"/>
      <c r="BP93" s="3182"/>
      <c r="BQ93" s="3182"/>
      <c r="BR93" s="3182"/>
      <c r="BS93" s="3182"/>
      <c r="BT93" s="3182"/>
      <c r="BU93" s="3182"/>
      <c r="BV93" s="3182"/>
      <c r="BW93" s="3182"/>
      <c r="BX93" s="3182"/>
      <c r="BY93" s="3182"/>
      <c r="BZ93" s="3182"/>
      <c r="CA93" s="3182"/>
      <c r="CB93" s="3182"/>
      <c r="CC93" s="3182"/>
      <c r="CD93" s="3182"/>
      <c r="CE93" s="3182"/>
      <c r="CF93" s="3182"/>
      <c r="CG93" s="3182"/>
      <c r="CH93" s="3182"/>
      <c r="CI93" s="3184">
        <f t="shared" si="11"/>
        <v>0</v>
      </c>
    </row>
    <row r="94" spans="1:87" ht="30">
      <c r="A94" s="107" t="s">
        <v>2266</v>
      </c>
      <c r="B94" s="960" t="s">
        <v>2067</v>
      </c>
      <c r="C94" s="960" t="s">
        <v>2592</v>
      </c>
      <c r="D94" s="911" t="s">
        <v>80</v>
      </c>
      <c r="E94" s="944" t="s">
        <v>410</v>
      </c>
      <c r="F94" s="155">
        <v>0</v>
      </c>
      <c r="G94" s="155"/>
      <c r="H94" s="155">
        <v>0</v>
      </c>
      <c r="I94" s="155"/>
      <c r="J94" s="155"/>
      <c r="K94" s="155"/>
      <c r="L94" s="170"/>
      <c r="M94" s="193">
        <f>L94/100000</f>
        <v>0</v>
      </c>
      <c r="N94" s="170"/>
      <c r="O94" s="2977">
        <f>N94*M94</f>
        <v>0</v>
      </c>
      <c r="P94" s="171"/>
      <c r="Q94" s="88">
        <f>'Abs19. NPCDCS'!Q12</f>
        <v>0</v>
      </c>
      <c r="R94" s="690">
        <f>'Abs19. NPCDCS'!R12</f>
        <v>0</v>
      </c>
      <c r="BB94" s="3182"/>
      <c r="BC94" s="3182"/>
      <c r="BD94" s="3182"/>
      <c r="BE94" s="3182"/>
      <c r="BF94" s="3182"/>
      <c r="BG94" s="3182"/>
      <c r="BH94" s="3182"/>
      <c r="BI94" s="3182"/>
      <c r="BJ94" s="3182"/>
      <c r="BK94" s="3182"/>
      <c r="BL94" s="3182"/>
      <c r="BM94" s="3182"/>
      <c r="BN94" s="3182"/>
      <c r="BO94" s="3182"/>
      <c r="BP94" s="3182"/>
      <c r="BQ94" s="3182"/>
      <c r="BR94" s="3182"/>
      <c r="BS94" s="3182"/>
      <c r="BT94" s="3182"/>
      <c r="BU94" s="3182"/>
      <c r="BV94" s="3182"/>
      <c r="BW94" s="3182"/>
      <c r="BX94" s="3182"/>
      <c r="BY94" s="3182"/>
      <c r="BZ94" s="3182"/>
      <c r="CA94" s="3182"/>
      <c r="CB94" s="3182"/>
      <c r="CC94" s="3182"/>
      <c r="CD94" s="3182"/>
      <c r="CE94" s="3182"/>
      <c r="CF94" s="3182"/>
      <c r="CG94" s="3182"/>
      <c r="CH94" s="3182"/>
      <c r="CI94" s="3184">
        <f t="shared" si="11"/>
        <v>0</v>
      </c>
    </row>
    <row r="95" spans="1:87" s="963" customFormat="1" ht="165">
      <c r="A95" s="107" t="s">
        <v>2377</v>
      </c>
      <c r="B95" s="961" t="s">
        <v>1696</v>
      </c>
      <c r="C95" s="961" t="s">
        <v>4635</v>
      </c>
      <c r="D95" s="982" t="s">
        <v>4219</v>
      </c>
      <c r="E95" s="956" t="s">
        <v>4525</v>
      </c>
      <c r="F95" s="178">
        <v>26</v>
      </c>
      <c r="G95" s="178">
        <v>20</v>
      </c>
      <c r="H95" s="178">
        <v>3.7</v>
      </c>
      <c r="I95" s="178">
        <v>1.81</v>
      </c>
      <c r="J95" s="178">
        <v>1.6</v>
      </c>
      <c r="K95" s="178">
        <v>329</v>
      </c>
      <c r="L95" s="2345">
        <v>6481</v>
      </c>
      <c r="M95" s="957">
        <f>L95/100000</f>
        <v>6.4810000000000006E-2</v>
      </c>
      <c r="N95" s="2345">
        <v>79</v>
      </c>
      <c r="O95" s="2978">
        <f>N95*M95</f>
        <v>5.1199900000000005</v>
      </c>
      <c r="P95" s="2256" t="s">
        <v>5163</v>
      </c>
      <c r="Q95" s="107" t="str">
        <f>'Abs11. NTEP'!Q9</f>
        <v>Recommended Rs 5.12 lakhs towards maintenace of office equipments at DTCs, DRTB centre and Labs</v>
      </c>
      <c r="R95" s="655">
        <f>'Abs11. NTEP'!R9</f>
        <v>5.12</v>
      </c>
      <c r="S95" s="3080">
        <v>2.5275949367088608</v>
      </c>
      <c r="T95" s="3080"/>
      <c r="BB95" s="3184">
        <v>0.1</v>
      </c>
      <c r="BC95" s="3184">
        <v>0.18</v>
      </c>
      <c r="BD95" s="3184">
        <v>0.27</v>
      </c>
      <c r="BE95" s="3184">
        <v>0.21</v>
      </c>
      <c r="BF95" s="3184">
        <v>0.71</v>
      </c>
      <c r="BG95" s="3184">
        <v>0.1</v>
      </c>
      <c r="BH95" s="3184">
        <v>0.32</v>
      </c>
      <c r="BI95" s="3184">
        <v>0.09</v>
      </c>
      <c r="BJ95" s="3184">
        <v>0.49</v>
      </c>
      <c r="BK95" s="3184">
        <v>0.56000000000000005</v>
      </c>
      <c r="BL95" s="3184">
        <v>0.24</v>
      </c>
      <c r="BM95" s="3184">
        <v>0.25</v>
      </c>
      <c r="BN95" s="3184">
        <v>0.25</v>
      </c>
      <c r="BO95" s="3184"/>
      <c r="BP95" s="3184">
        <v>0.1</v>
      </c>
      <c r="BQ95" s="3184"/>
      <c r="BR95" s="3184"/>
      <c r="BS95" s="3184"/>
      <c r="BT95" s="3184"/>
      <c r="BU95" s="3184"/>
      <c r="BV95" s="3184"/>
      <c r="BW95" s="3184"/>
      <c r="BX95" s="3184"/>
      <c r="BY95" s="3184"/>
      <c r="BZ95" s="3184"/>
      <c r="CA95" s="3184"/>
      <c r="CB95" s="3184"/>
      <c r="CC95" s="3184"/>
      <c r="CD95" s="3184"/>
      <c r="CE95" s="3184">
        <v>1.25</v>
      </c>
      <c r="CF95" s="3184"/>
      <c r="CG95" s="3184"/>
      <c r="CH95" s="3184"/>
      <c r="CI95" s="3184">
        <f t="shared" si="11"/>
        <v>5.120000000000001</v>
      </c>
    </row>
    <row r="96" spans="1:87" ht="30">
      <c r="A96" s="107" t="s">
        <v>2595</v>
      </c>
      <c r="B96" s="961"/>
      <c r="C96" s="88" t="s">
        <v>5062</v>
      </c>
      <c r="D96" s="943" t="s">
        <v>85</v>
      </c>
      <c r="E96" s="956" t="s">
        <v>126</v>
      </c>
      <c r="F96" s="155">
        <v>0</v>
      </c>
      <c r="G96" s="155"/>
      <c r="H96" s="155">
        <v>0</v>
      </c>
      <c r="I96" s="155"/>
      <c r="J96" s="155"/>
      <c r="K96" s="155"/>
      <c r="L96" s="170"/>
      <c r="M96" s="193">
        <f>L96/100000</f>
        <v>0</v>
      </c>
      <c r="N96" s="170"/>
      <c r="O96" s="2977">
        <f>N96*M96</f>
        <v>0</v>
      </c>
      <c r="P96" s="171"/>
      <c r="Q96" s="88" t="str">
        <f>'Ab1. RMNCH+A'!Q108</f>
        <v>-</v>
      </c>
      <c r="R96" s="690">
        <f>'Ab1. RMNCH+A'!R108</f>
        <v>0</v>
      </c>
      <c r="BB96" s="3182"/>
      <c r="BC96" s="3182"/>
      <c r="BD96" s="3182"/>
      <c r="BE96" s="3182"/>
      <c r="BF96" s="3182"/>
      <c r="BG96" s="3182"/>
      <c r="BH96" s="3182"/>
      <c r="BI96" s="3182"/>
      <c r="BJ96" s="3182"/>
      <c r="BK96" s="3182"/>
      <c r="BL96" s="3182"/>
      <c r="BM96" s="3182"/>
      <c r="BN96" s="3182"/>
      <c r="BO96" s="3182"/>
      <c r="BP96" s="3182"/>
      <c r="BQ96" s="3182"/>
      <c r="BR96" s="3182"/>
      <c r="BS96" s="3182"/>
      <c r="BT96" s="3182"/>
      <c r="BU96" s="3182"/>
      <c r="BV96" s="3182"/>
      <c r="BW96" s="3182"/>
      <c r="BX96" s="3182"/>
      <c r="BY96" s="3182"/>
      <c r="BZ96" s="3182"/>
      <c r="CA96" s="3182"/>
      <c r="CB96" s="3182"/>
      <c r="CC96" s="3182"/>
      <c r="CD96" s="3182"/>
      <c r="CE96" s="3182"/>
      <c r="CF96" s="3182"/>
      <c r="CG96" s="3182"/>
      <c r="CH96" s="3182"/>
      <c r="CI96" s="3184">
        <f t="shared" si="11"/>
        <v>0</v>
      </c>
    </row>
    <row r="97" spans="1:87" s="963" customFormat="1" ht="97.5" customHeight="1">
      <c r="A97" s="107" t="s">
        <v>3697</v>
      </c>
      <c r="B97" s="961"/>
      <c r="C97" s="107" t="s">
        <v>5061</v>
      </c>
      <c r="D97" s="982" t="s">
        <v>85</v>
      </c>
      <c r="E97" s="956" t="s">
        <v>126</v>
      </c>
      <c r="F97" s="178">
        <v>1</v>
      </c>
      <c r="G97" s="178"/>
      <c r="H97" s="178">
        <v>1</v>
      </c>
      <c r="I97" s="178">
        <v>0</v>
      </c>
      <c r="J97" s="178">
        <v>0</v>
      </c>
      <c r="K97" s="178">
        <v>1</v>
      </c>
      <c r="L97" s="2504">
        <v>100000</v>
      </c>
      <c r="M97" s="957">
        <f t="shared" ref="M97:M107" si="14">L97/100000</f>
        <v>1</v>
      </c>
      <c r="N97" s="2313">
        <v>1</v>
      </c>
      <c r="O97" s="2978">
        <f t="shared" ref="O97:O107" si="15">N97*M97</f>
        <v>1</v>
      </c>
      <c r="P97" s="2256" t="s">
        <v>5345</v>
      </c>
      <c r="Q97" s="107" t="str">
        <f>'Ab1. RMNCH+A'!Q109</f>
        <v>Ongoing Activity:Rs. 1 lakh is recommended for approval for operational cost for State Newborn Resource Center at IGMC KNH Shimla.The State to ensure not to book any expenditure related to HR under this budget head and book expenditure as per actual.</v>
      </c>
      <c r="R97" s="655">
        <f>'Ab1. RMNCH+A'!R109</f>
        <v>1</v>
      </c>
      <c r="BB97" s="3184"/>
      <c r="BC97" s="3184"/>
      <c r="BD97" s="3184"/>
      <c r="BE97" s="3184"/>
      <c r="BF97" s="3184"/>
      <c r="BG97" s="3184"/>
      <c r="BH97" s="3184"/>
      <c r="BI97" s="3184"/>
      <c r="BJ97" s="3184"/>
      <c r="BK97" s="3184"/>
      <c r="BL97" s="3184"/>
      <c r="BM97" s="3184"/>
      <c r="BN97" s="3184"/>
      <c r="BO97" s="3184"/>
      <c r="BP97" s="3184"/>
      <c r="BQ97" s="3184"/>
      <c r="BR97" s="3184"/>
      <c r="BS97" s="3184"/>
      <c r="BT97" s="3184"/>
      <c r="BU97" s="3184">
        <v>1</v>
      </c>
      <c r="BV97" s="3184"/>
      <c r="BW97" s="3184"/>
      <c r="BX97" s="3184"/>
      <c r="BY97" s="3184"/>
      <c r="BZ97" s="3184"/>
      <c r="CA97" s="3184"/>
      <c r="CB97" s="3184"/>
      <c r="CC97" s="3184"/>
      <c r="CD97" s="3184"/>
      <c r="CE97" s="3184"/>
      <c r="CF97" s="3184"/>
      <c r="CG97" s="3184"/>
      <c r="CH97" s="3184"/>
      <c r="CI97" s="3184">
        <f t="shared" si="11"/>
        <v>1</v>
      </c>
    </row>
    <row r="98" spans="1:87" s="963" customFormat="1" ht="119.25" customHeight="1">
      <c r="A98" s="107" t="s">
        <v>3698</v>
      </c>
      <c r="B98" s="961"/>
      <c r="C98" s="107" t="s">
        <v>4552</v>
      </c>
      <c r="D98" s="982" t="s">
        <v>85</v>
      </c>
      <c r="E98" s="956" t="s">
        <v>126</v>
      </c>
      <c r="F98" s="178">
        <v>7</v>
      </c>
      <c r="G98" s="178"/>
      <c r="H98" s="178">
        <v>7</v>
      </c>
      <c r="I98" s="178">
        <v>0</v>
      </c>
      <c r="J98" s="178">
        <v>0</v>
      </c>
      <c r="K98" s="178">
        <v>1</v>
      </c>
      <c r="L98" s="2504">
        <v>100000</v>
      </c>
      <c r="M98" s="957">
        <f t="shared" si="14"/>
        <v>1</v>
      </c>
      <c r="N98" s="2313">
        <v>7</v>
      </c>
      <c r="O98" s="2978">
        <f t="shared" si="15"/>
        <v>7</v>
      </c>
      <c r="P98" s="2256" t="s">
        <v>5346</v>
      </c>
      <c r="Q98" s="107" t="str">
        <f>'Ab1. RMNCH+A'!Q110</f>
        <v>Ongoing Activity:Rs. 7 lakh is approved for operational cost for 7 Paediatric HDUs @ Rs. 1 lakh for each unit for RH Bilaspur, RH Hamirpur, ZH Dharamshala, RH Reckong peo, RH Kullu, RH Solan and RH Una.The State to ensure all the financial expenditure as per GoI strengthening Paediatric services guideline and book expenditure as per actual.</v>
      </c>
      <c r="R98" s="655">
        <f>'Ab1. RMNCH+A'!R110</f>
        <v>7</v>
      </c>
      <c r="BB98" s="3184"/>
      <c r="BC98" s="3184"/>
      <c r="BD98" s="3184"/>
      <c r="BE98" s="3184"/>
      <c r="BF98" s="3184"/>
      <c r="BG98" s="3482">
        <v>1</v>
      </c>
      <c r="BH98" s="3184"/>
      <c r="BI98" s="3184"/>
      <c r="BJ98" s="3184"/>
      <c r="BK98" s="3184"/>
      <c r="BL98" s="3184"/>
      <c r="BM98" s="3184"/>
      <c r="BN98" s="3184"/>
      <c r="BO98" s="3184"/>
      <c r="BP98" s="3184"/>
      <c r="BQ98" s="3184"/>
      <c r="BR98" s="3482">
        <v>1</v>
      </c>
      <c r="BS98" s="3184"/>
      <c r="BT98" s="3184"/>
      <c r="BU98" s="3184"/>
      <c r="BV98" s="3482">
        <v>1</v>
      </c>
      <c r="BW98" s="3482">
        <v>1</v>
      </c>
      <c r="BX98" s="3184"/>
      <c r="BY98" s="3482">
        <v>1</v>
      </c>
      <c r="BZ98" s="3184"/>
      <c r="CA98" s="3184"/>
      <c r="CB98" s="3184"/>
      <c r="CC98" s="3184"/>
      <c r="CD98" s="3482">
        <v>1</v>
      </c>
      <c r="CE98" s="3184"/>
      <c r="CF98" s="3482">
        <v>1</v>
      </c>
      <c r="CG98" s="3184"/>
      <c r="CH98" s="3184"/>
      <c r="CI98" s="3184">
        <f t="shared" si="11"/>
        <v>7</v>
      </c>
    </row>
    <row r="99" spans="1:87" s="963" customFormat="1" ht="30">
      <c r="A99" s="107" t="s">
        <v>3699</v>
      </c>
      <c r="B99" s="961"/>
      <c r="C99" s="107" t="s">
        <v>3220</v>
      </c>
      <c r="D99" s="982" t="s">
        <v>4219</v>
      </c>
      <c r="E99" s="956" t="s">
        <v>3223</v>
      </c>
      <c r="F99" s="178">
        <v>0</v>
      </c>
      <c r="G99" s="178"/>
      <c r="H99" s="178">
        <v>0</v>
      </c>
      <c r="I99" s="178"/>
      <c r="J99" s="178"/>
      <c r="K99" s="178"/>
      <c r="L99" s="2313"/>
      <c r="M99" s="957">
        <f t="shared" si="14"/>
        <v>0</v>
      </c>
      <c r="N99" s="2313"/>
      <c r="O99" s="2978">
        <f t="shared" si="15"/>
        <v>0</v>
      </c>
      <c r="P99" s="2256"/>
      <c r="Q99" s="107">
        <f>'Abs12. NVHCP'!Q7</f>
        <v>0</v>
      </c>
      <c r="R99" s="655">
        <f>'Abs12. NVHCP'!R7</f>
        <v>0</v>
      </c>
      <c r="BB99" s="3184"/>
      <c r="BC99" s="3184"/>
      <c r="BD99" s="3184"/>
      <c r="BE99" s="3184"/>
      <c r="BF99" s="3184"/>
      <c r="BG99" s="3184"/>
      <c r="BH99" s="3184"/>
      <c r="BI99" s="3184"/>
      <c r="BJ99" s="3184"/>
      <c r="BK99" s="3184"/>
      <c r="BL99" s="3184"/>
      <c r="BM99" s="3184"/>
      <c r="BN99" s="3184"/>
      <c r="BO99" s="3184"/>
      <c r="BP99" s="3184"/>
      <c r="BQ99" s="3184"/>
      <c r="BR99" s="3184"/>
      <c r="BS99" s="3184"/>
      <c r="BT99" s="3184"/>
      <c r="BU99" s="3184"/>
      <c r="BV99" s="3184"/>
      <c r="BW99" s="3184"/>
      <c r="BX99" s="3184"/>
      <c r="BY99" s="3184"/>
      <c r="BZ99" s="3184"/>
      <c r="CA99" s="3184"/>
      <c r="CB99" s="3184"/>
      <c r="CC99" s="3184"/>
      <c r="CD99" s="3184"/>
      <c r="CE99" s="3184"/>
      <c r="CF99" s="3184"/>
      <c r="CG99" s="3184"/>
      <c r="CH99" s="3184"/>
      <c r="CI99" s="3184">
        <f t="shared" si="11"/>
        <v>0</v>
      </c>
    </row>
    <row r="100" spans="1:87">
      <c r="A100" s="187" t="s">
        <v>3700</v>
      </c>
      <c r="B100" s="187"/>
      <c r="C100" s="187" t="s">
        <v>3221</v>
      </c>
      <c r="D100" s="975"/>
      <c r="E100" s="975"/>
      <c r="F100" s="205"/>
      <c r="G100" s="205"/>
      <c r="H100" s="205"/>
      <c r="I100" s="205"/>
      <c r="J100" s="205"/>
      <c r="K100" s="205"/>
      <c r="L100" s="205"/>
      <c r="M100" s="950"/>
      <c r="N100" s="206"/>
      <c r="O100" s="2979">
        <f>O101+O102</f>
        <v>2</v>
      </c>
      <c r="P100" s="147"/>
      <c r="Q100" s="187"/>
      <c r="R100" s="216">
        <f>R101+R102</f>
        <v>2</v>
      </c>
      <c r="BB100" s="3182"/>
      <c r="BC100" s="3182"/>
      <c r="BD100" s="3182"/>
      <c r="BE100" s="3182"/>
      <c r="BF100" s="3182"/>
      <c r="BG100" s="3182"/>
      <c r="BH100" s="3182"/>
      <c r="BI100" s="3182"/>
      <c r="BJ100" s="3182"/>
      <c r="BK100" s="3182"/>
      <c r="BL100" s="3182"/>
      <c r="BM100" s="3182"/>
      <c r="BN100" s="3182"/>
      <c r="BO100" s="3182"/>
      <c r="BP100" s="3182"/>
      <c r="BQ100" s="3182"/>
      <c r="BR100" s="3182"/>
      <c r="BS100" s="3182"/>
      <c r="BT100" s="3182"/>
      <c r="BU100" s="3182"/>
      <c r="BV100" s="3182"/>
      <c r="BW100" s="3182"/>
      <c r="BX100" s="3182"/>
      <c r="BY100" s="3182"/>
      <c r="BZ100" s="3182"/>
      <c r="CA100" s="3182"/>
      <c r="CB100" s="3182"/>
      <c r="CC100" s="3182"/>
      <c r="CD100" s="3182"/>
      <c r="CE100" s="3182"/>
      <c r="CF100" s="3182"/>
      <c r="CG100" s="3182"/>
      <c r="CH100" s="3182"/>
      <c r="CI100" s="3184">
        <f t="shared" si="11"/>
        <v>0</v>
      </c>
    </row>
    <row r="101" spans="1:87" s="963" customFormat="1" ht="75">
      <c r="A101" s="107" t="s">
        <v>3701</v>
      </c>
      <c r="B101" s="961"/>
      <c r="C101" s="107" t="s">
        <v>5064</v>
      </c>
      <c r="D101" s="982" t="s">
        <v>4219</v>
      </c>
      <c r="E101" s="956" t="s">
        <v>3223</v>
      </c>
      <c r="F101" s="178">
        <v>2</v>
      </c>
      <c r="G101" s="178">
        <v>0</v>
      </c>
      <c r="H101" s="178">
        <v>1</v>
      </c>
      <c r="I101" s="2446">
        <v>0</v>
      </c>
      <c r="J101" s="2446">
        <v>1</v>
      </c>
      <c r="K101" s="2446">
        <v>2</v>
      </c>
      <c r="L101" s="279">
        <v>50000</v>
      </c>
      <c r="M101" s="957">
        <f t="shared" si="14"/>
        <v>0.5</v>
      </c>
      <c r="N101" s="279">
        <v>2</v>
      </c>
      <c r="O101" s="2978">
        <f t="shared" si="15"/>
        <v>1</v>
      </c>
      <c r="P101" s="2523" t="s">
        <v>5283</v>
      </c>
      <c r="Q101" s="107" t="str">
        <f>'Abs12. NVHCP'!Q8</f>
        <v>Recommended for Approval Rs 1 lakh for 02 MTC as per norms under NVHCP</v>
      </c>
      <c r="R101" s="655">
        <f>'Abs12. NVHCP'!R8</f>
        <v>1</v>
      </c>
      <c r="BB101" s="3184"/>
      <c r="BC101" s="3184"/>
      <c r="BD101" s="3184"/>
      <c r="BE101" s="3184"/>
      <c r="BF101" s="3184"/>
      <c r="BG101" s="3184"/>
      <c r="BH101" s="3184"/>
      <c r="BI101" s="3184"/>
      <c r="BJ101" s="3184"/>
      <c r="BK101" s="3184"/>
      <c r="BL101" s="3184"/>
      <c r="BM101" s="3184"/>
      <c r="BN101" s="3184"/>
      <c r="BO101" s="3184">
        <v>0.5</v>
      </c>
      <c r="BP101" s="3184">
        <v>0.5</v>
      </c>
      <c r="BQ101" s="3184"/>
      <c r="BR101" s="3184"/>
      <c r="BS101" s="3184"/>
      <c r="BT101" s="3184"/>
      <c r="BU101" s="3184"/>
      <c r="BV101" s="3184"/>
      <c r="BW101" s="3184"/>
      <c r="BX101" s="3184"/>
      <c r="BY101" s="3184"/>
      <c r="BZ101" s="3184"/>
      <c r="CA101" s="3184"/>
      <c r="CB101" s="3184"/>
      <c r="CC101" s="3184"/>
      <c r="CD101" s="3184"/>
      <c r="CE101" s="3184"/>
      <c r="CF101" s="3184"/>
      <c r="CG101" s="3184"/>
      <c r="CH101" s="3184"/>
      <c r="CI101" s="3184">
        <f t="shared" si="11"/>
        <v>1</v>
      </c>
    </row>
    <row r="102" spans="1:87" s="963" customFormat="1" ht="60">
      <c r="A102" s="107" t="s">
        <v>3702</v>
      </c>
      <c r="B102" s="961"/>
      <c r="C102" s="107" t="s">
        <v>5065</v>
      </c>
      <c r="D102" s="982" t="s">
        <v>4219</v>
      </c>
      <c r="E102" s="956" t="s">
        <v>3223</v>
      </c>
      <c r="F102" s="178">
        <v>1000</v>
      </c>
      <c r="G102" s="178">
        <v>0</v>
      </c>
      <c r="H102" s="178">
        <v>1</v>
      </c>
      <c r="I102" s="2446">
        <v>0</v>
      </c>
      <c r="J102" s="2446">
        <v>1</v>
      </c>
      <c r="K102" s="2446">
        <v>2</v>
      </c>
      <c r="L102" s="245">
        <v>50000</v>
      </c>
      <c r="M102" s="957">
        <f t="shared" si="14"/>
        <v>0.5</v>
      </c>
      <c r="N102" s="245">
        <v>2</v>
      </c>
      <c r="O102" s="2978">
        <f t="shared" si="15"/>
        <v>1</v>
      </c>
      <c r="P102" s="81" t="s">
        <v>5284</v>
      </c>
      <c r="Q102" s="107" t="str">
        <f>'Abs12. NVHCP'!Q9</f>
        <v>Recommended for approval of Rs 1 lakh  for 02 MTC for management of Hepatitis A &amp; E as per norms under NVHCP</v>
      </c>
      <c r="R102" s="655">
        <f>'Abs12. NVHCP'!R9</f>
        <v>1</v>
      </c>
      <c r="BB102" s="3184"/>
      <c r="BC102" s="3184"/>
      <c r="BD102" s="3184"/>
      <c r="BE102" s="3184"/>
      <c r="BF102" s="3184"/>
      <c r="BG102" s="3184"/>
      <c r="BH102" s="3184"/>
      <c r="BI102" s="3184"/>
      <c r="BJ102" s="3184"/>
      <c r="BK102" s="3184"/>
      <c r="BL102" s="3184"/>
      <c r="BM102" s="3184"/>
      <c r="BN102" s="3184"/>
      <c r="BO102" s="3184">
        <v>0.5</v>
      </c>
      <c r="BP102" s="3184">
        <v>0.5</v>
      </c>
      <c r="BQ102" s="3184"/>
      <c r="BR102" s="3184"/>
      <c r="BS102" s="3184"/>
      <c r="BT102" s="3184"/>
      <c r="BU102" s="3184"/>
      <c r="BV102" s="3184"/>
      <c r="BW102" s="3184"/>
      <c r="BX102" s="3184"/>
      <c r="BY102" s="3184"/>
      <c r="BZ102" s="3184"/>
      <c r="CA102" s="3184"/>
      <c r="CB102" s="3184"/>
      <c r="CC102" s="3184"/>
      <c r="CD102" s="3184"/>
      <c r="CE102" s="3184"/>
      <c r="CF102" s="3184"/>
      <c r="CG102" s="3184"/>
      <c r="CH102" s="3184"/>
      <c r="CI102" s="3184">
        <f t="shared" si="11"/>
        <v>1</v>
      </c>
    </row>
    <row r="103" spans="1:87" s="963" customFormat="1">
      <c r="A103" s="888" t="s">
        <v>3703</v>
      </c>
      <c r="B103" s="888"/>
      <c r="C103" s="888" t="s">
        <v>3222</v>
      </c>
      <c r="D103" s="982"/>
      <c r="E103" s="982"/>
      <c r="F103" s="2446"/>
      <c r="G103" s="2446"/>
      <c r="H103" s="2446"/>
      <c r="I103" s="2446"/>
      <c r="J103" s="2446"/>
      <c r="K103" s="2446"/>
      <c r="L103" s="2446"/>
      <c r="M103" s="161"/>
      <c r="N103" s="2447"/>
      <c r="O103" s="2949">
        <f>O104+O105</f>
        <v>6</v>
      </c>
      <c r="P103" s="81"/>
      <c r="Q103" s="888"/>
      <c r="R103" s="215">
        <f>R104+R105</f>
        <v>6</v>
      </c>
      <c r="BB103" s="3184"/>
      <c r="BC103" s="3184"/>
      <c r="BD103" s="3184"/>
      <c r="BE103" s="3184"/>
      <c r="BF103" s="3184"/>
      <c r="BG103" s="3184"/>
      <c r="BH103" s="3184"/>
      <c r="BI103" s="3184"/>
      <c r="BJ103" s="3184"/>
      <c r="BK103" s="3184"/>
      <c r="BL103" s="3184"/>
      <c r="BM103" s="3184"/>
      <c r="BN103" s="3184"/>
      <c r="BO103" s="3184"/>
      <c r="BP103" s="3184"/>
      <c r="BQ103" s="3184"/>
      <c r="BR103" s="3184"/>
      <c r="BS103" s="3184"/>
      <c r="BT103" s="3184"/>
      <c r="BU103" s="3184"/>
      <c r="BV103" s="3184"/>
      <c r="BW103" s="3184"/>
      <c r="BX103" s="3184"/>
      <c r="BY103" s="3184"/>
      <c r="BZ103" s="3184"/>
      <c r="CA103" s="3184"/>
      <c r="CB103" s="3184"/>
      <c r="CC103" s="3184"/>
      <c r="CD103" s="3184"/>
      <c r="CE103" s="3184"/>
      <c r="CF103" s="3184"/>
      <c r="CG103" s="3184"/>
      <c r="CH103" s="3184"/>
      <c r="CI103" s="3184">
        <f t="shared" si="11"/>
        <v>0</v>
      </c>
    </row>
    <row r="104" spans="1:87" s="963" customFormat="1" ht="60">
      <c r="A104" s="107" t="s">
        <v>3747</v>
      </c>
      <c r="B104" s="961"/>
      <c r="C104" s="107" t="s">
        <v>5066</v>
      </c>
      <c r="D104" s="982" t="s">
        <v>4219</v>
      </c>
      <c r="E104" s="956" t="s">
        <v>3223</v>
      </c>
      <c r="F104" s="178">
        <v>12</v>
      </c>
      <c r="G104" s="2446">
        <v>0</v>
      </c>
      <c r="H104" s="178">
        <v>6</v>
      </c>
      <c r="I104" s="2446">
        <v>0</v>
      </c>
      <c r="J104" s="2446">
        <v>6</v>
      </c>
      <c r="K104" s="2446">
        <v>12</v>
      </c>
      <c r="L104" s="279">
        <v>20000</v>
      </c>
      <c r="M104" s="957">
        <f t="shared" si="14"/>
        <v>0.2</v>
      </c>
      <c r="N104" s="279">
        <v>12</v>
      </c>
      <c r="O104" s="2978">
        <f t="shared" si="15"/>
        <v>2.4000000000000004</v>
      </c>
      <c r="P104" s="2523" t="s">
        <v>5285</v>
      </c>
      <c r="Q104" s="107" t="str">
        <f>'Abs12. NVHCP'!Q10</f>
        <v>Recommended  for approval of Rs 2.4 lakhs for meeting costs /office expenses /Contigency at TC as per norms under NVHCP</v>
      </c>
      <c r="R104" s="655">
        <f>'Abs12. NVHCP'!R10</f>
        <v>2.4</v>
      </c>
      <c r="BB104" s="3184"/>
      <c r="BC104" s="3184"/>
      <c r="BD104" s="3184"/>
      <c r="BE104" s="3184"/>
      <c r="BF104" s="3184"/>
      <c r="BG104" s="3184">
        <v>0.2</v>
      </c>
      <c r="BH104" s="3184"/>
      <c r="BI104" s="3184">
        <v>0.2</v>
      </c>
      <c r="BJ104" s="3184"/>
      <c r="BK104" s="3184"/>
      <c r="BL104" s="3184"/>
      <c r="BM104" s="3184"/>
      <c r="BN104" s="3184"/>
      <c r="BO104" s="3184"/>
      <c r="BP104" s="3184"/>
      <c r="BQ104" s="3184">
        <v>0.2</v>
      </c>
      <c r="BR104" s="3184">
        <v>0.2</v>
      </c>
      <c r="BS104" s="3184"/>
      <c r="BT104" s="3184">
        <v>0.2</v>
      </c>
      <c r="BU104" s="3184"/>
      <c r="BV104" s="3184">
        <v>0.2</v>
      </c>
      <c r="BW104" s="3184">
        <v>0.2</v>
      </c>
      <c r="BX104" s="3184"/>
      <c r="BY104" s="3184">
        <v>0.2</v>
      </c>
      <c r="BZ104" s="3184">
        <v>0.2</v>
      </c>
      <c r="CA104" s="3184">
        <v>0.2</v>
      </c>
      <c r="CB104" s="3184"/>
      <c r="CC104" s="3184"/>
      <c r="CD104" s="3184">
        <v>0.2</v>
      </c>
      <c r="CE104" s="3184"/>
      <c r="CF104" s="3184">
        <v>0.2</v>
      </c>
      <c r="CG104" s="3184"/>
      <c r="CH104" s="3184"/>
      <c r="CI104" s="3184">
        <f t="shared" si="11"/>
        <v>2.4</v>
      </c>
    </row>
    <row r="105" spans="1:87" s="963" customFormat="1" ht="45">
      <c r="A105" s="107" t="s">
        <v>3748</v>
      </c>
      <c r="B105" s="961"/>
      <c r="C105" s="107" t="s">
        <v>5067</v>
      </c>
      <c r="D105" s="982" t="s">
        <v>4219</v>
      </c>
      <c r="E105" s="956" t="s">
        <v>3223</v>
      </c>
      <c r="F105" s="178">
        <v>12</v>
      </c>
      <c r="G105" s="2446">
        <v>0</v>
      </c>
      <c r="H105" s="178">
        <v>6</v>
      </c>
      <c r="I105" s="2446">
        <v>0</v>
      </c>
      <c r="J105" s="2446">
        <v>6</v>
      </c>
      <c r="K105" s="2446">
        <v>12</v>
      </c>
      <c r="L105" s="279">
        <v>30000</v>
      </c>
      <c r="M105" s="957">
        <f t="shared" si="14"/>
        <v>0.3</v>
      </c>
      <c r="N105" s="279">
        <v>12</v>
      </c>
      <c r="O105" s="2978">
        <f t="shared" si="15"/>
        <v>3.5999999999999996</v>
      </c>
      <c r="P105" s="2523" t="s">
        <v>5286</v>
      </c>
      <c r="Q105" s="107" t="str">
        <f>'Abs12. NVHCP'!Q11</f>
        <v>Recommended for approval for Rs 3.6 lakhs for management of Hep A &amp;E at TC as per norms under NVHCP</v>
      </c>
      <c r="R105" s="655">
        <f>'Abs12. NVHCP'!R11</f>
        <v>3.6</v>
      </c>
      <c r="BB105" s="3184">
        <v>3.6</v>
      </c>
      <c r="BC105" s="3184"/>
      <c r="BD105" s="3184"/>
      <c r="BE105" s="3184"/>
      <c r="BF105" s="3184"/>
      <c r="BG105" s="3184"/>
      <c r="BH105" s="3184"/>
      <c r="BI105" s="3184"/>
      <c r="BJ105" s="3184"/>
      <c r="BK105" s="3184"/>
      <c r="BL105" s="3184"/>
      <c r="BM105" s="3184"/>
      <c r="BN105" s="3184"/>
      <c r="BO105" s="3184"/>
      <c r="BP105" s="3184"/>
      <c r="BQ105" s="3184"/>
      <c r="BR105" s="3184"/>
      <c r="BS105" s="3184"/>
      <c r="BT105" s="3184"/>
      <c r="BU105" s="3184"/>
      <c r="BV105" s="3184"/>
      <c r="BW105" s="3184"/>
      <c r="BX105" s="3184"/>
      <c r="BY105" s="3184"/>
      <c r="BZ105" s="3184"/>
      <c r="CA105" s="3184"/>
      <c r="CB105" s="3184"/>
      <c r="CC105" s="3184"/>
      <c r="CD105" s="3184"/>
      <c r="CE105" s="3184"/>
      <c r="CF105" s="3184"/>
      <c r="CG105" s="3184"/>
      <c r="CH105" s="3184"/>
      <c r="CI105" s="3184">
        <f t="shared" si="11"/>
        <v>3.6</v>
      </c>
    </row>
    <row r="106" spans="1:87" s="963" customFormat="1" ht="90">
      <c r="A106" s="107" t="s">
        <v>3704</v>
      </c>
      <c r="B106" s="961"/>
      <c r="C106" s="3438" t="s">
        <v>4462</v>
      </c>
      <c r="D106" s="982" t="s">
        <v>85</v>
      </c>
      <c r="E106" s="956" t="s">
        <v>188</v>
      </c>
      <c r="F106" s="178">
        <v>0</v>
      </c>
      <c r="G106" s="178"/>
      <c r="H106" s="178">
        <v>0</v>
      </c>
      <c r="I106" s="178"/>
      <c r="J106" s="178"/>
      <c r="K106" s="178"/>
      <c r="L106" s="2448">
        <v>110000</v>
      </c>
      <c r="M106" s="957">
        <f>L106/100000</f>
        <v>1.1000000000000001</v>
      </c>
      <c r="N106" s="2313">
        <v>3</v>
      </c>
      <c r="O106" s="2978">
        <f>N106*M106</f>
        <v>3.3000000000000003</v>
      </c>
      <c r="P106" s="2256" t="s">
        <v>5226</v>
      </c>
      <c r="Q106" s="107" t="str">
        <f>'Ab1. RMNCH+A'!Q293</f>
        <v>New activityRecommended for approval of Rs 3.3 lakhs for establishment of 3 District level Adolescent Friendly Health Resource Centres at ZH Shimla, RH Chamba and ZH Mandi.</v>
      </c>
      <c r="R106" s="655">
        <f>'Ab1. RMNCH+A'!R293</f>
        <v>3.3</v>
      </c>
      <c r="BB106" s="3184">
        <v>3.3</v>
      </c>
      <c r="BC106" s="3184"/>
      <c r="BD106" s="3184"/>
      <c r="BE106" s="3184"/>
      <c r="BF106" s="3184"/>
      <c r="BG106" s="3184"/>
      <c r="BH106" s="3184"/>
      <c r="BI106" s="3184"/>
      <c r="BJ106" s="3184"/>
      <c r="BK106" s="3184"/>
      <c r="BL106" s="3184"/>
      <c r="BM106" s="3184"/>
      <c r="BN106" s="3184"/>
      <c r="BO106" s="3184"/>
      <c r="BP106" s="3184"/>
      <c r="BQ106" s="3184"/>
      <c r="BR106" s="3184"/>
      <c r="BS106" s="3184"/>
      <c r="BT106" s="3184"/>
      <c r="BU106" s="3184"/>
      <c r="BV106" s="3184"/>
      <c r="BW106" s="3184"/>
      <c r="BX106" s="3184"/>
      <c r="BY106" s="3184"/>
      <c r="BZ106" s="3184"/>
      <c r="CA106" s="3184"/>
      <c r="CB106" s="3184"/>
      <c r="CC106" s="3184"/>
      <c r="CD106" s="3184"/>
      <c r="CE106" s="3184"/>
      <c r="CF106" s="3184"/>
      <c r="CG106" s="3184"/>
      <c r="CH106" s="3184"/>
      <c r="CI106" s="3184">
        <f t="shared" si="11"/>
        <v>3.3</v>
      </c>
    </row>
    <row r="107" spans="1:87">
      <c r="A107" s="107" t="s">
        <v>4010</v>
      </c>
      <c r="B107" s="88" t="s">
        <v>2595</v>
      </c>
      <c r="C107" s="976" t="s">
        <v>1304</v>
      </c>
      <c r="D107" s="908" t="s">
        <v>65</v>
      </c>
      <c r="E107" s="964" t="s">
        <v>65</v>
      </c>
      <c r="F107" s="155">
        <v>0</v>
      </c>
      <c r="G107" s="185"/>
      <c r="H107" s="194">
        <v>0</v>
      </c>
      <c r="I107" s="194"/>
      <c r="J107" s="155"/>
      <c r="K107" s="155"/>
      <c r="L107" s="170"/>
      <c r="M107" s="193">
        <f t="shared" si="14"/>
        <v>0</v>
      </c>
      <c r="N107" s="170"/>
      <c r="O107" s="2977">
        <f t="shared" si="15"/>
        <v>0</v>
      </c>
      <c r="P107" s="171"/>
      <c r="Q107" s="175"/>
      <c r="R107" s="213"/>
      <c r="BB107" s="3182"/>
      <c r="BC107" s="3182"/>
      <c r="BD107" s="3182"/>
      <c r="BE107" s="3182"/>
      <c r="BF107" s="3182"/>
      <c r="BG107" s="3182"/>
      <c r="BH107" s="3182"/>
      <c r="BI107" s="3182"/>
      <c r="BJ107" s="3182"/>
      <c r="BK107" s="3182"/>
      <c r="BL107" s="3182"/>
      <c r="BM107" s="3182"/>
      <c r="BN107" s="3182"/>
      <c r="BO107" s="3182"/>
      <c r="BP107" s="3182"/>
      <c r="BQ107" s="3182"/>
      <c r="BR107" s="3182"/>
      <c r="BS107" s="3182"/>
      <c r="BT107" s="3182"/>
      <c r="BU107" s="3182"/>
      <c r="BV107" s="3182"/>
      <c r="BW107" s="3182"/>
      <c r="BX107" s="3182"/>
      <c r="BY107" s="3182"/>
      <c r="BZ107" s="3182"/>
      <c r="CA107" s="3182"/>
      <c r="CB107" s="3182"/>
      <c r="CC107" s="3182"/>
      <c r="CD107" s="3182"/>
      <c r="CE107" s="3182"/>
      <c r="CF107" s="3182"/>
      <c r="CG107" s="3182"/>
      <c r="CH107" s="3182"/>
      <c r="CI107" s="3184">
        <f t="shared" si="11"/>
        <v>0</v>
      </c>
    </row>
    <row r="108" spans="1:87">
      <c r="A108" s="935" t="s">
        <v>2068</v>
      </c>
      <c r="B108" s="936"/>
      <c r="C108" s="85" t="s">
        <v>2069</v>
      </c>
      <c r="D108" s="937"/>
      <c r="E108" s="938"/>
      <c r="F108" s="148"/>
      <c r="G108" s="148"/>
      <c r="H108" s="148"/>
      <c r="I108" s="148"/>
      <c r="J108" s="148"/>
      <c r="K108" s="149"/>
      <c r="L108" s="192"/>
      <c r="M108" s="950"/>
      <c r="N108" s="195"/>
      <c r="O108" s="2979">
        <f>SUM(O109:O114)</f>
        <v>1.44</v>
      </c>
      <c r="P108" s="94"/>
      <c r="Q108" s="85"/>
      <c r="R108" s="209">
        <f>SUM(R109:R114)</f>
        <v>1.44</v>
      </c>
      <c r="BB108" s="3182"/>
      <c r="BC108" s="3182"/>
      <c r="BD108" s="3182"/>
      <c r="BE108" s="3182"/>
      <c r="BF108" s="3182"/>
      <c r="BG108" s="3182"/>
      <c r="BH108" s="3182"/>
      <c r="BI108" s="3182"/>
      <c r="BJ108" s="3182"/>
      <c r="BK108" s="3182"/>
      <c r="BL108" s="3182"/>
      <c r="BM108" s="3182"/>
      <c r="BN108" s="3182"/>
      <c r="BO108" s="3182"/>
      <c r="BP108" s="3182"/>
      <c r="BQ108" s="3182"/>
      <c r="BR108" s="3182"/>
      <c r="BS108" s="3182"/>
      <c r="BT108" s="3182"/>
      <c r="BU108" s="3182"/>
      <c r="BV108" s="3182"/>
      <c r="BW108" s="3182"/>
      <c r="BX108" s="3182"/>
      <c r="BY108" s="3182"/>
      <c r="BZ108" s="3182"/>
      <c r="CA108" s="3182"/>
      <c r="CB108" s="3182"/>
      <c r="CC108" s="3182"/>
      <c r="CD108" s="3182"/>
      <c r="CE108" s="3182"/>
      <c r="CF108" s="3182"/>
      <c r="CG108" s="3182"/>
      <c r="CH108" s="3182"/>
      <c r="CI108" s="3184">
        <f t="shared" si="11"/>
        <v>0</v>
      </c>
    </row>
    <row r="109" spans="1:87" ht="45">
      <c r="A109" s="107" t="s">
        <v>2070</v>
      </c>
      <c r="B109" s="942" t="s">
        <v>2071</v>
      </c>
      <c r="C109" s="960" t="s">
        <v>2072</v>
      </c>
      <c r="D109" s="908" t="s">
        <v>65</v>
      </c>
      <c r="E109" s="944" t="s">
        <v>65</v>
      </c>
      <c r="F109" s="155">
        <v>0</v>
      </c>
      <c r="G109" s="155"/>
      <c r="H109" s="186">
        <v>0</v>
      </c>
      <c r="I109" s="186"/>
      <c r="J109" s="155"/>
      <c r="K109" s="155"/>
      <c r="L109" s="170"/>
      <c r="M109" s="193">
        <f t="shared" ref="M109:M114" si="16">L109/100000</f>
        <v>0</v>
      </c>
      <c r="N109" s="170"/>
      <c r="O109" s="2977">
        <f t="shared" ref="O109:O114" si="17">N109*M109</f>
        <v>0</v>
      </c>
      <c r="P109" s="171"/>
      <c r="Q109" s="175"/>
      <c r="R109" s="213"/>
      <c r="BB109" s="3182"/>
      <c r="BC109" s="3182"/>
      <c r="BD109" s="3182"/>
      <c r="BE109" s="3182"/>
      <c r="BF109" s="3182"/>
      <c r="BG109" s="3182"/>
      <c r="BH109" s="3182"/>
      <c r="BI109" s="3182"/>
      <c r="BJ109" s="3182"/>
      <c r="BK109" s="3182"/>
      <c r="BL109" s="3182"/>
      <c r="BM109" s="3182"/>
      <c r="BN109" s="3182"/>
      <c r="BO109" s="3182"/>
      <c r="BP109" s="3182"/>
      <c r="BQ109" s="3182"/>
      <c r="BR109" s="3182"/>
      <c r="BS109" s="3182"/>
      <c r="BT109" s="3182"/>
      <c r="BU109" s="3182"/>
      <c r="BV109" s="3182"/>
      <c r="BW109" s="3182"/>
      <c r="BX109" s="3182"/>
      <c r="BY109" s="3182"/>
      <c r="BZ109" s="3182"/>
      <c r="CA109" s="3182"/>
      <c r="CB109" s="3182"/>
      <c r="CC109" s="3182"/>
      <c r="CD109" s="3182"/>
      <c r="CE109" s="3182"/>
      <c r="CF109" s="3182"/>
      <c r="CG109" s="3182"/>
      <c r="CH109" s="3182"/>
      <c r="CI109" s="3184">
        <f t="shared" si="11"/>
        <v>0</v>
      </c>
    </row>
    <row r="110" spans="1:87" ht="45">
      <c r="A110" s="107" t="s">
        <v>2073</v>
      </c>
      <c r="B110" s="942" t="s">
        <v>2074</v>
      </c>
      <c r="C110" s="942" t="s">
        <v>4240</v>
      </c>
      <c r="D110" s="913" t="s">
        <v>80</v>
      </c>
      <c r="E110" s="944" t="s">
        <v>1028</v>
      </c>
      <c r="F110" s="155">
        <v>0</v>
      </c>
      <c r="G110" s="155"/>
      <c r="H110" s="186">
        <v>0</v>
      </c>
      <c r="I110" s="186"/>
      <c r="J110" s="155"/>
      <c r="K110" s="155"/>
      <c r="L110" s="170"/>
      <c r="M110" s="193">
        <f t="shared" si="16"/>
        <v>0</v>
      </c>
      <c r="N110" s="170"/>
      <c r="O110" s="2977">
        <f t="shared" si="17"/>
        <v>0</v>
      </c>
      <c r="P110" s="171"/>
      <c r="Q110" s="88">
        <f>'Abs23. NPPCF'!Q9</f>
        <v>0</v>
      </c>
      <c r="R110" s="690">
        <f>'Abs23. NPPCF'!R9</f>
        <v>0</v>
      </c>
      <c r="BB110" s="3182"/>
      <c r="BC110" s="3182"/>
      <c r="BD110" s="3182"/>
      <c r="BE110" s="3182"/>
      <c r="BF110" s="3182"/>
      <c r="BG110" s="3182"/>
      <c r="BH110" s="3182"/>
      <c r="BI110" s="3182"/>
      <c r="BJ110" s="3182"/>
      <c r="BK110" s="3182"/>
      <c r="BL110" s="3182"/>
      <c r="BM110" s="3182"/>
      <c r="BN110" s="3182"/>
      <c r="BO110" s="3182"/>
      <c r="BP110" s="3182"/>
      <c r="BQ110" s="3182"/>
      <c r="BR110" s="3182"/>
      <c r="BS110" s="3182"/>
      <c r="BT110" s="3182"/>
      <c r="BU110" s="3182"/>
      <c r="BV110" s="3182"/>
      <c r="BW110" s="3182"/>
      <c r="BX110" s="3182"/>
      <c r="BY110" s="3182"/>
      <c r="BZ110" s="3182"/>
      <c r="CA110" s="3182"/>
      <c r="CB110" s="3182"/>
      <c r="CC110" s="3182"/>
      <c r="CD110" s="3182"/>
      <c r="CE110" s="3182"/>
      <c r="CF110" s="3182"/>
      <c r="CG110" s="3182"/>
      <c r="CH110" s="3182"/>
      <c r="CI110" s="3184">
        <f t="shared" si="11"/>
        <v>0</v>
      </c>
    </row>
    <row r="111" spans="1:87" ht="45">
      <c r="A111" s="107" t="s">
        <v>2075</v>
      </c>
      <c r="B111" s="942" t="s">
        <v>2076</v>
      </c>
      <c r="C111" s="942" t="s">
        <v>4241</v>
      </c>
      <c r="D111" s="913" t="s">
        <v>80</v>
      </c>
      <c r="E111" s="944" t="s">
        <v>1028</v>
      </c>
      <c r="F111" s="155">
        <v>0</v>
      </c>
      <c r="G111" s="155"/>
      <c r="H111" s="186">
        <v>0</v>
      </c>
      <c r="I111" s="186" t="s">
        <v>5293</v>
      </c>
      <c r="J111" s="155"/>
      <c r="K111" s="155"/>
      <c r="L111" s="170"/>
      <c r="M111" s="193">
        <f t="shared" si="16"/>
        <v>0</v>
      </c>
      <c r="N111" s="170"/>
      <c r="O111" s="2977">
        <f t="shared" si="17"/>
        <v>0</v>
      </c>
      <c r="P111" s="171"/>
      <c r="Q111" s="88">
        <f>'Abs23. NPPCF'!Q10</f>
        <v>0</v>
      </c>
      <c r="R111" s="690">
        <f>'Abs23. NPPCF'!R10</f>
        <v>0</v>
      </c>
      <c r="BB111" s="3182"/>
      <c r="BC111" s="3182"/>
      <c r="BD111" s="3182"/>
      <c r="BE111" s="3182"/>
      <c r="BF111" s="3182"/>
      <c r="BG111" s="3182"/>
      <c r="BH111" s="3182"/>
      <c r="BI111" s="3182"/>
      <c r="BJ111" s="3182"/>
      <c r="BK111" s="3182"/>
      <c r="BL111" s="3182"/>
      <c r="BM111" s="3182"/>
      <c r="BN111" s="3182"/>
      <c r="BO111" s="3182"/>
      <c r="BP111" s="3182"/>
      <c r="BQ111" s="3182"/>
      <c r="BR111" s="3182"/>
      <c r="BS111" s="3182"/>
      <c r="BT111" s="3182"/>
      <c r="BU111" s="3182"/>
      <c r="BV111" s="3182"/>
      <c r="BW111" s="3182"/>
      <c r="BX111" s="3182"/>
      <c r="BY111" s="3182"/>
      <c r="BZ111" s="3182"/>
      <c r="CA111" s="3182"/>
      <c r="CB111" s="3182"/>
      <c r="CC111" s="3182"/>
      <c r="CD111" s="3182"/>
      <c r="CE111" s="3182"/>
      <c r="CF111" s="3182"/>
      <c r="CG111" s="3182"/>
      <c r="CH111" s="3182"/>
      <c r="CI111" s="3184">
        <f t="shared" si="11"/>
        <v>0</v>
      </c>
    </row>
    <row r="112" spans="1:87" s="963" customFormat="1" ht="60">
      <c r="A112" s="107" t="s">
        <v>2077</v>
      </c>
      <c r="B112" s="948" t="s">
        <v>2078</v>
      </c>
      <c r="C112" s="948" t="s">
        <v>2079</v>
      </c>
      <c r="D112" s="982" t="s">
        <v>85</v>
      </c>
      <c r="E112" s="956" t="s">
        <v>200</v>
      </c>
      <c r="F112" s="178">
        <v>12</v>
      </c>
      <c r="G112" s="2446">
        <v>12</v>
      </c>
      <c r="H112" s="198">
        <v>0.12</v>
      </c>
      <c r="I112" s="198">
        <v>0.32</v>
      </c>
      <c r="J112" s="178">
        <v>-0.2</v>
      </c>
      <c r="K112" s="178">
        <v>1</v>
      </c>
      <c r="L112" s="2520">
        <v>12000</v>
      </c>
      <c r="M112" s="957">
        <f t="shared" si="16"/>
        <v>0.12</v>
      </c>
      <c r="N112" s="2313">
        <v>12</v>
      </c>
      <c r="O112" s="2978">
        <f t="shared" si="17"/>
        <v>1.44</v>
      </c>
      <c r="P112" s="2256" t="s">
        <v>5399</v>
      </c>
      <c r="Q112" s="107" t="str">
        <f>'Ab1. RMNCH+A'!Q396</f>
        <v>Recommended for approval of Rs.1.44 lakhs as per norms @ Rs.1000/month/District for 12 Districts</v>
      </c>
      <c r="R112" s="655">
        <f>'Ab1. RMNCH+A'!R396</f>
        <v>1.44</v>
      </c>
      <c r="S112" s="3080">
        <f>R112</f>
        <v>1.44</v>
      </c>
      <c r="BB112" s="3184"/>
      <c r="BC112" s="3184">
        <v>0.12</v>
      </c>
      <c r="BD112" s="3184">
        <v>0.12</v>
      </c>
      <c r="BE112" s="3184">
        <v>0.12</v>
      </c>
      <c r="BF112" s="3184">
        <v>0.12</v>
      </c>
      <c r="BG112" s="3184">
        <v>0.12</v>
      </c>
      <c r="BH112" s="3184">
        <v>0.12</v>
      </c>
      <c r="BI112" s="3184">
        <v>0.12</v>
      </c>
      <c r="BJ112" s="3184">
        <v>0.12</v>
      </c>
      <c r="BK112" s="3184">
        <v>0.12</v>
      </c>
      <c r="BL112" s="3184">
        <v>0.12</v>
      </c>
      <c r="BM112" s="3184">
        <v>0.12</v>
      </c>
      <c r="BN112" s="3184">
        <v>0.12</v>
      </c>
      <c r="BO112" s="3184"/>
      <c r="BP112" s="3184"/>
      <c r="BQ112" s="3184"/>
      <c r="BR112" s="3184"/>
      <c r="BS112" s="3184"/>
      <c r="BT112" s="3184"/>
      <c r="BU112" s="3184"/>
      <c r="BV112" s="3184"/>
      <c r="BW112" s="3184"/>
      <c r="BX112" s="3184"/>
      <c r="BY112" s="3184"/>
      <c r="BZ112" s="3184"/>
      <c r="CA112" s="3184"/>
      <c r="CB112" s="3184"/>
      <c r="CC112" s="3184"/>
      <c r="CD112" s="3184"/>
      <c r="CE112" s="3184"/>
      <c r="CF112" s="3184"/>
      <c r="CG112" s="3184"/>
      <c r="CH112" s="3184"/>
      <c r="CI112" s="3184">
        <f t="shared" si="11"/>
        <v>1.4400000000000004</v>
      </c>
    </row>
    <row r="113" spans="1:87" ht="30">
      <c r="A113" s="107" t="s">
        <v>2080</v>
      </c>
      <c r="B113" s="942" t="s">
        <v>1373</v>
      </c>
      <c r="C113" s="942" t="s">
        <v>2759</v>
      </c>
      <c r="D113" s="913" t="s">
        <v>80</v>
      </c>
      <c r="E113" s="944" t="s">
        <v>309</v>
      </c>
      <c r="F113" s="155">
        <v>0</v>
      </c>
      <c r="G113" s="185"/>
      <c r="H113" s="194">
        <v>0</v>
      </c>
      <c r="I113" s="194"/>
      <c r="J113" s="185"/>
      <c r="K113" s="155"/>
      <c r="L113" s="170"/>
      <c r="M113" s="193">
        <f t="shared" si="16"/>
        <v>0</v>
      </c>
      <c r="N113" s="170"/>
      <c r="O113" s="2977">
        <f t="shared" si="17"/>
        <v>0</v>
      </c>
      <c r="P113" s="171"/>
      <c r="Q113" s="88">
        <f>'Abs25. NPPC'!Q7</f>
        <v>0</v>
      </c>
      <c r="R113" s="690">
        <f>'Abs25. NPPC'!R7</f>
        <v>0</v>
      </c>
      <c r="BB113" s="3182"/>
      <c r="BC113" s="3182"/>
      <c r="BD113" s="3182"/>
      <c r="BE113" s="3182"/>
      <c r="BF113" s="3182"/>
      <c r="BG113" s="3182"/>
      <c r="BH113" s="3182"/>
      <c r="BI113" s="3182"/>
      <c r="BJ113" s="3182"/>
      <c r="BK113" s="3182"/>
      <c r="BL113" s="3182"/>
      <c r="BM113" s="3182"/>
      <c r="BN113" s="3182"/>
      <c r="BO113" s="3182"/>
      <c r="BP113" s="3182"/>
      <c r="BQ113" s="3182"/>
      <c r="BR113" s="3182"/>
      <c r="BS113" s="3182"/>
      <c r="BT113" s="3182"/>
      <c r="BU113" s="3182"/>
      <c r="BV113" s="3182"/>
      <c r="BW113" s="3182"/>
      <c r="BX113" s="3182"/>
      <c r="BY113" s="3182"/>
      <c r="BZ113" s="3182"/>
      <c r="CA113" s="3182"/>
      <c r="CB113" s="3182"/>
      <c r="CC113" s="3182"/>
      <c r="CD113" s="3182"/>
      <c r="CE113" s="3182"/>
      <c r="CF113" s="3182"/>
      <c r="CG113" s="3182"/>
      <c r="CH113" s="3182"/>
      <c r="CI113" s="3184">
        <f t="shared" si="11"/>
        <v>0</v>
      </c>
    </row>
    <row r="114" spans="1:87">
      <c r="A114" s="107" t="s">
        <v>2594</v>
      </c>
      <c r="B114" s="107"/>
      <c r="C114" s="88" t="s">
        <v>1304</v>
      </c>
      <c r="D114" s="908" t="s">
        <v>65</v>
      </c>
      <c r="E114" s="944" t="s">
        <v>65</v>
      </c>
      <c r="F114" s="155">
        <v>0</v>
      </c>
      <c r="G114" s="185"/>
      <c r="H114" s="194">
        <v>0</v>
      </c>
      <c r="I114" s="194"/>
      <c r="J114" s="155"/>
      <c r="K114" s="168"/>
      <c r="L114" s="170"/>
      <c r="M114" s="193">
        <f t="shared" si="16"/>
        <v>0</v>
      </c>
      <c r="N114" s="170"/>
      <c r="O114" s="2977">
        <f t="shared" si="17"/>
        <v>0</v>
      </c>
      <c r="P114" s="171"/>
      <c r="Q114" s="175"/>
      <c r="R114" s="213"/>
      <c r="BB114" s="3182">
        <v>0</v>
      </c>
      <c r="BC114" s="3182"/>
      <c r="BD114" s="3182"/>
      <c r="BE114" s="3182"/>
      <c r="BF114" s="3182"/>
      <c r="BG114" s="3182"/>
      <c r="BH114" s="3182"/>
      <c r="BI114" s="3182"/>
      <c r="BJ114" s="3182"/>
      <c r="BK114" s="3182"/>
      <c r="BL114" s="3182"/>
      <c r="BM114" s="3182"/>
      <c r="BN114" s="3182"/>
      <c r="BO114" s="3182"/>
      <c r="BP114" s="3182"/>
      <c r="BQ114" s="3182"/>
      <c r="BR114" s="3182"/>
      <c r="BS114" s="3182"/>
      <c r="BT114" s="3182"/>
      <c r="BU114" s="3182"/>
      <c r="BV114" s="3182"/>
      <c r="BW114" s="3182"/>
      <c r="BX114" s="3182"/>
      <c r="BY114" s="3182"/>
      <c r="BZ114" s="3182"/>
      <c r="CA114" s="3182"/>
      <c r="CB114" s="3182"/>
      <c r="CC114" s="3182"/>
      <c r="CD114" s="3182"/>
      <c r="CE114" s="3182"/>
      <c r="CF114" s="3182"/>
      <c r="CG114" s="3182"/>
      <c r="CH114" s="3182"/>
      <c r="CI114" s="3184">
        <f t="shared" si="11"/>
        <v>0</v>
      </c>
    </row>
    <row r="115" spans="1:87">
      <c r="R115" s="979">
        <f>+R7</f>
        <v>1355.5920000000001</v>
      </c>
      <c r="BB115" s="3309">
        <f>SUM(BB10:BB114)</f>
        <v>400.05</v>
      </c>
      <c r="BC115" s="3309">
        <f t="shared" ref="BC115:CI115" si="18">SUM(BC10:BC114)</f>
        <v>33.630000000000003</v>
      </c>
      <c r="BD115" s="3309">
        <f t="shared" si="18"/>
        <v>49.23</v>
      </c>
      <c r="BE115" s="3309">
        <f t="shared" si="18"/>
        <v>34.74</v>
      </c>
      <c r="BF115" s="3309">
        <f t="shared" si="18"/>
        <v>141.31000000000003</v>
      </c>
      <c r="BG115" s="3309">
        <f t="shared" si="18"/>
        <v>11.499999999999996</v>
      </c>
      <c r="BH115" s="3309">
        <f t="shared" si="18"/>
        <v>54.209999999999994</v>
      </c>
      <c r="BI115" s="3309">
        <f t="shared" si="18"/>
        <v>5.14</v>
      </c>
      <c r="BJ115" s="3309">
        <f t="shared" si="18"/>
        <v>105.34</v>
      </c>
      <c r="BK115" s="3309">
        <f t="shared" si="18"/>
        <v>102.79</v>
      </c>
      <c r="BL115" s="3309">
        <f t="shared" si="18"/>
        <v>58.919999999999995</v>
      </c>
      <c r="BM115" s="3309">
        <f t="shared" si="18"/>
        <v>83.79</v>
      </c>
      <c r="BN115" s="3309">
        <f t="shared" si="18"/>
        <v>45.46</v>
      </c>
      <c r="BO115" s="3309">
        <f t="shared" si="18"/>
        <v>20.100000000000001</v>
      </c>
      <c r="BP115" s="3309">
        <f t="shared" si="18"/>
        <v>27.620000000000005</v>
      </c>
      <c r="BQ115" s="3309">
        <f t="shared" si="18"/>
        <v>10.719999999999999</v>
      </c>
      <c r="BR115" s="3309">
        <f t="shared" si="18"/>
        <v>13.089999999999998</v>
      </c>
      <c r="BS115" s="3309">
        <f t="shared" si="18"/>
        <v>1.4400000000000002</v>
      </c>
      <c r="BT115" s="3309">
        <f t="shared" si="18"/>
        <v>8.6199999999999974</v>
      </c>
      <c r="BU115" s="3309">
        <f t="shared" si="18"/>
        <v>14.19</v>
      </c>
      <c r="BV115" s="3309">
        <f t="shared" si="18"/>
        <v>11.76</v>
      </c>
      <c r="BW115" s="3309">
        <f t="shared" si="18"/>
        <v>7.94</v>
      </c>
      <c r="BX115" s="3309">
        <f t="shared" si="18"/>
        <v>7.5499999999999989</v>
      </c>
      <c r="BY115" s="3309">
        <f t="shared" si="18"/>
        <v>12.469999999999999</v>
      </c>
      <c r="BZ115" s="3309">
        <f t="shared" si="18"/>
        <v>12.479999999999999</v>
      </c>
      <c r="CA115" s="3309">
        <f t="shared" si="18"/>
        <v>5.0599999999999996</v>
      </c>
      <c r="CB115" s="3309">
        <f t="shared" si="18"/>
        <v>7.419999999999999</v>
      </c>
      <c r="CC115" s="3309">
        <f t="shared" si="18"/>
        <v>3.2300000000000004</v>
      </c>
      <c r="CD115" s="3309">
        <f t="shared" si="18"/>
        <v>9.35</v>
      </c>
      <c r="CE115" s="3309">
        <f t="shared" si="18"/>
        <v>44.95</v>
      </c>
      <c r="CF115" s="3309">
        <f t="shared" si="18"/>
        <v>11.489999999999998</v>
      </c>
      <c r="CG115" s="3309">
        <f t="shared" si="18"/>
        <v>0</v>
      </c>
      <c r="CH115" s="3309">
        <f t="shared" si="18"/>
        <v>0</v>
      </c>
      <c r="CI115" s="3309">
        <f t="shared" si="18"/>
        <v>1355.59</v>
      </c>
    </row>
    <row r="119" spans="1:87">
      <c r="H119" s="977"/>
    </row>
  </sheetData>
  <sheetProtection password="CC49" sheet="1" objects="1" scenarios="1" autoFilter="0"/>
  <autoFilter ref="A6:GR114"/>
  <mergeCells count="16">
    <mergeCell ref="P63:P65"/>
    <mergeCell ref="AP1:BA1"/>
    <mergeCell ref="A1:C1"/>
    <mergeCell ref="F5:J5"/>
    <mergeCell ref="A5:A6"/>
    <mergeCell ref="B5:B6"/>
    <mergeCell ref="C5:C6"/>
    <mergeCell ref="D5:D6"/>
    <mergeCell ref="E5:E6"/>
    <mergeCell ref="F1:N1"/>
    <mergeCell ref="A2:A4"/>
    <mergeCell ref="E1:E2"/>
    <mergeCell ref="K5:P5"/>
    <mergeCell ref="Q5:R5"/>
    <mergeCell ref="AI1:AO1"/>
    <mergeCell ref="O1:AH1"/>
  </mergeCells>
  <phoneticPr fontId="68" type="noConversion"/>
  <pageMargins left="0.7" right="0.7" top="0.75" bottom="0.75" header="0.3" footer="0.3"/>
  <pageSetup orientation="portrait" horizontalDpi="4294967295" verticalDpi="4294967295" r:id="rId1"/>
</worksheet>
</file>

<file path=xl/worksheets/sheet20.xml><?xml version="1.0" encoding="utf-8"?>
<worksheet xmlns="http://schemas.openxmlformats.org/spreadsheetml/2006/main" xmlns:r="http://schemas.openxmlformats.org/officeDocument/2006/relationships">
  <sheetPr codeName="Sheet10">
    <tabColor rgb="FF00B050"/>
  </sheetPr>
  <dimension ref="A1:CI43"/>
  <sheetViews>
    <sheetView zoomScale="85" zoomScaleNormal="85" workbookViewId="0">
      <pane xSplit="5" ySplit="7" topLeftCell="Q27" activePane="bottomRight" state="frozen"/>
      <selection activeCell="A2" sqref="A2:A4"/>
      <selection pane="topRight" activeCell="A2" sqref="A2:A4"/>
      <selection pane="bottomLeft" activeCell="A2" sqref="A2:A4"/>
      <selection pane="bottomRight" activeCell="Q6" sqref="Q6"/>
    </sheetView>
  </sheetViews>
  <sheetFormatPr defaultColWidth="9.140625" defaultRowHeight="15"/>
  <cols>
    <col min="1" max="1" width="10.140625" style="1410" bestFit="1" customWidth="1"/>
    <col min="2" max="2" width="16.5703125" style="1378" bestFit="1" customWidth="1"/>
    <col min="3" max="3" width="44.140625" style="1378" customWidth="1"/>
    <col min="4" max="4" width="7.5703125" style="1130" customWidth="1"/>
    <col min="5" max="5" width="22.42578125" style="1130" bestFit="1" customWidth="1"/>
    <col min="6" max="6" width="14.42578125" style="1378" hidden="1" customWidth="1"/>
    <col min="7" max="7" width="20.85546875" style="1378" hidden="1" customWidth="1"/>
    <col min="8" max="8" width="14.42578125" style="1378" hidden="1" customWidth="1"/>
    <col min="9" max="9" width="14" style="1378" hidden="1" customWidth="1"/>
    <col min="10" max="10" width="14.85546875" style="1378" hidden="1" customWidth="1"/>
    <col min="11" max="11" width="13.85546875" style="1378" hidden="1" customWidth="1"/>
    <col min="12" max="12" width="14.42578125" style="1378" hidden="1" customWidth="1"/>
    <col min="13" max="13" width="12.140625" style="1324" hidden="1" customWidth="1"/>
    <col min="14" max="14" width="10.5703125" style="1378" hidden="1" customWidth="1"/>
    <col min="15" max="15" width="12.140625" style="1324" hidden="1" customWidth="1"/>
    <col min="16" max="16" width="52.5703125" style="1410" hidden="1" customWidth="1"/>
    <col min="17" max="17" width="66.140625" style="1411" customWidth="1"/>
    <col min="18" max="18" width="16.5703125" style="1324" customWidth="1"/>
    <col min="19" max="53" width="0" style="1378" hidden="1" customWidth="1"/>
    <col min="54" max="54" width="9.140625" style="1378"/>
    <col min="55" max="55" width="13.5703125" style="1378" bestFit="1" customWidth="1"/>
    <col min="56" max="56" width="11.7109375" style="1378" bestFit="1" customWidth="1"/>
    <col min="57" max="57" width="14.28515625" style="1378" bestFit="1" customWidth="1"/>
    <col min="58" max="58" width="11.7109375" style="1378" bestFit="1" customWidth="1"/>
    <col min="59" max="59" width="12.140625" style="1378" bestFit="1" customWidth="1"/>
    <col min="60" max="60" width="9.140625" style="1378"/>
    <col min="61" max="61" width="11.42578125" style="1378" bestFit="1" customWidth="1"/>
    <col min="62" max="62" width="9.140625" style="1378"/>
    <col min="63" max="63" width="10.5703125" style="1378" bestFit="1" customWidth="1"/>
    <col min="64" max="64" width="12.5703125" style="1378" bestFit="1" customWidth="1"/>
    <col min="65" max="65" width="10" style="1378" bestFit="1" customWidth="1"/>
    <col min="66" max="69" width="9.140625" style="1378"/>
    <col min="70" max="70" width="10.5703125" style="1378" bestFit="1" customWidth="1"/>
    <col min="71" max="75" width="9.140625" style="1378"/>
    <col min="76" max="76" width="10.5703125" style="1378" bestFit="1" customWidth="1"/>
    <col min="77" max="82" width="9.140625" style="1378"/>
    <col min="83" max="83" width="12.5703125" style="1378" bestFit="1" customWidth="1"/>
    <col min="84" max="16384" width="9.140625" style="1378"/>
  </cols>
  <sheetData>
    <row r="1" spans="1:87" ht="14.45" customHeight="1">
      <c r="A1" s="3869" t="s">
        <v>1257</v>
      </c>
      <c r="B1" s="3870"/>
      <c r="C1" s="3871"/>
      <c r="D1" s="1698"/>
      <c r="E1" s="3858" t="s">
        <v>4534</v>
      </c>
      <c r="F1" s="3909" t="s">
        <v>4532</v>
      </c>
      <c r="G1" s="3910"/>
      <c r="H1" s="3910"/>
      <c r="I1" s="3910"/>
      <c r="J1" s="3910"/>
      <c r="K1" s="3910"/>
      <c r="L1" s="3910"/>
      <c r="M1" s="3910"/>
      <c r="N1" s="3911"/>
      <c r="O1" s="3793" t="s">
        <v>65</v>
      </c>
      <c r="P1" s="3794"/>
      <c r="Q1" s="3794"/>
      <c r="R1" s="3794"/>
      <c r="S1" s="3794"/>
      <c r="T1" s="3794"/>
      <c r="U1" s="3794"/>
      <c r="V1" s="3794"/>
      <c r="W1" s="3794"/>
      <c r="X1" s="3794"/>
      <c r="Y1" s="3794"/>
      <c r="Z1" s="3794"/>
      <c r="AA1" s="3794"/>
      <c r="AB1" s="3794"/>
      <c r="AC1" s="3794"/>
      <c r="AD1" s="3794"/>
      <c r="AE1" s="3794"/>
      <c r="AF1" s="3794"/>
      <c r="AG1" s="3794"/>
      <c r="AH1" s="3794"/>
      <c r="AI1" s="3900" t="s">
        <v>4219</v>
      </c>
      <c r="AJ1" s="3901"/>
      <c r="AK1" s="3901"/>
      <c r="AL1" s="3901"/>
      <c r="AM1" s="3901"/>
      <c r="AN1" s="3901"/>
      <c r="AO1" s="3902"/>
      <c r="AP1" s="3889" t="s">
        <v>80</v>
      </c>
      <c r="AQ1" s="3890"/>
      <c r="AR1" s="3890"/>
      <c r="AS1" s="3890"/>
      <c r="AT1" s="3890"/>
      <c r="AU1" s="3890"/>
      <c r="AV1" s="3890"/>
      <c r="AW1" s="3890"/>
      <c r="AX1" s="3890"/>
      <c r="AY1" s="3890"/>
      <c r="AZ1" s="3890"/>
      <c r="BA1" s="3891"/>
    </row>
    <row r="2" spans="1:87" s="1380" customFormat="1" ht="30">
      <c r="A2" s="3855" t="str">
        <f>HYPERLINK("#Index!A4", "Index Pg")</f>
        <v>Index Pg</v>
      </c>
      <c r="B2" s="1379" t="str">
        <f>HYPERLINK("#'Summary of Abstracts'!A2", "Summary of Abst.")</f>
        <v>Summary of Abst.</v>
      </c>
      <c r="C2" s="869"/>
      <c r="D2" s="1023"/>
      <c r="E2" s="3858"/>
      <c r="F2" s="949" t="s">
        <v>113</v>
      </c>
      <c r="G2" s="949" t="s">
        <v>126</v>
      </c>
      <c r="H2" s="949" t="s">
        <v>86</v>
      </c>
      <c r="I2" s="949" t="s">
        <v>4530</v>
      </c>
      <c r="J2" s="949" t="s">
        <v>91</v>
      </c>
      <c r="K2" s="943" t="s">
        <v>3933</v>
      </c>
      <c r="L2" s="1552" t="s">
        <v>4531</v>
      </c>
      <c r="M2" s="1552" t="s">
        <v>4535</v>
      </c>
      <c r="N2" s="1552" t="s">
        <v>203</v>
      </c>
      <c r="O2" s="909" t="s">
        <v>4218</v>
      </c>
      <c r="P2" s="909" t="s">
        <v>3751</v>
      </c>
      <c r="Q2" s="909" t="s">
        <v>4543</v>
      </c>
      <c r="R2" s="909" t="s">
        <v>4540</v>
      </c>
      <c r="S2" s="909" t="s">
        <v>4541</v>
      </c>
      <c r="T2" s="909" t="s">
        <v>4542</v>
      </c>
      <c r="U2" s="909" t="s">
        <v>4544</v>
      </c>
      <c r="V2" s="909" t="s">
        <v>4528</v>
      </c>
      <c r="W2" s="909" t="s">
        <v>4545</v>
      </c>
      <c r="X2" s="909" t="s">
        <v>29</v>
      </c>
      <c r="Y2" s="909" t="s">
        <v>4546</v>
      </c>
      <c r="Z2" s="909" t="s">
        <v>4547</v>
      </c>
      <c r="AA2" s="909" t="s">
        <v>4537</v>
      </c>
      <c r="AB2" s="909" t="s">
        <v>737</v>
      </c>
      <c r="AC2" s="909" t="s">
        <v>4538</v>
      </c>
      <c r="AD2" s="909" t="s">
        <v>4539</v>
      </c>
      <c r="AE2" s="909" t="s">
        <v>2293</v>
      </c>
      <c r="AF2" s="909" t="s">
        <v>4548</v>
      </c>
      <c r="AG2" s="909" t="s">
        <v>3750</v>
      </c>
      <c r="AH2" s="909" t="s">
        <v>302</v>
      </c>
      <c r="AI2" s="910" t="s">
        <v>288</v>
      </c>
      <c r="AJ2" s="910" t="s">
        <v>109</v>
      </c>
      <c r="AK2" s="910" t="s">
        <v>141</v>
      </c>
      <c r="AL2" s="910" t="s">
        <v>4525</v>
      </c>
      <c r="AM2" s="910" t="s">
        <v>3223</v>
      </c>
      <c r="AN2" s="910" t="s">
        <v>3855</v>
      </c>
      <c r="AO2" s="910" t="s">
        <v>4405</v>
      </c>
      <c r="AP2" s="911" t="s">
        <v>81</v>
      </c>
      <c r="AQ2" s="911" t="s">
        <v>145</v>
      </c>
      <c r="AR2" s="911" t="s">
        <v>394</v>
      </c>
      <c r="AS2" s="911" t="s">
        <v>147</v>
      </c>
      <c r="AT2" s="911" t="s">
        <v>410</v>
      </c>
      <c r="AU2" s="911" t="s">
        <v>4459</v>
      </c>
      <c r="AV2" s="911" t="s">
        <v>3989</v>
      </c>
      <c r="AW2" s="911" t="s">
        <v>307</v>
      </c>
      <c r="AX2" s="911" t="s">
        <v>309</v>
      </c>
      <c r="AY2" s="911" t="s">
        <v>1028</v>
      </c>
      <c r="AZ2" s="911" t="s">
        <v>1014</v>
      </c>
      <c r="BA2" s="911" t="s">
        <v>4533</v>
      </c>
    </row>
    <row r="3" spans="1:87" s="1380" customFormat="1">
      <c r="A3" s="3856"/>
      <c r="B3" s="864" t="str">
        <f>HYPERLINK("#'Budget Summary I'!A1:AL1", "Budget Summary I")</f>
        <v>Budget Summary I</v>
      </c>
      <c r="C3" s="1239" t="s">
        <v>4460</v>
      </c>
      <c r="D3" s="1699"/>
      <c r="E3" s="1226">
        <f>R7</f>
        <v>174.71822</v>
      </c>
      <c r="F3" s="161"/>
      <c r="G3" s="161"/>
      <c r="H3" s="161">
        <f>R19</f>
        <v>0</v>
      </c>
      <c r="I3" s="161"/>
      <c r="J3" s="161"/>
      <c r="K3" s="985"/>
      <c r="L3" s="161">
        <f>R21+R22+R23+R24+R25+R26</f>
        <v>71.849999999999994</v>
      </c>
      <c r="M3" s="161"/>
      <c r="N3" s="985"/>
      <c r="O3" s="985"/>
      <c r="P3" s="985"/>
      <c r="Q3" s="985"/>
      <c r="R3" s="985"/>
      <c r="S3" s="985"/>
      <c r="T3" s="985"/>
      <c r="U3" s="985"/>
      <c r="V3" s="985"/>
      <c r="W3" s="985"/>
      <c r="X3" s="985"/>
      <c r="Y3" s="985"/>
      <c r="Z3" s="985"/>
      <c r="AA3" s="985">
        <f>R10+R11+R12+R13+R14</f>
        <v>0</v>
      </c>
      <c r="AB3" s="985"/>
      <c r="AC3" s="985"/>
      <c r="AD3" s="985"/>
      <c r="AE3" s="985">
        <f>R18</f>
        <v>95.968220000000002</v>
      </c>
      <c r="AF3" s="985"/>
      <c r="AG3" s="985"/>
      <c r="AH3" s="985">
        <f>R15+R17+R32</f>
        <v>0</v>
      </c>
      <c r="AI3" s="985"/>
      <c r="AJ3" s="985">
        <f>R27</f>
        <v>0</v>
      </c>
      <c r="AK3" s="985"/>
      <c r="AL3" s="985">
        <f>R29+R30+R28</f>
        <v>5.7</v>
      </c>
      <c r="AM3" s="985">
        <f>R31</f>
        <v>1.2</v>
      </c>
      <c r="AN3" s="985"/>
      <c r="AO3" s="985"/>
      <c r="AP3" s="985"/>
      <c r="AQ3" s="985"/>
      <c r="AR3" s="985"/>
      <c r="AS3" s="985"/>
      <c r="AT3" s="985"/>
      <c r="AU3" s="985"/>
      <c r="AV3" s="985"/>
      <c r="AW3" s="985"/>
      <c r="AX3" s="985"/>
      <c r="AY3" s="985"/>
      <c r="AZ3" s="985"/>
      <c r="BA3" s="985"/>
    </row>
    <row r="4" spans="1:87" s="1380" customFormat="1">
      <c r="A4" s="3857"/>
      <c r="B4" s="864" t="str">
        <f>HYPERLINK("#'Budget Summary II'!A3:B5", "Budget Summary II")</f>
        <v>Budget Summary II</v>
      </c>
      <c r="C4" s="1239" t="s">
        <v>4461</v>
      </c>
      <c r="D4" s="1699"/>
      <c r="E4" s="1226">
        <f>O7</f>
        <v>193.86</v>
      </c>
      <c r="F4" s="161"/>
      <c r="G4" s="161"/>
      <c r="H4" s="161">
        <f>O19</f>
        <v>0</v>
      </c>
      <c r="I4" s="161"/>
      <c r="J4" s="161"/>
      <c r="K4" s="985"/>
      <c r="L4" s="161">
        <f>O21+O22+O23+O24+O25+O26</f>
        <v>88.960000000000008</v>
      </c>
      <c r="M4" s="161"/>
      <c r="N4" s="985"/>
      <c r="O4" s="985"/>
      <c r="P4" s="985"/>
      <c r="Q4" s="985"/>
      <c r="R4" s="985"/>
      <c r="S4" s="985"/>
      <c r="T4" s="985"/>
      <c r="U4" s="985"/>
      <c r="V4" s="985"/>
      <c r="W4" s="985"/>
      <c r="X4" s="985"/>
      <c r="Y4" s="985"/>
      <c r="Z4" s="985"/>
      <c r="AA4" s="985">
        <f>O10+O11+O12+O13+O14</f>
        <v>0</v>
      </c>
      <c r="AB4" s="985"/>
      <c r="AC4" s="985"/>
      <c r="AD4" s="985"/>
      <c r="AE4" s="985">
        <f>O18</f>
        <v>98</v>
      </c>
      <c r="AF4" s="985"/>
      <c r="AG4" s="985"/>
      <c r="AH4" s="985">
        <f>O15+O17+O32</f>
        <v>0</v>
      </c>
      <c r="AI4" s="985"/>
      <c r="AJ4" s="985">
        <f>O27</f>
        <v>0</v>
      </c>
      <c r="AK4" s="985"/>
      <c r="AL4" s="985">
        <f>O29+O30+O28</f>
        <v>5.7</v>
      </c>
      <c r="AM4" s="985">
        <f>O31</f>
        <v>1.2</v>
      </c>
      <c r="AN4" s="985"/>
      <c r="AO4" s="985"/>
      <c r="AP4" s="985"/>
      <c r="AQ4" s="985"/>
      <c r="AR4" s="985"/>
      <c r="AS4" s="985"/>
      <c r="AT4" s="985"/>
      <c r="AU4" s="985"/>
      <c r="AV4" s="985"/>
      <c r="AW4" s="985"/>
      <c r="AX4" s="985"/>
      <c r="AY4" s="985"/>
      <c r="AZ4" s="985"/>
      <c r="BA4" s="985"/>
    </row>
    <row r="5" spans="1:87" s="1689" customFormat="1" ht="12.75" customHeight="1">
      <c r="A5" s="3801" t="s">
        <v>48</v>
      </c>
      <c r="B5" s="3801" t="s">
        <v>49</v>
      </c>
      <c r="C5" s="3801" t="s">
        <v>50</v>
      </c>
      <c r="D5" s="3801" t="s">
        <v>51</v>
      </c>
      <c r="E5" s="3801" t="s">
        <v>52</v>
      </c>
      <c r="F5" s="3866" t="s">
        <v>4478</v>
      </c>
      <c r="G5" s="3866"/>
      <c r="H5" s="3866"/>
      <c r="I5" s="3866"/>
      <c r="J5" s="3866"/>
      <c r="K5" s="3894" t="s">
        <v>4484</v>
      </c>
      <c r="L5" s="3903"/>
      <c r="M5" s="3903"/>
      <c r="N5" s="3903"/>
      <c r="O5" s="3903"/>
      <c r="P5" s="3904"/>
      <c r="Q5" s="3905" t="s">
        <v>4514</v>
      </c>
      <c r="R5" s="3906"/>
    </row>
    <row r="6" spans="1:87" s="1130" customFormat="1" ht="60">
      <c r="A6" s="3801"/>
      <c r="B6" s="3801"/>
      <c r="C6" s="3801"/>
      <c r="D6" s="3801"/>
      <c r="E6" s="3801"/>
      <c r="F6" s="918" t="s">
        <v>4479</v>
      </c>
      <c r="G6" s="918" t="s">
        <v>4482</v>
      </c>
      <c r="H6" s="918" t="s">
        <v>4480</v>
      </c>
      <c r="I6" s="918" t="s">
        <v>4483</v>
      </c>
      <c r="J6" s="918" t="s">
        <v>2448</v>
      </c>
      <c r="K6" s="919" t="s">
        <v>53</v>
      </c>
      <c r="L6" s="919" t="s">
        <v>54</v>
      </c>
      <c r="M6" s="920" t="s">
        <v>55</v>
      </c>
      <c r="N6" s="919" t="s">
        <v>56</v>
      </c>
      <c r="O6" s="920" t="s">
        <v>57</v>
      </c>
      <c r="P6" s="919" t="s">
        <v>5069</v>
      </c>
      <c r="Q6" s="921" t="s">
        <v>2450</v>
      </c>
      <c r="R6" s="922" t="s">
        <v>4515</v>
      </c>
      <c r="S6" s="3106" t="s">
        <v>4538</v>
      </c>
      <c r="BB6" s="3153" t="s">
        <v>5973</v>
      </c>
      <c r="BC6" s="3153" t="s">
        <v>5432</v>
      </c>
      <c r="BD6" s="3153" t="s">
        <v>5433</v>
      </c>
      <c r="BE6" s="3153" t="s">
        <v>5434</v>
      </c>
      <c r="BF6" s="3153" t="s">
        <v>5435</v>
      </c>
      <c r="BG6" s="3153" t="s">
        <v>5436</v>
      </c>
      <c r="BH6" s="3153" t="s">
        <v>5437</v>
      </c>
      <c r="BI6" s="3153" t="s">
        <v>5959</v>
      </c>
      <c r="BJ6" s="3153" t="s">
        <v>5438</v>
      </c>
      <c r="BK6" s="3153" t="s">
        <v>5439</v>
      </c>
      <c r="BL6" s="3153" t="s">
        <v>5960</v>
      </c>
      <c r="BM6" s="3153" t="s">
        <v>5440</v>
      </c>
      <c r="BN6" s="3153" t="s">
        <v>5441</v>
      </c>
      <c r="BO6" s="3153" t="s">
        <v>5961</v>
      </c>
      <c r="BP6" s="3153" t="s">
        <v>5974</v>
      </c>
      <c r="BQ6" s="3153" t="s">
        <v>5975</v>
      </c>
      <c r="BR6" s="3153" t="s">
        <v>5976</v>
      </c>
      <c r="BS6" s="3153" t="s">
        <v>5977</v>
      </c>
      <c r="BT6" s="3153" t="s">
        <v>5978</v>
      </c>
      <c r="BU6" s="3153" t="s">
        <v>5979</v>
      </c>
      <c r="BV6" s="3153" t="s">
        <v>5962</v>
      </c>
      <c r="BW6" s="3153" t="s">
        <v>5963</v>
      </c>
      <c r="BX6" s="3153" t="s">
        <v>5964</v>
      </c>
      <c r="BY6" s="3153" t="s">
        <v>5965</v>
      </c>
      <c r="BZ6" s="3153" t="s">
        <v>5966</v>
      </c>
      <c r="CA6" s="3153" t="s">
        <v>5967</v>
      </c>
      <c r="CB6" s="3153" t="s">
        <v>5968</v>
      </c>
      <c r="CC6" s="3153" t="s">
        <v>5969</v>
      </c>
      <c r="CD6" s="3153" t="s">
        <v>5970</v>
      </c>
      <c r="CE6" s="3153" t="s">
        <v>5980</v>
      </c>
      <c r="CF6" s="3153" t="s">
        <v>5971</v>
      </c>
      <c r="CG6" s="3153" t="s">
        <v>5981</v>
      </c>
      <c r="CH6" s="3153" t="s">
        <v>5982</v>
      </c>
      <c r="CI6" s="3153" t="s">
        <v>5972</v>
      </c>
    </row>
    <row r="7" spans="1:87">
      <c r="A7" s="217">
        <v>14</v>
      </c>
      <c r="B7" s="990"/>
      <c r="C7" s="217" t="s">
        <v>1258</v>
      </c>
      <c r="D7" s="991"/>
      <c r="E7" s="991"/>
      <c r="F7" s="217"/>
      <c r="G7" s="217"/>
      <c r="H7" s="217"/>
      <c r="I7" s="217"/>
      <c r="J7" s="217"/>
      <c r="K7" s="217"/>
      <c r="L7" s="217"/>
      <c r="M7" s="207"/>
      <c r="N7" s="217"/>
      <c r="O7" s="207">
        <f>O8+O16</f>
        <v>193.86</v>
      </c>
      <c r="P7" s="217"/>
      <c r="Q7" s="217"/>
      <c r="R7" s="207">
        <f>R8+R16</f>
        <v>174.71822</v>
      </c>
      <c r="S7" s="1378">
        <f>S26</f>
        <v>2.6</v>
      </c>
      <c r="BB7" s="3218"/>
      <c r="BC7" s="3218"/>
      <c r="BD7" s="3218"/>
      <c r="BE7" s="3218"/>
      <c r="BF7" s="3218"/>
      <c r="BG7" s="3218"/>
      <c r="BH7" s="3218"/>
      <c r="BI7" s="3218"/>
      <c r="BJ7" s="3218"/>
      <c r="BK7" s="3218"/>
      <c r="BL7" s="3218"/>
      <c r="BM7" s="3218"/>
      <c r="BN7" s="3218"/>
      <c r="BO7" s="3218"/>
      <c r="BP7" s="3218"/>
      <c r="BQ7" s="3218"/>
      <c r="BR7" s="3218"/>
      <c r="BS7" s="3218"/>
      <c r="BT7" s="3218"/>
      <c r="BU7" s="3218"/>
      <c r="BV7" s="3218"/>
      <c r="BW7" s="3218"/>
      <c r="BX7" s="3218"/>
      <c r="BY7" s="3218"/>
      <c r="BZ7" s="3218"/>
      <c r="CA7" s="3218"/>
      <c r="CB7" s="3218"/>
      <c r="CC7" s="3218"/>
      <c r="CD7" s="3218"/>
      <c r="CE7" s="3218"/>
      <c r="CF7" s="3218"/>
      <c r="CG7" s="3218"/>
      <c r="CH7" s="3218"/>
      <c r="CI7" s="3218">
        <f>SUM(BB7:CH7)</f>
        <v>0</v>
      </c>
    </row>
    <row r="8" spans="1:87">
      <c r="A8" s="1468">
        <v>14.1</v>
      </c>
      <c r="B8" s="1553" t="s">
        <v>1259</v>
      </c>
      <c r="C8" s="1148" t="s">
        <v>1260</v>
      </c>
      <c r="D8" s="1567"/>
      <c r="E8" s="1567"/>
      <c r="F8" s="1452"/>
      <c r="G8" s="1452"/>
      <c r="H8" s="1452"/>
      <c r="I8" s="1452"/>
      <c r="J8" s="1452"/>
      <c r="K8" s="1452"/>
      <c r="L8" s="1452"/>
      <c r="M8" s="1247"/>
      <c r="N8" s="1248"/>
      <c r="O8" s="208">
        <f>O9+O15</f>
        <v>0</v>
      </c>
      <c r="P8" s="471"/>
      <c r="Q8" s="471"/>
      <c r="R8" s="208">
        <f>R9+R15</f>
        <v>0</v>
      </c>
      <c r="BB8" s="3218"/>
      <c r="BC8" s="3218"/>
      <c r="BD8" s="3218"/>
      <c r="BE8" s="3218"/>
      <c r="BF8" s="3218"/>
      <c r="BG8" s="3218"/>
      <c r="BH8" s="3218"/>
      <c r="BI8" s="3218"/>
      <c r="BJ8" s="3218"/>
      <c r="BK8" s="3218"/>
      <c r="BL8" s="3218"/>
      <c r="BM8" s="3218"/>
      <c r="BN8" s="3218"/>
      <c r="BO8" s="3218"/>
      <c r="BP8" s="3218"/>
      <c r="BQ8" s="3218"/>
      <c r="BR8" s="3218"/>
      <c r="BS8" s="3218"/>
      <c r="BT8" s="3218"/>
      <c r="BU8" s="3218"/>
      <c r="BV8" s="3218"/>
      <c r="BW8" s="3218"/>
      <c r="BX8" s="3218"/>
      <c r="BY8" s="3218"/>
      <c r="BZ8" s="3218"/>
      <c r="CA8" s="3218"/>
      <c r="CB8" s="3218"/>
      <c r="CC8" s="3218"/>
      <c r="CD8" s="3218"/>
      <c r="CE8" s="3218"/>
      <c r="CF8" s="3218"/>
      <c r="CG8" s="3218"/>
      <c r="CH8" s="3218"/>
      <c r="CI8" s="3218">
        <f t="shared" ref="CI8:CI34" si="0">SUM(BB8:CH8)</f>
        <v>0</v>
      </c>
    </row>
    <row r="9" spans="1:87">
      <c r="A9" s="863" t="s">
        <v>1261</v>
      </c>
      <c r="B9" s="521" t="s">
        <v>1262</v>
      </c>
      <c r="C9" s="536" t="s">
        <v>36</v>
      </c>
      <c r="D9" s="1185"/>
      <c r="E9" s="1185"/>
      <c r="F9" s="2227">
        <v>0</v>
      </c>
      <c r="G9" s="273"/>
      <c r="H9" s="2227">
        <v>0</v>
      </c>
      <c r="I9" s="273"/>
      <c r="J9" s="273"/>
      <c r="K9" s="273"/>
      <c r="L9" s="273"/>
      <c r="M9" s="298"/>
      <c r="N9" s="474"/>
      <c r="O9" s="215">
        <f>SUM(O10:O14)</f>
        <v>0</v>
      </c>
      <c r="P9" s="296"/>
      <c r="Q9" s="391"/>
      <c r="R9" s="215">
        <f>SUM(R10:R14)</f>
        <v>0</v>
      </c>
      <c r="BB9" s="3218"/>
      <c r="BC9" s="3218"/>
      <c r="BD9" s="3218"/>
      <c r="BE9" s="3218"/>
      <c r="BF9" s="3218"/>
      <c r="BG9" s="3218"/>
      <c r="BH9" s="3218"/>
      <c r="BI9" s="3218"/>
      <c r="BJ9" s="3218"/>
      <c r="BK9" s="3218"/>
      <c r="BL9" s="3218"/>
      <c r="BM9" s="3218"/>
      <c r="BN9" s="3218"/>
      <c r="BO9" s="3218"/>
      <c r="BP9" s="3218"/>
      <c r="BQ9" s="3218"/>
      <c r="BR9" s="3218"/>
      <c r="BS9" s="3218"/>
      <c r="BT9" s="3218"/>
      <c r="BU9" s="3218"/>
      <c r="BV9" s="3218"/>
      <c r="BW9" s="3218"/>
      <c r="BX9" s="3218"/>
      <c r="BY9" s="3218"/>
      <c r="BZ9" s="3218"/>
      <c r="CA9" s="3218"/>
      <c r="CB9" s="3218"/>
      <c r="CC9" s="3218"/>
      <c r="CD9" s="3218"/>
      <c r="CE9" s="3218"/>
      <c r="CF9" s="3218"/>
      <c r="CG9" s="3218"/>
      <c r="CH9" s="3218"/>
      <c r="CI9" s="3218">
        <f t="shared" si="0"/>
        <v>0</v>
      </c>
    </row>
    <row r="10" spans="1:87">
      <c r="A10" s="473" t="s">
        <v>2778</v>
      </c>
      <c r="B10" s="509" t="s">
        <v>1263</v>
      </c>
      <c r="C10" s="509" t="s">
        <v>2574</v>
      </c>
      <c r="D10" s="908" t="s">
        <v>65</v>
      </c>
      <c r="E10" s="1120" t="s">
        <v>3760</v>
      </c>
      <c r="F10" s="2224">
        <v>0</v>
      </c>
      <c r="G10" s="426"/>
      <c r="H10" s="2224">
        <v>0</v>
      </c>
      <c r="I10" s="426"/>
      <c r="J10" s="426"/>
      <c r="K10" s="426"/>
      <c r="L10" s="277"/>
      <c r="M10" s="297">
        <f t="shared" ref="M10:M15" si="1">L10/100000</f>
        <v>0</v>
      </c>
      <c r="N10" s="277"/>
      <c r="O10" s="297">
        <f t="shared" ref="O10:O15" si="2">M10*N10</f>
        <v>0</v>
      </c>
      <c r="P10" s="427"/>
      <c r="Q10" s="3136"/>
      <c r="R10" s="554"/>
      <c r="BB10" s="3218"/>
      <c r="BC10" s="3218"/>
      <c r="BD10" s="3218"/>
      <c r="BE10" s="3218"/>
      <c r="BF10" s="3218"/>
      <c r="BG10" s="3218"/>
      <c r="BH10" s="3218"/>
      <c r="BI10" s="3218"/>
      <c r="BJ10" s="3218"/>
      <c r="BK10" s="3218"/>
      <c r="BL10" s="3218"/>
      <c r="BM10" s="3218"/>
      <c r="BN10" s="3218"/>
      <c r="BO10" s="3218"/>
      <c r="BP10" s="3218"/>
      <c r="BQ10" s="3218"/>
      <c r="BR10" s="3218"/>
      <c r="BS10" s="3218"/>
      <c r="BT10" s="3218"/>
      <c r="BU10" s="3218"/>
      <c r="BV10" s="3218"/>
      <c r="BW10" s="3218"/>
      <c r="BX10" s="3218"/>
      <c r="BY10" s="3218"/>
      <c r="BZ10" s="3218"/>
      <c r="CA10" s="3218"/>
      <c r="CB10" s="3218"/>
      <c r="CC10" s="3218"/>
      <c r="CD10" s="3218"/>
      <c r="CE10" s="3218"/>
      <c r="CF10" s="3218"/>
      <c r="CG10" s="3218"/>
      <c r="CH10" s="3218"/>
      <c r="CI10" s="3218">
        <f t="shared" si="0"/>
        <v>0</v>
      </c>
    </row>
    <row r="11" spans="1:87">
      <c r="A11" s="473" t="s">
        <v>2779</v>
      </c>
      <c r="B11" s="509" t="s">
        <v>2274</v>
      </c>
      <c r="C11" s="509" t="s">
        <v>4641</v>
      </c>
      <c r="D11" s="908" t="s">
        <v>65</v>
      </c>
      <c r="E11" s="1120" t="s">
        <v>4824</v>
      </c>
      <c r="F11" s="2212">
        <v>0</v>
      </c>
      <c r="G11" s="270"/>
      <c r="H11" s="2212">
        <v>0</v>
      </c>
      <c r="I11" s="270"/>
      <c r="J11" s="270"/>
      <c r="K11" s="426"/>
      <c r="L11" s="277"/>
      <c r="M11" s="297">
        <f t="shared" si="1"/>
        <v>0</v>
      </c>
      <c r="N11" s="277"/>
      <c r="O11" s="297">
        <f t="shared" si="2"/>
        <v>0</v>
      </c>
      <c r="P11" s="272"/>
      <c r="Q11" s="3120">
        <f>'Abs11. NTEP'!Q48</f>
        <v>0</v>
      </c>
      <c r="R11" s="851">
        <f>'Abs11. NTEP'!R48</f>
        <v>0</v>
      </c>
      <c r="BB11" s="3218"/>
      <c r="BC11" s="3218"/>
      <c r="BD11" s="3218"/>
      <c r="BE11" s="3218"/>
      <c r="BF11" s="3218"/>
      <c r="BG11" s="3218"/>
      <c r="BH11" s="3218"/>
      <c r="BI11" s="3218"/>
      <c r="BJ11" s="3218"/>
      <c r="BK11" s="3218"/>
      <c r="BL11" s="3218"/>
      <c r="BM11" s="3218"/>
      <c r="BN11" s="3218"/>
      <c r="BO11" s="3218"/>
      <c r="BP11" s="3218"/>
      <c r="BQ11" s="3218"/>
      <c r="BR11" s="3218"/>
      <c r="BS11" s="3218"/>
      <c r="BT11" s="3218"/>
      <c r="BU11" s="3218"/>
      <c r="BV11" s="3218"/>
      <c r="BW11" s="3218"/>
      <c r="BX11" s="3218"/>
      <c r="BY11" s="3218"/>
      <c r="BZ11" s="3218"/>
      <c r="CA11" s="3218"/>
      <c r="CB11" s="3218"/>
      <c r="CC11" s="3218"/>
      <c r="CD11" s="3218"/>
      <c r="CE11" s="3218"/>
      <c r="CF11" s="3218"/>
      <c r="CG11" s="3218"/>
      <c r="CH11" s="3218"/>
      <c r="CI11" s="3218">
        <f t="shared" si="0"/>
        <v>0</v>
      </c>
    </row>
    <row r="12" spans="1:87">
      <c r="A12" s="473" t="s">
        <v>2780</v>
      </c>
      <c r="B12" s="521"/>
      <c r="C12" s="509" t="s">
        <v>1304</v>
      </c>
      <c r="D12" s="908" t="s">
        <v>65</v>
      </c>
      <c r="E12" s="1120" t="s">
        <v>3760</v>
      </c>
      <c r="F12" s="2212">
        <v>0</v>
      </c>
      <c r="G12" s="270"/>
      <c r="H12" s="2212">
        <v>0</v>
      </c>
      <c r="I12" s="270"/>
      <c r="J12" s="270"/>
      <c r="K12" s="426"/>
      <c r="L12" s="277"/>
      <c r="M12" s="297">
        <f t="shared" si="1"/>
        <v>0</v>
      </c>
      <c r="N12" s="277"/>
      <c r="O12" s="1700">
        <f t="shared" si="2"/>
        <v>0</v>
      </c>
      <c r="P12" s="475"/>
      <c r="Q12" s="3137"/>
      <c r="R12" s="554"/>
      <c r="BB12" s="3218"/>
      <c r="BC12" s="3218"/>
      <c r="BD12" s="3218"/>
      <c r="BE12" s="3218"/>
      <c r="BF12" s="3218"/>
      <c r="BG12" s="3218"/>
      <c r="BH12" s="3218"/>
      <c r="BI12" s="3218"/>
      <c r="BJ12" s="3218"/>
      <c r="BK12" s="3218"/>
      <c r="BL12" s="3218"/>
      <c r="BM12" s="3218"/>
      <c r="BN12" s="3218"/>
      <c r="BO12" s="3218"/>
      <c r="BP12" s="3218"/>
      <c r="BQ12" s="3218"/>
      <c r="BR12" s="3218"/>
      <c r="BS12" s="3218"/>
      <c r="BT12" s="3218"/>
      <c r="BU12" s="3218"/>
      <c r="BV12" s="3218"/>
      <c r="BW12" s="3218"/>
      <c r="BX12" s="3218"/>
      <c r="BY12" s="3218"/>
      <c r="BZ12" s="3218"/>
      <c r="CA12" s="3218"/>
      <c r="CB12" s="3218"/>
      <c r="CC12" s="3218"/>
      <c r="CD12" s="3218"/>
      <c r="CE12" s="3218"/>
      <c r="CF12" s="3218"/>
      <c r="CG12" s="3218"/>
      <c r="CH12" s="3218"/>
      <c r="CI12" s="3218">
        <f t="shared" si="0"/>
        <v>0</v>
      </c>
    </row>
    <row r="13" spans="1:87">
      <c r="A13" s="473" t="s">
        <v>3736</v>
      </c>
      <c r="B13" s="521"/>
      <c r="C13" s="536" t="s">
        <v>711</v>
      </c>
      <c r="D13" s="908" t="s">
        <v>65</v>
      </c>
      <c r="E13" s="1120" t="s">
        <v>3760</v>
      </c>
      <c r="F13" s="2212">
        <v>0</v>
      </c>
      <c r="G13" s="270"/>
      <c r="H13" s="2212">
        <v>0</v>
      </c>
      <c r="I13" s="270"/>
      <c r="J13" s="270"/>
      <c r="K13" s="426"/>
      <c r="L13" s="277"/>
      <c r="M13" s="297">
        <f t="shared" si="1"/>
        <v>0</v>
      </c>
      <c r="N13" s="277"/>
      <c r="O13" s="1700">
        <f t="shared" si="2"/>
        <v>0</v>
      </c>
      <c r="P13" s="475"/>
      <c r="Q13" s="3137"/>
      <c r="R13" s="554"/>
      <c r="BB13" s="3218"/>
      <c r="BC13" s="3218"/>
      <c r="BD13" s="3218"/>
      <c r="BE13" s="3218"/>
      <c r="BF13" s="3218"/>
      <c r="BG13" s="3218"/>
      <c r="BH13" s="3218"/>
      <c r="BI13" s="3218"/>
      <c r="BJ13" s="3218"/>
      <c r="BK13" s="3218"/>
      <c r="BL13" s="3218"/>
      <c r="BM13" s="3218"/>
      <c r="BN13" s="3218"/>
      <c r="BO13" s="3218"/>
      <c r="BP13" s="3218"/>
      <c r="BQ13" s="3218"/>
      <c r="BR13" s="3218"/>
      <c r="BS13" s="3218"/>
      <c r="BT13" s="3218"/>
      <c r="BU13" s="3218"/>
      <c r="BV13" s="3218"/>
      <c r="BW13" s="3218"/>
      <c r="BX13" s="3218"/>
      <c r="BY13" s="3218"/>
      <c r="BZ13" s="3218"/>
      <c r="CA13" s="3218"/>
      <c r="CB13" s="3218"/>
      <c r="CC13" s="3218"/>
      <c r="CD13" s="3218"/>
      <c r="CE13" s="3218"/>
      <c r="CF13" s="3218"/>
      <c r="CG13" s="3218"/>
      <c r="CH13" s="3218"/>
      <c r="CI13" s="3218">
        <f t="shared" si="0"/>
        <v>0</v>
      </c>
    </row>
    <row r="14" spans="1:87" ht="30">
      <c r="A14" s="473" t="s">
        <v>3737</v>
      </c>
      <c r="B14" s="521"/>
      <c r="C14" s="536" t="s">
        <v>713</v>
      </c>
      <c r="D14" s="908" t="s">
        <v>65</v>
      </c>
      <c r="E14" s="1120" t="s">
        <v>3760</v>
      </c>
      <c r="F14" s="2212">
        <v>0</v>
      </c>
      <c r="G14" s="270"/>
      <c r="H14" s="2212">
        <v>0</v>
      </c>
      <c r="I14" s="270"/>
      <c r="J14" s="270"/>
      <c r="K14" s="426"/>
      <c r="L14" s="277"/>
      <c r="M14" s="297">
        <f t="shared" si="1"/>
        <v>0</v>
      </c>
      <c r="N14" s="277"/>
      <c r="O14" s="1700">
        <f t="shared" si="2"/>
        <v>0</v>
      </c>
      <c r="P14" s="475"/>
      <c r="Q14" s="3137"/>
      <c r="R14" s="554"/>
      <c r="BB14" s="3218"/>
      <c r="BC14" s="3218"/>
      <c r="BD14" s="3218"/>
      <c r="BE14" s="3218"/>
      <c r="BF14" s="3218"/>
      <c r="BG14" s="3218"/>
      <c r="BH14" s="3218"/>
      <c r="BI14" s="3218"/>
      <c r="BJ14" s="3218"/>
      <c r="BK14" s="3218"/>
      <c r="BL14" s="3218"/>
      <c r="BM14" s="3218"/>
      <c r="BN14" s="3218"/>
      <c r="BO14" s="3218"/>
      <c r="BP14" s="3218"/>
      <c r="BQ14" s="3218"/>
      <c r="BR14" s="3218"/>
      <c r="BS14" s="3218"/>
      <c r="BT14" s="3218"/>
      <c r="BU14" s="3218"/>
      <c r="BV14" s="3218"/>
      <c r="BW14" s="3218"/>
      <c r="BX14" s="3218"/>
      <c r="BY14" s="3218"/>
      <c r="BZ14" s="3218"/>
      <c r="CA14" s="3218"/>
      <c r="CB14" s="3218"/>
      <c r="CC14" s="3218"/>
      <c r="CD14" s="3218"/>
      <c r="CE14" s="3218"/>
      <c r="CF14" s="3218"/>
      <c r="CG14" s="3218"/>
      <c r="CH14" s="3218"/>
      <c r="CI14" s="3218">
        <f t="shared" si="0"/>
        <v>0</v>
      </c>
    </row>
    <row r="15" spans="1:87" s="1380" customFormat="1" ht="30">
      <c r="A15" s="863" t="s">
        <v>1264</v>
      </c>
      <c r="B15" s="863"/>
      <c r="C15" s="863" t="s">
        <v>2575</v>
      </c>
      <c r="D15" s="908" t="s">
        <v>65</v>
      </c>
      <c r="E15" s="1185" t="s">
        <v>65</v>
      </c>
      <c r="F15" s="399">
        <v>1</v>
      </c>
      <c r="G15" s="399"/>
      <c r="H15" s="399">
        <v>20</v>
      </c>
      <c r="I15" s="399">
        <v>1.6</v>
      </c>
      <c r="J15" s="399">
        <v>18.399999999999999</v>
      </c>
      <c r="K15" s="399"/>
      <c r="L15" s="283"/>
      <c r="M15" s="298">
        <f t="shared" si="1"/>
        <v>0</v>
      </c>
      <c r="N15" s="283"/>
      <c r="O15" s="298">
        <f t="shared" si="2"/>
        <v>0</v>
      </c>
      <c r="P15" s="399"/>
      <c r="Q15" s="1701"/>
      <c r="R15" s="215"/>
      <c r="BB15" s="3219"/>
      <c r="BC15" s="3219"/>
      <c r="BD15" s="3219"/>
      <c r="BE15" s="3219"/>
      <c r="BF15" s="3219"/>
      <c r="BG15" s="3219"/>
      <c r="BH15" s="3219"/>
      <c r="BI15" s="3219"/>
      <c r="BJ15" s="3219"/>
      <c r="BK15" s="3219"/>
      <c r="BL15" s="3219"/>
      <c r="BM15" s="3219"/>
      <c r="BN15" s="3219"/>
      <c r="BO15" s="3219"/>
      <c r="BP15" s="3219"/>
      <c r="BQ15" s="3219"/>
      <c r="BR15" s="3219"/>
      <c r="BS15" s="3219"/>
      <c r="BT15" s="3219"/>
      <c r="BU15" s="3219"/>
      <c r="BV15" s="3219"/>
      <c r="BW15" s="3219"/>
      <c r="BX15" s="3219"/>
      <c r="BY15" s="3219"/>
      <c r="BZ15" s="3219"/>
      <c r="CA15" s="3219"/>
      <c r="CB15" s="3219"/>
      <c r="CC15" s="3219"/>
      <c r="CD15" s="3219"/>
      <c r="CE15" s="3219"/>
      <c r="CF15" s="3219"/>
      <c r="CG15" s="3219"/>
      <c r="CH15" s="3219"/>
      <c r="CI15" s="3218">
        <f t="shared" si="0"/>
        <v>0</v>
      </c>
    </row>
    <row r="16" spans="1:87">
      <c r="A16" s="1468">
        <v>14.2</v>
      </c>
      <c r="B16" s="1553"/>
      <c r="C16" s="1148" t="s">
        <v>2576</v>
      </c>
      <c r="D16" s="1567"/>
      <c r="E16" s="1567"/>
      <c r="F16" s="389"/>
      <c r="G16" s="389"/>
      <c r="H16" s="389"/>
      <c r="I16" s="389"/>
      <c r="J16" s="389"/>
      <c r="K16" s="389"/>
      <c r="L16" s="389"/>
      <c r="M16" s="1247"/>
      <c r="N16" s="319"/>
      <c r="O16" s="208">
        <f>SUM(O17:O20)+SUM(O23:O32)</f>
        <v>193.86</v>
      </c>
      <c r="P16" s="463"/>
      <c r="Q16" s="1702"/>
      <c r="R16" s="208">
        <f>SUM(R17:R20)+SUM(R23:R32)</f>
        <v>174.71822</v>
      </c>
      <c r="BB16" s="3218"/>
      <c r="BC16" s="3218"/>
      <c r="BD16" s="3218"/>
      <c r="BE16" s="3218"/>
      <c r="BF16" s="3218"/>
      <c r="BG16" s="3218"/>
      <c r="BH16" s="3218"/>
      <c r="BI16" s="3218"/>
      <c r="BJ16" s="3218"/>
      <c r="BK16" s="3218"/>
      <c r="BL16" s="3218"/>
      <c r="BM16" s="3218"/>
      <c r="BN16" s="3218"/>
      <c r="BO16" s="3218"/>
      <c r="BP16" s="3218"/>
      <c r="BQ16" s="3218"/>
      <c r="BR16" s="3218"/>
      <c r="BS16" s="3218"/>
      <c r="BT16" s="3218"/>
      <c r="BU16" s="3218"/>
      <c r="BV16" s="3218"/>
      <c r="BW16" s="3218"/>
      <c r="BX16" s="3218"/>
      <c r="BY16" s="3218"/>
      <c r="BZ16" s="3218"/>
      <c r="CA16" s="3218"/>
      <c r="CB16" s="3218"/>
      <c r="CC16" s="3218"/>
      <c r="CD16" s="3218"/>
      <c r="CE16" s="3218"/>
      <c r="CF16" s="3218"/>
      <c r="CG16" s="3218"/>
      <c r="CH16" s="3218"/>
      <c r="CI16" s="3218">
        <f t="shared" si="0"/>
        <v>0</v>
      </c>
    </row>
    <row r="17" spans="1:87" ht="30">
      <c r="A17" s="391" t="s">
        <v>1266</v>
      </c>
      <c r="B17" s="509" t="s">
        <v>1265</v>
      </c>
      <c r="C17" s="509" t="s">
        <v>2577</v>
      </c>
      <c r="D17" s="908" t="s">
        <v>65</v>
      </c>
      <c r="E17" s="1120" t="s">
        <v>65</v>
      </c>
      <c r="F17" s="2212">
        <v>0</v>
      </c>
      <c r="G17" s="270"/>
      <c r="H17" s="2212">
        <v>0</v>
      </c>
      <c r="I17" s="270"/>
      <c r="J17" s="270"/>
      <c r="K17" s="270"/>
      <c r="L17" s="277"/>
      <c r="M17" s="297">
        <f>L17/100000</f>
        <v>0</v>
      </c>
      <c r="N17" s="277"/>
      <c r="O17" s="297">
        <f>M17*N17</f>
        <v>0</v>
      </c>
      <c r="P17" s="272"/>
      <c r="Q17" s="3137"/>
      <c r="R17" s="803"/>
      <c r="BB17" s="3218"/>
      <c r="BC17" s="3218"/>
      <c r="BD17" s="3218"/>
      <c r="BE17" s="3218"/>
      <c r="BF17" s="3218"/>
      <c r="BG17" s="3218"/>
      <c r="BH17" s="3218"/>
      <c r="BI17" s="3218"/>
      <c r="BJ17" s="3218"/>
      <c r="BK17" s="3218"/>
      <c r="BL17" s="3218"/>
      <c r="BM17" s="3218"/>
      <c r="BN17" s="3218"/>
      <c r="BO17" s="3218"/>
      <c r="BP17" s="3218"/>
      <c r="BQ17" s="3218"/>
      <c r="BR17" s="3218"/>
      <c r="BS17" s="3218"/>
      <c r="BT17" s="3218"/>
      <c r="BU17" s="3218"/>
      <c r="BV17" s="3218"/>
      <c r="BW17" s="3218"/>
      <c r="BX17" s="3218"/>
      <c r="BY17" s="3218"/>
      <c r="BZ17" s="3218"/>
      <c r="CA17" s="3218"/>
      <c r="CB17" s="3218"/>
      <c r="CC17" s="3218"/>
      <c r="CD17" s="3218"/>
      <c r="CE17" s="3218"/>
      <c r="CF17" s="3218"/>
      <c r="CG17" s="3218"/>
      <c r="CH17" s="3218"/>
      <c r="CI17" s="3218">
        <f t="shared" si="0"/>
        <v>0</v>
      </c>
    </row>
    <row r="18" spans="1:87" s="1380" customFormat="1" ht="119.25" customHeight="1">
      <c r="A18" s="391" t="s">
        <v>1269</v>
      </c>
      <c r="B18" s="521" t="s">
        <v>1267</v>
      </c>
      <c r="C18" s="1075" t="s">
        <v>1268</v>
      </c>
      <c r="D18" s="3226" t="s">
        <v>65</v>
      </c>
      <c r="E18" s="3227" t="s">
        <v>5093</v>
      </c>
      <c r="F18" s="3228">
        <v>1</v>
      </c>
      <c r="G18" s="3229"/>
      <c r="H18" s="3228">
        <v>79.5</v>
      </c>
      <c r="I18" s="3229">
        <v>21.47</v>
      </c>
      <c r="J18" s="3229">
        <v>58.03</v>
      </c>
      <c r="K18" s="3230">
        <v>1</v>
      </c>
      <c r="L18" s="3231">
        <v>9800000</v>
      </c>
      <c r="M18" s="3232">
        <f>L18/100000</f>
        <v>98</v>
      </c>
      <c r="N18" s="3200">
        <v>1</v>
      </c>
      <c r="O18" s="3232">
        <f t="shared" ref="O18:O32" si="3">M18*N18</f>
        <v>98</v>
      </c>
      <c r="P18" s="3233" t="s">
        <v>5310</v>
      </c>
      <c r="Q18" s="3135" t="str">
        <f>'Ab4. HMIS-MCTS'!Q19</f>
        <v>Recommended Rs. 95.97 Lakhs for DVDMS as per the State PIP and ROP 20-21 with 10% increment considering the lower price. The details of amount are as under:Application software support – Rs. 10.98 LacsHosting at data centre – Rs. 12.54 LacsFMS at data centre – Rs. 7.92 LacsIT Cell Model 1 – Rs. 48.389 LacsSafe to Host security certificate – Rs. 1.5 LacsTotal – Rs. 95.97 Lacs(Including 10% yearly increment and 18% GST on overall charges)</v>
      </c>
      <c r="R18" s="686">
        <f>'Ab4. HMIS-MCTS'!R19</f>
        <v>95.968220000000002</v>
      </c>
      <c r="BB18" s="3219">
        <v>95.97</v>
      </c>
      <c r="BC18" s="3219"/>
      <c r="BD18" s="3219"/>
      <c r="BE18" s="3219"/>
      <c r="BF18" s="3219"/>
      <c r="BG18" s="3219"/>
      <c r="BH18" s="3219"/>
      <c r="BI18" s="3219"/>
      <c r="BJ18" s="3219"/>
      <c r="BK18" s="3219"/>
      <c r="BL18" s="3219"/>
      <c r="BM18" s="3219"/>
      <c r="BN18" s="3219"/>
      <c r="BO18" s="3219"/>
      <c r="BP18" s="3219"/>
      <c r="BQ18" s="3219"/>
      <c r="BR18" s="3219"/>
      <c r="BS18" s="3219"/>
      <c r="BT18" s="3219"/>
      <c r="BU18" s="3219"/>
      <c r="BV18" s="3219"/>
      <c r="BW18" s="3219"/>
      <c r="BX18" s="3219"/>
      <c r="BY18" s="3219"/>
      <c r="BZ18" s="3219"/>
      <c r="CA18" s="3219"/>
      <c r="CB18" s="3219"/>
      <c r="CC18" s="3219"/>
      <c r="CD18" s="3219"/>
      <c r="CE18" s="3219"/>
      <c r="CF18" s="3219"/>
      <c r="CG18" s="3219"/>
      <c r="CH18" s="3219"/>
      <c r="CI18" s="3218">
        <f t="shared" si="0"/>
        <v>95.97</v>
      </c>
    </row>
    <row r="19" spans="1:87">
      <c r="A19" s="391" t="s">
        <v>1272</v>
      </c>
      <c r="B19" s="521"/>
      <c r="C19" s="1535" t="s">
        <v>2405</v>
      </c>
      <c r="D19" s="1696" t="s">
        <v>85</v>
      </c>
      <c r="E19" s="1120" t="s">
        <v>86</v>
      </c>
      <c r="F19" s="2224">
        <v>0</v>
      </c>
      <c r="G19" s="426"/>
      <c r="H19" s="2225">
        <v>0</v>
      </c>
      <c r="I19" s="461"/>
      <c r="J19" s="426"/>
      <c r="K19" s="426"/>
      <c r="L19" s="277"/>
      <c r="M19" s="297">
        <f>L19/100000</f>
        <v>0</v>
      </c>
      <c r="N19" s="277"/>
      <c r="O19" s="297">
        <f t="shared" si="3"/>
        <v>0</v>
      </c>
      <c r="P19" s="272"/>
      <c r="Q19" s="3120" t="str">
        <f>'Ab1. RMNCH+A'!Q284</f>
        <v>--</v>
      </c>
      <c r="R19" s="800">
        <f>'Ab1. RMNCH+A'!R284</f>
        <v>0</v>
      </c>
      <c r="BB19" s="3218"/>
      <c r="BC19" s="3218"/>
      <c r="BD19" s="3218"/>
      <c r="BE19" s="3218"/>
      <c r="BF19" s="3218"/>
      <c r="BG19" s="3218"/>
      <c r="BH19" s="3218"/>
      <c r="BI19" s="3218"/>
      <c r="BJ19" s="3218"/>
      <c r="BK19" s="3218"/>
      <c r="BL19" s="3218"/>
      <c r="BM19" s="3218"/>
      <c r="BN19" s="3218"/>
      <c r="BO19" s="3218"/>
      <c r="BP19" s="3218"/>
      <c r="BQ19" s="3218"/>
      <c r="BR19" s="3218"/>
      <c r="BS19" s="3218"/>
      <c r="BT19" s="3218"/>
      <c r="BU19" s="3218"/>
      <c r="BV19" s="3218"/>
      <c r="BW19" s="3218"/>
      <c r="BX19" s="3218"/>
      <c r="BY19" s="3218"/>
      <c r="BZ19" s="3218"/>
      <c r="CA19" s="3218"/>
      <c r="CB19" s="3218"/>
      <c r="CC19" s="3218"/>
      <c r="CD19" s="3218"/>
      <c r="CE19" s="3218"/>
      <c r="CF19" s="3218"/>
      <c r="CG19" s="3218"/>
      <c r="CH19" s="3218"/>
      <c r="CI19" s="3218">
        <f t="shared" si="0"/>
        <v>0</v>
      </c>
    </row>
    <row r="20" spans="1:87" s="1101" customFormat="1">
      <c r="A20" s="1695" t="s">
        <v>1275</v>
      </c>
      <c r="B20" s="514"/>
      <c r="C20" s="1690" t="s">
        <v>4001</v>
      </c>
      <c r="D20" s="1509"/>
      <c r="E20" s="1509"/>
      <c r="F20" s="465"/>
      <c r="G20" s="465"/>
      <c r="H20" s="467"/>
      <c r="I20" s="467"/>
      <c r="J20" s="465"/>
      <c r="K20" s="465"/>
      <c r="L20" s="465"/>
      <c r="M20" s="211"/>
      <c r="N20" s="274"/>
      <c r="O20" s="211">
        <f>O21+O22</f>
        <v>5</v>
      </c>
      <c r="P20" s="396"/>
      <c r="Q20" s="3138"/>
      <c r="R20" s="211">
        <f>R21+R22</f>
        <v>5</v>
      </c>
      <c r="BB20" s="3225"/>
      <c r="BC20" s="3225"/>
      <c r="BD20" s="3225"/>
      <c r="BE20" s="3225"/>
      <c r="BF20" s="3225"/>
      <c r="BG20" s="3225"/>
      <c r="BH20" s="3225"/>
      <c r="BI20" s="3225"/>
      <c r="BJ20" s="3225"/>
      <c r="BK20" s="3225"/>
      <c r="BL20" s="3225"/>
      <c r="BM20" s="3225"/>
      <c r="BN20" s="3225"/>
      <c r="BO20" s="3225"/>
      <c r="BP20" s="3225"/>
      <c r="BQ20" s="3225"/>
      <c r="BR20" s="3225"/>
      <c r="BS20" s="3225"/>
      <c r="BT20" s="3225"/>
      <c r="BU20" s="3225"/>
      <c r="BV20" s="3225"/>
      <c r="BW20" s="3225"/>
      <c r="BX20" s="3225"/>
      <c r="BY20" s="3225"/>
      <c r="BZ20" s="3225"/>
      <c r="CA20" s="3225"/>
      <c r="CB20" s="3225"/>
      <c r="CC20" s="3225"/>
      <c r="CD20" s="3225"/>
      <c r="CE20" s="3225"/>
      <c r="CF20" s="3225"/>
      <c r="CG20" s="3225"/>
      <c r="CH20" s="3225"/>
      <c r="CI20" s="3218">
        <f t="shared" si="0"/>
        <v>0</v>
      </c>
    </row>
    <row r="21" spans="1:87" s="1380" customFormat="1" ht="30">
      <c r="A21" s="391" t="s">
        <v>4000</v>
      </c>
      <c r="B21" s="521" t="s">
        <v>1270</v>
      </c>
      <c r="C21" s="521" t="s">
        <v>1271</v>
      </c>
      <c r="D21" s="1075" t="s">
        <v>85</v>
      </c>
      <c r="E21" s="1075" t="s">
        <v>200</v>
      </c>
      <c r="F21" s="2226">
        <v>5000</v>
      </c>
      <c r="G21" s="472"/>
      <c r="H21" s="2230">
        <v>10</v>
      </c>
      <c r="I21" s="2597">
        <v>4.72</v>
      </c>
      <c r="J21" s="2598">
        <v>5.28</v>
      </c>
      <c r="K21" s="2598">
        <v>0</v>
      </c>
      <c r="L21" s="2520">
        <v>200</v>
      </c>
      <c r="M21" s="298">
        <f t="shared" ref="M21:M27" si="4">L21/100000</f>
        <v>2E-3</v>
      </c>
      <c r="N21" s="283">
        <v>2500</v>
      </c>
      <c r="O21" s="298">
        <f t="shared" si="3"/>
        <v>5</v>
      </c>
      <c r="P21" s="2611" t="s">
        <v>5420</v>
      </c>
      <c r="Q21" s="3135" t="str">
        <f>'Ab1. RMNCH+A'!Q426</f>
        <v>Rs. 5 lakhs is recommended for approval @ Rs.200/session for 2500 sessions</v>
      </c>
      <c r="R21" s="686">
        <f>'Ab1. RMNCH+A'!R426</f>
        <v>5</v>
      </c>
      <c r="BB21" s="3219"/>
      <c r="BC21" s="3219">
        <v>0.15</v>
      </c>
      <c r="BD21" s="3219">
        <v>0.75</v>
      </c>
      <c r="BE21" s="3219">
        <v>0.15</v>
      </c>
      <c r="BF21" s="3219">
        <v>0.25</v>
      </c>
      <c r="BG21" s="3219">
        <v>0.65</v>
      </c>
      <c r="BH21" s="3219">
        <v>0.25</v>
      </c>
      <c r="BI21" s="3219">
        <v>0.25</v>
      </c>
      <c r="BJ21" s="3219">
        <v>0.75</v>
      </c>
      <c r="BK21" s="3219">
        <v>0.8</v>
      </c>
      <c r="BL21" s="3219">
        <v>0.65</v>
      </c>
      <c r="BM21" s="3219">
        <v>0.2</v>
      </c>
      <c r="BN21" s="3219">
        <v>0.15</v>
      </c>
      <c r="BO21" s="3219"/>
      <c r="BP21" s="3219"/>
      <c r="BQ21" s="3219"/>
      <c r="BR21" s="3219"/>
      <c r="BS21" s="3219"/>
      <c r="BT21" s="3219"/>
      <c r="BU21" s="3219"/>
      <c r="BV21" s="3219"/>
      <c r="BW21" s="3219"/>
      <c r="BX21" s="3219"/>
      <c r="BY21" s="3219"/>
      <c r="BZ21" s="3219"/>
      <c r="CA21" s="3219"/>
      <c r="CB21" s="3219"/>
      <c r="CC21" s="3219"/>
      <c r="CD21" s="3219"/>
      <c r="CE21" s="3219"/>
      <c r="CF21" s="3219"/>
      <c r="CG21" s="3219"/>
      <c r="CH21" s="3219"/>
      <c r="CI21" s="3218">
        <f t="shared" si="0"/>
        <v>5.0000000000000009</v>
      </c>
    </row>
    <row r="22" spans="1:87" ht="30">
      <c r="A22" s="391" t="s">
        <v>4002</v>
      </c>
      <c r="B22" s="521"/>
      <c r="C22" s="509" t="s">
        <v>4003</v>
      </c>
      <c r="D22" s="1696" t="s">
        <v>85</v>
      </c>
      <c r="E22" s="1120" t="s">
        <v>200</v>
      </c>
      <c r="F22" s="2224">
        <v>0</v>
      </c>
      <c r="G22" s="426"/>
      <c r="H22" s="2225">
        <v>0</v>
      </c>
      <c r="I22" s="461"/>
      <c r="J22" s="426"/>
      <c r="K22" s="426"/>
      <c r="L22" s="277"/>
      <c r="M22" s="297">
        <f t="shared" si="4"/>
        <v>0</v>
      </c>
      <c r="N22" s="277"/>
      <c r="O22" s="297">
        <f>M22*N22</f>
        <v>0</v>
      </c>
      <c r="P22" s="432"/>
      <c r="Q22" s="3120" t="str">
        <f>'Ab1. RMNCH+A'!Q427</f>
        <v>--</v>
      </c>
      <c r="R22" s="800">
        <f>'Ab1. RMNCH+A'!R427</f>
        <v>0</v>
      </c>
      <c r="BB22" s="3218"/>
      <c r="BC22" s="3218"/>
      <c r="BD22" s="3218"/>
      <c r="BE22" s="3218"/>
      <c r="BF22" s="3218"/>
      <c r="BG22" s="3218"/>
      <c r="BH22" s="3218"/>
      <c r="BI22" s="3218"/>
      <c r="BJ22" s="3218"/>
      <c r="BK22" s="3218"/>
      <c r="BL22" s="3218"/>
      <c r="BM22" s="3218"/>
      <c r="BN22" s="3218"/>
      <c r="BO22" s="3218"/>
      <c r="BP22" s="3218"/>
      <c r="BQ22" s="3218"/>
      <c r="BR22" s="3218"/>
      <c r="BS22" s="3218"/>
      <c r="BT22" s="3218"/>
      <c r="BU22" s="3218"/>
      <c r="BV22" s="3218"/>
      <c r="BW22" s="3218"/>
      <c r="BX22" s="3218"/>
      <c r="BY22" s="3218"/>
      <c r="BZ22" s="3218"/>
      <c r="CA22" s="3218"/>
      <c r="CB22" s="3218"/>
      <c r="CC22" s="3218"/>
      <c r="CD22" s="3218"/>
      <c r="CE22" s="3218"/>
      <c r="CF22" s="3218"/>
      <c r="CG22" s="3218"/>
      <c r="CH22" s="3218"/>
      <c r="CI22" s="3218">
        <f t="shared" si="0"/>
        <v>0</v>
      </c>
    </row>
    <row r="23" spans="1:87" s="1380" customFormat="1" ht="30">
      <c r="A23" s="391" t="s">
        <v>1278</v>
      </c>
      <c r="B23" s="521" t="s">
        <v>1273</v>
      </c>
      <c r="C23" s="521" t="s">
        <v>1274</v>
      </c>
      <c r="D23" s="1075" t="s">
        <v>85</v>
      </c>
      <c r="E23" s="1075" t="s">
        <v>200</v>
      </c>
      <c r="F23" s="2226">
        <v>15000</v>
      </c>
      <c r="G23" s="472"/>
      <c r="H23" s="2230">
        <v>13.5</v>
      </c>
      <c r="I23" s="2597">
        <v>4.1470000000000002</v>
      </c>
      <c r="J23" s="2598">
        <v>1</v>
      </c>
      <c r="K23" s="2598">
        <v>1</v>
      </c>
      <c r="L23" s="2520">
        <v>90</v>
      </c>
      <c r="M23" s="298">
        <f t="shared" si="4"/>
        <v>8.9999999999999998E-4</v>
      </c>
      <c r="N23" s="283">
        <v>8500</v>
      </c>
      <c r="O23" s="298">
        <f t="shared" si="3"/>
        <v>7.6499999999999995</v>
      </c>
      <c r="P23" s="2611" t="s">
        <v>5421</v>
      </c>
      <c r="Q23" s="3135" t="str">
        <f>'Ab1. RMNCH+A'!Q428</f>
        <v>Rs. 7.65 lakhs is recommended for approval as per norms @ Rs 90/session for 8500 sessions</v>
      </c>
      <c r="R23" s="686">
        <f>'Ab1. RMNCH+A'!R428</f>
        <v>7.6499999999999995</v>
      </c>
      <c r="BB23" s="3219"/>
      <c r="BC23" s="3219">
        <v>0.49</v>
      </c>
      <c r="BD23" s="3219">
        <v>0.62</v>
      </c>
      <c r="BE23" s="3219">
        <v>0.51</v>
      </c>
      <c r="BF23" s="3219">
        <v>1.38</v>
      </c>
      <c r="BG23" s="3219">
        <v>0.12</v>
      </c>
      <c r="BH23" s="3219">
        <v>0.51</v>
      </c>
      <c r="BI23" s="3219">
        <v>0.03</v>
      </c>
      <c r="BJ23" s="3219">
        <v>0.99</v>
      </c>
      <c r="BK23" s="3219">
        <v>1.19</v>
      </c>
      <c r="BL23" s="3219">
        <v>0.56000000000000005</v>
      </c>
      <c r="BM23" s="3219">
        <v>0.63</v>
      </c>
      <c r="BN23" s="3219">
        <v>0.62</v>
      </c>
      <c r="BO23" s="3219"/>
      <c r="BP23" s="3219"/>
      <c r="BQ23" s="3219"/>
      <c r="BR23" s="3219"/>
      <c r="BS23" s="3219"/>
      <c r="BT23" s="3219"/>
      <c r="BU23" s="3219"/>
      <c r="BV23" s="3219"/>
      <c r="BW23" s="3219"/>
      <c r="BX23" s="3219"/>
      <c r="BY23" s="3219"/>
      <c r="BZ23" s="3219"/>
      <c r="CA23" s="3219"/>
      <c r="CB23" s="3219"/>
      <c r="CC23" s="3219"/>
      <c r="CD23" s="3219"/>
      <c r="CE23" s="3219"/>
      <c r="CF23" s="3219"/>
      <c r="CG23" s="3219"/>
      <c r="CH23" s="3219"/>
      <c r="CI23" s="3218">
        <f t="shared" si="0"/>
        <v>7.65</v>
      </c>
    </row>
    <row r="24" spans="1:87" s="1380" customFormat="1" ht="30">
      <c r="A24" s="391" t="s">
        <v>1281</v>
      </c>
      <c r="B24" s="521" t="s">
        <v>1276</v>
      </c>
      <c r="C24" s="521" t="s">
        <v>1277</v>
      </c>
      <c r="D24" s="1075" t="s">
        <v>85</v>
      </c>
      <c r="E24" s="1075" t="s">
        <v>200</v>
      </c>
      <c r="F24" s="2226">
        <v>13</v>
      </c>
      <c r="G24" s="472"/>
      <c r="H24" s="2230">
        <v>24</v>
      </c>
      <c r="I24" s="2597">
        <v>5.13</v>
      </c>
      <c r="J24" s="2598">
        <v>18.87</v>
      </c>
      <c r="K24" s="2598">
        <v>1</v>
      </c>
      <c r="L24" s="2520">
        <v>200000</v>
      </c>
      <c r="M24" s="298">
        <f t="shared" si="4"/>
        <v>2</v>
      </c>
      <c r="N24" s="283">
        <v>12</v>
      </c>
      <c r="O24" s="298">
        <f t="shared" si="3"/>
        <v>24</v>
      </c>
      <c r="P24" s="2611" t="s">
        <v>5422</v>
      </c>
      <c r="Q24" s="3135" t="str">
        <f>'Ab1. RMNCH+A'!Q429</f>
        <v>Rs. 24 lakhs is recommended for approval for POL for vaccine delivery as per norms @ Rs.200000/District/year for 12 Districts</v>
      </c>
      <c r="R24" s="686">
        <f>'Ab1. RMNCH+A'!R429</f>
        <v>24</v>
      </c>
      <c r="BB24" s="3219"/>
      <c r="BC24" s="3219">
        <v>2</v>
      </c>
      <c r="BD24" s="3219">
        <v>2</v>
      </c>
      <c r="BE24" s="3219">
        <v>2</v>
      </c>
      <c r="BF24" s="3219">
        <v>2</v>
      </c>
      <c r="BG24" s="3219">
        <v>2</v>
      </c>
      <c r="BH24" s="3219">
        <v>2</v>
      </c>
      <c r="BI24" s="3219">
        <v>2</v>
      </c>
      <c r="BJ24" s="3219">
        <v>2</v>
      </c>
      <c r="BK24" s="3219">
        <v>2</v>
      </c>
      <c r="BL24" s="3219">
        <v>2</v>
      </c>
      <c r="BM24" s="3219">
        <v>2</v>
      </c>
      <c r="BN24" s="3219">
        <v>2</v>
      </c>
      <c r="BO24" s="3219"/>
      <c r="BP24" s="3219"/>
      <c r="BQ24" s="3219"/>
      <c r="BR24" s="3219"/>
      <c r="BS24" s="3219"/>
      <c r="BT24" s="3219"/>
      <c r="BU24" s="3219"/>
      <c r="BV24" s="3219"/>
      <c r="BW24" s="3219"/>
      <c r="BX24" s="3219"/>
      <c r="BY24" s="3219"/>
      <c r="BZ24" s="3219"/>
      <c r="CA24" s="3219"/>
      <c r="CB24" s="3219"/>
      <c r="CC24" s="3219"/>
      <c r="CD24" s="3219"/>
      <c r="CE24" s="3219"/>
      <c r="CF24" s="3219"/>
      <c r="CG24" s="3219"/>
      <c r="CH24" s="3219"/>
      <c r="CI24" s="3218">
        <f t="shared" si="0"/>
        <v>24</v>
      </c>
    </row>
    <row r="25" spans="1:87">
      <c r="A25" s="391" t="s">
        <v>1283</v>
      </c>
      <c r="B25" s="509" t="s">
        <v>1279</v>
      </c>
      <c r="C25" s="509" t="s">
        <v>1280</v>
      </c>
      <c r="D25" s="1696" t="s">
        <v>85</v>
      </c>
      <c r="E25" s="1120" t="s">
        <v>200</v>
      </c>
      <c r="F25" s="2224">
        <v>0</v>
      </c>
      <c r="G25" s="426"/>
      <c r="H25" s="2225">
        <v>0</v>
      </c>
      <c r="I25" s="461"/>
      <c r="J25" s="426"/>
      <c r="K25" s="426"/>
      <c r="L25" s="277"/>
      <c r="M25" s="297">
        <f t="shared" si="4"/>
        <v>0</v>
      </c>
      <c r="N25" s="277"/>
      <c r="O25" s="297">
        <f t="shared" si="3"/>
        <v>0</v>
      </c>
      <c r="P25" s="476"/>
      <c r="Q25" s="3120" t="str">
        <f>'Ab1. RMNCH+A'!Q430</f>
        <v>--</v>
      </c>
      <c r="R25" s="800">
        <f>'Ab1. RMNCH+A'!R430</f>
        <v>0</v>
      </c>
      <c r="BB25" s="3218"/>
      <c r="BC25" s="3218"/>
      <c r="BD25" s="3218"/>
      <c r="BE25" s="3218"/>
      <c r="BF25" s="3218"/>
      <c r="BG25" s="3218"/>
      <c r="BH25" s="3218"/>
      <c r="BI25" s="3218"/>
      <c r="BJ25" s="3218"/>
      <c r="BK25" s="3218"/>
      <c r="BL25" s="3218"/>
      <c r="BM25" s="3218"/>
      <c r="BN25" s="3218"/>
      <c r="BO25" s="3218"/>
      <c r="BP25" s="3218"/>
      <c r="BQ25" s="3218"/>
      <c r="BR25" s="3218"/>
      <c r="BS25" s="3218"/>
      <c r="BT25" s="3218"/>
      <c r="BU25" s="3218"/>
      <c r="BV25" s="3218"/>
      <c r="BW25" s="3218"/>
      <c r="BX25" s="3218"/>
      <c r="BY25" s="3218"/>
      <c r="BZ25" s="3218"/>
      <c r="CA25" s="3218"/>
      <c r="CB25" s="3218"/>
      <c r="CC25" s="3218"/>
      <c r="CD25" s="3218"/>
      <c r="CE25" s="3218"/>
      <c r="CF25" s="3218"/>
      <c r="CG25" s="3218"/>
      <c r="CH25" s="3218"/>
      <c r="CI25" s="3218">
        <f t="shared" si="0"/>
        <v>0</v>
      </c>
    </row>
    <row r="26" spans="1:87" s="3436" customFormat="1" ht="255">
      <c r="A26" s="3427" t="s">
        <v>1285</v>
      </c>
      <c r="B26" s="1559" t="s">
        <v>1282</v>
      </c>
      <c r="C26" s="1559" t="s">
        <v>4012</v>
      </c>
      <c r="D26" s="3428" t="s">
        <v>85</v>
      </c>
      <c r="E26" s="3428" t="s">
        <v>200</v>
      </c>
      <c r="F26" s="3429">
        <v>1</v>
      </c>
      <c r="G26" s="3430"/>
      <c r="H26" s="3431">
        <v>36.369999999999997</v>
      </c>
      <c r="I26" s="3432">
        <v>22.83</v>
      </c>
      <c r="J26" s="3433">
        <v>13.54</v>
      </c>
      <c r="K26" s="3430"/>
      <c r="L26" s="3408">
        <v>5231000</v>
      </c>
      <c r="M26" s="1700">
        <f t="shared" si="4"/>
        <v>52.31</v>
      </c>
      <c r="N26" s="3408">
        <v>1</v>
      </c>
      <c r="O26" s="1700">
        <f t="shared" si="3"/>
        <v>52.31</v>
      </c>
      <c r="P26" s="3109" t="s">
        <v>5409</v>
      </c>
      <c r="Q26" s="3434" t="str">
        <f>'Ab1. RMNCH+A'!Q431</f>
        <v xml:space="preserve">Recommended for approval of Rs.35.20 lakhs  for eVIN operational cost. Fund approved for operational cost of E-VIN i.e. Lump sum amount of Rs. 17.40 lakhs recommended for UNDP technical assistance cost for e-VIN as per State's proposal.Data Sim Cards for CCH Mobile Phones (@ Rs.177/CCH) for 390Data Sim Cards for Temperature Loggers (@ Rs.116.82/TL) for 430Mobile voice and data SIM for UNDP staff ( @ Rs.234.82 per head) for 3Replacement of Temperature loggers (@ 20% loss/damage/New CCE) for 86Replacement of Mobile handset (@ 30% loss/damage/New CCP) for 117Mobile voice and data SIM for eVIN team ( @ Rs.295 per head) for 12 VCCM &amp;Laptop Maintainance for VCCM laptop (@ Rs 2400 per VCCM per year) for 12 VCCM, Management&amp; operational  fee 2.60. </v>
      </c>
      <c r="R26" s="3435">
        <f>'Ab1. RMNCH+A'!R431</f>
        <v>35.200000000000003</v>
      </c>
      <c r="S26" s="3436">
        <v>2.6</v>
      </c>
      <c r="BB26" s="3437">
        <v>35.200000000000003</v>
      </c>
      <c r="BC26" s="3437"/>
      <c r="BD26" s="3437"/>
      <c r="BE26" s="3437"/>
      <c r="BF26" s="3437"/>
      <c r="BG26" s="3437"/>
      <c r="BH26" s="3437"/>
      <c r="BI26" s="3437"/>
      <c r="BJ26" s="3437"/>
      <c r="BK26" s="3437"/>
      <c r="BL26" s="3437"/>
      <c r="BM26" s="3437"/>
      <c r="BN26" s="3437"/>
      <c r="BO26" s="3437"/>
      <c r="BP26" s="3437"/>
      <c r="BQ26" s="3437"/>
      <c r="BR26" s="3437"/>
      <c r="BS26" s="3437"/>
      <c r="BT26" s="3437"/>
      <c r="BU26" s="3437"/>
      <c r="BV26" s="3437"/>
      <c r="BW26" s="3437"/>
      <c r="BX26" s="3437"/>
      <c r="BY26" s="3437"/>
      <c r="BZ26" s="3437"/>
      <c r="CA26" s="3437"/>
      <c r="CB26" s="3437"/>
      <c r="CC26" s="3437"/>
      <c r="CD26" s="3437"/>
      <c r="CE26" s="3437"/>
      <c r="CF26" s="3437"/>
      <c r="CG26" s="3437"/>
      <c r="CH26" s="3437"/>
      <c r="CI26" s="3437">
        <f t="shared" si="0"/>
        <v>35.200000000000003</v>
      </c>
    </row>
    <row r="27" spans="1:87">
      <c r="A27" s="391" t="s">
        <v>1288</v>
      </c>
      <c r="B27" s="509" t="s">
        <v>1284</v>
      </c>
      <c r="C27" s="509" t="s">
        <v>2531</v>
      </c>
      <c r="D27" s="1007" t="s">
        <v>4219</v>
      </c>
      <c r="E27" s="1171" t="s">
        <v>1542</v>
      </c>
      <c r="F27" s="2224">
        <v>0</v>
      </c>
      <c r="G27" s="426"/>
      <c r="H27" s="2224">
        <v>0</v>
      </c>
      <c r="I27" s="426"/>
      <c r="J27" s="426"/>
      <c r="K27" s="426"/>
      <c r="L27" s="277"/>
      <c r="M27" s="297">
        <f t="shared" si="4"/>
        <v>0</v>
      </c>
      <c r="N27" s="277"/>
      <c r="O27" s="297">
        <f t="shared" si="3"/>
        <v>0</v>
      </c>
      <c r="P27" s="427"/>
      <c r="Q27" s="3120">
        <f>'Abs9. NVBDCP'!Q104</f>
        <v>0</v>
      </c>
      <c r="R27" s="851">
        <f>'Abs9. NVBDCP'!R104</f>
        <v>0</v>
      </c>
      <c r="BB27" s="3218"/>
      <c r="BC27" s="3218"/>
      <c r="BD27" s="3218"/>
      <c r="BE27" s="3218"/>
      <c r="BF27" s="3218"/>
      <c r="BG27" s="3218"/>
      <c r="BH27" s="3218"/>
      <c r="BI27" s="3218"/>
      <c r="BJ27" s="3218"/>
      <c r="BK27" s="3218"/>
      <c r="BL27" s="3218"/>
      <c r="BM27" s="3218"/>
      <c r="BN27" s="3218"/>
      <c r="BO27" s="3218"/>
      <c r="BP27" s="3218"/>
      <c r="BQ27" s="3218"/>
      <c r="BR27" s="3218"/>
      <c r="BS27" s="3218"/>
      <c r="BT27" s="3218"/>
      <c r="BU27" s="3218"/>
      <c r="BV27" s="3218"/>
      <c r="BW27" s="3218"/>
      <c r="BX27" s="3218"/>
      <c r="BY27" s="3218"/>
      <c r="BZ27" s="3218"/>
      <c r="CA27" s="3218"/>
      <c r="CB27" s="3218"/>
      <c r="CC27" s="3218"/>
      <c r="CD27" s="3218"/>
      <c r="CE27" s="3218"/>
      <c r="CF27" s="3218"/>
      <c r="CG27" s="3218"/>
      <c r="CH27" s="3218"/>
      <c r="CI27" s="3218">
        <f t="shared" si="0"/>
        <v>0</v>
      </c>
    </row>
    <row r="28" spans="1:87">
      <c r="A28" s="391" t="s">
        <v>2270</v>
      </c>
      <c r="B28" s="521" t="s">
        <v>1286</v>
      </c>
      <c r="C28" s="521" t="s">
        <v>1287</v>
      </c>
      <c r="D28" s="1007" t="s">
        <v>4219</v>
      </c>
      <c r="E28" s="1356" t="s">
        <v>4525</v>
      </c>
      <c r="F28" s="2228">
        <v>0</v>
      </c>
      <c r="G28" s="352"/>
      <c r="H28" s="2230">
        <v>0</v>
      </c>
      <c r="I28" s="477"/>
      <c r="J28" s="352"/>
      <c r="K28" s="1704"/>
      <c r="L28" s="1704"/>
      <c r="M28" s="804"/>
      <c r="N28" s="1705"/>
      <c r="O28" s="804"/>
      <c r="P28" s="478" t="s">
        <v>4326</v>
      </c>
      <c r="Q28" s="479"/>
      <c r="R28" s="804"/>
      <c r="BB28" s="3218"/>
      <c r="BC28" s="3218"/>
      <c r="BD28" s="3218"/>
      <c r="BE28" s="3218"/>
      <c r="BF28" s="3218"/>
      <c r="BG28" s="3218"/>
      <c r="BH28" s="3218"/>
      <c r="BI28" s="3218"/>
      <c r="BJ28" s="3218"/>
      <c r="BK28" s="3218"/>
      <c r="BL28" s="3218"/>
      <c r="BM28" s="3218"/>
      <c r="BN28" s="3218"/>
      <c r="BO28" s="3218"/>
      <c r="BP28" s="3218"/>
      <c r="BQ28" s="3218"/>
      <c r="BR28" s="3218"/>
      <c r="BS28" s="3218"/>
      <c r="BT28" s="3218"/>
      <c r="BU28" s="3218"/>
      <c r="BV28" s="3218"/>
      <c r="BW28" s="3218"/>
      <c r="BX28" s="3218"/>
      <c r="BY28" s="3218"/>
      <c r="BZ28" s="3218"/>
      <c r="CA28" s="3218"/>
      <c r="CB28" s="3218"/>
      <c r="CC28" s="3218"/>
      <c r="CD28" s="3218"/>
      <c r="CE28" s="3218"/>
      <c r="CF28" s="3218"/>
      <c r="CG28" s="3218"/>
      <c r="CH28" s="3218"/>
      <c r="CI28" s="3218">
        <f t="shared" si="0"/>
        <v>0</v>
      </c>
    </row>
    <row r="29" spans="1:87" s="1380" customFormat="1" ht="45">
      <c r="A29" s="391" t="s">
        <v>2404</v>
      </c>
      <c r="B29" s="521" t="s">
        <v>1289</v>
      </c>
      <c r="C29" s="521" t="s">
        <v>3770</v>
      </c>
      <c r="D29" s="2254" t="s">
        <v>4219</v>
      </c>
      <c r="E29" s="1356" t="s">
        <v>4525</v>
      </c>
      <c r="F29" s="2228">
        <v>2</v>
      </c>
      <c r="G29" s="2395">
        <v>0</v>
      </c>
      <c r="H29" s="2230">
        <v>115.1</v>
      </c>
      <c r="I29" s="2396">
        <v>0</v>
      </c>
      <c r="J29" s="2395">
        <v>115.1</v>
      </c>
      <c r="K29" s="2395">
        <v>1</v>
      </c>
      <c r="L29" s="2368">
        <v>5000</v>
      </c>
      <c r="M29" s="298">
        <f>L29/100000</f>
        <v>0.05</v>
      </c>
      <c r="N29" s="2368">
        <v>74</v>
      </c>
      <c r="O29" s="298">
        <f t="shared" si="3"/>
        <v>3.7</v>
      </c>
      <c r="P29" s="2397" t="s">
        <v>5177</v>
      </c>
      <c r="Q29" s="1703" t="str">
        <f>'Abs11. NTEP'!Q49</f>
        <v>Recommended</v>
      </c>
      <c r="R29" s="298">
        <f>'Abs11. NTEP'!R49</f>
        <v>3.7</v>
      </c>
      <c r="BB29" s="3219"/>
      <c r="BC29" s="3219"/>
      <c r="BD29" s="3219"/>
      <c r="BE29" s="3219"/>
      <c r="BF29" s="3219"/>
      <c r="BG29" s="3219"/>
      <c r="BH29" s="3219"/>
      <c r="BI29" s="3219"/>
      <c r="BJ29" s="3219"/>
      <c r="BK29" s="3219"/>
      <c r="BL29" s="3219"/>
      <c r="BM29" s="3219"/>
      <c r="BN29" s="3219"/>
      <c r="BO29" s="3219"/>
      <c r="BP29" s="3219"/>
      <c r="BQ29" s="3219"/>
      <c r="BR29" s="3219"/>
      <c r="BS29" s="3219"/>
      <c r="BT29" s="3219"/>
      <c r="BU29" s="3219"/>
      <c r="BV29" s="3219"/>
      <c r="BW29" s="3219"/>
      <c r="BX29" s="3219"/>
      <c r="BY29" s="3219"/>
      <c r="BZ29" s="3219"/>
      <c r="CA29" s="3219"/>
      <c r="CB29" s="3219"/>
      <c r="CC29" s="3219"/>
      <c r="CD29" s="3219"/>
      <c r="CE29" s="3219">
        <v>3.7</v>
      </c>
      <c r="CF29" s="3219"/>
      <c r="CG29" s="3219"/>
      <c r="CH29" s="3219"/>
      <c r="CI29" s="3218">
        <f t="shared" si="0"/>
        <v>3.7</v>
      </c>
    </row>
    <row r="30" spans="1:87" s="1380" customFormat="1" ht="30">
      <c r="A30" s="391" t="s">
        <v>2578</v>
      </c>
      <c r="B30" s="1697" t="s">
        <v>2224</v>
      </c>
      <c r="C30" s="1697" t="s">
        <v>2271</v>
      </c>
      <c r="D30" s="2254" t="s">
        <v>4219</v>
      </c>
      <c r="E30" s="1356" t="s">
        <v>4525</v>
      </c>
      <c r="F30" s="2227">
        <v>1</v>
      </c>
      <c r="G30" s="2398">
        <v>1</v>
      </c>
      <c r="H30" s="2230">
        <v>1</v>
      </c>
      <c r="I30" s="2396">
        <v>0.49</v>
      </c>
      <c r="J30" s="2398">
        <v>0.5</v>
      </c>
      <c r="K30" s="2395">
        <v>1</v>
      </c>
      <c r="L30" s="2368">
        <v>100000</v>
      </c>
      <c r="M30" s="298">
        <f>L30/100000</f>
        <v>1</v>
      </c>
      <c r="N30" s="2368">
        <v>2</v>
      </c>
      <c r="O30" s="298">
        <f t="shared" si="3"/>
        <v>2</v>
      </c>
      <c r="P30" s="2399" t="s">
        <v>5178</v>
      </c>
      <c r="Q30" s="1703" t="str">
        <f>'Abs11. NTEP'!Q50</f>
        <v>Recommended</v>
      </c>
      <c r="R30" s="298">
        <f>'Abs11. NTEP'!R50</f>
        <v>2</v>
      </c>
      <c r="BB30" s="3219"/>
      <c r="BC30" s="3219"/>
      <c r="BD30" s="3219"/>
      <c r="BE30" s="3219"/>
      <c r="BF30" s="3219"/>
      <c r="BG30" s="3219"/>
      <c r="BH30" s="3219"/>
      <c r="BI30" s="3219"/>
      <c r="BJ30" s="3219"/>
      <c r="BK30" s="3219"/>
      <c r="BL30" s="3219"/>
      <c r="BM30" s="3219"/>
      <c r="BN30" s="3219"/>
      <c r="BO30" s="3219"/>
      <c r="BP30" s="3219"/>
      <c r="BQ30" s="3219"/>
      <c r="BR30" s="3219"/>
      <c r="BS30" s="3219"/>
      <c r="BT30" s="3219"/>
      <c r="BU30" s="3219"/>
      <c r="BV30" s="3219"/>
      <c r="BW30" s="3219"/>
      <c r="BX30" s="3219"/>
      <c r="BY30" s="3219"/>
      <c r="BZ30" s="3219"/>
      <c r="CA30" s="3219"/>
      <c r="CB30" s="3219"/>
      <c r="CC30" s="3219"/>
      <c r="CD30" s="3219"/>
      <c r="CE30" s="3219">
        <v>2</v>
      </c>
      <c r="CF30" s="3219"/>
      <c r="CG30" s="3219"/>
      <c r="CH30" s="3219"/>
      <c r="CI30" s="3218">
        <f t="shared" si="0"/>
        <v>2</v>
      </c>
    </row>
    <row r="31" spans="1:87" s="1380" customFormat="1" ht="12.75" customHeight="1">
      <c r="A31" s="391" t="s">
        <v>2579</v>
      </c>
      <c r="B31" s="1697"/>
      <c r="C31" s="1697" t="s">
        <v>4271</v>
      </c>
      <c r="D31" s="2254" t="s">
        <v>4219</v>
      </c>
      <c r="E31" s="1356" t="s">
        <v>3223</v>
      </c>
      <c r="F31" s="2227">
        <v>0</v>
      </c>
      <c r="G31" s="273"/>
      <c r="H31" s="2230">
        <v>0</v>
      </c>
      <c r="I31" s="477"/>
      <c r="J31" s="273"/>
      <c r="K31" s="352"/>
      <c r="L31" s="283">
        <v>2000</v>
      </c>
      <c r="M31" s="298">
        <f>L31/100000</f>
        <v>0.02</v>
      </c>
      <c r="N31" s="283">
        <v>60</v>
      </c>
      <c r="O31" s="298">
        <f t="shared" si="3"/>
        <v>1.2</v>
      </c>
      <c r="P31" s="2633" t="s">
        <v>5453</v>
      </c>
      <c r="Q31" s="1703" t="str">
        <f>'Abs12. NVHCP'!Q37</f>
        <v>Recommended for approval of Rs 1.2 lakhs for sample transportation as per norms under NVHCP</v>
      </c>
      <c r="R31" s="704">
        <f>'Abs12. NVHCP'!R37</f>
        <v>1.2</v>
      </c>
      <c r="BB31" s="3219"/>
      <c r="BC31" s="3219">
        <v>0.12</v>
      </c>
      <c r="BD31" s="3219">
        <v>0.12</v>
      </c>
      <c r="BE31" s="3219">
        <v>0.12</v>
      </c>
      <c r="BF31" s="3219">
        <v>0.12</v>
      </c>
      <c r="BG31" s="3219">
        <v>0</v>
      </c>
      <c r="BH31" s="3219">
        <v>0.12</v>
      </c>
      <c r="BI31" s="3219">
        <v>0</v>
      </c>
      <c r="BJ31" s="3219">
        <v>0.12</v>
      </c>
      <c r="BK31" s="3219">
        <v>0.12</v>
      </c>
      <c r="BL31" s="3219">
        <v>0.12</v>
      </c>
      <c r="BM31" s="3219">
        <v>0.12</v>
      </c>
      <c r="BN31" s="3219">
        <v>0.12</v>
      </c>
      <c r="BO31" s="3219"/>
      <c r="BP31" s="3219"/>
      <c r="BQ31" s="3219"/>
      <c r="BR31" s="3219"/>
      <c r="BS31" s="3219"/>
      <c r="BT31" s="3219"/>
      <c r="BU31" s="3219"/>
      <c r="BV31" s="3219"/>
      <c r="BW31" s="3219"/>
      <c r="BX31" s="3219"/>
      <c r="BY31" s="3219"/>
      <c r="BZ31" s="3219"/>
      <c r="CA31" s="3219"/>
      <c r="CB31" s="3219"/>
      <c r="CC31" s="3219"/>
      <c r="CD31" s="3219"/>
      <c r="CE31" s="3219"/>
      <c r="CF31" s="3219"/>
      <c r="CG31" s="3219"/>
      <c r="CH31" s="3219"/>
      <c r="CI31" s="3218">
        <f t="shared" si="0"/>
        <v>1.2000000000000002</v>
      </c>
    </row>
    <row r="32" spans="1:87">
      <c r="A32" s="391" t="s">
        <v>4270</v>
      </c>
      <c r="B32" s="1697"/>
      <c r="C32" s="1535" t="s">
        <v>1304</v>
      </c>
      <c r="D32" s="908" t="s">
        <v>65</v>
      </c>
      <c r="E32" s="1120" t="s">
        <v>65</v>
      </c>
      <c r="F32" s="2224">
        <v>0</v>
      </c>
      <c r="G32" s="426"/>
      <c r="H32" s="2224">
        <v>0</v>
      </c>
      <c r="I32" s="426"/>
      <c r="J32" s="426"/>
      <c r="K32" s="426"/>
      <c r="L32" s="277"/>
      <c r="M32" s="297">
        <f>L32/100000</f>
        <v>0</v>
      </c>
      <c r="N32" s="277"/>
      <c r="O32" s="1700">
        <f t="shared" si="3"/>
        <v>0</v>
      </c>
      <c r="P32" s="432"/>
      <c r="Q32" s="3136"/>
      <c r="R32" s="554"/>
      <c r="BB32" s="3218"/>
      <c r="BC32" s="3218"/>
      <c r="BD32" s="3218"/>
      <c r="BE32" s="3218"/>
      <c r="BF32" s="3218"/>
      <c r="BG32" s="3218"/>
      <c r="BH32" s="3218"/>
      <c r="BI32" s="3218"/>
      <c r="BJ32" s="3218"/>
      <c r="BK32" s="3218"/>
      <c r="BL32" s="3218"/>
      <c r="BM32" s="3218"/>
      <c r="BN32" s="3218"/>
      <c r="BO32" s="3218"/>
      <c r="BP32" s="3218"/>
      <c r="BQ32" s="3218"/>
      <c r="BR32" s="3218"/>
      <c r="BS32" s="3218"/>
      <c r="BT32" s="3218"/>
      <c r="BU32" s="3218"/>
      <c r="BV32" s="3218"/>
      <c r="BW32" s="3218"/>
      <c r="BX32" s="3218"/>
      <c r="BY32" s="3218"/>
      <c r="BZ32" s="3218"/>
      <c r="CA32" s="3218"/>
      <c r="CB32" s="3218"/>
      <c r="CC32" s="3218"/>
      <c r="CD32" s="3218"/>
      <c r="CE32" s="3218"/>
      <c r="CF32" s="3218"/>
      <c r="CG32" s="3218"/>
      <c r="CH32" s="3218"/>
      <c r="CI32" s="3218">
        <f t="shared" si="0"/>
        <v>0</v>
      </c>
    </row>
    <row r="33" spans="14:87">
      <c r="N33" s="1706"/>
      <c r="R33" s="1324">
        <f>+E3</f>
        <v>174.71822</v>
      </c>
      <c r="BB33" s="3218">
        <f>SUM(BB7:BB32)</f>
        <v>131.17000000000002</v>
      </c>
      <c r="BC33" s="3218">
        <f t="shared" ref="BC33:CI33" si="5">SUM(BC7:BC32)</f>
        <v>2.7600000000000002</v>
      </c>
      <c r="BD33" s="3218">
        <f t="shared" si="5"/>
        <v>3.49</v>
      </c>
      <c r="BE33" s="3218">
        <f t="shared" si="5"/>
        <v>2.7800000000000002</v>
      </c>
      <c r="BF33" s="3218">
        <f t="shared" si="5"/>
        <v>3.75</v>
      </c>
      <c r="BG33" s="3218">
        <f t="shared" si="5"/>
        <v>2.77</v>
      </c>
      <c r="BH33" s="3218">
        <f t="shared" si="5"/>
        <v>2.88</v>
      </c>
      <c r="BI33" s="3218">
        <f t="shared" si="5"/>
        <v>2.2800000000000002</v>
      </c>
      <c r="BJ33" s="3218">
        <f t="shared" si="5"/>
        <v>3.8600000000000003</v>
      </c>
      <c r="BK33" s="3218">
        <f t="shared" si="5"/>
        <v>4.1100000000000003</v>
      </c>
      <c r="BL33" s="3218">
        <f t="shared" si="5"/>
        <v>3.33</v>
      </c>
      <c r="BM33" s="3218">
        <f t="shared" si="5"/>
        <v>2.95</v>
      </c>
      <c r="BN33" s="3218">
        <f t="shared" si="5"/>
        <v>2.89</v>
      </c>
      <c r="BO33" s="3218">
        <f t="shared" si="5"/>
        <v>0</v>
      </c>
      <c r="BP33" s="3218">
        <f t="shared" si="5"/>
        <v>0</v>
      </c>
      <c r="BQ33" s="3218">
        <f t="shared" si="5"/>
        <v>0</v>
      </c>
      <c r="BR33" s="3218">
        <f t="shared" si="5"/>
        <v>0</v>
      </c>
      <c r="BS33" s="3218">
        <f t="shared" si="5"/>
        <v>0</v>
      </c>
      <c r="BT33" s="3218">
        <f t="shared" si="5"/>
        <v>0</v>
      </c>
      <c r="BU33" s="3218">
        <f t="shared" si="5"/>
        <v>0</v>
      </c>
      <c r="BV33" s="3218">
        <f t="shared" si="5"/>
        <v>0</v>
      </c>
      <c r="BW33" s="3218">
        <f t="shared" si="5"/>
        <v>0</v>
      </c>
      <c r="BX33" s="3218">
        <f t="shared" si="5"/>
        <v>0</v>
      </c>
      <c r="BY33" s="3218">
        <f t="shared" si="5"/>
        <v>0</v>
      </c>
      <c r="BZ33" s="3218">
        <f t="shared" si="5"/>
        <v>0</v>
      </c>
      <c r="CA33" s="3218">
        <f t="shared" si="5"/>
        <v>0</v>
      </c>
      <c r="CB33" s="3218">
        <f t="shared" si="5"/>
        <v>0</v>
      </c>
      <c r="CC33" s="3218">
        <f t="shared" si="5"/>
        <v>0</v>
      </c>
      <c r="CD33" s="3218">
        <f t="shared" si="5"/>
        <v>0</v>
      </c>
      <c r="CE33" s="3218">
        <f t="shared" si="5"/>
        <v>5.7</v>
      </c>
      <c r="CF33" s="3218">
        <f t="shared" si="5"/>
        <v>0</v>
      </c>
      <c r="CG33" s="3218">
        <f t="shared" si="5"/>
        <v>0</v>
      </c>
      <c r="CH33" s="3218">
        <f t="shared" si="5"/>
        <v>0</v>
      </c>
      <c r="CI33" s="3218">
        <f t="shared" si="5"/>
        <v>174.71999999999997</v>
      </c>
    </row>
    <row r="34" spans="14:87">
      <c r="N34" s="1706"/>
      <c r="BB34" s="3218"/>
      <c r="BC34" s="3218"/>
      <c r="BD34" s="3218"/>
      <c r="BE34" s="3218"/>
      <c r="BF34" s="3218"/>
      <c r="BG34" s="3218"/>
      <c r="BH34" s="3218"/>
      <c r="BI34" s="3218"/>
      <c r="BJ34" s="3218"/>
      <c r="BK34" s="3218"/>
      <c r="BL34" s="3218"/>
      <c r="BM34" s="3218"/>
      <c r="BN34" s="3218"/>
      <c r="BO34" s="3218"/>
      <c r="BP34" s="3218"/>
      <c r="BQ34" s="3218"/>
      <c r="BR34" s="3218"/>
      <c r="BS34" s="3218"/>
      <c r="BT34" s="3218"/>
      <c r="BU34" s="3218"/>
      <c r="BV34" s="3218"/>
      <c r="BW34" s="3218"/>
      <c r="BX34" s="3218"/>
      <c r="BY34" s="3218"/>
      <c r="BZ34" s="3218"/>
      <c r="CA34" s="3218"/>
      <c r="CB34" s="3218"/>
      <c r="CC34" s="3218"/>
      <c r="CD34" s="3218"/>
      <c r="CE34" s="3218"/>
      <c r="CF34" s="3218"/>
      <c r="CG34" s="3218"/>
      <c r="CH34" s="3218"/>
      <c r="CI34" s="3218">
        <f t="shared" si="0"/>
        <v>0</v>
      </c>
    </row>
    <row r="35" spans="14:87">
      <c r="N35" s="1706"/>
    </row>
    <row r="36" spans="14:87">
      <c r="N36" s="1706"/>
    </row>
    <row r="37" spans="14:87">
      <c r="N37" s="1706"/>
    </row>
    <row r="38" spans="14:87">
      <c r="N38" s="1706"/>
    </row>
    <row r="39" spans="14:87">
      <c r="N39" s="1706"/>
    </row>
    <row r="40" spans="14:87">
      <c r="N40" s="1706"/>
    </row>
    <row r="41" spans="14:87">
      <c r="N41" s="1706"/>
    </row>
    <row r="42" spans="14:87">
      <c r="N42" s="1706"/>
    </row>
    <row r="43" spans="14:87">
      <c r="N43" s="1706"/>
    </row>
  </sheetData>
  <sheetProtection password="CC49" sheet="1" objects="1" scenarios="1" autoFilter="0"/>
  <autoFilter ref="A6:R32"/>
  <mergeCells count="15">
    <mergeCell ref="AI1:AO1"/>
    <mergeCell ref="AP1:BA1"/>
    <mergeCell ref="K5:P5"/>
    <mergeCell ref="Q5:R5"/>
    <mergeCell ref="A1:C1"/>
    <mergeCell ref="F5:J5"/>
    <mergeCell ref="A5:A6"/>
    <mergeCell ref="B5:B6"/>
    <mergeCell ref="C5:C6"/>
    <mergeCell ref="D5:D6"/>
    <mergeCell ref="E5:E6"/>
    <mergeCell ref="E1:E2"/>
    <mergeCell ref="F1:N1"/>
    <mergeCell ref="A2:A4"/>
    <mergeCell ref="O1:AH1"/>
  </mergeCells>
  <phoneticPr fontId="68" type="noConversion"/>
  <pageMargins left="0.7" right="0.7" top="0.75" bottom="0.75" header="0.3" footer="0.3"/>
  <pageSetup orientation="portrait" horizontalDpi="4294967295" verticalDpi="4294967295" r:id="rId1"/>
</worksheet>
</file>

<file path=xl/worksheets/sheet21.xml><?xml version="1.0" encoding="utf-8"?>
<worksheet xmlns="http://schemas.openxmlformats.org/spreadsheetml/2006/main" xmlns:r="http://schemas.openxmlformats.org/officeDocument/2006/relationships">
  <sheetPr codeName="Sheet44">
    <tabColor rgb="FF00B050"/>
  </sheetPr>
  <dimension ref="A1:CI56"/>
  <sheetViews>
    <sheetView zoomScale="70" zoomScaleNormal="70" workbookViewId="0">
      <pane xSplit="5" ySplit="7" topLeftCell="P48" activePane="bottomRight" state="frozen"/>
      <selection activeCell="A2" sqref="A2:A4"/>
      <selection pane="topRight" activeCell="A2" sqref="A2:A4"/>
      <selection pane="bottomLeft" activeCell="A2" sqref="A2:A4"/>
      <selection pane="bottomRight" activeCell="Q52" sqref="Q52"/>
    </sheetView>
  </sheetViews>
  <sheetFormatPr defaultColWidth="12.42578125" defaultRowHeight="15"/>
  <cols>
    <col min="1" max="1" width="12.140625" style="1744" customWidth="1"/>
    <col min="2" max="2" width="19.140625" style="1708" bestFit="1" customWidth="1"/>
    <col min="3" max="3" width="48" style="1708" customWidth="1"/>
    <col min="4" max="4" width="7.85546875" style="1713" customWidth="1"/>
    <col min="5" max="5" width="18.7109375" style="1713" customWidth="1"/>
    <col min="6" max="6" width="11.5703125" style="1708" hidden="1" customWidth="1"/>
    <col min="7" max="7" width="22.140625" style="1708" hidden="1" customWidth="1"/>
    <col min="8" max="10" width="11.5703125" style="1708" hidden="1" customWidth="1"/>
    <col min="11" max="11" width="11.28515625" style="1708" hidden="1" customWidth="1"/>
    <col min="12" max="12" width="9.85546875" style="1708" hidden="1" customWidth="1"/>
    <col min="13" max="13" width="12.140625" style="1324" hidden="1" customWidth="1"/>
    <col min="14" max="14" width="10.5703125" style="1708" hidden="1" customWidth="1"/>
    <col min="15" max="15" width="12.140625" style="1324" hidden="1" customWidth="1"/>
    <col min="16" max="16" width="30.85546875" style="1744" customWidth="1"/>
    <col min="17" max="17" width="37.7109375" style="1744" customWidth="1"/>
    <col min="18" max="18" width="12.140625" style="1324" customWidth="1"/>
    <col min="19" max="19" width="18.85546875" style="1708" hidden="1" customWidth="1"/>
    <col min="20" max="53" width="0" style="1708" hidden="1" customWidth="1"/>
    <col min="54" max="54" width="12.42578125" style="1708"/>
    <col min="55" max="55" width="14.28515625" style="1708" bestFit="1" customWidth="1"/>
    <col min="56" max="56" width="12.42578125" style="1708"/>
    <col min="57" max="57" width="14.28515625" style="1708" bestFit="1" customWidth="1"/>
    <col min="58" max="69" width="12.42578125" style="1708"/>
    <col min="70" max="70" width="14.28515625" style="1708" bestFit="1" customWidth="1"/>
    <col min="71" max="75" width="12.42578125" style="1708"/>
    <col min="76" max="76" width="15" style="1708" bestFit="1" customWidth="1"/>
    <col min="77" max="82" width="12.42578125" style="1708"/>
    <col min="83" max="83" width="16.85546875" style="1708" bestFit="1" customWidth="1"/>
    <col min="84" max="16384" width="12.42578125" style="1708"/>
  </cols>
  <sheetData>
    <row r="1" spans="1:87" ht="14.45" customHeight="1">
      <c r="A1" s="3985" t="s">
        <v>1299</v>
      </c>
      <c r="B1" s="3986"/>
      <c r="C1" s="3987"/>
      <c r="D1" s="1707"/>
      <c r="E1" s="3858" t="s">
        <v>4534</v>
      </c>
      <c r="F1" s="3909" t="s">
        <v>4532</v>
      </c>
      <c r="G1" s="3910"/>
      <c r="H1" s="3910"/>
      <c r="I1" s="3910"/>
      <c r="J1" s="3910"/>
      <c r="K1" s="3910"/>
      <c r="L1" s="3910"/>
      <c r="M1" s="3982"/>
      <c r="N1" s="3911"/>
      <c r="O1" s="3983" t="s">
        <v>65</v>
      </c>
      <c r="P1" s="3794"/>
      <c r="Q1" s="3794"/>
      <c r="R1" s="3984"/>
      <c r="S1" s="3794"/>
      <c r="T1" s="3794"/>
      <c r="U1" s="3794"/>
      <c r="V1" s="3794"/>
      <c r="W1" s="3794"/>
      <c r="X1" s="3794"/>
      <c r="Y1" s="3794"/>
      <c r="Z1" s="3794"/>
      <c r="AA1" s="3794"/>
      <c r="AB1" s="3794"/>
      <c r="AC1" s="3794"/>
      <c r="AD1" s="3794"/>
      <c r="AE1" s="3794"/>
      <c r="AF1" s="3794"/>
      <c r="AG1" s="3794"/>
      <c r="AH1" s="3794"/>
      <c r="AI1" s="3900" t="s">
        <v>4219</v>
      </c>
      <c r="AJ1" s="3901"/>
      <c r="AK1" s="3901"/>
      <c r="AL1" s="3901"/>
      <c r="AM1" s="3901"/>
      <c r="AN1" s="3901"/>
      <c r="AO1" s="3902"/>
      <c r="AP1" s="3889" t="s">
        <v>80</v>
      </c>
      <c r="AQ1" s="3890"/>
      <c r="AR1" s="3890"/>
      <c r="AS1" s="3890"/>
      <c r="AT1" s="3890"/>
      <c r="AU1" s="3890"/>
      <c r="AV1" s="3890"/>
      <c r="AW1" s="3890"/>
      <c r="AX1" s="3890"/>
      <c r="AY1" s="3890"/>
      <c r="AZ1" s="3890"/>
      <c r="BA1" s="3891"/>
      <c r="BB1" s="3988" t="s">
        <v>4821</v>
      </c>
      <c r="BC1" s="3989" t="s">
        <v>4822</v>
      </c>
      <c r="BD1" s="3990" t="s">
        <v>4884</v>
      </c>
    </row>
    <row r="2" spans="1:87" s="1709" customFormat="1" ht="30">
      <c r="A2" s="3855" t="str">
        <f>HYPERLINK("#Index!A4", "Index Pg")</f>
        <v>Index Pg</v>
      </c>
      <c r="B2" s="1379" t="str">
        <f>HYPERLINK("#'Summary of Abstracts'!A2", "Summary of Abst.")</f>
        <v>Summary of Abst.</v>
      </c>
      <c r="C2" s="869"/>
      <c r="D2" s="1023"/>
      <c r="E2" s="3858"/>
      <c r="F2" s="906" t="s">
        <v>113</v>
      </c>
      <c r="G2" s="906" t="s">
        <v>126</v>
      </c>
      <c r="H2" s="906" t="s">
        <v>86</v>
      </c>
      <c r="I2" s="906" t="s">
        <v>4530</v>
      </c>
      <c r="J2" s="906" t="s">
        <v>91</v>
      </c>
      <c r="K2" s="1225" t="s">
        <v>3933</v>
      </c>
      <c r="L2" s="907" t="s">
        <v>4531</v>
      </c>
      <c r="M2" s="907" t="s">
        <v>4535</v>
      </c>
      <c r="N2" s="907" t="s">
        <v>203</v>
      </c>
      <c r="O2" s="909" t="s">
        <v>4218</v>
      </c>
      <c r="P2" s="909" t="s">
        <v>3751</v>
      </c>
      <c r="Q2" s="909" t="s">
        <v>4543</v>
      </c>
      <c r="R2" s="909" t="s">
        <v>4540</v>
      </c>
      <c r="S2" s="909" t="s">
        <v>4541</v>
      </c>
      <c r="T2" s="909" t="s">
        <v>4542</v>
      </c>
      <c r="U2" s="909" t="s">
        <v>4544</v>
      </c>
      <c r="V2" s="909" t="s">
        <v>4528</v>
      </c>
      <c r="W2" s="909" t="s">
        <v>4545</v>
      </c>
      <c r="X2" s="909" t="s">
        <v>29</v>
      </c>
      <c r="Y2" s="909" t="s">
        <v>4546</v>
      </c>
      <c r="Z2" s="909" t="s">
        <v>4547</v>
      </c>
      <c r="AA2" s="909" t="s">
        <v>4537</v>
      </c>
      <c r="AB2" s="909" t="s">
        <v>737</v>
      </c>
      <c r="AC2" s="909" t="s">
        <v>4538</v>
      </c>
      <c r="AD2" s="909" t="s">
        <v>4539</v>
      </c>
      <c r="AE2" s="909" t="s">
        <v>2293</v>
      </c>
      <c r="AF2" s="909" t="s">
        <v>4548</v>
      </c>
      <c r="AG2" s="909" t="s">
        <v>3750</v>
      </c>
      <c r="AH2" s="909" t="s">
        <v>302</v>
      </c>
      <c r="AI2" s="910" t="s">
        <v>288</v>
      </c>
      <c r="AJ2" s="910" t="s">
        <v>109</v>
      </c>
      <c r="AK2" s="910" t="s">
        <v>141</v>
      </c>
      <c r="AL2" s="910" t="s">
        <v>4525</v>
      </c>
      <c r="AM2" s="910" t="s">
        <v>3223</v>
      </c>
      <c r="AN2" s="910" t="s">
        <v>3855</v>
      </c>
      <c r="AO2" s="910" t="s">
        <v>4405</v>
      </c>
      <c r="AP2" s="911" t="s">
        <v>81</v>
      </c>
      <c r="AQ2" s="911" t="s">
        <v>145</v>
      </c>
      <c r="AR2" s="911" t="s">
        <v>394</v>
      </c>
      <c r="AS2" s="911" t="s">
        <v>147</v>
      </c>
      <c r="AT2" s="911" t="s">
        <v>410</v>
      </c>
      <c r="AU2" s="911" t="s">
        <v>4459</v>
      </c>
      <c r="AV2" s="911" t="s">
        <v>3989</v>
      </c>
      <c r="AW2" s="911" t="s">
        <v>307</v>
      </c>
      <c r="AX2" s="911" t="s">
        <v>309</v>
      </c>
      <c r="AY2" s="911" t="s">
        <v>1028</v>
      </c>
      <c r="AZ2" s="911" t="s">
        <v>1014</v>
      </c>
      <c r="BA2" s="911" t="s">
        <v>4533</v>
      </c>
      <c r="BB2" s="3988"/>
      <c r="BC2" s="3989"/>
      <c r="BD2" s="3990"/>
    </row>
    <row r="3" spans="1:87" s="1687" customFormat="1">
      <c r="A3" s="3856"/>
      <c r="B3" s="1710" t="str">
        <f>HYPERLINK("#'Budget Summary I'!A1:AL1", "Budget Summary I")</f>
        <v>Budget Summary I</v>
      </c>
      <c r="C3" s="1239" t="s">
        <v>4460</v>
      </c>
      <c r="D3" s="984"/>
      <c r="E3" s="1032">
        <f>R7</f>
        <v>277.06</v>
      </c>
      <c r="F3" s="161"/>
      <c r="G3" s="161"/>
      <c r="H3" s="161">
        <f>R9+R10</f>
        <v>0</v>
      </c>
      <c r="I3" s="161"/>
      <c r="J3" s="161"/>
      <c r="K3" s="985"/>
      <c r="L3" s="161"/>
      <c r="M3" s="161"/>
      <c r="N3" s="985"/>
      <c r="O3" s="985">
        <f>R17</f>
        <v>0</v>
      </c>
      <c r="P3" s="985"/>
      <c r="Q3" s="985"/>
      <c r="R3" s="985"/>
      <c r="S3" s="985"/>
      <c r="T3" s="985"/>
      <c r="U3" s="985"/>
      <c r="V3" s="985"/>
      <c r="W3" s="985"/>
      <c r="X3" s="985"/>
      <c r="Y3" s="985"/>
      <c r="Z3" s="985"/>
      <c r="AA3" s="985"/>
      <c r="AB3" s="985"/>
      <c r="AC3" s="985"/>
      <c r="AD3" s="985"/>
      <c r="AE3" s="985"/>
      <c r="AF3" s="985"/>
      <c r="AG3" s="985"/>
      <c r="AH3" s="985">
        <f>R13+R14+R15+R16+R18</f>
        <v>26.46</v>
      </c>
      <c r="AI3" s="985"/>
      <c r="AJ3" s="985">
        <f>R21+R22</f>
        <v>0</v>
      </c>
      <c r="AK3" s="985">
        <f>R24+R25</f>
        <v>0</v>
      </c>
      <c r="AL3" s="985">
        <f>R27+R28+R29+R30</f>
        <v>20.6</v>
      </c>
      <c r="AM3" s="985">
        <f>R32</f>
        <v>0</v>
      </c>
      <c r="AN3" s="985"/>
      <c r="AO3" s="985"/>
      <c r="AP3" s="985">
        <f>R36+R38+R39+R40+R41+R42+R45</f>
        <v>80</v>
      </c>
      <c r="AQ3" s="985">
        <f>R46</f>
        <v>0</v>
      </c>
      <c r="AR3" s="985"/>
      <c r="AS3" s="985"/>
      <c r="AT3" s="985">
        <f>R48+R49+R50+R51</f>
        <v>0</v>
      </c>
      <c r="AU3" s="985">
        <f>R52</f>
        <v>150</v>
      </c>
      <c r="AV3" s="985"/>
      <c r="AW3" s="985"/>
      <c r="AX3" s="985"/>
      <c r="AY3" s="985"/>
      <c r="AZ3" s="985">
        <f>R35</f>
        <v>0</v>
      </c>
      <c r="BA3" s="985"/>
      <c r="BB3" s="1711">
        <f>R11</f>
        <v>0</v>
      </c>
      <c r="BC3" s="1711">
        <f>R33</f>
        <v>0</v>
      </c>
      <c r="BD3" s="1711">
        <f>R53</f>
        <v>0</v>
      </c>
    </row>
    <row r="4" spans="1:87" s="1687" customFormat="1">
      <c r="A4" s="3857"/>
      <c r="B4" s="1710" t="str">
        <f>HYPERLINK("#'Budget Summary II'!A3:B5", "Budget Summary II")</f>
        <v>Budget Summary II</v>
      </c>
      <c r="C4" s="1239" t="s">
        <v>4461</v>
      </c>
      <c r="D4" s="984"/>
      <c r="E4" s="1032">
        <f>O7</f>
        <v>277.06</v>
      </c>
      <c r="F4" s="161"/>
      <c r="G4" s="161"/>
      <c r="H4" s="161">
        <f>O9+O10</f>
        <v>0</v>
      </c>
      <c r="I4" s="161"/>
      <c r="J4" s="161"/>
      <c r="K4" s="985"/>
      <c r="L4" s="161"/>
      <c r="M4" s="161"/>
      <c r="N4" s="985"/>
      <c r="O4" s="985">
        <f>O17</f>
        <v>0</v>
      </c>
      <c r="P4" s="985"/>
      <c r="Q4" s="985"/>
      <c r="R4" s="985"/>
      <c r="S4" s="985"/>
      <c r="T4" s="985"/>
      <c r="U4" s="985"/>
      <c r="V4" s="985"/>
      <c r="W4" s="985"/>
      <c r="X4" s="985"/>
      <c r="Y4" s="985"/>
      <c r="Z4" s="985"/>
      <c r="AA4" s="985"/>
      <c r="AB4" s="985"/>
      <c r="AC4" s="985"/>
      <c r="AD4" s="985"/>
      <c r="AE4" s="985"/>
      <c r="AF4" s="985"/>
      <c r="AG4" s="985"/>
      <c r="AH4" s="985">
        <f>O13+O14+O15+O16+O18</f>
        <v>26.46</v>
      </c>
      <c r="AI4" s="985"/>
      <c r="AJ4" s="985">
        <f>O21+O22</f>
        <v>0</v>
      </c>
      <c r="AK4" s="985">
        <f>O24+O25</f>
        <v>0</v>
      </c>
      <c r="AL4" s="985">
        <f>O27+O28+O29+O30</f>
        <v>20.6</v>
      </c>
      <c r="AM4" s="985">
        <f>O32</f>
        <v>0</v>
      </c>
      <c r="AN4" s="985"/>
      <c r="AO4" s="985"/>
      <c r="AP4" s="985">
        <f>O36+O38+O39+O40+O41+O42+O45</f>
        <v>80</v>
      </c>
      <c r="AQ4" s="985">
        <f>O46</f>
        <v>0</v>
      </c>
      <c r="AR4" s="985"/>
      <c r="AS4" s="985"/>
      <c r="AT4" s="985">
        <f>O48+O49+O50+O51</f>
        <v>0</v>
      </c>
      <c r="AU4" s="985">
        <f>O52</f>
        <v>150</v>
      </c>
      <c r="AV4" s="985"/>
      <c r="AW4" s="985"/>
      <c r="AX4" s="985"/>
      <c r="AY4" s="985"/>
      <c r="AZ4" s="985">
        <f>O35</f>
        <v>0</v>
      </c>
      <c r="BA4" s="985"/>
      <c r="BB4" s="1711">
        <f>O11</f>
        <v>0</v>
      </c>
      <c r="BC4" s="1711">
        <f>O33</f>
        <v>0</v>
      </c>
      <c r="BD4" s="1711">
        <f>O53</f>
        <v>0</v>
      </c>
    </row>
    <row r="5" spans="1:87" s="1712" customFormat="1" ht="12.75" customHeight="1">
      <c r="A5" s="3801" t="s">
        <v>48</v>
      </c>
      <c r="B5" s="3801" t="s">
        <v>49</v>
      </c>
      <c r="C5" s="3801" t="s">
        <v>50</v>
      </c>
      <c r="D5" s="3801" t="s">
        <v>51</v>
      </c>
      <c r="E5" s="3801" t="s">
        <v>52</v>
      </c>
      <c r="F5" s="3866" t="s">
        <v>4478</v>
      </c>
      <c r="G5" s="3866"/>
      <c r="H5" s="3866"/>
      <c r="I5" s="3866"/>
      <c r="J5" s="3866"/>
      <c r="K5" s="3894" t="s">
        <v>4484</v>
      </c>
      <c r="L5" s="3903"/>
      <c r="M5" s="3980"/>
      <c r="N5" s="3903"/>
      <c r="O5" s="3980"/>
      <c r="P5" s="3904"/>
      <c r="Q5" s="3905" t="s">
        <v>4514</v>
      </c>
      <c r="R5" s="3981"/>
    </row>
    <row r="6" spans="1:87" s="1713" customFormat="1" ht="60">
      <c r="A6" s="3801"/>
      <c r="B6" s="3801"/>
      <c r="C6" s="3801"/>
      <c r="D6" s="3801"/>
      <c r="E6" s="3801"/>
      <c r="F6" s="918" t="s">
        <v>4479</v>
      </c>
      <c r="G6" s="918" t="s">
        <v>4482</v>
      </c>
      <c r="H6" s="918" t="s">
        <v>4480</v>
      </c>
      <c r="I6" s="918" t="s">
        <v>4483</v>
      </c>
      <c r="J6" s="918" t="s">
        <v>2448</v>
      </c>
      <c r="K6" s="919" t="s">
        <v>53</v>
      </c>
      <c r="L6" s="919" t="s">
        <v>54</v>
      </c>
      <c r="M6" s="920" t="s">
        <v>55</v>
      </c>
      <c r="N6" s="919" t="s">
        <v>56</v>
      </c>
      <c r="O6" s="920" t="s">
        <v>57</v>
      </c>
      <c r="P6" s="919" t="s">
        <v>5069</v>
      </c>
      <c r="Q6" s="921" t="s">
        <v>2450</v>
      </c>
      <c r="R6" s="922" t="s">
        <v>4515</v>
      </c>
      <c r="S6" s="3110" t="s">
        <v>4538</v>
      </c>
      <c r="BB6" s="3153" t="s">
        <v>5973</v>
      </c>
      <c r="BC6" s="3153" t="s">
        <v>5432</v>
      </c>
      <c r="BD6" s="3153" t="s">
        <v>5433</v>
      </c>
      <c r="BE6" s="3153" t="s">
        <v>5434</v>
      </c>
      <c r="BF6" s="3153" t="s">
        <v>5435</v>
      </c>
      <c r="BG6" s="3153" t="s">
        <v>5436</v>
      </c>
      <c r="BH6" s="3153" t="s">
        <v>5437</v>
      </c>
      <c r="BI6" s="3153" t="s">
        <v>5959</v>
      </c>
      <c r="BJ6" s="3153" t="s">
        <v>5438</v>
      </c>
      <c r="BK6" s="3153" t="s">
        <v>5439</v>
      </c>
      <c r="BL6" s="3153" t="s">
        <v>5960</v>
      </c>
      <c r="BM6" s="3153" t="s">
        <v>5440</v>
      </c>
      <c r="BN6" s="3153" t="s">
        <v>5441</v>
      </c>
      <c r="BO6" s="3153" t="s">
        <v>5961</v>
      </c>
      <c r="BP6" s="3153" t="s">
        <v>5974</v>
      </c>
      <c r="BQ6" s="3153" t="s">
        <v>5975</v>
      </c>
      <c r="BR6" s="3153" t="s">
        <v>5976</v>
      </c>
      <c r="BS6" s="3153" t="s">
        <v>5977</v>
      </c>
      <c r="BT6" s="3153" t="s">
        <v>5978</v>
      </c>
      <c r="BU6" s="3153" t="s">
        <v>5979</v>
      </c>
      <c r="BV6" s="3153" t="s">
        <v>5962</v>
      </c>
      <c r="BW6" s="3153" t="s">
        <v>5963</v>
      </c>
      <c r="BX6" s="3153" t="s">
        <v>5964</v>
      </c>
      <c r="BY6" s="3153" t="s">
        <v>5965</v>
      </c>
      <c r="BZ6" s="3153" t="s">
        <v>5966</v>
      </c>
      <c r="CA6" s="3153" t="s">
        <v>5967</v>
      </c>
      <c r="CB6" s="3153" t="s">
        <v>5968</v>
      </c>
      <c r="CC6" s="3153" t="s">
        <v>5969</v>
      </c>
      <c r="CD6" s="3153" t="s">
        <v>5970</v>
      </c>
      <c r="CE6" s="3153" t="s">
        <v>5980</v>
      </c>
      <c r="CF6" s="3153" t="s">
        <v>5971</v>
      </c>
      <c r="CG6" s="3153" t="s">
        <v>5981</v>
      </c>
      <c r="CH6" s="3153" t="s">
        <v>5982</v>
      </c>
      <c r="CI6" s="3153" t="s">
        <v>5972</v>
      </c>
    </row>
    <row r="7" spans="1:87">
      <c r="A7" s="485">
        <v>15</v>
      </c>
      <c r="B7" s="486"/>
      <c r="C7" s="485" t="s">
        <v>29</v>
      </c>
      <c r="D7" s="1572"/>
      <c r="E7" s="1285"/>
      <c r="F7" s="486"/>
      <c r="G7" s="486"/>
      <c r="H7" s="486"/>
      <c r="I7" s="486"/>
      <c r="J7" s="486"/>
      <c r="K7" s="485"/>
      <c r="L7" s="485"/>
      <c r="M7" s="207"/>
      <c r="N7" s="485"/>
      <c r="O7" s="207">
        <f>O8+O12+O19+O34</f>
        <v>277.06</v>
      </c>
      <c r="P7" s="485"/>
      <c r="Q7" s="485"/>
      <c r="R7" s="207">
        <f>R8+R12+R19+R34</f>
        <v>277.06</v>
      </c>
      <c r="S7" s="1708">
        <f>S18</f>
        <v>26.46</v>
      </c>
      <c r="BB7" s="3234"/>
      <c r="BC7" s="3234"/>
      <c r="BD7" s="3234"/>
      <c r="BE7" s="3234"/>
      <c r="BF7" s="3234"/>
      <c r="BG7" s="3234"/>
      <c r="BH7" s="3234"/>
      <c r="BI7" s="3234"/>
      <c r="BJ7" s="3234"/>
      <c r="BK7" s="3234"/>
      <c r="BL7" s="3234"/>
      <c r="BM7" s="3234"/>
      <c r="BN7" s="3234"/>
      <c r="BO7" s="3234"/>
      <c r="BP7" s="3234"/>
      <c r="BQ7" s="3234"/>
      <c r="BR7" s="3234"/>
      <c r="BS7" s="3234"/>
      <c r="BT7" s="3234"/>
      <c r="BU7" s="3234"/>
      <c r="BV7" s="3234"/>
      <c r="BW7" s="3234"/>
      <c r="BX7" s="3234"/>
      <c r="BY7" s="3234"/>
      <c r="BZ7" s="3234"/>
      <c r="CA7" s="3234"/>
      <c r="CB7" s="3234"/>
      <c r="CC7" s="3234"/>
      <c r="CD7" s="3234"/>
      <c r="CE7" s="3234"/>
      <c r="CF7" s="3234"/>
      <c r="CG7" s="3234"/>
      <c r="CH7" s="3234"/>
      <c r="CI7" s="3234">
        <f>SUM(BB7:CH7)</f>
        <v>0</v>
      </c>
    </row>
    <row r="8" spans="1:87" s="1709" customFormat="1">
      <c r="A8" s="1714">
        <v>15.1</v>
      </c>
      <c r="B8" s="1715"/>
      <c r="C8" s="1716" t="s">
        <v>4826</v>
      </c>
      <c r="D8" s="1717"/>
      <c r="E8" s="1718"/>
      <c r="F8" s="1715"/>
      <c r="G8" s="1715"/>
      <c r="H8" s="1715"/>
      <c r="I8" s="1715"/>
      <c r="J8" s="1715"/>
      <c r="K8" s="1716"/>
      <c r="L8" s="1716"/>
      <c r="M8" s="208"/>
      <c r="N8" s="1716"/>
      <c r="O8" s="208">
        <f>O9+O10+O11</f>
        <v>0</v>
      </c>
      <c r="P8" s="1716"/>
      <c r="Q8" s="1716"/>
      <c r="R8" s="208">
        <f>R9+R10+R11</f>
        <v>0</v>
      </c>
      <c r="BB8" s="3235"/>
      <c r="BC8" s="3235"/>
      <c r="BD8" s="3235"/>
      <c r="BE8" s="3235"/>
      <c r="BF8" s="3235"/>
      <c r="BG8" s="3235"/>
      <c r="BH8" s="3235"/>
      <c r="BI8" s="3235"/>
      <c r="BJ8" s="3235"/>
      <c r="BK8" s="3235"/>
      <c r="BL8" s="3235"/>
      <c r="BM8" s="3235"/>
      <c r="BN8" s="3235"/>
      <c r="BO8" s="3235"/>
      <c r="BP8" s="3235"/>
      <c r="BQ8" s="3235"/>
      <c r="BR8" s="3235"/>
      <c r="BS8" s="3235"/>
      <c r="BT8" s="3235"/>
      <c r="BU8" s="3235"/>
      <c r="BV8" s="3235"/>
      <c r="BW8" s="3235"/>
      <c r="BX8" s="3235"/>
      <c r="BY8" s="3235"/>
      <c r="BZ8" s="3235"/>
      <c r="CA8" s="3235"/>
      <c r="CB8" s="3235"/>
      <c r="CC8" s="3235"/>
      <c r="CD8" s="3235"/>
      <c r="CE8" s="3235"/>
      <c r="CF8" s="3235"/>
      <c r="CG8" s="3235"/>
      <c r="CH8" s="3235"/>
      <c r="CI8" s="3234">
        <f t="shared" ref="CI8:CI53" si="0">SUM(BB8:CH8)</f>
        <v>0</v>
      </c>
    </row>
    <row r="9" spans="1:87" ht="30">
      <c r="A9" s="1719" t="s">
        <v>1300</v>
      </c>
      <c r="B9" s="508" t="s">
        <v>1301</v>
      </c>
      <c r="C9" s="508" t="s">
        <v>1302</v>
      </c>
      <c r="D9" s="1642" t="s">
        <v>1303</v>
      </c>
      <c r="E9" s="1557" t="s">
        <v>86</v>
      </c>
      <c r="F9" s="2217">
        <v>0</v>
      </c>
      <c r="G9" s="430"/>
      <c r="H9" s="2217">
        <v>0</v>
      </c>
      <c r="I9" s="430"/>
      <c r="J9" s="430"/>
      <c r="K9" s="666"/>
      <c r="L9" s="277"/>
      <c r="M9" s="297">
        <f>L9/100000</f>
        <v>0</v>
      </c>
      <c r="N9" s="277"/>
      <c r="O9" s="297">
        <f>M9*N9</f>
        <v>0</v>
      </c>
      <c r="P9" s="667"/>
      <c r="Q9" s="1720" t="str">
        <f>'Ab1. RMNCH+A'!Q286</f>
        <v>--</v>
      </c>
      <c r="R9" s="800">
        <f>'Ab1. RMNCH+A'!R286</f>
        <v>0</v>
      </c>
      <c r="BB9" s="3234"/>
      <c r="BC9" s="3234"/>
      <c r="BD9" s="3234"/>
      <c r="BE9" s="3234"/>
      <c r="BF9" s="3234"/>
      <c r="BG9" s="3234"/>
      <c r="BH9" s="3234"/>
      <c r="BI9" s="3234"/>
      <c r="BJ9" s="3234"/>
      <c r="BK9" s="3234"/>
      <c r="BL9" s="3234"/>
      <c r="BM9" s="3234"/>
      <c r="BN9" s="3234"/>
      <c r="BO9" s="3234"/>
      <c r="BP9" s="3234"/>
      <c r="BQ9" s="3234"/>
      <c r="BR9" s="3234"/>
      <c r="BS9" s="3234"/>
      <c r="BT9" s="3234"/>
      <c r="BU9" s="3234"/>
      <c r="BV9" s="3234"/>
      <c r="BW9" s="3234"/>
      <c r="BX9" s="3234"/>
      <c r="BY9" s="3234"/>
      <c r="BZ9" s="3234"/>
      <c r="CA9" s="3234"/>
      <c r="CB9" s="3234"/>
      <c r="CC9" s="3234"/>
      <c r="CD9" s="3234"/>
      <c r="CE9" s="3234"/>
      <c r="CF9" s="3234"/>
      <c r="CG9" s="3234"/>
      <c r="CH9" s="3234"/>
      <c r="CI9" s="3234">
        <f t="shared" si="0"/>
        <v>0</v>
      </c>
    </row>
    <row r="10" spans="1:87">
      <c r="A10" s="1719" t="s">
        <v>2465</v>
      </c>
      <c r="B10" s="586"/>
      <c r="C10" s="508" t="s">
        <v>1304</v>
      </c>
      <c r="D10" s="1642" t="s">
        <v>1303</v>
      </c>
      <c r="E10" s="1557" t="s">
        <v>86</v>
      </c>
      <c r="F10" s="2217">
        <v>0</v>
      </c>
      <c r="G10" s="430"/>
      <c r="H10" s="2217">
        <v>0</v>
      </c>
      <c r="I10" s="430"/>
      <c r="J10" s="430"/>
      <c r="K10" s="666"/>
      <c r="L10" s="277"/>
      <c r="M10" s="297">
        <f>L10/100000</f>
        <v>0</v>
      </c>
      <c r="N10" s="277"/>
      <c r="O10" s="297">
        <f>M10*N10</f>
        <v>0</v>
      </c>
      <c r="P10" s="667"/>
      <c r="Q10" s="1720" t="str">
        <f>'Ab1. RMNCH+A'!Q287</f>
        <v>--</v>
      </c>
      <c r="R10" s="800">
        <f>'Ab1. RMNCH+A'!R287</f>
        <v>0</v>
      </c>
      <c r="BB10" s="3234"/>
      <c r="BC10" s="3234"/>
      <c r="BD10" s="3234"/>
      <c r="BE10" s="3234"/>
      <c r="BF10" s="3234"/>
      <c r="BG10" s="3234"/>
      <c r="BH10" s="3234"/>
      <c r="BI10" s="3234"/>
      <c r="BJ10" s="3234"/>
      <c r="BK10" s="3234"/>
      <c r="BL10" s="3234"/>
      <c r="BM10" s="3234"/>
      <c r="BN10" s="3234"/>
      <c r="BO10" s="3234"/>
      <c r="BP10" s="3234"/>
      <c r="BQ10" s="3234"/>
      <c r="BR10" s="3234"/>
      <c r="BS10" s="3234"/>
      <c r="BT10" s="3234"/>
      <c r="BU10" s="3234"/>
      <c r="BV10" s="3234"/>
      <c r="BW10" s="3234"/>
      <c r="BX10" s="3234"/>
      <c r="BY10" s="3234"/>
      <c r="BZ10" s="3234"/>
      <c r="CA10" s="3234"/>
      <c r="CB10" s="3234"/>
      <c r="CC10" s="3234"/>
      <c r="CD10" s="3234"/>
      <c r="CE10" s="3234"/>
      <c r="CF10" s="3234"/>
      <c r="CG10" s="3234"/>
      <c r="CH10" s="3234"/>
      <c r="CI10" s="3234">
        <f t="shared" si="0"/>
        <v>0</v>
      </c>
    </row>
    <row r="11" spans="1:87" s="1709" customFormat="1">
      <c r="A11" s="1719" t="s">
        <v>4839</v>
      </c>
      <c r="B11" s="586"/>
      <c r="C11" s="586" t="s">
        <v>4837</v>
      </c>
      <c r="D11" s="1737" t="s">
        <v>1303</v>
      </c>
      <c r="E11" s="1734" t="s">
        <v>3749</v>
      </c>
      <c r="F11" s="484"/>
      <c r="G11" s="484"/>
      <c r="H11" s="484"/>
      <c r="I11" s="484"/>
      <c r="J11" s="484"/>
      <c r="K11" s="674"/>
      <c r="L11" s="2477"/>
      <c r="M11" s="298">
        <f>L11/100000</f>
        <v>0</v>
      </c>
      <c r="N11" s="283"/>
      <c r="O11" s="298">
        <f>M11*N11</f>
        <v>0</v>
      </c>
      <c r="P11" s="2495"/>
      <c r="Q11" s="1719" t="str">
        <f>'Ab1. RMNCH+A'!Q445</f>
        <v>--</v>
      </c>
      <c r="R11" s="686">
        <f>'Ab1. RMNCH+A'!R445</f>
        <v>0</v>
      </c>
      <c r="BB11" s="3235"/>
      <c r="BC11" s="3235"/>
      <c r="BD11" s="3235"/>
      <c r="BE11" s="3235"/>
      <c r="BF11" s="3235"/>
      <c r="BG11" s="3235"/>
      <c r="BH11" s="3235"/>
      <c r="BI11" s="3235"/>
      <c r="BJ11" s="3235"/>
      <c r="BK11" s="3235"/>
      <c r="BL11" s="3235"/>
      <c r="BM11" s="3235"/>
      <c r="BN11" s="3235"/>
      <c r="BO11" s="3235"/>
      <c r="BP11" s="3235"/>
      <c r="BQ11" s="3235"/>
      <c r="BR11" s="3235"/>
      <c r="BS11" s="3235"/>
      <c r="BT11" s="3235"/>
      <c r="BU11" s="3235"/>
      <c r="BV11" s="3235"/>
      <c r="BW11" s="3235"/>
      <c r="BX11" s="3235"/>
      <c r="BY11" s="3235"/>
      <c r="BZ11" s="3235"/>
      <c r="CA11" s="3235"/>
      <c r="CB11" s="3235"/>
      <c r="CC11" s="3235"/>
      <c r="CD11" s="3235"/>
      <c r="CE11" s="3235"/>
      <c r="CF11" s="3235"/>
      <c r="CG11" s="3235"/>
      <c r="CH11" s="3235"/>
      <c r="CI11" s="3234">
        <f t="shared" si="0"/>
        <v>0</v>
      </c>
    </row>
    <row r="12" spans="1:87" s="1709" customFormat="1">
      <c r="A12" s="1714">
        <v>15.2</v>
      </c>
      <c r="B12" s="1715"/>
      <c r="C12" s="1716" t="s">
        <v>4825</v>
      </c>
      <c r="D12" s="1717"/>
      <c r="E12" s="1718"/>
      <c r="F12" s="657"/>
      <c r="G12" s="657"/>
      <c r="H12" s="657"/>
      <c r="I12" s="657"/>
      <c r="J12" s="657"/>
      <c r="K12" s="658"/>
      <c r="L12" s="658"/>
      <c r="M12" s="208"/>
      <c r="N12" s="658"/>
      <c r="O12" s="208">
        <f>SUM(O13:O18)</f>
        <v>26.46</v>
      </c>
      <c r="P12" s="658"/>
      <c r="Q12" s="1716"/>
      <c r="R12" s="208">
        <f>SUM(R13:R18)</f>
        <v>26.46</v>
      </c>
      <c r="BB12" s="3235"/>
      <c r="BC12" s="3235"/>
      <c r="BD12" s="3235"/>
      <c r="BE12" s="3235"/>
      <c r="BF12" s="3235"/>
      <c r="BG12" s="3235"/>
      <c r="BH12" s="3235"/>
      <c r="BI12" s="3235"/>
      <c r="BJ12" s="3235"/>
      <c r="BK12" s="3235"/>
      <c r="BL12" s="3235"/>
      <c r="BM12" s="3235"/>
      <c r="BN12" s="3235"/>
      <c r="BO12" s="3235"/>
      <c r="BP12" s="3235"/>
      <c r="BQ12" s="3235"/>
      <c r="BR12" s="3235"/>
      <c r="BS12" s="3235"/>
      <c r="BT12" s="3235"/>
      <c r="BU12" s="3235"/>
      <c r="BV12" s="3235"/>
      <c r="BW12" s="3235"/>
      <c r="BX12" s="3235"/>
      <c r="BY12" s="3235"/>
      <c r="BZ12" s="3235"/>
      <c r="CA12" s="3235"/>
      <c r="CB12" s="3235"/>
      <c r="CC12" s="3235"/>
      <c r="CD12" s="3235"/>
      <c r="CE12" s="3235"/>
      <c r="CF12" s="3235"/>
      <c r="CG12" s="3235"/>
      <c r="CH12" s="3235"/>
      <c r="CI12" s="3234">
        <f t="shared" si="0"/>
        <v>0</v>
      </c>
    </row>
    <row r="13" spans="1:87">
      <c r="A13" s="1719" t="s">
        <v>1305</v>
      </c>
      <c r="B13" s="508" t="s">
        <v>4827</v>
      </c>
      <c r="C13" s="508" t="s">
        <v>1329</v>
      </c>
      <c r="D13" s="908" t="s">
        <v>65</v>
      </c>
      <c r="E13" s="1557" t="s">
        <v>65</v>
      </c>
      <c r="F13" s="2231">
        <v>0</v>
      </c>
      <c r="G13" s="430"/>
      <c r="H13" s="2231">
        <v>0</v>
      </c>
      <c r="I13" s="430"/>
      <c r="J13" s="430"/>
      <c r="K13" s="666"/>
      <c r="L13" s="277"/>
      <c r="M13" s="297">
        <f t="shared" ref="M13:M18" si="1">L13/100000</f>
        <v>0</v>
      </c>
      <c r="N13" s="277"/>
      <c r="O13" s="297">
        <f t="shared" ref="O13:O18" si="2">M13*N13</f>
        <v>0</v>
      </c>
      <c r="P13" s="667"/>
      <c r="Q13" s="482"/>
      <c r="R13" s="554"/>
      <c r="BB13" s="3234"/>
      <c r="BC13" s="3234"/>
      <c r="BD13" s="3234"/>
      <c r="BE13" s="3234"/>
      <c r="BF13" s="3234"/>
      <c r="BG13" s="3234"/>
      <c r="BH13" s="3234"/>
      <c r="BI13" s="3234"/>
      <c r="BJ13" s="3234"/>
      <c r="BK13" s="3234"/>
      <c r="BL13" s="3234"/>
      <c r="BM13" s="3234"/>
      <c r="BN13" s="3234"/>
      <c r="BO13" s="3234"/>
      <c r="BP13" s="3234"/>
      <c r="BQ13" s="3234"/>
      <c r="BR13" s="3234"/>
      <c r="BS13" s="3234"/>
      <c r="BT13" s="3234"/>
      <c r="BU13" s="3234"/>
      <c r="BV13" s="3234"/>
      <c r="BW13" s="3234"/>
      <c r="BX13" s="3234"/>
      <c r="BY13" s="3234"/>
      <c r="BZ13" s="3234"/>
      <c r="CA13" s="3234"/>
      <c r="CB13" s="3234"/>
      <c r="CC13" s="3234"/>
      <c r="CD13" s="3234"/>
      <c r="CE13" s="3234"/>
      <c r="CF13" s="3234"/>
      <c r="CG13" s="3234"/>
      <c r="CH13" s="3234"/>
      <c r="CI13" s="3234">
        <f t="shared" si="0"/>
        <v>0</v>
      </c>
    </row>
    <row r="14" spans="1:87" ht="45">
      <c r="A14" s="1719" t="s">
        <v>4832</v>
      </c>
      <c r="B14" s="508" t="s">
        <v>4828</v>
      </c>
      <c r="C14" s="508" t="s">
        <v>1330</v>
      </c>
      <c r="D14" s="908" t="s">
        <v>65</v>
      </c>
      <c r="E14" s="1557" t="s">
        <v>65</v>
      </c>
      <c r="F14" s="2232">
        <v>0</v>
      </c>
      <c r="G14" s="384"/>
      <c r="H14" s="2233">
        <v>0</v>
      </c>
      <c r="I14" s="423"/>
      <c r="J14" s="384"/>
      <c r="K14" s="424"/>
      <c r="L14" s="277"/>
      <c r="M14" s="297">
        <f t="shared" si="1"/>
        <v>0</v>
      </c>
      <c r="N14" s="277"/>
      <c r="O14" s="297">
        <f t="shared" si="2"/>
        <v>0</v>
      </c>
      <c r="P14" s="462"/>
      <c r="Q14" s="482"/>
      <c r="R14" s="554"/>
      <c r="BB14" s="3234"/>
      <c r="BC14" s="3234"/>
      <c r="BD14" s="3234"/>
      <c r="BE14" s="3234"/>
      <c r="BF14" s="3234"/>
      <c r="BG14" s="3234"/>
      <c r="BH14" s="3234"/>
      <c r="BI14" s="3234"/>
      <c r="BJ14" s="3234"/>
      <c r="BK14" s="3234"/>
      <c r="BL14" s="3234"/>
      <c r="BM14" s="3234"/>
      <c r="BN14" s="3234"/>
      <c r="BO14" s="3234"/>
      <c r="BP14" s="3234"/>
      <c r="BQ14" s="3234"/>
      <c r="BR14" s="3234"/>
      <c r="BS14" s="3234"/>
      <c r="BT14" s="3234"/>
      <c r="BU14" s="3234"/>
      <c r="BV14" s="3234"/>
      <c r="BW14" s="3234"/>
      <c r="BX14" s="3234"/>
      <c r="BY14" s="3234"/>
      <c r="BZ14" s="3234"/>
      <c r="CA14" s="3234"/>
      <c r="CB14" s="3234"/>
      <c r="CC14" s="3234"/>
      <c r="CD14" s="3234"/>
      <c r="CE14" s="3234"/>
      <c r="CF14" s="3234"/>
      <c r="CG14" s="3234"/>
      <c r="CH14" s="3234"/>
      <c r="CI14" s="3234">
        <f t="shared" si="0"/>
        <v>0</v>
      </c>
    </row>
    <row r="15" spans="1:87">
      <c r="A15" s="1719" t="s">
        <v>4833</v>
      </c>
      <c r="B15" s="508" t="s">
        <v>4829</v>
      </c>
      <c r="C15" s="508" t="s">
        <v>1331</v>
      </c>
      <c r="D15" s="908" t="s">
        <v>65</v>
      </c>
      <c r="E15" s="1557" t="s">
        <v>65</v>
      </c>
      <c r="F15" s="2231">
        <v>0</v>
      </c>
      <c r="G15" s="430"/>
      <c r="H15" s="2231">
        <v>0</v>
      </c>
      <c r="I15" s="430"/>
      <c r="J15" s="430"/>
      <c r="K15" s="666"/>
      <c r="L15" s="277"/>
      <c r="M15" s="297">
        <f t="shared" si="1"/>
        <v>0</v>
      </c>
      <c r="N15" s="277"/>
      <c r="O15" s="297">
        <f t="shared" si="2"/>
        <v>0</v>
      </c>
      <c r="P15" s="667"/>
      <c r="Q15" s="482"/>
      <c r="R15" s="554"/>
      <c r="BB15" s="3234"/>
      <c r="BC15" s="3234"/>
      <c r="BD15" s="3234"/>
      <c r="BE15" s="3234"/>
      <c r="BF15" s="3234"/>
      <c r="BG15" s="3234"/>
      <c r="BH15" s="3234"/>
      <c r="BI15" s="3234"/>
      <c r="BJ15" s="3234"/>
      <c r="BK15" s="3234"/>
      <c r="BL15" s="3234"/>
      <c r="BM15" s="3234"/>
      <c r="BN15" s="3234"/>
      <c r="BO15" s="3234"/>
      <c r="BP15" s="3234"/>
      <c r="BQ15" s="3234"/>
      <c r="BR15" s="3234"/>
      <c r="BS15" s="3234"/>
      <c r="BT15" s="3234"/>
      <c r="BU15" s="3234"/>
      <c r="BV15" s="3234"/>
      <c r="BW15" s="3234"/>
      <c r="BX15" s="3234"/>
      <c r="BY15" s="3234"/>
      <c r="BZ15" s="3234"/>
      <c r="CA15" s="3234"/>
      <c r="CB15" s="3234"/>
      <c r="CC15" s="3234"/>
      <c r="CD15" s="3234"/>
      <c r="CE15" s="3234"/>
      <c r="CF15" s="3234"/>
      <c r="CG15" s="3234"/>
      <c r="CH15" s="3234"/>
      <c r="CI15" s="3234">
        <f t="shared" si="0"/>
        <v>0</v>
      </c>
    </row>
    <row r="16" spans="1:87">
      <c r="A16" s="1719" t="s">
        <v>4834</v>
      </c>
      <c r="B16" s="509" t="s">
        <v>4830</v>
      </c>
      <c r="C16" s="509" t="s">
        <v>1334</v>
      </c>
      <c r="D16" s="908" t="s">
        <v>65</v>
      </c>
      <c r="E16" s="1557" t="s">
        <v>65</v>
      </c>
      <c r="F16" s="2231">
        <v>0</v>
      </c>
      <c r="G16" s="430"/>
      <c r="H16" s="2231">
        <v>0</v>
      </c>
      <c r="I16" s="430"/>
      <c r="J16" s="430"/>
      <c r="K16" s="666"/>
      <c r="L16" s="277"/>
      <c r="M16" s="297">
        <f t="shared" si="1"/>
        <v>0</v>
      </c>
      <c r="N16" s="277"/>
      <c r="O16" s="297">
        <f t="shared" si="2"/>
        <v>0</v>
      </c>
      <c r="P16" s="667"/>
      <c r="Q16" s="482"/>
      <c r="R16" s="554"/>
      <c r="BB16" s="3234"/>
      <c r="BC16" s="3234"/>
      <c r="BD16" s="3234"/>
      <c r="BE16" s="3234"/>
      <c r="BF16" s="3234"/>
      <c r="BG16" s="3234"/>
      <c r="BH16" s="3234"/>
      <c r="BI16" s="3234"/>
      <c r="BJ16" s="3234"/>
      <c r="BK16" s="3234"/>
      <c r="BL16" s="3234"/>
      <c r="BM16" s="3234"/>
      <c r="BN16" s="3234"/>
      <c r="BO16" s="3234"/>
      <c r="BP16" s="3234"/>
      <c r="BQ16" s="3234"/>
      <c r="BR16" s="3234"/>
      <c r="BS16" s="3234"/>
      <c r="BT16" s="3234"/>
      <c r="BU16" s="3234"/>
      <c r="BV16" s="3234"/>
      <c r="BW16" s="3234"/>
      <c r="BX16" s="3234"/>
      <c r="BY16" s="3234"/>
      <c r="BZ16" s="3234"/>
      <c r="CA16" s="3234"/>
      <c r="CB16" s="3234"/>
      <c r="CC16" s="3234"/>
      <c r="CD16" s="3234"/>
      <c r="CE16" s="3234"/>
      <c r="CF16" s="3234"/>
      <c r="CG16" s="3234"/>
      <c r="CH16" s="3234"/>
      <c r="CI16" s="3234">
        <f t="shared" si="0"/>
        <v>0</v>
      </c>
    </row>
    <row r="17" spans="1:87" ht="30">
      <c r="A17" s="1719" t="s">
        <v>4835</v>
      </c>
      <c r="B17" s="1671" t="s">
        <v>4831</v>
      </c>
      <c r="C17" s="509" t="s">
        <v>3758</v>
      </c>
      <c r="D17" s="908" t="s">
        <v>65</v>
      </c>
      <c r="E17" s="1557" t="s">
        <v>4218</v>
      </c>
      <c r="F17" s="2231">
        <v>0</v>
      </c>
      <c r="G17" s="430"/>
      <c r="H17" s="2231">
        <v>0</v>
      </c>
      <c r="I17" s="430"/>
      <c r="J17" s="430"/>
      <c r="K17" s="666"/>
      <c r="L17" s="277"/>
      <c r="M17" s="297">
        <f t="shared" si="1"/>
        <v>0</v>
      </c>
      <c r="N17" s="277"/>
      <c r="O17" s="297">
        <f t="shared" si="2"/>
        <v>0</v>
      </c>
      <c r="P17" s="667"/>
      <c r="Q17" s="1720">
        <f>'Abs6. CPHC'!Q33</f>
        <v>0</v>
      </c>
      <c r="R17" s="851">
        <f>'Abs6. CPHC'!R33</f>
        <v>0</v>
      </c>
      <c r="BB17" s="3234"/>
      <c r="BC17" s="3234"/>
      <c r="BD17" s="3234"/>
      <c r="BE17" s="3234"/>
      <c r="BF17" s="3234"/>
      <c r="BG17" s="3234"/>
      <c r="BH17" s="3234"/>
      <c r="BI17" s="3234"/>
      <c r="BJ17" s="3234"/>
      <c r="BK17" s="3234"/>
      <c r="BL17" s="3234"/>
      <c r="BM17" s="3234"/>
      <c r="BN17" s="3234"/>
      <c r="BO17" s="3234"/>
      <c r="BP17" s="3234"/>
      <c r="BQ17" s="3234"/>
      <c r="BR17" s="3234"/>
      <c r="BS17" s="3234"/>
      <c r="BT17" s="3234"/>
      <c r="BU17" s="3234"/>
      <c r="BV17" s="3234"/>
      <c r="BW17" s="3234"/>
      <c r="BX17" s="3234"/>
      <c r="BY17" s="3234"/>
      <c r="BZ17" s="3234"/>
      <c r="CA17" s="3234"/>
      <c r="CB17" s="3234"/>
      <c r="CC17" s="3234"/>
      <c r="CD17" s="3234"/>
      <c r="CE17" s="3234"/>
      <c r="CF17" s="3234"/>
      <c r="CG17" s="3234"/>
      <c r="CH17" s="3234"/>
      <c r="CI17" s="3234">
        <f t="shared" si="0"/>
        <v>0</v>
      </c>
    </row>
    <row r="18" spans="1:87" ht="243.75">
      <c r="A18" s="1719" t="s">
        <v>4836</v>
      </c>
      <c r="B18" s="521" t="s">
        <v>2334</v>
      </c>
      <c r="C18" s="508" t="s">
        <v>4838</v>
      </c>
      <c r="D18" s="908" t="s">
        <v>65</v>
      </c>
      <c r="E18" s="1557" t="s">
        <v>65</v>
      </c>
      <c r="F18" s="2231">
        <v>1</v>
      </c>
      <c r="G18" s="430"/>
      <c r="H18" s="2231">
        <v>18.850000000000001</v>
      </c>
      <c r="I18" s="430">
        <v>0.5</v>
      </c>
      <c r="J18" s="430">
        <v>18.350000000000001</v>
      </c>
      <c r="K18" s="666"/>
      <c r="L18" s="2477">
        <v>2646000</v>
      </c>
      <c r="M18" s="297">
        <f t="shared" si="1"/>
        <v>26.46</v>
      </c>
      <c r="N18" s="277">
        <v>1</v>
      </c>
      <c r="O18" s="298">
        <f t="shared" si="2"/>
        <v>26.46</v>
      </c>
      <c r="P18" s="2495" t="s">
        <v>5254</v>
      </c>
      <c r="Q18" s="2722" t="s">
        <v>5519</v>
      </c>
      <c r="R18" s="2723">
        <f>((1*60000*12)+(3*40000*12)+(4*7500*12))/100000+1.26</f>
        <v>26.46</v>
      </c>
      <c r="S18" s="1709">
        <v>26.46</v>
      </c>
      <c r="BB18" s="3234">
        <v>26.46</v>
      </c>
      <c r="BC18" s="3234"/>
      <c r="BD18" s="3234"/>
      <c r="BE18" s="3234"/>
      <c r="BF18" s="3234"/>
      <c r="BG18" s="3234"/>
      <c r="BH18" s="3234"/>
      <c r="BI18" s="3234"/>
      <c r="BJ18" s="3234"/>
      <c r="BK18" s="3234"/>
      <c r="BL18" s="3234"/>
      <c r="BM18" s="3234"/>
      <c r="BN18" s="3234"/>
      <c r="BO18" s="3234"/>
      <c r="BP18" s="3234"/>
      <c r="BQ18" s="3234"/>
      <c r="BR18" s="3234"/>
      <c r="BS18" s="3234"/>
      <c r="BT18" s="3234"/>
      <c r="BU18" s="3234"/>
      <c r="BV18" s="3234"/>
      <c r="BW18" s="3234"/>
      <c r="BX18" s="3234"/>
      <c r="BY18" s="3234"/>
      <c r="BZ18" s="3234"/>
      <c r="CA18" s="3234"/>
      <c r="CB18" s="3234"/>
      <c r="CC18" s="3234"/>
      <c r="CD18" s="3234"/>
      <c r="CE18" s="3234"/>
      <c r="CF18" s="3234"/>
      <c r="CG18" s="3234"/>
      <c r="CH18" s="3234"/>
      <c r="CI18" s="3234">
        <f t="shared" si="0"/>
        <v>26.46</v>
      </c>
    </row>
    <row r="19" spans="1:87" s="1709" customFormat="1">
      <c r="A19" s="1714">
        <v>15.3</v>
      </c>
      <c r="B19" s="1715"/>
      <c r="C19" s="1716" t="s">
        <v>4840</v>
      </c>
      <c r="D19" s="1717"/>
      <c r="E19" s="1718"/>
      <c r="F19" s="657"/>
      <c r="G19" s="657"/>
      <c r="H19" s="657"/>
      <c r="I19" s="657"/>
      <c r="J19" s="657"/>
      <c r="K19" s="658"/>
      <c r="L19" s="658"/>
      <c r="M19" s="208"/>
      <c r="N19" s="658"/>
      <c r="O19" s="208">
        <f>O20+O23+O26+O31+O33</f>
        <v>20.6</v>
      </c>
      <c r="P19" s="658"/>
      <c r="Q19" s="1716"/>
      <c r="R19" s="208">
        <f>R20+R23+R26+R31+R33</f>
        <v>20.6</v>
      </c>
      <c r="BB19" s="3235"/>
      <c r="BC19" s="3235"/>
      <c r="BD19" s="3235"/>
      <c r="BE19" s="3235"/>
      <c r="BF19" s="3235"/>
      <c r="BG19" s="3235"/>
      <c r="BH19" s="3235"/>
      <c r="BI19" s="3235"/>
      <c r="BJ19" s="3235"/>
      <c r="BK19" s="3235"/>
      <c r="BL19" s="3235"/>
      <c r="BM19" s="3235"/>
      <c r="BN19" s="3235"/>
      <c r="BO19" s="3235"/>
      <c r="BP19" s="3235"/>
      <c r="BQ19" s="3235"/>
      <c r="BR19" s="3235"/>
      <c r="BS19" s="3235"/>
      <c r="BT19" s="3235"/>
      <c r="BU19" s="3235"/>
      <c r="BV19" s="3235"/>
      <c r="BW19" s="3235"/>
      <c r="BX19" s="3235"/>
      <c r="BY19" s="3235"/>
      <c r="BZ19" s="3235"/>
      <c r="CA19" s="3235"/>
      <c r="CB19" s="3235"/>
      <c r="CC19" s="3235"/>
      <c r="CD19" s="3235"/>
      <c r="CE19" s="3235"/>
      <c r="CF19" s="3235"/>
      <c r="CG19" s="3235"/>
      <c r="CH19" s="3235"/>
      <c r="CI19" s="3234">
        <f t="shared" si="0"/>
        <v>0</v>
      </c>
    </row>
    <row r="20" spans="1:87">
      <c r="A20" s="1722" t="s">
        <v>1307</v>
      </c>
      <c r="B20" s="1723">
        <v>15.3</v>
      </c>
      <c r="C20" s="1473" t="s">
        <v>1306</v>
      </c>
      <c r="D20" s="1724"/>
      <c r="E20" s="1725"/>
      <c r="F20" s="659"/>
      <c r="G20" s="659"/>
      <c r="H20" s="659"/>
      <c r="I20" s="659"/>
      <c r="J20" s="659"/>
      <c r="K20" s="669"/>
      <c r="L20" s="669"/>
      <c r="M20" s="1726"/>
      <c r="N20" s="670"/>
      <c r="O20" s="1727">
        <f>SUM(O21:O22)</f>
        <v>0</v>
      </c>
      <c r="P20" s="671"/>
      <c r="Q20" s="1728"/>
      <c r="R20" s="1727">
        <f>SUM(R21:R22)</f>
        <v>0</v>
      </c>
      <c r="BB20" s="3234"/>
      <c r="BC20" s="3234"/>
      <c r="BD20" s="3234"/>
      <c r="BE20" s="3234"/>
      <c r="BF20" s="3234"/>
      <c r="BG20" s="3234"/>
      <c r="BH20" s="3234"/>
      <c r="BI20" s="3234"/>
      <c r="BJ20" s="3234"/>
      <c r="BK20" s="3234"/>
      <c r="BL20" s="3234"/>
      <c r="BM20" s="3234"/>
      <c r="BN20" s="3234"/>
      <c r="BO20" s="3234"/>
      <c r="BP20" s="3234"/>
      <c r="BQ20" s="3234"/>
      <c r="BR20" s="3234"/>
      <c r="BS20" s="3234"/>
      <c r="BT20" s="3234"/>
      <c r="BU20" s="3234"/>
      <c r="BV20" s="3234"/>
      <c r="BW20" s="3234"/>
      <c r="BX20" s="3234"/>
      <c r="BY20" s="3234"/>
      <c r="BZ20" s="3234"/>
      <c r="CA20" s="3234"/>
      <c r="CB20" s="3234"/>
      <c r="CC20" s="3234"/>
      <c r="CD20" s="3234"/>
      <c r="CE20" s="3234"/>
      <c r="CF20" s="3234"/>
      <c r="CG20" s="3234"/>
      <c r="CH20" s="3234"/>
      <c r="CI20" s="3234">
        <f t="shared" si="0"/>
        <v>0</v>
      </c>
    </row>
    <row r="21" spans="1:87">
      <c r="A21" s="1719" t="s">
        <v>4843</v>
      </c>
      <c r="B21" s="1721" t="s">
        <v>4841</v>
      </c>
      <c r="C21" s="1721" t="s">
        <v>1308</v>
      </c>
      <c r="D21" s="1007" t="s">
        <v>4219</v>
      </c>
      <c r="E21" s="1663" t="s">
        <v>4714</v>
      </c>
      <c r="F21" s="2234">
        <v>10</v>
      </c>
      <c r="G21" s="481"/>
      <c r="H21" s="2234">
        <v>5</v>
      </c>
      <c r="I21" s="481"/>
      <c r="J21" s="481">
        <v>3</v>
      </c>
      <c r="K21" s="666"/>
      <c r="L21" s="277"/>
      <c r="M21" s="297">
        <f>L21/100000</f>
        <v>0</v>
      </c>
      <c r="N21" s="277"/>
      <c r="O21" s="297">
        <f>M21*N21</f>
        <v>0</v>
      </c>
      <c r="P21" s="667"/>
      <c r="Q21" s="1720">
        <f>'Abs9. NVBDCP'!Q106</f>
        <v>0</v>
      </c>
      <c r="R21" s="851">
        <f>'Abs9. NVBDCP'!R106</f>
        <v>0</v>
      </c>
      <c r="BB21" s="3234"/>
      <c r="BC21" s="3234"/>
      <c r="BD21" s="3234"/>
      <c r="BE21" s="3234"/>
      <c r="BF21" s="3234"/>
      <c r="BG21" s="3234"/>
      <c r="BH21" s="3234"/>
      <c r="BI21" s="3234"/>
      <c r="BJ21" s="3234"/>
      <c r="BK21" s="3234"/>
      <c r="BL21" s="3234"/>
      <c r="BM21" s="3234"/>
      <c r="BN21" s="3234"/>
      <c r="BO21" s="3234"/>
      <c r="BP21" s="3234"/>
      <c r="BQ21" s="3234"/>
      <c r="BR21" s="3234"/>
      <c r="BS21" s="3234"/>
      <c r="BT21" s="3234"/>
      <c r="BU21" s="3234"/>
      <c r="BV21" s="3234"/>
      <c r="BW21" s="3234"/>
      <c r="BX21" s="3234"/>
      <c r="BY21" s="3234"/>
      <c r="BZ21" s="3234"/>
      <c r="CA21" s="3234"/>
      <c r="CB21" s="3234"/>
      <c r="CC21" s="3234"/>
      <c r="CD21" s="3234"/>
      <c r="CE21" s="3234"/>
      <c r="CF21" s="3234"/>
      <c r="CG21" s="3234"/>
      <c r="CH21" s="3234"/>
      <c r="CI21" s="3234">
        <f t="shared" si="0"/>
        <v>0</v>
      </c>
    </row>
    <row r="22" spans="1:87" ht="30">
      <c r="A22" s="1719" t="s">
        <v>4844</v>
      </c>
      <c r="B22" s="1721" t="s">
        <v>4842</v>
      </c>
      <c r="C22" s="1721" t="s">
        <v>1311</v>
      </c>
      <c r="D22" s="1007" t="s">
        <v>4219</v>
      </c>
      <c r="E22" s="1663" t="s">
        <v>1312</v>
      </c>
      <c r="F22" s="2234">
        <v>10</v>
      </c>
      <c r="G22" s="481"/>
      <c r="H22" s="2234">
        <v>5</v>
      </c>
      <c r="I22" s="481"/>
      <c r="J22" s="481">
        <v>3</v>
      </c>
      <c r="K22" s="666"/>
      <c r="L22" s="277"/>
      <c r="M22" s="297">
        <f>L22/100000</f>
        <v>0</v>
      </c>
      <c r="N22" s="277"/>
      <c r="O22" s="297">
        <f>M22*N22</f>
        <v>0</v>
      </c>
      <c r="P22" s="667"/>
      <c r="Q22" s="1720">
        <f>'Abs9. NVBDCP'!Q107</f>
        <v>0</v>
      </c>
      <c r="R22" s="851">
        <f>'Abs9. NVBDCP'!R107</f>
        <v>0</v>
      </c>
      <c r="BB22" s="3234"/>
      <c r="BC22" s="3234"/>
      <c r="BD22" s="3234"/>
      <c r="BE22" s="3234"/>
      <c r="BF22" s="3234"/>
      <c r="BG22" s="3234"/>
      <c r="BH22" s="3234"/>
      <c r="BI22" s="3234"/>
      <c r="BJ22" s="3234"/>
      <c r="BK22" s="3234"/>
      <c r="BL22" s="3234"/>
      <c r="BM22" s="3234"/>
      <c r="BN22" s="3234"/>
      <c r="BO22" s="3234"/>
      <c r="BP22" s="3234"/>
      <c r="BQ22" s="3234"/>
      <c r="BR22" s="3234"/>
      <c r="BS22" s="3234"/>
      <c r="BT22" s="3234"/>
      <c r="BU22" s="3234"/>
      <c r="BV22" s="3234"/>
      <c r="BW22" s="3234"/>
      <c r="BX22" s="3234"/>
      <c r="BY22" s="3234"/>
      <c r="BZ22" s="3234"/>
      <c r="CA22" s="3234"/>
      <c r="CB22" s="3234"/>
      <c r="CC22" s="3234"/>
      <c r="CD22" s="3234"/>
      <c r="CE22" s="3234"/>
      <c r="CF22" s="3234"/>
      <c r="CG22" s="3234"/>
      <c r="CH22" s="3234"/>
      <c r="CI22" s="3234">
        <f t="shared" si="0"/>
        <v>0</v>
      </c>
    </row>
    <row r="23" spans="1:87">
      <c r="A23" s="1722" t="s">
        <v>1310</v>
      </c>
      <c r="B23" s="1722">
        <v>15.4</v>
      </c>
      <c r="C23" s="1473" t="s">
        <v>1313</v>
      </c>
      <c r="D23" s="1724"/>
      <c r="E23" s="1725"/>
      <c r="F23" s="659"/>
      <c r="G23" s="659"/>
      <c r="H23" s="659"/>
      <c r="I23" s="659"/>
      <c r="J23" s="659"/>
      <c r="K23" s="669"/>
      <c r="L23" s="669"/>
      <c r="M23" s="1726"/>
      <c r="N23" s="670"/>
      <c r="O23" s="1727">
        <f>SUM(O24:O25)</f>
        <v>0</v>
      </c>
      <c r="P23" s="671"/>
      <c r="Q23" s="1728"/>
      <c r="R23" s="1727">
        <f>SUM(R24:R25)</f>
        <v>0</v>
      </c>
      <c r="BB23" s="3234"/>
      <c r="BC23" s="3234"/>
      <c r="BD23" s="3234"/>
      <c r="BE23" s="3234"/>
      <c r="BF23" s="3234"/>
      <c r="BG23" s="3234"/>
      <c r="BH23" s="3234"/>
      <c r="BI23" s="3234"/>
      <c r="BJ23" s="3234"/>
      <c r="BK23" s="3234"/>
      <c r="BL23" s="3234"/>
      <c r="BM23" s="3234"/>
      <c r="BN23" s="3234"/>
      <c r="BO23" s="3234"/>
      <c r="BP23" s="3234"/>
      <c r="BQ23" s="3234"/>
      <c r="BR23" s="3234"/>
      <c r="BS23" s="3234"/>
      <c r="BT23" s="3234"/>
      <c r="BU23" s="3234"/>
      <c r="BV23" s="3234"/>
      <c r="BW23" s="3234"/>
      <c r="BX23" s="3234"/>
      <c r="BY23" s="3234"/>
      <c r="BZ23" s="3234"/>
      <c r="CA23" s="3234"/>
      <c r="CB23" s="3234"/>
      <c r="CC23" s="3234"/>
      <c r="CD23" s="3234"/>
      <c r="CE23" s="3234"/>
      <c r="CF23" s="3234"/>
      <c r="CG23" s="3234"/>
      <c r="CH23" s="3234"/>
      <c r="CI23" s="3234">
        <f t="shared" si="0"/>
        <v>0</v>
      </c>
    </row>
    <row r="24" spans="1:87">
      <c r="A24" s="1719" t="s">
        <v>4847</v>
      </c>
      <c r="B24" s="1720" t="s">
        <v>4845</v>
      </c>
      <c r="C24" s="1721" t="s">
        <v>1315</v>
      </c>
      <c r="D24" s="1007" t="s">
        <v>4219</v>
      </c>
      <c r="E24" s="1663" t="s">
        <v>141</v>
      </c>
      <c r="F24" s="2234">
        <v>0</v>
      </c>
      <c r="G24" s="481"/>
      <c r="H24" s="2234">
        <v>0</v>
      </c>
      <c r="I24" s="481"/>
      <c r="J24" s="481"/>
      <c r="K24" s="666"/>
      <c r="L24" s="277"/>
      <c r="M24" s="297">
        <f>L24/100000</f>
        <v>0</v>
      </c>
      <c r="N24" s="277"/>
      <c r="O24" s="297">
        <f>M24*N24</f>
        <v>0</v>
      </c>
      <c r="P24" s="667"/>
      <c r="Q24" s="1720">
        <f>'Abs10. NLEP'!Q34</f>
        <v>0</v>
      </c>
      <c r="R24" s="851">
        <f>'Abs10. NLEP'!R34</f>
        <v>0</v>
      </c>
      <c r="BB24" s="3234"/>
      <c r="BC24" s="3234"/>
      <c r="BD24" s="3234"/>
      <c r="BE24" s="3234"/>
      <c r="BF24" s="3234"/>
      <c r="BG24" s="3234"/>
      <c r="BH24" s="3234"/>
      <c r="BI24" s="3234"/>
      <c r="BJ24" s="3234"/>
      <c r="BK24" s="3234"/>
      <c r="BL24" s="3234"/>
      <c r="BM24" s="3234"/>
      <c r="BN24" s="3234"/>
      <c r="BO24" s="3234"/>
      <c r="BP24" s="3234"/>
      <c r="BQ24" s="3234"/>
      <c r="BR24" s="3234"/>
      <c r="BS24" s="3234"/>
      <c r="BT24" s="3234"/>
      <c r="BU24" s="3234"/>
      <c r="BV24" s="3234"/>
      <c r="BW24" s="3234"/>
      <c r="BX24" s="3234"/>
      <c r="BY24" s="3234"/>
      <c r="BZ24" s="3234"/>
      <c r="CA24" s="3234"/>
      <c r="CB24" s="3234"/>
      <c r="CC24" s="3234"/>
      <c r="CD24" s="3234"/>
      <c r="CE24" s="3234"/>
      <c r="CF24" s="3234"/>
      <c r="CG24" s="3234"/>
      <c r="CH24" s="3234"/>
      <c r="CI24" s="3234">
        <f t="shared" si="0"/>
        <v>0</v>
      </c>
    </row>
    <row r="25" spans="1:87">
      <c r="A25" s="1719" t="s">
        <v>4848</v>
      </c>
      <c r="B25" s="1719" t="s">
        <v>1316</v>
      </c>
      <c r="C25" s="508" t="s">
        <v>1304</v>
      </c>
      <c r="D25" s="1007" t="s">
        <v>4219</v>
      </c>
      <c r="E25" s="1663" t="s">
        <v>141</v>
      </c>
      <c r="F25" s="2234">
        <v>0</v>
      </c>
      <c r="G25" s="481"/>
      <c r="H25" s="2234">
        <v>0</v>
      </c>
      <c r="I25" s="481"/>
      <c r="J25" s="481"/>
      <c r="K25" s="666"/>
      <c r="L25" s="277"/>
      <c r="M25" s="297">
        <f>L25/100000</f>
        <v>0</v>
      </c>
      <c r="N25" s="277"/>
      <c r="O25" s="297">
        <f>M25*N25</f>
        <v>0</v>
      </c>
      <c r="P25" s="667"/>
      <c r="Q25" s="1720">
        <f>'Abs10. NLEP'!Q35</f>
        <v>0</v>
      </c>
      <c r="R25" s="851">
        <f>'Abs10. NLEP'!R35</f>
        <v>0</v>
      </c>
      <c r="BB25" s="3234"/>
      <c r="BC25" s="3234"/>
      <c r="BD25" s="3234"/>
      <c r="BE25" s="3234"/>
      <c r="BF25" s="3234"/>
      <c r="BG25" s="3234"/>
      <c r="BH25" s="3234"/>
      <c r="BI25" s="3234"/>
      <c r="BJ25" s="3234"/>
      <c r="BK25" s="3234"/>
      <c r="BL25" s="3234"/>
      <c r="BM25" s="3234"/>
      <c r="BN25" s="3234"/>
      <c r="BO25" s="3234"/>
      <c r="BP25" s="3234"/>
      <c r="BQ25" s="3234"/>
      <c r="BR25" s="3234"/>
      <c r="BS25" s="3234"/>
      <c r="BT25" s="3234"/>
      <c r="BU25" s="3234"/>
      <c r="BV25" s="3234"/>
      <c r="BW25" s="3234"/>
      <c r="BX25" s="3234"/>
      <c r="BY25" s="3234"/>
      <c r="BZ25" s="3234"/>
      <c r="CA25" s="3234"/>
      <c r="CB25" s="3234"/>
      <c r="CC25" s="3234"/>
      <c r="CD25" s="3234"/>
      <c r="CE25" s="3234"/>
      <c r="CF25" s="3234"/>
      <c r="CG25" s="3234"/>
      <c r="CH25" s="3234"/>
      <c r="CI25" s="3234">
        <f t="shared" si="0"/>
        <v>0</v>
      </c>
    </row>
    <row r="26" spans="1:87">
      <c r="A26" s="1722" t="s">
        <v>4851</v>
      </c>
      <c r="B26" s="1722">
        <v>15.5</v>
      </c>
      <c r="C26" s="1473" t="s">
        <v>4642</v>
      </c>
      <c r="D26" s="1724"/>
      <c r="E26" s="1725"/>
      <c r="F26" s="659"/>
      <c r="G26" s="659"/>
      <c r="H26" s="659"/>
      <c r="I26" s="659"/>
      <c r="J26" s="659"/>
      <c r="K26" s="669"/>
      <c r="L26" s="669"/>
      <c r="M26" s="1726"/>
      <c r="N26" s="670"/>
      <c r="O26" s="1727">
        <f>SUM(O27:O30)</f>
        <v>20.6</v>
      </c>
      <c r="P26" s="671"/>
      <c r="Q26" s="1728"/>
      <c r="R26" s="1727">
        <f>SUM(R27:R30)</f>
        <v>20.6</v>
      </c>
      <c r="BB26" s="3234"/>
      <c r="BC26" s="3234"/>
      <c r="BD26" s="3234"/>
      <c r="BE26" s="3234"/>
      <c r="BF26" s="3234"/>
      <c r="BG26" s="3234"/>
      <c r="BH26" s="3234"/>
      <c r="BI26" s="3234"/>
      <c r="BJ26" s="3234"/>
      <c r="BK26" s="3234"/>
      <c r="BL26" s="3234"/>
      <c r="BM26" s="3234"/>
      <c r="BN26" s="3234"/>
      <c r="BO26" s="3234"/>
      <c r="BP26" s="3234"/>
      <c r="BQ26" s="3234"/>
      <c r="BR26" s="3234"/>
      <c r="BS26" s="3234"/>
      <c r="BT26" s="3234"/>
      <c r="BU26" s="3234"/>
      <c r="BV26" s="3234"/>
      <c r="BW26" s="3234"/>
      <c r="BX26" s="3234"/>
      <c r="BY26" s="3234"/>
      <c r="BZ26" s="3234"/>
      <c r="CA26" s="3234"/>
      <c r="CB26" s="3234"/>
      <c r="CC26" s="3234"/>
      <c r="CD26" s="3234"/>
      <c r="CE26" s="3234"/>
      <c r="CF26" s="3234"/>
      <c r="CG26" s="3234"/>
      <c r="CH26" s="3234"/>
      <c r="CI26" s="3234">
        <f t="shared" si="0"/>
        <v>0</v>
      </c>
    </row>
    <row r="27" spans="1:87" s="1709" customFormat="1" ht="138" customHeight="1">
      <c r="A27" s="2400" t="s">
        <v>4852</v>
      </c>
      <c r="B27" s="1719" t="s">
        <v>3771</v>
      </c>
      <c r="C27" s="1729" t="s">
        <v>5096</v>
      </c>
      <c r="D27" s="2254" t="s">
        <v>4219</v>
      </c>
      <c r="E27" s="1356" t="s">
        <v>4525</v>
      </c>
      <c r="F27" s="2401">
        <v>21</v>
      </c>
      <c r="G27" s="2402">
        <v>1023</v>
      </c>
      <c r="H27" s="2403">
        <v>21.6</v>
      </c>
      <c r="I27" s="2404">
        <v>6</v>
      </c>
      <c r="J27" s="2402">
        <v>2</v>
      </c>
      <c r="K27" s="2405">
        <v>1</v>
      </c>
      <c r="L27" s="2368">
        <v>43000</v>
      </c>
      <c r="M27" s="298">
        <f>L27/100000</f>
        <v>0.43</v>
      </c>
      <c r="N27" s="2368">
        <v>20</v>
      </c>
      <c r="O27" s="298">
        <f>M27*N27</f>
        <v>8.6</v>
      </c>
      <c r="P27" s="2406" t="s">
        <v>5179</v>
      </c>
      <c r="Q27" s="3236" t="str">
        <f>'Abs11. NTEP'!Q52</f>
        <v>Recommended Rs 5 lakhs for 2 DR-TB centers in private sector and Rs 3.6 lakhs for 18 DMCs in private sector (same fund as approved in 2020-21)</v>
      </c>
      <c r="R27" s="1731">
        <f>'Abs11. NTEP'!R52</f>
        <v>8.6</v>
      </c>
      <c r="BB27" s="3235"/>
      <c r="BC27" s="3235">
        <v>0.2</v>
      </c>
      <c r="BD27" s="3235">
        <v>0.2</v>
      </c>
      <c r="BE27" s="3235">
        <v>0.2</v>
      </c>
      <c r="BF27" s="3235">
        <v>3.1</v>
      </c>
      <c r="BG27" s="3235">
        <v>0</v>
      </c>
      <c r="BH27" s="3235">
        <v>0.4</v>
      </c>
      <c r="BI27" s="3235">
        <v>0</v>
      </c>
      <c r="BJ27" s="3235">
        <v>0.6</v>
      </c>
      <c r="BK27" s="3235">
        <v>0.8</v>
      </c>
      <c r="BL27" s="3235">
        <v>0.2</v>
      </c>
      <c r="BM27" s="3235">
        <v>2.7</v>
      </c>
      <c r="BN27" s="3235">
        <v>0.2</v>
      </c>
      <c r="BO27" s="3235"/>
      <c r="BP27" s="3235"/>
      <c r="BQ27" s="3235"/>
      <c r="BR27" s="3235"/>
      <c r="BS27" s="3235"/>
      <c r="BT27" s="3235"/>
      <c r="BU27" s="3235"/>
      <c r="BV27" s="3235"/>
      <c r="BW27" s="3235"/>
      <c r="BX27" s="3235"/>
      <c r="BY27" s="3235"/>
      <c r="BZ27" s="3235"/>
      <c r="CA27" s="3235"/>
      <c r="CB27" s="3235"/>
      <c r="CC27" s="3235"/>
      <c r="CD27" s="3235"/>
      <c r="CE27" s="3235"/>
      <c r="CF27" s="3235"/>
      <c r="CG27" s="3235"/>
      <c r="CH27" s="3235"/>
      <c r="CI27" s="3234">
        <f t="shared" si="0"/>
        <v>8.6</v>
      </c>
    </row>
    <row r="28" spans="1:87" s="1709" customFormat="1">
      <c r="A28" s="3139" t="s">
        <v>5940</v>
      </c>
      <c r="B28" s="1310" t="s">
        <v>4849</v>
      </c>
      <c r="C28" s="1310" t="s">
        <v>2268</v>
      </c>
      <c r="D28" s="2254" t="s">
        <v>4219</v>
      </c>
      <c r="E28" s="1356" t="s">
        <v>4525</v>
      </c>
      <c r="F28" s="2227">
        <v>0</v>
      </c>
      <c r="G28" s="273"/>
      <c r="H28" s="2227">
        <v>0</v>
      </c>
      <c r="I28" s="2398"/>
      <c r="J28" s="2398"/>
      <c r="K28" s="2407"/>
      <c r="L28" s="2368"/>
      <c r="M28" s="298">
        <f>L28/100000</f>
        <v>0</v>
      </c>
      <c r="N28" s="2368"/>
      <c r="O28" s="298">
        <f>M28*N28</f>
        <v>0</v>
      </c>
      <c r="P28" s="676"/>
      <c r="Q28" s="1719">
        <f>'Abs11. NTEP'!Q53</f>
        <v>0</v>
      </c>
      <c r="R28" s="1731">
        <f>'Abs11. NTEP'!R53</f>
        <v>0</v>
      </c>
      <c r="BB28" s="3235"/>
      <c r="BC28" s="3235"/>
      <c r="BD28" s="3235"/>
      <c r="BE28" s="3235"/>
      <c r="BF28" s="3235"/>
      <c r="BG28" s="3235"/>
      <c r="BH28" s="3235"/>
      <c r="BI28" s="3235"/>
      <c r="BJ28" s="3235"/>
      <c r="BK28" s="3235"/>
      <c r="BL28" s="3235"/>
      <c r="BM28" s="3235"/>
      <c r="BN28" s="3235"/>
      <c r="BO28" s="3235"/>
      <c r="BP28" s="3235"/>
      <c r="BQ28" s="3235"/>
      <c r="BR28" s="3235"/>
      <c r="BS28" s="3235"/>
      <c r="BT28" s="3235"/>
      <c r="BU28" s="3235"/>
      <c r="BV28" s="3235"/>
      <c r="BW28" s="3235"/>
      <c r="BX28" s="3235"/>
      <c r="BY28" s="3235"/>
      <c r="BZ28" s="3235"/>
      <c r="CA28" s="3235"/>
      <c r="CB28" s="3235"/>
      <c r="CC28" s="3235"/>
      <c r="CD28" s="3235"/>
      <c r="CE28" s="3235"/>
      <c r="CF28" s="3235"/>
      <c r="CG28" s="3235"/>
      <c r="CH28" s="3235"/>
      <c r="CI28" s="3234">
        <f t="shared" si="0"/>
        <v>0</v>
      </c>
    </row>
    <row r="29" spans="1:87" s="1709" customFormat="1" ht="75">
      <c r="A29" s="3139" t="s">
        <v>5095</v>
      </c>
      <c r="B29" s="1310" t="s">
        <v>4850</v>
      </c>
      <c r="C29" s="1031" t="s">
        <v>3928</v>
      </c>
      <c r="D29" s="2254" t="s">
        <v>4219</v>
      </c>
      <c r="E29" s="1356" t="s">
        <v>4525</v>
      </c>
      <c r="F29" s="2227">
        <v>2500</v>
      </c>
      <c r="G29" s="273"/>
      <c r="H29" s="2227">
        <v>22.5</v>
      </c>
      <c r="I29" s="2398">
        <v>2.75</v>
      </c>
      <c r="J29" s="2398">
        <v>5</v>
      </c>
      <c r="K29" s="2407">
        <v>1</v>
      </c>
      <c r="L29" s="2368">
        <v>1000</v>
      </c>
      <c r="M29" s="298">
        <f>L29/100000</f>
        <v>0.01</v>
      </c>
      <c r="N29" s="2368">
        <v>1200</v>
      </c>
      <c r="O29" s="298">
        <f>M29*N29</f>
        <v>12</v>
      </c>
      <c r="P29" s="2406" t="s">
        <v>5180</v>
      </c>
      <c r="Q29" s="1310" t="str">
        <f>'Abs11. NTEP'!Q54</f>
        <v xml:space="preserve">Recommended Rs 12 lakhs towards Incentives to private practitioners @ Rs. 1000/-patient to  estimated 1200 patients ( for TB notification and outcome). </v>
      </c>
      <c r="R29" s="1731">
        <f>'Abs11. NTEP'!R54</f>
        <v>12</v>
      </c>
      <c r="BB29" s="3235"/>
      <c r="BC29" s="3235">
        <v>0.45</v>
      </c>
      <c r="BD29" s="3235">
        <v>0.5</v>
      </c>
      <c r="BE29" s="3235">
        <v>0.7</v>
      </c>
      <c r="BF29" s="3235">
        <v>1.25</v>
      </c>
      <c r="BG29" s="3235">
        <v>0.05</v>
      </c>
      <c r="BH29" s="3235">
        <v>0.7</v>
      </c>
      <c r="BI29" s="3235">
        <v>0</v>
      </c>
      <c r="BJ29" s="3235">
        <v>1.25</v>
      </c>
      <c r="BK29" s="3235">
        <v>1.3</v>
      </c>
      <c r="BL29" s="3235">
        <v>1.5</v>
      </c>
      <c r="BM29" s="3235">
        <v>2.2999999999999998</v>
      </c>
      <c r="BN29" s="3235">
        <v>2</v>
      </c>
      <c r="BO29" s="3235"/>
      <c r="BP29" s="3235"/>
      <c r="BQ29" s="3235"/>
      <c r="BR29" s="3235"/>
      <c r="BS29" s="3235"/>
      <c r="BT29" s="3235"/>
      <c r="BU29" s="3235"/>
      <c r="BV29" s="3235"/>
      <c r="BW29" s="3235"/>
      <c r="BX29" s="3235"/>
      <c r="BY29" s="3235"/>
      <c r="BZ29" s="3235"/>
      <c r="CA29" s="3235"/>
      <c r="CB29" s="3235"/>
      <c r="CC29" s="3235"/>
      <c r="CD29" s="3235"/>
      <c r="CE29" s="3235"/>
      <c r="CF29" s="3235"/>
      <c r="CG29" s="3235"/>
      <c r="CH29" s="3235"/>
      <c r="CI29" s="3234">
        <f t="shared" si="0"/>
        <v>12</v>
      </c>
    </row>
    <row r="30" spans="1:87" s="1709" customFormat="1">
      <c r="A30" s="3139" t="s">
        <v>5941</v>
      </c>
      <c r="B30" s="1310" t="s">
        <v>4382</v>
      </c>
      <c r="C30" s="2408" t="s">
        <v>4383</v>
      </c>
      <c r="D30" s="2254" t="s">
        <v>4219</v>
      </c>
      <c r="E30" s="1356" t="s">
        <v>4525</v>
      </c>
      <c r="F30" s="2227">
        <v>0</v>
      </c>
      <c r="G30" s="273"/>
      <c r="H30" s="2227">
        <v>0</v>
      </c>
      <c r="I30" s="2398"/>
      <c r="J30" s="2398"/>
      <c r="K30" s="2407"/>
      <c r="L30" s="2368"/>
      <c r="M30" s="298">
        <f>L30/100000</f>
        <v>0</v>
      </c>
      <c r="N30" s="2368"/>
      <c r="O30" s="298">
        <f>M30*N30</f>
        <v>0</v>
      </c>
      <c r="P30" s="676"/>
      <c r="Q30" s="1719">
        <f>'Abs11. NTEP'!Q55</f>
        <v>0</v>
      </c>
      <c r="R30" s="1731">
        <f>'Abs11. NTEP'!R55</f>
        <v>0</v>
      </c>
      <c r="BB30" s="3235"/>
      <c r="BC30" s="3235"/>
      <c r="BD30" s="3235"/>
      <c r="BE30" s="3235"/>
      <c r="BF30" s="3235"/>
      <c r="BG30" s="3235"/>
      <c r="BH30" s="3235"/>
      <c r="BI30" s="3235"/>
      <c r="BJ30" s="3235"/>
      <c r="BK30" s="3235"/>
      <c r="BL30" s="3235"/>
      <c r="BM30" s="3235"/>
      <c r="BN30" s="3235"/>
      <c r="BO30" s="3235"/>
      <c r="BP30" s="3235"/>
      <c r="BQ30" s="3235"/>
      <c r="BR30" s="3235"/>
      <c r="BS30" s="3235"/>
      <c r="BT30" s="3235"/>
      <c r="BU30" s="3235"/>
      <c r="BV30" s="3235"/>
      <c r="BW30" s="3235"/>
      <c r="BX30" s="3235"/>
      <c r="BY30" s="3235"/>
      <c r="BZ30" s="3235"/>
      <c r="CA30" s="3235"/>
      <c r="CB30" s="3235"/>
      <c r="CC30" s="3235"/>
      <c r="CD30" s="3235"/>
      <c r="CE30" s="3235"/>
      <c r="CF30" s="3235"/>
      <c r="CG30" s="3235"/>
      <c r="CH30" s="3235"/>
      <c r="CI30" s="3234">
        <f t="shared" si="0"/>
        <v>0</v>
      </c>
    </row>
    <row r="31" spans="1:87">
      <c r="A31" s="1722" t="s">
        <v>4853</v>
      </c>
      <c r="B31" s="1722"/>
      <c r="C31" s="1473" t="s">
        <v>4854</v>
      </c>
      <c r="D31" s="1724"/>
      <c r="E31" s="1725"/>
      <c r="F31" s="659"/>
      <c r="G31" s="659"/>
      <c r="H31" s="659"/>
      <c r="I31" s="659"/>
      <c r="J31" s="659"/>
      <c r="K31" s="669"/>
      <c r="L31" s="669"/>
      <c r="M31" s="1726"/>
      <c r="N31" s="670"/>
      <c r="O31" s="1727">
        <f>O32</f>
        <v>0</v>
      </c>
      <c r="P31" s="671"/>
      <c r="Q31" s="1728"/>
      <c r="R31" s="1727">
        <f>R32</f>
        <v>0</v>
      </c>
      <c r="BB31" s="3234"/>
      <c r="BC31" s="3234"/>
      <c r="BD31" s="3234"/>
      <c r="BE31" s="3234"/>
      <c r="BF31" s="3234"/>
      <c r="BG31" s="3234"/>
      <c r="BH31" s="3234"/>
      <c r="BI31" s="3234"/>
      <c r="BJ31" s="3234"/>
      <c r="BK31" s="3234"/>
      <c r="BL31" s="3234"/>
      <c r="BM31" s="3234"/>
      <c r="BN31" s="3234"/>
      <c r="BO31" s="3234"/>
      <c r="BP31" s="3234"/>
      <c r="BQ31" s="3234"/>
      <c r="BR31" s="3234"/>
      <c r="BS31" s="3234"/>
      <c r="BT31" s="3234"/>
      <c r="BU31" s="3234"/>
      <c r="BV31" s="3234"/>
      <c r="BW31" s="3234"/>
      <c r="BX31" s="3234"/>
      <c r="BY31" s="3234"/>
      <c r="BZ31" s="3234"/>
      <c r="CA31" s="3234"/>
      <c r="CB31" s="3234"/>
      <c r="CC31" s="3234"/>
      <c r="CD31" s="3234"/>
      <c r="CE31" s="3234"/>
      <c r="CF31" s="3234"/>
      <c r="CG31" s="3234"/>
      <c r="CH31" s="3234"/>
      <c r="CI31" s="3234">
        <f t="shared" si="0"/>
        <v>0</v>
      </c>
    </row>
    <row r="32" spans="1:87" s="1709" customFormat="1">
      <c r="A32" s="1719" t="s">
        <v>4855</v>
      </c>
      <c r="B32" s="1733" t="s">
        <v>4268</v>
      </c>
      <c r="C32" s="521" t="s">
        <v>4269</v>
      </c>
      <c r="D32" s="1007" t="s">
        <v>4219</v>
      </c>
      <c r="E32" s="1734" t="s">
        <v>3223</v>
      </c>
      <c r="F32" s="484">
        <v>0</v>
      </c>
      <c r="G32" s="484"/>
      <c r="H32" s="484">
        <v>0</v>
      </c>
      <c r="I32" s="484"/>
      <c r="J32" s="484"/>
      <c r="K32" s="674"/>
      <c r="L32" s="277"/>
      <c r="M32" s="297">
        <f>L32/100000</f>
        <v>0</v>
      </c>
      <c r="N32" s="277"/>
      <c r="O32" s="298">
        <f>M32*N32</f>
        <v>0</v>
      </c>
      <c r="P32" s="675"/>
      <c r="Q32" s="1719">
        <f>'Abs12. NVHCP'!Q39</f>
        <v>0</v>
      </c>
      <c r="R32" s="686">
        <f>'Abs12. NVHCP'!R39</f>
        <v>0</v>
      </c>
      <c r="BB32" s="3235"/>
      <c r="BC32" s="3235"/>
      <c r="BD32" s="3235"/>
      <c r="BE32" s="3235"/>
      <c r="BF32" s="3235"/>
      <c r="BG32" s="3235"/>
      <c r="BH32" s="3235"/>
      <c r="BI32" s="3235"/>
      <c r="BJ32" s="3235"/>
      <c r="BK32" s="3235"/>
      <c r="BL32" s="3235"/>
      <c r="BM32" s="3235"/>
      <c r="BN32" s="3235"/>
      <c r="BO32" s="3235"/>
      <c r="BP32" s="3235"/>
      <c r="BQ32" s="3235"/>
      <c r="BR32" s="3235"/>
      <c r="BS32" s="3235"/>
      <c r="BT32" s="3235"/>
      <c r="BU32" s="3235"/>
      <c r="BV32" s="3235"/>
      <c r="BW32" s="3235"/>
      <c r="BX32" s="3235"/>
      <c r="BY32" s="3235"/>
      <c r="BZ32" s="3235"/>
      <c r="CA32" s="3235"/>
      <c r="CB32" s="3235"/>
      <c r="CC32" s="3235"/>
      <c r="CD32" s="3235"/>
      <c r="CE32" s="3235"/>
      <c r="CF32" s="3235"/>
      <c r="CG32" s="3235"/>
      <c r="CH32" s="3235"/>
      <c r="CI32" s="3234">
        <f t="shared" si="0"/>
        <v>0</v>
      </c>
    </row>
    <row r="33" spans="1:87" s="1709" customFormat="1">
      <c r="A33" s="1735" t="s">
        <v>4856</v>
      </c>
      <c r="B33" s="521"/>
      <c r="C33" s="958" t="s">
        <v>4857</v>
      </c>
      <c r="D33" s="2254" t="s">
        <v>4219</v>
      </c>
      <c r="E33" s="1734" t="s">
        <v>4822</v>
      </c>
      <c r="F33" s="2231"/>
      <c r="G33" s="484"/>
      <c r="H33" s="2231"/>
      <c r="I33" s="484"/>
      <c r="J33" s="484"/>
      <c r="K33" s="674"/>
      <c r="L33" s="283"/>
      <c r="M33" s="298">
        <f>L33/100000</f>
        <v>0</v>
      </c>
      <c r="N33" s="283"/>
      <c r="O33" s="298">
        <f>M33*N33</f>
        <v>0</v>
      </c>
      <c r="P33" s="676"/>
      <c r="Q33" s="675"/>
      <c r="R33" s="2273"/>
      <c r="BB33" s="3235"/>
      <c r="BC33" s="3235"/>
      <c r="BD33" s="3235"/>
      <c r="BE33" s="3235"/>
      <c r="BF33" s="3235"/>
      <c r="BG33" s="3235"/>
      <c r="BH33" s="3235"/>
      <c r="BI33" s="3235"/>
      <c r="BJ33" s="3235"/>
      <c r="BK33" s="3235"/>
      <c r="BL33" s="3235"/>
      <c r="BM33" s="3235"/>
      <c r="BN33" s="3235"/>
      <c r="BO33" s="3235"/>
      <c r="BP33" s="3235"/>
      <c r="BQ33" s="3235"/>
      <c r="BR33" s="3235"/>
      <c r="BS33" s="3235"/>
      <c r="BT33" s="3235"/>
      <c r="BU33" s="3235"/>
      <c r="BV33" s="3235"/>
      <c r="BW33" s="3235"/>
      <c r="BX33" s="3235"/>
      <c r="BY33" s="3235"/>
      <c r="BZ33" s="3235"/>
      <c r="CA33" s="3235"/>
      <c r="CB33" s="3235"/>
      <c r="CC33" s="3235"/>
      <c r="CD33" s="3235"/>
      <c r="CE33" s="3235"/>
      <c r="CF33" s="3235"/>
      <c r="CG33" s="3235"/>
      <c r="CH33" s="3235"/>
      <c r="CI33" s="3234">
        <f t="shared" si="0"/>
        <v>0</v>
      </c>
    </row>
    <row r="34" spans="1:87" s="1709" customFormat="1">
      <c r="A34" s="1714">
        <v>15.4</v>
      </c>
      <c r="B34" s="1715"/>
      <c r="C34" s="1716" t="s">
        <v>4871</v>
      </c>
      <c r="D34" s="1717"/>
      <c r="E34" s="1718"/>
      <c r="F34" s="657"/>
      <c r="G34" s="657"/>
      <c r="H34" s="657"/>
      <c r="I34" s="657"/>
      <c r="J34" s="657"/>
      <c r="K34" s="658"/>
      <c r="L34" s="658"/>
      <c r="M34" s="208"/>
      <c r="N34" s="658"/>
      <c r="O34" s="208">
        <f>SUM(O35:O37)+SUM(O46:O47)+SUM(O52:O53)</f>
        <v>230</v>
      </c>
      <c r="P34" s="658"/>
      <c r="Q34" s="1716"/>
      <c r="R34" s="208">
        <f>SUM(R35:R37)+SUM(R46:R47)+SUM(R52:R53)</f>
        <v>230</v>
      </c>
      <c r="BB34" s="3235"/>
      <c r="BC34" s="3235"/>
      <c r="BD34" s="3235"/>
      <c r="BE34" s="3235"/>
      <c r="BF34" s="3235"/>
      <c r="BG34" s="3235"/>
      <c r="BH34" s="3235"/>
      <c r="BI34" s="3235"/>
      <c r="BJ34" s="3235"/>
      <c r="BK34" s="3235"/>
      <c r="BL34" s="3235"/>
      <c r="BM34" s="3235"/>
      <c r="BN34" s="3235"/>
      <c r="BO34" s="3235"/>
      <c r="BP34" s="3235"/>
      <c r="BQ34" s="3235"/>
      <c r="BR34" s="3235"/>
      <c r="BS34" s="3235"/>
      <c r="BT34" s="3235"/>
      <c r="BU34" s="3235"/>
      <c r="BV34" s="3235"/>
      <c r="BW34" s="3235"/>
      <c r="BX34" s="3235"/>
      <c r="BY34" s="3235"/>
      <c r="BZ34" s="3235"/>
      <c r="CA34" s="3235"/>
      <c r="CB34" s="3235"/>
      <c r="CC34" s="3235"/>
      <c r="CD34" s="3235"/>
      <c r="CE34" s="3235"/>
      <c r="CF34" s="3235"/>
      <c r="CG34" s="3235"/>
      <c r="CH34" s="3235"/>
      <c r="CI34" s="3234">
        <f t="shared" si="0"/>
        <v>0</v>
      </c>
    </row>
    <row r="35" spans="1:87">
      <c r="A35" s="1719" t="s">
        <v>1314</v>
      </c>
      <c r="B35" s="1532" t="s">
        <v>4859</v>
      </c>
      <c r="C35" s="1532" t="s">
        <v>4858</v>
      </c>
      <c r="D35" s="913" t="s">
        <v>80</v>
      </c>
      <c r="E35" s="1557" t="s">
        <v>1014</v>
      </c>
      <c r="F35" s="2217">
        <v>0</v>
      </c>
      <c r="G35" s="430"/>
      <c r="H35" s="2217">
        <v>0</v>
      </c>
      <c r="I35" s="430"/>
      <c r="J35" s="430"/>
      <c r="K35" s="666"/>
      <c r="L35" s="277"/>
      <c r="M35" s="297">
        <f>L35/100000</f>
        <v>0</v>
      </c>
      <c r="N35" s="277"/>
      <c r="O35" s="297">
        <f>M35*N35</f>
        <v>0</v>
      </c>
      <c r="P35" s="667"/>
      <c r="Q35" s="1720">
        <f>'Abs22. NPPCD'!Q21</f>
        <v>0</v>
      </c>
      <c r="R35" s="851">
        <f>'Abs22. NPPCD'!R21</f>
        <v>0</v>
      </c>
      <c r="BB35" s="3234"/>
      <c r="BC35" s="3234"/>
      <c r="BD35" s="3234"/>
      <c r="BE35" s="3234"/>
      <c r="BF35" s="3234"/>
      <c r="BG35" s="3234"/>
      <c r="BH35" s="3234"/>
      <c r="BI35" s="3234"/>
      <c r="BJ35" s="3234"/>
      <c r="BK35" s="3234"/>
      <c r="BL35" s="3234"/>
      <c r="BM35" s="3234"/>
      <c r="BN35" s="3234"/>
      <c r="BO35" s="3234"/>
      <c r="BP35" s="3234"/>
      <c r="BQ35" s="3234"/>
      <c r="BR35" s="3234"/>
      <c r="BS35" s="3234"/>
      <c r="BT35" s="3234"/>
      <c r="BU35" s="3234"/>
      <c r="BV35" s="3234"/>
      <c r="BW35" s="3234"/>
      <c r="BX35" s="3234"/>
      <c r="BY35" s="3234"/>
      <c r="BZ35" s="3234"/>
      <c r="CA35" s="3234"/>
      <c r="CB35" s="3234"/>
      <c r="CC35" s="3234"/>
      <c r="CD35" s="3234"/>
      <c r="CE35" s="3234"/>
      <c r="CF35" s="3234"/>
      <c r="CG35" s="3234"/>
      <c r="CH35" s="3234"/>
      <c r="CI35" s="3234">
        <f t="shared" si="0"/>
        <v>0</v>
      </c>
    </row>
    <row r="36" spans="1:87" s="1709" customFormat="1" ht="30">
      <c r="A36" s="1719" t="s">
        <v>1316</v>
      </c>
      <c r="B36" s="1310" t="s">
        <v>4861</v>
      </c>
      <c r="C36" s="1310" t="s">
        <v>4332</v>
      </c>
      <c r="D36" s="2264" t="s">
        <v>80</v>
      </c>
      <c r="E36" s="1734" t="s">
        <v>81</v>
      </c>
      <c r="F36" s="2231">
        <v>0</v>
      </c>
      <c r="G36" s="484"/>
      <c r="H36" s="2231">
        <v>0</v>
      </c>
      <c r="I36" s="484">
        <v>16.18</v>
      </c>
      <c r="J36" s="484"/>
      <c r="K36" s="2363"/>
      <c r="L36" s="2477">
        <v>2000</v>
      </c>
      <c r="M36" s="298">
        <f>L36/100000</f>
        <v>0.02</v>
      </c>
      <c r="N36" s="2477">
        <v>4000</v>
      </c>
      <c r="O36" s="298">
        <f>M36*N36</f>
        <v>80</v>
      </c>
      <c r="P36" s="676"/>
      <c r="Q36" s="1719" t="str">
        <f>'Abs15. NPCB'!Q33</f>
        <v>Recommended</v>
      </c>
      <c r="R36" s="1731">
        <f>'Abs15. NPCB'!R33</f>
        <v>80</v>
      </c>
      <c r="BB36" s="3235">
        <v>52.5</v>
      </c>
      <c r="BC36" s="3235"/>
      <c r="BD36" s="3235"/>
      <c r="BE36" s="3235"/>
      <c r="BF36" s="3235"/>
      <c r="BG36" s="3235"/>
      <c r="BH36" s="3235"/>
      <c r="BI36" s="3235"/>
      <c r="BJ36" s="3235"/>
      <c r="BK36" s="3235">
        <v>2.5</v>
      </c>
      <c r="BL36" s="3235"/>
      <c r="BM36" s="3235">
        <v>5</v>
      </c>
      <c r="BN36" s="3235">
        <v>20</v>
      </c>
      <c r="BO36" s="3235"/>
      <c r="BP36" s="3235"/>
      <c r="BQ36" s="3235"/>
      <c r="BR36" s="3235"/>
      <c r="BS36" s="3235"/>
      <c r="BT36" s="3235"/>
      <c r="BU36" s="3235"/>
      <c r="BV36" s="3235"/>
      <c r="BW36" s="3235"/>
      <c r="BX36" s="3235"/>
      <c r="BY36" s="3235"/>
      <c r="BZ36" s="3235"/>
      <c r="CA36" s="3235"/>
      <c r="CB36" s="3235"/>
      <c r="CC36" s="3235"/>
      <c r="CD36" s="3235"/>
      <c r="CE36" s="3235"/>
      <c r="CF36" s="3235"/>
      <c r="CG36" s="3235"/>
      <c r="CH36" s="3235"/>
      <c r="CI36" s="3234">
        <f t="shared" si="0"/>
        <v>80</v>
      </c>
    </row>
    <row r="37" spans="1:87">
      <c r="A37" s="1735" t="s">
        <v>4872</v>
      </c>
      <c r="B37" s="1736" t="s">
        <v>4862</v>
      </c>
      <c r="C37" s="1678" t="s">
        <v>4860</v>
      </c>
      <c r="D37" s="1737"/>
      <c r="E37" s="1738"/>
      <c r="F37" s="677"/>
      <c r="G37" s="677"/>
      <c r="H37" s="677"/>
      <c r="I37" s="677"/>
      <c r="J37" s="677"/>
      <c r="K37" s="672"/>
      <c r="L37" s="672"/>
      <c r="M37" s="215"/>
      <c r="N37" s="660"/>
      <c r="O37" s="215">
        <f>SUM(O38:O45)</f>
        <v>0</v>
      </c>
      <c r="P37" s="673"/>
      <c r="Q37" s="1735"/>
      <c r="R37" s="215">
        <f>SUM(R38:R45)</f>
        <v>0</v>
      </c>
      <c r="BB37" s="3234"/>
      <c r="BC37" s="3234"/>
      <c r="BD37" s="3234"/>
      <c r="BE37" s="3234"/>
      <c r="BF37" s="3234"/>
      <c r="BG37" s="3234"/>
      <c r="BH37" s="3234"/>
      <c r="BI37" s="3234"/>
      <c r="BJ37" s="3234"/>
      <c r="BK37" s="3234"/>
      <c r="BL37" s="3234"/>
      <c r="BM37" s="3234"/>
      <c r="BN37" s="3234"/>
      <c r="BO37" s="3234"/>
      <c r="BP37" s="3234"/>
      <c r="BQ37" s="3234"/>
      <c r="BR37" s="3234"/>
      <c r="BS37" s="3234"/>
      <c r="BT37" s="3234"/>
      <c r="BU37" s="3234"/>
      <c r="BV37" s="3234"/>
      <c r="BW37" s="3234"/>
      <c r="BX37" s="3234"/>
      <c r="BY37" s="3234"/>
      <c r="BZ37" s="3234"/>
      <c r="CA37" s="3234"/>
      <c r="CB37" s="3234"/>
      <c r="CC37" s="3234"/>
      <c r="CD37" s="3234"/>
      <c r="CE37" s="3234"/>
      <c r="CF37" s="3234"/>
      <c r="CG37" s="3234"/>
      <c r="CH37" s="3234"/>
      <c r="CI37" s="3234">
        <f t="shared" si="0"/>
        <v>0</v>
      </c>
    </row>
    <row r="38" spans="1:87">
      <c r="A38" s="1730" t="s">
        <v>4846</v>
      </c>
      <c r="B38" s="1732" t="s">
        <v>1317</v>
      </c>
      <c r="C38" s="1721" t="s">
        <v>4333</v>
      </c>
      <c r="D38" s="1549" t="s">
        <v>80</v>
      </c>
      <c r="E38" s="1557" t="s">
        <v>81</v>
      </c>
      <c r="F38" s="2217">
        <v>0</v>
      </c>
      <c r="G38" s="430"/>
      <c r="H38" s="2217">
        <v>0</v>
      </c>
      <c r="I38" s="430"/>
      <c r="J38" s="430"/>
      <c r="K38" s="275"/>
      <c r="L38" s="277"/>
      <c r="M38" s="297">
        <f>L38/100000</f>
        <v>0</v>
      </c>
      <c r="N38" s="277"/>
      <c r="O38" s="297">
        <f>M38*N38</f>
        <v>0</v>
      </c>
      <c r="P38" s="668"/>
      <c r="Q38" s="1720">
        <f>'Abs15. NPCB'!Q34</f>
        <v>0</v>
      </c>
      <c r="R38" s="851">
        <f>'Abs15. NPCB'!R34</f>
        <v>0</v>
      </c>
      <c r="BB38" s="3234"/>
      <c r="BC38" s="3234"/>
      <c r="BD38" s="3234"/>
      <c r="BE38" s="3234"/>
      <c r="BF38" s="3234"/>
      <c r="BG38" s="3234"/>
      <c r="BH38" s="3234"/>
      <c r="BI38" s="3234"/>
      <c r="BJ38" s="3234"/>
      <c r="BK38" s="3234"/>
      <c r="BL38" s="3234"/>
      <c r="BM38" s="3234"/>
      <c r="BN38" s="3234"/>
      <c r="BO38" s="3234"/>
      <c r="BP38" s="3234"/>
      <c r="BQ38" s="3234"/>
      <c r="BR38" s="3234"/>
      <c r="BS38" s="3234"/>
      <c r="BT38" s="3234"/>
      <c r="BU38" s="3234"/>
      <c r="BV38" s="3234"/>
      <c r="BW38" s="3234"/>
      <c r="BX38" s="3234"/>
      <c r="BY38" s="3234"/>
      <c r="BZ38" s="3234"/>
      <c r="CA38" s="3234"/>
      <c r="CB38" s="3234"/>
      <c r="CC38" s="3234"/>
      <c r="CD38" s="3234"/>
      <c r="CE38" s="3234"/>
      <c r="CF38" s="3234"/>
      <c r="CG38" s="3234"/>
      <c r="CH38" s="3234"/>
      <c r="CI38" s="3234">
        <f t="shared" si="0"/>
        <v>0</v>
      </c>
    </row>
    <row r="39" spans="1:87">
      <c r="A39" s="1730" t="s">
        <v>4873</v>
      </c>
      <c r="B39" s="1732" t="s">
        <v>1318</v>
      </c>
      <c r="C39" s="1721" t="s">
        <v>4334</v>
      </c>
      <c r="D39" s="1549" t="s">
        <v>80</v>
      </c>
      <c r="E39" s="1557" t="s">
        <v>81</v>
      </c>
      <c r="F39" s="2217">
        <v>0</v>
      </c>
      <c r="G39" s="430"/>
      <c r="H39" s="2217">
        <v>0</v>
      </c>
      <c r="I39" s="430"/>
      <c r="J39" s="430"/>
      <c r="K39" s="666"/>
      <c r="L39" s="277"/>
      <c r="M39" s="297">
        <f>L39/100000</f>
        <v>0</v>
      </c>
      <c r="N39" s="277"/>
      <c r="O39" s="297">
        <f>M39*N39</f>
        <v>0</v>
      </c>
      <c r="P39" s="668"/>
      <c r="Q39" s="1720">
        <f>'Abs15. NPCB'!Q35</f>
        <v>0</v>
      </c>
      <c r="R39" s="851">
        <f>'Abs15. NPCB'!R35</f>
        <v>0</v>
      </c>
      <c r="BB39" s="3234"/>
      <c r="BC39" s="3234"/>
      <c r="BD39" s="3234"/>
      <c r="BE39" s="3234"/>
      <c r="BF39" s="3234"/>
      <c r="BG39" s="3234"/>
      <c r="BH39" s="3234"/>
      <c r="BI39" s="3234"/>
      <c r="BJ39" s="3234"/>
      <c r="BK39" s="3234"/>
      <c r="BL39" s="3234"/>
      <c r="BM39" s="3234"/>
      <c r="BN39" s="3234"/>
      <c r="BO39" s="3234"/>
      <c r="BP39" s="3234"/>
      <c r="BQ39" s="3234"/>
      <c r="BR39" s="3234"/>
      <c r="BS39" s="3234"/>
      <c r="BT39" s="3234"/>
      <c r="BU39" s="3234"/>
      <c r="BV39" s="3234"/>
      <c r="BW39" s="3234"/>
      <c r="BX39" s="3234"/>
      <c r="BY39" s="3234"/>
      <c r="BZ39" s="3234"/>
      <c r="CA39" s="3234"/>
      <c r="CB39" s="3234"/>
      <c r="CC39" s="3234"/>
      <c r="CD39" s="3234"/>
      <c r="CE39" s="3234"/>
      <c r="CF39" s="3234"/>
      <c r="CG39" s="3234"/>
      <c r="CH39" s="3234"/>
      <c r="CI39" s="3234">
        <f t="shared" si="0"/>
        <v>0</v>
      </c>
    </row>
    <row r="40" spans="1:87">
      <c r="A40" s="1730" t="s">
        <v>5095</v>
      </c>
      <c r="B40" s="1732" t="s">
        <v>1319</v>
      </c>
      <c r="C40" s="1721" t="s">
        <v>4335</v>
      </c>
      <c r="D40" s="1549" t="s">
        <v>80</v>
      </c>
      <c r="E40" s="1557" t="s">
        <v>81</v>
      </c>
      <c r="F40" s="2217">
        <v>0</v>
      </c>
      <c r="G40" s="430"/>
      <c r="H40" s="2217">
        <v>0</v>
      </c>
      <c r="I40" s="430"/>
      <c r="J40" s="430"/>
      <c r="K40" s="275"/>
      <c r="L40" s="277"/>
      <c r="M40" s="297">
        <f>L40/100000</f>
        <v>0</v>
      </c>
      <c r="N40" s="277"/>
      <c r="O40" s="297">
        <f>M40*N40</f>
        <v>0</v>
      </c>
      <c r="P40" s="668"/>
      <c r="Q40" s="1720">
        <f>'Abs15. NPCB'!Q36</f>
        <v>0</v>
      </c>
      <c r="R40" s="851">
        <f>'Abs15. NPCB'!R36</f>
        <v>0</v>
      </c>
      <c r="BB40" s="3234"/>
      <c r="BC40" s="3234"/>
      <c r="BD40" s="3234"/>
      <c r="BE40" s="3234"/>
      <c r="BF40" s="3234"/>
      <c r="BG40" s="3234"/>
      <c r="BH40" s="3234"/>
      <c r="BI40" s="3234"/>
      <c r="BJ40" s="3234"/>
      <c r="BK40" s="3234"/>
      <c r="BL40" s="3234"/>
      <c r="BM40" s="3234"/>
      <c r="BN40" s="3234"/>
      <c r="BO40" s="3234"/>
      <c r="BP40" s="3234"/>
      <c r="BQ40" s="3234"/>
      <c r="BR40" s="3234"/>
      <c r="BS40" s="3234"/>
      <c r="BT40" s="3234"/>
      <c r="BU40" s="3234"/>
      <c r="BV40" s="3234"/>
      <c r="BW40" s="3234"/>
      <c r="BX40" s="3234"/>
      <c r="BY40" s="3234"/>
      <c r="BZ40" s="3234"/>
      <c r="CA40" s="3234"/>
      <c r="CB40" s="3234"/>
      <c r="CC40" s="3234"/>
      <c r="CD40" s="3234"/>
      <c r="CE40" s="3234"/>
      <c r="CF40" s="3234"/>
      <c r="CG40" s="3234"/>
      <c r="CH40" s="3234"/>
      <c r="CI40" s="3234">
        <f t="shared" si="0"/>
        <v>0</v>
      </c>
    </row>
    <row r="41" spans="1:87">
      <c r="A41" s="1730" t="s">
        <v>4874</v>
      </c>
      <c r="B41" s="1732" t="s">
        <v>1320</v>
      </c>
      <c r="C41" s="1721" t="s">
        <v>4336</v>
      </c>
      <c r="D41" s="1549" t="s">
        <v>80</v>
      </c>
      <c r="E41" s="1557" t="s">
        <v>81</v>
      </c>
      <c r="F41" s="2217">
        <v>0</v>
      </c>
      <c r="G41" s="430"/>
      <c r="H41" s="2217">
        <v>0</v>
      </c>
      <c r="I41" s="430"/>
      <c r="J41" s="430"/>
      <c r="K41" s="275"/>
      <c r="L41" s="277"/>
      <c r="M41" s="297">
        <f>L41/100000</f>
        <v>0</v>
      </c>
      <c r="N41" s="277"/>
      <c r="O41" s="297">
        <f>M41*N41</f>
        <v>0</v>
      </c>
      <c r="P41" s="668"/>
      <c r="Q41" s="1720">
        <f>'Abs15. NPCB'!Q37</f>
        <v>0</v>
      </c>
      <c r="R41" s="851">
        <f>'Abs15. NPCB'!R37</f>
        <v>0</v>
      </c>
      <c r="BB41" s="3234"/>
      <c r="BC41" s="3234"/>
      <c r="BD41" s="3234"/>
      <c r="BE41" s="3234"/>
      <c r="BF41" s="3234"/>
      <c r="BG41" s="3234"/>
      <c r="BH41" s="3234"/>
      <c r="BI41" s="3234"/>
      <c r="BJ41" s="3234"/>
      <c r="BK41" s="3234"/>
      <c r="BL41" s="3234"/>
      <c r="BM41" s="3234"/>
      <c r="BN41" s="3234"/>
      <c r="BO41" s="3234"/>
      <c r="BP41" s="3234"/>
      <c r="BQ41" s="3234"/>
      <c r="BR41" s="3234"/>
      <c r="BS41" s="3234"/>
      <c r="BT41" s="3234"/>
      <c r="BU41" s="3234"/>
      <c r="BV41" s="3234"/>
      <c r="BW41" s="3234"/>
      <c r="BX41" s="3234"/>
      <c r="BY41" s="3234"/>
      <c r="BZ41" s="3234"/>
      <c r="CA41" s="3234"/>
      <c r="CB41" s="3234"/>
      <c r="CC41" s="3234"/>
      <c r="CD41" s="3234"/>
      <c r="CE41" s="3234"/>
      <c r="CF41" s="3234"/>
      <c r="CG41" s="3234"/>
      <c r="CH41" s="3234"/>
      <c r="CI41" s="3234">
        <f t="shared" si="0"/>
        <v>0</v>
      </c>
    </row>
    <row r="42" spans="1:87">
      <c r="A42" s="1730" t="s">
        <v>4875</v>
      </c>
      <c r="B42" s="1732" t="s">
        <v>1321</v>
      </c>
      <c r="C42" s="1721" t="s">
        <v>4337</v>
      </c>
      <c r="D42" s="1549" t="s">
        <v>80</v>
      </c>
      <c r="E42" s="1557" t="s">
        <v>81</v>
      </c>
      <c r="F42" s="2217">
        <v>0</v>
      </c>
      <c r="G42" s="430"/>
      <c r="H42" s="2217">
        <v>0</v>
      </c>
      <c r="I42" s="430"/>
      <c r="J42" s="430"/>
      <c r="K42" s="275"/>
      <c r="L42" s="277"/>
      <c r="M42" s="297">
        <f>L42/100000</f>
        <v>0</v>
      </c>
      <c r="N42" s="277"/>
      <c r="O42" s="297">
        <f>M42*N42</f>
        <v>0</v>
      </c>
      <c r="P42" s="667"/>
      <c r="Q42" s="1720">
        <f>'Abs15. NPCB'!Q38</f>
        <v>0</v>
      </c>
      <c r="R42" s="851">
        <f>'Abs15. NPCB'!R38</f>
        <v>0</v>
      </c>
      <c r="BB42" s="3234"/>
      <c r="BC42" s="3234"/>
      <c r="BD42" s="3234"/>
      <c r="BE42" s="3234"/>
      <c r="BF42" s="3234"/>
      <c r="BG42" s="3234"/>
      <c r="BH42" s="3234"/>
      <c r="BI42" s="3234"/>
      <c r="BJ42" s="3234"/>
      <c r="BK42" s="3234"/>
      <c r="BL42" s="3234"/>
      <c r="BM42" s="3234"/>
      <c r="BN42" s="3234"/>
      <c r="BO42" s="3234"/>
      <c r="BP42" s="3234"/>
      <c r="BQ42" s="3234"/>
      <c r="BR42" s="3234"/>
      <c r="BS42" s="3234"/>
      <c r="BT42" s="3234"/>
      <c r="BU42" s="3234"/>
      <c r="BV42" s="3234"/>
      <c r="BW42" s="3234"/>
      <c r="BX42" s="3234"/>
      <c r="BY42" s="3234"/>
      <c r="BZ42" s="3234"/>
      <c r="CA42" s="3234"/>
      <c r="CB42" s="3234"/>
      <c r="CC42" s="3234"/>
      <c r="CD42" s="3234"/>
      <c r="CE42" s="3234"/>
      <c r="CF42" s="3234"/>
      <c r="CG42" s="3234"/>
      <c r="CH42" s="3234"/>
      <c r="CI42" s="3234">
        <f t="shared" si="0"/>
        <v>0</v>
      </c>
    </row>
    <row r="43" spans="1:87" ht="30">
      <c r="A43" s="663"/>
      <c r="B43" s="1721" t="s">
        <v>4863</v>
      </c>
      <c r="C43" s="1739" t="s">
        <v>4327</v>
      </c>
      <c r="D43" s="1740" t="s">
        <v>80</v>
      </c>
      <c r="E43" s="1741" t="s">
        <v>81</v>
      </c>
      <c r="F43" s="661"/>
      <c r="G43" s="661"/>
      <c r="H43" s="661"/>
      <c r="I43" s="661"/>
      <c r="J43" s="661"/>
      <c r="K43" s="1745"/>
      <c r="L43" s="1746"/>
      <c r="M43" s="662"/>
      <c r="N43" s="1745"/>
      <c r="O43" s="662"/>
      <c r="P43" s="665" t="s">
        <v>4326</v>
      </c>
      <c r="Q43" s="663"/>
      <c r="R43" s="664"/>
      <c r="BB43" s="3234"/>
      <c r="BC43" s="3234"/>
      <c r="BD43" s="3234"/>
      <c r="BE43" s="3234"/>
      <c r="BF43" s="3234"/>
      <c r="BG43" s="3234"/>
      <c r="BH43" s="3234"/>
      <c r="BI43" s="3234"/>
      <c r="BJ43" s="3234"/>
      <c r="BK43" s="3234"/>
      <c r="BL43" s="3234"/>
      <c r="BM43" s="3234"/>
      <c r="BN43" s="3234"/>
      <c r="BO43" s="3234"/>
      <c r="BP43" s="3234"/>
      <c r="BQ43" s="3234"/>
      <c r="BR43" s="3234"/>
      <c r="BS43" s="3234"/>
      <c r="BT43" s="3234"/>
      <c r="BU43" s="3234"/>
      <c r="BV43" s="3234"/>
      <c r="BW43" s="3234"/>
      <c r="BX43" s="3234"/>
      <c r="BY43" s="3234"/>
      <c r="BZ43" s="3234"/>
      <c r="CA43" s="3234"/>
      <c r="CB43" s="3234"/>
      <c r="CC43" s="3234"/>
      <c r="CD43" s="3234"/>
      <c r="CE43" s="3234"/>
      <c r="CF43" s="3234"/>
      <c r="CG43" s="3234"/>
      <c r="CH43" s="3234"/>
      <c r="CI43" s="3234">
        <f t="shared" si="0"/>
        <v>0</v>
      </c>
    </row>
    <row r="44" spans="1:87" ht="30">
      <c r="A44" s="663"/>
      <c r="B44" s="1720" t="s">
        <v>4864</v>
      </c>
      <c r="C44" s="1739" t="s">
        <v>3772</v>
      </c>
      <c r="D44" s="1740" t="s">
        <v>80</v>
      </c>
      <c r="E44" s="1741" t="s">
        <v>81</v>
      </c>
      <c r="F44" s="661"/>
      <c r="G44" s="661"/>
      <c r="H44" s="661"/>
      <c r="I44" s="661"/>
      <c r="J44" s="661"/>
      <c r="K44" s="1745"/>
      <c r="L44" s="1746"/>
      <c r="M44" s="662"/>
      <c r="N44" s="1745"/>
      <c r="O44" s="662"/>
      <c r="P44" s="665" t="s">
        <v>4326</v>
      </c>
      <c r="Q44" s="663"/>
      <c r="R44" s="664"/>
      <c r="BB44" s="3234"/>
      <c r="BC44" s="3234"/>
      <c r="BD44" s="3234"/>
      <c r="BE44" s="3234"/>
      <c r="BF44" s="3234"/>
      <c r="BG44" s="3234"/>
      <c r="BH44" s="3234"/>
      <c r="BI44" s="3234"/>
      <c r="BJ44" s="3234"/>
      <c r="BK44" s="3234"/>
      <c r="BL44" s="3234"/>
      <c r="BM44" s="3234"/>
      <c r="BN44" s="3234"/>
      <c r="BO44" s="3234"/>
      <c r="BP44" s="3234"/>
      <c r="BQ44" s="3234"/>
      <c r="BR44" s="3234"/>
      <c r="BS44" s="3234"/>
      <c r="BT44" s="3234"/>
      <c r="BU44" s="3234"/>
      <c r="BV44" s="3234"/>
      <c r="BW44" s="3234"/>
      <c r="BX44" s="3234"/>
      <c r="BY44" s="3234"/>
      <c r="BZ44" s="3234"/>
      <c r="CA44" s="3234"/>
      <c r="CB44" s="3234"/>
      <c r="CC44" s="3234"/>
      <c r="CD44" s="3234"/>
      <c r="CE44" s="3234"/>
      <c r="CF44" s="3234"/>
      <c r="CG44" s="3234"/>
      <c r="CH44" s="3234"/>
      <c r="CI44" s="3234">
        <f t="shared" si="0"/>
        <v>0</v>
      </c>
    </row>
    <row r="45" spans="1:87">
      <c r="A45" s="1719" t="s">
        <v>4876</v>
      </c>
      <c r="B45" s="1719" t="s">
        <v>1322</v>
      </c>
      <c r="C45" s="1721" t="s">
        <v>1304</v>
      </c>
      <c r="D45" s="1549" t="s">
        <v>80</v>
      </c>
      <c r="E45" s="1557" t="s">
        <v>81</v>
      </c>
      <c r="F45" s="2217">
        <v>0</v>
      </c>
      <c r="G45" s="430"/>
      <c r="H45" s="2217">
        <v>0</v>
      </c>
      <c r="I45" s="430"/>
      <c r="J45" s="430"/>
      <c r="K45" s="666"/>
      <c r="L45" s="277"/>
      <c r="M45" s="297">
        <f>L45/100000</f>
        <v>0</v>
      </c>
      <c r="N45" s="277"/>
      <c r="O45" s="297">
        <f>M45*N45</f>
        <v>0</v>
      </c>
      <c r="P45" s="667"/>
      <c r="Q45" s="1720">
        <f>'Abs15. NPCB'!Q39</f>
        <v>0</v>
      </c>
      <c r="R45" s="851">
        <f>'Abs15. NPCB'!R39</f>
        <v>0</v>
      </c>
      <c r="BB45" s="3234"/>
      <c r="BC45" s="3234"/>
      <c r="BD45" s="3234"/>
      <c r="BE45" s="3234"/>
      <c r="BF45" s="3234"/>
      <c r="BG45" s="3234"/>
      <c r="BH45" s="3234"/>
      <c r="BI45" s="3234"/>
      <c r="BJ45" s="3234"/>
      <c r="BK45" s="3234"/>
      <c r="BL45" s="3234"/>
      <c r="BM45" s="3234"/>
      <c r="BN45" s="3234"/>
      <c r="BO45" s="3234"/>
      <c r="BP45" s="3234"/>
      <c r="BQ45" s="3234"/>
      <c r="BR45" s="3234"/>
      <c r="BS45" s="3234"/>
      <c r="BT45" s="3234"/>
      <c r="BU45" s="3234"/>
      <c r="BV45" s="3234"/>
      <c r="BW45" s="3234"/>
      <c r="BX45" s="3234"/>
      <c r="BY45" s="3234"/>
      <c r="BZ45" s="3234"/>
      <c r="CA45" s="3234"/>
      <c r="CB45" s="3234"/>
      <c r="CC45" s="3234"/>
      <c r="CD45" s="3234"/>
      <c r="CE45" s="3234"/>
      <c r="CF45" s="3234"/>
      <c r="CG45" s="3234"/>
      <c r="CH45" s="3234"/>
      <c r="CI45" s="3234">
        <f t="shared" si="0"/>
        <v>0</v>
      </c>
    </row>
    <row r="46" spans="1:87">
      <c r="A46" s="1719" t="s">
        <v>4877</v>
      </c>
      <c r="B46" s="586" t="s">
        <v>1323</v>
      </c>
      <c r="C46" s="1721" t="s">
        <v>4865</v>
      </c>
      <c r="D46" s="1549" t="s">
        <v>80</v>
      </c>
      <c r="E46" s="1663" t="s">
        <v>145</v>
      </c>
      <c r="F46" s="2234">
        <v>0</v>
      </c>
      <c r="G46" s="481"/>
      <c r="H46" s="2234">
        <v>0</v>
      </c>
      <c r="I46" s="481"/>
      <c r="J46" s="481"/>
      <c r="K46" s="666"/>
      <c r="L46" s="277"/>
      <c r="M46" s="297">
        <f>L46/100000</f>
        <v>0</v>
      </c>
      <c r="N46" s="277"/>
      <c r="O46" s="297">
        <f>M46*N46</f>
        <v>0</v>
      </c>
      <c r="P46" s="667"/>
      <c r="Q46" s="1720">
        <f>'Abs16. NMHP'!Q28</f>
        <v>0</v>
      </c>
      <c r="R46" s="851">
        <f>'Abs16. NMHP'!R28</f>
        <v>0</v>
      </c>
      <c r="BB46" s="3234"/>
      <c r="BC46" s="3234"/>
      <c r="BD46" s="3234"/>
      <c r="BE46" s="3234"/>
      <c r="BF46" s="3234"/>
      <c r="BG46" s="3234"/>
      <c r="BH46" s="3234"/>
      <c r="BI46" s="3234"/>
      <c r="BJ46" s="3234"/>
      <c r="BK46" s="3234"/>
      <c r="BL46" s="3234"/>
      <c r="BM46" s="3234"/>
      <c r="BN46" s="3234"/>
      <c r="BO46" s="3234"/>
      <c r="BP46" s="3234"/>
      <c r="BQ46" s="3234"/>
      <c r="BR46" s="3234"/>
      <c r="BS46" s="3234"/>
      <c r="BT46" s="3234"/>
      <c r="BU46" s="3234"/>
      <c r="BV46" s="3234"/>
      <c r="BW46" s="3234"/>
      <c r="BX46" s="3234"/>
      <c r="BY46" s="3234"/>
      <c r="BZ46" s="3234"/>
      <c r="CA46" s="3234"/>
      <c r="CB46" s="3234"/>
      <c r="CC46" s="3234"/>
      <c r="CD46" s="3234"/>
      <c r="CE46" s="3234"/>
      <c r="CF46" s="3234"/>
      <c r="CG46" s="3234"/>
      <c r="CH46" s="3234"/>
      <c r="CI46" s="3234">
        <f t="shared" si="0"/>
        <v>0</v>
      </c>
    </row>
    <row r="47" spans="1:87">
      <c r="A47" s="1735" t="s">
        <v>4878</v>
      </c>
      <c r="B47" s="958" t="s">
        <v>4866</v>
      </c>
      <c r="C47" s="958" t="s">
        <v>1324</v>
      </c>
      <c r="D47" s="1737"/>
      <c r="E47" s="1738"/>
      <c r="F47" s="677"/>
      <c r="G47" s="677"/>
      <c r="H47" s="677"/>
      <c r="I47" s="677"/>
      <c r="J47" s="677"/>
      <c r="K47" s="672"/>
      <c r="L47" s="672"/>
      <c r="M47" s="1742"/>
      <c r="N47" s="678"/>
      <c r="O47" s="1742">
        <f>SUM(O48:O51)</f>
        <v>0</v>
      </c>
      <c r="P47" s="673"/>
      <c r="Q47" s="1735"/>
      <c r="R47" s="1742">
        <f>SUM(R48:R51)</f>
        <v>0</v>
      </c>
      <c r="BB47" s="3234"/>
      <c r="BC47" s="3234"/>
      <c r="BD47" s="3234"/>
      <c r="BE47" s="3234"/>
      <c r="BF47" s="3234"/>
      <c r="BG47" s="3234"/>
      <c r="BH47" s="3234"/>
      <c r="BI47" s="3234"/>
      <c r="BJ47" s="3234"/>
      <c r="BK47" s="3234"/>
      <c r="BL47" s="3234"/>
      <c r="BM47" s="3234"/>
      <c r="BN47" s="3234"/>
      <c r="BO47" s="3234"/>
      <c r="BP47" s="3234"/>
      <c r="BQ47" s="3234"/>
      <c r="BR47" s="3234"/>
      <c r="BS47" s="3234"/>
      <c r="BT47" s="3234"/>
      <c r="BU47" s="3234"/>
      <c r="BV47" s="3234"/>
      <c r="BW47" s="3234"/>
      <c r="BX47" s="3234"/>
      <c r="BY47" s="3234"/>
      <c r="BZ47" s="3234"/>
      <c r="CA47" s="3234"/>
      <c r="CB47" s="3234"/>
      <c r="CC47" s="3234"/>
      <c r="CD47" s="3234"/>
      <c r="CE47" s="3234"/>
      <c r="CF47" s="3234"/>
      <c r="CG47" s="3234"/>
      <c r="CH47" s="3234"/>
      <c r="CI47" s="3234">
        <f t="shared" si="0"/>
        <v>0</v>
      </c>
    </row>
    <row r="48" spans="1:87">
      <c r="A48" s="1719" t="s">
        <v>4879</v>
      </c>
      <c r="B48" s="1720" t="s">
        <v>4867</v>
      </c>
      <c r="C48" s="1721" t="s">
        <v>1325</v>
      </c>
      <c r="D48" s="1549" t="s">
        <v>80</v>
      </c>
      <c r="E48" s="1557" t="s">
        <v>410</v>
      </c>
      <c r="F48" s="2217">
        <v>0</v>
      </c>
      <c r="G48" s="430"/>
      <c r="H48" s="2217">
        <v>0</v>
      </c>
      <c r="I48" s="430"/>
      <c r="J48" s="430"/>
      <c r="K48" s="666"/>
      <c r="L48" s="277"/>
      <c r="M48" s="297">
        <f t="shared" ref="M48:M53" si="3">L48/100000</f>
        <v>0</v>
      </c>
      <c r="N48" s="277"/>
      <c r="O48" s="297">
        <f t="shared" ref="O48:O53" si="4">M48*N48</f>
        <v>0</v>
      </c>
      <c r="P48" s="667"/>
      <c r="Q48" s="1720">
        <f>'Abs19. NPCDCS'!Q57</f>
        <v>0</v>
      </c>
      <c r="R48" s="851">
        <f>'Abs19. NPCDCS'!R57</f>
        <v>0</v>
      </c>
      <c r="BB48" s="3234"/>
      <c r="BC48" s="3234"/>
      <c r="BD48" s="3234"/>
      <c r="BE48" s="3234"/>
      <c r="BF48" s="3234"/>
      <c r="BG48" s="3234"/>
      <c r="BH48" s="3234"/>
      <c r="BI48" s="3234"/>
      <c r="BJ48" s="3234"/>
      <c r="BK48" s="3234"/>
      <c r="BL48" s="3234"/>
      <c r="BM48" s="3234"/>
      <c r="BN48" s="3234"/>
      <c r="BO48" s="3234"/>
      <c r="BP48" s="3234"/>
      <c r="BQ48" s="3234"/>
      <c r="BR48" s="3234"/>
      <c r="BS48" s="3234"/>
      <c r="BT48" s="3234"/>
      <c r="BU48" s="3234"/>
      <c r="BV48" s="3234"/>
      <c r="BW48" s="3234"/>
      <c r="BX48" s="3234"/>
      <c r="BY48" s="3234"/>
      <c r="BZ48" s="3234"/>
      <c r="CA48" s="3234"/>
      <c r="CB48" s="3234"/>
      <c r="CC48" s="3234"/>
      <c r="CD48" s="3234"/>
      <c r="CE48" s="3234"/>
      <c r="CF48" s="3234"/>
      <c r="CG48" s="3234"/>
      <c r="CH48" s="3234"/>
      <c r="CI48" s="3234">
        <f t="shared" si="0"/>
        <v>0</v>
      </c>
    </row>
    <row r="49" spans="1:87">
      <c r="A49" s="1719" t="s">
        <v>4880</v>
      </c>
      <c r="B49" s="1720" t="s">
        <v>4868</v>
      </c>
      <c r="C49" s="1721" t="s">
        <v>1326</v>
      </c>
      <c r="D49" s="1549" t="s">
        <v>80</v>
      </c>
      <c r="E49" s="1557" t="s">
        <v>410</v>
      </c>
      <c r="F49" s="2217">
        <v>0</v>
      </c>
      <c r="G49" s="430"/>
      <c r="H49" s="2217">
        <v>0</v>
      </c>
      <c r="I49" s="430"/>
      <c r="J49" s="430"/>
      <c r="K49" s="666"/>
      <c r="L49" s="277"/>
      <c r="M49" s="297">
        <f t="shared" si="3"/>
        <v>0</v>
      </c>
      <c r="N49" s="277"/>
      <c r="O49" s="297">
        <f t="shared" si="4"/>
        <v>0</v>
      </c>
      <c r="P49" s="667"/>
      <c r="Q49" s="1720">
        <f>'Abs19. NPCDCS'!Q58</f>
        <v>0</v>
      </c>
      <c r="R49" s="851">
        <f>'Abs19. NPCDCS'!R58</f>
        <v>0</v>
      </c>
      <c r="BB49" s="3234"/>
      <c r="BC49" s="3234"/>
      <c r="BD49" s="3234"/>
      <c r="BE49" s="3234"/>
      <c r="BF49" s="3234"/>
      <c r="BG49" s="3234"/>
      <c r="BH49" s="3234"/>
      <c r="BI49" s="3234"/>
      <c r="BJ49" s="3234"/>
      <c r="BK49" s="3234"/>
      <c r="BL49" s="3234"/>
      <c r="BM49" s="3234"/>
      <c r="BN49" s="3234"/>
      <c r="BO49" s="3234"/>
      <c r="BP49" s="3234"/>
      <c r="BQ49" s="3234"/>
      <c r="BR49" s="3234"/>
      <c r="BS49" s="3234"/>
      <c r="BT49" s="3234"/>
      <c r="BU49" s="3234"/>
      <c r="BV49" s="3234"/>
      <c r="BW49" s="3234"/>
      <c r="BX49" s="3234"/>
      <c r="BY49" s="3234"/>
      <c r="BZ49" s="3234"/>
      <c r="CA49" s="3234"/>
      <c r="CB49" s="3234"/>
      <c r="CC49" s="3234"/>
      <c r="CD49" s="3234"/>
      <c r="CE49" s="3234"/>
      <c r="CF49" s="3234"/>
      <c r="CG49" s="3234"/>
      <c r="CH49" s="3234"/>
      <c r="CI49" s="3234">
        <f t="shared" si="0"/>
        <v>0</v>
      </c>
    </row>
    <row r="50" spans="1:87">
      <c r="A50" s="1719" t="s">
        <v>4881</v>
      </c>
      <c r="B50" s="1720" t="s">
        <v>4869</v>
      </c>
      <c r="C50" s="1721" t="s">
        <v>1327</v>
      </c>
      <c r="D50" s="1549" t="s">
        <v>80</v>
      </c>
      <c r="E50" s="1557" t="s">
        <v>410</v>
      </c>
      <c r="F50" s="2217">
        <v>0</v>
      </c>
      <c r="G50" s="430"/>
      <c r="H50" s="2217">
        <v>0</v>
      </c>
      <c r="I50" s="430"/>
      <c r="J50" s="430"/>
      <c r="K50" s="666"/>
      <c r="L50" s="277"/>
      <c r="M50" s="297">
        <f t="shared" si="3"/>
        <v>0</v>
      </c>
      <c r="N50" s="277"/>
      <c r="O50" s="297">
        <f t="shared" si="4"/>
        <v>0</v>
      </c>
      <c r="P50" s="667"/>
      <c r="Q50" s="1720">
        <f>'Abs19. NPCDCS'!Q59</f>
        <v>0</v>
      </c>
      <c r="R50" s="851">
        <f>'Abs19. NPCDCS'!R59</f>
        <v>0</v>
      </c>
      <c r="BB50" s="3234"/>
      <c r="BC50" s="3234"/>
      <c r="BD50" s="3234"/>
      <c r="BE50" s="3234"/>
      <c r="BF50" s="3234"/>
      <c r="BG50" s="3234"/>
      <c r="BH50" s="3234"/>
      <c r="BI50" s="3234"/>
      <c r="BJ50" s="3234"/>
      <c r="BK50" s="3234"/>
      <c r="BL50" s="3234"/>
      <c r="BM50" s="3234"/>
      <c r="BN50" s="3234"/>
      <c r="BO50" s="3234"/>
      <c r="BP50" s="3234"/>
      <c r="BQ50" s="3234"/>
      <c r="BR50" s="3234"/>
      <c r="BS50" s="3234"/>
      <c r="BT50" s="3234"/>
      <c r="BU50" s="3234"/>
      <c r="BV50" s="3234"/>
      <c r="BW50" s="3234"/>
      <c r="BX50" s="3234"/>
      <c r="BY50" s="3234"/>
      <c r="BZ50" s="3234"/>
      <c r="CA50" s="3234"/>
      <c r="CB50" s="3234"/>
      <c r="CC50" s="3234"/>
      <c r="CD50" s="3234"/>
      <c r="CE50" s="3234"/>
      <c r="CF50" s="3234"/>
      <c r="CG50" s="3234"/>
      <c r="CH50" s="3234"/>
      <c r="CI50" s="3234">
        <f t="shared" si="0"/>
        <v>0</v>
      </c>
    </row>
    <row r="51" spans="1:87">
      <c r="A51" s="1719" t="s">
        <v>4882</v>
      </c>
      <c r="B51" s="1719" t="s">
        <v>1328</v>
      </c>
      <c r="C51" s="1721" t="s">
        <v>1304</v>
      </c>
      <c r="D51" s="1549" t="s">
        <v>80</v>
      </c>
      <c r="E51" s="1557" t="s">
        <v>410</v>
      </c>
      <c r="F51" s="2217">
        <v>0</v>
      </c>
      <c r="G51" s="430"/>
      <c r="H51" s="2217">
        <v>0</v>
      </c>
      <c r="I51" s="430"/>
      <c r="J51" s="430"/>
      <c r="K51" s="666"/>
      <c r="L51" s="277"/>
      <c r="M51" s="297">
        <f t="shared" si="3"/>
        <v>0</v>
      </c>
      <c r="N51" s="277"/>
      <c r="O51" s="297">
        <f t="shared" si="4"/>
        <v>0</v>
      </c>
      <c r="P51" s="667"/>
      <c r="Q51" s="1720">
        <f>'Abs19. NPCDCS'!Q60</f>
        <v>0</v>
      </c>
      <c r="R51" s="851">
        <f>'Abs19. NPCDCS'!R60</f>
        <v>0</v>
      </c>
      <c r="BB51" s="3234"/>
      <c r="BC51" s="3234"/>
      <c r="BD51" s="3234"/>
      <c r="BE51" s="3234"/>
      <c r="BF51" s="3234"/>
      <c r="BG51" s="3234"/>
      <c r="BH51" s="3234"/>
      <c r="BI51" s="3234"/>
      <c r="BJ51" s="3234"/>
      <c r="BK51" s="3234"/>
      <c r="BL51" s="3234"/>
      <c r="BM51" s="3234"/>
      <c r="BN51" s="3234"/>
      <c r="BO51" s="3234"/>
      <c r="BP51" s="3234"/>
      <c r="BQ51" s="3234"/>
      <c r="BR51" s="3234"/>
      <c r="BS51" s="3234"/>
      <c r="BT51" s="3234"/>
      <c r="BU51" s="3234"/>
      <c r="BV51" s="3234"/>
      <c r="BW51" s="3234"/>
      <c r="BX51" s="3234"/>
      <c r="BY51" s="3234"/>
      <c r="BZ51" s="3234"/>
      <c r="CA51" s="3234"/>
      <c r="CB51" s="3234"/>
      <c r="CC51" s="3234"/>
      <c r="CD51" s="3234"/>
      <c r="CE51" s="3234"/>
      <c r="CF51" s="3234"/>
      <c r="CG51" s="3234"/>
      <c r="CH51" s="3234"/>
      <c r="CI51" s="3234">
        <f t="shared" si="0"/>
        <v>0</v>
      </c>
    </row>
    <row r="52" spans="1:87" s="1709" customFormat="1" ht="89.25" customHeight="1">
      <c r="A52" s="1743" t="s">
        <v>4883</v>
      </c>
      <c r="B52" s="586" t="s">
        <v>4870</v>
      </c>
      <c r="C52" s="586" t="s">
        <v>1333</v>
      </c>
      <c r="D52" s="982" t="s">
        <v>80</v>
      </c>
      <c r="E52" s="1734" t="s">
        <v>4668</v>
      </c>
      <c r="F52" s="2231">
        <v>0</v>
      </c>
      <c r="G52" s="484"/>
      <c r="H52" s="2231">
        <v>0</v>
      </c>
      <c r="I52" s="484"/>
      <c r="J52" s="484"/>
      <c r="K52" s="2599">
        <v>1</v>
      </c>
      <c r="L52" s="2519">
        <v>1250</v>
      </c>
      <c r="M52" s="298">
        <f t="shared" si="3"/>
        <v>1.2500000000000001E-2</v>
      </c>
      <c r="N52" s="2519">
        <v>12000</v>
      </c>
      <c r="O52" s="298">
        <f t="shared" si="4"/>
        <v>150</v>
      </c>
      <c r="P52" s="2600" t="s">
        <v>5311</v>
      </c>
      <c r="Q52" s="1310" t="str">
        <f>'Abs20. PMNDP'!Q23</f>
        <v>As ongoing activity; Rs 150 Lakh is recommended for approval for 12500 sessions @ avg. Rs 1200 per dialysis session to provide free hemodialysis services to BPL patients as per PMNDP guidelines.State has multiple service providers (4) in place for dialysis services in PPP-mode; The rate of dialysis per sessions varies from 1090-1350 (with 5 % annual escalation) across dialysis centres.State has proposed an amount of 200 Lakhs for 12500 dialysis sessions at the unit rate of 1600 per sessions.</v>
      </c>
      <c r="R52" s="1731">
        <f>'Abs20. PMNDP'!R23</f>
        <v>150</v>
      </c>
      <c r="BB52" s="3235">
        <v>100</v>
      </c>
      <c r="BC52" s="3235"/>
      <c r="BD52" s="3235"/>
      <c r="BE52" s="3235"/>
      <c r="BF52" s="3235">
        <v>3</v>
      </c>
      <c r="BG52" s="3235"/>
      <c r="BH52" s="3235"/>
      <c r="BI52" s="3235"/>
      <c r="BJ52" s="3235">
        <v>3</v>
      </c>
      <c r="BK52" s="3235"/>
      <c r="BL52" s="3235">
        <v>3</v>
      </c>
      <c r="BM52" s="3235"/>
      <c r="BN52" s="3235"/>
      <c r="BO52" s="3235"/>
      <c r="BP52" s="3235"/>
      <c r="BQ52" s="3235">
        <v>3</v>
      </c>
      <c r="BR52" s="3235">
        <v>3</v>
      </c>
      <c r="BS52" s="3235">
        <v>3</v>
      </c>
      <c r="BT52" s="3235">
        <v>3</v>
      </c>
      <c r="BU52" s="3235"/>
      <c r="BV52" s="3235">
        <v>3</v>
      </c>
      <c r="BW52" s="3235">
        <v>5</v>
      </c>
      <c r="BX52" s="3235">
        <v>3</v>
      </c>
      <c r="BY52" s="3235">
        <v>3</v>
      </c>
      <c r="BZ52" s="3235">
        <v>5</v>
      </c>
      <c r="CA52" s="3235">
        <v>4</v>
      </c>
      <c r="CB52" s="3235"/>
      <c r="CC52" s="3235"/>
      <c r="CD52" s="3235">
        <v>3</v>
      </c>
      <c r="CE52" s="3235"/>
      <c r="CF52" s="3235">
        <v>3</v>
      </c>
      <c r="CG52" s="3235"/>
      <c r="CH52" s="3235"/>
      <c r="CI52" s="3234">
        <f t="shared" si="0"/>
        <v>150</v>
      </c>
    </row>
    <row r="53" spans="1:87" s="1709" customFormat="1">
      <c r="A53" s="1743" t="s">
        <v>5131</v>
      </c>
      <c r="B53" s="586"/>
      <c r="C53" s="586" t="s">
        <v>4885</v>
      </c>
      <c r="D53" s="982" t="s">
        <v>80</v>
      </c>
      <c r="E53" s="1734" t="s">
        <v>4884</v>
      </c>
      <c r="F53" s="484"/>
      <c r="G53" s="484"/>
      <c r="H53" s="484"/>
      <c r="I53" s="484"/>
      <c r="J53" s="484"/>
      <c r="K53" s="674"/>
      <c r="L53" s="283"/>
      <c r="M53" s="298">
        <f t="shared" si="3"/>
        <v>0</v>
      </c>
      <c r="N53" s="283"/>
      <c r="O53" s="298">
        <f t="shared" si="4"/>
        <v>0</v>
      </c>
      <c r="P53" s="675"/>
      <c r="Q53" s="2274"/>
      <c r="R53" s="2275"/>
      <c r="BB53" s="3235"/>
      <c r="BC53" s="3235"/>
      <c r="BD53" s="3235"/>
      <c r="BE53" s="3235"/>
      <c r="BF53" s="3235"/>
      <c r="BG53" s="3235"/>
      <c r="BH53" s="3235"/>
      <c r="BI53" s="3235"/>
      <c r="BJ53" s="3235"/>
      <c r="BK53" s="3235"/>
      <c r="BL53" s="3235"/>
      <c r="BM53" s="3235"/>
      <c r="BN53" s="3235"/>
      <c r="BO53" s="3235"/>
      <c r="BP53" s="3235"/>
      <c r="BQ53" s="3235"/>
      <c r="BR53" s="3235"/>
      <c r="BS53" s="3235"/>
      <c r="BT53" s="3235"/>
      <c r="BU53" s="3235"/>
      <c r="BV53" s="3235"/>
      <c r="BW53" s="3235"/>
      <c r="BX53" s="3235"/>
      <c r="BY53" s="3235"/>
      <c r="BZ53" s="3235"/>
      <c r="CA53" s="3235"/>
      <c r="CB53" s="3235"/>
      <c r="CC53" s="3235"/>
      <c r="CD53" s="3235"/>
      <c r="CE53" s="3235"/>
      <c r="CF53" s="3235"/>
      <c r="CG53" s="3235"/>
      <c r="CH53" s="3235"/>
      <c r="CI53" s="3234">
        <f t="shared" si="0"/>
        <v>0</v>
      </c>
    </row>
    <row r="54" spans="1:87">
      <c r="R54" s="1324">
        <f>+R7</f>
        <v>277.06</v>
      </c>
      <c r="BB54" s="3235">
        <f>SUM(BB8:BB53)</f>
        <v>178.96</v>
      </c>
      <c r="BC54" s="3235">
        <f t="shared" ref="BC54:CI54" si="5">SUM(BC8:BC53)</f>
        <v>0.65</v>
      </c>
      <c r="BD54" s="3235">
        <f t="shared" si="5"/>
        <v>0.7</v>
      </c>
      <c r="BE54" s="3235">
        <f t="shared" si="5"/>
        <v>0.89999999999999991</v>
      </c>
      <c r="BF54" s="3235">
        <f t="shared" si="5"/>
        <v>7.35</v>
      </c>
      <c r="BG54" s="3235">
        <f t="shared" si="5"/>
        <v>0.05</v>
      </c>
      <c r="BH54" s="3235">
        <f t="shared" si="5"/>
        <v>1.1000000000000001</v>
      </c>
      <c r="BI54" s="3235">
        <f t="shared" si="5"/>
        <v>0</v>
      </c>
      <c r="BJ54" s="3235">
        <f t="shared" si="5"/>
        <v>4.8499999999999996</v>
      </c>
      <c r="BK54" s="3235">
        <f t="shared" si="5"/>
        <v>4.5999999999999996</v>
      </c>
      <c r="BL54" s="3235">
        <f t="shared" si="5"/>
        <v>4.7</v>
      </c>
      <c r="BM54" s="3235">
        <f t="shared" si="5"/>
        <v>10</v>
      </c>
      <c r="BN54" s="3235">
        <f t="shared" si="5"/>
        <v>22.2</v>
      </c>
      <c r="BO54" s="3235">
        <f t="shared" si="5"/>
        <v>0</v>
      </c>
      <c r="BP54" s="3235">
        <f t="shared" si="5"/>
        <v>0</v>
      </c>
      <c r="BQ54" s="3235">
        <f t="shared" si="5"/>
        <v>3</v>
      </c>
      <c r="BR54" s="3235">
        <f t="shared" si="5"/>
        <v>3</v>
      </c>
      <c r="BS54" s="3235">
        <f t="shared" si="5"/>
        <v>3</v>
      </c>
      <c r="BT54" s="3235">
        <f t="shared" si="5"/>
        <v>3</v>
      </c>
      <c r="BU54" s="3235">
        <f t="shared" si="5"/>
        <v>0</v>
      </c>
      <c r="BV54" s="3235">
        <f t="shared" si="5"/>
        <v>3</v>
      </c>
      <c r="BW54" s="3235">
        <f t="shared" si="5"/>
        <v>5</v>
      </c>
      <c r="BX54" s="3235">
        <f t="shared" si="5"/>
        <v>3</v>
      </c>
      <c r="BY54" s="3235">
        <f t="shared" si="5"/>
        <v>3</v>
      </c>
      <c r="BZ54" s="3235">
        <f t="shared" si="5"/>
        <v>5</v>
      </c>
      <c r="CA54" s="3235">
        <f t="shared" si="5"/>
        <v>4</v>
      </c>
      <c r="CB54" s="3235">
        <f t="shared" si="5"/>
        <v>0</v>
      </c>
      <c r="CC54" s="3235">
        <f t="shared" si="5"/>
        <v>0</v>
      </c>
      <c r="CD54" s="3235">
        <f t="shared" si="5"/>
        <v>3</v>
      </c>
      <c r="CE54" s="3235">
        <f t="shared" si="5"/>
        <v>0</v>
      </c>
      <c r="CF54" s="3235">
        <f t="shared" si="5"/>
        <v>3</v>
      </c>
      <c r="CG54" s="3235">
        <f t="shared" si="5"/>
        <v>0</v>
      </c>
      <c r="CH54" s="3235">
        <f t="shared" si="5"/>
        <v>0</v>
      </c>
      <c r="CI54" s="3235">
        <f t="shared" si="5"/>
        <v>277.06</v>
      </c>
    </row>
    <row r="55" spans="1:87">
      <c r="BB55" s="3234"/>
      <c r="BC55" s="3234"/>
      <c r="BD55" s="3234"/>
      <c r="BE55" s="3234"/>
      <c r="BF55" s="3234"/>
      <c r="BG55" s="3234"/>
      <c r="BH55" s="3234"/>
      <c r="BI55" s="3234"/>
      <c r="BJ55" s="3234"/>
      <c r="BK55" s="3234"/>
      <c r="BL55" s="3234"/>
      <c r="BM55" s="3234"/>
      <c r="BN55" s="3234"/>
      <c r="BO55" s="3234"/>
      <c r="BP55" s="3234"/>
      <c r="BQ55" s="3234"/>
      <c r="BR55" s="3234"/>
      <c r="BS55" s="3234"/>
      <c r="BT55" s="3234"/>
      <c r="BU55" s="3234"/>
      <c r="BV55" s="3234"/>
      <c r="BW55" s="3234"/>
      <c r="BX55" s="3234"/>
      <c r="BY55" s="3234"/>
      <c r="BZ55" s="3234"/>
      <c r="CA55" s="3234"/>
      <c r="CB55" s="3234"/>
      <c r="CC55" s="3234"/>
      <c r="CD55" s="3234"/>
      <c r="CE55" s="3234"/>
      <c r="CF55" s="3234"/>
      <c r="CG55" s="3234"/>
      <c r="CH55" s="3234"/>
      <c r="CI55" s="3234"/>
    </row>
    <row r="56" spans="1:87">
      <c r="BB56" s="3157"/>
      <c r="BC56" s="3157"/>
      <c r="BD56" s="3157"/>
      <c r="BE56" s="3157"/>
      <c r="BF56" s="3157"/>
      <c r="BG56" s="3157"/>
      <c r="BH56" s="3157"/>
      <c r="BI56" s="3157"/>
      <c r="BJ56" s="3157"/>
      <c r="BK56" s="3157"/>
      <c r="BL56" s="3157"/>
      <c r="BM56" s="3157"/>
      <c r="BN56" s="3157"/>
      <c r="BO56" s="3157"/>
      <c r="BP56" s="3157"/>
      <c r="BQ56" s="3157"/>
      <c r="BR56" s="3157"/>
      <c r="BS56" s="3157"/>
      <c r="BT56" s="3157"/>
      <c r="BU56" s="3157"/>
      <c r="BV56" s="3157"/>
      <c r="BW56" s="3157"/>
      <c r="BX56" s="3157"/>
      <c r="BY56" s="3157"/>
      <c r="BZ56" s="3157"/>
      <c r="CA56" s="3157"/>
      <c r="CB56" s="3157"/>
      <c r="CC56" s="3157"/>
      <c r="CD56" s="3157"/>
      <c r="CE56" s="3157"/>
      <c r="CF56" s="3157"/>
      <c r="CG56" s="3157"/>
      <c r="CH56" s="3157"/>
      <c r="CI56" s="3157"/>
    </row>
  </sheetData>
  <sheetProtection password="CC49" sheet="1" objects="1" scenarios="1" autoFilter="0"/>
  <autoFilter ref="A6:R65"/>
  <mergeCells count="18">
    <mergeCell ref="AI1:AO1"/>
    <mergeCell ref="AP1:BA1"/>
    <mergeCell ref="BB1:BB2"/>
    <mergeCell ref="BC1:BC2"/>
    <mergeCell ref="BD1:BD2"/>
    <mergeCell ref="K5:P5"/>
    <mergeCell ref="Q5:R5"/>
    <mergeCell ref="A1:C1"/>
    <mergeCell ref="F5:J5"/>
    <mergeCell ref="A5:A6"/>
    <mergeCell ref="B5:B6"/>
    <mergeCell ref="C5:C6"/>
    <mergeCell ref="D5:D6"/>
    <mergeCell ref="E5:E6"/>
    <mergeCell ref="E1:E2"/>
    <mergeCell ref="F1:N1"/>
    <mergeCell ref="A2:A4"/>
    <mergeCell ref="O1:AH1"/>
  </mergeCells>
  <phoneticPr fontId="68" type="noConversion"/>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sheetPr codeName="Sheet45"/>
  <dimension ref="A1:CI143"/>
  <sheetViews>
    <sheetView zoomScale="70" zoomScaleNormal="70" workbookViewId="0">
      <pane xSplit="3" ySplit="7" topLeftCell="D128" activePane="bottomRight" state="frozen"/>
      <selection activeCell="A2" sqref="A2:A4"/>
      <selection pane="topRight" activeCell="A2" sqref="A2:A4"/>
      <selection pane="bottomLeft" activeCell="A2" sqref="A2:A4"/>
      <selection pane="bottomRight" activeCell="Q155" sqref="Q155"/>
    </sheetView>
  </sheetViews>
  <sheetFormatPr defaultColWidth="9.140625" defaultRowHeight="15"/>
  <cols>
    <col min="1" max="1" width="14" style="1756" customWidth="1"/>
    <col min="2" max="2" width="21.85546875" style="1749" customWidth="1"/>
    <col min="3" max="3" width="52" style="1748" customWidth="1"/>
    <col min="4" max="5" width="19.7109375" style="1748" customWidth="1"/>
    <col min="6" max="6" width="20.28515625" style="1757" customWidth="1"/>
    <col min="7" max="7" width="24.85546875" style="1757" hidden="1" customWidth="1"/>
    <col min="8" max="8" width="16.42578125" style="1757" hidden="1" customWidth="1"/>
    <col min="9" max="9" width="17.85546875" style="1757" hidden="1" customWidth="1"/>
    <col min="10" max="10" width="15.5703125" style="1757" hidden="1" customWidth="1"/>
    <col min="11" max="11" width="23.140625" style="1757" hidden="1" customWidth="1"/>
    <col min="12" max="12" width="10.140625" style="1748" hidden="1" customWidth="1"/>
    <col min="13" max="13" width="10.5703125" style="1748" hidden="1" customWidth="1"/>
    <col min="14" max="14" width="15.5703125" style="1758" hidden="1" customWidth="1"/>
    <col min="15" max="15" width="10.140625" style="1748" hidden="1" customWidth="1"/>
    <col min="16" max="16" width="32.42578125" style="1759" hidden="1" customWidth="1"/>
    <col min="17" max="17" width="74.5703125" style="1760" customWidth="1"/>
    <col min="18" max="18" width="11.140625" style="1758" customWidth="1"/>
    <col min="19" max="29" width="9.140625" style="1748" hidden="1" customWidth="1"/>
    <col min="30" max="30" width="11.42578125" style="1748" hidden="1" customWidth="1"/>
    <col min="31" max="34" width="9.140625" style="1748" hidden="1" customWidth="1"/>
    <col min="35" max="35" width="21.85546875" style="1748" hidden="1" customWidth="1"/>
    <col min="36" max="53" width="9.140625" style="1748" hidden="1" customWidth="1"/>
    <col min="54" max="54" width="9.140625" style="1748"/>
    <col min="55" max="55" width="14.28515625" style="1748" bestFit="1" customWidth="1"/>
    <col min="56" max="56" width="12.42578125" style="1748" bestFit="1" customWidth="1"/>
    <col min="57" max="57" width="14.28515625" style="1748" bestFit="1" customWidth="1"/>
    <col min="58" max="58" width="11.7109375" style="1748" bestFit="1" customWidth="1"/>
    <col min="59" max="59" width="12.140625" style="1748" bestFit="1" customWidth="1"/>
    <col min="60" max="60" width="9.140625" style="1748"/>
    <col min="61" max="61" width="11.42578125" style="1748" bestFit="1" customWidth="1"/>
    <col min="62" max="62" width="19.140625" style="1748" bestFit="1" customWidth="1"/>
    <col min="63" max="63" width="15" style="1748" customWidth="1"/>
    <col min="64" max="64" width="12.5703125" style="1748" bestFit="1" customWidth="1"/>
    <col min="65" max="65" width="10" style="1748" bestFit="1" customWidth="1"/>
    <col min="66" max="67" width="9.140625" style="1748"/>
    <col min="68" max="68" width="14.5703125" style="1748" bestFit="1" customWidth="1"/>
    <col min="69" max="69" width="17.28515625" style="1748" bestFit="1" customWidth="1"/>
    <col min="70" max="70" width="14.28515625" style="1748" bestFit="1" customWidth="1"/>
    <col min="71" max="71" width="22.85546875" style="1748" bestFit="1" customWidth="1"/>
    <col min="72" max="72" width="12" style="1748" bestFit="1" customWidth="1"/>
    <col min="73" max="73" width="10.7109375" style="1748" bestFit="1" customWidth="1"/>
    <col min="74" max="74" width="12" style="1748" bestFit="1" customWidth="1"/>
    <col min="75" max="75" width="11.7109375" style="1748" bestFit="1" customWidth="1"/>
    <col min="76" max="76" width="15" style="1748" bestFit="1" customWidth="1"/>
    <col min="77" max="78" width="9.140625" style="1748"/>
    <col min="79" max="79" width="10.7109375" style="1748" bestFit="1" customWidth="1"/>
    <col min="80" max="80" width="12" style="1748" bestFit="1" customWidth="1"/>
    <col min="81" max="81" width="10.140625" style="1748" bestFit="1" customWidth="1"/>
    <col min="82" max="82" width="10" style="1748" bestFit="1" customWidth="1"/>
    <col min="83" max="83" width="16.85546875" style="1748" bestFit="1" customWidth="1"/>
    <col min="84" max="84" width="9.140625" style="1748"/>
    <col min="85" max="86" width="11.7109375" style="1748" bestFit="1" customWidth="1"/>
    <col min="87" max="16384" width="9.140625" style="1748"/>
  </cols>
  <sheetData>
    <row r="1" spans="1:87">
      <c r="A1" s="4007" t="s">
        <v>2146</v>
      </c>
      <c r="B1" s="4008"/>
      <c r="C1" s="4009"/>
      <c r="D1" s="1747"/>
      <c r="E1" s="1747"/>
      <c r="F1" s="3858" t="s">
        <v>4534</v>
      </c>
      <c r="G1" s="3909" t="s">
        <v>4532</v>
      </c>
      <c r="H1" s="3910"/>
      <c r="I1" s="3910"/>
      <c r="J1" s="3910"/>
      <c r="K1" s="3910"/>
      <c r="L1" s="3910"/>
      <c r="M1" s="3910"/>
      <c r="N1" s="3910"/>
      <c r="O1" s="3911"/>
      <c r="P1" s="3793" t="s">
        <v>65</v>
      </c>
      <c r="Q1" s="3794"/>
      <c r="R1" s="3794"/>
      <c r="S1" s="3794"/>
      <c r="T1" s="3794"/>
      <c r="U1" s="3794"/>
      <c r="V1" s="3794"/>
      <c r="W1" s="3794"/>
      <c r="X1" s="3794"/>
      <c r="Y1" s="3794"/>
      <c r="Z1" s="3794"/>
      <c r="AA1" s="3794"/>
      <c r="AB1" s="3794"/>
      <c r="AC1" s="3794"/>
      <c r="AD1" s="3794"/>
      <c r="AE1" s="3794"/>
      <c r="AF1" s="3794"/>
      <c r="AG1" s="3794"/>
      <c r="AH1" s="3794"/>
      <c r="AI1" s="3794"/>
      <c r="AJ1" s="3900" t="s">
        <v>4219</v>
      </c>
      <c r="AK1" s="3901"/>
      <c r="AL1" s="3901"/>
      <c r="AM1" s="3901"/>
      <c r="AN1" s="3901"/>
      <c r="AO1" s="3901"/>
      <c r="AP1" s="3902"/>
      <c r="AQ1" s="3854" t="s">
        <v>80</v>
      </c>
      <c r="AR1" s="3854"/>
      <c r="AS1" s="3854"/>
      <c r="AT1" s="3854"/>
      <c r="AU1" s="3854"/>
      <c r="AV1" s="3854"/>
      <c r="AW1" s="3854"/>
      <c r="AX1" s="3854"/>
      <c r="AY1" s="3854"/>
      <c r="AZ1" s="3854"/>
      <c r="BA1" s="3854"/>
      <c r="BB1" s="3988" t="s">
        <v>4821</v>
      </c>
      <c r="BC1" s="3989" t="s">
        <v>4822</v>
      </c>
      <c r="BD1" s="3990" t="s">
        <v>4884</v>
      </c>
    </row>
    <row r="2" spans="1:87" s="1749" customFormat="1" ht="30">
      <c r="A2" s="3855" t="str">
        <f>HYPERLINK("#Index!A4", "Index Pg")</f>
        <v>Index Pg</v>
      </c>
      <c r="B2" s="1379" t="str">
        <f>HYPERLINK("#'Summary of Abstracts'!A2", "Summary of Abst.")</f>
        <v>Summary of Abst.</v>
      </c>
      <c r="C2" s="869"/>
      <c r="D2" s="1070"/>
      <c r="E2" s="1070"/>
      <c r="F2" s="3858"/>
      <c r="G2" s="906" t="s">
        <v>113</v>
      </c>
      <c r="H2" s="906" t="s">
        <v>126</v>
      </c>
      <c r="I2" s="906" t="s">
        <v>86</v>
      </c>
      <c r="J2" s="906" t="s">
        <v>4530</v>
      </c>
      <c r="K2" s="906" t="s">
        <v>91</v>
      </c>
      <c r="L2" s="1225" t="s">
        <v>3933</v>
      </c>
      <c r="M2" s="907" t="s">
        <v>4531</v>
      </c>
      <c r="N2" s="906" t="s">
        <v>4535</v>
      </c>
      <c r="O2" s="907" t="s">
        <v>203</v>
      </c>
      <c r="P2" s="908" t="s">
        <v>4218</v>
      </c>
      <c r="Q2" s="909" t="s">
        <v>3751</v>
      </c>
      <c r="R2" s="909" t="s">
        <v>4543</v>
      </c>
      <c r="S2" s="909" t="s">
        <v>4540</v>
      </c>
      <c r="T2" s="909" t="s">
        <v>4541</v>
      </c>
      <c r="U2" s="909" t="s">
        <v>4542</v>
      </c>
      <c r="V2" s="909" t="s">
        <v>4544</v>
      </c>
      <c r="W2" s="909" t="s">
        <v>4528</v>
      </c>
      <c r="X2" s="909" t="s">
        <v>4545</v>
      </c>
      <c r="Y2" s="909" t="s">
        <v>29</v>
      </c>
      <c r="Z2" s="909" t="s">
        <v>4546</v>
      </c>
      <c r="AA2" s="909" t="s">
        <v>4547</v>
      </c>
      <c r="AB2" s="909" t="s">
        <v>4537</v>
      </c>
      <c r="AC2" s="909" t="s">
        <v>737</v>
      </c>
      <c r="AD2" s="909" t="s">
        <v>4538</v>
      </c>
      <c r="AE2" s="909" t="s">
        <v>4539</v>
      </c>
      <c r="AF2" s="909" t="s">
        <v>2293</v>
      </c>
      <c r="AG2" s="909" t="s">
        <v>4548</v>
      </c>
      <c r="AH2" s="909" t="s">
        <v>3750</v>
      </c>
      <c r="AI2" s="909" t="s">
        <v>4893</v>
      </c>
      <c r="AJ2" s="910" t="s">
        <v>288</v>
      </c>
      <c r="AK2" s="910" t="s">
        <v>109</v>
      </c>
      <c r="AL2" s="910" t="s">
        <v>141</v>
      </c>
      <c r="AM2" s="910" t="s">
        <v>4525</v>
      </c>
      <c r="AN2" s="910" t="s">
        <v>3223</v>
      </c>
      <c r="AO2" s="910" t="s">
        <v>3855</v>
      </c>
      <c r="AP2" s="910" t="s">
        <v>4405</v>
      </c>
      <c r="AQ2" s="911" t="s">
        <v>81</v>
      </c>
      <c r="AR2" s="911" t="s">
        <v>145</v>
      </c>
      <c r="AS2" s="911" t="s">
        <v>394</v>
      </c>
      <c r="AT2" s="911" t="s">
        <v>147</v>
      </c>
      <c r="AU2" s="911" t="s">
        <v>410</v>
      </c>
      <c r="AV2" s="911" t="s">
        <v>4459</v>
      </c>
      <c r="AW2" s="911" t="s">
        <v>3989</v>
      </c>
      <c r="AX2" s="911" t="s">
        <v>307</v>
      </c>
      <c r="AY2" s="911" t="s">
        <v>309</v>
      </c>
      <c r="AZ2" s="911" t="s">
        <v>1028</v>
      </c>
      <c r="BA2" s="911" t="s">
        <v>1014</v>
      </c>
      <c r="BB2" s="3988"/>
      <c r="BC2" s="3989"/>
      <c r="BD2" s="3990"/>
    </row>
    <row r="3" spans="1:87" s="1749" customFormat="1">
      <c r="A3" s="3856"/>
      <c r="B3" s="864" t="str">
        <f>HYPERLINK("#'Budget Summary I'!A1:AL1", "Budget Summary I")</f>
        <v>Budget Summary I</v>
      </c>
      <c r="C3" s="865" t="s">
        <v>4460</v>
      </c>
      <c r="D3" s="1070"/>
      <c r="E3" s="1070"/>
      <c r="F3" s="1226">
        <f>R7</f>
        <v>3275.6105499999994</v>
      </c>
      <c r="G3" s="161"/>
      <c r="H3" s="161"/>
      <c r="I3" s="161"/>
      <c r="J3" s="161"/>
      <c r="K3" s="161"/>
      <c r="L3" s="985">
        <f>R13</f>
        <v>0</v>
      </c>
      <c r="M3" s="161"/>
      <c r="N3" s="161"/>
      <c r="O3" s="985"/>
      <c r="P3" s="985"/>
      <c r="Q3" s="985"/>
      <c r="R3" s="985"/>
      <c r="S3" s="985"/>
      <c r="T3" s="985"/>
      <c r="U3" s="985"/>
      <c r="V3" s="985"/>
      <c r="W3" s="985"/>
      <c r="X3" s="985"/>
      <c r="Y3" s="985"/>
      <c r="Z3" s="985"/>
      <c r="AA3" s="985"/>
      <c r="AB3" s="985"/>
      <c r="AC3" s="985"/>
      <c r="AD3" s="985">
        <f>R25+R30+R68+R105+R140+R141+R10</f>
        <v>2086.7698399999999</v>
      </c>
      <c r="AE3" s="985"/>
      <c r="AF3" s="985">
        <f>R17</f>
        <v>297.66070999999999</v>
      </c>
      <c r="AG3" s="985"/>
      <c r="AH3" s="985"/>
      <c r="AI3" s="985">
        <f>R26</f>
        <v>0</v>
      </c>
      <c r="AJ3" s="985"/>
      <c r="AK3" s="985"/>
      <c r="AL3" s="985"/>
      <c r="AM3" s="985"/>
      <c r="AN3" s="985"/>
      <c r="AO3" s="985"/>
      <c r="AP3" s="985"/>
      <c r="AQ3" s="985"/>
      <c r="AR3" s="985"/>
      <c r="AS3" s="985"/>
      <c r="AT3" s="985"/>
      <c r="AU3" s="985"/>
      <c r="AV3" s="985"/>
      <c r="AW3" s="985"/>
      <c r="AX3" s="985"/>
      <c r="AY3" s="985"/>
      <c r="AZ3" s="985"/>
      <c r="BA3" s="985"/>
      <c r="BB3" s="1711">
        <f>R9</f>
        <v>41.82</v>
      </c>
      <c r="BC3" s="1711">
        <f>R11+R43+R80+R117</f>
        <v>829.55</v>
      </c>
      <c r="BD3" s="1711">
        <f>R12+R55+R92+R129</f>
        <v>19.809999999999999</v>
      </c>
    </row>
    <row r="4" spans="1:87" s="1749" customFormat="1">
      <c r="A4" s="3857"/>
      <c r="B4" s="864" t="str">
        <f>HYPERLINK("#'Budget Summary II'!A3:B5", "Budget Summary II")</f>
        <v>Budget Summary II</v>
      </c>
      <c r="C4" s="865" t="s">
        <v>4461</v>
      </c>
      <c r="D4" s="1070"/>
      <c r="E4" s="1070"/>
      <c r="F4" s="1226">
        <f>O7</f>
        <v>3285.7712700000002</v>
      </c>
      <c r="G4" s="161"/>
      <c r="H4" s="161"/>
      <c r="I4" s="161"/>
      <c r="J4" s="161"/>
      <c r="K4" s="161"/>
      <c r="L4" s="985">
        <f>O13</f>
        <v>0</v>
      </c>
      <c r="M4" s="161"/>
      <c r="N4" s="161"/>
      <c r="O4" s="985"/>
      <c r="P4" s="985"/>
      <c r="Q4" s="985"/>
      <c r="R4" s="985"/>
      <c r="S4" s="985"/>
      <c r="T4" s="985"/>
      <c r="U4" s="985"/>
      <c r="V4" s="985"/>
      <c r="W4" s="985"/>
      <c r="X4" s="985"/>
      <c r="Y4" s="985"/>
      <c r="Z4" s="985"/>
      <c r="AA4" s="985"/>
      <c r="AB4" s="985"/>
      <c r="AC4" s="985"/>
      <c r="AD4" s="985">
        <f>O25+O30+O68+O105+O140+O141+O10</f>
        <v>2086.7674999999999</v>
      </c>
      <c r="AE4" s="985"/>
      <c r="AF4" s="985">
        <f>O17</f>
        <v>305.5034</v>
      </c>
      <c r="AG4" s="985"/>
      <c r="AH4" s="985"/>
      <c r="AI4" s="985">
        <f>O26</f>
        <v>0</v>
      </c>
      <c r="AJ4" s="985"/>
      <c r="AK4" s="985"/>
      <c r="AL4" s="985"/>
      <c r="AM4" s="985"/>
      <c r="AN4" s="985"/>
      <c r="AO4" s="985"/>
      <c r="AP4" s="985"/>
      <c r="AQ4" s="985"/>
      <c r="AR4" s="985"/>
      <c r="AS4" s="985"/>
      <c r="AT4" s="985"/>
      <c r="AU4" s="985"/>
      <c r="AV4" s="985"/>
      <c r="AW4" s="985"/>
      <c r="AX4" s="985"/>
      <c r="AY4" s="985"/>
      <c r="AZ4" s="985"/>
      <c r="BA4" s="985"/>
      <c r="BB4" s="1711">
        <f>O9</f>
        <v>42.454879999999996</v>
      </c>
      <c r="BC4" s="1711">
        <f>O11+O43+O80+O117</f>
        <v>829.55549999999994</v>
      </c>
      <c r="BD4" s="1711">
        <f>O12+O55+O92+O129</f>
        <v>21.489989999999999</v>
      </c>
    </row>
    <row r="5" spans="1:87" s="1750" customFormat="1">
      <c r="A5" s="3801" t="s">
        <v>48</v>
      </c>
      <c r="B5" s="3801" t="s">
        <v>49</v>
      </c>
      <c r="C5" s="3801" t="s">
        <v>50</v>
      </c>
      <c r="D5" s="3801" t="s">
        <v>4522</v>
      </c>
      <c r="E5" s="3567"/>
      <c r="F5" s="3866" t="s">
        <v>4478</v>
      </c>
      <c r="G5" s="3866"/>
      <c r="H5" s="3866"/>
      <c r="I5" s="3866"/>
      <c r="J5" s="3866"/>
      <c r="K5" s="3894" t="s">
        <v>4484</v>
      </c>
      <c r="L5" s="3903"/>
      <c r="M5" s="3903"/>
      <c r="N5" s="3903"/>
      <c r="O5" s="3903"/>
      <c r="P5" s="3904"/>
      <c r="Q5" s="3905" t="s">
        <v>4514</v>
      </c>
      <c r="R5" s="3906"/>
    </row>
    <row r="6" spans="1:87" s="1751" customFormat="1" ht="60">
      <c r="A6" s="3801"/>
      <c r="B6" s="3801"/>
      <c r="C6" s="3801"/>
      <c r="D6" s="3801"/>
      <c r="E6" s="3567"/>
      <c r="F6" s="918" t="s">
        <v>4479</v>
      </c>
      <c r="G6" s="918" t="s">
        <v>4482</v>
      </c>
      <c r="H6" s="918" t="s">
        <v>4480</v>
      </c>
      <c r="I6" s="918" t="s">
        <v>4483</v>
      </c>
      <c r="J6" s="918" t="s">
        <v>2448</v>
      </c>
      <c r="K6" s="919" t="s">
        <v>53</v>
      </c>
      <c r="L6" s="919" t="s">
        <v>54</v>
      </c>
      <c r="M6" s="1228" t="s">
        <v>55</v>
      </c>
      <c r="N6" s="919" t="s">
        <v>56</v>
      </c>
      <c r="O6" s="1228" t="s">
        <v>57</v>
      </c>
      <c r="P6" s="919" t="s">
        <v>5069</v>
      </c>
      <c r="Q6" s="921" t="s">
        <v>2450</v>
      </c>
      <c r="R6" s="1229" t="s">
        <v>4515</v>
      </c>
      <c r="S6" s="3111"/>
      <c r="T6" s="3111" t="s">
        <v>4538</v>
      </c>
      <c r="BB6" s="3153" t="s">
        <v>5973</v>
      </c>
      <c r="BC6" s="3153" t="s">
        <v>5432</v>
      </c>
      <c r="BD6" s="3153" t="s">
        <v>5433</v>
      </c>
      <c r="BE6" s="3153" t="s">
        <v>5434</v>
      </c>
      <c r="BF6" s="3153" t="s">
        <v>5435</v>
      </c>
      <c r="BG6" s="3153" t="s">
        <v>5436</v>
      </c>
      <c r="BH6" s="3153" t="s">
        <v>5437</v>
      </c>
      <c r="BI6" s="3153" t="s">
        <v>5959</v>
      </c>
      <c r="BJ6" s="3153" t="s">
        <v>5438</v>
      </c>
      <c r="BK6" s="3153" t="s">
        <v>5439</v>
      </c>
      <c r="BL6" s="3153" t="s">
        <v>5960</v>
      </c>
      <c r="BM6" s="3153" t="s">
        <v>5440</v>
      </c>
      <c r="BN6" s="3153" t="s">
        <v>5441</v>
      </c>
      <c r="BO6" s="3153" t="s">
        <v>5961</v>
      </c>
      <c r="BP6" s="3153" t="s">
        <v>5974</v>
      </c>
      <c r="BQ6" s="3153" t="s">
        <v>5975</v>
      </c>
      <c r="BR6" s="3153" t="s">
        <v>5976</v>
      </c>
      <c r="BS6" s="3153" t="s">
        <v>5977</v>
      </c>
      <c r="BT6" s="3153" t="s">
        <v>5978</v>
      </c>
      <c r="BU6" s="3153" t="s">
        <v>5979</v>
      </c>
      <c r="BV6" s="3153" t="s">
        <v>5962</v>
      </c>
      <c r="BW6" s="3153" t="s">
        <v>5963</v>
      </c>
      <c r="BX6" s="3153" t="s">
        <v>5964</v>
      </c>
      <c r="BY6" s="3153" t="s">
        <v>5965</v>
      </c>
      <c r="BZ6" s="3153" t="s">
        <v>5966</v>
      </c>
      <c r="CA6" s="3153" t="s">
        <v>5967</v>
      </c>
      <c r="CB6" s="3153" t="s">
        <v>5968</v>
      </c>
      <c r="CC6" s="3153" t="s">
        <v>5969</v>
      </c>
      <c r="CD6" s="3153" t="s">
        <v>5970</v>
      </c>
      <c r="CE6" s="3153" t="s">
        <v>5980</v>
      </c>
      <c r="CF6" s="3153" t="s">
        <v>5971</v>
      </c>
      <c r="CG6" s="3153" t="s">
        <v>5981</v>
      </c>
      <c r="CH6" s="3153" t="s">
        <v>5982</v>
      </c>
      <c r="CI6" s="3153" t="s">
        <v>5972</v>
      </c>
    </row>
    <row r="7" spans="1:87" s="1752" customFormat="1">
      <c r="A7" s="485">
        <v>16</v>
      </c>
      <c r="B7" s="486"/>
      <c r="C7" s="485" t="s">
        <v>30</v>
      </c>
      <c r="D7" s="485"/>
      <c r="E7" s="485"/>
      <c r="F7" s="486"/>
      <c r="G7" s="486"/>
      <c r="H7" s="486"/>
      <c r="I7" s="486"/>
      <c r="J7" s="486"/>
      <c r="K7" s="486"/>
      <c r="L7" s="485"/>
      <c r="M7" s="487"/>
      <c r="N7" s="485"/>
      <c r="O7" s="487">
        <f>SUM(O8+O13+O17+O23)</f>
        <v>3285.7712700000002</v>
      </c>
      <c r="P7" s="1629"/>
      <c r="Q7" s="485"/>
      <c r="R7" s="487">
        <f>SUM(R8+R13+R17+R23)</f>
        <v>3275.6105499999994</v>
      </c>
      <c r="S7" s="3140">
        <f>O7-R7</f>
        <v>10.160720000000765</v>
      </c>
      <c r="T7" s="3114">
        <f>SUM(T13:T23)</f>
        <v>2629.6706099999997</v>
      </c>
      <c r="U7" s="3114" t="e">
        <f>#REF!</f>
        <v>#REF!</v>
      </c>
      <c r="BB7" s="3296"/>
      <c r="BC7" s="3296"/>
      <c r="BD7" s="3296"/>
      <c r="BE7" s="3296"/>
      <c r="BF7" s="3296"/>
      <c r="BG7" s="3296"/>
      <c r="BH7" s="3296"/>
      <c r="BI7" s="3296"/>
      <c r="BJ7" s="3296"/>
      <c r="BK7" s="3296"/>
      <c r="BL7" s="3296"/>
      <c r="BM7" s="3296"/>
      <c r="BN7" s="3296"/>
      <c r="BO7" s="3296"/>
      <c r="BP7" s="3296"/>
      <c r="BQ7" s="3296"/>
      <c r="BR7" s="3296"/>
      <c r="BS7" s="3296"/>
      <c r="BT7" s="3296"/>
      <c r="BU7" s="3296"/>
      <c r="BV7" s="3296"/>
      <c r="BW7" s="3296"/>
      <c r="BX7" s="3296"/>
      <c r="BY7" s="3296"/>
      <c r="BZ7" s="3296"/>
      <c r="CA7" s="3296"/>
      <c r="CB7" s="3296"/>
      <c r="CC7" s="3296"/>
      <c r="CD7" s="3296"/>
      <c r="CE7" s="3296"/>
      <c r="CF7" s="3296"/>
      <c r="CG7" s="3296"/>
      <c r="CH7" s="3296"/>
      <c r="CI7" s="3296">
        <f>SUM(BB7:CH7)</f>
        <v>0</v>
      </c>
    </row>
    <row r="8" spans="1:87" ht="114" customHeight="1">
      <c r="A8" s="488">
        <v>16.100000000000001</v>
      </c>
      <c r="B8" s="488"/>
      <c r="C8" s="489" t="s">
        <v>3590</v>
      </c>
      <c r="D8" s="488"/>
      <c r="E8" s="488"/>
      <c r="F8" s="488"/>
      <c r="G8" s="488"/>
      <c r="H8" s="488"/>
      <c r="I8" s="488"/>
      <c r="J8" s="488"/>
      <c r="K8" s="488"/>
      <c r="L8" s="488"/>
      <c r="M8" s="491"/>
      <c r="N8" s="1753"/>
      <c r="O8" s="491">
        <f>SUM(O9:O12)</f>
        <v>648.26064999999994</v>
      </c>
      <c r="P8" s="1754"/>
      <c r="Q8" s="3119"/>
      <c r="R8" s="491">
        <f>'16-A. PM sub Annex'!R6</f>
        <v>645.93993999999998</v>
      </c>
      <c r="S8" s="3140">
        <f>O8-R8</f>
        <v>2.3207099999999627</v>
      </c>
      <c r="BB8" s="3297"/>
      <c r="BC8" s="3297"/>
      <c r="BD8" s="3297"/>
      <c r="BE8" s="3297"/>
      <c r="BF8" s="3297"/>
      <c r="BG8" s="3297"/>
      <c r="BH8" s="3297"/>
      <c r="BI8" s="3297"/>
      <c r="BJ8" s="3297"/>
      <c r="BK8" s="3297"/>
      <c r="BL8" s="3297"/>
      <c r="BM8" s="3297"/>
      <c r="BN8" s="3297"/>
      <c r="BO8" s="3297"/>
      <c r="BP8" s="3297"/>
      <c r="BQ8" s="3297"/>
      <c r="BR8" s="3297"/>
      <c r="BS8" s="3297"/>
      <c r="BT8" s="3297"/>
      <c r="BU8" s="3297"/>
      <c r="BV8" s="3297"/>
      <c r="BW8" s="3297"/>
      <c r="BX8" s="3297"/>
      <c r="BY8" s="3297"/>
      <c r="BZ8" s="3297"/>
      <c r="CA8" s="3297"/>
      <c r="CB8" s="3297"/>
      <c r="CC8" s="3297"/>
      <c r="CD8" s="3297"/>
      <c r="CE8" s="3297"/>
      <c r="CF8" s="3297"/>
      <c r="CG8" s="3297"/>
      <c r="CH8" s="3297"/>
      <c r="CI8" s="3296">
        <f t="shared" ref="CI8:CI71" si="0">SUM(BB8:CH8)</f>
        <v>0</v>
      </c>
    </row>
    <row r="9" spans="1:87">
      <c r="A9" s="679" t="s">
        <v>3274</v>
      </c>
      <c r="B9" s="679"/>
      <c r="C9" s="537" t="s">
        <v>4886</v>
      </c>
      <c r="D9" s="4033" t="s">
        <v>4890</v>
      </c>
      <c r="E9" s="3568"/>
      <c r="F9" s="680"/>
      <c r="G9" s="680"/>
      <c r="H9" s="680"/>
      <c r="I9" s="680"/>
      <c r="J9" s="680"/>
      <c r="K9" s="680"/>
      <c r="L9" s="680"/>
      <c r="M9" s="681"/>
      <c r="N9" s="682"/>
      <c r="O9" s="681">
        <f>'16-A. PM sub Annex'!E2</f>
        <v>42.454879999999996</v>
      </c>
      <c r="P9" s="683"/>
      <c r="Q9" s="4030" t="s">
        <v>5958</v>
      </c>
      <c r="R9" s="1761">
        <f>'16-A. PM sub Annex'!E3</f>
        <v>41.82</v>
      </c>
      <c r="BB9" s="3297"/>
      <c r="BC9" s="3297"/>
      <c r="BD9" s="3297"/>
      <c r="BE9" s="3297"/>
      <c r="BF9" s="3297"/>
      <c r="BG9" s="3297"/>
      <c r="BH9" s="3297"/>
      <c r="BI9" s="3297"/>
      <c r="BJ9" s="3297"/>
      <c r="BK9" s="3297"/>
      <c r="BL9" s="3297"/>
      <c r="BM9" s="3297"/>
      <c r="BN9" s="3297"/>
      <c r="BO9" s="3297"/>
      <c r="BP9" s="3297"/>
      <c r="BQ9" s="3297"/>
      <c r="BR9" s="3297"/>
      <c r="BS9" s="3297"/>
      <c r="BT9" s="3297"/>
      <c r="BU9" s="3297"/>
      <c r="BV9" s="3297"/>
      <c r="BW9" s="3297"/>
      <c r="BX9" s="3297"/>
      <c r="BY9" s="3297"/>
      <c r="BZ9" s="3297"/>
      <c r="CA9" s="3297"/>
      <c r="CB9" s="3297"/>
      <c r="CC9" s="3297"/>
      <c r="CD9" s="3297"/>
      <c r="CE9" s="3297"/>
      <c r="CF9" s="3297"/>
      <c r="CG9" s="3297"/>
      <c r="CH9" s="3297"/>
      <c r="CI9" s="3296">
        <f t="shared" si="0"/>
        <v>0</v>
      </c>
    </row>
    <row r="10" spans="1:87">
      <c r="A10" s="679" t="s">
        <v>3281</v>
      </c>
      <c r="B10" s="679"/>
      <c r="C10" s="537" t="s">
        <v>4887</v>
      </c>
      <c r="D10" s="4034"/>
      <c r="E10" s="3569"/>
      <c r="F10" s="680"/>
      <c r="G10" s="680"/>
      <c r="H10" s="680"/>
      <c r="I10" s="680"/>
      <c r="J10" s="680"/>
      <c r="K10" s="680"/>
      <c r="L10" s="680"/>
      <c r="M10" s="681"/>
      <c r="N10" s="682"/>
      <c r="O10" s="681">
        <f>'16-A. PM sub Annex'!F2</f>
        <v>376.19993999999997</v>
      </c>
      <c r="P10" s="683"/>
      <c r="Q10" s="4031"/>
      <c r="R10" s="1761">
        <f>'16-A. PM sub Annex'!F3</f>
        <v>376.19993999999997</v>
      </c>
      <c r="S10" s="3112"/>
      <c r="BB10" s="3297"/>
      <c r="BC10" s="3297"/>
      <c r="BD10" s="3297"/>
      <c r="BE10" s="3297"/>
      <c r="BF10" s="3297"/>
      <c r="BG10" s="3297"/>
      <c r="BH10" s="3297"/>
      <c r="BI10" s="3297"/>
      <c r="BJ10" s="3297"/>
      <c r="BK10" s="3297"/>
      <c r="BL10" s="3297"/>
      <c r="BM10" s="3297"/>
      <c r="BN10" s="3297"/>
      <c r="BO10" s="3297"/>
      <c r="BP10" s="3297"/>
      <c r="BQ10" s="3297"/>
      <c r="BR10" s="3297"/>
      <c r="BS10" s="3297"/>
      <c r="BT10" s="3297"/>
      <c r="BU10" s="3297"/>
      <c r="BV10" s="3297"/>
      <c r="BW10" s="3297"/>
      <c r="BX10" s="3297"/>
      <c r="BY10" s="3297"/>
      <c r="BZ10" s="3297"/>
      <c r="CA10" s="3297"/>
      <c r="CB10" s="3297"/>
      <c r="CC10" s="3297"/>
      <c r="CD10" s="3297"/>
      <c r="CE10" s="3297"/>
      <c r="CF10" s="3297"/>
      <c r="CG10" s="3297"/>
      <c r="CH10" s="3297"/>
      <c r="CI10" s="3296">
        <f t="shared" si="0"/>
        <v>0</v>
      </c>
    </row>
    <row r="11" spans="1:87">
      <c r="A11" s="679" t="s">
        <v>3282</v>
      </c>
      <c r="B11" s="679"/>
      <c r="C11" s="537" t="s">
        <v>4888</v>
      </c>
      <c r="D11" s="4034"/>
      <c r="E11" s="3569"/>
      <c r="F11" s="680"/>
      <c r="G11" s="680"/>
      <c r="H11" s="680"/>
      <c r="I11" s="680"/>
      <c r="J11" s="680"/>
      <c r="K11" s="680"/>
      <c r="L11" s="680"/>
      <c r="M11" s="681"/>
      <c r="N11" s="682"/>
      <c r="O11" s="681">
        <f>'16-A. PM sub Annex'!G2</f>
        <v>221.64583999999999</v>
      </c>
      <c r="P11" s="683"/>
      <c r="Q11" s="4031"/>
      <c r="R11" s="1761">
        <f>'16-A. PM sub Annex'!G3</f>
        <v>221.64000000000001</v>
      </c>
      <c r="BB11" s="3297"/>
      <c r="BC11" s="3297"/>
      <c r="BD11" s="3297"/>
      <c r="BE11" s="3297"/>
      <c r="BF11" s="3297"/>
      <c r="BG11" s="3297"/>
      <c r="BH11" s="3297"/>
      <c r="BI11" s="3297"/>
      <c r="BJ11" s="3297"/>
      <c r="BK11" s="3297"/>
      <c r="BL11" s="3297"/>
      <c r="BM11" s="3297"/>
      <c r="BN11" s="3297"/>
      <c r="BO11" s="3297"/>
      <c r="BP11" s="3297"/>
      <c r="BQ11" s="3297"/>
      <c r="BR11" s="3297"/>
      <c r="BS11" s="3297"/>
      <c r="BT11" s="3297"/>
      <c r="BU11" s="3297"/>
      <c r="BV11" s="3297"/>
      <c r="BW11" s="3297"/>
      <c r="BX11" s="3297"/>
      <c r="BY11" s="3297"/>
      <c r="BZ11" s="3297"/>
      <c r="CA11" s="3297"/>
      <c r="CB11" s="3297"/>
      <c r="CC11" s="3297"/>
      <c r="CD11" s="3297"/>
      <c r="CE11" s="3297"/>
      <c r="CF11" s="3297"/>
      <c r="CG11" s="3297"/>
      <c r="CH11" s="3297"/>
      <c r="CI11" s="3296">
        <f t="shared" si="0"/>
        <v>0</v>
      </c>
    </row>
    <row r="12" spans="1:87">
      <c r="A12" s="679" t="s">
        <v>3284</v>
      </c>
      <c r="B12" s="679"/>
      <c r="C12" s="537" t="s">
        <v>4889</v>
      </c>
      <c r="D12" s="4035"/>
      <c r="E12" s="3570"/>
      <c r="F12" s="680"/>
      <c r="G12" s="680"/>
      <c r="H12" s="680"/>
      <c r="I12" s="680"/>
      <c r="J12" s="680"/>
      <c r="K12" s="680"/>
      <c r="L12" s="680"/>
      <c r="M12" s="681"/>
      <c r="N12" s="682"/>
      <c r="O12" s="681">
        <f>'16-A. PM sub Annex'!H2</f>
        <v>7.9599899999999995</v>
      </c>
      <c r="P12" s="683"/>
      <c r="Q12" s="4032"/>
      <c r="R12" s="1761">
        <f>'16-A. PM sub Annex'!H3</f>
        <v>6.28</v>
      </c>
      <c r="BB12" s="3297"/>
      <c r="BC12" s="3297"/>
      <c r="BD12" s="3297"/>
      <c r="BE12" s="3297"/>
      <c r="BF12" s="3297"/>
      <c r="BG12" s="3297"/>
      <c r="BH12" s="3297"/>
      <c r="BI12" s="3297"/>
      <c r="BJ12" s="3297"/>
      <c r="BK12" s="3297"/>
      <c r="BL12" s="3297"/>
      <c r="BM12" s="3297"/>
      <c r="BN12" s="3297"/>
      <c r="BO12" s="3297"/>
      <c r="BP12" s="3297"/>
      <c r="BQ12" s="3297"/>
      <c r="BR12" s="3297"/>
      <c r="BS12" s="3297"/>
      <c r="BT12" s="3297"/>
      <c r="BU12" s="3297"/>
      <c r="BV12" s="3297"/>
      <c r="BW12" s="3297"/>
      <c r="BX12" s="3297"/>
      <c r="BY12" s="3297"/>
      <c r="BZ12" s="3297"/>
      <c r="CA12" s="3297"/>
      <c r="CB12" s="3297"/>
      <c r="CC12" s="3297"/>
      <c r="CD12" s="3297"/>
      <c r="CE12" s="3297"/>
      <c r="CF12" s="3297"/>
      <c r="CG12" s="3297"/>
      <c r="CH12" s="3297"/>
      <c r="CI12" s="3296">
        <f t="shared" si="0"/>
        <v>0</v>
      </c>
    </row>
    <row r="13" spans="1:87">
      <c r="A13" s="488">
        <v>16.2</v>
      </c>
      <c r="B13" s="488"/>
      <c r="C13" s="488" t="s">
        <v>2820</v>
      </c>
      <c r="D13" s="488"/>
      <c r="E13" s="488"/>
      <c r="F13" s="490"/>
      <c r="G13" s="490"/>
      <c r="H13" s="490"/>
      <c r="I13" s="490"/>
      <c r="J13" s="490"/>
      <c r="K13" s="490"/>
      <c r="L13" s="490"/>
      <c r="M13" s="491"/>
      <c r="N13" s="492"/>
      <c r="O13" s="491">
        <f>SUM(O14:O16)</f>
        <v>0</v>
      </c>
      <c r="P13" s="493"/>
      <c r="Q13" s="488"/>
      <c r="R13" s="491">
        <f>SUM(R14:R16)</f>
        <v>0</v>
      </c>
      <c r="S13" s="3140">
        <f>O13-R13</f>
        <v>0</v>
      </c>
      <c r="T13" s="3112">
        <f>R13</f>
        <v>0</v>
      </c>
      <c r="BB13" s="3297"/>
      <c r="BC13" s="3297"/>
      <c r="BD13" s="3297"/>
      <c r="BE13" s="3297"/>
      <c r="BF13" s="3297"/>
      <c r="BG13" s="3297"/>
      <c r="BH13" s="3297"/>
      <c r="BI13" s="3297"/>
      <c r="BJ13" s="3297"/>
      <c r="BK13" s="3297"/>
      <c r="BL13" s="3297"/>
      <c r="BM13" s="3297"/>
      <c r="BN13" s="3297"/>
      <c r="BO13" s="3297"/>
      <c r="BP13" s="3297"/>
      <c r="BQ13" s="3297"/>
      <c r="BR13" s="3297"/>
      <c r="BS13" s="3297"/>
      <c r="BT13" s="3297"/>
      <c r="BU13" s="3297"/>
      <c r="BV13" s="3297"/>
      <c r="BW13" s="3297"/>
      <c r="BX13" s="3297"/>
      <c r="BY13" s="3297"/>
      <c r="BZ13" s="3297"/>
      <c r="CA13" s="3297"/>
      <c r="CB13" s="3297"/>
      <c r="CC13" s="3297"/>
      <c r="CD13" s="3297"/>
      <c r="CE13" s="3297"/>
      <c r="CF13" s="3297"/>
      <c r="CG13" s="3297"/>
      <c r="CH13" s="3297"/>
      <c r="CI13" s="3296">
        <f t="shared" si="0"/>
        <v>0</v>
      </c>
    </row>
    <row r="14" spans="1:87">
      <c r="A14" s="494" t="s">
        <v>3296</v>
      </c>
      <c r="B14" s="495" t="s">
        <v>2252</v>
      </c>
      <c r="C14" s="494" t="s">
        <v>3979</v>
      </c>
      <c r="D14" s="496"/>
      <c r="E14" s="496"/>
      <c r="F14" s="497">
        <v>0</v>
      </c>
      <c r="G14" s="497"/>
      <c r="H14" s="497">
        <v>0</v>
      </c>
      <c r="I14" s="497"/>
      <c r="J14" s="497"/>
      <c r="K14" s="497"/>
      <c r="L14" s="277"/>
      <c r="M14" s="281">
        <f>L14/100000</f>
        <v>0</v>
      </c>
      <c r="N14" s="277"/>
      <c r="O14" s="498">
        <f>M14*N14</f>
        <v>0</v>
      </c>
      <c r="P14" s="499"/>
      <c r="Q14" s="494" t="str">
        <f>'Ab1. RMNCH+A'!Q391</f>
        <v>-</v>
      </c>
      <c r="R14" s="800">
        <f>'Ab1. RMNCH+A'!R391</f>
        <v>0</v>
      </c>
      <c r="BB14" s="3297"/>
      <c r="BC14" s="3297"/>
      <c r="BD14" s="3297"/>
      <c r="BE14" s="3297"/>
      <c r="BF14" s="3297"/>
      <c r="BG14" s="3297"/>
      <c r="BH14" s="3297"/>
      <c r="BI14" s="3297"/>
      <c r="BJ14" s="3297"/>
      <c r="BK14" s="3297"/>
      <c r="BL14" s="3297"/>
      <c r="BM14" s="3297"/>
      <c r="BN14" s="3297"/>
      <c r="BO14" s="3297"/>
      <c r="BP14" s="3297"/>
      <c r="BQ14" s="3297"/>
      <c r="BR14" s="3297"/>
      <c r="BS14" s="3297"/>
      <c r="BT14" s="3297"/>
      <c r="BU14" s="3297"/>
      <c r="BV14" s="3297"/>
      <c r="BW14" s="3297"/>
      <c r="BX14" s="3297"/>
      <c r="BY14" s="3297"/>
      <c r="BZ14" s="3297"/>
      <c r="CA14" s="3297"/>
      <c r="CB14" s="3297"/>
      <c r="CC14" s="3297"/>
      <c r="CD14" s="3297"/>
      <c r="CE14" s="3297"/>
      <c r="CF14" s="3297"/>
      <c r="CG14" s="3297"/>
      <c r="CH14" s="3297"/>
      <c r="CI14" s="3296">
        <f t="shared" si="0"/>
        <v>0</v>
      </c>
    </row>
    <row r="15" spans="1:87">
      <c r="A15" s="494" t="s">
        <v>3339</v>
      </c>
      <c r="B15" s="495" t="s">
        <v>2184</v>
      </c>
      <c r="C15" s="494" t="s">
        <v>2821</v>
      </c>
      <c r="D15" s="496"/>
      <c r="E15" s="496"/>
      <c r="F15" s="497">
        <v>0</v>
      </c>
      <c r="G15" s="497"/>
      <c r="H15" s="497">
        <v>0</v>
      </c>
      <c r="I15" s="497"/>
      <c r="J15" s="497"/>
      <c r="K15" s="497"/>
      <c r="L15" s="277"/>
      <c r="M15" s="281">
        <f>L15/100000</f>
        <v>0</v>
      </c>
      <c r="N15" s="277"/>
      <c r="O15" s="498">
        <f>M15*N15</f>
        <v>0</v>
      </c>
      <c r="P15" s="499"/>
      <c r="Q15" s="494" t="str">
        <f>'Ab1. RMNCH+A'!Q392</f>
        <v>-</v>
      </c>
      <c r="R15" s="800">
        <f>'Ab1. RMNCH+A'!R392</f>
        <v>0</v>
      </c>
      <c r="BB15" s="3297"/>
      <c r="BC15" s="3297"/>
      <c r="BD15" s="3297"/>
      <c r="BE15" s="3297"/>
      <c r="BF15" s="3297"/>
      <c r="BG15" s="3297"/>
      <c r="BH15" s="3297"/>
      <c r="BI15" s="3297"/>
      <c r="BJ15" s="3297"/>
      <c r="BK15" s="3297"/>
      <c r="BL15" s="3297"/>
      <c r="BM15" s="3297"/>
      <c r="BN15" s="3297"/>
      <c r="BO15" s="3297"/>
      <c r="BP15" s="3297"/>
      <c r="BQ15" s="3297"/>
      <c r="BR15" s="3297"/>
      <c r="BS15" s="3297"/>
      <c r="BT15" s="3297"/>
      <c r="BU15" s="3297"/>
      <c r="BV15" s="3297"/>
      <c r="BW15" s="3297"/>
      <c r="BX15" s="3297"/>
      <c r="BY15" s="3297"/>
      <c r="BZ15" s="3297"/>
      <c r="CA15" s="3297"/>
      <c r="CB15" s="3297"/>
      <c r="CC15" s="3297"/>
      <c r="CD15" s="3297"/>
      <c r="CE15" s="3297"/>
      <c r="CF15" s="3297"/>
      <c r="CG15" s="3297"/>
      <c r="CH15" s="3297"/>
      <c r="CI15" s="3296">
        <f t="shared" si="0"/>
        <v>0</v>
      </c>
    </row>
    <row r="16" spans="1:87" ht="30">
      <c r="A16" s="500" t="s">
        <v>3591</v>
      </c>
      <c r="B16" s="494" t="s">
        <v>2253</v>
      </c>
      <c r="C16" s="501" t="s">
        <v>3592</v>
      </c>
      <c r="D16" s="496"/>
      <c r="E16" s="496"/>
      <c r="F16" s="497">
        <v>0</v>
      </c>
      <c r="G16" s="497"/>
      <c r="H16" s="497">
        <v>0</v>
      </c>
      <c r="I16" s="497"/>
      <c r="J16" s="497"/>
      <c r="K16" s="497"/>
      <c r="L16" s="277"/>
      <c r="M16" s="281">
        <f>L16/100000</f>
        <v>0</v>
      </c>
      <c r="N16" s="277"/>
      <c r="O16" s="498">
        <f>M16*N16</f>
        <v>0</v>
      </c>
      <c r="P16" s="499"/>
      <c r="Q16" s="494" t="str">
        <f>'Ab1. RMNCH+A'!Q393</f>
        <v>-</v>
      </c>
      <c r="R16" s="800">
        <f>'Ab1. RMNCH+A'!R393</f>
        <v>0</v>
      </c>
      <c r="BB16" s="3297"/>
      <c r="BC16" s="3297"/>
      <c r="BD16" s="3297"/>
      <c r="BE16" s="3297"/>
      <c r="BF16" s="3297"/>
      <c r="BG16" s="3297"/>
      <c r="BH16" s="3297"/>
      <c r="BI16" s="3297"/>
      <c r="BJ16" s="3297"/>
      <c r="BK16" s="3297"/>
      <c r="BL16" s="3297"/>
      <c r="BM16" s="3297"/>
      <c r="BN16" s="3297"/>
      <c r="BO16" s="3297"/>
      <c r="BP16" s="3297"/>
      <c r="BQ16" s="3297"/>
      <c r="BR16" s="3297"/>
      <c r="BS16" s="3297"/>
      <c r="BT16" s="3297"/>
      <c r="BU16" s="3297"/>
      <c r="BV16" s="3297"/>
      <c r="BW16" s="3297"/>
      <c r="BX16" s="3297"/>
      <c r="BY16" s="3297"/>
      <c r="BZ16" s="3297"/>
      <c r="CA16" s="3297"/>
      <c r="CB16" s="3297"/>
      <c r="CC16" s="3297"/>
      <c r="CD16" s="3297"/>
      <c r="CE16" s="3297"/>
      <c r="CF16" s="3297"/>
      <c r="CG16" s="3297"/>
      <c r="CH16" s="3297"/>
      <c r="CI16" s="3296">
        <f t="shared" si="0"/>
        <v>0</v>
      </c>
    </row>
    <row r="17" spans="1:87">
      <c r="A17" s="488">
        <v>16.3</v>
      </c>
      <c r="B17" s="488"/>
      <c r="C17" s="488" t="s">
        <v>2822</v>
      </c>
      <c r="D17" s="488"/>
      <c r="E17" s="488"/>
      <c r="F17" s="490"/>
      <c r="G17" s="490"/>
      <c r="H17" s="490"/>
      <c r="I17" s="490"/>
      <c r="J17" s="490"/>
      <c r="K17" s="490"/>
      <c r="L17" s="490"/>
      <c r="M17" s="491"/>
      <c r="N17" s="490"/>
      <c r="O17" s="491">
        <f>SUM(O18:O22)</f>
        <v>305.5034</v>
      </c>
      <c r="P17" s="493"/>
      <c r="Q17" s="488"/>
      <c r="R17" s="491">
        <f>SUM(R18:R22)</f>
        <v>297.66070999999999</v>
      </c>
      <c r="S17" s="3140">
        <f>O17-R17</f>
        <v>7.8426900000000046</v>
      </c>
      <c r="T17" s="3112">
        <f>R17</f>
        <v>297.66070999999999</v>
      </c>
      <c r="BB17" s="3297"/>
      <c r="BC17" s="3297"/>
      <c r="BD17" s="3297"/>
      <c r="BE17" s="3297"/>
      <c r="BF17" s="3297"/>
      <c r="BG17" s="3297"/>
      <c r="BH17" s="3297"/>
      <c r="BI17" s="3297"/>
      <c r="BJ17" s="3297"/>
      <c r="BK17" s="3297"/>
      <c r="BL17" s="3297"/>
      <c r="BM17" s="3297"/>
      <c r="BN17" s="3297"/>
      <c r="BO17" s="3297"/>
      <c r="BP17" s="3297"/>
      <c r="BQ17" s="3297"/>
      <c r="BR17" s="3297"/>
      <c r="BS17" s="3297"/>
      <c r="BT17" s="3297"/>
      <c r="BU17" s="3297"/>
      <c r="BV17" s="3297"/>
      <c r="BW17" s="3297"/>
      <c r="BX17" s="3297"/>
      <c r="BY17" s="3297"/>
      <c r="BZ17" s="3297"/>
      <c r="CA17" s="3297"/>
      <c r="CB17" s="3297"/>
      <c r="CC17" s="3297"/>
      <c r="CD17" s="3297"/>
      <c r="CE17" s="3297"/>
      <c r="CF17" s="3297"/>
      <c r="CG17" s="3297"/>
      <c r="CH17" s="3297"/>
      <c r="CI17" s="3296">
        <f t="shared" si="0"/>
        <v>0</v>
      </c>
    </row>
    <row r="18" spans="1:87">
      <c r="A18" s="494" t="s">
        <v>3370</v>
      </c>
      <c r="B18" s="502" t="s">
        <v>2823</v>
      </c>
      <c r="C18" s="494" t="s">
        <v>3980</v>
      </c>
      <c r="D18" s="496"/>
      <c r="E18" s="496"/>
      <c r="F18" s="497">
        <v>0</v>
      </c>
      <c r="G18" s="497"/>
      <c r="H18" s="497">
        <v>0</v>
      </c>
      <c r="I18" s="497"/>
      <c r="J18" s="497"/>
      <c r="K18" s="497"/>
      <c r="L18" s="277"/>
      <c r="M18" s="281">
        <f>L18/100000</f>
        <v>0</v>
      </c>
      <c r="N18" s="277"/>
      <c r="O18" s="498">
        <f>M18*N18</f>
        <v>0</v>
      </c>
      <c r="P18" s="499"/>
      <c r="Q18" s="684">
        <f>'Ab4. HMIS-MCTS'!Q21</f>
        <v>0</v>
      </c>
      <c r="R18" s="704">
        <f>'Ab4. HMIS-MCTS'!R21</f>
        <v>0</v>
      </c>
      <c r="BB18" s="3297"/>
      <c r="BC18" s="3297"/>
      <c r="BD18" s="3297"/>
      <c r="BE18" s="3297"/>
      <c r="BF18" s="3297"/>
      <c r="BG18" s="3297"/>
      <c r="BH18" s="3297"/>
      <c r="BI18" s="3297"/>
      <c r="BJ18" s="3297"/>
      <c r="BK18" s="3297"/>
      <c r="BL18" s="3297"/>
      <c r="BM18" s="3297"/>
      <c r="BN18" s="3297"/>
      <c r="BO18" s="3297"/>
      <c r="BP18" s="3297"/>
      <c r="BQ18" s="3297"/>
      <c r="BR18" s="3297"/>
      <c r="BS18" s="3297"/>
      <c r="BT18" s="3297"/>
      <c r="BU18" s="3297"/>
      <c r="BV18" s="3297"/>
      <c r="BW18" s="3297"/>
      <c r="BX18" s="3297"/>
      <c r="BY18" s="3297"/>
      <c r="BZ18" s="3297"/>
      <c r="CA18" s="3297"/>
      <c r="CB18" s="3297"/>
      <c r="CC18" s="3297"/>
      <c r="CD18" s="3297"/>
      <c r="CE18" s="3297"/>
      <c r="CF18" s="3297"/>
      <c r="CG18" s="3297"/>
      <c r="CH18" s="3297"/>
      <c r="CI18" s="3296">
        <f t="shared" si="0"/>
        <v>0</v>
      </c>
    </row>
    <row r="19" spans="1:87" s="1749" customFormat="1">
      <c r="A19" s="679" t="s">
        <v>3409</v>
      </c>
      <c r="B19" s="537" t="s">
        <v>2824</v>
      </c>
      <c r="C19" s="679" t="s">
        <v>2825</v>
      </c>
      <c r="D19" s="2409"/>
      <c r="E19" s="2409"/>
      <c r="F19" s="2410">
        <v>164</v>
      </c>
      <c r="G19" s="2410"/>
      <c r="H19" s="2410">
        <v>3.36</v>
      </c>
      <c r="I19" s="2411">
        <v>0.44</v>
      </c>
      <c r="J19" s="2411">
        <v>2.99</v>
      </c>
      <c r="K19" s="2410"/>
      <c r="L19" s="283"/>
      <c r="M19" s="2261">
        <f>L19/100000</f>
        <v>0</v>
      </c>
      <c r="N19" s="283"/>
      <c r="O19" s="681">
        <f>M19*N19</f>
        <v>0</v>
      </c>
      <c r="P19" s="2412" t="s">
        <v>5189</v>
      </c>
      <c r="Q19" s="684">
        <f>'Ab4. HMIS-MCTS'!Q22</f>
        <v>0</v>
      </c>
      <c r="R19" s="704">
        <f>'Ab4. HMIS-MCTS'!R22</f>
        <v>0</v>
      </c>
      <c r="BB19" s="3298"/>
      <c r="BC19" s="3298"/>
      <c r="BD19" s="3298"/>
      <c r="BE19" s="3298"/>
      <c r="BF19" s="3298"/>
      <c r="BG19" s="3298"/>
      <c r="BH19" s="3298"/>
      <c r="BI19" s="3298"/>
      <c r="BJ19" s="3298"/>
      <c r="BK19" s="3298"/>
      <c r="BL19" s="3298"/>
      <c r="BM19" s="3298"/>
      <c r="BN19" s="3298"/>
      <c r="BO19" s="3298"/>
      <c r="BP19" s="3298"/>
      <c r="BQ19" s="3298"/>
      <c r="BR19" s="3298"/>
      <c r="BS19" s="3298"/>
      <c r="BT19" s="3298"/>
      <c r="BU19" s="3298"/>
      <c r="BV19" s="3298"/>
      <c r="BW19" s="3298"/>
      <c r="BX19" s="3298"/>
      <c r="BY19" s="3298"/>
      <c r="BZ19" s="3298"/>
      <c r="CA19" s="3298"/>
      <c r="CB19" s="3298"/>
      <c r="CC19" s="3298"/>
      <c r="CD19" s="3298"/>
      <c r="CE19" s="3298"/>
      <c r="CF19" s="3298"/>
      <c r="CG19" s="3298"/>
      <c r="CH19" s="3298"/>
      <c r="CI19" s="3296">
        <f t="shared" si="0"/>
        <v>0</v>
      </c>
    </row>
    <row r="20" spans="1:87" s="1749" customFormat="1" ht="39.75" customHeight="1">
      <c r="A20" s="679" t="s">
        <v>3415</v>
      </c>
      <c r="B20" s="537" t="s">
        <v>2826</v>
      </c>
      <c r="C20" s="537" t="s">
        <v>2827</v>
      </c>
      <c r="D20" s="2409"/>
      <c r="E20" s="2409"/>
      <c r="F20" s="2410">
        <v>1</v>
      </c>
      <c r="G20" s="2410"/>
      <c r="H20" s="2410">
        <v>50.36</v>
      </c>
      <c r="I20" s="2411">
        <v>10.94</v>
      </c>
      <c r="J20" s="2411">
        <v>39.42</v>
      </c>
      <c r="K20" s="2413">
        <v>1</v>
      </c>
      <c r="L20" s="2368">
        <v>3974000</v>
      </c>
      <c r="M20" s="2261">
        <f>L20/100000</f>
        <v>39.74</v>
      </c>
      <c r="N20" s="2368">
        <v>1</v>
      </c>
      <c r="O20" s="681">
        <f>M20*N20</f>
        <v>39.74</v>
      </c>
      <c r="P20" s="2414" t="s">
        <v>5190</v>
      </c>
      <c r="Q20" s="684" t="str">
        <f>'Ab4. HMIS-MCTS'!Q23</f>
        <v xml:space="preserve">Recommended Rs. 31.90 Lakhs for Operational Cost for HMIS &amp; MCTS (Incl. Internent connectivity; AMC of Laptop, Printers, Computers, UPS; Office Expen. and Mobile reimbursement, as below:a) Recommended Rs 9.72 lakhs for broadband connectivity at 108 locations (2 state level, 12 district level, 75 block level and 19 Health facilities) for HMIS &amp; MCTS/RCH Portal @Rs 750 per month, and Recommended Rs 1.72 lakhs for internet connectivity through VSAT (including AMC) for 2 locations @Rs 7170  per month for HMIS &amp;MCTS, where internet connectivity is not feasible through broadband. This fund should not be used by the state for units for which funds have been approved for internet connectivity through LAN/ Datacard. This is subject to 100%  reporting on HMIS and RCH Portal and improvement in data quality thereof. b) Recommended Rs 2.16 lakhs for AMC of 103 Computers (state, district and block/health facility level) @ Rs 2097 per annum per unit as proposed by the state. Request eGovernance division to comment on the budget (Rs 7.6 lakhs) proposed for AMC Charges of Servers &amp; Client Nodes installed for Hospital Information System.c) Recommended Rs 18.3 lakhs for Office Expenditure at 100 office locations (2 state level@Rs 5000 p.m., 12 District level @Rs 2500 p.m., 53 Block level@Rs 1500 p.m., 33 Facility level @ Rs 1000 p.m.). These are indicative rates, final rates are to be arrived at as per GeM rate contract or after competitive bidding following Government protocols.This is subject to 100% reporting on HMIS and RCH Portal and improvement in data quality thereof. </v>
      </c>
      <c r="R20" s="704">
        <f>'Ab4. HMIS-MCTS'!R23</f>
        <v>31.900710000000004</v>
      </c>
      <c r="S20" s="3305">
        <f>O20-R20</f>
        <v>7.8392899999999983</v>
      </c>
      <c r="T20" s="2285"/>
      <c r="U20" s="2285"/>
      <c r="V20" s="2285"/>
      <c r="W20" s="2285"/>
      <c r="X20" s="2285"/>
      <c r="Y20" s="2285"/>
      <c r="Z20" s="2285"/>
      <c r="AA20" s="2285"/>
      <c r="AB20" s="2285"/>
      <c r="AC20" s="2285"/>
      <c r="AD20" s="2285"/>
      <c r="AE20" s="2285"/>
      <c r="AF20" s="2285"/>
      <c r="AG20" s="2285"/>
      <c r="AH20" s="2285"/>
      <c r="AI20" s="2285"/>
      <c r="AJ20" s="2285"/>
      <c r="AK20" s="2285"/>
      <c r="AL20" s="2285"/>
      <c r="AM20" s="2285"/>
      <c r="AN20" s="2285"/>
      <c r="AO20" s="2285"/>
      <c r="AP20" s="2285"/>
      <c r="AQ20" s="2285"/>
      <c r="AR20" s="2285"/>
      <c r="AS20" s="2285"/>
      <c r="AT20" s="2285"/>
      <c r="AU20" s="2285"/>
      <c r="AV20" s="2285"/>
      <c r="AW20" s="2285"/>
      <c r="AX20" s="2285"/>
      <c r="AY20" s="2285"/>
      <c r="AZ20" s="2285"/>
      <c r="BA20" s="2285"/>
      <c r="BB20" s="3300">
        <v>10.45</v>
      </c>
      <c r="BC20" s="3300">
        <v>1.27</v>
      </c>
      <c r="BD20" s="3300">
        <v>1.81</v>
      </c>
      <c r="BE20" s="3300">
        <v>1.69</v>
      </c>
      <c r="BF20" s="3300">
        <v>3.16</v>
      </c>
      <c r="BG20" s="3300">
        <v>1.1499999999999999</v>
      </c>
      <c r="BH20" s="3300">
        <v>1.48</v>
      </c>
      <c r="BI20" s="3300">
        <v>0.94</v>
      </c>
      <c r="BJ20" s="3300">
        <v>2.65</v>
      </c>
      <c r="BK20" s="3300">
        <v>2.44</v>
      </c>
      <c r="BL20" s="3300">
        <v>1.48</v>
      </c>
      <c r="BM20" s="3300">
        <v>1.48</v>
      </c>
      <c r="BN20" s="3300">
        <v>1.48</v>
      </c>
      <c r="BO20" s="3300"/>
      <c r="BP20" s="3300">
        <v>0.21</v>
      </c>
      <c r="BQ20" s="3300"/>
      <c r="BR20" s="3300"/>
      <c r="BS20" s="3300"/>
      <c r="BT20" s="3300"/>
      <c r="BU20" s="3300">
        <v>0.21</v>
      </c>
      <c r="BV20" s="3300"/>
      <c r="BW20" s="3300"/>
      <c r="BX20" s="3300"/>
      <c r="BY20" s="3300"/>
      <c r="BZ20" s="3300"/>
      <c r="CA20" s="3300"/>
      <c r="CB20" s="3300"/>
      <c r="CC20" s="3300"/>
      <c r="CD20" s="3300"/>
      <c r="CE20" s="3300"/>
      <c r="CF20" s="3300"/>
      <c r="CG20" s="3300"/>
      <c r="CH20" s="3300"/>
      <c r="CI20" s="3234">
        <f t="shared" si="0"/>
        <v>31.900000000000002</v>
      </c>
    </row>
    <row r="21" spans="1:87" ht="30">
      <c r="A21" s="494" t="s">
        <v>3448</v>
      </c>
      <c r="B21" s="502" t="s">
        <v>2828</v>
      </c>
      <c r="C21" s="502" t="s">
        <v>2829</v>
      </c>
      <c r="D21" s="496"/>
      <c r="E21" s="496"/>
      <c r="F21" s="497">
        <v>0</v>
      </c>
      <c r="G21" s="497"/>
      <c r="H21" s="497">
        <v>0</v>
      </c>
      <c r="I21" s="497"/>
      <c r="J21" s="497"/>
      <c r="K21" s="497"/>
      <c r="L21" s="277"/>
      <c r="M21" s="281">
        <f>L21/100000</f>
        <v>0</v>
      </c>
      <c r="N21" s="277"/>
      <c r="O21" s="498">
        <f>M21*N21</f>
        <v>0</v>
      </c>
      <c r="P21" s="499"/>
      <c r="Q21" s="684">
        <f>'Ab4. HMIS-MCTS'!Q24</f>
        <v>0</v>
      </c>
      <c r="R21" s="704">
        <f>'Ab4. HMIS-MCTS'!R24</f>
        <v>0</v>
      </c>
      <c r="BB21" s="3297"/>
      <c r="BC21" s="3297"/>
      <c r="BD21" s="3297"/>
      <c r="BE21" s="3297"/>
      <c r="BF21" s="3297"/>
      <c r="BG21" s="3297"/>
      <c r="BH21" s="3297"/>
      <c r="BI21" s="3297"/>
      <c r="BJ21" s="3297"/>
      <c r="BK21" s="3297"/>
      <c r="BL21" s="3297"/>
      <c r="BM21" s="3297"/>
      <c r="BN21" s="3297"/>
      <c r="BO21" s="3297"/>
      <c r="BP21" s="3297"/>
      <c r="BQ21" s="3297"/>
      <c r="BR21" s="3297"/>
      <c r="BS21" s="3297"/>
      <c r="BT21" s="3297"/>
      <c r="BU21" s="3297"/>
      <c r="BV21" s="3297"/>
      <c r="BW21" s="3297"/>
      <c r="BX21" s="3297"/>
      <c r="BY21" s="3297"/>
      <c r="BZ21" s="3297"/>
      <c r="CA21" s="3297"/>
      <c r="CB21" s="3297"/>
      <c r="CC21" s="3297"/>
      <c r="CD21" s="3297"/>
      <c r="CE21" s="3297"/>
      <c r="CF21" s="3297"/>
      <c r="CG21" s="3297"/>
      <c r="CH21" s="3297"/>
      <c r="CI21" s="3296">
        <f t="shared" si="0"/>
        <v>0</v>
      </c>
    </row>
    <row r="22" spans="1:87" s="1749" customFormat="1" ht="45.75" customHeight="1">
      <c r="A22" s="679" t="s">
        <v>3460</v>
      </c>
      <c r="B22" s="537" t="s">
        <v>2830</v>
      </c>
      <c r="C22" s="679" t="s">
        <v>2831</v>
      </c>
      <c r="D22" s="2409"/>
      <c r="E22" s="2409"/>
      <c r="F22" s="2410">
        <v>1</v>
      </c>
      <c r="G22" s="2410"/>
      <c r="H22" s="2410">
        <v>136.72</v>
      </c>
      <c r="I22" s="2410">
        <v>108.21</v>
      </c>
      <c r="J22" s="2410">
        <v>28.51</v>
      </c>
      <c r="K22" s="2410"/>
      <c r="L22" s="2415">
        <v>26576340</v>
      </c>
      <c r="M22" s="2261">
        <f>L22/100000</f>
        <v>265.76339999999999</v>
      </c>
      <c r="N22" s="283">
        <v>1</v>
      </c>
      <c r="O22" s="681">
        <f>M22*N22</f>
        <v>265.76339999999999</v>
      </c>
      <c r="P22" s="2416" t="s">
        <v>5196</v>
      </c>
      <c r="Q22" s="3306" t="str">
        <f>'Ab4. HMIS-MCTS'!Q25</f>
        <v>Recommended for approval of Rs 265.76 Lakhs for 37 seater Comprehensive Call Centre with the following conditionality;• All operational costs will be included in this.• This will be comprehensive call centre for redressal of grievances, health helpline, ECD, SUMAN and any other services.• State needs to issue a G.O. for time bound escalation and addressing of grievance.• State should generate awareness regarding the help line with adequate IEC.• State to ensure that the ECD call centre personnel (4 call center agents &amp; 1 MBBS MO) is trained specifically in ECD call handing, the grievance call centre maintain the ECD software requirement and that personalised calling process for a cluster of women registerd with RCH register as per ECD call centre guidelines in maintained. State to ensure that monthly report of number of call made to the cluster of women as per the stage of pregnancy and age of respective child is maintained and shared with RBSK programme division as per Guidelines. • Monthly monitoring of following KPIs by state: Average calls received per day and per month % of calls attended by Call Operator, Medical Officer (MO) and Counseling Officer (CO). Total average handling time (AHT) of call operator, MO and CO at the center % dropped, missed, silent, abandoned, valid incomplete, noise / disturbance calls of the total calls/month % of calls service wise- Grievance, Health Information, Counselling, SUMAN, ECD</v>
      </c>
      <c r="R22" s="2837">
        <f>'Ab4. HMIS-MCTS'!R25</f>
        <v>265.76</v>
      </c>
      <c r="S22" s="3140">
        <f t="shared" ref="S22:S26" si="1">O22-R22</f>
        <v>3.3999999999991815E-3</v>
      </c>
      <c r="BB22" s="3300">
        <v>265.76</v>
      </c>
      <c r="BC22" s="3298"/>
      <c r="BD22" s="3298"/>
      <c r="BE22" s="3298"/>
      <c r="BF22" s="3298"/>
      <c r="BG22" s="3298"/>
      <c r="BH22" s="3298"/>
      <c r="BI22" s="3298"/>
      <c r="BJ22" s="3298"/>
      <c r="BK22" s="3298"/>
      <c r="BL22" s="3298"/>
      <c r="BM22" s="3298"/>
      <c r="BN22" s="3298"/>
      <c r="BO22" s="3298"/>
      <c r="BP22" s="3298"/>
      <c r="BQ22" s="3298"/>
      <c r="BR22" s="3298"/>
      <c r="BS22" s="3298"/>
      <c r="BT22" s="3300"/>
      <c r="BU22" s="3300"/>
      <c r="BV22" s="3300"/>
      <c r="BW22" s="3300"/>
      <c r="BX22" s="3300"/>
      <c r="BY22" s="3300"/>
      <c r="BZ22" s="3300"/>
      <c r="CA22" s="3300"/>
      <c r="CB22" s="3300"/>
      <c r="CC22" s="3300"/>
      <c r="CD22" s="3300"/>
      <c r="CE22" s="3300"/>
      <c r="CF22" s="3300"/>
      <c r="CG22" s="3300"/>
      <c r="CH22" s="3300"/>
      <c r="CI22" s="3234">
        <f t="shared" si="0"/>
        <v>265.76</v>
      </c>
    </row>
    <row r="23" spans="1:87" s="1755" customFormat="1">
      <c r="A23" s="488">
        <v>16.399999999999999</v>
      </c>
      <c r="B23" s="488"/>
      <c r="C23" s="488" t="s">
        <v>2832</v>
      </c>
      <c r="D23" s="488"/>
      <c r="E23" s="488"/>
      <c r="F23" s="490"/>
      <c r="G23" s="490"/>
      <c r="H23" s="490"/>
      <c r="I23" s="490"/>
      <c r="J23" s="490"/>
      <c r="K23" s="490"/>
      <c r="L23" s="490"/>
      <c r="M23" s="491"/>
      <c r="N23" s="490"/>
      <c r="O23" s="491">
        <f>O24+O66+O103+O140+O141+O142</f>
        <v>2332.00722</v>
      </c>
      <c r="P23" s="493"/>
      <c r="Q23" s="488"/>
      <c r="R23" s="491">
        <f>R24+R66+R103+R140+R141+R142</f>
        <v>2332.0098999999996</v>
      </c>
      <c r="S23" s="3140">
        <f t="shared" si="1"/>
        <v>-2.6799999996001134E-3</v>
      </c>
      <c r="T23" s="3113">
        <f>R23</f>
        <v>2332.0098999999996</v>
      </c>
      <c r="BB23" s="3299"/>
      <c r="BC23" s="3299"/>
      <c r="BD23" s="3299"/>
      <c r="BE23" s="3299"/>
      <c r="BF23" s="3299"/>
      <c r="BG23" s="3299"/>
      <c r="BH23" s="3299"/>
      <c r="BI23" s="3299"/>
      <c r="BJ23" s="3299"/>
      <c r="BK23" s="3299"/>
      <c r="BL23" s="3299"/>
      <c r="BM23" s="3299"/>
      <c r="BN23" s="3299"/>
      <c r="BO23" s="3299"/>
      <c r="BP23" s="3299"/>
      <c r="BQ23" s="3299"/>
      <c r="BR23" s="3299"/>
      <c r="BS23" s="3299"/>
      <c r="BT23" s="3299"/>
      <c r="BU23" s="3299"/>
      <c r="BV23" s="3299"/>
      <c r="BW23" s="3299"/>
      <c r="BX23" s="3299"/>
      <c r="BY23" s="3299"/>
      <c r="BZ23" s="3299"/>
      <c r="CA23" s="3299"/>
      <c r="CB23" s="3299"/>
      <c r="CC23" s="3299"/>
      <c r="CD23" s="3299"/>
      <c r="CE23" s="3299"/>
      <c r="CF23" s="3299"/>
      <c r="CG23" s="3299"/>
      <c r="CH23" s="3299"/>
      <c r="CI23" s="3296">
        <f t="shared" si="0"/>
        <v>0</v>
      </c>
    </row>
    <row r="24" spans="1:87" s="1755" customFormat="1" ht="15.75" thickBot="1">
      <c r="A24" s="503" t="s">
        <v>3464</v>
      </c>
      <c r="B24" s="504"/>
      <c r="C24" s="504" t="s">
        <v>2833</v>
      </c>
      <c r="D24" s="504"/>
      <c r="E24" s="504"/>
      <c r="F24" s="505"/>
      <c r="G24" s="505"/>
      <c r="H24" s="505"/>
      <c r="I24" s="505"/>
      <c r="J24" s="505"/>
      <c r="K24" s="505"/>
      <c r="L24" s="505"/>
      <c r="M24" s="506"/>
      <c r="N24" s="505"/>
      <c r="O24" s="506">
        <f>O25+O26+O29+O42+O54</f>
        <v>1021.86797</v>
      </c>
      <c r="P24" s="507"/>
      <c r="Q24" s="503"/>
      <c r="R24" s="506">
        <f>R25+R26+R29+R42+R54</f>
        <v>1002.6698999999999</v>
      </c>
      <c r="S24" s="3140">
        <f t="shared" si="1"/>
        <v>19.198070000000143</v>
      </c>
      <c r="BB24" s="3299"/>
      <c r="BC24" s="3299"/>
      <c r="BD24" s="3299"/>
      <c r="BE24" s="3299"/>
      <c r="BF24" s="3299"/>
      <c r="BG24" s="3299"/>
      <c r="BH24" s="3299"/>
      <c r="BI24" s="3299"/>
      <c r="BJ24" s="3299"/>
      <c r="BK24" s="3299"/>
      <c r="BL24" s="3299"/>
      <c r="BM24" s="3299"/>
      <c r="BN24" s="3299"/>
      <c r="BO24" s="3299"/>
      <c r="BP24" s="3299"/>
      <c r="BQ24" s="3299"/>
      <c r="BR24" s="3299"/>
      <c r="BS24" s="3299"/>
      <c r="BT24" s="3299"/>
      <c r="BU24" s="3299"/>
      <c r="BV24" s="3299"/>
      <c r="BW24" s="3299"/>
      <c r="BX24" s="3299"/>
      <c r="BY24" s="3299"/>
      <c r="BZ24" s="3299"/>
      <c r="CA24" s="3299"/>
      <c r="CB24" s="3299"/>
      <c r="CC24" s="3299"/>
      <c r="CD24" s="3299"/>
      <c r="CE24" s="3299"/>
      <c r="CF24" s="3299"/>
      <c r="CG24" s="3299"/>
      <c r="CH24" s="3299"/>
      <c r="CI24" s="3296">
        <f t="shared" si="0"/>
        <v>0</v>
      </c>
    </row>
    <row r="25" spans="1:87" s="1755" customFormat="1" ht="85.5" customHeight="1" thickBot="1">
      <c r="A25" s="508" t="s">
        <v>3466</v>
      </c>
      <c r="B25" s="509" t="s">
        <v>2306</v>
      </c>
      <c r="C25" s="509" t="s">
        <v>2137</v>
      </c>
      <c r="D25" s="502" t="s">
        <v>4521</v>
      </c>
      <c r="E25" s="502"/>
      <c r="F25" s="510">
        <v>10</v>
      </c>
      <c r="G25" s="510">
        <v>10</v>
      </c>
      <c r="H25" s="510">
        <v>227.28</v>
      </c>
      <c r="I25" s="510">
        <v>119.99</v>
      </c>
      <c r="J25" s="510">
        <v>107.29</v>
      </c>
      <c r="K25" s="510"/>
      <c r="L25" s="277">
        <v>2108066</v>
      </c>
      <c r="M25" s="281">
        <f>L25/100000</f>
        <v>21.080660000000002</v>
      </c>
      <c r="N25" s="277">
        <v>15</v>
      </c>
      <c r="O25" s="498">
        <f>M25*N25</f>
        <v>316.2099</v>
      </c>
      <c r="P25" s="499"/>
      <c r="Q25" s="3145" t="s">
        <v>5945</v>
      </c>
      <c r="R25" s="3146">
        <v>316.2099</v>
      </c>
      <c r="S25" s="3140">
        <f t="shared" si="1"/>
        <v>0</v>
      </c>
      <c r="BB25" s="3299">
        <v>316.20999999999998</v>
      </c>
      <c r="BC25" s="3299"/>
      <c r="BD25" s="3299"/>
      <c r="BE25" s="3299"/>
      <c r="BF25" s="3299"/>
      <c r="BG25" s="3299"/>
      <c r="BH25" s="3299"/>
      <c r="BI25" s="3299"/>
      <c r="BJ25" s="3299"/>
      <c r="BK25" s="3299"/>
      <c r="BL25" s="3299"/>
      <c r="BM25" s="3299"/>
      <c r="BN25" s="3299"/>
      <c r="BO25" s="3299"/>
      <c r="BP25" s="3299"/>
      <c r="BQ25" s="3299"/>
      <c r="BR25" s="3299"/>
      <c r="BS25" s="3299"/>
      <c r="BT25" s="3299"/>
      <c r="BU25" s="3299"/>
      <c r="BV25" s="3299"/>
      <c r="BW25" s="3299"/>
      <c r="BX25" s="3299"/>
      <c r="BY25" s="3299"/>
      <c r="BZ25" s="3299"/>
      <c r="CA25" s="3299"/>
      <c r="CB25" s="3299"/>
      <c r="CC25" s="3299"/>
      <c r="CD25" s="3299"/>
      <c r="CE25" s="3299"/>
      <c r="CF25" s="3299"/>
      <c r="CG25" s="3299"/>
      <c r="CH25" s="3299"/>
      <c r="CI25" s="3296">
        <f t="shared" si="0"/>
        <v>316.20999999999998</v>
      </c>
    </row>
    <row r="26" spans="1:87" s="1755" customFormat="1">
      <c r="A26" s="513" t="s">
        <v>3468</v>
      </c>
      <c r="B26" s="514" t="s">
        <v>2138</v>
      </c>
      <c r="C26" s="514" t="s">
        <v>3773</v>
      </c>
      <c r="D26" s="515"/>
      <c r="E26" s="515"/>
      <c r="F26" s="516"/>
      <c r="G26" s="516"/>
      <c r="H26" s="516"/>
      <c r="I26" s="516"/>
      <c r="J26" s="516"/>
      <c r="K26" s="516"/>
      <c r="L26" s="516"/>
      <c r="M26" s="517"/>
      <c r="N26" s="518"/>
      <c r="O26" s="517">
        <f>O27+O28</f>
        <v>0</v>
      </c>
      <c r="P26" s="519"/>
      <c r="Q26" s="520"/>
      <c r="R26" s="517">
        <f>R27+R28</f>
        <v>0</v>
      </c>
      <c r="S26" s="3140">
        <f t="shared" si="1"/>
        <v>0</v>
      </c>
      <c r="BB26" s="3299"/>
      <c r="BC26" s="3299"/>
      <c r="BD26" s="3299"/>
      <c r="BE26" s="3299"/>
      <c r="BF26" s="3299"/>
      <c r="BG26" s="3299"/>
      <c r="BH26" s="3299"/>
      <c r="BI26" s="3299"/>
      <c r="BJ26" s="3299"/>
      <c r="BK26" s="3299"/>
      <c r="BL26" s="3299"/>
      <c r="BM26" s="3299"/>
      <c r="BN26" s="3299"/>
      <c r="BO26" s="3299"/>
      <c r="BP26" s="3299"/>
      <c r="BQ26" s="3299"/>
      <c r="BR26" s="3299"/>
      <c r="BS26" s="3299"/>
      <c r="BT26" s="3299"/>
      <c r="BU26" s="3299"/>
      <c r="BV26" s="3299"/>
      <c r="BW26" s="3299"/>
      <c r="BX26" s="3299"/>
      <c r="BY26" s="3299"/>
      <c r="BZ26" s="3299"/>
      <c r="CA26" s="3299"/>
      <c r="CB26" s="3299"/>
      <c r="CC26" s="3299"/>
      <c r="CD26" s="3299"/>
      <c r="CE26" s="3299"/>
      <c r="CF26" s="3299"/>
      <c r="CG26" s="3299"/>
      <c r="CH26" s="3299"/>
      <c r="CI26" s="3296">
        <f t="shared" si="0"/>
        <v>0</v>
      </c>
    </row>
    <row r="27" spans="1:87" s="1755" customFormat="1">
      <c r="A27" s="508" t="s">
        <v>3774</v>
      </c>
      <c r="B27" s="521"/>
      <c r="C27" s="509" t="s">
        <v>2139</v>
      </c>
      <c r="D27" s="522"/>
      <c r="E27" s="522"/>
      <c r="F27" s="2243">
        <v>0</v>
      </c>
      <c r="G27" s="523"/>
      <c r="H27" s="510">
        <v>0</v>
      </c>
      <c r="I27" s="510"/>
      <c r="J27" s="510"/>
      <c r="K27" s="510"/>
      <c r="L27" s="277"/>
      <c r="M27" s="281">
        <f>L27/100000</f>
        <v>0</v>
      </c>
      <c r="N27" s="277"/>
      <c r="O27" s="498">
        <f>M27*N27</f>
        <v>0</v>
      </c>
      <c r="P27" s="499"/>
      <c r="Q27" s="511"/>
      <c r="R27" s="512"/>
      <c r="BB27" s="3299"/>
      <c r="BC27" s="3299"/>
      <c r="BD27" s="3299"/>
      <c r="BE27" s="3299"/>
      <c r="BF27" s="3299"/>
      <c r="BG27" s="3299"/>
      <c r="BH27" s="3299"/>
      <c r="BI27" s="3299"/>
      <c r="BJ27" s="3299"/>
      <c r="BK27" s="3299"/>
      <c r="BL27" s="3299"/>
      <c r="BM27" s="3299"/>
      <c r="BN27" s="3299"/>
      <c r="BO27" s="3299"/>
      <c r="BP27" s="3299"/>
      <c r="BQ27" s="3299"/>
      <c r="BR27" s="3299"/>
      <c r="BS27" s="3299"/>
      <c r="BT27" s="3299"/>
      <c r="BU27" s="3299"/>
      <c r="BV27" s="3299"/>
      <c r="BW27" s="3299"/>
      <c r="BX27" s="3299"/>
      <c r="BY27" s="3299"/>
      <c r="BZ27" s="3299"/>
      <c r="CA27" s="3299"/>
      <c r="CB27" s="3299"/>
      <c r="CC27" s="3299"/>
      <c r="CD27" s="3299"/>
      <c r="CE27" s="3299"/>
      <c r="CF27" s="3299"/>
      <c r="CG27" s="3299"/>
      <c r="CH27" s="3299"/>
      <c r="CI27" s="3296">
        <f t="shared" si="0"/>
        <v>0</v>
      </c>
    </row>
    <row r="28" spans="1:87" s="1755" customFormat="1">
      <c r="A28" s="508" t="s">
        <v>3775</v>
      </c>
      <c r="B28" s="521"/>
      <c r="C28" s="509" t="s">
        <v>2257</v>
      </c>
      <c r="D28" s="522"/>
      <c r="E28" s="522"/>
      <c r="F28" s="2243">
        <v>0</v>
      </c>
      <c r="G28" s="523"/>
      <c r="H28" s="510">
        <v>0</v>
      </c>
      <c r="I28" s="510"/>
      <c r="J28" s="510"/>
      <c r="K28" s="510"/>
      <c r="L28" s="277"/>
      <c r="M28" s="281">
        <f>L28/100000</f>
        <v>0</v>
      </c>
      <c r="N28" s="277"/>
      <c r="O28" s="498">
        <f>M28*N28</f>
        <v>0</v>
      </c>
      <c r="P28" s="499"/>
      <c r="Q28" s="511"/>
      <c r="R28" s="512"/>
      <c r="BB28" s="3299"/>
      <c r="BC28" s="3299"/>
      <c r="BD28" s="3299"/>
      <c r="BE28" s="3299"/>
      <c r="BF28" s="3299"/>
      <c r="BG28" s="3299"/>
      <c r="BH28" s="3299"/>
      <c r="BI28" s="3299"/>
      <c r="BJ28" s="3299"/>
      <c r="BK28" s="3299"/>
      <c r="BL28" s="3299"/>
      <c r="BM28" s="3299"/>
      <c r="BN28" s="3299"/>
      <c r="BO28" s="3299"/>
      <c r="BP28" s="3299"/>
      <c r="BQ28" s="3299"/>
      <c r="BR28" s="3299"/>
      <c r="BS28" s="3299"/>
      <c r="BT28" s="3299"/>
      <c r="BU28" s="3299"/>
      <c r="BV28" s="3299"/>
      <c r="BW28" s="3299"/>
      <c r="BX28" s="3299"/>
      <c r="BY28" s="3299"/>
      <c r="BZ28" s="3299"/>
      <c r="CA28" s="3299"/>
      <c r="CB28" s="3299"/>
      <c r="CC28" s="3299"/>
      <c r="CD28" s="3299"/>
      <c r="CE28" s="3299"/>
      <c r="CF28" s="3299"/>
      <c r="CG28" s="3299"/>
      <c r="CH28" s="3299"/>
      <c r="CI28" s="3296">
        <f t="shared" si="0"/>
        <v>0</v>
      </c>
    </row>
    <row r="29" spans="1:87" s="1755" customFormat="1">
      <c r="A29" s="524" t="s">
        <v>3470</v>
      </c>
      <c r="B29" s="525"/>
      <c r="C29" s="525" t="s">
        <v>2834</v>
      </c>
      <c r="D29" s="525"/>
      <c r="E29" s="525"/>
      <c r="F29" s="526"/>
      <c r="G29" s="526"/>
      <c r="H29" s="526"/>
      <c r="I29" s="526"/>
      <c r="J29" s="526"/>
      <c r="K29" s="526"/>
      <c r="L29" s="526"/>
      <c r="M29" s="527"/>
      <c r="N29" s="526"/>
      <c r="O29" s="527">
        <f>SUM(O30:O41)</f>
        <v>654.91806999999994</v>
      </c>
      <c r="P29" s="528"/>
      <c r="Q29" s="524"/>
      <c r="R29" s="527">
        <f>SUM(R30:R41)</f>
        <v>654.91999999999996</v>
      </c>
      <c r="S29" s="3140">
        <f t="shared" ref="S29:S30" si="2">O29-R29</f>
        <v>-1.9300000000157524E-3</v>
      </c>
      <c r="BB29" s="3299"/>
      <c r="BC29" s="3299"/>
      <c r="BD29" s="3299"/>
      <c r="BE29" s="3299"/>
      <c r="BF29" s="3299"/>
      <c r="BG29" s="3299"/>
      <c r="BH29" s="3299"/>
      <c r="BI29" s="3299"/>
      <c r="BJ29" s="3299"/>
      <c r="BK29" s="3299"/>
      <c r="BL29" s="3299"/>
      <c r="BM29" s="3299"/>
      <c r="BN29" s="3299"/>
      <c r="BO29" s="3299"/>
      <c r="BP29" s="3299"/>
      <c r="BQ29" s="3299"/>
      <c r="BR29" s="3299"/>
      <c r="BS29" s="3299"/>
      <c r="BT29" s="3299"/>
      <c r="BU29" s="3299"/>
      <c r="BV29" s="3299"/>
      <c r="BW29" s="3299"/>
      <c r="BX29" s="3299"/>
      <c r="BY29" s="3299"/>
      <c r="BZ29" s="3299"/>
      <c r="CA29" s="3299"/>
      <c r="CB29" s="3299"/>
      <c r="CC29" s="3299"/>
      <c r="CD29" s="3299"/>
      <c r="CE29" s="3299"/>
      <c r="CF29" s="3299"/>
      <c r="CG29" s="3299"/>
      <c r="CH29" s="3299"/>
      <c r="CI29" s="3296">
        <f t="shared" si="0"/>
        <v>0</v>
      </c>
    </row>
    <row r="30" spans="1:87" s="1755" customFormat="1" ht="60">
      <c r="A30" s="494" t="s">
        <v>3593</v>
      </c>
      <c r="B30" s="521"/>
      <c r="C30" s="509" t="s">
        <v>2129</v>
      </c>
      <c r="D30" s="3994" t="s">
        <v>3777</v>
      </c>
      <c r="E30" s="3571"/>
      <c r="F30" s="2243">
        <v>2</v>
      </c>
      <c r="G30" s="523">
        <v>1</v>
      </c>
      <c r="H30" s="4010">
        <v>582.35</v>
      </c>
      <c r="I30" s="3995">
        <v>334.99</v>
      </c>
      <c r="J30" s="3995">
        <v>200</v>
      </c>
      <c r="K30" s="3995"/>
      <c r="L30" s="3929">
        <v>209239</v>
      </c>
      <c r="M30" s="4001">
        <f>L30/100000</f>
        <v>2.09239</v>
      </c>
      <c r="N30" s="3929">
        <v>313</v>
      </c>
      <c r="O30" s="3998">
        <f>M30*N30</f>
        <v>654.91806999999994</v>
      </c>
      <c r="P30" s="499"/>
      <c r="Q30" s="511" t="s">
        <v>5946</v>
      </c>
      <c r="R30" s="4016">
        <v>654.91999999999996</v>
      </c>
      <c r="S30" s="3140">
        <f t="shared" si="2"/>
        <v>-1.9300000000157524E-3</v>
      </c>
      <c r="BB30" s="3299">
        <v>171.53</v>
      </c>
      <c r="BC30" s="3299"/>
      <c r="BD30" s="3299"/>
      <c r="BE30" s="3299"/>
      <c r="BF30" s="3299"/>
      <c r="BG30" s="3299"/>
      <c r="BH30" s="3299"/>
      <c r="BI30" s="3299"/>
      <c r="BJ30" s="3299"/>
      <c r="BK30" s="3299"/>
      <c r="BL30" s="3299"/>
      <c r="BM30" s="3299"/>
      <c r="BN30" s="3299"/>
      <c r="BO30" s="3299"/>
      <c r="BP30" s="3299"/>
      <c r="BQ30" s="3299"/>
      <c r="BR30" s="3299"/>
      <c r="BS30" s="3299"/>
      <c r="BT30" s="3299"/>
      <c r="BU30" s="3299"/>
      <c r="BV30" s="3299"/>
      <c r="BW30" s="3299"/>
      <c r="BX30" s="3299"/>
      <c r="BY30" s="3299"/>
      <c r="BZ30" s="3299"/>
      <c r="CA30" s="3299"/>
      <c r="CB30" s="3299"/>
      <c r="CC30" s="3299"/>
      <c r="CD30" s="3299"/>
      <c r="CE30" s="3299"/>
      <c r="CF30" s="3299"/>
      <c r="CG30" s="3299"/>
      <c r="CH30" s="3299"/>
      <c r="CI30" s="3296">
        <f t="shared" si="0"/>
        <v>171.53</v>
      </c>
    </row>
    <row r="31" spans="1:87" s="1755" customFormat="1" ht="60">
      <c r="A31" s="494" t="s">
        <v>3594</v>
      </c>
      <c r="B31" s="521"/>
      <c r="C31" s="509" t="s">
        <v>2835</v>
      </c>
      <c r="D31" s="3994"/>
      <c r="E31" s="3571"/>
      <c r="F31" s="2243">
        <v>9</v>
      </c>
      <c r="G31" s="523">
        <v>8</v>
      </c>
      <c r="H31" s="4011"/>
      <c r="I31" s="3996"/>
      <c r="J31" s="3996"/>
      <c r="K31" s="3996"/>
      <c r="L31" s="3930"/>
      <c r="M31" s="4002"/>
      <c r="N31" s="3930"/>
      <c r="O31" s="3999"/>
      <c r="P31" s="499"/>
      <c r="Q31" s="3124" t="s">
        <v>5947</v>
      </c>
      <c r="R31" s="4017"/>
      <c r="BB31" s="3299"/>
      <c r="BC31" s="3299"/>
      <c r="BD31" s="3299"/>
      <c r="BE31" s="3299"/>
      <c r="BF31" s="3299"/>
      <c r="BG31" s="3299"/>
      <c r="BH31" s="3299"/>
      <c r="BI31" s="3299"/>
      <c r="BJ31" s="3299"/>
      <c r="BK31" s="3299"/>
      <c r="BL31" s="3299"/>
      <c r="BM31" s="3299"/>
      <c r="BN31" s="3299"/>
      <c r="BO31" s="3299"/>
      <c r="BP31" s="3299"/>
      <c r="BQ31" s="3299"/>
      <c r="BR31" s="3299"/>
      <c r="BS31" s="3299"/>
      <c r="BT31" s="3299"/>
      <c r="BU31" s="3299"/>
      <c r="BV31" s="3299"/>
      <c r="BW31" s="3299"/>
      <c r="BX31" s="3299"/>
      <c r="BY31" s="3299"/>
      <c r="BZ31" s="3299"/>
      <c r="CA31" s="3299"/>
      <c r="CB31" s="3299"/>
      <c r="CC31" s="3299"/>
      <c r="CD31" s="3299"/>
      <c r="CE31" s="3299"/>
      <c r="CF31" s="3299"/>
      <c r="CG31" s="3299"/>
      <c r="CH31" s="3299"/>
      <c r="CI31" s="3296">
        <f t="shared" si="0"/>
        <v>0</v>
      </c>
    </row>
    <row r="32" spans="1:87" s="1755" customFormat="1">
      <c r="A32" s="494" t="s">
        <v>3595</v>
      </c>
      <c r="B32" s="521"/>
      <c r="C32" s="522" t="s">
        <v>2130</v>
      </c>
      <c r="D32" s="3994"/>
      <c r="E32" s="3571"/>
      <c r="F32" s="2243">
        <v>0</v>
      </c>
      <c r="G32" s="523">
        <v>0</v>
      </c>
      <c r="H32" s="4011"/>
      <c r="I32" s="3996"/>
      <c r="J32" s="3996"/>
      <c r="K32" s="3996"/>
      <c r="L32" s="3930"/>
      <c r="M32" s="4002"/>
      <c r="N32" s="3930"/>
      <c r="O32" s="3999"/>
      <c r="P32" s="499"/>
      <c r="Q32" s="511"/>
      <c r="R32" s="4017"/>
      <c r="BB32" s="3299"/>
      <c r="BC32" s="3299"/>
      <c r="BD32" s="3299"/>
      <c r="BE32" s="3299"/>
      <c r="BF32" s="3299"/>
      <c r="BG32" s="3299"/>
      <c r="BH32" s="3299"/>
      <c r="BI32" s="3299"/>
      <c r="BJ32" s="3299"/>
      <c r="BK32" s="3299"/>
      <c r="BL32" s="3299"/>
      <c r="BM32" s="3299"/>
      <c r="BN32" s="3299"/>
      <c r="BO32" s="3299"/>
      <c r="BP32" s="3299"/>
      <c r="BQ32" s="3299"/>
      <c r="BR32" s="3299"/>
      <c r="BS32" s="3299"/>
      <c r="BT32" s="3299"/>
      <c r="BU32" s="3299"/>
      <c r="BV32" s="3299"/>
      <c r="BW32" s="3299"/>
      <c r="BX32" s="3299"/>
      <c r="BY32" s="3299"/>
      <c r="BZ32" s="3299"/>
      <c r="CA32" s="3299"/>
      <c r="CB32" s="3299"/>
      <c r="CC32" s="3299"/>
      <c r="CD32" s="3299"/>
      <c r="CE32" s="3299"/>
      <c r="CF32" s="3299"/>
      <c r="CG32" s="3299"/>
      <c r="CH32" s="3299"/>
      <c r="CI32" s="3296">
        <f t="shared" si="0"/>
        <v>0</v>
      </c>
    </row>
    <row r="33" spans="1:87" s="1755" customFormat="1" ht="39">
      <c r="A33" s="494" t="s">
        <v>3596</v>
      </c>
      <c r="B33" s="521"/>
      <c r="C33" s="509" t="s">
        <v>2131</v>
      </c>
      <c r="D33" s="3994"/>
      <c r="E33" s="3571"/>
      <c r="F33" s="2243">
        <v>2</v>
      </c>
      <c r="G33" s="523">
        <v>1</v>
      </c>
      <c r="H33" s="4011"/>
      <c r="I33" s="3996"/>
      <c r="J33" s="3996"/>
      <c r="K33" s="3996"/>
      <c r="L33" s="3930"/>
      <c r="M33" s="4002"/>
      <c r="N33" s="3930"/>
      <c r="O33" s="3999"/>
      <c r="P33" s="499"/>
      <c r="Q33" s="2938" t="s">
        <v>5948</v>
      </c>
      <c r="R33" s="4017"/>
      <c r="BB33" s="3299"/>
      <c r="BC33" s="3299"/>
      <c r="BD33" s="3299"/>
      <c r="BE33" s="3299"/>
      <c r="BF33" s="3299"/>
      <c r="BG33" s="3299"/>
      <c r="BH33" s="3299"/>
      <c r="BI33" s="3299"/>
      <c r="BJ33" s="3299"/>
      <c r="BK33" s="3299"/>
      <c r="BL33" s="3299"/>
      <c r="BM33" s="3299"/>
      <c r="BN33" s="3299"/>
      <c r="BO33" s="3299"/>
      <c r="BP33" s="3299"/>
      <c r="BQ33" s="3299"/>
      <c r="BR33" s="3299"/>
      <c r="BS33" s="3299"/>
      <c r="BT33" s="3299"/>
      <c r="BU33" s="3299"/>
      <c r="BV33" s="3299"/>
      <c r="BW33" s="3299"/>
      <c r="BX33" s="3299"/>
      <c r="BY33" s="3299"/>
      <c r="BZ33" s="3299"/>
      <c r="CA33" s="3299"/>
      <c r="CB33" s="3299"/>
      <c r="CC33" s="3299"/>
      <c r="CD33" s="3299"/>
      <c r="CE33" s="3299"/>
      <c r="CF33" s="3299"/>
      <c r="CG33" s="3299"/>
      <c r="CH33" s="3299"/>
      <c r="CI33" s="3296">
        <f t="shared" si="0"/>
        <v>0</v>
      </c>
    </row>
    <row r="34" spans="1:87" s="1755" customFormat="1" ht="39">
      <c r="A34" s="494" t="s">
        <v>3597</v>
      </c>
      <c r="B34" s="521"/>
      <c r="C34" s="509" t="s">
        <v>2132</v>
      </c>
      <c r="D34" s="3994"/>
      <c r="E34" s="3571"/>
      <c r="F34" s="2243">
        <v>5</v>
      </c>
      <c r="G34" s="523">
        <v>3</v>
      </c>
      <c r="H34" s="4011"/>
      <c r="I34" s="3996"/>
      <c r="J34" s="3996"/>
      <c r="K34" s="3996"/>
      <c r="L34" s="3930"/>
      <c r="M34" s="4002"/>
      <c r="N34" s="3930"/>
      <c r="O34" s="3999"/>
      <c r="P34" s="499"/>
      <c r="Q34" s="2938" t="s">
        <v>5949</v>
      </c>
      <c r="R34" s="4017"/>
      <c r="BB34" s="3299"/>
      <c r="BC34" s="3299"/>
      <c r="BD34" s="3299"/>
      <c r="BE34" s="3299"/>
      <c r="BF34" s="3299"/>
      <c r="BG34" s="3299"/>
      <c r="BH34" s="3299"/>
      <c r="BI34" s="3299"/>
      <c r="BJ34" s="3299"/>
      <c r="BK34" s="3299"/>
      <c r="BL34" s="3299"/>
      <c r="BM34" s="3299"/>
      <c r="BN34" s="3299"/>
      <c r="BO34" s="3299"/>
      <c r="BP34" s="3299"/>
      <c r="BQ34" s="3299"/>
      <c r="BR34" s="3299"/>
      <c r="BS34" s="3299"/>
      <c r="BT34" s="3299"/>
      <c r="BU34" s="3299"/>
      <c r="BV34" s="3299"/>
      <c r="BW34" s="3299"/>
      <c r="BX34" s="3299"/>
      <c r="BY34" s="3299"/>
      <c r="BZ34" s="3299"/>
      <c r="CA34" s="3299"/>
      <c r="CB34" s="3299"/>
      <c r="CC34" s="3299"/>
      <c r="CD34" s="3299"/>
      <c r="CE34" s="3299"/>
      <c r="CF34" s="3299"/>
      <c r="CG34" s="3299"/>
      <c r="CH34" s="3299"/>
      <c r="CI34" s="3296">
        <f t="shared" si="0"/>
        <v>0</v>
      </c>
    </row>
    <row r="35" spans="1:87" s="1755" customFormat="1" ht="31.5" customHeight="1">
      <c r="A35" s="494" t="s">
        <v>3598</v>
      </c>
      <c r="B35" s="529"/>
      <c r="C35" s="522" t="s">
        <v>2133</v>
      </c>
      <c r="D35" s="3994"/>
      <c r="E35" s="3571"/>
      <c r="F35" s="2243">
        <v>1</v>
      </c>
      <c r="G35" s="523">
        <v>1</v>
      </c>
      <c r="H35" s="4011"/>
      <c r="I35" s="3996"/>
      <c r="J35" s="3996"/>
      <c r="K35" s="3996"/>
      <c r="L35" s="3930"/>
      <c r="M35" s="4002"/>
      <c r="N35" s="3930"/>
      <c r="O35" s="3999"/>
      <c r="P35" s="499"/>
      <c r="Q35" s="2939" t="s">
        <v>5950</v>
      </c>
      <c r="R35" s="4017"/>
      <c r="BB35" s="3299"/>
      <c r="BC35" s="3299"/>
      <c r="BD35" s="3299"/>
      <c r="BE35" s="3299"/>
      <c r="BF35" s="3299"/>
      <c r="BG35" s="3299"/>
      <c r="BH35" s="3299"/>
      <c r="BI35" s="3299"/>
      <c r="BJ35" s="3299"/>
      <c r="BK35" s="3299"/>
      <c r="BL35" s="3299"/>
      <c r="BM35" s="3299"/>
      <c r="BN35" s="3299"/>
      <c r="BO35" s="3299"/>
      <c r="BP35" s="3299"/>
      <c r="BQ35" s="3299"/>
      <c r="BR35" s="3299"/>
      <c r="BS35" s="3299"/>
      <c r="BT35" s="3299"/>
      <c r="BU35" s="3299"/>
      <c r="BV35" s="3299"/>
      <c r="BW35" s="3299"/>
      <c r="BX35" s="3299"/>
      <c r="BY35" s="3299"/>
      <c r="BZ35" s="3299"/>
      <c r="CA35" s="3299"/>
      <c r="CB35" s="3299"/>
      <c r="CC35" s="3299"/>
      <c r="CD35" s="3299"/>
      <c r="CE35" s="3299"/>
      <c r="CF35" s="3299"/>
      <c r="CG35" s="3299"/>
      <c r="CH35" s="3299"/>
      <c r="CI35" s="3296">
        <f t="shared" si="0"/>
        <v>0</v>
      </c>
    </row>
    <row r="36" spans="1:87" s="1755" customFormat="1">
      <c r="A36" s="494" t="s">
        <v>3599</v>
      </c>
      <c r="B36" s="521"/>
      <c r="C36" s="509" t="s">
        <v>2135</v>
      </c>
      <c r="D36" s="3994"/>
      <c r="E36" s="3571"/>
      <c r="F36" s="2243">
        <v>0</v>
      </c>
      <c r="G36" s="523"/>
      <c r="H36" s="4011"/>
      <c r="I36" s="3996"/>
      <c r="J36" s="3996"/>
      <c r="K36" s="3996"/>
      <c r="L36" s="3930"/>
      <c r="M36" s="4002"/>
      <c r="N36" s="3930"/>
      <c r="O36" s="3999"/>
      <c r="P36" s="499"/>
      <c r="Q36" s="511"/>
      <c r="R36" s="4017"/>
      <c r="BB36" s="3299"/>
      <c r="BC36" s="3299"/>
      <c r="BD36" s="3299"/>
      <c r="BE36" s="3299"/>
      <c r="BF36" s="3299"/>
      <c r="BG36" s="3299"/>
      <c r="BH36" s="3299"/>
      <c r="BI36" s="3299"/>
      <c r="BJ36" s="3299"/>
      <c r="BK36" s="3299"/>
      <c r="BL36" s="3299"/>
      <c r="BM36" s="3299"/>
      <c r="BN36" s="3299"/>
      <c r="BO36" s="3299"/>
      <c r="BP36" s="3299"/>
      <c r="BQ36" s="3299"/>
      <c r="BR36" s="3299"/>
      <c r="BS36" s="3299"/>
      <c r="BT36" s="3299"/>
      <c r="BU36" s="3299"/>
      <c r="BV36" s="3299"/>
      <c r="BW36" s="3299"/>
      <c r="BX36" s="3299"/>
      <c r="BY36" s="3299"/>
      <c r="BZ36" s="3299"/>
      <c r="CA36" s="3299"/>
      <c r="CB36" s="3299"/>
      <c r="CC36" s="3299"/>
      <c r="CD36" s="3299"/>
      <c r="CE36" s="3299"/>
      <c r="CF36" s="3299"/>
      <c r="CG36" s="3299"/>
      <c r="CH36" s="3299"/>
      <c r="CI36" s="3296">
        <f t="shared" si="0"/>
        <v>0</v>
      </c>
    </row>
    <row r="37" spans="1:87" s="1755" customFormat="1" ht="39">
      <c r="A37" s="494" t="s">
        <v>3600</v>
      </c>
      <c r="B37" s="521"/>
      <c r="C37" s="509" t="s">
        <v>2136</v>
      </c>
      <c r="D37" s="3994"/>
      <c r="E37" s="3571"/>
      <c r="F37" s="2243">
        <v>9</v>
      </c>
      <c r="G37" s="523">
        <v>7</v>
      </c>
      <c r="H37" s="4011"/>
      <c r="I37" s="3996"/>
      <c r="J37" s="3996"/>
      <c r="K37" s="3996"/>
      <c r="L37" s="3930"/>
      <c r="M37" s="4002"/>
      <c r="N37" s="3930"/>
      <c r="O37" s="3999"/>
      <c r="P37" s="499"/>
      <c r="Q37" s="2938" t="s">
        <v>5951</v>
      </c>
      <c r="R37" s="4017"/>
      <c r="BB37" s="3299"/>
      <c r="BC37" s="3299"/>
      <c r="BD37" s="3299"/>
      <c r="BE37" s="3299"/>
      <c r="BF37" s="3299"/>
      <c r="BG37" s="3299"/>
      <c r="BH37" s="3299"/>
      <c r="BI37" s="3299"/>
      <c r="BJ37" s="3299"/>
      <c r="BK37" s="3299"/>
      <c r="BL37" s="3299"/>
      <c r="BM37" s="3299"/>
      <c r="BN37" s="3299"/>
      <c r="BO37" s="3299"/>
      <c r="BP37" s="3299"/>
      <c r="BQ37" s="3299"/>
      <c r="BR37" s="3299"/>
      <c r="BS37" s="3299"/>
      <c r="BT37" s="3299"/>
      <c r="BU37" s="3299"/>
      <c r="BV37" s="3299"/>
      <c r="BW37" s="3299"/>
      <c r="BX37" s="3299"/>
      <c r="BY37" s="3299"/>
      <c r="BZ37" s="3299"/>
      <c r="CA37" s="3299"/>
      <c r="CB37" s="3299"/>
      <c r="CC37" s="3299"/>
      <c r="CD37" s="3299"/>
      <c r="CE37" s="3299"/>
      <c r="CF37" s="3299"/>
      <c r="CG37" s="3299"/>
      <c r="CH37" s="3299"/>
      <c r="CI37" s="3296">
        <f t="shared" si="0"/>
        <v>0</v>
      </c>
    </row>
    <row r="38" spans="1:87" s="1755" customFormat="1" ht="49.5" customHeight="1">
      <c r="A38" s="494" t="s">
        <v>3601</v>
      </c>
      <c r="B38" s="529"/>
      <c r="C38" s="522" t="s">
        <v>668</v>
      </c>
      <c r="D38" s="3994"/>
      <c r="E38" s="3571"/>
      <c r="F38" s="2243">
        <v>19</v>
      </c>
      <c r="G38" s="523">
        <v>4</v>
      </c>
      <c r="H38" s="4011"/>
      <c r="I38" s="3996"/>
      <c r="J38" s="3996"/>
      <c r="K38" s="3996"/>
      <c r="L38" s="3930"/>
      <c r="M38" s="4002"/>
      <c r="N38" s="3930"/>
      <c r="O38" s="3999"/>
      <c r="P38" s="499"/>
      <c r="Q38" s="2940" t="s">
        <v>5949</v>
      </c>
      <c r="R38" s="4017"/>
      <c r="BB38" s="3299"/>
      <c r="BC38" s="3299"/>
      <c r="BD38" s="3299"/>
      <c r="BE38" s="3299"/>
      <c r="BF38" s="3299"/>
      <c r="BG38" s="3299"/>
      <c r="BH38" s="3299"/>
      <c r="BI38" s="3299"/>
      <c r="BJ38" s="3299"/>
      <c r="BK38" s="3299"/>
      <c r="BL38" s="3299"/>
      <c r="BM38" s="3299"/>
      <c r="BN38" s="3299"/>
      <c r="BO38" s="3299"/>
      <c r="BP38" s="3299"/>
      <c r="BQ38" s="3299"/>
      <c r="BR38" s="3299"/>
      <c r="BS38" s="3299"/>
      <c r="BT38" s="3299"/>
      <c r="BU38" s="3299"/>
      <c r="BV38" s="3299"/>
      <c r="BW38" s="3299"/>
      <c r="BX38" s="3299"/>
      <c r="BY38" s="3299"/>
      <c r="BZ38" s="3299"/>
      <c r="CA38" s="3299"/>
      <c r="CB38" s="3299"/>
      <c r="CC38" s="3299"/>
      <c r="CD38" s="3299"/>
      <c r="CE38" s="3299"/>
      <c r="CF38" s="3299"/>
      <c r="CG38" s="3299"/>
      <c r="CH38" s="3299"/>
      <c r="CI38" s="3296">
        <f t="shared" si="0"/>
        <v>0</v>
      </c>
    </row>
    <row r="39" spans="1:87" s="1755" customFormat="1" ht="31.5" customHeight="1">
      <c r="A39" s="494" t="s">
        <v>3602</v>
      </c>
      <c r="B39" s="521"/>
      <c r="C39" s="509" t="s">
        <v>2140</v>
      </c>
      <c r="D39" s="3994"/>
      <c r="E39" s="3571"/>
      <c r="F39" s="2243">
        <v>245</v>
      </c>
      <c r="G39" s="523">
        <v>242</v>
      </c>
      <c r="H39" s="4011"/>
      <c r="I39" s="3996"/>
      <c r="J39" s="3996"/>
      <c r="K39" s="3996"/>
      <c r="L39" s="3930"/>
      <c r="M39" s="4002"/>
      <c r="N39" s="3930"/>
      <c r="O39" s="3999"/>
      <c r="P39" s="499"/>
      <c r="Q39" s="3125" t="s">
        <v>5952</v>
      </c>
      <c r="R39" s="4017"/>
      <c r="BB39" s="3299">
        <v>103.94</v>
      </c>
      <c r="BC39" s="3299">
        <f>+(1*22281*12+1*16950*12+2*22030*12+7*12500*12+2*12500*12)*105%/100000</f>
        <v>24.669665999999999</v>
      </c>
      <c r="BD39" s="3299">
        <f>+(1*22261*12+1*14391*12+12*12500*12+1*12500*12)*105%/100000</f>
        <v>25.093152000000003</v>
      </c>
      <c r="BE39" s="3299">
        <f>+(1*22291*12+2*22252*12+1*15188*12+13*12500*12+1*12500*12)*105%/100000</f>
        <v>32.379858000000006</v>
      </c>
      <c r="BF39" s="3299">
        <f>+(1*20252*12+1*20895*12+27*12500*12+3*12500*12)*105%/100000</f>
        <v>52.434522000000001</v>
      </c>
      <c r="BG39" s="3299">
        <f>+(1*15191*12+1*18795*12+1*21107*12+7*12500*12+2*12500*12)*105%/100000</f>
        <v>21.116718000000002</v>
      </c>
      <c r="BH39" s="3299">
        <f>+(1*21200*12+2*20959*12+1*17141*12+1*11793*12+11*12500*12+2*12500*12)*105%/100000</f>
        <v>32.073551999999999</v>
      </c>
      <c r="BI39" s="3299">
        <f>+(1*23034*12+2*12254*12+1*15191*12+5*12500*12+1*12500*12)*105%/100000</f>
        <v>17.354358000000001</v>
      </c>
      <c r="BJ39" s="3299">
        <f>+(2*22252*12+1*15191*12+23*12500*12+2*12500*12)*105%/100000</f>
        <v>46.896569999999997</v>
      </c>
      <c r="BK39" s="3299">
        <f>+(2*22252*12+1*15191*12+1*21355*12+19*12500*12+2*12500*12)*105%/100000</f>
        <v>43.287300000000002</v>
      </c>
      <c r="BL39" s="3299">
        <f>+(1*22515*12+1*21749*12+1*15191*12+11*12500*12+2*12500*12)*105%/100000</f>
        <v>27.966329999999999</v>
      </c>
      <c r="BM39" s="3299">
        <f>+(1*21144*12+1*22505*12+1*20252*12+1*15190*12+11*12500*12+2*12500*12)*105%/100000</f>
        <v>30.440466000000001</v>
      </c>
      <c r="BN39" s="3299">
        <f>+(3*22253*12+9*12500*12+2*12500*12)*105%/100000</f>
        <v>25.736633999999999</v>
      </c>
      <c r="BO39" s="3299"/>
      <c r="BP39" s="3299"/>
      <c r="BQ39" s="3299"/>
      <c r="BR39" s="3299"/>
      <c r="BS39" s="3299"/>
      <c r="BT39" s="3299"/>
      <c r="BU39" s="3299"/>
      <c r="BV39" s="3299"/>
      <c r="BW39" s="3299"/>
      <c r="BX39" s="3299"/>
      <c r="BY39" s="3299"/>
      <c r="BZ39" s="3299"/>
      <c r="CA39" s="3299"/>
      <c r="CB39" s="3299"/>
      <c r="CC39" s="3299"/>
      <c r="CD39" s="3299"/>
      <c r="CE39" s="3299"/>
      <c r="CF39" s="3299"/>
      <c r="CG39" s="3299"/>
      <c r="CH39" s="3299"/>
      <c r="CI39" s="3296">
        <f t="shared" si="0"/>
        <v>483.38912600000003</v>
      </c>
    </row>
    <row r="40" spans="1:87" s="1755" customFormat="1" ht="35.25" customHeight="1">
      <c r="A40" s="494" t="s">
        <v>3603</v>
      </c>
      <c r="B40" s="521"/>
      <c r="C40" s="509" t="s">
        <v>2141</v>
      </c>
      <c r="D40" s="3994"/>
      <c r="E40" s="3571"/>
      <c r="F40" s="2243"/>
      <c r="G40" s="523"/>
      <c r="H40" s="4011"/>
      <c r="I40" s="3996"/>
      <c r="J40" s="3996"/>
      <c r="K40" s="3996"/>
      <c r="L40" s="3930"/>
      <c r="M40" s="4002"/>
      <c r="N40" s="3930"/>
      <c r="O40" s="3999"/>
      <c r="P40" s="499"/>
      <c r="Q40" s="2941" t="s">
        <v>5953</v>
      </c>
      <c r="R40" s="4017"/>
      <c r="BB40" s="3299"/>
      <c r="BC40" s="3299"/>
      <c r="BD40" s="3299"/>
      <c r="BE40" s="3299"/>
      <c r="BF40" s="3299"/>
      <c r="BG40" s="3299"/>
      <c r="BH40" s="3299"/>
      <c r="BI40" s="3299"/>
      <c r="BJ40" s="3299"/>
      <c r="BK40" s="3299"/>
      <c r="BL40" s="3299"/>
      <c r="BM40" s="3299"/>
      <c r="BN40" s="3299"/>
      <c r="BO40" s="3299"/>
      <c r="BP40" s="3299"/>
      <c r="BQ40" s="3299"/>
      <c r="BR40" s="3299"/>
      <c r="BS40" s="3299"/>
      <c r="BT40" s="3299"/>
      <c r="BU40" s="3299"/>
      <c r="BV40" s="3299"/>
      <c r="BW40" s="3299"/>
      <c r="BX40" s="3299"/>
      <c r="BY40" s="3299"/>
      <c r="BZ40" s="3299"/>
      <c r="CA40" s="3299"/>
      <c r="CB40" s="3299"/>
      <c r="CC40" s="3299"/>
      <c r="CD40" s="3299"/>
      <c r="CE40" s="3299"/>
      <c r="CF40" s="3299"/>
      <c r="CG40" s="3299"/>
      <c r="CH40" s="3299"/>
      <c r="CI40" s="3296">
        <f t="shared" si="0"/>
        <v>0</v>
      </c>
    </row>
    <row r="41" spans="1:87" s="1755" customFormat="1" ht="39">
      <c r="A41" s="500" t="s">
        <v>3604</v>
      </c>
      <c r="B41" s="521"/>
      <c r="C41" s="509" t="s">
        <v>617</v>
      </c>
      <c r="D41" s="3994"/>
      <c r="E41" s="3571"/>
      <c r="F41" s="2243"/>
      <c r="G41" s="523"/>
      <c r="H41" s="4012"/>
      <c r="I41" s="3997"/>
      <c r="J41" s="3997"/>
      <c r="K41" s="3997"/>
      <c r="L41" s="3931"/>
      <c r="M41" s="4003"/>
      <c r="N41" s="3931"/>
      <c r="O41" s="4000"/>
      <c r="P41" s="499"/>
      <c r="Q41" s="2938" t="s">
        <v>5948</v>
      </c>
      <c r="R41" s="4018"/>
      <c r="BB41" s="3299"/>
      <c r="BC41" s="3299"/>
      <c r="BD41" s="3299"/>
      <c r="BE41" s="3299"/>
      <c r="BF41" s="3299"/>
      <c r="BG41" s="3299"/>
      <c r="BH41" s="3299"/>
      <c r="BI41" s="3299"/>
      <c r="BJ41" s="3299"/>
      <c r="BK41" s="3299"/>
      <c r="BL41" s="3299"/>
      <c r="BM41" s="3299"/>
      <c r="BN41" s="3299"/>
      <c r="BO41" s="3299"/>
      <c r="BP41" s="3299"/>
      <c r="BQ41" s="3299"/>
      <c r="BR41" s="3299"/>
      <c r="BS41" s="3299"/>
      <c r="BT41" s="3299"/>
      <c r="BU41" s="3299"/>
      <c r="BV41" s="3299"/>
      <c r="BW41" s="3299"/>
      <c r="BX41" s="3299"/>
      <c r="BY41" s="3299"/>
      <c r="BZ41" s="3299"/>
      <c r="CA41" s="3299"/>
      <c r="CB41" s="3299"/>
      <c r="CC41" s="3299"/>
      <c r="CD41" s="3299"/>
      <c r="CE41" s="3299"/>
      <c r="CF41" s="3299"/>
      <c r="CG41" s="3299"/>
      <c r="CH41" s="3299"/>
      <c r="CI41" s="3296">
        <f t="shared" si="0"/>
        <v>0</v>
      </c>
    </row>
    <row r="42" spans="1:87" s="1755" customFormat="1">
      <c r="A42" s="524" t="s">
        <v>3472</v>
      </c>
      <c r="B42" s="525"/>
      <c r="C42" s="525" t="s">
        <v>2836</v>
      </c>
      <c r="D42" s="525"/>
      <c r="E42" s="525"/>
      <c r="F42" s="526"/>
      <c r="G42" s="526"/>
      <c r="H42" s="526"/>
      <c r="I42" s="526"/>
      <c r="J42" s="526"/>
      <c r="K42" s="526"/>
      <c r="L42" s="526"/>
      <c r="M42" s="527"/>
      <c r="N42" s="526"/>
      <c r="O42" s="527">
        <f>SUM(O43:O53)</f>
        <v>44.1</v>
      </c>
      <c r="P42" s="528"/>
      <c r="Q42" s="530"/>
      <c r="R42" s="527">
        <f>SUM(R43:R53)</f>
        <v>24.9</v>
      </c>
      <c r="S42" s="3140">
        <f t="shared" ref="S42:S43" si="3">O42-R42</f>
        <v>19.200000000000003</v>
      </c>
      <c r="BB42" s="3299"/>
      <c r="BC42" s="3299"/>
      <c r="BD42" s="3299"/>
      <c r="BE42" s="3299"/>
      <c r="BF42" s="3299"/>
      <c r="BG42" s="3299"/>
      <c r="BH42" s="3299"/>
      <c r="BI42" s="3299"/>
      <c r="BJ42" s="3299"/>
      <c r="BK42" s="3299"/>
      <c r="BL42" s="3299"/>
      <c r="BM42" s="3299"/>
      <c r="BN42" s="3299"/>
      <c r="BO42" s="3299"/>
      <c r="BP42" s="3299"/>
      <c r="BQ42" s="3299"/>
      <c r="BR42" s="3299"/>
      <c r="BS42" s="3299"/>
      <c r="BT42" s="3299"/>
      <c r="BU42" s="3299"/>
      <c r="BV42" s="3299"/>
      <c r="BW42" s="3299"/>
      <c r="BX42" s="3299"/>
      <c r="BY42" s="3299"/>
      <c r="BZ42" s="3299"/>
      <c r="CA42" s="3299"/>
      <c r="CB42" s="3299"/>
      <c r="CC42" s="3299"/>
      <c r="CD42" s="3299"/>
      <c r="CE42" s="3299"/>
      <c r="CF42" s="3299"/>
      <c r="CG42" s="3299"/>
      <c r="CH42" s="3299"/>
      <c r="CI42" s="3296">
        <f t="shared" si="0"/>
        <v>0</v>
      </c>
    </row>
    <row r="43" spans="1:87" s="2285" customFormat="1">
      <c r="A43" s="679" t="s">
        <v>3605</v>
      </c>
      <c r="B43" s="521"/>
      <c r="C43" s="521" t="s">
        <v>2129</v>
      </c>
      <c r="D43" s="3994" t="s">
        <v>4643</v>
      </c>
      <c r="E43" s="3571"/>
      <c r="F43" s="2616">
        <v>0</v>
      </c>
      <c r="G43" s="2617"/>
      <c r="H43" s="3991">
        <v>26.68</v>
      </c>
      <c r="I43" s="3991">
        <v>8.8800000000000008</v>
      </c>
      <c r="J43" s="3991">
        <v>17.8</v>
      </c>
      <c r="K43" s="3991"/>
      <c r="L43" s="3929">
        <v>220500</v>
      </c>
      <c r="M43" s="4001">
        <f>L43/100000</f>
        <v>2.2050000000000001</v>
      </c>
      <c r="N43" s="3929">
        <v>20</v>
      </c>
      <c r="O43" s="4004">
        <f>M43*N43</f>
        <v>44.1</v>
      </c>
      <c r="P43" s="2618"/>
      <c r="Q43" s="2282"/>
      <c r="R43" s="4024">
        <v>24.9</v>
      </c>
      <c r="S43" s="3140">
        <f t="shared" si="3"/>
        <v>19.200000000000003</v>
      </c>
      <c r="BB43" s="3300">
        <v>24.9</v>
      </c>
      <c r="BC43" s="3300"/>
      <c r="BD43" s="3300"/>
      <c r="BE43" s="3300"/>
      <c r="BF43" s="3300"/>
      <c r="BG43" s="3300"/>
      <c r="BH43" s="3300"/>
      <c r="BI43" s="3300"/>
      <c r="BJ43" s="3300"/>
      <c r="BK43" s="3300"/>
      <c r="BL43" s="3300"/>
      <c r="BM43" s="3300"/>
      <c r="BN43" s="3300"/>
      <c r="BO43" s="3300"/>
      <c r="BP43" s="3300"/>
      <c r="BQ43" s="3300"/>
      <c r="BR43" s="3300"/>
      <c r="BS43" s="3300"/>
      <c r="BT43" s="3300"/>
      <c r="BU43" s="3300"/>
      <c r="BV43" s="3300"/>
      <c r="BW43" s="3300"/>
      <c r="BX43" s="3300"/>
      <c r="BY43" s="3300"/>
      <c r="BZ43" s="3300"/>
      <c r="CA43" s="3300"/>
      <c r="CB43" s="3300"/>
      <c r="CC43" s="3300"/>
      <c r="CD43" s="3300"/>
      <c r="CE43" s="3300"/>
      <c r="CF43" s="3300"/>
      <c r="CG43" s="3300"/>
      <c r="CH43" s="3300"/>
      <c r="CI43" s="3296">
        <f t="shared" si="0"/>
        <v>24.9</v>
      </c>
    </row>
    <row r="44" spans="1:87" s="1755" customFormat="1" ht="39" customHeight="1">
      <c r="A44" s="494" t="s">
        <v>3606</v>
      </c>
      <c r="B44" s="521"/>
      <c r="C44" s="509" t="s">
        <v>2835</v>
      </c>
      <c r="D44" s="3994"/>
      <c r="E44" s="3571"/>
      <c r="F44" s="2244">
        <v>3</v>
      </c>
      <c r="G44" s="531">
        <v>2</v>
      </c>
      <c r="H44" s="3992"/>
      <c r="I44" s="3992"/>
      <c r="J44" s="3992"/>
      <c r="K44" s="3992"/>
      <c r="L44" s="3930"/>
      <c r="M44" s="4002"/>
      <c r="N44" s="3930"/>
      <c r="O44" s="4005"/>
      <c r="P44" s="499"/>
      <c r="Q44" s="3148" t="s">
        <v>5954</v>
      </c>
      <c r="R44" s="4025"/>
      <c r="BB44" s="3299"/>
      <c r="BC44" s="3299"/>
      <c r="BD44" s="3299"/>
      <c r="BE44" s="3299"/>
      <c r="BF44" s="3299"/>
      <c r="BG44" s="3299"/>
      <c r="BH44" s="3299"/>
      <c r="BI44" s="3299"/>
      <c r="BJ44" s="3299"/>
      <c r="BK44" s="3299"/>
      <c r="BL44" s="3299"/>
      <c r="BM44" s="3299"/>
      <c r="BN44" s="3299"/>
      <c r="BO44" s="3299"/>
      <c r="BP44" s="3299"/>
      <c r="BQ44" s="3299"/>
      <c r="BR44" s="3299"/>
      <c r="BS44" s="3299"/>
      <c r="BT44" s="3299"/>
      <c r="BU44" s="3299"/>
      <c r="BV44" s="3299"/>
      <c r="BW44" s="3299"/>
      <c r="BX44" s="3299"/>
      <c r="BY44" s="3299"/>
      <c r="BZ44" s="3299"/>
      <c r="CA44" s="3299"/>
      <c r="CB44" s="3299"/>
      <c r="CC44" s="3299"/>
      <c r="CD44" s="3299"/>
      <c r="CE44" s="3299"/>
      <c r="CF44" s="3299"/>
      <c r="CG44" s="3299"/>
      <c r="CH44" s="3299"/>
      <c r="CI44" s="3296">
        <f t="shared" si="0"/>
        <v>0</v>
      </c>
    </row>
    <row r="45" spans="1:87" s="1755" customFormat="1" ht="39">
      <c r="A45" s="494" t="s">
        <v>3607</v>
      </c>
      <c r="B45" s="521"/>
      <c r="C45" s="509" t="s">
        <v>2131</v>
      </c>
      <c r="D45" s="3994"/>
      <c r="E45" s="3571"/>
      <c r="F45" s="2244">
        <v>2</v>
      </c>
      <c r="G45" s="531">
        <v>1</v>
      </c>
      <c r="H45" s="3992"/>
      <c r="I45" s="3992"/>
      <c r="J45" s="3992"/>
      <c r="K45" s="3992"/>
      <c r="L45" s="3930"/>
      <c r="M45" s="4002"/>
      <c r="N45" s="3930"/>
      <c r="O45" s="4005"/>
      <c r="P45" s="499"/>
      <c r="Q45" s="2940" t="s">
        <v>5948</v>
      </c>
      <c r="R45" s="4025"/>
      <c r="BB45" s="3299"/>
      <c r="BC45" s="3299"/>
      <c r="BD45" s="3299"/>
      <c r="BE45" s="3299"/>
      <c r="BF45" s="3299"/>
      <c r="BG45" s="3299"/>
      <c r="BH45" s="3299"/>
      <c r="BI45" s="3299"/>
      <c r="BJ45" s="3299"/>
      <c r="BK45" s="3299"/>
      <c r="BL45" s="3299"/>
      <c r="BM45" s="3299"/>
      <c r="BN45" s="3299"/>
      <c r="BO45" s="3299"/>
      <c r="BP45" s="3299"/>
      <c r="BQ45" s="3299"/>
      <c r="BR45" s="3299"/>
      <c r="BS45" s="3299"/>
      <c r="BT45" s="3299"/>
      <c r="BU45" s="3299"/>
      <c r="BV45" s="3299"/>
      <c r="BW45" s="3299"/>
      <c r="BX45" s="3299"/>
      <c r="BY45" s="3299"/>
      <c r="BZ45" s="3299"/>
      <c r="CA45" s="3299"/>
      <c r="CB45" s="3299"/>
      <c r="CC45" s="3299"/>
      <c r="CD45" s="3299"/>
      <c r="CE45" s="3299"/>
      <c r="CF45" s="3299"/>
      <c r="CG45" s="3299"/>
      <c r="CH45" s="3299"/>
      <c r="CI45" s="3296">
        <f t="shared" si="0"/>
        <v>0</v>
      </c>
    </row>
    <row r="46" spans="1:87" s="1755" customFormat="1">
      <c r="A46" s="494" t="s">
        <v>3608</v>
      </c>
      <c r="B46" s="521"/>
      <c r="C46" s="509" t="s">
        <v>2132</v>
      </c>
      <c r="D46" s="3994"/>
      <c r="E46" s="3571"/>
      <c r="F46" s="2244">
        <v>0</v>
      </c>
      <c r="G46" s="531"/>
      <c r="H46" s="3992"/>
      <c r="I46" s="3992"/>
      <c r="J46" s="3992"/>
      <c r="K46" s="3992"/>
      <c r="L46" s="3930"/>
      <c r="M46" s="4002"/>
      <c r="N46" s="3930"/>
      <c r="O46" s="4005"/>
      <c r="P46" s="499"/>
      <c r="Q46" s="2941"/>
      <c r="R46" s="4025"/>
      <c r="BB46" s="3299"/>
      <c r="BC46" s="3299"/>
      <c r="BD46" s="3299"/>
      <c r="BE46" s="3299"/>
      <c r="BF46" s="3299"/>
      <c r="BG46" s="3299"/>
      <c r="BH46" s="3299"/>
      <c r="BI46" s="3299"/>
      <c r="BJ46" s="3299"/>
      <c r="BK46" s="3299"/>
      <c r="BL46" s="3299"/>
      <c r="BM46" s="3299"/>
      <c r="BN46" s="3299"/>
      <c r="BO46" s="3299"/>
      <c r="BP46" s="3299"/>
      <c r="BQ46" s="3299"/>
      <c r="BR46" s="3299"/>
      <c r="BS46" s="3299"/>
      <c r="BT46" s="3299"/>
      <c r="BU46" s="3299"/>
      <c r="BV46" s="3299"/>
      <c r="BW46" s="3299"/>
      <c r="BX46" s="3299"/>
      <c r="BY46" s="3299"/>
      <c r="BZ46" s="3299"/>
      <c r="CA46" s="3299"/>
      <c r="CB46" s="3299"/>
      <c r="CC46" s="3299"/>
      <c r="CD46" s="3299"/>
      <c r="CE46" s="3299"/>
      <c r="CF46" s="3299"/>
      <c r="CG46" s="3299"/>
      <c r="CH46" s="3299"/>
      <c r="CI46" s="3296">
        <f t="shared" si="0"/>
        <v>0</v>
      </c>
    </row>
    <row r="47" spans="1:87" s="1755" customFormat="1" ht="39">
      <c r="A47" s="494" t="s">
        <v>3609</v>
      </c>
      <c r="B47" s="521"/>
      <c r="C47" s="522" t="s">
        <v>2133</v>
      </c>
      <c r="D47" s="3994"/>
      <c r="E47" s="3571"/>
      <c r="F47" s="2244">
        <v>1</v>
      </c>
      <c r="G47" s="531">
        <v>1</v>
      </c>
      <c r="H47" s="3992"/>
      <c r="I47" s="3992"/>
      <c r="J47" s="3992"/>
      <c r="K47" s="3992"/>
      <c r="L47" s="3930"/>
      <c r="M47" s="4002"/>
      <c r="N47" s="3930"/>
      <c r="O47" s="4005"/>
      <c r="P47" s="499"/>
      <c r="Q47" s="2938" t="s">
        <v>5955</v>
      </c>
      <c r="R47" s="4025"/>
      <c r="BB47" s="3299"/>
      <c r="BC47" s="3299"/>
      <c r="BD47" s="3299"/>
      <c r="BE47" s="3299"/>
      <c r="BF47" s="3299"/>
      <c r="BG47" s="3299"/>
      <c r="BH47" s="3299"/>
      <c r="BI47" s="3299"/>
      <c r="BJ47" s="3299"/>
      <c r="BK47" s="3299"/>
      <c r="BL47" s="3299"/>
      <c r="BM47" s="3299"/>
      <c r="BN47" s="3299"/>
      <c r="BO47" s="3299"/>
      <c r="BP47" s="3299"/>
      <c r="BQ47" s="3299"/>
      <c r="BR47" s="3299"/>
      <c r="BS47" s="3299"/>
      <c r="BT47" s="3299"/>
      <c r="BU47" s="3299"/>
      <c r="BV47" s="3299"/>
      <c r="BW47" s="3299"/>
      <c r="BX47" s="3299"/>
      <c r="BY47" s="3299"/>
      <c r="BZ47" s="3299"/>
      <c r="CA47" s="3299"/>
      <c r="CB47" s="3299"/>
      <c r="CC47" s="3299"/>
      <c r="CD47" s="3299"/>
      <c r="CE47" s="3299"/>
      <c r="CF47" s="3299"/>
      <c r="CG47" s="3299"/>
      <c r="CH47" s="3299"/>
      <c r="CI47" s="3296">
        <f t="shared" si="0"/>
        <v>0</v>
      </c>
    </row>
    <row r="48" spans="1:87" s="1755" customFormat="1" ht="60">
      <c r="A48" s="494" t="s">
        <v>3610</v>
      </c>
      <c r="B48" s="521"/>
      <c r="C48" s="509" t="s">
        <v>2135</v>
      </c>
      <c r="D48" s="3994"/>
      <c r="E48" s="3571"/>
      <c r="F48" s="2245">
        <v>0</v>
      </c>
      <c r="G48" s="532"/>
      <c r="H48" s="3992"/>
      <c r="I48" s="3992"/>
      <c r="J48" s="3992"/>
      <c r="K48" s="3992"/>
      <c r="L48" s="3930"/>
      <c r="M48" s="4002"/>
      <c r="N48" s="3930"/>
      <c r="O48" s="4005"/>
      <c r="P48" s="2942" t="s">
        <v>5474</v>
      </c>
      <c r="Q48" s="3126" t="s">
        <v>5928</v>
      </c>
      <c r="R48" s="4025"/>
      <c r="BB48" s="3299"/>
      <c r="BC48" s="3299"/>
      <c r="BD48" s="3299"/>
      <c r="BE48" s="3299"/>
      <c r="BF48" s="3299"/>
      <c r="BG48" s="3299"/>
      <c r="BH48" s="3299"/>
      <c r="BI48" s="3299"/>
      <c r="BJ48" s="3299"/>
      <c r="BK48" s="3299"/>
      <c r="BL48" s="3299"/>
      <c r="BM48" s="3299"/>
      <c r="BN48" s="3299"/>
      <c r="BO48" s="3299"/>
      <c r="BP48" s="3299"/>
      <c r="BQ48" s="3299"/>
      <c r="BR48" s="3299"/>
      <c r="BS48" s="3299"/>
      <c r="BT48" s="3299"/>
      <c r="BU48" s="3299"/>
      <c r="BV48" s="3299"/>
      <c r="BW48" s="3299"/>
      <c r="BX48" s="3299"/>
      <c r="BY48" s="3299"/>
      <c r="BZ48" s="3299"/>
      <c r="CA48" s="3299"/>
      <c r="CB48" s="3299"/>
      <c r="CC48" s="3299"/>
      <c r="CD48" s="3299"/>
      <c r="CE48" s="3299"/>
      <c r="CF48" s="3299"/>
      <c r="CG48" s="3299"/>
      <c r="CH48" s="3299"/>
      <c r="CI48" s="3296">
        <f t="shared" si="0"/>
        <v>0</v>
      </c>
    </row>
    <row r="49" spans="1:87" s="1755" customFormat="1" ht="39">
      <c r="A49" s="494" t="s">
        <v>3611</v>
      </c>
      <c r="B49" s="521"/>
      <c r="C49" s="509" t="s">
        <v>2136</v>
      </c>
      <c r="D49" s="3994"/>
      <c r="E49" s="3571"/>
      <c r="F49" s="2244">
        <v>1</v>
      </c>
      <c r="G49" s="531">
        <v>1</v>
      </c>
      <c r="H49" s="3992"/>
      <c r="I49" s="3992"/>
      <c r="J49" s="3992"/>
      <c r="K49" s="3992"/>
      <c r="L49" s="3930"/>
      <c r="M49" s="4002"/>
      <c r="N49" s="3930"/>
      <c r="O49" s="4005"/>
      <c r="P49" s="499"/>
      <c r="Q49" s="2938" t="s">
        <v>5956</v>
      </c>
      <c r="R49" s="4025"/>
      <c r="BB49" s="3299"/>
      <c r="BC49" s="3299"/>
      <c r="BD49" s="3299"/>
      <c r="BE49" s="3299"/>
      <c r="BF49" s="3299"/>
      <c r="BG49" s="3299"/>
      <c r="BH49" s="3299"/>
      <c r="BI49" s="3299"/>
      <c r="BJ49" s="3299"/>
      <c r="BK49" s="3299"/>
      <c r="BL49" s="3299"/>
      <c r="BM49" s="3299"/>
      <c r="BN49" s="3299"/>
      <c r="BO49" s="3299"/>
      <c r="BP49" s="3299"/>
      <c r="BQ49" s="3299"/>
      <c r="BR49" s="3299"/>
      <c r="BS49" s="3299"/>
      <c r="BT49" s="3299"/>
      <c r="BU49" s="3299"/>
      <c r="BV49" s="3299"/>
      <c r="BW49" s="3299"/>
      <c r="BX49" s="3299"/>
      <c r="BY49" s="3299"/>
      <c r="BZ49" s="3299"/>
      <c r="CA49" s="3299"/>
      <c r="CB49" s="3299"/>
      <c r="CC49" s="3299"/>
      <c r="CD49" s="3299"/>
      <c r="CE49" s="3299"/>
      <c r="CF49" s="3299"/>
      <c r="CG49" s="3299"/>
      <c r="CH49" s="3299"/>
      <c r="CI49" s="3296">
        <f t="shared" si="0"/>
        <v>0</v>
      </c>
    </row>
    <row r="50" spans="1:87" s="1755" customFormat="1">
      <c r="A50" s="494" t="s">
        <v>3612</v>
      </c>
      <c r="B50" s="521"/>
      <c r="C50" s="522" t="s">
        <v>668</v>
      </c>
      <c r="D50" s="3994"/>
      <c r="E50" s="3571"/>
      <c r="F50" s="2244">
        <v>0</v>
      </c>
      <c r="G50" s="531"/>
      <c r="H50" s="3992"/>
      <c r="I50" s="3992"/>
      <c r="J50" s="3992"/>
      <c r="K50" s="3992"/>
      <c r="L50" s="3930"/>
      <c r="M50" s="4002"/>
      <c r="N50" s="3930"/>
      <c r="O50" s="4005"/>
      <c r="P50" s="499"/>
      <c r="Q50" s="511"/>
      <c r="R50" s="4025"/>
      <c r="BB50" s="3299"/>
      <c r="BC50" s="3299"/>
      <c r="BD50" s="3299"/>
      <c r="BE50" s="3299"/>
      <c r="BF50" s="3299"/>
      <c r="BG50" s="3299"/>
      <c r="BH50" s="3299"/>
      <c r="BI50" s="3299"/>
      <c r="BJ50" s="3299"/>
      <c r="BK50" s="3299"/>
      <c r="BL50" s="3299"/>
      <c r="BM50" s="3299"/>
      <c r="BN50" s="3299"/>
      <c r="BO50" s="3299"/>
      <c r="BP50" s="3299"/>
      <c r="BQ50" s="3299"/>
      <c r="BR50" s="3299"/>
      <c r="BS50" s="3299"/>
      <c r="BT50" s="3299"/>
      <c r="BU50" s="3299"/>
      <c r="BV50" s="3299"/>
      <c r="BW50" s="3299"/>
      <c r="BX50" s="3299"/>
      <c r="BY50" s="3299"/>
      <c r="BZ50" s="3299"/>
      <c r="CA50" s="3299"/>
      <c r="CB50" s="3299"/>
      <c r="CC50" s="3299"/>
      <c r="CD50" s="3299"/>
      <c r="CE50" s="3299"/>
      <c r="CF50" s="3299"/>
      <c r="CG50" s="3299"/>
      <c r="CH50" s="3299"/>
      <c r="CI50" s="3296">
        <f t="shared" si="0"/>
        <v>0</v>
      </c>
    </row>
    <row r="51" spans="1:87" s="2285" customFormat="1">
      <c r="A51" s="679" t="s">
        <v>3613</v>
      </c>
      <c r="B51" s="521"/>
      <c r="C51" s="521" t="s">
        <v>2140</v>
      </c>
      <c r="D51" s="3994"/>
      <c r="E51" s="3571"/>
      <c r="F51" s="2616">
        <v>0</v>
      </c>
      <c r="G51" s="2617"/>
      <c r="H51" s="3992"/>
      <c r="I51" s="3992"/>
      <c r="J51" s="3992"/>
      <c r="K51" s="3992"/>
      <c r="L51" s="3930"/>
      <c r="M51" s="4002"/>
      <c r="N51" s="3930"/>
      <c r="O51" s="4005"/>
      <c r="P51" s="2618"/>
      <c r="Q51" s="2282"/>
      <c r="R51" s="4025"/>
      <c r="BB51" s="3300"/>
      <c r="BC51" s="3300"/>
      <c r="BD51" s="3300"/>
      <c r="BE51" s="3300"/>
      <c r="BF51" s="3300"/>
      <c r="BG51" s="3300"/>
      <c r="BH51" s="3300"/>
      <c r="BI51" s="3300"/>
      <c r="BJ51" s="3300"/>
      <c r="BK51" s="3300"/>
      <c r="BL51" s="3300"/>
      <c r="BM51" s="3300"/>
      <c r="BN51" s="3300"/>
      <c r="BO51" s="3300"/>
      <c r="BP51" s="3300"/>
      <c r="BQ51" s="3300"/>
      <c r="BR51" s="3300"/>
      <c r="BS51" s="3300"/>
      <c r="BT51" s="3300"/>
      <c r="BU51" s="3300"/>
      <c r="BV51" s="3300"/>
      <c r="BW51" s="3300"/>
      <c r="BX51" s="3300"/>
      <c r="BY51" s="3300"/>
      <c r="BZ51" s="3300"/>
      <c r="CA51" s="3300"/>
      <c r="CB51" s="3300"/>
      <c r="CC51" s="3300"/>
      <c r="CD51" s="3300"/>
      <c r="CE51" s="3300"/>
      <c r="CF51" s="3300"/>
      <c r="CG51" s="3300"/>
      <c r="CH51" s="3300"/>
      <c r="CI51" s="3296">
        <f t="shared" si="0"/>
        <v>0</v>
      </c>
    </row>
    <row r="52" spans="1:87" s="1755" customFormat="1">
      <c r="A52" s="494" t="s">
        <v>3614</v>
      </c>
      <c r="B52" s="521"/>
      <c r="C52" s="509" t="s">
        <v>2141</v>
      </c>
      <c r="D52" s="3994"/>
      <c r="E52" s="3571"/>
      <c r="F52" s="2244">
        <v>0</v>
      </c>
      <c r="G52" s="531"/>
      <c r="H52" s="3992"/>
      <c r="I52" s="3992"/>
      <c r="J52" s="3992"/>
      <c r="K52" s="3992"/>
      <c r="L52" s="3930"/>
      <c r="M52" s="4002"/>
      <c r="N52" s="3930"/>
      <c r="O52" s="4005"/>
      <c r="P52" s="499"/>
      <c r="Q52" s="511"/>
      <c r="R52" s="4025"/>
      <c r="BB52" s="3299"/>
      <c r="BC52" s="3299"/>
      <c r="BD52" s="3299"/>
      <c r="BE52" s="3299"/>
      <c r="BF52" s="3299"/>
      <c r="BG52" s="3299"/>
      <c r="BH52" s="3299"/>
      <c r="BI52" s="3299"/>
      <c r="BJ52" s="3299"/>
      <c r="BK52" s="3299"/>
      <c r="BL52" s="3299"/>
      <c r="BM52" s="3299"/>
      <c r="BN52" s="3299"/>
      <c r="BO52" s="3299"/>
      <c r="BP52" s="3299"/>
      <c r="BQ52" s="3299"/>
      <c r="BR52" s="3299"/>
      <c r="BS52" s="3299"/>
      <c r="BT52" s="3299"/>
      <c r="BU52" s="3299"/>
      <c r="BV52" s="3299"/>
      <c r="BW52" s="3299"/>
      <c r="BX52" s="3299"/>
      <c r="BY52" s="3299"/>
      <c r="BZ52" s="3299"/>
      <c r="CA52" s="3299"/>
      <c r="CB52" s="3299"/>
      <c r="CC52" s="3299"/>
      <c r="CD52" s="3299"/>
      <c r="CE52" s="3299"/>
      <c r="CF52" s="3299"/>
      <c r="CG52" s="3299"/>
      <c r="CH52" s="3299"/>
      <c r="CI52" s="3296">
        <f t="shared" si="0"/>
        <v>0</v>
      </c>
    </row>
    <row r="53" spans="1:87" s="1755" customFormat="1">
      <c r="A53" s="500" t="s">
        <v>3615</v>
      </c>
      <c r="B53" s="521"/>
      <c r="C53" s="509" t="s">
        <v>617</v>
      </c>
      <c r="D53" s="3994"/>
      <c r="E53" s="3571"/>
      <c r="F53" s="2244">
        <v>0</v>
      </c>
      <c r="G53" s="531"/>
      <c r="H53" s="3993"/>
      <c r="I53" s="3993"/>
      <c r="J53" s="3993"/>
      <c r="K53" s="3993"/>
      <c r="L53" s="3931"/>
      <c r="M53" s="4003"/>
      <c r="N53" s="3931"/>
      <c r="O53" s="4006"/>
      <c r="P53" s="499"/>
      <c r="Q53" s="511"/>
      <c r="R53" s="4026"/>
      <c r="BB53" s="3299"/>
      <c r="BC53" s="3299"/>
      <c r="BD53" s="3299"/>
      <c r="BE53" s="3299"/>
      <c r="BF53" s="3299"/>
      <c r="BG53" s="3299"/>
      <c r="BH53" s="3299"/>
      <c r="BI53" s="3299"/>
      <c r="BJ53" s="3299"/>
      <c r="BK53" s="3299"/>
      <c r="BL53" s="3299"/>
      <c r="BM53" s="3299"/>
      <c r="BN53" s="3299"/>
      <c r="BO53" s="3299"/>
      <c r="BP53" s="3299"/>
      <c r="BQ53" s="3299"/>
      <c r="BR53" s="3299"/>
      <c r="BS53" s="3299"/>
      <c r="BT53" s="3299"/>
      <c r="BU53" s="3299"/>
      <c r="BV53" s="3299"/>
      <c r="BW53" s="3299"/>
      <c r="BX53" s="3299"/>
      <c r="BY53" s="3299"/>
      <c r="BZ53" s="3299"/>
      <c r="CA53" s="3299"/>
      <c r="CB53" s="3299"/>
      <c r="CC53" s="3299"/>
      <c r="CD53" s="3299"/>
      <c r="CE53" s="3299"/>
      <c r="CF53" s="3299"/>
      <c r="CG53" s="3299"/>
      <c r="CH53" s="3299"/>
      <c r="CI53" s="3296">
        <f t="shared" si="0"/>
        <v>0</v>
      </c>
    </row>
    <row r="54" spans="1:87" s="1755" customFormat="1">
      <c r="A54" s="524" t="s">
        <v>3474</v>
      </c>
      <c r="B54" s="525"/>
      <c r="C54" s="525" t="s">
        <v>2837</v>
      </c>
      <c r="D54" s="525"/>
      <c r="E54" s="525"/>
      <c r="F54" s="526"/>
      <c r="G54" s="526"/>
      <c r="H54" s="526"/>
      <c r="I54" s="526"/>
      <c r="J54" s="526"/>
      <c r="K54" s="526"/>
      <c r="L54" s="526"/>
      <c r="M54" s="527"/>
      <c r="N54" s="526"/>
      <c r="O54" s="527">
        <f>SUM(O55:O65)</f>
        <v>6.64</v>
      </c>
      <c r="P54" s="528"/>
      <c r="Q54" s="524"/>
      <c r="R54" s="527">
        <f>SUM(R55:R65)</f>
        <v>6.64</v>
      </c>
      <c r="S54" s="3140">
        <f t="shared" ref="S54:S55" si="4">O54-R54</f>
        <v>0</v>
      </c>
      <c r="BB54" s="3299"/>
      <c r="BC54" s="3299"/>
      <c r="BD54" s="3299"/>
      <c r="BE54" s="3299"/>
      <c r="BF54" s="3299"/>
      <c r="BG54" s="3299"/>
      <c r="BH54" s="3299"/>
      <c r="BI54" s="3299"/>
      <c r="BJ54" s="3299"/>
      <c r="BK54" s="3299"/>
      <c r="BL54" s="3299"/>
      <c r="BM54" s="3299"/>
      <c r="BN54" s="3299"/>
      <c r="BO54" s="3299"/>
      <c r="BP54" s="3299"/>
      <c r="BQ54" s="3299"/>
      <c r="BR54" s="3299"/>
      <c r="BS54" s="3299"/>
      <c r="BT54" s="3299"/>
      <c r="BU54" s="3299"/>
      <c r="BV54" s="3299"/>
      <c r="BW54" s="3299"/>
      <c r="BX54" s="3299"/>
      <c r="BY54" s="3299"/>
      <c r="BZ54" s="3299"/>
      <c r="CA54" s="3299"/>
      <c r="CB54" s="3299"/>
      <c r="CC54" s="3299"/>
      <c r="CD54" s="3299"/>
      <c r="CE54" s="3299"/>
      <c r="CF54" s="3299"/>
      <c r="CG54" s="3299"/>
      <c r="CH54" s="3299"/>
      <c r="CI54" s="3296">
        <f t="shared" si="0"/>
        <v>0</v>
      </c>
    </row>
    <row r="55" spans="1:87" s="1755" customFormat="1">
      <c r="A55" s="494" t="s">
        <v>3616</v>
      </c>
      <c r="B55" s="521"/>
      <c r="C55" s="509" t="s">
        <v>2129</v>
      </c>
      <c r="D55" s="3994" t="s">
        <v>3868</v>
      </c>
      <c r="E55" s="3571"/>
      <c r="F55" s="531">
        <v>0</v>
      </c>
      <c r="G55" s="531"/>
      <c r="H55" s="3991">
        <v>4.8</v>
      </c>
      <c r="I55" s="3991">
        <v>2</v>
      </c>
      <c r="J55" s="3991">
        <v>2</v>
      </c>
      <c r="K55" s="3991"/>
      <c r="L55" s="3929">
        <v>332000</v>
      </c>
      <c r="M55" s="4001">
        <f>L55/100000</f>
        <v>3.32</v>
      </c>
      <c r="N55" s="3929">
        <v>2</v>
      </c>
      <c r="O55" s="4004">
        <f>M55*N55</f>
        <v>6.64</v>
      </c>
      <c r="P55" s="499"/>
      <c r="Q55" s="533"/>
      <c r="R55" s="4027">
        <v>6.64</v>
      </c>
      <c r="S55" s="3140">
        <f t="shared" si="4"/>
        <v>0</v>
      </c>
      <c r="BB55" s="3299">
        <v>6.64</v>
      </c>
      <c r="BC55" s="3299"/>
      <c r="BD55" s="3299"/>
      <c r="BE55" s="3299"/>
      <c r="BF55" s="3299"/>
      <c r="BG55" s="3299"/>
      <c r="BH55" s="3299"/>
      <c r="BI55" s="3299"/>
      <c r="BJ55" s="3299"/>
      <c r="BK55" s="3299"/>
      <c r="BL55" s="3299"/>
      <c r="BM55" s="3299"/>
      <c r="BN55" s="3299"/>
      <c r="BO55" s="3299"/>
      <c r="BP55" s="3299"/>
      <c r="BQ55" s="3299"/>
      <c r="BR55" s="3299"/>
      <c r="BS55" s="3299"/>
      <c r="BT55" s="3299"/>
      <c r="BU55" s="3299"/>
      <c r="BV55" s="3299"/>
      <c r="BW55" s="3299"/>
      <c r="BX55" s="3299"/>
      <c r="BY55" s="3299"/>
      <c r="BZ55" s="3299"/>
      <c r="CA55" s="3299"/>
      <c r="CB55" s="3299"/>
      <c r="CC55" s="3299"/>
      <c r="CD55" s="3299"/>
      <c r="CE55" s="3299"/>
      <c r="CF55" s="3299"/>
      <c r="CG55" s="3299"/>
      <c r="CH55" s="3299"/>
      <c r="CI55" s="3296">
        <f t="shared" si="0"/>
        <v>6.64</v>
      </c>
    </row>
    <row r="56" spans="1:87" s="1755" customFormat="1" ht="39">
      <c r="A56" s="494" t="s">
        <v>3617</v>
      </c>
      <c r="B56" s="521"/>
      <c r="C56" s="509" t="s">
        <v>2835</v>
      </c>
      <c r="D56" s="3994"/>
      <c r="E56" s="3571"/>
      <c r="F56" s="531">
        <v>1</v>
      </c>
      <c r="G56" s="531">
        <v>1</v>
      </c>
      <c r="H56" s="3992"/>
      <c r="I56" s="3992"/>
      <c r="J56" s="3992"/>
      <c r="K56" s="3992"/>
      <c r="L56" s="3930"/>
      <c r="M56" s="4002"/>
      <c r="N56" s="3930"/>
      <c r="O56" s="4005"/>
      <c r="P56" s="499"/>
      <c r="Q56" s="3127" t="s">
        <v>5957</v>
      </c>
      <c r="R56" s="4028"/>
      <c r="BB56" s="3299"/>
      <c r="BC56" s="3299"/>
      <c r="BD56" s="3299"/>
      <c r="BE56" s="3299"/>
      <c r="BF56" s="3299"/>
      <c r="BG56" s="3299"/>
      <c r="BH56" s="3299"/>
      <c r="BI56" s="3299"/>
      <c r="BJ56" s="3299"/>
      <c r="BK56" s="3299"/>
      <c r="BL56" s="3299"/>
      <c r="BM56" s="3299"/>
      <c r="BN56" s="3299"/>
      <c r="BO56" s="3299"/>
      <c r="BP56" s="3299"/>
      <c r="BQ56" s="3299"/>
      <c r="BR56" s="3299"/>
      <c r="BS56" s="3299"/>
      <c r="BT56" s="3299"/>
      <c r="BU56" s="3299"/>
      <c r="BV56" s="3299"/>
      <c r="BW56" s="3299"/>
      <c r="BX56" s="3299"/>
      <c r="BY56" s="3299"/>
      <c r="BZ56" s="3299"/>
      <c r="CA56" s="3299"/>
      <c r="CB56" s="3299"/>
      <c r="CC56" s="3299"/>
      <c r="CD56" s="3299"/>
      <c r="CE56" s="3299"/>
      <c r="CF56" s="3299"/>
      <c r="CG56" s="3299"/>
      <c r="CH56" s="3299"/>
      <c r="CI56" s="3296">
        <f t="shared" si="0"/>
        <v>0</v>
      </c>
    </row>
    <row r="57" spans="1:87" s="1755" customFormat="1">
      <c r="A57" s="494" t="s">
        <v>3618</v>
      </c>
      <c r="B57" s="534"/>
      <c r="C57" s="509" t="s">
        <v>2131</v>
      </c>
      <c r="D57" s="3994"/>
      <c r="E57" s="3571"/>
      <c r="F57" s="531">
        <v>0</v>
      </c>
      <c r="G57" s="531"/>
      <c r="H57" s="3992"/>
      <c r="I57" s="3992"/>
      <c r="J57" s="3992"/>
      <c r="K57" s="3992"/>
      <c r="L57" s="3930"/>
      <c r="M57" s="4002"/>
      <c r="N57" s="3930"/>
      <c r="O57" s="4005"/>
      <c r="P57" s="499"/>
      <c r="Q57" s="533"/>
      <c r="R57" s="4028"/>
      <c r="BB57" s="3299"/>
      <c r="BC57" s="3299"/>
      <c r="BD57" s="3299"/>
      <c r="BE57" s="3299"/>
      <c r="BF57" s="3299"/>
      <c r="BG57" s="3299"/>
      <c r="BH57" s="3299"/>
      <c r="BI57" s="3299"/>
      <c r="BJ57" s="3299"/>
      <c r="BK57" s="3299"/>
      <c r="BL57" s="3299"/>
      <c r="BM57" s="3299"/>
      <c r="BN57" s="3299"/>
      <c r="BO57" s="3299"/>
      <c r="BP57" s="3299"/>
      <c r="BQ57" s="3299"/>
      <c r="BR57" s="3299"/>
      <c r="BS57" s="3299"/>
      <c r="BT57" s="3299"/>
      <c r="BU57" s="3299"/>
      <c r="BV57" s="3299"/>
      <c r="BW57" s="3299"/>
      <c r="BX57" s="3299"/>
      <c r="BY57" s="3299"/>
      <c r="BZ57" s="3299"/>
      <c r="CA57" s="3299"/>
      <c r="CB57" s="3299"/>
      <c r="CC57" s="3299"/>
      <c r="CD57" s="3299"/>
      <c r="CE57" s="3299"/>
      <c r="CF57" s="3299"/>
      <c r="CG57" s="3299"/>
      <c r="CH57" s="3299"/>
      <c r="CI57" s="3296">
        <f t="shared" si="0"/>
        <v>0</v>
      </c>
    </row>
    <row r="58" spans="1:87" s="1755" customFormat="1">
      <c r="A58" s="494" t="s">
        <v>3619</v>
      </c>
      <c r="B58" s="521"/>
      <c r="C58" s="509" t="s">
        <v>2132</v>
      </c>
      <c r="D58" s="3994"/>
      <c r="E58" s="3571"/>
      <c r="F58" s="531">
        <v>0</v>
      </c>
      <c r="G58" s="531"/>
      <c r="H58" s="3992"/>
      <c r="I58" s="3992"/>
      <c r="J58" s="3992"/>
      <c r="K58" s="3992"/>
      <c r="L58" s="3930"/>
      <c r="M58" s="4002"/>
      <c r="N58" s="3930"/>
      <c r="O58" s="4005"/>
      <c r="P58" s="499"/>
      <c r="Q58" s="533"/>
      <c r="R58" s="4028"/>
      <c r="BB58" s="3299"/>
      <c r="BC58" s="3299"/>
      <c r="BD58" s="3299"/>
      <c r="BE58" s="3299"/>
      <c r="BF58" s="3299"/>
      <c r="BG58" s="3299"/>
      <c r="BH58" s="3299"/>
      <c r="BI58" s="3299"/>
      <c r="BJ58" s="3299"/>
      <c r="BK58" s="3299"/>
      <c r="BL58" s="3299"/>
      <c r="BM58" s="3299"/>
      <c r="BN58" s="3299"/>
      <c r="BO58" s="3299"/>
      <c r="BP58" s="3299"/>
      <c r="BQ58" s="3299"/>
      <c r="BR58" s="3299"/>
      <c r="BS58" s="3299"/>
      <c r="BT58" s="3299"/>
      <c r="BU58" s="3299"/>
      <c r="BV58" s="3299"/>
      <c r="BW58" s="3299"/>
      <c r="BX58" s="3299"/>
      <c r="BY58" s="3299"/>
      <c r="BZ58" s="3299"/>
      <c r="CA58" s="3299"/>
      <c r="CB58" s="3299"/>
      <c r="CC58" s="3299"/>
      <c r="CD58" s="3299"/>
      <c r="CE58" s="3299"/>
      <c r="CF58" s="3299"/>
      <c r="CG58" s="3299"/>
      <c r="CH58" s="3299"/>
      <c r="CI58" s="3296">
        <f t="shared" si="0"/>
        <v>0</v>
      </c>
    </row>
    <row r="59" spans="1:87" s="1755" customFormat="1">
      <c r="A59" s="494" t="s">
        <v>3620</v>
      </c>
      <c r="B59" s="521"/>
      <c r="C59" s="522" t="s">
        <v>2133</v>
      </c>
      <c r="D59" s="3994"/>
      <c r="E59" s="3571"/>
      <c r="F59" s="531">
        <v>0</v>
      </c>
      <c r="G59" s="531"/>
      <c r="H59" s="3992"/>
      <c r="I59" s="3992"/>
      <c r="J59" s="3992"/>
      <c r="K59" s="3992"/>
      <c r="L59" s="3930"/>
      <c r="M59" s="4002"/>
      <c r="N59" s="3930"/>
      <c r="O59" s="4005"/>
      <c r="P59" s="499"/>
      <c r="Q59" s="533"/>
      <c r="R59" s="4028"/>
      <c r="BB59" s="3299"/>
      <c r="BC59" s="3299"/>
      <c r="BD59" s="3299"/>
      <c r="BE59" s="3299"/>
      <c r="BF59" s="3299"/>
      <c r="BG59" s="3299"/>
      <c r="BH59" s="3299"/>
      <c r="BI59" s="3299"/>
      <c r="BJ59" s="3299"/>
      <c r="BK59" s="3299"/>
      <c r="BL59" s="3299"/>
      <c r="BM59" s="3299"/>
      <c r="BN59" s="3299"/>
      <c r="BO59" s="3299"/>
      <c r="BP59" s="3299"/>
      <c r="BQ59" s="3299"/>
      <c r="BR59" s="3299"/>
      <c r="BS59" s="3299"/>
      <c r="BT59" s="3299"/>
      <c r="BU59" s="3299"/>
      <c r="BV59" s="3299"/>
      <c r="BW59" s="3299"/>
      <c r="BX59" s="3299"/>
      <c r="BY59" s="3299"/>
      <c r="BZ59" s="3299"/>
      <c r="CA59" s="3299"/>
      <c r="CB59" s="3299"/>
      <c r="CC59" s="3299"/>
      <c r="CD59" s="3299"/>
      <c r="CE59" s="3299"/>
      <c r="CF59" s="3299"/>
      <c r="CG59" s="3299"/>
      <c r="CH59" s="3299"/>
      <c r="CI59" s="3296">
        <f t="shared" si="0"/>
        <v>0</v>
      </c>
    </row>
    <row r="60" spans="1:87" s="1755" customFormat="1">
      <c r="A60" s="494" t="s">
        <v>3621</v>
      </c>
      <c r="B60" s="521"/>
      <c r="C60" s="509" t="s">
        <v>2135</v>
      </c>
      <c r="D60" s="3994"/>
      <c r="E60" s="3571"/>
      <c r="F60" s="531">
        <v>0</v>
      </c>
      <c r="G60" s="531"/>
      <c r="H60" s="3992"/>
      <c r="I60" s="3992"/>
      <c r="J60" s="3992"/>
      <c r="K60" s="3992"/>
      <c r="L60" s="3930"/>
      <c r="M60" s="4002"/>
      <c r="N60" s="3930"/>
      <c r="O60" s="4005"/>
      <c r="P60" s="499"/>
      <c r="Q60" s="533"/>
      <c r="R60" s="4028"/>
      <c r="BB60" s="3299"/>
      <c r="BC60" s="3299"/>
      <c r="BD60" s="3299"/>
      <c r="BE60" s="3299"/>
      <c r="BF60" s="3299"/>
      <c r="BG60" s="3299"/>
      <c r="BH60" s="3299"/>
      <c r="BI60" s="3299"/>
      <c r="BJ60" s="3299"/>
      <c r="BK60" s="3299"/>
      <c r="BL60" s="3299"/>
      <c r="BM60" s="3299"/>
      <c r="BN60" s="3299"/>
      <c r="BO60" s="3299"/>
      <c r="BP60" s="3299"/>
      <c r="BQ60" s="3299"/>
      <c r="BR60" s="3299"/>
      <c r="BS60" s="3299"/>
      <c r="BT60" s="3299"/>
      <c r="BU60" s="3299"/>
      <c r="BV60" s="3299"/>
      <c r="BW60" s="3299"/>
      <c r="BX60" s="3299"/>
      <c r="BY60" s="3299"/>
      <c r="BZ60" s="3299"/>
      <c r="CA60" s="3299"/>
      <c r="CB60" s="3299"/>
      <c r="CC60" s="3299"/>
      <c r="CD60" s="3299"/>
      <c r="CE60" s="3299"/>
      <c r="CF60" s="3299"/>
      <c r="CG60" s="3299"/>
      <c r="CH60" s="3299"/>
      <c r="CI60" s="3296">
        <f t="shared" si="0"/>
        <v>0</v>
      </c>
    </row>
    <row r="61" spans="1:87" s="1755" customFormat="1">
      <c r="A61" s="494" t="s">
        <v>3622</v>
      </c>
      <c r="B61" s="521"/>
      <c r="C61" s="509" t="s">
        <v>2136</v>
      </c>
      <c r="D61" s="3994"/>
      <c r="E61" s="3571"/>
      <c r="F61" s="531">
        <v>0</v>
      </c>
      <c r="G61" s="531"/>
      <c r="H61" s="3992"/>
      <c r="I61" s="3992"/>
      <c r="J61" s="3992"/>
      <c r="K61" s="3992"/>
      <c r="L61" s="3930"/>
      <c r="M61" s="4002"/>
      <c r="N61" s="3930"/>
      <c r="O61" s="4005"/>
      <c r="P61" s="499"/>
      <c r="Q61" s="533"/>
      <c r="R61" s="4028"/>
      <c r="BB61" s="3299"/>
      <c r="BC61" s="3299"/>
      <c r="BD61" s="3299"/>
      <c r="BE61" s="3299"/>
      <c r="BF61" s="3299"/>
      <c r="BG61" s="3299"/>
      <c r="BH61" s="3299"/>
      <c r="BI61" s="3299"/>
      <c r="BJ61" s="3299"/>
      <c r="BK61" s="3299"/>
      <c r="BL61" s="3299"/>
      <c r="BM61" s="3299"/>
      <c r="BN61" s="3299"/>
      <c r="BO61" s="3299"/>
      <c r="BP61" s="3299"/>
      <c r="BQ61" s="3299"/>
      <c r="BR61" s="3299"/>
      <c r="BS61" s="3299"/>
      <c r="BT61" s="3299"/>
      <c r="BU61" s="3299"/>
      <c r="BV61" s="3299"/>
      <c r="BW61" s="3299"/>
      <c r="BX61" s="3299"/>
      <c r="BY61" s="3299"/>
      <c r="BZ61" s="3299"/>
      <c r="CA61" s="3299"/>
      <c r="CB61" s="3299"/>
      <c r="CC61" s="3299"/>
      <c r="CD61" s="3299"/>
      <c r="CE61" s="3299"/>
      <c r="CF61" s="3299"/>
      <c r="CG61" s="3299"/>
      <c r="CH61" s="3299"/>
      <c r="CI61" s="3296">
        <f t="shared" si="0"/>
        <v>0</v>
      </c>
    </row>
    <row r="62" spans="1:87" s="1755" customFormat="1">
      <c r="A62" s="494" t="s">
        <v>3623</v>
      </c>
      <c r="B62" s="521"/>
      <c r="C62" s="522" t="s">
        <v>668</v>
      </c>
      <c r="D62" s="3994"/>
      <c r="E62" s="3571"/>
      <c r="F62" s="531">
        <v>0</v>
      </c>
      <c r="G62" s="531"/>
      <c r="H62" s="3992"/>
      <c r="I62" s="3992"/>
      <c r="J62" s="3992"/>
      <c r="K62" s="3992"/>
      <c r="L62" s="3930"/>
      <c r="M62" s="4002"/>
      <c r="N62" s="3930"/>
      <c r="O62" s="4005"/>
      <c r="P62" s="499"/>
      <c r="Q62" s="533"/>
      <c r="R62" s="4028"/>
      <c r="BB62" s="3299"/>
      <c r="BC62" s="3299"/>
      <c r="BD62" s="3299"/>
      <c r="BE62" s="3299"/>
      <c r="BF62" s="3299"/>
      <c r="BG62" s="3299"/>
      <c r="BH62" s="3299"/>
      <c r="BI62" s="3299"/>
      <c r="BJ62" s="3299"/>
      <c r="BK62" s="3299"/>
      <c r="BL62" s="3299"/>
      <c r="BM62" s="3299"/>
      <c r="BN62" s="3299"/>
      <c r="BO62" s="3299"/>
      <c r="BP62" s="3299"/>
      <c r="BQ62" s="3299"/>
      <c r="BR62" s="3299"/>
      <c r="BS62" s="3299"/>
      <c r="BT62" s="3299"/>
      <c r="BU62" s="3299"/>
      <c r="BV62" s="3299"/>
      <c r="BW62" s="3299"/>
      <c r="BX62" s="3299"/>
      <c r="BY62" s="3299"/>
      <c r="BZ62" s="3299"/>
      <c r="CA62" s="3299"/>
      <c r="CB62" s="3299"/>
      <c r="CC62" s="3299"/>
      <c r="CD62" s="3299"/>
      <c r="CE62" s="3299"/>
      <c r="CF62" s="3299"/>
      <c r="CG62" s="3299"/>
      <c r="CH62" s="3299"/>
      <c r="CI62" s="3296">
        <f t="shared" si="0"/>
        <v>0</v>
      </c>
    </row>
    <row r="63" spans="1:87" s="1755" customFormat="1">
      <c r="A63" s="494" t="s">
        <v>3624</v>
      </c>
      <c r="B63" s="521"/>
      <c r="C63" s="509" t="s">
        <v>2140</v>
      </c>
      <c r="D63" s="3994"/>
      <c r="E63" s="3571"/>
      <c r="F63" s="531">
        <v>0</v>
      </c>
      <c r="G63" s="531"/>
      <c r="H63" s="3992"/>
      <c r="I63" s="3992"/>
      <c r="J63" s="3992"/>
      <c r="K63" s="3992"/>
      <c r="L63" s="3930"/>
      <c r="M63" s="4002"/>
      <c r="N63" s="3930"/>
      <c r="O63" s="4005"/>
      <c r="P63" s="499"/>
      <c r="Q63" s="533"/>
      <c r="R63" s="4028"/>
      <c r="BB63" s="3299"/>
      <c r="BC63" s="3299"/>
      <c r="BD63" s="3299"/>
      <c r="BE63" s="3299"/>
      <c r="BF63" s="3299"/>
      <c r="BG63" s="3299"/>
      <c r="BH63" s="3299"/>
      <c r="BI63" s="3299"/>
      <c r="BJ63" s="3299"/>
      <c r="BK63" s="3299"/>
      <c r="BL63" s="3299"/>
      <c r="BM63" s="3299"/>
      <c r="BN63" s="3299"/>
      <c r="BO63" s="3299"/>
      <c r="BP63" s="3299"/>
      <c r="BQ63" s="3299"/>
      <c r="BR63" s="3299"/>
      <c r="BS63" s="3299"/>
      <c r="BT63" s="3299"/>
      <c r="BU63" s="3299"/>
      <c r="BV63" s="3299"/>
      <c r="BW63" s="3299"/>
      <c r="BX63" s="3299"/>
      <c r="BY63" s="3299"/>
      <c r="BZ63" s="3299"/>
      <c r="CA63" s="3299"/>
      <c r="CB63" s="3299"/>
      <c r="CC63" s="3299"/>
      <c r="CD63" s="3299"/>
      <c r="CE63" s="3299"/>
      <c r="CF63" s="3299"/>
      <c r="CG63" s="3299"/>
      <c r="CH63" s="3299"/>
      <c r="CI63" s="3296">
        <f t="shared" si="0"/>
        <v>0</v>
      </c>
    </row>
    <row r="64" spans="1:87" s="1755" customFormat="1">
      <c r="A64" s="494" t="s">
        <v>3625</v>
      </c>
      <c r="B64" s="521"/>
      <c r="C64" s="509" t="s">
        <v>2141</v>
      </c>
      <c r="D64" s="3994"/>
      <c r="E64" s="3571"/>
      <c r="F64" s="531">
        <v>0</v>
      </c>
      <c r="G64" s="531"/>
      <c r="H64" s="3992"/>
      <c r="I64" s="3992"/>
      <c r="J64" s="3992"/>
      <c r="K64" s="3992"/>
      <c r="L64" s="3930"/>
      <c r="M64" s="4002"/>
      <c r="N64" s="3930"/>
      <c r="O64" s="4005"/>
      <c r="P64" s="499"/>
      <c r="Q64" s="533"/>
      <c r="R64" s="4028"/>
      <c r="BB64" s="3299"/>
      <c r="BC64" s="3299"/>
      <c r="BD64" s="3299"/>
      <c r="BE64" s="3299"/>
      <c r="BF64" s="3299"/>
      <c r="BG64" s="3299"/>
      <c r="BH64" s="3299"/>
      <c r="BI64" s="3299"/>
      <c r="BJ64" s="3299"/>
      <c r="BK64" s="3299"/>
      <c r="BL64" s="3299"/>
      <c r="BM64" s="3299"/>
      <c r="BN64" s="3299"/>
      <c r="BO64" s="3299"/>
      <c r="BP64" s="3299"/>
      <c r="BQ64" s="3299"/>
      <c r="BR64" s="3299"/>
      <c r="BS64" s="3299"/>
      <c r="BT64" s="3299"/>
      <c r="BU64" s="3299"/>
      <c r="BV64" s="3299"/>
      <c r="BW64" s="3299"/>
      <c r="BX64" s="3299"/>
      <c r="BY64" s="3299"/>
      <c r="BZ64" s="3299"/>
      <c r="CA64" s="3299"/>
      <c r="CB64" s="3299"/>
      <c r="CC64" s="3299"/>
      <c r="CD64" s="3299"/>
      <c r="CE64" s="3299"/>
      <c r="CF64" s="3299"/>
      <c r="CG64" s="3299"/>
      <c r="CH64" s="3299"/>
      <c r="CI64" s="3296">
        <f t="shared" si="0"/>
        <v>0</v>
      </c>
    </row>
    <row r="65" spans="1:87" s="1755" customFormat="1">
      <c r="A65" s="500" t="s">
        <v>3626</v>
      </c>
      <c r="B65" s="521"/>
      <c r="C65" s="509" t="s">
        <v>617</v>
      </c>
      <c r="D65" s="3994"/>
      <c r="E65" s="3571"/>
      <c r="F65" s="531">
        <v>0</v>
      </c>
      <c r="G65" s="531"/>
      <c r="H65" s="3993"/>
      <c r="I65" s="3993"/>
      <c r="J65" s="3993"/>
      <c r="K65" s="3993"/>
      <c r="L65" s="3931"/>
      <c r="M65" s="4003"/>
      <c r="N65" s="3931"/>
      <c r="O65" s="4006"/>
      <c r="P65" s="499"/>
      <c r="Q65" s="533"/>
      <c r="R65" s="4029"/>
      <c r="BB65" s="3299"/>
      <c r="BC65" s="3299"/>
      <c r="BD65" s="3299"/>
      <c r="BE65" s="3299"/>
      <c r="BF65" s="3299"/>
      <c r="BG65" s="3299"/>
      <c r="BH65" s="3299"/>
      <c r="BI65" s="3299"/>
      <c r="BJ65" s="3299"/>
      <c r="BK65" s="3299"/>
      <c r="BL65" s="3299"/>
      <c r="BM65" s="3299"/>
      <c r="BN65" s="3299"/>
      <c r="BO65" s="3299"/>
      <c r="BP65" s="3299"/>
      <c r="BQ65" s="3299"/>
      <c r="BR65" s="3299"/>
      <c r="BS65" s="3299"/>
      <c r="BT65" s="3299"/>
      <c r="BU65" s="3299"/>
      <c r="BV65" s="3299"/>
      <c r="BW65" s="3299"/>
      <c r="BX65" s="3299"/>
      <c r="BY65" s="3299"/>
      <c r="BZ65" s="3299"/>
      <c r="CA65" s="3299"/>
      <c r="CB65" s="3299"/>
      <c r="CC65" s="3299"/>
      <c r="CD65" s="3299"/>
      <c r="CE65" s="3299"/>
      <c r="CF65" s="3299"/>
      <c r="CG65" s="3299"/>
      <c r="CH65" s="3299"/>
      <c r="CI65" s="3296">
        <f t="shared" si="0"/>
        <v>0</v>
      </c>
    </row>
    <row r="66" spans="1:87" s="1755" customFormat="1">
      <c r="A66" s="503" t="s">
        <v>3493</v>
      </c>
      <c r="B66" s="504"/>
      <c r="C66" s="504" t="s">
        <v>2838</v>
      </c>
      <c r="D66" s="504"/>
      <c r="E66" s="504"/>
      <c r="F66" s="505"/>
      <c r="G66" s="505"/>
      <c r="H66" s="505"/>
      <c r="I66" s="505"/>
      <c r="J66" s="505"/>
      <c r="K66" s="505"/>
      <c r="L66" s="505"/>
      <c r="M66" s="506"/>
      <c r="N66" s="505"/>
      <c r="O66" s="506">
        <f>O67+O79+O91</f>
        <v>424.91944000000001</v>
      </c>
      <c r="P66" s="507"/>
      <c r="Q66" s="535"/>
      <c r="R66" s="506">
        <f>R67+R79+R91</f>
        <v>444.12</v>
      </c>
      <c r="S66" s="3140">
        <f t="shared" ref="S66:S68" si="5">O66-R66</f>
        <v>-19.200559999999996</v>
      </c>
      <c r="BB66" s="3299"/>
      <c r="BC66" s="3299"/>
      <c r="BD66" s="3299"/>
      <c r="BE66" s="3299"/>
      <c r="BF66" s="3299"/>
      <c r="BG66" s="3299"/>
      <c r="BH66" s="3299"/>
      <c r="BI66" s="3299"/>
      <c r="BJ66" s="3299"/>
      <c r="BK66" s="3299"/>
      <c r="BL66" s="3299"/>
      <c r="BM66" s="3299"/>
      <c r="BN66" s="3299"/>
      <c r="BO66" s="3299"/>
      <c r="BP66" s="3299"/>
      <c r="BQ66" s="3299"/>
      <c r="BR66" s="3299"/>
      <c r="BS66" s="3299"/>
      <c r="BT66" s="3299"/>
      <c r="BU66" s="3299"/>
      <c r="BV66" s="3299"/>
      <c r="BW66" s="3299"/>
      <c r="BX66" s="3299"/>
      <c r="BY66" s="3299"/>
      <c r="BZ66" s="3299"/>
      <c r="CA66" s="3299"/>
      <c r="CB66" s="3299"/>
      <c r="CC66" s="3299"/>
      <c r="CD66" s="3299"/>
      <c r="CE66" s="3299"/>
      <c r="CF66" s="3299"/>
      <c r="CG66" s="3299"/>
      <c r="CH66" s="3299"/>
      <c r="CI66" s="3296">
        <f t="shared" si="0"/>
        <v>0</v>
      </c>
    </row>
    <row r="67" spans="1:87" s="1755" customFormat="1">
      <c r="A67" s="524" t="s">
        <v>3495</v>
      </c>
      <c r="B67" s="525"/>
      <c r="C67" s="525" t="s">
        <v>2839</v>
      </c>
      <c r="D67" s="525"/>
      <c r="E67" s="525"/>
      <c r="F67" s="526"/>
      <c r="G67" s="526"/>
      <c r="H67" s="526"/>
      <c r="I67" s="526"/>
      <c r="J67" s="526"/>
      <c r="K67" s="526"/>
      <c r="L67" s="526"/>
      <c r="M67" s="527"/>
      <c r="N67" s="526"/>
      <c r="O67" s="527">
        <f>SUM(O68:O78)</f>
        <v>292.76976000000002</v>
      </c>
      <c r="P67" s="528"/>
      <c r="Q67" s="524"/>
      <c r="R67" s="527">
        <f>SUM(R68:R78)</f>
        <v>292.77</v>
      </c>
      <c r="S67" s="3140">
        <f t="shared" si="5"/>
        <v>-2.3999999996249244E-4</v>
      </c>
      <c r="BB67" s="3299"/>
      <c r="BC67" s="3299"/>
      <c r="BD67" s="3299"/>
      <c r="BE67" s="3299"/>
      <c r="BF67" s="3299"/>
      <c r="BG67" s="3299"/>
      <c r="BH67" s="3299"/>
      <c r="BI67" s="3299"/>
      <c r="BJ67" s="3299"/>
      <c r="BK67" s="3299"/>
      <c r="BL67" s="3299"/>
      <c r="BM67" s="3299"/>
      <c r="BN67" s="3299"/>
      <c r="BO67" s="3299"/>
      <c r="BP67" s="3299"/>
      <c r="BQ67" s="3299"/>
      <c r="BR67" s="3299"/>
      <c r="BS67" s="3299"/>
      <c r="BT67" s="3299"/>
      <c r="BU67" s="3299"/>
      <c r="BV67" s="3299"/>
      <c r="BW67" s="3299"/>
      <c r="BX67" s="3299"/>
      <c r="BY67" s="3299"/>
      <c r="BZ67" s="3299"/>
      <c r="CA67" s="3299"/>
      <c r="CB67" s="3299"/>
      <c r="CC67" s="3299"/>
      <c r="CD67" s="3299"/>
      <c r="CE67" s="3299"/>
      <c r="CF67" s="3299"/>
      <c r="CG67" s="3299"/>
      <c r="CH67" s="3299"/>
      <c r="CI67" s="3296">
        <f t="shared" si="0"/>
        <v>0</v>
      </c>
    </row>
    <row r="68" spans="1:87" s="1755" customFormat="1" ht="51.75">
      <c r="A68" s="494" t="s">
        <v>3627</v>
      </c>
      <c r="B68" s="521"/>
      <c r="C68" s="509" t="s">
        <v>2129</v>
      </c>
      <c r="D68" s="3994" t="s">
        <v>3776</v>
      </c>
      <c r="E68" s="3571"/>
      <c r="F68" s="523">
        <v>12</v>
      </c>
      <c r="G68" s="523">
        <v>0</v>
      </c>
      <c r="H68" s="3995">
        <v>274.95</v>
      </c>
      <c r="I68" s="3995">
        <v>153.25</v>
      </c>
      <c r="J68" s="3995">
        <v>110</v>
      </c>
      <c r="K68" s="3995"/>
      <c r="L68" s="3929">
        <v>318228</v>
      </c>
      <c r="M68" s="4001">
        <f>L68/100000</f>
        <v>3.18228</v>
      </c>
      <c r="N68" s="3929">
        <v>92</v>
      </c>
      <c r="O68" s="4004">
        <f>M68*N68</f>
        <v>292.76976000000002</v>
      </c>
      <c r="P68" s="683"/>
      <c r="Q68" s="2940" t="s">
        <v>5823</v>
      </c>
      <c r="R68" s="4036">
        <v>292.77</v>
      </c>
      <c r="S68" s="3140">
        <f t="shared" si="5"/>
        <v>-2.3999999996249244E-4</v>
      </c>
      <c r="BB68" s="3299">
        <v>15.07</v>
      </c>
      <c r="BC68" s="3299"/>
      <c r="BD68" s="3299"/>
      <c r="BE68" s="3299"/>
      <c r="BF68" s="3299"/>
      <c r="BG68" s="3299"/>
      <c r="BH68" s="3299"/>
      <c r="BI68" s="3299"/>
      <c r="BJ68" s="3299"/>
      <c r="BK68" s="3299"/>
      <c r="BL68" s="3299"/>
      <c r="BM68" s="3299"/>
      <c r="BN68" s="3299"/>
      <c r="BO68" s="3299"/>
      <c r="BP68" s="3299"/>
      <c r="BQ68" s="3299"/>
      <c r="BR68" s="3299"/>
      <c r="BS68" s="3299"/>
      <c r="BT68" s="3299"/>
      <c r="BU68" s="3299"/>
      <c r="BV68" s="3299"/>
      <c r="BW68" s="3299"/>
      <c r="BX68" s="3299"/>
      <c r="BY68" s="3299"/>
      <c r="BZ68" s="3299"/>
      <c r="CA68" s="3299"/>
      <c r="CB68" s="3299"/>
      <c r="CC68" s="3299"/>
      <c r="CD68" s="3299"/>
      <c r="CE68" s="3299"/>
      <c r="CF68" s="3299"/>
      <c r="CG68" s="3299"/>
      <c r="CH68" s="3299"/>
      <c r="CI68" s="3296">
        <f t="shared" si="0"/>
        <v>15.07</v>
      </c>
    </row>
    <row r="69" spans="1:87" s="1755" customFormat="1" ht="51.75">
      <c r="A69" s="494" t="s">
        <v>3628</v>
      </c>
      <c r="B69" s="521"/>
      <c r="C69" s="509" t="s">
        <v>2835</v>
      </c>
      <c r="D69" s="3994"/>
      <c r="E69" s="3571"/>
      <c r="F69" s="523">
        <v>24</v>
      </c>
      <c r="G69" s="523">
        <v>18</v>
      </c>
      <c r="H69" s="3996"/>
      <c r="I69" s="3996"/>
      <c r="J69" s="3996"/>
      <c r="K69" s="3996"/>
      <c r="L69" s="3930"/>
      <c r="M69" s="4002"/>
      <c r="N69" s="3930"/>
      <c r="O69" s="4005"/>
      <c r="P69" s="499"/>
      <c r="Q69" s="2940" t="s">
        <v>5824</v>
      </c>
      <c r="R69" s="4037"/>
      <c r="BB69" s="3299">
        <v>20.99</v>
      </c>
      <c r="BC69" s="3299">
        <f>+(1*51683*12+1*40000*12)*105%/100000</f>
        <v>11.552058000000001</v>
      </c>
      <c r="BD69" s="3299">
        <f>+(1*51682*12+1*40000*12)*105%/100000</f>
        <v>11.551931999999999</v>
      </c>
      <c r="BE69" s="3299">
        <f>+(1*51682*12+1*40000*12)*105%/100000</f>
        <v>11.551931999999999</v>
      </c>
      <c r="BF69" s="3299">
        <f>+(1*51682*12+1*40000*12)*105%/100000</f>
        <v>11.551931999999999</v>
      </c>
      <c r="BG69" s="3299">
        <f>+(1*51682*12+1*40000*12)*105%/100000</f>
        <v>11.551931999999999</v>
      </c>
      <c r="BH69" s="3299">
        <f>+(1*40000*12)*105%/100000</f>
        <v>5.04</v>
      </c>
      <c r="BI69" s="3299">
        <v>0</v>
      </c>
      <c r="BJ69" s="3299">
        <f>+(1*51682*12+1*40000*12)*105%/100000</f>
        <v>11.551931999999999</v>
      </c>
      <c r="BK69" s="3299">
        <f>+(1*51682*12+1*40000*12)*105%/100000</f>
        <v>11.551931999999999</v>
      </c>
      <c r="BL69" s="3299">
        <f>+(1*51682*12+1*40000*12)*105%/100000</f>
        <v>11.551931999999999</v>
      </c>
      <c r="BM69" s="3299">
        <f>+(1*51682*12+1*40000*12)*105%/100000</f>
        <v>11.551931999999999</v>
      </c>
      <c r="BN69" s="3299">
        <f>+(1*51682*12)*105%/100000</f>
        <v>6.5119320000000007</v>
      </c>
      <c r="BO69" s="3299"/>
      <c r="BP69" s="3299"/>
      <c r="BQ69" s="3299"/>
      <c r="BR69" s="3299"/>
      <c r="BS69" s="3299"/>
      <c r="BT69" s="3299"/>
      <c r="BU69" s="3299"/>
      <c r="BV69" s="3299"/>
      <c r="BW69" s="3299"/>
      <c r="BX69" s="3299"/>
      <c r="BY69" s="3299"/>
      <c r="BZ69" s="3299"/>
      <c r="CA69" s="3299"/>
      <c r="CB69" s="3299"/>
      <c r="CC69" s="3299"/>
      <c r="CD69" s="3299"/>
      <c r="CE69" s="3299"/>
      <c r="CF69" s="3299"/>
      <c r="CG69" s="3299"/>
      <c r="CH69" s="3299"/>
      <c r="CI69" s="3296">
        <f t="shared" si="0"/>
        <v>136.50944599999997</v>
      </c>
    </row>
    <row r="70" spans="1:87" s="1755" customFormat="1" ht="51.75">
      <c r="A70" s="494" t="s">
        <v>3629</v>
      </c>
      <c r="B70" s="521"/>
      <c r="C70" s="509" t="s">
        <v>2131</v>
      </c>
      <c r="D70" s="3994"/>
      <c r="E70" s="3571"/>
      <c r="F70" s="523">
        <v>12</v>
      </c>
      <c r="G70" s="523">
        <v>12</v>
      </c>
      <c r="H70" s="3996"/>
      <c r="I70" s="3996"/>
      <c r="J70" s="3996"/>
      <c r="K70" s="3996"/>
      <c r="L70" s="3930"/>
      <c r="M70" s="4002"/>
      <c r="N70" s="3930"/>
      <c r="O70" s="4005"/>
      <c r="P70" s="499"/>
      <c r="Q70" s="2940" t="s">
        <v>5824</v>
      </c>
      <c r="R70" s="4037"/>
      <c r="BB70" s="3299">
        <v>6.08</v>
      </c>
      <c r="BC70" s="3299">
        <v>0</v>
      </c>
      <c r="BD70" s="3299">
        <f>+(1*14245*12)*105%/100000</f>
        <v>1.79487</v>
      </c>
      <c r="BE70" s="3299">
        <f>+(1*14245*12)*105%/100000</f>
        <v>1.79487</v>
      </c>
      <c r="BF70" s="3299">
        <f>+(1*14245*12)*105%/100000</f>
        <v>1.79487</v>
      </c>
      <c r="BG70" s="3299">
        <f>+(1*14245*12)*105%/100000</f>
        <v>1.79487</v>
      </c>
      <c r="BH70" s="3299">
        <f>+(1*12000*12)*105%/100000</f>
        <v>1.512</v>
      </c>
      <c r="BI70" s="3299">
        <v>0</v>
      </c>
      <c r="BJ70" s="3299">
        <f>+(1*14245*12)*105%/100000</f>
        <v>1.79487</v>
      </c>
      <c r="BK70" s="3299">
        <f>+(1*14245*12)*105%/100000</f>
        <v>1.79487</v>
      </c>
      <c r="BL70" s="3299">
        <f>+(1*14245*12)*105%/100000</f>
        <v>1.79487</v>
      </c>
      <c r="BM70" s="3299">
        <f>+(1*14245*12)*105%/100000</f>
        <v>1.79487</v>
      </c>
      <c r="BN70" s="3299">
        <f>+(1*14245*12)*105%/100000</f>
        <v>1.79487</v>
      </c>
      <c r="BO70" s="3299"/>
      <c r="BP70" s="3299"/>
      <c r="BQ70" s="3299"/>
      <c r="BR70" s="3299"/>
      <c r="BS70" s="3299"/>
      <c r="BT70" s="3299"/>
      <c r="BU70" s="3299"/>
      <c r="BV70" s="3299"/>
      <c r="BW70" s="3299"/>
      <c r="BX70" s="3299"/>
      <c r="BY70" s="3299"/>
      <c r="BZ70" s="3299"/>
      <c r="CA70" s="3299"/>
      <c r="CB70" s="3299"/>
      <c r="CC70" s="3299"/>
      <c r="CD70" s="3299"/>
      <c r="CE70" s="3299"/>
      <c r="CF70" s="3299"/>
      <c r="CG70" s="3299"/>
      <c r="CH70" s="3299"/>
      <c r="CI70" s="3296">
        <f t="shared" si="0"/>
        <v>23.745829999999998</v>
      </c>
    </row>
    <row r="71" spans="1:87" s="1755" customFormat="1" ht="39">
      <c r="A71" s="494" t="s">
        <v>3630</v>
      </c>
      <c r="B71" s="521"/>
      <c r="C71" s="509" t="s">
        <v>2132</v>
      </c>
      <c r="D71" s="3994"/>
      <c r="E71" s="3571"/>
      <c r="F71" s="510">
        <v>20</v>
      </c>
      <c r="G71" s="510">
        <v>19</v>
      </c>
      <c r="H71" s="3996"/>
      <c r="I71" s="3996"/>
      <c r="J71" s="3996"/>
      <c r="K71" s="3996"/>
      <c r="L71" s="3930"/>
      <c r="M71" s="4002"/>
      <c r="N71" s="3930"/>
      <c r="O71" s="4005"/>
      <c r="P71" s="499"/>
      <c r="Q71" s="2938" t="s">
        <v>5825</v>
      </c>
      <c r="R71" s="4037"/>
      <c r="BB71" s="3299">
        <v>7.51</v>
      </c>
      <c r="BC71" s="3299">
        <f>+(1*14245*12)*105%/100000</f>
        <v>1.79487</v>
      </c>
      <c r="BD71" s="3299">
        <f>+(1*25161*12+1*14245*12)*105%/100000</f>
        <v>4.9651560000000003</v>
      </c>
      <c r="BE71" s="3299">
        <f>+(1*13991*12+1*14245*12)*105%/100000</f>
        <v>3.5577360000000002</v>
      </c>
      <c r="BF71" s="3299">
        <f>+(1*22701*12+1*14245*12)*105%/100000</f>
        <v>4.6551960000000001</v>
      </c>
      <c r="BG71" s="3299">
        <f>+(1*14245*12)*105%/100000</f>
        <v>1.79487</v>
      </c>
      <c r="BH71" s="3299">
        <f>+(1*14245*12)*105%/100000</f>
        <v>1.79487</v>
      </c>
      <c r="BI71" s="3299">
        <v>0</v>
      </c>
      <c r="BJ71" s="3299">
        <f>+(1*24006*12+1*14245*12)*105%/100000</f>
        <v>4.8196260000000004</v>
      </c>
      <c r="BK71" s="3299">
        <f>+(1*24699*12+1*14245*12)*105%/100000</f>
        <v>4.9069440000000002</v>
      </c>
      <c r="BL71" s="3299">
        <f>+(1*14245*12)*105%/100000</f>
        <v>1.79487</v>
      </c>
      <c r="BM71" s="3299">
        <f>+(1*23437*12+1*14245*12)*105%/100000</f>
        <v>4.7479320000000005</v>
      </c>
      <c r="BN71" s="3299">
        <f>+(1*20495*12+1*14245*12)*105%/100000</f>
        <v>4.3772399999999996</v>
      </c>
      <c r="BO71" s="3299"/>
      <c r="BP71" s="3299"/>
      <c r="BQ71" s="3299"/>
      <c r="BR71" s="3299"/>
      <c r="BS71" s="3299"/>
      <c r="BT71" s="3299"/>
      <c r="BU71" s="3299"/>
      <c r="BV71" s="3299"/>
      <c r="BW71" s="3299"/>
      <c r="BX71" s="3299"/>
      <c r="BY71" s="3299"/>
      <c r="BZ71" s="3299"/>
      <c r="CA71" s="3299"/>
      <c r="CB71" s="3299"/>
      <c r="CC71" s="3299"/>
      <c r="CD71" s="3299"/>
      <c r="CE71" s="3299"/>
      <c r="CF71" s="3299"/>
      <c r="CG71" s="3299"/>
      <c r="CH71" s="3299"/>
      <c r="CI71" s="3296">
        <f t="shared" si="0"/>
        <v>46.71931</v>
      </c>
    </row>
    <row r="72" spans="1:87" s="1755" customFormat="1">
      <c r="A72" s="494" t="s">
        <v>3631</v>
      </c>
      <c r="B72" s="536"/>
      <c r="C72" s="522" t="s">
        <v>2133</v>
      </c>
      <c r="D72" s="3994"/>
      <c r="E72" s="3571"/>
      <c r="F72" s="510"/>
      <c r="G72" s="510"/>
      <c r="H72" s="3996"/>
      <c r="I72" s="3996"/>
      <c r="J72" s="3996"/>
      <c r="K72" s="3996"/>
      <c r="L72" s="3930"/>
      <c r="M72" s="4002"/>
      <c r="N72" s="3930"/>
      <c r="O72" s="4005"/>
      <c r="P72" s="499"/>
      <c r="Q72" s="511"/>
      <c r="R72" s="4037"/>
      <c r="BB72" s="3299"/>
      <c r="BC72" s="3299"/>
      <c r="BD72" s="3299"/>
      <c r="BE72" s="3299"/>
      <c r="BF72" s="3299"/>
      <c r="BG72" s="3299"/>
      <c r="BH72" s="3299"/>
      <c r="BI72" s="3299"/>
      <c r="BJ72" s="3299"/>
      <c r="BK72" s="3299"/>
      <c r="BL72" s="3299"/>
      <c r="BM72" s="3299"/>
      <c r="BN72" s="3299"/>
      <c r="BO72" s="3299"/>
      <c r="BP72" s="3299"/>
      <c r="BQ72" s="3299"/>
      <c r="BR72" s="3299"/>
      <c r="BS72" s="3299"/>
      <c r="BT72" s="3299"/>
      <c r="BU72" s="3299"/>
      <c r="BV72" s="3299"/>
      <c r="BW72" s="3299"/>
      <c r="BX72" s="3299"/>
      <c r="BY72" s="3299"/>
      <c r="BZ72" s="3299"/>
      <c r="CA72" s="3299"/>
      <c r="CB72" s="3299"/>
      <c r="CC72" s="3299"/>
      <c r="CD72" s="3299"/>
      <c r="CE72" s="3299"/>
      <c r="CF72" s="3299"/>
      <c r="CG72" s="3299"/>
      <c r="CH72" s="3299"/>
      <c r="CI72" s="3296">
        <f t="shared" ref="CI72:CI135" si="6">SUM(BB72:CH72)</f>
        <v>0</v>
      </c>
    </row>
    <row r="73" spans="1:87" s="1755" customFormat="1">
      <c r="A73" s="494" t="s">
        <v>3632</v>
      </c>
      <c r="B73" s="536"/>
      <c r="C73" s="509" t="s">
        <v>2135</v>
      </c>
      <c r="D73" s="3994"/>
      <c r="E73" s="3571"/>
      <c r="F73" s="510">
        <v>0</v>
      </c>
      <c r="G73" s="510"/>
      <c r="H73" s="3996"/>
      <c r="I73" s="3996"/>
      <c r="J73" s="3996"/>
      <c r="K73" s="3996"/>
      <c r="L73" s="3930"/>
      <c r="M73" s="4002"/>
      <c r="N73" s="3930"/>
      <c r="O73" s="4005"/>
      <c r="P73" s="499"/>
      <c r="Q73" s="511"/>
      <c r="R73" s="4037"/>
      <c r="BB73" s="3299"/>
      <c r="BC73" s="3299"/>
      <c r="BD73" s="3299"/>
      <c r="BE73" s="3299"/>
      <c r="BF73" s="3299"/>
      <c r="BG73" s="3299"/>
      <c r="BH73" s="3299"/>
      <c r="BI73" s="3299"/>
      <c r="BJ73" s="3299"/>
      <c r="BK73" s="3299"/>
      <c r="BL73" s="3299"/>
      <c r="BM73" s="3299"/>
      <c r="BN73" s="3299"/>
      <c r="BO73" s="3299"/>
      <c r="BP73" s="3299"/>
      <c r="BQ73" s="3299"/>
      <c r="BR73" s="3299"/>
      <c r="BS73" s="3299"/>
      <c r="BT73" s="3299"/>
      <c r="BU73" s="3299"/>
      <c r="BV73" s="3299"/>
      <c r="BW73" s="3299"/>
      <c r="BX73" s="3299"/>
      <c r="BY73" s="3299"/>
      <c r="BZ73" s="3299"/>
      <c r="CA73" s="3299"/>
      <c r="CB73" s="3299"/>
      <c r="CC73" s="3299"/>
      <c r="CD73" s="3299"/>
      <c r="CE73" s="3299"/>
      <c r="CF73" s="3299"/>
      <c r="CG73" s="3299"/>
      <c r="CH73" s="3299"/>
      <c r="CI73" s="3296">
        <f t="shared" si="6"/>
        <v>0</v>
      </c>
    </row>
    <row r="74" spans="1:87" s="1755" customFormat="1" ht="22.5" customHeight="1">
      <c r="A74" s="494" t="s">
        <v>3633</v>
      </c>
      <c r="B74" s="536"/>
      <c r="C74" s="509" t="s">
        <v>2136</v>
      </c>
      <c r="D74" s="3994"/>
      <c r="E74" s="3571"/>
      <c r="F74" s="510">
        <v>24</v>
      </c>
      <c r="G74" s="510">
        <v>24</v>
      </c>
      <c r="H74" s="3996"/>
      <c r="I74" s="3996"/>
      <c r="J74" s="3996"/>
      <c r="K74" s="3996"/>
      <c r="L74" s="3930"/>
      <c r="M74" s="4002"/>
      <c r="N74" s="3930"/>
      <c r="O74" s="4005"/>
      <c r="P74" s="499"/>
      <c r="Q74" s="2938" t="s">
        <v>5824</v>
      </c>
      <c r="R74" s="4037"/>
      <c r="BB74" s="3299">
        <v>4.9800000000000004</v>
      </c>
      <c r="BC74" s="3299">
        <f>+(1*25201*12+1*11000*12)*105%/100000</f>
        <v>4.5613260000000002</v>
      </c>
      <c r="BD74" s="3299">
        <f>+(1*25170*12+1*23426*12)*105%/100000</f>
        <v>6.1230959999999994</v>
      </c>
      <c r="BE74" s="3299">
        <f>+(1*24179*12+1*24179*12)*105%/100000</f>
        <v>6.0931080000000009</v>
      </c>
      <c r="BF74" s="3299">
        <f>+(1*25223*12+1*23725*12)*105%/100000</f>
        <v>6.1674480000000003</v>
      </c>
      <c r="BG74" s="3299">
        <f>+(1*16572*12+1*11000*12)*105%/100000</f>
        <v>3.474072</v>
      </c>
      <c r="BH74" s="3299">
        <f>+(1*25265*12+1*23455*12)*105%/100000</f>
        <v>6.1387200000000002</v>
      </c>
      <c r="BI74" s="3299">
        <f>+(1*25515*12)*105%/100000</f>
        <v>3.21489</v>
      </c>
      <c r="BJ74" s="3299">
        <f>+(1*25155*12+1*23433*12)*105%/100000</f>
        <v>6.1220880000000006</v>
      </c>
      <c r="BK74" s="3299">
        <f>+(1*24441*12+1*18967*12)*105%/100000</f>
        <v>5.4694080000000005</v>
      </c>
      <c r="BL74" s="3299">
        <f>+(1*25200*12+1*23425*12)*105%/100000</f>
        <v>6.1267500000000004</v>
      </c>
      <c r="BM74" s="3299">
        <f>+(1*25482*12+1*23426*12)*105%/100000</f>
        <v>6.1624080000000001</v>
      </c>
      <c r="BN74" s="3299">
        <f>+(1*24905*12+1*23426*12)*105%/100000</f>
        <v>6.0897059999999996</v>
      </c>
      <c r="BO74" s="3299"/>
      <c r="BP74" s="3299"/>
      <c r="BQ74" s="3299"/>
      <c r="BR74" s="3299"/>
      <c r="BS74" s="3299"/>
      <c r="BT74" s="3299"/>
      <c r="BU74" s="3299"/>
      <c r="BV74" s="3299"/>
      <c r="BW74" s="3299"/>
      <c r="BX74" s="3299"/>
      <c r="BY74" s="3299"/>
      <c r="BZ74" s="3299"/>
      <c r="CA74" s="3299"/>
      <c r="CB74" s="3299"/>
      <c r="CC74" s="3299"/>
      <c r="CD74" s="3299"/>
      <c r="CE74" s="3299"/>
      <c r="CF74" s="3299"/>
      <c r="CG74" s="3299"/>
      <c r="CH74" s="3299"/>
      <c r="CI74" s="3296">
        <f t="shared" si="6"/>
        <v>70.723019999999991</v>
      </c>
    </row>
    <row r="75" spans="1:87" s="1755" customFormat="1">
      <c r="A75" s="494" t="s">
        <v>3634</v>
      </c>
      <c r="B75" s="536"/>
      <c r="C75" s="522" t="s">
        <v>668</v>
      </c>
      <c r="D75" s="3994"/>
      <c r="E75" s="3571"/>
      <c r="F75" s="510">
        <v>0</v>
      </c>
      <c r="G75" s="510"/>
      <c r="H75" s="3996"/>
      <c r="I75" s="3996"/>
      <c r="J75" s="3996"/>
      <c r="K75" s="3996"/>
      <c r="L75" s="3930"/>
      <c r="M75" s="4002"/>
      <c r="N75" s="3930"/>
      <c r="O75" s="4005"/>
      <c r="P75" s="499"/>
      <c r="Q75" s="511"/>
      <c r="R75" s="4037"/>
      <c r="BB75" s="3299"/>
      <c r="BC75" s="3299"/>
      <c r="BD75" s="3299"/>
      <c r="BE75" s="3299"/>
      <c r="BF75" s="3299"/>
      <c r="BG75" s="3299"/>
      <c r="BH75" s="3299"/>
      <c r="BI75" s="3299"/>
      <c r="BJ75" s="3299"/>
      <c r="BK75" s="3299"/>
      <c r="BL75" s="3299"/>
      <c r="BM75" s="3299"/>
      <c r="BN75" s="3299"/>
      <c r="BO75" s="3299"/>
      <c r="BP75" s="3299"/>
      <c r="BQ75" s="3299"/>
      <c r="BR75" s="3299"/>
      <c r="BS75" s="3299"/>
      <c r="BT75" s="3299"/>
      <c r="BU75" s="3299"/>
      <c r="BV75" s="3299"/>
      <c r="BW75" s="3299"/>
      <c r="BX75" s="3299"/>
      <c r="BY75" s="3299"/>
      <c r="BZ75" s="3299"/>
      <c r="CA75" s="3299"/>
      <c r="CB75" s="3299"/>
      <c r="CC75" s="3299"/>
      <c r="CD75" s="3299"/>
      <c r="CE75" s="3299"/>
      <c r="CF75" s="3299"/>
      <c r="CG75" s="3299"/>
      <c r="CH75" s="3299"/>
      <c r="CI75" s="3296">
        <f t="shared" si="6"/>
        <v>0</v>
      </c>
    </row>
    <row r="76" spans="1:87" s="1755" customFormat="1">
      <c r="A76" s="494" t="s">
        <v>3635</v>
      </c>
      <c r="B76" s="536"/>
      <c r="C76" s="509" t="s">
        <v>2140</v>
      </c>
      <c r="D76" s="3994"/>
      <c r="E76" s="3571"/>
      <c r="F76" s="510">
        <v>0</v>
      </c>
      <c r="G76" s="510"/>
      <c r="H76" s="3996"/>
      <c r="I76" s="3996"/>
      <c r="J76" s="3996"/>
      <c r="K76" s="3996"/>
      <c r="L76" s="3930"/>
      <c r="M76" s="4002"/>
      <c r="N76" s="3930"/>
      <c r="O76" s="4005"/>
      <c r="P76" s="499"/>
      <c r="Q76" s="511"/>
      <c r="R76" s="4037"/>
      <c r="BB76" s="3299"/>
      <c r="BC76" s="3299"/>
      <c r="BD76" s="3299"/>
      <c r="BE76" s="3299"/>
      <c r="BF76" s="3299"/>
      <c r="BG76" s="3299"/>
      <c r="BH76" s="3299"/>
      <c r="BI76" s="3299"/>
      <c r="BJ76" s="3299"/>
      <c r="BK76" s="3299"/>
      <c r="BL76" s="3299"/>
      <c r="BM76" s="3299"/>
      <c r="BN76" s="3299"/>
      <c r="BO76" s="3299"/>
      <c r="BP76" s="3299"/>
      <c r="BQ76" s="3299"/>
      <c r="BR76" s="3299"/>
      <c r="BS76" s="3299"/>
      <c r="BT76" s="3299"/>
      <c r="BU76" s="3299"/>
      <c r="BV76" s="3299"/>
      <c r="BW76" s="3299"/>
      <c r="BX76" s="3299"/>
      <c r="BY76" s="3299"/>
      <c r="BZ76" s="3299"/>
      <c r="CA76" s="3299"/>
      <c r="CB76" s="3299"/>
      <c r="CC76" s="3299"/>
      <c r="CD76" s="3299"/>
      <c r="CE76" s="3299"/>
      <c r="CF76" s="3299"/>
      <c r="CG76" s="3299"/>
      <c r="CH76" s="3299"/>
      <c r="CI76" s="3296">
        <f t="shared" si="6"/>
        <v>0</v>
      </c>
    </row>
    <row r="77" spans="1:87" s="1755" customFormat="1">
      <c r="A77" s="494" t="s">
        <v>3636</v>
      </c>
      <c r="B77" s="536"/>
      <c r="C77" s="509" t="s">
        <v>2141</v>
      </c>
      <c r="D77" s="3994"/>
      <c r="E77" s="3571"/>
      <c r="F77" s="510">
        <v>0</v>
      </c>
      <c r="G77" s="510"/>
      <c r="H77" s="3996"/>
      <c r="I77" s="3996"/>
      <c r="J77" s="3996"/>
      <c r="K77" s="3996"/>
      <c r="L77" s="3930"/>
      <c r="M77" s="4002"/>
      <c r="N77" s="3930"/>
      <c r="O77" s="4005"/>
      <c r="P77" s="499"/>
      <c r="Q77" s="511"/>
      <c r="R77" s="4037"/>
      <c r="BB77" s="3299"/>
      <c r="BC77" s="3299"/>
      <c r="BD77" s="3299"/>
      <c r="BE77" s="3299"/>
      <c r="BF77" s="3299"/>
      <c r="BG77" s="3299"/>
      <c r="BH77" s="3299"/>
      <c r="BI77" s="3299"/>
      <c r="BJ77" s="3299"/>
      <c r="BK77" s="3299"/>
      <c r="BL77" s="3299"/>
      <c r="BM77" s="3299"/>
      <c r="BN77" s="3299"/>
      <c r="BO77" s="3299"/>
      <c r="BP77" s="3299"/>
      <c r="BQ77" s="3299"/>
      <c r="BR77" s="3299"/>
      <c r="BS77" s="3299"/>
      <c r="BT77" s="3299"/>
      <c r="BU77" s="3299"/>
      <c r="BV77" s="3299"/>
      <c r="BW77" s="3299"/>
      <c r="BX77" s="3299"/>
      <c r="BY77" s="3299"/>
      <c r="BZ77" s="3299"/>
      <c r="CA77" s="3299"/>
      <c r="CB77" s="3299"/>
      <c r="CC77" s="3299"/>
      <c r="CD77" s="3299"/>
      <c r="CE77" s="3299"/>
      <c r="CF77" s="3299"/>
      <c r="CG77" s="3299"/>
      <c r="CH77" s="3299"/>
      <c r="CI77" s="3296">
        <f t="shared" si="6"/>
        <v>0</v>
      </c>
    </row>
    <row r="78" spans="1:87" s="1755" customFormat="1">
      <c r="A78" s="500" t="s">
        <v>3637</v>
      </c>
      <c r="B78" s="536"/>
      <c r="C78" s="509" t="s">
        <v>617</v>
      </c>
      <c r="D78" s="3994"/>
      <c r="E78" s="3571"/>
      <c r="F78" s="510">
        <v>0</v>
      </c>
      <c r="G78" s="510"/>
      <c r="H78" s="3997"/>
      <c r="I78" s="3997"/>
      <c r="J78" s="3997"/>
      <c r="K78" s="3997"/>
      <c r="L78" s="3931"/>
      <c r="M78" s="4003"/>
      <c r="N78" s="3931"/>
      <c r="O78" s="4006"/>
      <c r="P78" s="499"/>
      <c r="Q78" s="511"/>
      <c r="R78" s="4038"/>
      <c r="BB78" s="3299"/>
      <c r="BC78" s="3299"/>
      <c r="BD78" s="3299"/>
      <c r="BE78" s="3299"/>
      <c r="BF78" s="3299"/>
      <c r="BG78" s="3299"/>
      <c r="BH78" s="3299"/>
      <c r="BI78" s="3299"/>
      <c r="BJ78" s="3299"/>
      <c r="BK78" s="3299"/>
      <c r="BL78" s="3299"/>
      <c r="BM78" s="3299"/>
      <c r="BN78" s="3299"/>
      <c r="BO78" s="3299"/>
      <c r="BP78" s="3299"/>
      <c r="BQ78" s="3299"/>
      <c r="BR78" s="3299"/>
      <c r="BS78" s="3299"/>
      <c r="BT78" s="3299"/>
      <c r="BU78" s="3299"/>
      <c r="BV78" s="3299"/>
      <c r="BW78" s="3299"/>
      <c r="BX78" s="3299"/>
      <c r="BY78" s="3299"/>
      <c r="BZ78" s="3299"/>
      <c r="CA78" s="3299"/>
      <c r="CB78" s="3299"/>
      <c r="CC78" s="3299"/>
      <c r="CD78" s="3299"/>
      <c r="CE78" s="3299"/>
      <c r="CF78" s="3299"/>
      <c r="CG78" s="3299"/>
      <c r="CH78" s="3299"/>
      <c r="CI78" s="3296">
        <f t="shared" si="6"/>
        <v>0</v>
      </c>
    </row>
    <row r="79" spans="1:87" s="1755" customFormat="1">
      <c r="A79" s="524" t="s">
        <v>3497</v>
      </c>
      <c r="B79" s="525"/>
      <c r="C79" s="525" t="s">
        <v>2840</v>
      </c>
      <c r="D79" s="525"/>
      <c r="E79" s="525"/>
      <c r="F79" s="526"/>
      <c r="G79" s="526"/>
      <c r="H79" s="526"/>
      <c r="I79" s="526"/>
      <c r="J79" s="526"/>
      <c r="K79" s="526"/>
      <c r="L79" s="526"/>
      <c r="M79" s="527"/>
      <c r="N79" s="526"/>
      <c r="O79" s="527">
        <f>SUM(O80:O90)</f>
        <v>125.25968</v>
      </c>
      <c r="P79" s="528"/>
      <c r="Q79" s="524"/>
      <c r="R79" s="527">
        <f>SUM(R80:R90)</f>
        <v>144.46</v>
      </c>
      <c r="S79" s="3140">
        <f t="shared" ref="S79:S80" si="7">O79-R79</f>
        <v>-19.200320000000005</v>
      </c>
      <c r="BB79" s="3299"/>
      <c r="BC79" s="3299"/>
      <c r="BD79" s="3299"/>
      <c r="BE79" s="3299"/>
      <c r="BF79" s="3299"/>
      <c r="BG79" s="3299"/>
      <c r="BH79" s="3299"/>
      <c r="BI79" s="3299"/>
      <c r="BJ79" s="3299"/>
      <c r="BK79" s="3299"/>
      <c r="BL79" s="3299"/>
      <c r="BM79" s="3299"/>
      <c r="BN79" s="3299"/>
      <c r="BO79" s="3299"/>
      <c r="BP79" s="3299"/>
      <c r="BQ79" s="3299"/>
      <c r="BR79" s="3299"/>
      <c r="BS79" s="3299"/>
      <c r="BT79" s="3299"/>
      <c r="BU79" s="3299"/>
      <c r="BV79" s="3299"/>
      <c r="BW79" s="3299"/>
      <c r="BX79" s="3299"/>
      <c r="BY79" s="3299"/>
      <c r="BZ79" s="3299"/>
      <c r="CA79" s="3299"/>
      <c r="CB79" s="3299"/>
      <c r="CC79" s="3299"/>
      <c r="CD79" s="3299"/>
      <c r="CE79" s="3299"/>
      <c r="CF79" s="3299"/>
      <c r="CG79" s="3299"/>
      <c r="CH79" s="3299"/>
      <c r="CI79" s="3296">
        <f t="shared" si="6"/>
        <v>0</v>
      </c>
    </row>
    <row r="80" spans="1:87" s="1755" customFormat="1" ht="27.75" customHeight="1">
      <c r="A80" s="3147" t="s">
        <v>3638</v>
      </c>
      <c r="B80" s="521"/>
      <c r="C80" s="3301" t="s">
        <v>5988</v>
      </c>
      <c r="D80" s="3994" t="s">
        <v>4644</v>
      </c>
      <c r="E80" s="3571"/>
      <c r="F80" s="510">
        <v>0</v>
      </c>
      <c r="G80" s="510"/>
      <c r="H80" s="3991">
        <v>122.07</v>
      </c>
      <c r="I80" s="3991">
        <v>72.59</v>
      </c>
      <c r="J80" s="3991">
        <v>40</v>
      </c>
      <c r="K80" s="3991"/>
      <c r="L80" s="3929">
        <v>240884</v>
      </c>
      <c r="M80" s="4001">
        <f>L80/100000</f>
        <v>2.4088400000000001</v>
      </c>
      <c r="N80" s="3929">
        <v>52</v>
      </c>
      <c r="O80" s="4004">
        <f>M80*N80</f>
        <v>125.25968</v>
      </c>
      <c r="P80" s="499"/>
      <c r="Q80" s="3149" t="s">
        <v>5944</v>
      </c>
      <c r="R80" s="4019">
        <v>144.46</v>
      </c>
      <c r="S80" s="3140">
        <f t="shared" si="7"/>
        <v>-19.200320000000005</v>
      </c>
      <c r="BB80" s="3299">
        <v>19.2</v>
      </c>
      <c r="BC80" s="3299"/>
      <c r="BD80" s="3299"/>
      <c r="BE80" s="3299"/>
      <c r="BF80" s="3299"/>
      <c r="BG80" s="3299"/>
      <c r="BH80" s="3299"/>
      <c r="BI80" s="3299"/>
      <c r="BJ80" s="3299"/>
      <c r="BK80" s="3299"/>
      <c r="BL80" s="3299"/>
      <c r="BM80" s="3299"/>
      <c r="BN80" s="3299"/>
      <c r="BO80" s="3299"/>
      <c r="BP80" s="3299"/>
      <c r="BQ80" s="3299"/>
      <c r="BR80" s="3299"/>
      <c r="BS80" s="3299"/>
      <c r="BT80" s="3299"/>
      <c r="BU80" s="3299"/>
      <c r="BV80" s="3299"/>
      <c r="BW80" s="3299"/>
      <c r="BX80" s="3299"/>
      <c r="BY80" s="3299"/>
      <c r="BZ80" s="3299"/>
      <c r="CA80" s="3299"/>
      <c r="CB80" s="3299"/>
      <c r="CC80" s="3299"/>
      <c r="CD80" s="3299"/>
      <c r="CE80" s="3299"/>
      <c r="CF80" s="3299"/>
      <c r="CG80" s="3299"/>
      <c r="CH80" s="3299"/>
      <c r="CI80" s="3296">
        <f t="shared" si="6"/>
        <v>19.2</v>
      </c>
    </row>
    <row r="81" spans="1:87" s="1755" customFormat="1">
      <c r="A81" s="494" t="s">
        <v>3639</v>
      </c>
      <c r="B81" s="521"/>
      <c r="C81" s="509" t="s">
        <v>2835</v>
      </c>
      <c r="D81" s="3994"/>
      <c r="E81" s="3571"/>
      <c r="F81" s="510">
        <v>0</v>
      </c>
      <c r="G81" s="510"/>
      <c r="H81" s="3992"/>
      <c r="I81" s="3992"/>
      <c r="J81" s="3992"/>
      <c r="K81" s="3992"/>
      <c r="L81" s="3930"/>
      <c r="M81" s="4002"/>
      <c r="N81" s="3930"/>
      <c r="O81" s="4005"/>
      <c r="P81" s="499"/>
      <c r="Q81" s="511"/>
      <c r="R81" s="4020"/>
      <c r="BB81" s="3299"/>
      <c r="BC81" s="3299"/>
      <c r="BD81" s="3299"/>
      <c r="BE81" s="3299"/>
      <c r="BF81" s="3299"/>
      <c r="BG81" s="3299"/>
      <c r="BH81" s="3299"/>
      <c r="BI81" s="3299"/>
      <c r="BJ81" s="3299"/>
      <c r="BK81" s="3299"/>
      <c r="BL81" s="3299"/>
      <c r="BM81" s="3299"/>
      <c r="BN81" s="3299"/>
      <c r="BO81" s="3299"/>
      <c r="BP81" s="3299"/>
      <c r="BQ81" s="3299"/>
      <c r="BR81" s="3299"/>
      <c r="BS81" s="3299"/>
      <c r="BT81" s="3299"/>
      <c r="BU81" s="3299"/>
      <c r="BV81" s="3299"/>
      <c r="BW81" s="3299"/>
      <c r="BX81" s="3299"/>
      <c r="BY81" s="3299"/>
      <c r="BZ81" s="3299"/>
      <c r="CA81" s="3299"/>
      <c r="CB81" s="3299"/>
      <c r="CC81" s="3299"/>
      <c r="CD81" s="3299"/>
      <c r="CE81" s="3299"/>
      <c r="CF81" s="3299"/>
      <c r="CG81" s="3299"/>
      <c r="CH81" s="3299"/>
      <c r="CI81" s="3296">
        <f t="shared" si="6"/>
        <v>0</v>
      </c>
    </row>
    <row r="82" spans="1:87" s="1755" customFormat="1">
      <c r="A82" s="494" t="s">
        <v>3640</v>
      </c>
      <c r="B82" s="521"/>
      <c r="C82" s="509" t="s">
        <v>2131</v>
      </c>
      <c r="D82" s="3994"/>
      <c r="E82" s="3571"/>
      <c r="F82" s="510">
        <v>0</v>
      </c>
      <c r="G82" s="510"/>
      <c r="H82" s="3992"/>
      <c r="I82" s="3992"/>
      <c r="J82" s="3992"/>
      <c r="K82" s="3992"/>
      <c r="L82" s="3930"/>
      <c r="M82" s="4002"/>
      <c r="N82" s="3930"/>
      <c r="O82" s="4005"/>
      <c r="P82" s="499"/>
      <c r="Q82" s="511"/>
      <c r="R82" s="4020"/>
      <c r="BB82" s="3299"/>
      <c r="BC82" s="3299"/>
      <c r="BD82" s="3299"/>
      <c r="BE82" s="3299"/>
      <c r="BF82" s="3299"/>
      <c r="BG82" s="3299"/>
      <c r="BH82" s="3299"/>
      <c r="BI82" s="3299"/>
      <c r="BJ82" s="3299"/>
      <c r="BK82" s="3299"/>
      <c r="BL82" s="3299"/>
      <c r="BM82" s="3299"/>
      <c r="BN82" s="3299"/>
      <c r="BO82" s="3299"/>
      <c r="BP82" s="3299"/>
      <c r="BQ82" s="3299"/>
      <c r="BR82" s="3299"/>
      <c r="BS82" s="3299"/>
      <c r="BT82" s="3299"/>
      <c r="BU82" s="3299"/>
      <c r="BV82" s="3299"/>
      <c r="BW82" s="3299"/>
      <c r="BX82" s="3299"/>
      <c r="BY82" s="3299"/>
      <c r="BZ82" s="3299"/>
      <c r="CA82" s="3299"/>
      <c r="CB82" s="3299"/>
      <c r="CC82" s="3299"/>
      <c r="CD82" s="3299"/>
      <c r="CE82" s="3299"/>
      <c r="CF82" s="3299"/>
      <c r="CG82" s="3299"/>
      <c r="CH82" s="3299"/>
      <c r="CI82" s="3296">
        <f t="shared" si="6"/>
        <v>0</v>
      </c>
    </row>
    <row r="83" spans="1:87" s="1755" customFormat="1" ht="19.5" customHeight="1">
      <c r="A83" s="494" t="s">
        <v>3641</v>
      </c>
      <c r="B83" s="521"/>
      <c r="C83" s="509" t="s">
        <v>2132</v>
      </c>
      <c r="D83" s="3994"/>
      <c r="E83" s="3571"/>
      <c r="F83" s="510">
        <v>10</v>
      </c>
      <c r="G83" s="510">
        <v>9</v>
      </c>
      <c r="H83" s="3992"/>
      <c r="I83" s="3992"/>
      <c r="J83" s="3992"/>
      <c r="K83" s="3992"/>
      <c r="L83" s="3930"/>
      <c r="M83" s="4002"/>
      <c r="N83" s="3930"/>
      <c r="O83" s="4005"/>
      <c r="P83" s="499"/>
      <c r="Q83" s="2938" t="s">
        <v>5826</v>
      </c>
      <c r="R83" s="4020"/>
      <c r="BB83" s="3299">
        <v>5.07</v>
      </c>
      <c r="BC83" s="3299"/>
      <c r="BD83" s="3299">
        <v>2.35</v>
      </c>
      <c r="BE83" s="3299">
        <v>2.35</v>
      </c>
      <c r="BF83" s="3299">
        <v>2.35</v>
      </c>
      <c r="BG83" s="3299">
        <v>0</v>
      </c>
      <c r="BH83" s="3299">
        <v>2.35</v>
      </c>
      <c r="BI83" s="3299">
        <v>0</v>
      </c>
      <c r="BJ83" s="3299">
        <v>2.35</v>
      </c>
      <c r="BK83" s="3299">
        <v>2.35</v>
      </c>
      <c r="BL83" s="3299">
        <v>2.35</v>
      </c>
      <c r="BM83" s="3299">
        <v>2.35</v>
      </c>
      <c r="BN83" s="3299">
        <v>2.35</v>
      </c>
      <c r="BO83" s="3299"/>
      <c r="BP83" s="3299"/>
      <c r="BQ83" s="3299"/>
      <c r="BR83" s="3299"/>
      <c r="BS83" s="3299"/>
      <c r="BT83" s="3299"/>
      <c r="BU83" s="3299"/>
      <c r="BV83" s="3299"/>
      <c r="BW83" s="3299"/>
      <c r="BX83" s="3299"/>
      <c r="BY83" s="3299"/>
      <c r="BZ83" s="3299"/>
      <c r="CA83" s="3299"/>
      <c r="CB83" s="3299"/>
      <c r="CC83" s="3299"/>
      <c r="CD83" s="3299"/>
      <c r="CE83" s="3299"/>
      <c r="CF83" s="3299"/>
      <c r="CG83" s="3299"/>
      <c r="CH83" s="3299"/>
      <c r="CI83" s="3296">
        <f t="shared" si="6"/>
        <v>26.220000000000006</v>
      </c>
    </row>
    <row r="84" spans="1:87" s="1755" customFormat="1">
      <c r="A84" s="494" t="s">
        <v>3642</v>
      </c>
      <c r="B84" s="521"/>
      <c r="C84" s="522" t="s">
        <v>2133</v>
      </c>
      <c r="D84" s="3994"/>
      <c r="E84" s="3571"/>
      <c r="F84" s="510"/>
      <c r="G84" s="510"/>
      <c r="H84" s="3992"/>
      <c r="I84" s="3992"/>
      <c r="J84" s="3992"/>
      <c r="K84" s="3992"/>
      <c r="L84" s="3930"/>
      <c r="M84" s="4002"/>
      <c r="N84" s="3930"/>
      <c r="O84" s="4005"/>
      <c r="P84" s="499"/>
      <c r="Q84" s="511"/>
      <c r="R84" s="4020"/>
      <c r="BB84" s="3299"/>
      <c r="BC84" s="3299"/>
      <c r="BD84" s="3299"/>
      <c r="BE84" s="3299"/>
      <c r="BF84" s="3299"/>
      <c r="BG84" s="3299"/>
      <c r="BH84" s="3299"/>
      <c r="BI84" s="3299"/>
      <c r="BJ84" s="3299"/>
      <c r="BK84" s="3299"/>
      <c r="BL84" s="3299"/>
      <c r="BM84" s="3299"/>
      <c r="BN84" s="3299"/>
      <c r="BO84" s="3299"/>
      <c r="BP84" s="3299"/>
      <c r="BQ84" s="3299"/>
      <c r="BR84" s="3299"/>
      <c r="BS84" s="3299"/>
      <c r="BT84" s="3299"/>
      <c r="BU84" s="3299"/>
      <c r="BV84" s="3299"/>
      <c r="BW84" s="3299"/>
      <c r="BX84" s="3299"/>
      <c r="BY84" s="3299"/>
      <c r="BZ84" s="3299"/>
      <c r="CA84" s="3299"/>
      <c r="CB84" s="3299"/>
      <c r="CC84" s="3299"/>
      <c r="CD84" s="3299"/>
      <c r="CE84" s="3299"/>
      <c r="CF84" s="3299"/>
      <c r="CG84" s="3299"/>
      <c r="CH84" s="3299"/>
      <c r="CI84" s="3296">
        <f t="shared" si="6"/>
        <v>0</v>
      </c>
    </row>
    <row r="85" spans="1:87" s="1755" customFormat="1" ht="19.5" customHeight="1">
      <c r="A85" s="494" t="s">
        <v>3643</v>
      </c>
      <c r="B85" s="521"/>
      <c r="C85" s="509" t="s">
        <v>2135</v>
      </c>
      <c r="D85" s="3994"/>
      <c r="E85" s="3571"/>
      <c r="F85" s="510">
        <v>30</v>
      </c>
      <c r="G85" s="510">
        <v>23</v>
      </c>
      <c r="H85" s="3992"/>
      <c r="I85" s="3992"/>
      <c r="J85" s="3992"/>
      <c r="K85" s="3992"/>
      <c r="L85" s="3930"/>
      <c r="M85" s="4002"/>
      <c r="N85" s="3930"/>
      <c r="O85" s="4005"/>
      <c r="P85" s="499"/>
      <c r="Q85" s="2941" t="s">
        <v>5827</v>
      </c>
      <c r="R85" s="4020"/>
      <c r="BB85" s="3299">
        <v>8.74</v>
      </c>
      <c r="BC85" s="3299">
        <f>+(1*27609*12+1*22473*12)*105%/100000</f>
        <v>6.3103320000000007</v>
      </c>
      <c r="BD85" s="3299">
        <f>+(1*22473*12)*105%/100000</f>
        <v>2.8315980000000001</v>
      </c>
      <c r="BE85" s="3299">
        <f>+(1*27607*12+1*22473*12)*105%/100000</f>
        <v>6.3100800000000001</v>
      </c>
      <c r="BF85" s="3299">
        <f>+(1*15153*12+1*27609*12+1*22473*12)*105%/100000</f>
        <v>8.2196099999999994</v>
      </c>
      <c r="BG85" s="3299">
        <f>+(1*27609*12+1*22473*12)*105%/100000</f>
        <v>6.3103320000000007</v>
      </c>
      <c r="BH85" s="3299">
        <f>+(1*27609*12+1*22473*12)*105%/100000</f>
        <v>6.3103320000000007</v>
      </c>
      <c r="BI85" s="3299">
        <f>+(1*27609*12+1*22473*12)*105%/100000</f>
        <v>6.3103320000000007</v>
      </c>
      <c r="BJ85" s="3299">
        <f>+(1*27609*12+1*22473*12)*105%/100000</f>
        <v>6.3103320000000007</v>
      </c>
      <c r="BK85" s="3299">
        <f>+(1*24875*12+1*22473*12)*105%/100000</f>
        <v>5.9658480000000003</v>
      </c>
      <c r="BL85" s="3299">
        <f>+(1*27608*12+1*22473*12)*105%/100000</f>
        <v>6.310206</v>
      </c>
      <c r="BM85" s="3299">
        <f>+(1*27608*12+1*22473*12)*105%/100000</f>
        <v>6.310206</v>
      </c>
      <c r="BN85" s="3299">
        <f>+(1*27607*12+1*22473*12)*105%/100000</f>
        <v>6.3100800000000001</v>
      </c>
      <c r="BO85" s="3299"/>
      <c r="BP85" s="3299"/>
      <c r="BQ85" s="3299"/>
      <c r="BR85" s="3299"/>
      <c r="BS85" s="3299"/>
      <c r="BT85" s="3299"/>
      <c r="BU85" s="3299"/>
      <c r="BV85" s="3299"/>
      <c r="BW85" s="3299"/>
      <c r="BX85" s="3299"/>
      <c r="BY85" s="3299"/>
      <c r="BZ85" s="3299"/>
      <c r="CA85" s="3299"/>
      <c r="CB85" s="3299"/>
      <c r="CC85" s="3299"/>
      <c r="CD85" s="3299"/>
      <c r="CE85" s="3299"/>
      <c r="CF85" s="3299"/>
      <c r="CG85" s="3299"/>
      <c r="CH85" s="3299"/>
      <c r="CI85" s="3296">
        <f t="shared" si="6"/>
        <v>82.549288000000004</v>
      </c>
    </row>
    <row r="86" spans="1:87" s="1755" customFormat="1" ht="21" customHeight="1">
      <c r="A86" s="494" t="s">
        <v>3644</v>
      </c>
      <c r="B86" s="521"/>
      <c r="C86" s="509" t="s">
        <v>2136</v>
      </c>
      <c r="D86" s="3994"/>
      <c r="E86" s="3571"/>
      <c r="F86" s="510">
        <v>12</v>
      </c>
      <c r="G86" s="510">
        <v>10</v>
      </c>
      <c r="H86" s="3992"/>
      <c r="I86" s="3992"/>
      <c r="J86" s="3992"/>
      <c r="K86" s="3992"/>
      <c r="L86" s="3930"/>
      <c r="M86" s="4002"/>
      <c r="N86" s="3930"/>
      <c r="O86" s="4005"/>
      <c r="P86" s="499"/>
      <c r="Q86" s="2938" t="s">
        <v>5823</v>
      </c>
      <c r="R86" s="4020"/>
      <c r="BB86" s="3299">
        <v>-0.37</v>
      </c>
      <c r="BC86" s="3299">
        <f>+(1*11000*12)*105%/100000</f>
        <v>1.3859999999999999</v>
      </c>
      <c r="BD86" s="3299">
        <f>+(1*24441*12)*105%/100000</f>
        <v>3.0795660000000002</v>
      </c>
      <c r="BE86" s="3299">
        <f>+(1*18967*12)*105%/100000</f>
        <v>2.3898420000000002</v>
      </c>
      <c r="BF86" s="3299">
        <f>+(1*11000*12)*105%/100000</f>
        <v>1.3859999999999999</v>
      </c>
      <c r="BG86" s="3299">
        <v>0</v>
      </c>
      <c r="BH86" s="3299">
        <f>+(1*11000*12)*105%/100000</f>
        <v>1.3859999999999999</v>
      </c>
      <c r="BI86" s="3299">
        <v>0</v>
      </c>
      <c r="BJ86" s="3299">
        <v>0</v>
      </c>
      <c r="BK86" s="3299">
        <f>+(1*24473*12)*105%/100000</f>
        <v>3.0835979999999998</v>
      </c>
      <c r="BL86" s="3299">
        <f>+(1*11000*12)*105%/100000</f>
        <v>1.3859999999999999</v>
      </c>
      <c r="BM86" s="3299">
        <f>+(1*11000*12)*105%/100000</f>
        <v>1.3859999999999999</v>
      </c>
      <c r="BN86" s="3299">
        <f>+(1*11000*12)*105%/100000</f>
        <v>1.3859999999999999</v>
      </c>
      <c r="BO86" s="3299"/>
      <c r="BP86" s="3299"/>
      <c r="BQ86" s="3299"/>
      <c r="BR86" s="3299"/>
      <c r="BS86" s="3299"/>
      <c r="BT86" s="3299"/>
      <c r="BU86" s="3299"/>
      <c r="BV86" s="3299"/>
      <c r="BW86" s="3299"/>
      <c r="BX86" s="3299"/>
      <c r="BY86" s="3299"/>
      <c r="BZ86" s="3299"/>
      <c r="CA86" s="3299"/>
      <c r="CB86" s="3299"/>
      <c r="CC86" s="3299"/>
      <c r="CD86" s="3299"/>
      <c r="CE86" s="3299"/>
      <c r="CF86" s="3299"/>
      <c r="CG86" s="3299"/>
      <c r="CH86" s="3299"/>
      <c r="CI86" s="3296">
        <f t="shared" si="6"/>
        <v>16.499005999999998</v>
      </c>
    </row>
    <row r="87" spans="1:87" s="1755" customFormat="1">
      <c r="A87" s="494" t="s">
        <v>3645</v>
      </c>
      <c r="B87" s="521"/>
      <c r="C87" s="522" t="s">
        <v>668</v>
      </c>
      <c r="D87" s="3994"/>
      <c r="E87" s="3571"/>
      <c r="F87" s="510">
        <v>0</v>
      </c>
      <c r="G87" s="510"/>
      <c r="H87" s="3992"/>
      <c r="I87" s="3992"/>
      <c r="J87" s="3992"/>
      <c r="K87" s="3992"/>
      <c r="L87" s="3930"/>
      <c r="M87" s="4002"/>
      <c r="N87" s="3930"/>
      <c r="O87" s="4005"/>
      <c r="P87" s="499"/>
      <c r="Q87" s="511"/>
      <c r="R87" s="4020"/>
      <c r="BB87" s="3299"/>
      <c r="BC87" s="3299"/>
      <c r="BD87" s="3299"/>
      <c r="BE87" s="3299"/>
      <c r="BF87" s="3299"/>
      <c r="BG87" s="3299"/>
      <c r="BH87" s="3299"/>
      <c r="BI87" s="3299"/>
      <c r="BJ87" s="3299"/>
      <c r="BK87" s="3299"/>
      <c r="BL87" s="3299"/>
      <c r="BM87" s="3299"/>
      <c r="BN87" s="3299"/>
      <c r="BO87" s="3299"/>
      <c r="BP87" s="3299"/>
      <c r="BQ87" s="3299"/>
      <c r="BR87" s="3299"/>
      <c r="BS87" s="3299"/>
      <c r="BT87" s="3299"/>
      <c r="BU87" s="3299"/>
      <c r="BV87" s="3299"/>
      <c r="BW87" s="3299"/>
      <c r="BX87" s="3299"/>
      <c r="BY87" s="3299"/>
      <c r="BZ87" s="3299"/>
      <c r="CA87" s="3299"/>
      <c r="CB87" s="3299"/>
      <c r="CC87" s="3299"/>
      <c r="CD87" s="3299"/>
      <c r="CE87" s="3299"/>
      <c r="CF87" s="3299"/>
      <c r="CG87" s="3299"/>
      <c r="CH87" s="3299"/>
      <c r="CI87" s="3296">
        <f t="shared" si="6"/>
        <v>0</v>
      </c>
    </row>
    <row r="88" spans="1:87" s="1755" customFormat="1">
      <c r="A88" s="494" t="s">
        <v>3646</v>
      </c>
      <c r="B88" s="521"/>
      <c r="C88" s="509" t="s">
        <v>2140</v>
      </c>
      <c r="D88" s="3994"/>
      <c r="E88" s="3571"/>
      <c r="F88" s="510">
        <v>0</v>
      </c>
      <c r="G88" s="510"/>
      <c r="H88" s="3992"/>
      <c r="I88" s="3992"/>
      <c r="J88" s="3992"/>
      <c r="K88" s="3992"/>
      <c r="L88" s="3930"/>
      <c r="M88" s="4002"/>
      <c r="N88" s="3930"/>
      <c r="O88" s="4005"/>
      <c r="P88" s="499"/>
      <c r="Q88" s="511"/>
      <c r="R88" s="4020"/>
      <c r="BB88" s="3299"/>
      <c r="BC88" s="3299"/>
      <c r="BD88" s="3299"/>
      <c r="BE88" s="3299"/>
      <c r="BF88" s="3299"/>
      <c r="BG88" s="3299"/>
      <c r="BH88" s="3299"/>
      <c r="BI88" s="3299"/>
      <c r="BJ88" s="3299"/>
      <c r="BK88" s="3299"/>
      <c r="BL88" s="3299"/>
      <c r="BM88" s="3299"/>
      <c r="BN88" s="3299"/>
      <c r="BO88" s="3299"/>
      <c r="BP88" s="3299"/>
      <c r="BQ88" s="3299"/>
      <c r="BR88" s="3299"/>
      <c r="BS88" s="3299"/>
      <c r="BT88" s="3299"/>
      <c r="BU88" s="3299"/>
      <c r="BV88" s="3299"/>
      <c r="BW88" s="3299"/>
      <c r="BX88" s="3299"/>
      <c r="BY88" s="3299"/>
      <c r="BZ88" s="3299"/>
      <c r="CA88" s="3299"/>
      <c r="CB88" s="3299"/>
      <c r="CC88" s="3299"/>
      <c r="CD88" s="3299"/>
      <c r="CE88" s="3299"/>
      <c r="CF88" s="3299"/>
      <c r="CG88" s="3299"/>
      <c r="CH88" s="3299"/>
      <c r="CI88" s="3296">
        <f t="shared" si="6"/>
        <v>0</v>
      </c>
    </row>
    <row r="89" spans="1:87" s="1755" customFormat="1">
      <c r="A89" s="494" t="s">
        <v>3647</v>
      </c>
      <c r="B89" s="521"/>
      <c r="C89" s="509" t="s">
        <v>2141</v>
      </c>
      <c r="D89" s="3994"/>
      <c r="E89" s="3571"/>
      <c r="F89" s="510">
        <v>0</v>
      </c>
      <c r="G89" s="510"/>
      <c r="H89" s="3992"/>
      <c r="I89" s="3992"/>
      <c r="J89" s="3992"/>
      <c r="K89" s="3992"/>
      <c r="L89" s="3930"/>
      <c r="M89" s="4002"/>
      <c r="N89" s="3930"/>
      <c r="O89" s="4005"/>
      <c r="P89" s="499"/>
      <c r="Q89" s="511"/>
      <c r="R89" s="4020"/>
      <c r="BB89" s="3299"/>
      <c r="BC89" s="3299"/>
      <c r="BD89" s="3299"/>
      <c r="BE89" s="3299"/>
      <c r="BF89" s="3299"/>
      <c r="BG89" s="3299"/>
      <c r="BH89" s="3299"/>
      <c r="BI89" s="3299"/>
      <c r="BJ89" s="3299"/>
      <c r="BK89" s="3299"/>
      <c r="BL89" s="3299"/>
      <c r="BM89" s="3299"/>
      <c r="BN89" s="3299"/>
      <c r="BO89" s="3299"/>
      <c r="BP89" s="3299"/>
      <c r="BQ89" s="3299"/>
      <c r="BR89" s="3299"/>
      <c r="BS89" s="3299"/>
      <c r="BT89" s="3299"/>
      <c r="BU89" s="3299"/>
      <c r="BV89" s="3299"/>
      <c r="BW89" s="3299"/>
      <c r="BX89" s="3299"/>
      <c r="BY89" s="3299"/>
      <c r="BZ89" s="3299"/>
      <c r="CA89" s="3299"/>
      <c r="CB89" s="3299"/>
      <c r="CC89" s="3299"/>
      <c r="CD89" s="3299"/>
      <c r="CE89" s="3299"/>
      <c r="CF89" s="3299"/>
      <c r="CG89" s="3299"/>
      <c r="CH89" s="3299"/>
      <c r="CI89" s="3296">
        <f t="shared" si="6"/>
        <v>0</v>
      </c>
    </row>
    <row r="90" spans="1:87" s="1755" customFormat="1">
      <c r="A90" s="500" t="s">
        <v>3648</v>
      </c>
      <c r="B90" s="521"/>
      <c r="C90" s="509" t="s">
        <v>617</v>
      </c>
      <c r="D90" s="3994"/>
      <c r="E90" s="3571"/>
      <c r="F90" s="510">
        <v>0</v>
      </c>
      <c r="G90" s="510"/>
      <c r="H90" s="3993"/>
      <c r="I90" s="3993"/>
      <c r="J90" s="3993"/>
      <c r="K90" s="3993"/>
      <c r="L90" s="3931"/>
      <c r="M90" s="4003"/>
      <c r="N90" s="3931"/>
      <c r="O90" s="4006"/>
      <c r="P90" s="499"/>
      <c r="Q90" s="511"/>
      <c r="R90" s="4021"/>
      <c r="BB90" s="3299"/>
      <c r="BC90" s="3299"/>
      <c r="BD90" s="3299"/>
      <c r="BE90" s="3299"/>
      <c r="BF90" s="3299"/>
      <c r="BG90" s="3299"/>
      <c r="BH90" s="3299"/>
      <c r="BI90" s="3299"/>
      <c r="BJ90" s="3299"/>
      <c r="BK90" s="3299"/>
      <c r="BL90" s="3299"/>
      <c r="BM90" s="3299"/>
      <c r="BN90" s="3299"/>
      <c r="BO90" s="3299"/>
      <c r="BP90" s="3299"/>
      <c r="BQ90" s="3299"/>
      <c r="BR90" s="3299"/>
      <c r="BS90" s="3299"/>
      <c r="BT90" s="3299"/>
      <c r="BU90" s="3299"/>
      <c r="BV90" s="3299"/>
      <c r="BW90" s="3299"/>
      <c r="BX90" s="3299"/>
      <c r="BY90" s="3299"/>
      <c r="BZ90" s="3299"/>
      <c r="CA90" s="3299"/>
      <c r="CB90" s="3299"/>
      <c r="CC90" s="3299"/>
      <c r="CD90" s="3299"/>
      <c r="CE90" s="3299"/>
      <c r="CF90" s="3299"/>
      <c r="CG90" s="3299"/>
      <c r="CH90" s="3299"/>
      <c r="CI90" s="3296">
        <f t="shared" si="6"/>
        <v>0</v>
      </c>
    </row>
    <row r="91" spans="1:87" s="1755" customFormat="1">
      <c r="A91" s="524" t="s">
        <v>3499</v>
      </c>
      <c r="B91" s="525"/>
      <c r="C91" s="525" t="s">
        <v>2841</v>
      </c>
      <c r="D91" s="525"/>
      <c r="E91" s="525"/>
      <c r="F91" s="526"/>
      <c r="G91" s="526"/>
      <c r="H91" s="526"/>
      <c r="I91" s="526"/>
      <c r="J91" s="526"/>
      <c r="K91" s="526"/>
      <c r="L91" s="526"/>
      <c r="M91" s="527"/>
      <c r="N91" s="526"/>
      <c r="O91" s="527">
        <f>SUM(O92:O102)</f>
        <v>6.89</v>
      </c>
      <c r="P91" s="528"/>
      <c r="Q91" s="524"/>
      <c r="R91" s="527">
        <f>SUM(R92:R102)</f>
        <v>6.89</v>
      </c>
      <c r="S91" s="3140">
        <f t="shared" ref="S91:S92" si="8">O91-R91</f>
        <v>0</v>
      </c>
      <c r="BB91" s="3299"/>
      <c r="BC91" s="3299"/>
      <c r="BD91" s="3299"/>
      <c r="BE91" s="3299"/>
      <c r="BF91" s="3299"/>
      <c r="BG91" s="3299"/>
      <c r="BH91" s="3299"/>
      <c r="BI91" s="3299"/>
      <c r="BJ91" s="3299"/>
      <c r="BK91" s="3299"/>
      <c r="BL91" s="3299"/>
      <c r="BM91" s="3299"/>
      <c r="BN91" s="3299"/>
      <c r="BO91" s="3299"/>
      <c r="BP91" s="3299"/>
      <c r="BQ91" s="3299"/>
      <c r="BR91" s="3299"/>
      <c r="BS91" s="3299"/>
      <c r="BT91" s="3299"/>
      <c r="BU91" s="3299"/>
      <c r="BV91" s="3299"/>
      <c r="BW91" s="3299"/>
      <c r="BX91" s="3299"/>
      <c r="BY91" s="3299"/>
      <c r="BZ91" s="3299"/>
      <c r="CA91" s="3299"/>
      <c r="CB91" s="3299"/>
      <c r="CC91" s="3299"/>
      <c r="CD91" s="3299"/>
      <c r="CE91" s="3299"/>
      <c r="CF91" s="3299"/>
      <c r="CG91" s="3299"/>
      <c r="CH91" s="3299"/>
      <c r="CI91" s="3296">
        <f t="shared" si="6"/>
        <v>0</v>
      </c>
    </row>
    <row r="92" spans="1:87" s="1755" customFormat="1">
      <c r="A92" s="494" t="s">
        <v>3649</v>
      </c>
      <c r="B92" s="521"/>
      <c r="C92" s="509" t="s">
        <v>2129</v>
      </c>
      <c r="D92" s="3994" t="s">
        <v>3869</v>
      </c>
      <c r="E92" s="3571"/>
      <c r="F92" s="510">
        <v>0</v>
      </c>
      <c r="G92" s="510"/>
      <c r="H92" s="3991">
        <v>6.95</v>
      </c>
      <c r="I92" s="3991">
        <v>1.43</v>
      </c>
      <c r="J92" s="3991">
        <v>3</v>
      </c>
      <c r="K92" s="3991"/>
      <c r="L92" s="3929">
        <v>344500</v>
      </c>
      <c r="M92" s="4001">
        <f>L92/100000</f>
        <v>3.4449999999999998</v>
      </c>
      <c r="N92" s="3929">
        <v>2</v>
      </c>
      <c r="O92" s="4004">
        <f>M92*N92</f>
        <v>6.89</v>
      </c>
      <c r="P92" s="499"/>
      <c r="Q92" s="511"/>
      <c r="R92" s="4019">
        <v>6.89</v>
      </c>
      <c r="S92" s="3140">
        <f t="shared" si="8"/>
        <v>0</v>
      </c>
      <c r="BB92" s="3299"/>
      <c r="BC92" s="3299"/>
      <c r="BD92" s="3299"/>
      <c r="BE92" s="3299"/>
      <c r="BF92" s="3299"/>
      <c r="BG92" s="3299"/>
      <c r="BH92" s="3299"/>
      <c r="BI92" s="3299"/>
      <c r="BJ92" s="3299"/>
      <c r="BK92" s="3299"/>
      <c r="BL92" s="3299"/>
      <c r="BM92" s="3299"/>
      <c r="BN92" s="3299"/>
      <c r="BO92" s="3299"/>
      <c r="BP92" s="3299"/>
      <c r="BQ92" s="3299"/>
      <c r="BR92" s="3299"/>
      <c r="BS92" s="3299"/>
      <c r="BT92" s="3299"/>
      <c r="BU92" s="3299"/>
      <c r="BV92" s="3299"/>
      <c r="BW92" s="3299"/>
      <c r="BX92" s="3299"/>
      <c r="BY92" s="3299"/>
      <c r="BZ92" s="3299"/>
      <c r="CA92" s="3299"/>
      <c r="CB92" s="3299"/>
      <c r="CC92" s="3299"/>
      <c r="CD92" s="3299"/>
      <c r="CE92" s="3299"/>
      <c r="CF92" s="3299"/>
      <c r="CG92" s="3299"/>
      <c r="CH92" s="3299"/>
      <c r="CI92" s="3296">
        <f t="shared" si="6"/>
        <v>0</v>
      </c>
    </row>
    <row r="93" spans="1:87" s="1755" customFormat="1">
      <c r="A93" s="494" t="s">
        <v>3650</v>
      </c>
      <c r="B93" s="521"/>
      <c r="C93" s="509" t="s">
        <v>2835</v>
      </c>
      <c r="D93" s="3994"/>
      <c r="E93" s="3571"/>
      <c r="F93" s="510">
        <v>0</v>
      </c>
      <c r="G93" s="510"/>
      <c r="H93" s="3992"/>
      <c r="I93" s="3992"/>
      <c r="J93" s="3992"/>
      <c r="K93" s="3992"/>
      <c r="L93" s="3930"/>
      <c r="M93" s="4002"/>
      <c r="N93" s="3930"/>
      <c r="O93" s="4005"/>
      <c r="P93" s="499"/>
      <c r="Q93" s="511"/>
      <c r="R93" s="4020"/>
      <c r="BB93" s="3299"/>
      <c r="BC93" s="3299"/>
      <c r="BD93" s="3299"/>
      <c r="BE93" s="3299"/>
      <c r="BF93" s="3299"/>
      <c r="BG93" s="3299"/>
      <c r="BH93" s="3299"/>
      <c r="BI93" s="3299"/>
      <c r="BJ93" s="3299"/>
      <c r="BK93" s="3299"/>
      <c r="BL93" s="3299"/>
      <c r="BM93" s="3299"/>
      <c r="BN93" s="3299"/>
      <c r="BO93" s="3299"/>
      <c r="BP93" s="3299"/>
      <c r="BQ93" s="3299"/>
      <c r="BR93" s="3299"/>
      <c r="BS93" s="3299"/>
      <c r="BT93" s="3299"/>
      <c r="BU93" s="3299"/>
      <c r="BV93" s="3299"/>
      <c r="BW93" s="3299"/>
      <c r="BX93" s="3299"/>
      <c r="BY93" s="3299"/>
      <c r="BZ93" s="3299"/>
      <c r="CA93" s="3299"/>
      <c r="CB93" s="3299"/>
      <c r="CC93" s="3299"/>
      <c r="CD93" s="3299"/>
      <c r="CE93" s="3299"/>
      <c r="CF93" s="3299"/>
      <c r="CG93" s="3299"/>
      <c r="CH93" s="3299"/>
      <c r="CI93" s="3296">
        <f t="shared" si="6"/>
        <v>0</v>
      </c>
    </row>
    <row r="94" spans="1:87" s="1755" customFormat="1">
      <c r="A94" s="494" t="s">
        <v>3651</v>
      </c>
      <c r="B94" s="534"/>
      <c r="C94" s="509" t="s">
        <v>2131</v>
      </c>
      <c r="D94" s="3994"/>
      <c r="E94" s="3571"/>
      <c r="F94" s="510">
        <v>0</v>
      </c>
      <c r="G94" s="510"/>
      <c r="H94" s="3992"/>
      <c r="I94" s="3992"/>
      <c r="J94" s="3992"/>
      <c r="K94" s="3992"/>
      <c r="L94" s="3930"/>
      <c r="M94" s="4002"/>
      <c r="N94" s="3930"/>
      <c r="O94" s="4005"/>
      <c r="P94" s="499"/>
      <c r="Q94" s="511"/>
      <c r="R94" s="4020"/>
      <c r="BB94" s="3299"/>
      <c r="BC94" s="3299"/>
      <c r="BD94" s="3299"/>
      <c r="BE94" s="3299"/>
      <c r="BF94" s="3299"/>
      <c r="BG94" s="3299"/>
      <c r="BH94" s="3299"/>
      <c r="BI94" s="3299"/>
      <c r="BJ94" s="3299"/>
      <c r="BK94" s="3299"/>
      <c r="BL94" s="3299"/>
      <c r="BM94" s="3299"/>
      <c r="BN94" s="3299"/>
      <c r="BO94" s="3299"/>
      <c r="BP94" s="3299"/>
      <c r="BQ94" s="3299"/>
      <c r="BR94" s="3299"/>
      <c r="BS94" s="3299"/>
      <c r="BT94" s="3299"/>
      <c r="BU94" s="3299"/>
      <c r="BV94" s="3299"/>
      <c r="BW94" s="3299"/>
      <c r="BX94" s="3299"/>
      <c r="BY94" s="3299"/>
      <c r="BZ94" s="3299"/>
      <c r="CA94" s="3299"/>
      <c r="CB94" s="3299"/>
      <c r="CC94" s="3299"/>
      <c r="CD94" s="3299"/>
      <c r="CE94" s="3299"/>
      <c r="CF94" s="3299"/>
      <c r="CG94" s="3299"/>
      <c r="CH94" s="3299"/>
      <c r="CI94" s="3296">
        <f t="shared" si="6"/>
        <v>0</v>
      </c>
    </row>
    <row r="95" spans="1:87" s="1755" customFormat="1" ht="51.75">
      <c r="A95" s="494" t="s">
        <v>3652</v>
      </c>
      <c r="B95" s="521"/>
      <c r="C95" s="509" t="s">
        <v>2132</v>
      </c>
      <c r="D95" s="3994"/>
      <c r="E95" s="3571"/>
      <c r="F95" s="510">
        <v>1</v>
      </c>
      <c r="G95" s="510">
        <v>1</v>
      </c>
      <c r="H95" s="3992"/>
      <c r="I95" s="3992"/>
      <c r="J95" s="3992"/>
      <c r="K95" s="3992"/>
      <c r="L95" s="3930"/>
      <c r="M95" s="4002"/>
      <c r="N95" s="3930"/>
      <c r="O95" s="4005"/>
      <c r="P95" s="499"/>
      <c r="Q95" s="2938" t="s">
        <v>5828</v>
      </c>
      <c r="R95" s="4020"/>
      <c r="BB95" s="3299"/>
      <c r="BC95" s="3299"/>
      <c r="BD95" s="3299"/>
      <c r="BE95" s="3299"/>
      <c r="BF95" s="3299"/>
      <c r="BG95" s="3299">
        <v>2.89</v>
      </c>
      <c r="BH95" s="3299"/>
      <c r="BI95" s="3299"/>
      <c r="BJ95" s="3299"/>
      <c r="BK95" s="3299"/>
      <c r="BL95" s="3299"/>
      <c r="BM95" s="3299"/>
      <c r="BN95" s="3299"/>
      <c r="BO95" s="3299"/>
      <c r="BP95" s="3299"/>
      <c r="BQ95" s="3299"/>
      <c r="BR95" s="3299"/>
      <c r="BS95" s="3299"/>
      <c r="BT95" s="3299"/>
      <c r="BU95" s="3299"/>
      <c r="BV95" s="3299"/>
      <c r="BW95" s="3299"/>
      <c r="BX95" s="3299"/>
      <c r="BY95" s="3299"/>
      <c r="BZ95" s="3299"/>
      <c r="CA95" s="3299"/>
      <c r="CB95" s="3299"/>
      <c r="CC95" s="3299"/>
      <c r="CD95" s="3299"/>
      <c r="CE95" s="3299"/>
      <c r="CF95" s="3299"/>
      <c r="CG95" s="3299"/>
      <c r="CH95" s="3299"/>
      <c r="CI95" s="3296">
        <f t="shared" si="6"/>
        <v>2.89</v>
      </c>
    </row>
    <row r="96" spans="1:87" s="1755" customFormat="1">
      <c r="A96" s="494" t="s">
        <v>3653</v>
      </c>
      <c r="B96" s="521"/>
      <c r="C96" s="522" t="s">
        <v>2133</v>
      </c>
      <c r="D96" s="3994"/>
      <c r="E96" s="3571"/>
      <c r="F96" s="510">
        <v>0</v>
      </c>
      <c r="G96" s="510"/>
      <c r="H96" s="3992"/>
      <c r="I96" s="3992"/>
      <c r="J96" s="3992"/>
      <c r="K96" s="3992"/>
      <c r="L96" s="3930"/>
      <c r="M96" s="4002"/>
      <c r="N96" s="3930"/>
      <c r="O96" s="4005"/>
      <c r="P96" s="499"/>
      <c r="Q96" s="511"/>
      <c r="R96" s="4020"/>
      <c r="BB96" s="3299"/>
      <c r="BC96" s="3299"/>
      <c r="BD96" s="3299"/>
      <c r="BE96" s="3299"/>
      <c r="BF96" s="3299"/>
      <c r="BG96" s="3299"/>
      <c r="BH96" s="3299"/>
      <c r="BI96" s="3299"/>
      <c r="BJ96" s="3299"/>
      <c r="BK96" s="3299"/>
      <c r="BL96" s="3299"/>
      <c r="BM96" s="3299"/>
      <c r="BN96" s="3299"/>
      <c r="BO96" s="3299"/>
      <c r="BP96" s="3299"/>
      <c r="BQ96" s="3299"/>
      <c r="BR96" s="3299"/>
      <c r="BS96" s="3299"/>
      <c r="BT96" s="3299"/>
      <c r="BU96" s="3299"/>
      <c r="BV96" s="3299"/>
      <c r="BW96" s="3299"/>
      <c r="BX96" s="3299"/>
      <c r="BY96" s="3299"/>
      <c r="BZ96" s="3299"/>
      <c r="CA96" s="3299"/>
      <c r="CB96" s="3299"/>
      <c r="CC96" s="3299"/>
      <c r="CD96" s="3299"/>
      <c r="CE96" s="3299"/>
      <c r="CF96" s="3299"/>
      <c r="CG96" s="3299"/>
      <c r="CH96" s="3299"/>
      <c r="CI96" s="3296">
        <f t="shared" si="6"/>
        <v>0</v>
      </c>
    </row>
    <row r="97" spans="1:87" s="1755" customFormat="1">
      <c r="A97" s="494" t="s">
        <v>3654</v>
      </c>
      <c r="B97" s="521"/>
      <c r="C97" s="509" t="s">
        <v>2135</v>
      </c>
      <c r="D97" s="3994"/>
      <c r="E97" s="3571"/>
      <c r="F97" s="510">
        <v>0</v>
      </c>
      <c r="G97" s="510"/>
      <c r="H97" s="3992"/>
      <c r="I97" s="3992"/>
      <c r="J97" s="3992"/>
      <c r="K97" s="3992"/>
      <c r="L97" s="3930"/>
      <c r="M97" s="4002"/>
      <c r="N97" s="3930"/>
      <c r="O97" s="4005"/>
      <c r="P97" s="499"/>
      <c r="Q97" s="511"/>
      <c r="R97" s="4020"/>
      <c r="BB97" s="3299"/>
      <c r="BC97" s="3299"/>
      <c r="BD97" s="3299"/>
      <c r="BE97" s="3299"/>
      <c r="BF97" s="3299"/>
      <c r="BG97" s="3299"/>
      <c r="BH97" s="3299"/>
      <c r="BI97" s="3299"/>
      <c r="BJ97" s="3299"/>
      <c r="BK97" s="3299"/>
      <c r="BL97" s="3299"/>
      <c r="BM97" s="3299"/>
      <c r="BN97" s="3299"/>
      <c r="BO97" s="3299"/>
      <c r="BP97" s="3299"/>
      <c r="BQ97" s="3299"/>
      <c r="BR97" s="3299"/>
      <c r="BS97" s="3299"/>
      <c r="BT97" s="3299"/>
      <c r="BU97" s="3299"/>
      <c r="BV97" s="3299"/>
      <c r="BW97" s="3299"/>
      <c r="BX97" s="3299"/>
      <c r="BY97" s="3299"/>
      <c r="BZ97" s="3299"/>
      <c r="CA97" s="3299"/>
      <c r="CB97" s="3299"/>
      <c r="CC97" s="3299"/>
      <c r="CD97" s="3299"/>
      <c r="CE97" s="3299"/>
      <c r="CF97" s="3299"/>
      <c r="CG97" s="3299"/>
      <c r="CH97" s="3299"/>
      <c r="CI97" s="3296">
        <f t="shared" si="6"/>
        <v>0</v>
      </c>
    </row>
    <row r="98" spans="1:87" s="1755" customFormat="1" ht="51.75">
      <c r="A98" s="494" t="s">
        <v>3655</v>
      </c>
      <c r="B98" s="521"/>
      <c r="C98" s="509" t="s">
        <v>2136</v>
      </c>
      <c r="D98" s="3994"/>
      <c r="E98" s="3571"/>
      <c r="F98" s="510">
        <v>1</v>
      </c>
      <c r="G98" s="510">
        <v>0</v>
      </c>
      <c r="H98" s="3992"/>
      <c r="I98" s="3992"/>
      <c r="J98" s="3992"/>
      <c r="K98" s="3992"/>
      <c r="L98" s="3930"/>
      <c r="M98" s="4002"/>
      <c r="N98" s="3930"/>
      <c r="O98" s="4005"/>
      <c r="P98" s="499"/>
      <c r="Q98" s="2938" t="s">
        <v>5828</v>
      </c>
      <c r="R98" s="4020"/>
      <c r="BB98" s="3299">
        <v>4</v>
      </c>
      <c r="BC98" s="3299"/>
      <c r="BD98" s="3299"/>
      <c r="BE98" s="3299"/>
      <c r="BF98" s="3299"/>
      <c r="BG98" s="3299"/>
      <c r="BH98" s="3299"/>
      <c r="BI98" s="3299"/>
      <c r="BJ98" s="3299"/>
      <c r="BK98" s="3299"/>
      <c r="BL98" s="3299"/>
      <c r="BM98" s="3299"/>
      <c r="BN98" s="3299"/>
      <c r="BO98" s="3299"/>
      <c r="BP98" s="3299"/>
      <c r="BQ98" s="3299"/>
      <c r="BR98" s="3299"/>
      <c r="BS98" s="3299"/>
      <c r="BT98" s="3299"/>
      <c r="BU98" s="3299"/>
      <c r="BV98" s="3299"/>
      <c r="BW98" s="3299"/>
      <c r="BX98" s="3299"/>
      <c r="BY98" s="3299"/>
      <c r="BZ98" s="3299"/>
      <c r="CA98" s="3299"/>
      <c r="CB98" s="3299"/>
      <c r="CC98" s="3299"/>
      <c r="CD98" s="3299"/>
      <c r="CE98" s="3299"/>
      <c r="CF98" s="3299"/>
      <c r="CG98" s="3299"/>
      <c r="CH98" s="3299"/>
      <c r="CI98" s="3296">
        <f t="shared" si="6"/>
        <v>4</v>
      </c>
    </row>
    <row r="99" spans="1:87" s="1755" customFormat="1">
      <c r="A99" s="494" t="s">
        <v>3656</v>
      </c>
      <c r="B99" s="521"/>
      <c r="C99" s="522" t="s">
        <v>668</v>
      </c>
      <c r="D99" s="3994"/>
      <c r="E99" s="3571"/>
      <c r="F99" s="510">
        <v>0</v>
      </c>
      <c r="G99" s="510"/>
      <c r="H99" s="3992"/>
      <c r="I99" s="3992"/>
      <c r="J99" s="3992"/>
      <c r="K99" s="3992"/>
      <c r="L99" s="3930"/>
      <c r="M99" s="4002"/>
      <c r="N99" s="3930"/>
      <c r="O99" s="4005"/>
      <c r="P99" s="499"/>
      <c r="Q99" s="511"/>
      <c r="R99" s="4020"/>
      <c r="BB99" s="3299"/>
      <c r="BC99" s="3299"/>
      <c r="BD99" s="3299"/>
      <c r="BE99" s="3299"/>
      <c r="BF99" s="3299"/>
      <c r="BG99" s="3299"/>
      <c r="BH99" s="3299"/>
      <c r="BI99" s="3299"/>
      <c r="BJ99" s="3299"/>
      <c r="BK99" s="3299"/>
      <c r="BL99" s="3299"/>
      <c r="BM99" s="3299"/>
      <c r="BN99" s="3299"/>
      <c r="BO99" s="3299"/>
      <c r="BP99" s="3299"/>
      <c r="BQ99" s="3299"/>
      <c r="BR99" s="3299"/>
      <c r="BS99" s="3299"/>
      <c r="BT99" s="3299"/>
      <c r="BU99" s="3299"/>
      <c r="BV99" s="3299"/>
      <c r="BW99" s="3299"/>
      <c r="BX99" s="3299"/>
      <c r="BY99" s="3299"/>
      <c r="BZ99" s="3299"/>
      <c r="CA99" s="3299"/>
      <c r="CB99" s="3299"/>
      <c r="CC99" s="3299"/>
      <c r="CD99" s="3299"/>
      <c r="CE99" s="3299"/>
      <c r="CF99" s="3299"/>
      <c r="CG99" s="3299"/>
      <c r="CH99" s="3299"/>
      <c r="CI99" s="3296">
        <f t="shared" si="6"/>
        <v>0</v>
      </c>
    </row>
    <row r="100" spans="1:87" s="1755" customFormat="1">
      <c r="A100" s="494" t="s">
        <v>3657</v>
      </c>
      <c r="B100" s="521"/>
      <c r="C100" s="509" t="s">
        <v>2140</v>
      </c>
      <c r="D100" s="3994"/>
      <c r="E100" s="3571"/>
      <c r="F100" s="510">
        <v>0</v>
      </c>
      <c r="G100" s="510"/>
      <c r="H100" s="3992"/>
      <c r="I100" s="3992"/>
      <c r="J100" s="3992"/>
      <c r="K100" s="3992"/>
      <c r="L100" s="3930"/>
      <c r="M100" s="4002"/>
      <c r="N100" s="3930"/>
      <c r="O100" s="4005"/>
      <c r="P100" s="499"/>
      <c r="Q100" s="511"/>
      <c r="R100" s="4020"/>
      <c r="BB100" s="3299"/>
      <c r="BC100" s="3299"/>
      <c r="BD100" s="3299"/>
      <c r="BE100" s="3299"/>
      <c r="BF100" s="3299"/>
      <c r="BG100" s="3299"/>
      <c r="BH100" s="3299"/>
      <c r="BI100" s="3299"/>
      <c r="BJ100" s="3299"/>
      <c r="BK100" s="3299"/>
      <c r="BL100" s="3299"/>
      <c r="BM100" s="3299"/>
      <c r="BN100" s="3299"/>
      <c r="BO100" s="3299"/>
      <c r="BP100" s="3299"/>
      <c r="BQ100" s="3299"/>
      <c r="BR100" s="3299"/>
      <c r="BS100" s="3299"/>
      <c r="BT100" s="3299"/>
      <c r="BU100" s="3299"/>
      <c r="BV100" s="3299"/>
      <c r="BW100" s="3299"/>
      <c r="BX100" s="3299"/>
      <c r="BY100" s="3299"/>
      <c r="BZ100" s="3299"/>
      <c r="CA100" s="3299"/>
      <c r="CB100" s="3299"/>
      <c r="CC100" s="3299"/>
      <c r="CD100" s="3299"/>
      <c r="CE100" s="3299"/>
      <c r="CF100" s="3299"/>
      <c r="CG100" s="3299"/>
      <c r="CH100" s="3299"/>
      <c r="CI100" s="3296">
        <f t="shared" si="6"/>
        <v>0</v>
      </c>
    </row>
    <row r="101" spans="1:87" s="1755" customFormat="1">
      <c r="A101" s="494" t="s">
        <v>3658</v>
      </c>
      <c r="B101" s="521"/>
      <c r="C101" s="509" t="s">
        <v>2141</v>
      </c>
      <c r="D101" s="3994"/>
      <c r="E101" s="3571"/>
      <c r="F101" s="510">
        <v>0</v>
      </c>
      <c r="G101" s="510"/>
      <c r="H101" s="3992"/>
      <c r="I101" s="3992"/>
      <c r="J101" s="3992"/>
      <c r="K101" s="3992"/>
      <c r="L101" s="3930"/>
      <c r="M101" s="4002"/>
      <c r="N101" s="3930"/>
      <c r="O101" s="4005"/>
      <c r="P101" s="499"/>
      <c r="Q101" s="511"/>
      <c r="R101" s="4020"/>
      <c r="BB101" s="3299"/>
      <c r="BC101" s="3299"/>
      <c r="BD101" s="3299"/>
      <c r="BE101" s="3299"/>
      <c r="BF101" s="3299"/>
      <c r="BG101" s="3299"/>
      <c r="BH101" s="3299"/>
      <c r="BI101" s="3299"/>
      <c r="BJ101" s="3299"/>
      <c r="BK101" s="3299"/>
      <c r="BL101" s="3299"/>
      <c r="BM101" s="3299"/>
      <c r="BN101" s="3299"/>
      <c r="BO101" s="3299"/>
      <c r="BP101" s="3299"/>
      <c r="BQ101" s="3299"/>
      <c r="BR101" s="3299"/>
      <c r="BS101" s="3299"/>
      <c r="BT101" s="3299"/>
      <c r="BU101" s="3299"/>
      <c r="BV101" s="3299"/>
      <c r="BW101" s="3299"/>
      <c r="BX101" s="3299"/>
      <c r="BY101" s="3299"/>
      <c r="BZ101" s="3299"/>
      <c r="CA101" s="3299"/>
      <c r="CB101" s="3299"/>
      <c r="CC101" s="3299"/>
      <c r="CD101" s="3299"/>
      <c r="CE101" s="3299"/>
      <c r="CF101" s="3299"/>
      <c r="CG101" s="3299"/>
      <c r="CH101" s="3299"/>
      <c r="CI101" s="3296">
        <f t="shared" si="6"/>
        <v>0</v>
      </c>
    </row>
    <row r="102" spans="1:87" s="1755" customFormat="1">
      <c r="A102" s="500" t="s">
        <v>3659</v>
      </c>
      <c r="B102" s="521"/>
      <c r="C102" s="509" t="s">
        <v>617</v>
      </c>
      <c r="D102" s="3994"/>
      <c r="E102" s="3571"/>
      <c r="F102" s="510">
        <v>0</v>
      </c>
      <c r="G102" s="510"/>
      <c r="H102" s="3993"/>
      <c r="I102" s="3993"/>
      <c r="J102" s="3993"/>
      <c r="K102" s="3993"/>
      <c r="L102" s="3931"/>
      <c r="M102" s="4003"/>
      <c r="N102" s="3931"/>
      <c r="O102" s="4006"/>
      <c r="P102" s="499"/>
      <c r="Q102" s="511"/>
      <c r="R102" s="4021"/>
      <c r="BB102" s="3299"/>
      <c r="BC102" s="3299"/>
      <c r="BD102" s="3299"/>
      <c r="BE102" s="3299"/>
      <c r="BF102" s="3299"/>
      <c r="BG102" s="3299"/>
      <c r="BH102" s="3299"/>
      <c r="BI102" s="3299"/>
      <c r="BJ102" s="3299"/>
      <c r="BK102" s="3299"/>
      <c r="BL102" s="3299"/>
      <c r="BM102" s="3299"/>
      <c r="BN102" s="3299"/>
      <c r="BO102" s="3299"/>
      <c r="BP102" s="3299"/>
      <c r="BQ102" s="3299"/>
      <c r="BR102" s="3299"/>
      <c r="BS102" s="3299"/>
      <c r="BT102" s="3299"/>
      <c r="BU102" s="3299"/>
      <c r="BV102" s="3299"/>
      <c r="BW102" s="3299"/>
      <c r="BX102" s="3299"/>
      <c r="BY102" s="3299"/>
      <c r="BZ102" s="3299"/>
      <c r="CA102" s="3299"/>
      <c r="CB102" s="3299"/>
      <c r="CC102" s="3299"/>
      <c r="CD102" s="3299"/>
      <c r="CE102" s="3299"/>
      <c r="CF102" s="3299"/>
      <c r="CG102" s="3299"/>
      <c r="CH102" s="3299"/>
      <c r="CI102" s="3296">
        <f t="shared" si="6"/>
        <v>0</v>
      </c>
    </row>
    <row r="103" spans="1:87" s="1755" customFormat="1">
      <c r="A103" s="503" t="s">
        <v>3513</v>
      </c>
      <c r="B103" s="504"/>
      <c r="C103" s="504" t="s">
        <v>2144</v>
      </c>
      <c r="D103" s="504"/>
      <c r="E103" s="504"/>
      <c r="F103" s="505"/>
      <c r="G103" s="505"/>
      <c r="H103" s="505"/>
      <c r="I103" s="505"/>
      <c r="J103" s="505"/>
      <c r="K103" s="505"/>
      <c r="L103" s="505"/>
      <c r="M103" s="506"/>
      <c r="N103" s="505"/>
      <c r="O103" s="506">
        <f>O104+O116+O128</f>
        <v>831.74981000000002</v>
      </c>
      <c r="P103" s="507"/>
      <c r="Q103" s="503"/>
      <c r="R103" s="506">
        <f>R104+R116+R128</f>
        <v>831.75</v>
      </c>
      <c r="S103" s="3140">
        <f t="shared" ref="S103:S105" si="9">O103-R103</f>
        <v>-1.8999999997504347E-4</v>
      </c>
      <c r="BB103" s="3299"/>
      <c r="BC103" s="3299"/>
      <c r="BD103" s="3299"/>
      <c r="BE103" s="3299"/>
      <c r="BF103" s="3299"/>
      <c r="BG103" s="3299"/>
      <c r="BH103" s="3299"/>
      <c r="BI103" s="3299"/>
      <c r="BJ103" s="3299"/>
      <c r="BK103" s="3299"/>
      <c r="BL103" s="3299"/>
      <c r="BM103" s="3299"/>
      <c r="BN103" s="3299"/>
      <c r="BO103" s="3299"/>
      <c r="BP103" s="3299"/>
      <c r="BQ103" s="3299"/>
      <c r="BR103" s="3299"/>
      <c r="BS103" s="3299"/>
      <c r="BT103" s="3299"/>
      <c r="BU103" s="3299"/>
      <c r="BV103" s="3299"/>
      <c r="BW103" s="3299"/>
      <c r="BX103" s="3299"/>
      <c r="BY103" s="3299"/>
      <c r="BZ103" s="3299"/>
      <c r="CA103" s="3299"/>
      <c r="CB103" s="3299"/>
      <c r="CC103" s="3299"/>
      <c r="CD103" s="3299"/>
      <c r="CE103" s="3299"/>
      <c r="CF103" s="3299"/>
      <c r="CG103" s="3299"/>
      <c r="CH103" s="3299"/>
      <c r="CI103" s="3296">
        <f t="shared" si="6"/>
        <v>0</v>
      </c>
    </row>
    <row r="104" spans="1:87" s="1755" customFormat="1">
      <c r="A104" s="524" t="s">
        <v>3515</v>
      </c>
      <c r="B104" s="525"/>
      <c r="C104" s="525" t="s">
        <v>2842</v>
      </c>
      <c r="D104" s="525"/>
      <c r="E104" s="525"/>
      <c r="F104" s="526"/>
      <c r="G104" s="526"/>
      <c r="H104" s="526"/>
      <c r="I104" s="526"/>
      <c r="J104" s="526"/>
      <c r="K104" s="526"/>
      <c r="L104" s="526"/>
      <c r="M104" s="527"/>
      <c r="N104" s="526"/>
      <c r="O104" s="527">
        <f>SUM(O105:O115)</f>
        <v>393.19983000000002</v>
      </c>
      <c r="P104" s="528"/>
      <c r="Q104" s="530"/>
      <c r="R104" s="527">
        <f>SUM(R105:R115)</f>
        <v>393.2</v>
      </c>
      <c r="S104" s="3140">
        <f t="shared" si="9"/>
        <v>-1.6999999996869519E-4</v>
      </c>
      <c r="BB104" s="3299"/>
      <c r="BC104" s="3299"/>
      <c r="BD104" s="3299"/>
      <c r="BE104" s="3299"/>
      <c r="BF104" s="3299"/>
      <c r="BG104" s="3299"/>
      <c r="BH104" s="3299"/>
      <c r="BI104" s="3299"/>
      <c r="BJ104" s="3299"/>
      <c r="BK104" s="3299"/>
      <c r="BL104" s="3299"/>
      <c r="BM104" s="3299"/>
      <c r="BN104" s="3299"/>
      <c r="BO104" s="3299"/>
      <c r="BP104" s="3299"/>
      <c r="BQ104" s="3299"/>
      <c r="BR104" s="3299"/>
      <c r="BS104" s="3299"/>
      <c r="BT104" s="3299"/>
      <c r="BU104" s="3299"/>
      <c r="BV104" s="3299"/>
      <c r="BW104" s="3299"/>
      <c r="BX104" s="3299"/>
      <c r="BY104" s="3299"/>
      <c r="BZ104" s="3299"/>
      <c r="CA104" s="3299"/>
      <c r="CB104" s="3299"/>
      <c r="CC104" s="3299"/>
      <c r="CD104" s="3299"/>
      <c r="CE104" s="3299"/>
      <c r="CF104" s="3299"/>
      <c r="CG104" s="3299"/>
      <c r="CH104" s="3299"/>
      <c r="CI104" s="3296">
        <f t="shared" si="6"/>
        <v>0</v>
      </c>
    </row>
    <row r="105" spans="1:87" s="1755" customFormat="1" ht="51.75">
      <c r="A105" s="494" t="s">
        <v>3660</v>
      </c>
      <c r="B105" s="521"/>
      <c r="C105" s="509" t="s">
        <v>2142</v>
      </c>
      <c r="D105" s="3994" t="s">
        <v>3778</v>
      </c>
      <c r="E105" s="3571"/>
      <c r="F105" s="523">
        <v>91</v>
      </c>
      <c r="G105" s="523">
        <v>71</v>
      </c>
      <c r="H105" s="3991">
        <v>368.72</v>
      </c>
      <c r="I105" s="3991">
        <v>175.5</v>
      </c>
      <c r="J105" s="3991">
        <v>150</v>
      </c>
      <c r="K105" s="3991"/>
      <c r="L105" s="3929">
        <v>235449</v>
      </c>
      <c r="M105" s="4001">
        <f>L105/100000</f>
        <v>2.3544900000000002</v>
      </c>
      <c r="N105" s="3929">
        <v>167</v>
      </c>
      <c r="O105" s="4004">
        <f>M105*N105</f>
        <v>393.19983000000002</v>
      </c>
      <c r="P105" s="499"/>
      <c r="Q105" s="2938" t="s">
        <v>5829</v>
      </c>
      <c r="R105" s="4019">
        <v>393.2</v>
      </c>
      <c r="S105" s="3140">
        <f t="shared" si="9"/>
        <v>-1.6999999996869519E-4</v>
      </c>
      <c r="BB105" s="3299">
        <v>34.69</v>
      </c>
      <c r="BC105" s="3299">
        <f>+(1*27436*12+1*27721*12+2*12500*12)*105%/100000</f>
        <v>10.099782000000001</v>
      </c>
      <c r="BD105" s="3299">
        <f>+(1*27709*12+5*12500*12)*105%/100000</f>
        <v>11.366334000000002</v>
      </c>
      <c r="BE105" s="3299">
        <f>+(5*12500*12)*105%/100000</f>
        <v>7.875</v>
      </c>
      <c r="BF105" s="3299">
        <f>+(2*27724*12+13*12500*12)*105%/100000</f>
        <v>27.461448000000004</v>
      </c>
      <c r="BG105" s="3299">
        <f>+(2*12500*12)*105%/100000</f>
        <v>3.15</v>
      </c>
      <c r="BH105" s="3299">
        <f>+(1*27768*12+2*12500*12)*105%/100000</f>
        <v>6.6487680000000005</v>
      </c>
      <c r="BI105" s="3299">
        <f>+(1*28625*12)*105%/100000</f>
        <v>3.6067499999999999</v>
      </c>
      <c r="BJ105" s="3299">
        <f>+(1*26973*12+1*25785*12+1*18470*12+8*12500*12)*105%/100000</f>
        <v>21.574728000000004</v>
      </c>
      <c r="BK105" s="3299">
        <f>+(2*27724*12+4*12500*12)*105%/100000</f>
        <v>13.286448</v>
      </c>
      <c r="BL105" s="3299">
        <f>+(1*27724*12+5*12500*12)*105%/100000</f>
        <v>11.368224000000001</v>
      </c>
      <c r="BM105" s="3299">
        <f>+(2*27721*12+4*12500*12)*105%/100000</f>
        <v>13.285691999999999</v>
      </c>
      <c r="BN105" s="3299">
        <f>+(4*12500*12)*105%/100000</f>
        <v>6.3</v>
      </c>
      <c r="BO105" s="3299"/>
      <c r="BP105" s="3299"/>
      <c r="BQ105" s="3299"/>
      <c r="BR105" s="3299"/>
      <c r="BS105" s="3299"/>
      <c r="BT105" s="3299"/>
      <c r="BU105" s="3299"/>
      <c r="BV105" s="3299"/>
      <c r="BW105" s="3299"/>
      <c r="BX105" s="3299"/>
      <c r="BY105" s="3299"/>
      <c r="BZ105" s="3299"/>
      <c r="CA105" s="3299"/>
      <c r="CB105" s="3299"/>
      <c r="CC105" s="3299"/>
      <c r="CD105" s="3299"/>
      <c r="CE105" s="3299"/>
      <c r="CF105" s="3299"/>
      <c r="CG105" s="3299"/>
      <c r="CH105" s="3299"/>
      <c r="CI105" s="3296">
        <f t="shared" si="6"/>
        <v>170.71317400000004</v>
      </c>
    </row>
    <row r="106" spans="1:87" s="1755" customFormat="1">
      <c r="A106" s="494" t="s">
        <v>3661</v>
      </c>
      <c r="B106" s="521"/>
      <c r="C106" s="509" t="s">
        <v>2843</v>
      </c>
      <c r="D106" s="3994"/>
      <c r="E106" s="3571"/>
      <c r="F106" s="523">
        <v>0</v>
      </c>
      <c r="G106" s="523"/>
      <c r="H106" s="3992"/>
      <c r="I106" s="3992"/>
      <c r="J106" s="3992"/>
      <c r="K106" s="3992"/>
      <c r="L106" s="3930"/>
      <c r="M106" s="4002"/>
      <c r="N106" s="3930"/>
      <c r="O106" s="4005"/>
      <c r="P106" s="499"/>
      <c r="Q106" s="511"/>
      <c r="R106" s="4020"/>
      <c r="BB106" s="3299"/>
      <c r="BC106" s="3299"/>
      <c r="BD106" s="3299"/>
      <c r="BE106" s="3299"/>
      <c r="BF106" s="3299"/>
      <c r="BG106" s="3299"/>
      <c r="BH106" s="3299"/>
      <c r="BI106" s="3299"/>
      <c r="BJ106" s="3299"/>
      <c r="BK106" s="3299"/>
      <c r="BL106" s="3299"/>
      <c r="BM106" s="3299"/>
      <c r="BN106" s="3299"/>
      <c r="BO106" s="3299"/>
      <c r="BP106" s="3299"/>
      <c r="BQ106" s="3299"/>
      <c r="BR106" s="3299"/>
      <c r="BS106" s="3299"/>
      <c r="BT106" s="3299"/>
      <c r="BU106" s="3299"/>
      <c r="BV106" s="3299"/>
      <c r="BW106" s="3299"/>
      <c r="BX106" s="3299"/>
      <c r="BY106" s="3299"/>
      <c r="BZ106" s="3299"/>
      <c r="CA106" s="3299"/>
      <c r="CB106" s="3299"/>
      <c r="CC106" s="3299"/>
      <c r="CD106" s="3299"/>
      <c r="CE106" s="3299"/>
      <c r="CF106" s="3299"/>
      <c r="CG106" s="3299"/>
      <c r="CH106" s="3299"/>
      <c r="CI106" s="3296">
        <f t="shared" si="6"/>
        <v>0</v>
      </c>
    </row>
    <row r="107" spans="1:87" s="1755" customFormat="1">
      <c r="A107" s="494" t="s">
        <v>3662</v>
      </c>
      <c r="B107" s="521"/>
      <c r="C107" s="509" t="s">
        <v>2131</v>
      </c>
      <c r="D107" s="3994"/>
      <c r="E107" s="3571"/>
      <c r="F107" s="271">
        <v>0</v>
      </c>
      <c r="G107" s="271"/>
      <c r="H107" s="3992"/>
      <c r="I107" s="3992"/>
      <c r="J107" s="3992"/>
      <c r="K107" s="3992"/>
      <c r="L107" s="3930"/>
      <c r="M107" s="4002"/>
      <c r="N107" s="3930"/>
      <c r="O107" s="4005"/>
      <c r="P107" s="499"/>
      <c r="Q107" s="511"/>
      <c r="R107" s="4020"/>
      <c r="BB107" s="3299"/>
      <c r="BC107" s="3299"/>
      <c r="BD107" s="3299"/>
      <c r="BE107" s="3299"/>
      <c r="BF107" s="3299"/>
      <c r="BG107" s="3299"/>
      <c r="BH107" s="3299"/>
      <c r="BI107" s="3299"/>
      <c r="BJ107" s="3299"/>
      <c r="BK107" s="3299"/>
      <c r="BL107" s="3299"/>
      <c r="BM107" s="3299"/>
      <c r="BN107" s="3299"/>
      <c r="BO107" s="3299"/>
      <c r="BP107" s="3299"/>
      <c r="BQ107" s="3299"/>
      <c r="BR107" s="3299"/>
      <c r="BS107" s="3299"/>
      <c r="BT107" s="3299"/>
      <c r="BU107" s="3299"/>
      <c r="BV107" s="3299"/>
      <c r="BW107" s="3299"/>
      <c r="BX107" s="3299"/>
      <c r="BY107" s="3299"/>
      <c r="BZ107" s="3299"/>
      <c r="CA107" s="3299"/>
      <c r="CB107" s="3299"/>
      <c r="CC107" s="3299"/>
      <c r="CD107" s="3299"/>
      <c r="CE107" s="3299"/>
      <c r="CF107" s="3299"/>
      <c r="CG107" s="3299"/>
      <c r="CH107" s="3299"/>
      <c r="CI107" s="3296">
        <f t="shared" si="6"/>
        <v>0</v>
      </c>
    </row>
    <row r="108" spans="1:87" s="1755" customFormat="1">
      <c r="A108" s="494" t="s">
        <v>3663</v>
      </c>
      <c r="B108" s="521"/>
      <c r="C108" s="509" t="s">
        <v>2132</v>
      </c>
      <c r="D108" s="3994"/>
      <c r="E108" s="3571"/>
      <c r="F108" s="271">
        <v>0</v>
      </c>
      <c r="G108" s="271"/>
      <c r="H108" s="3992"/>
      <c r="I108" s="3992"/>
      <c r="J108" s="3992"/>
      <c r="K108" s="3992"/>
      <c r="L108" s="3930"/>
      <c r="M108" s="4002"/>
      <c r="N108" s="3930"/>
      <c r="O108" s="4005"/>
      <c r="P108" s="499"/>
      <c r="Q108" s="511"/>
      <c r="R108" s="4020"/>
      <c r="BB108" s="3299"/>
      <c r="BC108" s="3299"/>
      <c r="BD108" s="3299"/>
      <c r="BE108" s="3299"/>
      <c r="BF108" s="3299"/>
      <c r="BG108" s="3299"/>
      <c r="BH108" s="3299"/>
      <c r="BI108" s="3299"/>
      <c r="BJ108" s="3299"/>
      <c r="BK108" s="3299"/>
      <c r="BL108" s="3299"/>
      <c r="BM108" s="3299"/>
      <c r="BN108" s="3299"/>
      <c r="BO108" s="3299"/>
      <c r="BP108" s="3299"/>
      <c r="BQ108" s="3299"/>
      <c r="BR108" s="3299"/>
      <c r="BS108" s="3299"/>
      <c r="BT108" s="3299"/>
      <c r="BU108" s="3299"/>
      <c r="BV108" s="3299"/>
      <c r="BW108" s="3299"/>
      <c r="BX108" s="3299"/>
      <c r="BY108" s="3299"/>
      <c r="BZ108" s="3299"/>
      <c r="CA108" s="3299"/>
      <c r="CB108" s="3299"/>
      <c r="CC108" s="3299"/>
      <c r="CD108" s="3299"/>
      <c r="CE108" s="3299"/>
      <c r="CF108" s="3299"/>
      <c r="CG108" s="3299"/>
      <c r="CH108" s="3299"/>
      <c r="CI108" s="3296">
        <f t="shared" si="6"/>
        <v>0</v>
      </c>
    </row>
    <row r="109" spans="1:87" s="1755" customFormat="1">
      <c r="A109" s="494" t="s">
        <v>3664</v>
      </c>
      <c r="B109" s="521"/>
      <c r="C109" s="522" t="s">
        <v>2145</v>
      </c>
      <c r="D109" s="3994"/>
      <c r="E109" s="3571"/>
      <c r="F109" s="271">
        <v>0</v>
      </c>
      <c r="G109" s="271"/>
      <c r="H109" s="3992"/>
      <c r="I109" s="3992"/>
      <c r="J109" s="3992"/>
      <c r="K109" s="3992"/>
      <c r="L109" s="3930"/>
      <c r="M109" s="4002"/>
      <c r="N109" s="3930"/>
      <c r="O109" s="4005"/>
      <c r="P109" s="499"/>
      <c r="Q109" s="511"/>
      <c r="R109" s="4020"/>
      <c r="BB109" s="3299"/>
      <c r="BC109" s="3299"/>
      <c r="BD109" s="3299"/>
      <c r="BE109" s="3299"/>
      <c r="BF109" s="3299"/>
      <c r="BG109" s="3299"/>
      <c r="BH109" s="3299"/>
      <c r="BI109" s="3299"/>
      <c r="BJ109" s="3299"/>
      <c r="BK109" s="3299"/>
      <c r="BL109" s="3299"/>
      <c r="BM109" s="3299"/>
      <c r="BN109" s="3299"/>
      <c r="BO109" s="3299"/>
      <c r="BP109" s="3299"/>
      <c r="BQ109" s="3299"/>
      <c r="BR109" s="3299"/>
      <c r="BS109" s="3299"/>
      <c r="BT109" s="3299"/>
      <c r="BU109" s="3299"/>
      <c r="BV109" s="3299"/>
      <c r="BW109" s="3299"/>
      <c r="BX109" s="3299"/>
      <c r="BY109" s="3299"/>
      <c r="BZ109" s="3299"/>
      <c r="CA109" s="3299"/>
      <c r="CB109" s="3299"/>
      <c r="CC109" s="3299"/>
      <c r="CD109" s="3299"/>
      <c r="CE109" s="3299"/>
      <c r="CF109" s="3299"/>
      <c r="CG109" s="3299"/>
      <c r="CH109" s="3299"/>
      <c r="CI109" s="3296">
        <f t="shared" si="6"/>
        <v>0</v>
      </c>
    </row>
    <row r="110" spans="1:87" s="1755" customFormat="1">
      <c r="A110" s="494" t="s">
        <v>3665</v>
      </c>
      <c r="B110" s="521"/>
      <c r="C110" s="509" t="s">
        <v>2135</v>
      </c>
      <c r="D110" s="3994"/>
      <c r="E110" s="3571"/>
      <c r="F110" s="271">
        <v>0</v>
      </c>
      <c r="G110" s="271"/>
      <c r="H110" s="3992"/>
      <c r="I110" s="3992"/>
      <c r="J110" s="3992"/>
      <c r="K110" s="3992"/>
      <c r="L110" s="3930"/>
      <c r="M110" s="4002"/>
      <c r="N110" s="3930"/>
      <c r="O110" s="4005"/>
      <c r="P110" s="499"/>
      <c r="Q110" s="511"/>
      <c r="R110" s="4020"/>
      <c r="BB110" s="3299"/>
      <c r="BC110" s="3299"/>
      <c r="BD110" s="3299"/>
      <c r="BE110" s="3299"/>
      <c r="BF110" s="3299"/>
      <c r="BG110" s="3299"/>
      <c r="BH110" s="3299"/>
      <c r="BI110" s="3299"/>
      <c r="BJ110" s="3299"/>
      <c r="BK110" s="3299"/>
      <c r="BL110" s="3299"/>
      <c r="BM110" s="3299"/>
      <c r="BN110" s="3299"/>
      <c r="BO110" s="3299"/>
      <c r="BP110" s="3299"/>
      <c r="BQ110" s="3299"/>
      <c r="BR110" s="3299"/>
      <c r="BS110" s="3299"/>
      <c r="BT110" s="3299"/>
      <c r="BU110" s="3299"/>
      <c r="BV110" s="3299"/>
      <c r="BW110" s="3299"/>
      <c r="BX110" s="3299"/>
      <c r="BY110" s="3299"/>
      <c r="BZ110" s="3299"/>
      <c r="CA110" s="3299"/>
      <c r="CB110" s="3299"/>
      <c r="CC110" s="3299"/>
      <c r="CD110" s="3299"/>
      <c r="CE110" s="3299"/>
      <c r="CF110" s="3299"/>
      <c r="CG110" s="3299"/>
      <c r="CH110" s="3299"/>
      <c r="CI110" s="3296">
        <f t="shared" si="6"/>
        <v>0</v>
      </c>
    </row>
    <row r="111" spans="1:87" s="1755" customFormat="1" ht="51.75">
      <c r="A111" s="494" t="s">
        <v>3666</v>
      </c>
      <c r="B111" s="521"/>
      <c r="C111" s="509" t="s">
        <v>2136</v>
      </c>
      <c r="D111" s="3994"/>
      <c r="E111" s="3571"/>
      <c r="F111" s="523">
        <v>76</v>
      </c>
      <c r="G111" s="523">
        <v>72</v>
      </c>
      <c r="H111" s="3992"/>
      <c r="I111" s="3992"/>
      <c r="J111" s="3992"/>
      <c r="K111" s="3992"/>
      <c r="L111" s="3930"/>
      <c r="M111" s="4002"/>
      <c r="N111" s="3930"/>
      <c r="O111" s="4005"/>
      <c r="P111" s="499"/>
      <c r="Q111" s="2938" t="s">
        <v>5830</v>
      </c>
      <c r="R111" s="4020"/>
      <c r="BB111" s="3299">
        <v>27.96</v>
      </c>
      <c r="BC111" s="3299">
        <f>+(1*24441*12+1*24904*12+1*22950*12)*105%/100000</f>
        <v>9.1091700000000007</v>
      </c>
      <c r="BD111" s="3299">
        <f>+(1*24529*12+1*20867*12+1*24440*12+1*24414*12+1*13642*12+1*24442*12+1*24413*12)*105%/100000</f>
        <v>19.750122000000001</v>
      </c>
      <c r="BE111" s="3299">
        <f>+(1*25481*12+1*23430*12+3*24179*12+1*16036*12)*105%/100000</f>
        <v>17.322984000000002</v>
      </c>
      <c r="BF111" s="3299">
        <f>+(7*24441*12+1*23671*12+1*23925*12+2*11000*12+1*12942*12+1*11000*10)*105%/100000</f>
        <v>33.111750000000001</v>
      </c>
      <c r="BG111" s="3299">
        <f>+(1*16572*12+1*24409*12+1*24412*12)*105%/100000</f>
        <v>8.2395180000000003</v>
      </c>
      <c r="BH111" s="3299">
        <f>+(1*24204*12+2*23926*12+1*24411*12+1*16035*12)*105%/100000</f>
        <v>14.175252</v>
      </c>
      <c r="BI111" s="3299">
        <f>+(1*16035*12+1*23701*12)*105%/100000</f>
        <v>5.0067360000000001</v>
      </c>
      <c r="BJ111" s="3299">
        <f>+(1*24656*12+1*16036*12+2*11000*12+1*23926*12+1*16035*12+3*24411*12+1*23917*12+1*24434*12)*105%/100000</f>
        <v>28.253862000000002</v>
      </c>
      <c r="BK111" s="3299">
        <f>+(5*24179*12+1*24967*12+1*24180*12+1*23642*12+1*23918*12)*105%/100000</f>
        <v>27.417852000000003</v>
      </c>
      <c r="BL111" s="3299">
        <f>+(1*24470*12+1*16036*12+1*16572*12+1*11000*12)*105%/100000</f>
        <v>8.5778280000000002</v>
      </c>
      <c r="BM111" s="3299">
        <f>+(4*24441*12+1*12327*12)*105%/100000</f>
        <v>13.871466000000002</v>
      </c>
      <c r="BN111" s="3299">
        <f>+(1*24408*12+1*23671*12+2*14415*12)*105%/100000</f>
        <v>9.6905339999999995</v>
      </c>
      <c r="BO111" s="3299"/>
      <c r="BP111" s="3299"/>
      <c r="BQ111" s="3299"/>
      <c r="BR111" s="3299"/>
      <c r="BS111" s="3299"/>
      <c r="BT111" s="3299"/>
      <c r="BU111" s="3299"/>
      <c r="BV111" s="3299"/>
      <c r="BW111" s="3299"/>
      <c r="BX111" s="3299"/>
      <c r="BY111" s="3299"/>
      <c r="BZ111" s="3299"/>
      <c r="CA111" s="3299"/>
      <c r="CB111" s="3299"/>
      <c r="CC111" s="3299"/>
      <c r="CD111" s="3299"/>
      <c r="CE111" s="3299"/>
      <c r="CF111" s="3299"/>
      <c r="CG111" s="3299"/>
      <c r="CH111" s="3299"/>
      <c r="CI111" s="3296">
        <f t="shared" si="6"/>
        <v>222.48707400000001</v>
      </c>
    </row>
    <row r="112" spans="1:87" s="1755" customFormat="1">
      <c r="A112" s="494" t="s">
        <v>3667</v>
      </c>
      <c r="B112" s="521"/>
      <c r="C112" s="522" t="s">
        <v>668</v>
      </c>
      <c r="D112" s="3994"/>
      <c r="E112" s="3571"/>
      <c r="F112" s="432">
        <v>0</v>
      </c>
      <c r="G112" s="432"/>
      <c r="H112" s="3992"/>
      <c r="I112" s="3992"/>
      <c r="J112" s="3992"/>
      <c r="K112" s="3992"/>
      <c r="L112" s="3930"/>
      <c r="M112" s="4002"/>
      <c r="N112" s="3930"/>
      <c r="O112" s="4005"/>
      <c r="P112" s="499"/>
      <c r="Q112" s="511"/>
      <c r="R112" s="4020"/>
      <c r="BB112" s="3299"/>
      <c r="BC112" s="3299"/>
      <c r="BD112" s="3299"/>
      <c r="BE112" s="3299"/>
      <c r="BF112" s="3299"/>
      <c r="BG112" s="3299"/>
      <c r="BH112" s="3299"/>
      <c r="BI112" s="3299"/>
      <c r="BJ112" s="3299"/>
      <c r="BK112" s="3299"/>
      <c r="BL112" s="3299"/>
      <c r="BM112" s="3299"/>
      <c r="BN112" s="3299"/>
      <c r="BO112" s="3299"/>
      <c r="BP112" s="3299"/>
      <c r="BQ112" s="3299"/>
      <c r="BR112" s="3299"/>
      <c r="BS112" s="3299"/>
      <c r="BT112" s="3299"/>
      <c r="BU112" s="3299"/>
      <c r="BV112" s="3299"/>
      <c r="BW112" s="3299"/>
      <c r="BX112" s="3299"/>
      <c r="BY112" s="3299"/>
      <c r="BZ112" s="3299"/>
      <c r="CA112" s="3299"/>
      <c r="CB112" s="3299"/>
      <c r="CC112" s="3299"/>
      <c r="CD112" s="3299"/>
      <c r="CE112" s="3299"/>
      <c r="CF112" s="3299"/>
      <c r="CG112" s="3299"/>
      <c r="CH112" s="3299"/>
      <c r="CI112" s="3296">
        <f t="shared" si="6"/>
        <v>0</v>
      </c>
    </row>
    <row r="113" spans="1:87" s="1755" customFormat="1">
      <c r="A113" s="494" t="s">
        <v>3668</v>
      </c>
      <c r="B113" s="537"/>
      <c r="C113" s="509" t="s">
        <v>2140</v>
      </c>
      <c r="D113" s="3994"/>
      <c r="E113" s="3571"/>
      <c r="F113" s="523">
        <v>0</v>
      </c>
      <c r="G113" s="523"/>
      <c r="H113" s="3992"/>
      <c r="I113" s="3992"/>
      <c r="J113" s="3992"/>
      <c r="K113" s="3992"/>
      <c r="L113" s="3930"/>
      <c r="M113" s="4002"/>
      <c r="N113" s="3930"/>
      <c r="O113" s="4005"/>
      <c r="P113" s="499"/>
      <c r="Q113" s="511"/>
      <c r="R113" s="4020"/>
      <c r="BB113" s="3299"/>
      <c r="BC113" s="3299"/>
      <c r="BD113" s="3299"/>
      <c r="BE113" s="3299"/>
      <c r="BF113" s="3299"/>
      <c r="BG113" s="3299"/>
      <c r="BH113" s="3299"/>
      <c r="BI113" s="3299"/>
      <c r="BJ113" s="3299"/>
      <c r="BK113" s="3299"/>
      <c r="BL113" s="3299"/>
      <c r="BM113" s="3299"/>
      <c r="BN113" s="3299"/>
      <c r="BO113" s="3299"/>
      <c r="BP113" s="3299"/>
      <c r="BQ113" s="3299"/>
      <c r="BR113" s="3299"/>
      <c r="BS113" s="3299"/>
      <c r="BT113" s="3299"/>
      <c r="BU113" s="3299"/>
      <c r="BV113" s="3299"/>
      <c r="BW113" s="3299"/>
      <c r="BX113" s="3299"/>
      <c r="BY113" s="3299"/>
      <c r="BZ113" s="3299"/>
      <c r="CA113" s="3299"/>
      <c r="CB113" s="3299"/>
      <c r="CC113" s="3299"/>
      <c r="CD113" s="3299"/>
      <c r="CE113" s="3299"/>
      <c r="CF113" s="3299"/>
      <c r="CG113" s="3299"/>
      <c r="CH113" s="3299"/>
      <c r="CI113" s="3296">
        <f t="shared" si="6"/>
        <v>0</v>
      </c>
    </row>
    <row r="114" spans="1:87" s="1755" customFormat="1">
      <c r="A114" s="494" t="s">
        <v>3669</v>
      </c>
      <c r="B114" s="521"/>
      <c r="C114" s="509" t="s">
        <v>2143</v>
      </c>
      <c r="D114" s="3994"/>
      <c r="E114" s="3571"/>
      <c r="F114" s="523">
        <v>0</v>
      </c>
      <c r="G114" s="523"/>
      <c r="H114" s="3992"/>
      <c r="I114" s="3992"/>
      <c r="J114" s="3992"/>
      <c r="K114" s="3992"/>
      <c r="L114" s="3930"/>
      <c r="M114" s="4002"/>
      <c r="N114" s="3930"/>
      <c r="O114" s="4005"/>
      <c r="P114" s="499"/>
      <c r="Q114" s="511"/>
      <c r="R114" s="4020"/>
      <c r="BB114" s="3299"/>
      <c r="BC114" s="3299"/>
      <c r="BD114" s="3299"/>
      <c r="BE114" s="3299"/>
      <c r="BF114" s="3299"/>
      <c r="BG114" s="3299"/>
      <c r="BH114" s="3299"/>
      <c r="BI114" s="3299"/>
      <c r="BJ114" s="3299"/>
      <c r="BK114" s="3299"/>
      <c r="BL114" s="3299"/>
      <c r="BM114" s="3299"/>
      <c r="BN114" s="3299"/>
      <c r="BO114" s="3299"/>
      <c r="BP114" s="3299"/>
      <c r="BQ114" s="3299"/>
      <c r="BR114" s="3299"/>
      <c r="BS114" s="3299"/>
      <c r="BT114" s="3299"/>
      <c r="BU114" s="3299"/>
      <c r="BV114" s="3299"/>
      <c r="BW114" s="3299"/>
      <c r="BX114" s="3299"/>
      <c r="BY114" s="3299"/>
      <c r="BZ114" s="3299"/>
      <c r="CA114" s="3299"/>
      <c r="CB114" s="3299"/>
      <c r="CC114" s="3299"/>
      <c r="CD114" s="3299"/>
      <c r="CE114" s="3299"/>
      <c r="CF114" s="3299"/>
      <c r="CG114" s="3299"/>
      <c r="CH114" s="3299"/>
      <c r="CI114" s="3296">
        <f t="shared" si="6"/>
        <v>0</v>
      </c>
    </row>
    <row r="115" spans="1:87" s="1755" customFormat="1">
      <c r="A115" s="500" t="s">
        <v>3670</v>
      </c>
      <c r="B115" s="521"/>
      <c r="C115" s="509" t="s">
        <v>617</v>
      </c>
      <c r="D115" s="3994"/>
      <c r="E115" s="3571"/>
      <c r="F115" s="523">
        <v>0</v>
      </c>
      <c r="G115" s="523"/>
      <c r="H115" s="3993"/>
      <c r="I115" s="3993"/>
      <c r="J115" s="3993"/>
      <c r="K115" s="3993"/>
      <c r="L115" s="3931"/>
      <c r="M115" s="4003"/>
      <c r="N115" s="3931"/>
      <c r="O115" s="4006"/>
      <c r="P115" s="499"/>
      <c r="Q115" s="511"/>
      <c r="R115" s="4021"/>
      <c r="BB115" s="3299"/>
      <c r="BC115" s="3299"/>
      <c r="BD115" s="3299"/>
      <c r="BE115" s="3299"/>
      <c r="BF115" s="3299"/>
      <c r="BG115" s="3299"/>
      <c r="BH115" s="3299"/>
      <c r="BI115" s="3299"/>
      <c r="BJ115" s="3299"/>
      <c r="BK115" s="3299"/>
      <c r="BL115" s="3299"/>
      <c r="BM115" s="3299"/>
      <c r="BN115" s="3299"/>
      <c r="BO115" s="3299"/>
      <c r="BP115" s="3299"/>
      <c r="BQ115" s="3299"/>
      <c r="BR115" s="3299"/>
      <c r="BS115" s="3299"/>
      <c r="BT115" s="3299"/>
      <c r="BU115" s="3299"/>
      <c r="BV115" s="3299"/>
      <c r="BW115" s="3299"/>
      <c r="BX115" s="3299"/>
      <c r="BY115" s="3299"/>
      <c r="BZ115" s="3299"/>
      <c r="CA115" s="3299"/>
      <c r="CB115" s="3299"/>
      <c r="CC115" s="3299"/>
      <c r="CD115" s="3299"/>
      <c r="CE115" s="3299"/>
      <c r="CF115" s="3299"/>
      <c r="CG115" s="3299"/>
      <c r="CH115" s="3299"/>
      <c r="CI115" s="3296">
        <f t="shared" si="6"/>
        <v>0</v>
      </c>
    </row>
    <row r="116" spans="1:87" s="1755" customFormat="1">
      <c r="A116" s="524" t="s">
        <v>3671</v>
      </c>
      <c r="B116" s="525"/>
      <c r="C116" s="525" t="s">
        <v>2844</v>
      </c>
      <c r="D116" s="525"/>
      <c r="E116" s="525"/>
      <c r="F116" s="526"/>
      <c r="G116" s="526"/>
      <c r="H116" s="526"/>
      <c r="I116" s="526"/>
      <c r="J116" s="526"/>
      <c r="K116" s="526"/>
      <c r="L116" s="526"/>
      <c r="M116" s="527"/>
      <c r="N116" s="526"/>
      <c r="O116" s="527">
        <f>SUM(O117:O127)</f>
        <v>438.54998000000001</v>
      </c>
      <c r="P116" s="528"/>
      <c r="Q116" s="530"/>
      <c r="R116" s="527">
        <f>SUM(R117:R127)</f>
        <v>438.55</v>
      </c>
      <c r="S116" s="3140">
        <f t="shared" ref="S116:S117" si="10">O116-R116</f>
        <v>-2.0000000006348273E-5</v>
      </c>
      <c r="BB116" s="3299"/>
      <c r="BC116" s="3299"/>
      <c r="BD116" s="3299"/>
      <c r="BE116" s="3299"/>
      <c r="BF116" s="3299"/>
      <c r="BG116" s="3299"/>
      <c r="BH116" s="3299"/>
      <c r="BI116" s="3299"/>
      <c r="BJ116" s="3299"/>
      <c r="BK116" s="3299"/>
      <c r="BL116" s="3299"/>
      <c r="BM116" s="3299"/>
      <c r="BN116" s="3299"/>
      <c r="BO116" s="3299"/>
      <c r="BP116" s="3299"/>
      <c r="BQ116" s="3299"/>
      <c r="BR116" s="3299"/>
      <c r="BS116" s="3299"/>
      <c r="BT116" s="3299"/>
      <c r="BU116" s="3299"/>
      <c r="BV116" s="3299"/>
      <c r="BW116" s="3299"/>
      <c r="BX116" s="3299"/>
      <c r="BY116" s="3299"/>
      <c r="BZ116" s="3299"/>
      <c r="CA116" s="3299"/>
      <c r="CB116" s="3299"/>
      <c r="CC116" s="3299"/>
      <c r="CD116" s="3299"/>
      <c r="CE116" s="3299"/>
      <c r="CF116" s="3299"/>
      <c r="CG116" s="3299"/>
      <c r="CH116" s="3299"/>
      <c r="CI116" s="3296">
        <f t="shared" si="6"/>
        <v>0</v>
      </c>
    </row>
    <row r="117" spans="1:87" s="2285" customFormat="1">
      <c r="A117" s="679" t="s">
        <v>3672</v>
      </c>
      <c r="B117" s="521"/>
      <c r="C117" s="521" t="s">
        <v>2129</v>
      </c>
      <c r="D117" s="3994" t="s">
        <v>4645</v>
      </c>
      <c r="E117" s="3571"/>
      <c r="F117" s="2419">
        <v>0</v>
      </c>
      <c r="G117" s="2419"/>
      <c r="H117" s="3991">
        <v>412.85</v>
      </c>
      <c r="I117" s="3991">
        <v>188.09</v>
      </c>
      <c r="J117" s="3991">
        <v>200</v>
      </c>
      <c r="K117" s="3845"/>
      <c r="L117" s="4013">
        <v>181219</v>
      </c>
      <c r="M117" s="3838">
        <f>L117/100000</f>
        <v>1.81219</v>
      </c>
      <c r="N117" s="4013">
        <v>242</v>
      </c>
      <c r="O117" s="3842">
        <f>M117*N117</f>
        <v>438.54998000000001</v>
      </c>
      <c r="P117" s="683"/>
      <c r="Q117" s="2282"/>
      <c r="R117" s="4019">
        <v>438.55</v>
      </c>
      <c r="S117" s="3140">
        <f t="shared" si="10"/>
        <v>-2.0000000006348273E-5</v>
      </c>
      <c r="BB117" s="3300"/>
      <c r="BC117" s="3300"/>
      <c r="BD117" s="3300"/>
      <c r="BE117" s="3300"/>
      <c r="BF117" s="3300"/>
      <c r="BG117" s="3300"/>
      <c r="BH117" s="3300"/>
      <c r="BI117" s="3300"/>
      <c r="BJ117" s="3300"/>
      <c r="BK117" s="3300"/>
      <c r="BL117" s="3300"/>
      <c r="BM117" s="3300"/>
      <c r="BN117" s="3300"/>
      <c r="BO117" s="3300"/>
      <c r="BP117" s="3300"/>
      <c r="BQ117" s="3300"/>
      <c r="BR117" s="3300"/>
      <c r="BS117" s="3300"/>
      <c r="BT117" s="3300"/>
      <c r="BU117" s="3300"/>
      <c r="BV117" s="3300"/>
      <c r="BW117" s="3300"/>
      <c r="BX117" s="3300"/>
      <c r="BY117" s="3300"/>
      <c r="BZ117" s="3300"/>
      <c r="CA117" s="3300"/>
      <c r="CB117" s="3300"/>
      <c r="CC117" s="3300"/>
      <c r="CD117" s="3300"/>
      <c r="CE117" s="3300"/>
      <c r="CF117" s="3300"/>
      <c r="CG117" s="3300"/>
      <c r="CH117" s="3300"/>
      <c r="CI117" s="3296">
        <f t="shared" si="6"/>
        <v>0</v>
      </c>
    </row>
    <row r="118" spans="1:87" s="2285" customFormat="1">
      <c r="A118" s="679" t="s">
        <v>3673</v>
      </c>
      <c r="B118" s="521"/>
      <c r="C118" s="521" t="s">
        <v>2835</v>
      </c>
      <c r="D118" s="3994"/>
      <c r="E118" s="3571"/>
      <c r="F118" s="2419">
        <v>0</v>
      </c>
      <c r="G118" s="2419"/>
      <c r="H118" s="3992"/>
      <c r="I118" s="3992"/>
      <c r="J118" s="3992"/>
      <c r="K118" s="3846"/>
      <c r="L118" s="3852"/>
      <c r="M118" s="3839"/>
      <c r="N118" s="3852"/>
      <c r="O118" s="3843"/>
      <c r="P118" s="683"/>
      <c r="Q118" s="2282"/>
      <c r="R118" s="4020"/>
      <c r="BB118" s="3300"/>
      <c r="BC118" s="3300"/>
      <c r="BD118" s="3300"/>
      <c r="BE118" s="3300"/>
      <c r="BF118" s="3300"/>
      <c r="BG118" s="3300"/>
      <c r="BH118" s="3300"/>
      <c r="BI118" s="3300"/>
      <c r="BJ118" s="3300"/>
      <c r="BK118" s="3300"/>
      <c r="BL118" s="3300"/>
      <c r="BM118" s="3300"/>
      <c r="BN118" s="3300"/>
      <c r="BO118" s="3300"/>
      <c r="BP118" s="3300"/>
      <c r="BQ118" s="3300"/>
      <c r="BR118" s="3300"/>
      <c r="BS118" s="3300"/>
      <c r="BT118" s="3300"/>
      <c r="BU118" s="3300"/>
      <c r="BV118" s="3300"/>
      <c r="BW118" s="3300"/>
      <c r="BX118" s="3300"/>
      <c r="BY118" s="3300"/>
      <c r="BZ118" s="3300"/>
      <c r="CA118" s="3300"/>
      <c r="CB118" s="3300"/>
      <c r="CC118" s="3300"/>
      <c r="CD118" s="3300"/>
      <c r="CE118" s="3300"/>
      <c r="CF118" s="3300"/>
      <c r="CG118" s="3300"/>
      <c r="CH118" s="3300"/>
      <c r="CI118" s="3296">
        <f t="shared" si="6"/>
        <v>0</v>
      </c>
    </row>
    <row r="119" spans="1:87" s="2285" customFormat="1">
      <c r="A119" s="679" t="s">
        <v>3674</v>
      </c>
      <c r="B119" s="521"/>
      <c r="C119" s="521" t="s">
        <v>2131</v>
      </c>
      <c r="D119" s="3994"/>
      <c r="E119" s="3571"/>
      <c r="F119" s="2419">
        <v>0</v>
      </c>
      <c r="G119" s="2419"/>
      <c r="H119" s="3992"/>
      <c r="I119" s="3992"/>
      <c r="J119" s="3992"/>
      <c r="K119" s="3846"/>
      <c r="L119" s="3852"/>
      <c r="M119" s="3839"/>
      <c r="N119" s="3852"/>
      <c r="O119" s="3843"/>
      <c r="P119" s="683"/>
      <c r="Q119" s="2282"/>
      <c r="R119" s="4020"/>
      <c r="BB119" s="3300"/>
      <c r="BC119" s="3300"/>
      <c r="BD119" s="3300"/>
      <c r="BE119" s="3300"/>
      <c r="BF119" s="3300"/>
      <c r="BG119" s="3300"/>
      <c r="BH119" s="3300"/>
      <c r="BI119" s="3300"/>
      <c r="BJ119" s="3300"/>
      <c r="BK119" s="3300"/>
      <c r="BL119" s="3300"/>
      <c r="BM119" s="3300"/>
      <c r="BN119" s="3300"/>
      <c r="BO119" s="3300"/>
      <c r="BP119" s="3300"/>
      <c r="BQ119" s="3300"/>
      <c r="BR119" s="3300"/>
      <c r="BS119" s="3300"/>
      <c r="BT119" s="3300"/>
      <c r="BU119" s="3300"/>
      <c r="BV119" s="3300"/>
      <c r="BW119" s="3300"/>
      <c r="BX119" s="3300"/>
      <c r="BY119" s="3300"/>
      <c r="BZ119" s="3300"/>
      <c r="CA119" s="3300"/>
      <c r="CB119" s="3300"/>
      <c r="CC119" s="3300"/>
      <c r="CD119" s="3300"/>
      <c r="CE119" s="3300"/>
      <c r="CF119" s="3300"/>
      <c r="CG119" s="3300"/>
      <c r="CH119" s="3300"/>
      <c r="CI119" s="3296">
        <f t="shared" si="6"/>
        <v>0</v>
      </c>
    </row>
    <row r="120" spans="1:87" s="2285" customFormat="1">
      <c r="A120" s="679" t="s">
        <v>3675</v>
      </c>
      <c r="B120" s="521"/>
      <c r="C120" s="521" t="s">
        <v>2132</v>
      </c>
      <c r="D120" s="3994"/>
      <c r="E120" s="3571"/>
      <c r="F120" s="2420">
        <v>0</v>
      </c>
      <c r="G120" s="2420"/>
      <c r="H120" s="3992"/>
      <c r="I120" s="3992"/>
      <c r="J120" s="3992"/>
      <c r="K120" s="3846"/>
      <c r="L120" s="3852"/>
      <c r="M120" s="3839"/>
      <c r="N120" s="3852"/>
      <c r="O120" s="3843"/>
      <c r="P120" s="683"/>
      <c r="Q120" s="2282"/>
      <c r="R120" s="4020"/>
      <c r="BB120" s="3300"/>
      <c r="BC120" s="3300"/>
      <c r="BD120" s="3300"/>
      <c r="BE120" s="3300"/>
      <c r="BF120" s="3300"/>
      <c r="BG120" s="3300"/>
      <c r="BH120" s="3300"/>
      <c r="BI120" s="3300"/>
      <c r="BJ120" s="3300"/>
      <c r="BK120" s="3300"/>
      <c r="BL120" s="3300"/>
      <c r="BM120" s="3300"/>
      <c r="BN120" s="3300"/>
      <c r="BO120" s="3300"/>
      <c r="BP120" s="3300"/>
      <c r="BQ120" s="3300"/>
      <c r="BR120" s="3300"/>
      <c r="BS120" s="3300"/>
      <c r="BT120" s="3300"/>
      <c r="BU120" s="3300"/>
      <c r="BV120" s="3300"/>
      <c r="BW120" s="3300"/>
      <c r="BX120" s="3300"/>
      <c r="BY120" s="3300"/>
      <c r="BZ120" s="3300"/>
      <c r="CA120" s="3300"/>
      <c r="CB120" s="3300"/>
      <c r="CC120" s="3300"/>
      <c r="CD120" s="3300"/>
      <c r="CE120" s="3300"/>
      <c r="CF120" s="3300"/>
      <c r="CG120" s="3300"/>
      <c r="CH120" s="3300"/>
      <c r="CI120" s="3296">
        <f t="shared" si="6"/>
        <v>0</v>
      </c>
    </row>
    <row r="121" spans="1:87" s="2285" customFormat="1">
      <c r="A121" s="679" t="s">
        <v>3676</v>
      </c>
      <c r="B121" s="521"/>
      <c r="C121" s="529" t="s">
        <v>2133</v>
      </c>
      <c r="D121" s="3994"/>
      <c r="E121" s="3571"/>
      <c r="F121" s="2420">
        <v>0</v>
      </c>
      <c r="G121" s="2420"/>
      <c r="H121" s="3992"/>
      <c r="I121" s="3992"/>
      <c r="J121" s="3992"/>
      <c r="K121" s="3846"/>
      <c r="L121" s="3852"/>
      <c r="M121" s="3839"/>
      <c r="N121" s="3852"/>
      <c r="O121" s="3843"/>
      <c r="P121" s="683"/>
      <c r="Q121" s="2282"/>
      <c r="R121" s="4020"/>
      <c r="BB121" s="3300"/>
      <c r="BC121" s="3300"/>
      <c r="BD121" s="3300"/>
      <c r="BE121" s="3300"/>
      <c r="BF121" s="3300"/>
      <c r="BG121" s="3300"/>
      <c r="BH121" s="3300"/>
      <c r="BI121" s="3300"/>
      <c r="BJ121" s="3300"/>
      <c r="BK121" s="3300"/>
      <c r="BL121" s="3300"/>
      <c r="BM121" s="3300"/>
      <c r="BN121" s="3300"/>
      <c r="BO121" s="3300"/>
      <c r="BP121" s="3300"/>
      <c r="BQ121" s="3300"/>
      <c r="BR121" s="3300"/>
      <c r="BS121" s="3300"/>
      <c r="BT121" s="3300"/>
      <c r="BU121" s="3300"/>
      <c r="BV121" s="3300"/>
      <c r="BW121" s="3300"/>
      <c r="BX121" s="3300"/>
      <c r="BY121" s="3300"/>
      <c r="BZ121" s="3300"/>
      <c r="CA121" s="3300"/>
      <c r="CB121" s="3300"/>
      <c r="CC121" s="3300"/>
      <c r="CD121" s="3300"/>
      <c r="CE121" s="3300"/>
      <c r="CF121" s="3300"/>
      <c r="CG121" s="3300"/>
      <c r="CH121" s="3300"/>
      <c r="CI121" s="3296">
        <f t="shared" si="6"/>
        <v>0</v>
      </c>
    </row>
    <row r="122" spans="1:87" s="2285" customFormat="1" ht="64.5">
      <c r="A122" s="679" t="s">
        <v>3677</v>
      </c>
      <c r="B122" s="521"/>
      <c r="C122" s="521" t="s">
        <v>2135</v>
      </c>
      <c r="D122" s="3994"/>
      <c r="E122" s="3571"/>
      <c r="F122" s="2417">
        <v>138</v>
      </c>
      <c r="G122" s="2417">
        <v>124</v>
      </c>
      <c r="H122" s="3992"/>
      <c r="I122" s="3992"/>
      <c r="J122" s="3992"/>
      <c r="K122" s="3846"/>
      <c r="L122" s="3852"/>
      <c r="M122" s="3839"/>
      <c r="N122" s="3852"/>
      <c r="O122" s="3843"/>
      <c r="P122" s="2418"/>
      <c r="Q122" s="3127" t="s">
        <v>5929</v>
      </c>
      <c r="R122" s="4020"/>
      <c r="BB122" s="3300">
        <v>61.2</v>
      </c>
      <c r="BC122" s="3300">
        <f>+(4*22473*12+1*11500*12)*105%/100000</f>
        <v>12.775392</v>
      </c>
      <c r="BD122" s="3300">
        <f>+(4*22473*12+2*18257*12+1*17302*12+1*15000*12+1*11500*12)*105%/100000</f>
        <v>21.446208000000002</v>
      </c>
      <c r="BE122" s="3300">
        <f>+(3*22471*12+2*21417*12+1*18257*12+1*21418*12+1*17302*12+1*11500*12)*105%/100000</f>
        <v>22.519223999999998</v>
      </c>
      <c r="BF122" s="3300">
        <f>+(12*22472*12+1*23022*12+3*21418*12+2*18256*12+1*15000*12+2*11500*12)*105%/100000</f>
        <v>54.362952</v>
      </c>
      <c r="BG122" s="3300">
        <f>+(1*22473*12+2*16433*12)*105%/100000</f>
        <v>6.9727139999999999</v>
      </c>
      <c r="BH122" s="3300">
        <f>+(5*24304*12+1*18256*12+1*15000*12+1*23781*12+1*11500*12)*105%/100000</f>
        <v>23.947182000000002</v>
      </c>
      <c r="BI122" s="3300">
        <f>+(1*23575*12+1*20262*12)*105%/100000</f>
        <v>5.5234620000000003</v>
      </c>
      <c r="BJ122" s="3300">
        <f>+(11*22473*12+1*21316*12+2*18256*12+1*22525*12+1*15000*12+1*11500*12)*105%/100000</f>
        <v>44.611056000000005</v>
      </c>
      <c r="BK122" s="3300">
        <f>+(6*22472*12+4*19259*12+4*15000*12+2*11500*12)*105%/100000</f>
        <v>37.153368</v>
      </c>
      <c r="BL122" s="3300">
        <f>+(7*22472*12+1*18257*12+1*11500*12)*105%/100000</f>
        <v>23.569686000000001</v>
      </c>
      <c r="BM122" s="3300">
        <f>+(4*22473*12+1*17300*12+1*15000*12+1*24304*12+3*11500*12)*105%/100000</f>
        <v>22.805496000000002</v>
      </c>
      <c r="BN122" s="3300">
        <f>+(5*22472*12+1*11500*12)*105%/100000</f>
        <v>15.60636</v>
      </c>
      <c r="BO122" s="3300"/>
      <c r="BP122" s="3300"/>
      <c r="BQ122" s="3300"/>
      <c r="BR122" s="3300"/>
      <c r="BS122" s="3300"/>
      <c r="BT122" s="3300"/>
      <c r="BU122" s="3300"/>
      <c r="BV122" s="3300"/>
      <c r="BW122" s="3300"/>
      <c r="BX122" s="3300"/>
      <c r="BY122" s="3300"/>
      <c r="BZ122" s="3300"/>
      <c r="CA122" s="3300"/>
      <c r="CB122" s="3300"/>
      <c r="CC122" s="3300"/>
      <c r="CD122" s="3300"/>
      <c r="CE122" s="3300"/>
      <c r="CF122" s="3300"/>
      <c r="CG122" s="3300"/>
      <c r="CH122" s="3300"/>
      <c r="CI122" s="3296">
        <f t="shared" si="6"/>
        <v>352.49309999999997</v>
      </c>
    </row>
    <row r="123" spans="1:87" s="1755" customFormat="1">
      <c r="A123" s="494" t="s">
        <v>3678</v>
      </c>
      <c r="B123" s="521"/>
      <c r="C123" s="509" t="s">
        <v>2136</v>
      </c>
      <c r="D123" s="3994"/>
      <c r="E123" s="3571"/>
      <c r="F123" s="510">
        <v>0</v>
      </c>
      <c r="G123" s="510"/>
      <c r="H123" s="3992"/>
      <c r="I123" s="3992"/>
      <c r="J123" s="3992"/>
      <c r="K123" s="3846"/>
      <c r="L123" s="3852"/>
      <c r="M123" s="3839"/>
      <c r="N123" s="3852"/>
      <c r="O123" s="3843"/>
      <c r="P123" s="499"/>
      <c r="Q123" s="511"/>
      <c r="R123" s="4020"/>
      <c r="BB123" s="3299"/>
      <c r="BC123" s="3299"/>
      <c r="BD123" s="3299"/>
      <c r="BE123" s="3299"/>
      <c r="BF123" s="3299"/>
      <c r="BG123" s="3299"/>
      <c r="BH123" s="3299"/>
      <c r="BI123" s="3299"/>
      <c r="BJ123" s="3299"/>
      <c r="BK123" s="3299"/>
      <c r="BL123" s="3299"/>
      <c r="BM123" s="3299"/>
      <c r="BN123" s="3299"/>
      <c r="BO123" s="3299"/>
      <c r="BP123" s="3299"/>
      <c r="BQ123" s="3299"/>
      <c r="BR123" s="3299"/>
      <c r="BS123" s="3299"/>
      <c r="BT123" s="3299"/>
      <c r="BU123" s="3299"/>
      <c r="BV123" s="3299"/>
      <c r="BW123" s="3299"/>
      <c r="BX123" s="3299"/>
      <c r="BY123" s="3299"/>
      <c r="BZ123" s="3299"/>
      <c r="CA123" s="3299"/>
      <c r="CB123" s="3299"/>
      <c r="CC123" s="3299"/>
      <c r="CD123" s="3299"/>
      <c r="CE123" s="3299"/>
      <c r="CF123" s="3299"/>
      <c r="CG123" s="3299"/>
      <c r="CH123" s="3299"/>
      <c r="CI123" s="3296">
        <f t="shared" si="6"/>
        <v>0</v>
      </c>
    </row>
    <row r="124" spans="1:87" s="1755" customFormat="1">
      <c r="A124" s="494" t="s">
        <v>3679</v>
      </c>
      <c r="B124" s="521"/>
      <c r="C124" s="522" t="s">
        <v>668</v>
      </c>
      <c r="D124" s="3994"/>
      <c r="E124" s="3571"/>
      <c r="F124" s="510">
        <v>0</v>
      </c>
      <c r="G124" s="510"/>
      <c r="H124" s="3992"/>
      <c r="I124" s="3992"/>
      <c r="J124" s="3992"/>
      <c r="K124" s="3846"/>
      <c r="L124" s="3852"/>
      <c r="M124" s="3839"/>
      <c r="N124" s="3852"/>
      <c r="O124" s="3843"/>
      <c r="P124" s="499"/>
      <c r="Q124" s="511"/>
      <c r="R124" s="4020"/>
      <c r="BB124" s="3299"/>
      <c r="BC124" s="3299"/>
      <c r="BD124" s="3299"/>
      <c r="BE124" s="3299"/>
      <c r="BF124" s="3299"/>
      <c r="BG124" s="3299"/>
      <c r="BH124" s="3299"/>
      <c r="BI124" s="3299"/>
      <c r="BJ124" s="3299"/>
      <c r="BK124" s="3299"/>
      <c r="BL124" s="3299"/>
      <c r="BM124" s="3299"/>
      <c r="BN124" s="3299"/>
      <c r="BO124" s="3299"/>
      <c r="BP124" s="3299"/>
      <c r="BQ124" s="3299"/>
      <c r="BR124" s="3299"/>
      <c r="BS124" s="3299"/>
      <c r="BT124" s="3299"/>
      <c r="BU124" s="3299"/>
      <c r="BV124" s="3299"/>
      <c r="BW124" s="3299"/>
      <c r="BX124" s="3299"/>
      <c r="BY124" s="3299"/>
      <c r="BZ124" s="3299"/>
      <c r="CA124" s="3299"/>
      <c r="CB124" s="3299"/>
      <c r="CC124" s="3299"/>
      <c r="CD124" s="3299"/>
      <c r="CE124" s="3299"/>
      <c r="CF124" s="3299"/>
      <c r="CG124" s="3299"/>
      <c r="CH124" s="3299"/>
      <c r="CI124" s="3296">
        <f t="shared" si="6"/>
        <v>0</v>
      </c>
    </row>
    <row r="125" spans="1:87" s="1755" customFormat="1">
      <c r="A125" s="494" t="s">
        <v>3680</v>
      </c>
      <c r="B125" s="521"/>
      <c r="C125" s="509" t="s">
        <v>2140</v>
      </c>
      <c r="D125" s="3994"/>
      <c r="E125" s="3571"/>
      <c r="F125" s="510">
        <v>0</v>
      </c>
      <c r="G125" s="510"/>
      <c r="H125" s="3992"/>
      <c r="I125" s="3992"/>
      <c r="J125" s="3992"/>
      <c r="K125" s="3846"/>
      <c r="L125" s="3852"/>
      <c r="M125" s="3839"/>
      <c r="N125" s="3852"/>
      <c r="O125" s="3843"/>
      <c r="P125" s="499"/>
      <c r="Q125" s="511"/>
      <c r="R125" s="4020"/>
      <c r="BB125" s="3299"/>
      <c r="BC125" s="3299"/>
      <c r="BD125" s="3299"/>
      <c r="BE125" s="3299"/>
      <c r="BF125" s="3299"/>
      <c r="BG125" s="3299"/>
      <c r="BH125" s="3299"/>
      <c r="BI125" s="3299"/>
      <c r="BJ125" s="3299"/>
      <c r="BK125" s="3299"/>
      <c r="BL125" s="3299"/>
      <c r="BM125" s="3299"/>
      <c r="BN125" s="3299"/>
      <c r="BO125" s="3299"/>
      <c r="BP125" s="3299"/>
      <c r="BQ125" s="3299"/>
      <c r="BR125" s="3299"/>
      <c r="BS125" s="3299"/>
      <c r="BT125" s="3299"/>
      <c r="BU125" s="3299"/>
      <c r="BV125" s="3299"/>
      <c r="BW125" s="3299"/>
      <c r="BX125" s="3299"/>
      <c r="BY125" s="3299"/>
      <c r="BZ125" s="3299"/>
      <c r="CA125" s="3299"/>
      <c r="CB125" s="3299"/>
      <c r="CC125" s="3299"/>
      <c r="CD125" s="3299"/>
      <c r="CE125" s="3299"/>
      <c r="CF125" s="3299"/>
      <c r="CG125" s="3299"/>
      <c r="CH125" s="3299"/>
      <c r="CI125" s="3296">
        <f t="shared" si="6"/>
        <v>0</v>
      </c>
    </row>
    <row r="126" spans="1:87" s="1755" customFormat="1" ht="90" thickBot="1">
      <c r="A126" s="494" t="s">
        <v>3681</v>
      </c>
      <c r="B126" s="521"/>
      <c r="C126" s="509" t="s">
        <v>2141</v>
      </c>
      <c r="D126" s="3994"/>
      <c r="E126" s="3571"/>
      <c r="F126" s="510" t="s">
        <v>5398</v>
      </c>
      <c r="G126" s="510"/>
      <c r="H126" s="3992"/>
      <c r="I126" s="3992"/>
      <c r="J126" s="3992"/>
      <c r="K126" s="3846"/>
      <c r="L126" s="3852"/>
      <c r="M126" s="3839"/>
      <c r="N126" s="3852"/>
      <c r="O126" s="3843"/>
      <c r="P126" s="2621" t="s">
        <v>5429</v>
      </c>
      <c r="Q126" s="2943" t="s">
        <v>5831</v>
      </c>
      <c r="R126" s="4020"/>
      <c r="BB126" s="3299">
        <v>23.52</v>
      </c>
      <c r="BC126" s="3299">
        <f>+(2*14382*12+1*14345*12)*105%/100000</f>
        <v>5.4317340000000005</v>
      </c>
      <c r="BD126" s="3299">
        <f>+(4*14382*12)*105%/100000</f>
        <v>7.2485280000000003</v>
      </c>
      <c r="BE126" s="3299">
        <f>+(3*14382*12)*105%/100000</f>
        <v>5.4363959999999993</v>
      </c>
      <c r="BF126" s="3299">
        <f>+(2*13679*12+1*11766*12)*105%/100000</f>
        <v>4.9296240000000004</v>
      </c>
      <c r="BG126" s="3299">
        <f>+(1*10696*12+1*14382*12)*105%/100000</f>
        <v>3.1598280000000001</v>
      </c>
      <c r="BH126" s="3299">
        <f>+(1*11766*12+2*15372*12)*105%/100000</f>
        <v>5.3562599999999998</v>
      </c>
      <c r="BI126" s="3299">
        <f>+(1*14345*12)*105%/100000</f>
        <v>1.8074699999999999</v>
      </c>
      <c r="BJ126" s="3299">
        <f>+(3*14382*12)*105%/100000</f>
        <v>5.4363959999999993</v>
      </c>
      <c r="BK126" s="3299">
        <f>+(1*13673*12+3*14382*12+3*11793*12)*105%/100000</f>
        <v>11.616948000000001</v>
      </c>
      <c r="BL126" s="3299">
        <f>+(1*14245*12)*105%/100000</f>
        <v>1.79487</v>
      </c>
      <c r="BM126" s="3299">
        <f>+(2*14381*12+1*12656*12+2*8700*12)*105%/100000</f>
        <v>7.4110680000000002</v>
      </c>
      <c r="BN126" s="3299">
        <f>+(1*14372*12+1*8700*12)*105%/100000</f>
        <v>2.9070720000000003</v>
      </c>
      <c r="BO126" s="3299"/>
      <c r="BP126" s="3299"/>
      <c r="BQ126" s="3299"/>
      <c r="BR126" s="3299"/>
      <c r="BS126" s="3299"/>
      <c r="BT126" s="3299"/>
      <c r="BU126" s="3299"/>
      <c r="BV126" s="3299"/>
      <c r="BW126" s="3299"/>
      <c r="BX126" s="3299"/>
      <c r="BY126" s="3299"/>
      <c r="BZ126" s="3299"/>
      <c r="CA126" s="3299"/>
      <c r="CB126" s="3299"/>
      <c r="CC126" s="3299"/>
      <c r="CD126" s="3299"/>
      <c r="CE126" s="3299"/>
      <c r="CF126" s="3299"/>
      <c r="CG126" s="3299"/>
      <c r="CH126" s="3299"/>
      <c r="CI126" s="3296">
        <f t="shared" si="6"/>
        <v>86.056194000000005</v>
      </c>
    </row>
    <row r="127" spans="1:87" s="1755" customFormat="1">
      <c r="A127" s="500" t="s">
        <v>3682</v>
      </c>
      <c r="B127" s="521"/>
      <c r="C127" s="509" t="s">
        <v>617</v>
      </c>
      <c r="D127" s="3994"/>
      <c r="E127" s="3571"/>
      <c r="F127" s="510" t="s">
        <v>5398</v>
      </c>
      <c r="G127" s="510"/>
      <c r="H127" s="3993"/>
      <c r="I127" s="3993"/>
      <c r="J127" s="3993"/>
      <c r="K127" s="4015"/>
      <c r="L127" s="4014"/>
      <c r="M127" s="4022"/>
      <c r="N127" s="4014"/>
      <c r="O127" s="4023"/>
      <c r="P127" s="499"/>
      <c r="Q127" s="511"/>
      <c r="R127" s="4021"/>
      <c r="BB127" s="3299"/>
      <c r="BC127" s="3299"/>
      <c r="BD127" s="3299"/>
      <c r="BE127" s="3299"/>
      <c r="BF127" s="3299"/>
      <c r="BG127" s="3299"/>
      <c r="BH127" s="3299"/>
      <c r="BI127" s="3299"/>
      <c r="BJ127" s="3299"/>
      <c r="BK127" s="3299"/>
      <c r="BL127" s="3299"/>
      <c r="BM127" s="3299"/>
      <c r="BN127" s="3299"/>
      <c r="BO127" s="3299"/>
      <c r="BP127" s="3299"/>
      <c r="BQ127" s="3299"/>
      <c r="BR127" s="3299"/>
      <c r="BS127" s="3299"/>
      <c r="BT127" s="3299"/>
      <c r="BU127" s="3299"/>
      <c r="BV127" s="3299"/>
      <c r="BW127" s="3299"/>
      <c r="BX127" s="3299"/>
      <c r="BY127" s="3299"/>
      <c r="BZ127" s="3299"/>
      <c r="CA127" s="3299"/>
      <c r="CB127" s="3299"/>
      <c r="CC127" s="3299"/>
      <c r="CD127" s="3299"/>
      <c r="CE127" s="3299"/>
      <c r="CF127" s="3299"/>
      <c r="CG127" s="3299"/>
      <c r="CH127" s="3299"/>
      <c r="CI127" s="3296">
        <f t="shared" si="6"/>
        <v>0</v>
      </c>
    </row>
    <row r="128" spans="1:87" s="1755" customFormat="1">
      <c r="A128" s="524" t="s">
        <v>3683</v>
      </c>
      <c r="B128" s="525"/>
      <c r="C128" s="525" t="s">
        <v>2845</v>
      </c>
      <c r="D128" s="525"/>
      <c r="E128" s="525"/>
      <c r="F128" s="526"/>
      <c r="G128" s="526"/>
      <c r="H128" s="526"/>
      <c r="I128" s="526"/>
      <c r="J128" s="526"/>
      <c r="K128" s="526"/>
      <c r="L128" s="526"/>
      <c r="M128" s="527"/>
      <c r="N128" s="526"/>
      <c r="O128" s="527">
        <f>SUM(O129:O139)</f>
        <v>0</v>
      </c>
      <c r="P128" s="528"/>
      <c r="Q128" s="530"/>
      <c r="R128" s="527">
        <f>SUM(R129:R139)</f>
        <v>0</v>
      </c>
      <c r="S128" s="3140">
        <f>O128-R128</f>
        <v>0</v>
      </c>
      <c r="BB128" s="3299"/>
      <c r="BC128" s="3299"/>
      <c r="BD128" s="3299"/>
      <c r="BE128" s="3299"/>
      <c r="BF128" s="3299"/>
      <c r="BG128" s="3299"/>
      <c r="BH128" s="3299"/>
      <c r="BI128" s="3299"/>
      <c r="BJ128" s="3299"/>
      <c r="BK128" s="3299"/>
      <c r="BL128" s="3299"/>
      <c r="BM128" s="3299"/>
      <c r="BN128" s="3299"/>
      <c r="BO128" s="3299"/>
      <c r="BP128" s="3299"/>
      <c r="BQ128" s="3299"/>
      <c r="BR128" s="3299"/>
      <c r="BS128" s="3299"/>
      <c r="BT128" s="3299"/>
      <c r="BU128" s="3299"/>
      <c r="BV128" s="3299"/>
      <c r="BW128" s="3299"/>
      <c r="BX128" s="3299"/>
      <c r="BY128" s="3299"/>
      <c r="BZ128" s="3299"/>
      <c r="CA128" s="3299"/>
      <c r="CB128" s="3299"/>
      <c r="CC128" s="3299"/>
      <c r="CD128" s="3299"/>
      <c r="CE128" s="3299"/>
      <c r="CF128" s="3299"/>
      <c r="CG128" s="3299"/>
      <c r="CH128" s="3299"/>
      <c r="CI128" s="3296">
        <f t="shared" si="6"/>
        <v>0</v>
      </c>
    </row>
    <row r="129" spans="1:87" s="1755" customFormat="1">
      <c r="A129" s="494" t="s">
        <v>3684</v>
      </c>
      <c r="B129" s="521"/>
      <c r="C129" s="509" t="s">
        <v>2129</v>
      </c>
      <c r="D129" s="3994" t="s">
        <v>3870</v>
      </c>
      <c r="E129" s="3571"/>
      <c r="F129" s="510">
        <v>0</v>
      </c>
      <c r="G129" s="510"/>
      <c r="H129" s="3991"/>
      <c r="I129" s="3991"/>
      <c r="J129" s="3991"/>
      <c r="K129" s="3991"/>
      <c r="L129" s="3929"/>
      <c r="M129" s="4001">
        <f>L129/100000</f>
        <v>0</v>
      </c>
      <c r="N129" s="3929"/>
      <c r="O129" s="4004">
        <f>M129*N129</f>
        <v>0</v>
      </c>
      <c r="P129" s="499"/>
      <c r="Q129" s="511"/>
      <c r="R129" s="4019"/>
      <c r="BB129" s="3299"/>
      <c r="BC129" s="3299"/>
      <c r="BD129" s="3299"/>
      <c r="BE129" s="3299"/>
      <c r="BF129" s="3299"/>
      <c r="BG129" s="3299"/>
      <c r="BH129" s="3299"/>
      <c r="BI129" s="3299"/>
      <c r="BJ129" s="3299"/>
      <c r="BK129" s="3299"/>
      <c r="BL129" s="3299"/>
      <c r="BM129" s="3299"/>
      <c r="BN129" s="3299"/>
      <c r="BO129" s="3299"/>
      <c r="BP129" s="3299"/>
      <c r="BQ129" s="3299"/>
      <c r="BR129" s="3299"/>
      <c r="BS129" s="3299"/>
      <c r="BT129" s="3299"/>
      <c r="BU129" s="3299"/>
      <c r="BV129" s="3299"/>
      <c r="BW129" s="3299"/>
      <c r="BX129" s="3299"/>
      <c r="BY129" s="3299"/>
      <c r="BZ129" s="3299"/>
      <c r="CA129" s="3299"/>
      <c r="CB129" s="3299"/>
      <c r="CC129" s="3299"/>
      <c r="CD129" s="3299"/>
      <c r="CE129" s="3299"/>
      <c r="CF129" s="3299"/>
      <c r="CG129" s="3299"/>
      <c r="CH129" s="3299"/>
      <c r="CI129" s="3296">
        <f t="shared" si="6"/>
        <v>0</v>
      </c>
    </row>
    <row r="130" spans="1:87" s="1755" customFormat="1">
      <c r="A130" s="494" t="s">
        <v>3685</v>
      </c>
      <c r="B130" s="521"/>
      <c r="C130" s="509" t="s">
        <v>2835</v>
      </c>
      <c r="D130" s="3994"/>
      <c r="E130" s="3571"/>
      <c r="F130" s="510">
        <v>0</v>
      </c>
      <c r="G130" s="510"/>
      <c r="H130" s="3992"/>
      <c r="I130" s="3992"/>
      <c r="J130" s="3992"/>
      <c r="K130" s="3992"/>
      <c r="L130" s="3930"/>
      <c r="M130" s="4002"/>
      <c r="N130" s="3930"/>
      <c r="O130" s="4005"/>
      <c r="P130" s="499"/>
      <c r="Q130" s="511"/>
      <c r="R130" s="4020"/>
      <c r="BB130" s="3299"/>
      <c r="BC130" s="3299"/>
      <c r="BD130" s="3299"/>
      <c r="BE130" s="3299"/>
      <c r="BF130" s="3299"/>
      <c r="BG130" s="3299"/>
      <c r="BH130" s="3299"/>
      <c r="BI130" s="3299"/>
      <c r="BJ130" s="3299"/>
      <c r="BK130" s="3299"/>
      <c r="BL130" s="3299"/>
      <c r="BM130" s="3299"/>
      <c r="BN130" s="3299"/>
      <c r="BO130" s="3299"/>
      <c r="BP130" s="3299"/>
      <c r="BQ130" s="3299"/>
      <c r="BR130" s="3299"/>
      <c r="BS130" s="3299"/>
      <c r="BT130" s="3299"/>
      <c r="BU130" s="3299"/>
      <c r="BV130" s="3299"/>
      <c r="BW130" s="3299"/>
      <c r="BX130" s="3299"/>
      <c r="BY130" s="3299"/>
      <c r="BZ130" s="3299"/>
      <c r="CA130" s="3299"/>
      <c r="CB130" s="3299"/>
      <c r="CC130" s="3299"/>
      <c r="CD130" s="3299"/>
      <c r="CE130" s="3299"/>
      <c r="CF130" s="3299"/>
      <c r="CG130" s="3299"/>
      <c r="CH130" s="3299"/>
      <c r="CI130" s="3296">
        <f t="shared" si="6"/>
        <v>0</v>
      </c>
    </row>
    <row r="131" spans="1:87" s="1755" customFormat="1">
      <c r="A131" s="494" t="s">
        <v>3686</v>
      </c>
      <c r="B131" s="534"/>
      <c r="C131" s="509" t="s">
        <v>2131</v>
      </c>
      <c r="D131" s="3994"/>
      <c r="E131" s="3571"/>
      <c r="F131" s="510">
        <v>0</v>
      </c>
      <c r="G131" s="510"/>
      <c r="H131" s="3992"/>
      <c r="I131" s="3992"/>
      <c r="J131" s="3992"/>
      <c r="K131" s="3992"/>
      <c r="L131" s="3930"/>
      <c r="M131" s="4002"/>
      <c r="N131" s="3930"/>
      <c r="O131" s="4005"/>
      <c r="P131" s="499"/>
      <c r="Q131" s="511"/>
      <c r="R131" s="4020"/>
      <c r="BB131" s="3299"/>
      <c r="BC131" s="3299"/>
      <c r="BD131" s="3299"/>
      <c r="BE131" s="3299"/>
      <c r="BF131" s="3299"/>
      <c r="BG131" s="3299"/>
      <c r="BH131" s="3299"/>
      <c r="BI131" s="3299"/>
      <c r="BJ131" s="3299"/>
      <c r="BK131" s="3299"/>
      <c r="BL131" s="3299"/>
      <c r="BM131" s="3299"/>
      <c r="BN131" s="3299"/>
      <c r="BO131" s="3299"/>
      <c r="BP131" s="3299"/>
      <c r="BQ131" s="3299"/>
      <c r="BR131" s="3299"/>
      <c r="BS131" s="3299"/>
      <c r="BT131" s="3299"/>
      <c r="BU131" s="3299"/>
      <c r="BV131" s="3299"/>
      <c r="BW131" s="3299"/>
      <c r="BX131" s="3299"/>
      <c r="BY131" s="3299"/>
      <c r="BZ131" s="3299"/>
      <c r="CA131" s="3299"/>
      <c r="CB131" s="3299"/>
      <c r="CC131" s="3299"/>
      <c r="CD131" s="3299"/>
      <c r="CE131" s="3299"/>
      <c r="CF131" s="3299"/>
      <c r="CG131" s="3299"/>
      <c r="CH131" s="3299"/>
      <c r="CI131" s="3296">
        <f t="shared" si="6"/>
        <v>0</v>
      </c>
    </row>
    <row r="132" spans="1:87" s="1755" customFormat="1">
      <c r="A132" s="494" t="s">
        <v>3687</v>
      </c>
      <c r="B132" s="521"/>
      <c r="C132" s="509" t="s">
        <v>2132</v>
      </c>
      <c r="D132" s="3994"/>
      <c r="E132" s="3571"/>
      <c r="F132" s="510">
        <v>0</v>
      </c>
      <c r="G132" s="510"/>
      <c r="H132" s="3992"/>
      <c r="I132" s="3992"/>
      <c r="J132" s="3992"/>
      <c r="K132" s="3992"/>
      <c r="L132" s="3930"/>
      <c r="M132" s="4002"/>
      <c r="N132" s="3930"/>
      <c r="O132" s="4005"/>
      <c r="P132" s="499"/>
      <c r="Q132" s="511"/>
      <c r="R132" s="4020"/>
      <c r="BB132" s="3299"/>
      <c r="BC132" s="3299"/>
      <c r="BD132" s="3299"/>
      <c r="BE132" s="3299"/>
      <c r="BF132" s="3299"/>
      <c r="BG132" s="3299"/>
      <c r="BH132" s="3299"/>
      <c r="BI132" s="3299"/>
      <c r="BJ132" s="3299"/>
      <c r="BK132" s="3299"/>
      <c r="BL132" s="3299"/>
      <c r="BM132" s="3299"/>
      <c r="BN132" s="3299"/>
      <c r="BO132" s="3299"/>
      <c r="BP132" s="3299"/>
      <c r="BQ132" s="3299"/>
      <c r="BR132" s="3299"/>
      <c r="BS132" s="3299"/>
      <c r="BT132" s="3299"/>
      <c r="BU132" s="3299"/>
      <c r="BV132" s="3299"/>
      <c r="BW132" s="3299"/>
      <c r="BX132" s="3299"/>
      <c r="BY132" s="3299"/>
      <c r="BZ132" s="3299"/>
      <c r="CA132" s="3299"/>
      <c r="CB132" s="3299"/>
      <c r="CC132" s="3299"/>
      <c r="CD132" s="3299"/>
      <c r="CE132" s="3299"/>
      <c r="CF132" s="3299"/>
      <c r="CG132" s="3299"/>
      <c r="CH132" s="3299"/>
      <c r="CI132" s="3296">
        <f t="shared" si="6"/>
        <v>0</v>
      </c>
    </row>
    <row r="133" spans="1:87" s="1755" customFormat="1">
      <c r="A133" s="494" t="s">
        <v>3688</v>
      </c>
      <c r="B133" s="521"/>
      <c r="C133" s="522" t="s">
        <v>2133</v>
      </c>
      <c r="D133" s="3994"/>
      <c r="E133" s="3571"/>
      <c r="F133" s="510">
        <v>0</v>
      </c>
      <c r="G133" s="510"/>
      <c r="H133" s="3992"/>
      <c r="I133" s="3992"/>
      <c r="J133" s="3992"/>
      <c r="K133" s="3992"/>
      <c r="L133" s="3930"/>
      <c r="M133" s="4002"/>
      <c r="N133" s="3930"/>
      <c r="O133" s="4005"/>
      <c r="P133" s="499"/>
      <c r="Q133" s="511"/>
      <c r="R133" s="4020"/>
      <c r="BB133" s="3299"/>
      <c r="BC133" s="3299"/>
      <c r="BD133" s="3299"/>
      <c r="BE133" s="3299"/>
      <c r="BF133" s="3299"/>
      <c r="BG133" s="3299"/>
      <c r="BH133" s="3299"/>
      <c r="BI133" s="3299"/>
      <c r="BJ133" s="3299"/>
      <c r="BK133" s="3299"/>
      <c r="BL133" s="3299"/>
      <c r="BM133" s="3299"/>
      <c r="BN133" s="3299"/>
      <c r="BO133" s="3299"/>
      <c r="BP133" s="3299"/>
      <c r="BQ133" s="3299"/>
      <c r="BR133" s="3299"/>
      <c r="BS133" s="3299"/>
      <c r="BT133" s="3299"/>
      <c r="BU133" s="3299"/>
      <c r="BV133" s="3299"/>
      <c r="BW133" s="3299"/>
      <c r="BX133" s="3299"/>
      <c r="BY133" s="3299"/>
      <c r="BZ133" s="3299"/>
      <c r="CA133" s="3299"/>
      <c r="CB133" s="3299"/>
      <c r="CC133" s="3299"/>
      <c r="CD133" s="3299"/>
      <c r="CE133" s="3299"/>
      <c r="CF133" s="3299"/>
      <c r="CG133" s="3299"/>
      <c r="CH133" s="3299"/>
      <c r="CI133" s="3296">
        <f t="shared" si="6"/>
        <v>0</v>
      </c>
    </row>
    <row r="134" spans="1:87" s="1755" customFormat="1">
      <c r="A134" s="494" t="s">
        <v>3689</v>
      </c>
      <c r="B134" s="521"/>
      <c r="C134" s="509" t="s">
        <v>2135</v>
      </c>
      <c r="D134" s="3994"/>
      <c r="E134" s="3571"/>
      <c r="F134" s="510">
        <v>0</v>
      </c>
      <c r="G134" s="510"/>
      <c r="H134" s="3992"/>
      <c r="I134" s="3992"/>
      <c r="J134" s="3992"/>
      <c r="K134" s="3992"/>
      <c r="L134" s="3930"/>
      <c r="M134" s="4002"/>
      <c r="N134" s="3930"/>
      <c r="O134" s="4005"/>
      <c r="P134" s="499"/>
      <c r="Q134" s="511"/>
      <c r="R134" s="4020"/>
      <c r="BB134" s="3299"/>
      <c r="BC134" s="3299"/>
      <c r="BD134" s="3299"/>
      <c r="BE134" s="3299"/>
      <c r="BF134" s="3299"/>
      <c r="BG134" s="3299"/>
      <c r="BH134" s="3299"/>
      <c r="BI134" s="3299"/>
      <c r="BJ134" s="3299"/>
      <c r="BK134" s="3299"/>
      <c r="BL134" s="3299"/>
      <c r="BM134" s="3299"/>
      <c r="BN134" s="3299"/>
      <c r="BO134" s="3299"/>
      <c r="BP134" s="3299"/>
      <c r="BQ134" s="3299"/>
      <c r="BR134" s="3299"/>
      <c r="BS134" s="3299"/>
      <c r="BT134" s="3299"/>
      <c r="BU134" s="3299"/>
      <c r="BV134" s="3299"/>
      <c r="BW134" s="3299"/>
      <c r="BX134" s="3299"/>
      <c r="BY134" s="3299"/>
      <c r="BZ134" s="3299"/>
      <c r="CA134" s="3299"/>
      <c r="CB134" s="3299"/>
      <c r="CC134" s="3299"/>
      <c r="CD134" s="3299"/>
      <c r="CE134" s="3299"/>
      <c r="CF134" s="3299"/>
      <c r="CG134" s="3299"/>
      <c r="CH134" s="3299"/>
      <c r="CI134" s="3296">
        <f t="shared" si="6"/>
        <v>0</v>
      </c>
    </row>
    <row r="135" spans="1:87" s="1755" customFormat="1">
      <c r="A135" s="494" t="s">
        <v>3690</v>
      </c>
      <c r="B135" s="521"/>
      <c r="C135" s="509" t="s">
        <v>2136</v>
      </c>
      <c r="D135" s="3994"/>
      <c r="E135" s="3571"/>
      <c r="F135" s="510">
        <v>0</v>
      </c>
      <c r="G135" s="510"/>
      <c r="H135" s="3992"/>
      <c r="I135" s="3992"/>
      <c r="J135" s="3992"/>
      <c r="K135" s="3992"/>
      <c r="L135" s="3930"/>
      <c r="M135" s="4002"/>
      <c r="N135" s="3930"/>
      <c r="O135" s="4005"/>
      <c r="P135" s="499"/>
      <c r="Q135" s="511"/>
      <c r="R135" s="4020"/>
      <c r="BB135" s="3299"/>
      <c r="BC135" s="3299"/>
      <c r="BD135" s="3299"/>
      <c r="BE135" s="3299"/>
      <c r="BF135" s="3299"/>
      <c r="BG135" s="3299"/>
      <c r="BH135" s="3299"/>
      <c r="BI135" s="3299"/>
      <c r="BJ135" s="3299"/>
      <c r="BK135" s="3299"/>
      <c r="BL135" s="3299"/>
      <c r="BM135" s="3299"/>
      <c r="BN135" s="3299"/>
      <c r="BO135" s="3299"/>
      <c r="BP135" s="3299"/>
      <c r="BQ135" s="3299"/>
      <c r="BR135" s="3299"/>
      <c r="BS135" s="3299"/>
      <c r="BT135" s="3299"/>
      <c r="BU135" s="3299"/>
      <c r="BV135" s="3299"/>
      <c r="BW135" s="3299"/>
      <c r="BX135" s="3299"/>
      <c r="BY135" s="3299"/>
      <c r="BZ135" s="3299"/>
      <c r="CA135" s="3299"/>
      <c r="CB135" s="3299"/>
      <c r="CC135" s="3299"/>
      <c r="CD135" s="3299"/>
      <c r="CE135" s="3299"/>
      <c r="CF135" s="3299"/>
      <c r="CG135" s="3299"/>
      <c r="CH135" s="3299"/>
      <c r="CI135" s="3296">
        <f t="shared" si="6"/>
        <v>0</v>
      </c>
    </row>
    <row r="136" spans="1:87" s="1755" customFormat="1">
      <c r="A136" s="494" t="s">
        <v>3691</v>
      </c>
      <c r="B136" s="521"/>
      <c r="C136" s="522" t="s">
        <v>668</v>
      </c>
      <c r="D136" s="3994"/>
      <c r="E136" s="3571"/>
      <c r="F136" s="510">
        <v>0</v>
      </c>
      <c r="G136" s="510"/>
      <c r="H136" s="3992"/>
      <c r="I136" s="3992"/>
      <c r="J136" s="3992"/>
      <c r="K136" s="3992"/>
      <c r="L136" s="3930"/>
      <c r="M136" s="4002"/>
      <c r="N136" s="3930"/>
      <c r="O136" s="4005"/>
      <c r="P136" s="499"/>
      <c r="Q136" s="511"/>
      <c r="R136" s="4020"/>
      <c r="BB136" s="3299"/>
      <c r="BC136" s="3299"/>
      <c r="BD136" s="3299"/>
      <c r="BE136" s="3299"/>
      <c r="BF136" s="3299"/>
      <c r="BG136" s="3299"/>
      <c r="BH136" s="3299"/>
      <c r="BI136" s="3299"/>
      <c r="BJ136" s="3299"/>
      <c r="BK136" s="3299"/>
      <c r="BL136" s="3299"/>
      <c r="BM136" s="3299"/>
      <c r="BN136" s="3299"/>
      <c r="BO136" s="3299"/>
      <c r="BP136" s="3299"/>
      <c r="BQ136" s="3299"/>
      <c r="BR136" s="3299"/>
      <c r="BS136" s="3299"/>
      <c r="BT136" s="3299"/>
      <c r="BU136" s="3299"/>
      <c r="BV136" s="3299"/>
      <c r="BW136" s="3299"/>
      <c r="BX136" s="3299"/>
      <c r="BY136" s="3299"/>
      <c r="BZ136" s="3299"/>
      <c r="CA136" s="3299"/>
      <c r="CB136" s="3299"/>
      <c r="CC136" s="3299"/>
      <c r="CD136" s="3299"/>
      <c r="CE136" s="3299"/>
      <c r="CF136" s="3299"/>
      <c r="CG136" s="3299"/>
      <c r="CH136" s="3299"/>
      <c r="CI136" s="3296">
        <f t="shared" ref="CI136:CI142" si="11">SUM(BB136:CH136)</f>
        <v>0</v>
      </c>
    </row>
    <row r="137" spans="1:87" s="1755" customFormat="1">
      <c r="A137" s="494" t="s">
        <v>3692</v>
      </c>
      <c r="B137" s="521"/>
      <c r="C137" s="509" t="s">
        <v>2140</v>
      </c>
      <c r="D137" s="3994"/>
      <c r="E137" s="3571"/>
      <c r="F137" s="510">
        <v>0</v>
      </c>
      <c r="G137" s="510"/>
      <c r="H137" s="3992"/>
      <c r="I137" s="3992"/>
      <c r="J137" s="3992"/>
      <c r="K137" s="3992"/>
      <c r="L137" s="3930"/>
      <c r="M137" s="4002"/>
      <c r="N137" s="3930"/>
      <c r="O137" s="4005"/>
      <c r="P137" s="499"/>
      <c r="Q137" s="511"/>
      <c r="R137" s="4020"/>
      <c r="BB137" s="3299"/>
      <c r="BC137" s="3299"/>
      <c r="BD137" s="3299"/>
      <c r="BE137" s="3299"/>
      <c r="BF137" s="3299"/>
      <c r="BG137" s="3299"/>
      <c r="BH137" s="3299"/>
      <c r="BI137" s="3299"/>
      <c r="BJ137" s="3299"/>
      <c r="BK137" s="3299"/>
      <c r="BL137" s="3299"/>
      <c r="BM137" s="3299"/>
      <c r="BN137" s="3299"/>
      <c r="BO137" s="3299"/>
      <c r="BP137" s="3299"/>
      <c r="BQ137" s="3299"/>
      <c r="BR137" s="3299"/>
      <c r="BS137" s="3299"/>
      <c r="BT137" s="3299"/>
      <c r="BU137" s="3299"/>
      <c r="BV137" s="3299"/>
      <c r="BW137" s="3299"/>
      <c r="BX137" s="3299"/>
      <c r="BY137" s="3299"/>
      <c r="BZ137" s="3299"/>
      <c r="CA137" s="3299"/>
      <c r="CB137" s="3299"/>
      <c r="CC137" s="3299"/>
      <c r="CD137" s="3299"/>
      <c r="CE137" s="3299"/>
      <c r="CF137" s="3299"/>
      <c r="CG137" s="3299"/>
      <c r="CH137" s="3299"/>
      <c r="CI137" s="3296">
        <f t="shared" si="11"/>
        <v>0</v>
      </c>
    </row>
    <row r="138" spans="1:87" s="1755" customFormat="1">
      <c r="A138" s="494" t="s">
        <v>3693</v>
      </c>
      <c r="B138" s="521"/>
      <c r="C138" s="509" t="s">
        <v>2141</v>
      </c>
      <c r="D138" s="3994"/>
      <c r="E138" s="3571"/>
      <c r="F138" s="510">
        <v>0</v>
      </c>
      <c r="G138" s="510"/>
      <c r="H138" s="3992"/>
      <c r="I138" s="3992"/>
      <c r="J138" s="3992"/>
      <c r="K138" s="3992"/>
      <c r="L138" s="3930"/>
      <c r="M138" s="4002"/>
      <c r="N138" s="3930"/>
      <c r="O138" s="4005"/>
      <c r="P138" s="499"/>
      <c r="Q138" s="511"/>
      <c r="R138" s="4020"/>
      <c r="BB138" s="3299"/>
      <c r="BC138" s="3299"/>
      <c r="BD138" s="3299"/>
      <c r="BE138" s="3299"/>
      <c r="BF138" s="3299"/>
      <c r="BG138" s="3299"/>
      <c r="BH138" s="3299"/>
      <c r="BI138" s="3299"/>
      <c r="BJ138" s="3299"/>
      <c r="BK138" s="3299"/>
      <c r="BL138" s="3299"/>
      <c r="BM138" s="3299"/>
      <c r="BN138" s="3299"/>
      <c r="BO138" s="3299"/>
      <c r="BP138" s="3299"/>
      <c r="BQ138" s="3299"/>
      <c r="BR138" s="3299"/>
      <c r="BS138" s="3299"/>
      <c r="BT138" s="3299"/>
      <c r="BU138" s="3299"/>
      <c r="BV138" s="3299"/>
      <c r="BW138" s="3299"/>
      <c r="BX138" s="3299"/>
      <c r="BY138" s="3299"/>
      <c r="BZ138" s="3299"/>
      <c r="CA138" s="3299"/>
      <c r="CB138" s="3299"/>
      <c r="CC138" s="3299"/>
      <c r="CD138" s="3299"/>
      <c r="CE138" s="3299"/>
      <c r="CF138" s="3299"/>
      <c r="CG138" s="3299"/>
      <c r="CH138" s="3299"/>
      <c r="CI138" s="3296">
        <f t="shared" si="11"/>
        <v>0</v>
      </c>
    </row>
    <row r="139" spans="1:87" s="1755" customFormat="1">
      <c r="A139" s="500" t="s">
        <v>3694</v>
      </c>
      <c r="B139" s="521"/>
      <c r="C139" s="509" t="s">
        <v>617</v>
      </c>
      <c r="D139" s="3994"/>
      <c r="E139" s="3571"/>
      <c r="F139" s="510"/>
      <c r="G139" s="510"/>
      <c r="H139" s="3993"/>
      <c r="I139" s="3993"/>
      <c r="J139" s="3993"/>
      <c r="K139" s="3993"/>
      <c r="L139" s="3931"/>
      <c r="M139" s="4003"/>
      <c r="N139" s="3931"/>
      <c r="O139" s="4006"/>
      <c r="P139" s="499"/>
      <c r="Q139" s="511"/>
      <c r="R139" s="4021"/>
      <c r="BB139" s="3299"/>
      <c r="BC139" s="3299"/>
      <c r="BD139" s="3299"/>
      <c r="BE139" s="3299"/>
      <c r="BF139" s="3299"/>
      <c r="BG139" s="3299"/>
      <c r="BH139" s="3299"/>
      <c r="BI139" s="3299"/>
      <c r="BJ139" s="3299"/>
      <c r="BK139" s="3299"/>
      <c r="BL139" s="3299"/>
      <c r="BM139" s="3299"/>
      <c r="BN139" s="3299"/>
      <c r="BO139" s="3299"/>
      <c r="BP139" s="3299"/>
      <c r="BQ139" s="3299"/>
      <c r="BR139" s="3299"/>
      <c r="BS139" s="3299"/>
      <c r="BT139" s="3299"/>
      <c r="BU139" s="3299"/>
      <c r="BV139" s="3299"/>
      <c r="BW139" s="3299"/>
      <c r="BX139" s="3299"/>
      <c r="BY139" s="3299"/>
      <c r="BZ139" s="3299"/>
      <c r="CA139" s="3299"/>
      <c r="CB139" s="3299"/>
      <c r="CC139" s="3299"/>
      <c r="CD139" s="3299"/>
      <c r="CE139" s="3299"/>
      <c r="CF139" s="3299"/>
      <c r="CG139" s="3299"/>
      <c r="CH139" s="3299"/>
      <c r="CI139" s="3296">
        <f t="shared" si="11"/>
        <v>0</v>
      </c>
    </row>
    <row r="140" spans="1:87" s="1755" customFormat="1">
      <c r="A140" s="503" t="s">
        <v>3695</v>
      </c>
      <c r="B140" s="504"/>
      <c r="C140" s="504" t="s">
        <v>3781</v>
      </c>
      <c r="D140" s="504"/>
      <c r="E140" s="504"/>
      <c r="F140" s="505"/>
      <c r="G140" s="505"/>
      <c r="H140" s="505">
        <v>119.91</v>
      </c>
      <c r="I140" s="505"/>
      <c r="J140" s="505"/>
      <c r="K140" s="505"/>
      <c r="L140" s="538"/>
      <c r="M140" s="539">
        <f>L140/100000</f>
        <v>0</v>
      </c>
      <c r="N140" s="538"/>
      <c r="O140" s="540">
        <f>M140*N140</f>
        <v>0</v>
      </c>
      <c r="P140" s="507"/>
      <c r="Q140" s="2944"/>
      <c r="R140" s="2945"/>
      <c r="S140" s="3140">
        <f t="shared" ref="S140:S141" si="12">O140-R140</f>
        <v>0</v>
      </c>
      <c r="BB140" s="3299"/>
      <c r="BC140" s="3299"/>
      <c r="BD140" s="3299"/>
      <c r="BE140" s="3299"/>
      <c r="BF140" s="3299"/>
      <c r="BG140" s="3299"/>
      <c r="BH140" s="3299"/>
      <c r="BI140" s="3299"/>
      <c r="BJ140" s="3299"/>
      <c r="BK140" s="3299"/>
      <c r="BL140" s="3299"/>
      <c r="BM140" s="3299"/>
      <c r="BN140" s="3299"/>
      <c r="BO140" s="3299"/>
      <c r="BP140" s="3299"/>
      <c r="BQ140" s="3299"/>
      <c r="BR140" s="3299"/>
      <c r="BS140" s="3299"/>
      <c r="BT140" s="3299"/>
      <c r="BU140" s="3299"/>
      <c r="BV140" s="3299"/>
      <c r="BW140" s="3299"/>
      <c r="BX140" s="3299"/>
      <c r="BY140" s="3299"/>
      <c r="BZ140" s="3299"/>
      <c r="CA140" s="3299"/>
      <c r="CB140" s="3299"/>
      <c r="CC140" s="3299"/>
      <c r="CD140" s="3299"/>
      <c r="CE140" s="3299"/>
      <c r="CF140" s="3299"/>
      <c r="CG140" s="3299"/>
      <c r="CH140" s="3299"/>
      <c r="CI140" s="3296">
        <f t="shared" si="11"/>
        <v>0</v>
      </c>
    </row>
    <row r="141" spans="1:87" s="1755" customFormat="1" ht="21.75" customHeight="1" thickBot="1">
      <c r="A141" s="503" t="s">
        <v>3696</v>
      </c>
      <c r="B141" s="504"/>
      <c r="C141" s="504" t="s">
        <v>713</v>
      </c>
      <c r="D141" s="504"/>
      <c r="E141" s="504"/>
      <c r="F141" s="505"/>
      <c r="G141" s="505"/>
      <c r="H141" s="505">
        <v>108.47</v>
      </c>
      <c r="I141" s="505"/>
      <c r="J141" s="505"/>
      <c r="K141" s="505"/>
      <c r="L141" s="538">
        <v>5347000</v>
      </c>
      <c r="M141" s="539">
        <f>L141/100000</f>
        <v>53.47</v>
      </c>
      <c r="N141" s="538">
        <v>1</v>
      </c>
      <c r="O141" s="540">
        <f>M141*N141</f>
        <v>53.47</v>
      </c>
      <c r="P141" s="507"/>
      <c r="Q141" s="2946" t="s">
        <v>5798</v>
      </c>
      <c r="R141" s="2945">
        <v>53.47</v>
      </c>
      <c r="S141" s="3140">
        <f t="shared" si="12"/>
        <v>0</v>
      </c>
      <c r="BB141" s="3299">
        <v>53.47</v>
      </c>
      <c r="BC141" s="3299"/>
      <c r="BD141" s="3299"/>
      <c r="BE141" s="3299"/>
      <c r="BF141" s="3299"/>
      <c r="BG141" s="3299"/>
      <c r="BH141" s="3299"/>
      <c r="BI141" s="3299"/>
      <c r="BJ141" s="3299"/>
      <c r="BK141" s="3299"/>
      <c r="BL141" s="3299"/>
      <c r="BM141" s="3299"/>
      <c r="BN141" s="3299"/>
      <c r="BO141" s="3299"/>
      <c r="BP141" s="3299"/>
      <c r="BQ141" s="3299"/>
      <c r="BR141" s="3299"/>
      <c r="BS141" s="3299"/>
      <c r="BT141" s="3299"/>
      <c r="BU141" s="3299"/>
      <c r="BV141" s="3299"/>
      <c r="BW141" s="3299"/>
      <c r="BX141" s="3299"/>
      <c r="BY141" s="3299"/>
      <c r="BZ141" s="3299"/>
      <c r="CA141" s="3299"/>
      <c r="CB141" s="3299"/>
      <c r="CC141" s="3299"/>
      <c r="CD141" s="3299"/>
      <c r="CE141" s="3299"/>
      <c r="CF141" s="3299"/>
      <c r="CG141" s="3299"/>
      <c r="CH141" s="3299"/>
      <c r="CI141" s="3296">
        <f t="shared" si="11"/>
        <v>53.47</v>
      </c>
    </row>
    <row r="142" spans="1:87" s="2285" customFormat="1">
      <c r="A142" s="2276" t="s">
        <v>5127</v>
      </c>
      <c r="B142" s="2277"/>
      <c r="C142" s="2277" t="s">
        <v>5128</v>
      </c>
      <c r="D142" s="2277"/>
      <c r="E142" s="2277"/>
      <c r="F142" s="2278"/>
      <c r="G142" s="2278"/>
      <c r="H142" s="2278"/>
      <c r="I142" s="2278"/>
      <c r="J142" s="2278"/>
      <c r="K142" s="2278"/>
      <c r="L142" s="2279"/>
      <c r="M142" s="2280">
        <f>L142/100000</f>
        <v>0</v>
      </c>
      <c r="N142" s="2279"/>
      <c r="O142" s="2281">
        <f>M142*N142</f>
        <v>0</v>
      </c>
      <c r="P142" s="2282"/>
      <c r="Q142" s="2283"/>
      <c r="R142" s="2284"/>
      <c r="BB142" s="3300"/>
      <c r="BC142" s="3300"/>
      <c r="BD142" s="3300"/>
      <c r="BE142" s="3300"/>
      <c r="BF142" s="3300"/>
      <c r="BG142" s="3300"/>
      <c r="BH142" s="3300"/>
      <c r="BI142" s="3300"/>
      <c r="BJ142" s="3300"/>
      <c r="BK142" s="3300"/>
      <c r="BL142" s="3300"/>
      <c r="BM142" s="3300"/>
      <c r="BN142" s="3300"/>
      <c r="BO142" s="3300"/>
      <c r="BP142" s="3300"/>
      <c r="BQ142" s="3300"/>
      <c r="BR142" s="3300"/>
      <c r="BS142" s="3300"/>
      <c r="BT142" s="3300"/>
      <c r="BU142" s="3300"/>
      <c r="BV142" s="3300"/>
      <c r="BW142" s="3300"/>
      <c r="BX142" s="3300"/>
      <c r="BY142" s="3300"/>
      <c r="BZ142" s="3300"/>
      <c r="CA142" s="3300"/>
      <c r="CB142" s="3300"/>
      <c r="CC142" s="3300"/>
      <c r="CD142" s="3300"/>
      <c r="CE142" s="3300"/>
      <c r="CF142" s="3300"/>
      <c r="CG142" s="3300"/>
      <c r="CH142" s="3300"/>
      <c r="CI142" s="3296">
        <f t="shared" si="11"/>
        <v>0</v>
      </c>
    </row>
    <row r="143" spans="1:87">
      <c r="R143" s="1758">
        <f>3275.61-645.94</f>
        <v>2629.67</v>
      </c>
      <c r="BB143" s="3297">
        <f>SUM(BB13:BB142)</f>
        <v>1191.5400000000002</v>
      </c>
      <c r="BC143" s="3297">
        <f t="shared" ref="BC143:CI143" si="13">SUM(BC13:BC142)</f>
        <v>88.960330000000013</v>
      </c>
      <c r="BD143" s="3297">
        <f t="shared" si="13"/>
        <v>119.410562</v>
      </c>
      <c r="BE143" s="3297">
        <f t="shared" si="13"/>
        <v>121.27103000000001</v>
      </c>
      <c r="BF143" s="3297">
        <f t="shared" si="13"/>
        <v>211.585352</v>
      </c>
      <c r="BG143" s="3297">
        <f t="shared" si="13"/>
        <v>71.604854000000003</v>
      </c>
      <c r="BH143" s="3297">
        <f t="shared" si="13"/>
        <v>108.21293600000001</v>
      </c>
      <c r="BI143" s="3297">
        <f t="shared" si="13"/>
        <v>43.763998000000001</v>
      </c>
      <c r="BJ143" s="3297">
        <f t="shared" si="13"/>
        <v>182.37146000000001</v>
      </c>
      <c r="BK143" s="3297">
        <f t="shared" si="13"/>
        <v>170.32451600000002</v>
      </c>
      <c r="BL143" s="3297">
        <f t="shared" si="13"/>
        <v>106.07156600000002</v>
      </c>
      <c r="BM143" s="3297">
        <f t="shared" si="13"/>
        <v>123.59753599999999</v>
      </c>
      <c r="BN143" s="3297">
        <f t="shared" si="13"/>
        <v>90.540427999999991</v>
      </c>
      <c r="BO143" s="3297">
        <f t="shared" si="13"/>
        <v>0</v>
      </c>
      <c r="BP143" s="3297">
        <f t="shared" si="13"/>
        <v>0.21</v>
      </c>
      <c r="BQ143" s="3297">
        <f t="shared" si="13"/>
        <v>0</v>
      </c>
      <c r="BR143" s="3297">
        <f t="shared" si="13"/>
        <v>0</v>
      </c>
      <c r="BS143" s="3297">
        <f t="shared" si="13"/>
        <v>0</v>
      </c>
      <c r="BT143" s="3297">
        <f t="shared" si="13"/>
        <v>0</v>
      </c>
      <c r="BU143" s="3297">
        <f t="shared" si="13"/>
        <v>0.21</v>
      </c>
      <c r="BV143" s="3297">
        <f t="shared" si="13"/>
        <v>0</v>
      </c>
      <c r="BW143" s="3297">
        <f t="shared" si="13"/>
        <v>0</v>
      </c>
      <c r="BX143" s="3297">
        <f t="shared" si="13"/>
        <v>0</v>
      </c>
      <c r="BY143" s="3297">
        <f t="shared" si="13"/>
        <v>0</v>
      </c>
      <c r="BZ143" s="3297">
        <f t="shared" si="13"/>
        <v>0</v>
      </c>
      <c r="CA143" s="3297">
        <f t="shared" si="13"/>
        <v>0</v>
      </c>
      <c r="CB143" s="3297">
        <f t="shared" si="13"/>
        <v>0</v>
      </c>
      <c r="CC143" s="3297">
        <f t="shared" si="13"/>
        <v>0</v>
      </c>
      <c r="CD143" s="3297">
        <f t="shared" si="13"/>
        <v>0</v>
      </c>
      <c r="CE143" s="3297">
        <f t="shared" si="13"/>
        <v>0</v>
      </c>
      <c r="CF143" s="3297">
        <f t="shared" si="13"/>
        <v>0</v>
      </c>
      <c r="CG143" s="3297">
        <f t="shared" si="13"/>
        <v>0</v>
      </c>
      <c r="CH143" s="3297">
        <f t="shared" si="13"/>
        <v>0</v>
      </c>
      <c r="CI143" s="3297">
        <f t="shared" si="13"/>
        <v>2629.6745679999999</v>
      </c>
    </row>
  </sheetData>
  <sheetProtection password="CC49" sheet="1" objects="1" scenarios="1" autoFilter="0"/>
  <autoFilter ref="A6:R142"/>
  <mergeCells count="109">
    <mergeCell ref="P1:AI1"/>
    <mergeCell ref="AJ1:AP1"/>
    <mergeCell ref="AQ1:BA1"/>
    <mergeCell ref="BB1:BB2"/>
    <mergeCell ref="BC1:BC2"/>
    <mergeCell ref="BD1:BD2"/>
    <mergeCell ref="D9:D12"/>
    <mergeCell ref="R105:R115"/>
    <mergeCell ref="R92:R102"/>
    <mergeCell ref="R80:R90"/>
    <mergeCell ref="R68:R78"/>
    <mergeCell ref="M68:M78"/>
    <mergeCell ref="N68:N78"/>
    <mergeCell ref="O68:O78"/>
    <mergeCell ref="M80:M90"/>
    <mergeCell ref="N80:N90"/>
    <mergeCell ref="N92:N102"/>
    <mergeCell ref="M92:M102"/>
    <mergeCell ref="M105:M115"/>
    <mergeCell ref="N105:N115"/>
    <mergeCell ref="O105:O115"/>
    <mergeCell ref="O92:O102"/>
    <mergeCell ref="O80:O90"/>
    <mergeCell ref="Q5:R5"/>
    <mergeCell ref="R30:R41"/>
    <mergeCell ref="K5:P5"/>
    <mergeCell ref="M30:M41"/>
    <mergeCell ref="N30:N41"/>
    <mergeCell ref="M129:M139"/>
    <mergeCell ref="N129:N139"/>
    <mergeCell ref="O129:O139"/>
    <mergeCell ref="R129:R139"/>
    <mergeCell ref="R117:R127"/>
    <mergeCell ref="N117:N127"/>
    <mergeCell ref="M117:M127"/>
    <mergeCell ref="O117:O127"/>
    <mergeCell ref="R43:R53"/>
    <mergeCell ref="R55:R65"/>
    <mergeCell ref="Q9:Q12"/>
    <mergeCell ref="I129:I139"/>
    <mergeCell ref="J129:J139"/>
    <mergeCell ref="K129:K139"/>
    <mergeCell ref="L117:L127"/>
    <mergeCell ref="L129:L139"/>
    <mergeCell ref="I117:I127"/>
    <mergeCell ref="J117:J127"/>
    <mergeCell ref="K117:K127"/>
    <mergeCell ref="L105:L115"/>
    <mergeCell ref="A1:C1"/>
    <mergeCell ref="D55:D65"/>
    <mergeCell ref="D68:D78"/>
    <mergeCell ref="D30:D41"/>
    <mergeCell ref="D43:D53"/>
    <mergeCell ref="A5:A6"/>
    <mergeCell ref="B5:B6"/>
    <mergeCell ref="C5:C6"/>
    <mergeCell ref="F5:J5"/>
    <mergeCell ref="A2:A4"/>
    <mergeCell ref="H30:H41"/>
    <mergeCell ref="H43:H53"/>
    <mergeCell ref="I43:I53"/>
    <mergeCell ref="J43:J53"/>
    <mergeCell ref="F1:F2"/>
    <mergeCell ref="G1:O1"/>
    <mergeCell ref="D5:D6"/>
    <mergeCell ref="I80:I90"/>
    <mergeCell ref="J80:J90"/>
    <mergeCell ref="K80:K90"/>
    <mergeCell ref="I92:I102"/>
    <mergeCell ref="J92:J102"/>
    <mergeCell ref="K92:K102"/>
    <mergeCell ref="K68:K78"/>
    <mergeCell ref="O30:O41"/>
    <mergeCell ref="M43:M53"/>
    <mergeCell ref="N43:N53"/>
    <mergeCell ref="O43:O53"/>
    <mergeCell ref="M55:M65"/>
    <mergeCell ref="O55:O65"/>
    <mergeCell ref="L30:L41"/>
    <mergeCell ref="I30:I41"/>
    <mergeCell ref="J30:J41"/>
    <mergeCell ref="K30:K41"/>
    <mergeCell ref="K43:K53"/>
    <mergeCell ref="L43:L53"/>
    <mergeCell ref="K55:K65"/>
    <mergeCell ref="H117:H127"/>
    <mergeCell ref="H129:H139"/>
    <mergeCell ref="D117:D127"/>
    <mergeCell ref="D129:D139"/>
    <mergeCell ref="D80:D90"/>
    <mergeCell ref="D92:D102"/>
    <mergeCell ref="D105:D115"/>
    <mergeCell ref="H105:H115"/>
    <mergeCell ref="N55:N65"/>
    <mergeCell ref="L55:L65"/>
    <mergeCell ref="L68:L78"/>
    <mergeCell ref="I105:I115"/>
    <mergeCell ref="J105:J115"/>
    <mergeCell ref="K105:K115"/>
    <mergeCell ref="L80:L90"/>
    <mergeCell ref="L92:L102"/>
    <mergeCell ref="H80:H90"/>
    <mergeCell ref="H92:H102"/>
    <mergeCell ref="H68:H78"/>
    <mergeCell ref="I68:I78"/>
    <mergeCell ref="J68:J78"/>
    <mergeCell ref="H55:H65"/>
    <mergeCell ref="I55:I65"/>
    <mergeCell ref="J55:J65"/>
  </mergeCells>
  <phoneticPr fontId="68" type="noConversion"/>
  <pageMargins left="0.7" right="0.7" top="0.75" bottom="0.75" header="0.3" footer="0.3"/>
  <pageSetup orientation="portrait" horizontalDpi="4294967295" verticalDpi="4294967295" r:id="rId1"/>
</worksheet>
</file>

<file path=xl/worksheets/sheet23.xml><?xml version="1.0" encoding="utf-8"?>
<worksheet xmlns="http://schemas.openxmlformats.org/spreadsheetml/2006/main" xmlns:r="http://schemas.openxmlformats.org/officeDocument/2006/relationships">
  <sheetPr codeName="Sheet46"/>
  <dimension ref="A1:CI179"/>
  <sheetViews>
    <sheetView zoomScale="85" zoomScaleNormal="85" workbookViewId="0">
      <pane xSplit="5" ySplit="6" topLeftCell="M166" activePane="bottomRight" state="frozen"/>
      <selection pane="topRight" activeCell="H1" sqref="H1"/>
      <selection pane="bottomLeft" activeCell="A6" sqref="A6"/>
      <selection pane="bottomRight" activeCell="BB185" sqref="BB185"/>
    </sheetView>
  </sheetViews>
  <sheetFormatPr defaultColWidth="9.140625" defaultRowHeight="15"/>
  <cols>
    <col min="1" max="1" width="16.7109375" style="1773" customWidth="1"/>
    <col min="2" max="2" width="19.85546875" style="1773" bestFit="1" customWidth="1"/>
    <col min="3" max="3" width="38.42578125" style="1774" customWidth="1"/>
    <col min="4" max="4" width="8.140625" style="1775" customWidth="1"/>
    <col min="5" max="5" width="22.42578125" style="1775" hidden="1" customWidth="1"/>
    <col min="6" max="6" width="19.85546875" style="1775" hidden="1" customWidth="1"/>
    <col min="7" max="7" width="21.5703125" style="1766" hidden="1" customWidth="1"/>
    <col min="8" max="8" width="15" style="1766" hidden="1" customWidth="1"/>
    <col min="9" max="9" width="14.42578125" style="1766" hidden="1" customWidth="1"/>
    <col min="10" max="10" width="15.140625" style="1766" hidden="1" customWidth="1"/>
    <col min="11" max="11" width="17.42578125" style="1766" hidden="1" customWidth="1"/>
    <col min="12" max="12" width="15.7109375" style="1775" hidden="1" customWidth="1"/>
    <col min="13" max="13" width="14.42578125" style="1776" customWidth="1"/>
    <col min="14" max="14" width="16.85546875" style="1777" customWidth="1"/>
    <col min="15" max="15" width="12.85546875" style="2955" customWidth="1"/>
    <col min="16" max="16" width="36.7109375" style="1778" hidden="1" customWidth="1"/>
    <col min="17" max="17" width="44.5703125" style="1774" customWidth="1"/>
    <col min="18" max="18" width="22.85546875" style="2955" customWidth="1"/>
    <col min="19" max="53" width="0" style="1768" hidden="1" customWidth="1"/>
    <col min="54" max="56" width="9.140625" style="1768"/>
    <col min="57" max="57" width="10.5703125" style="1768" bestFit="1" customWidth="1"/>
    <col min="58" max="69" width="9.140625" style="1768"/>
    <col min="70" max="70" width="10.85546875" style="1768" bestFit="1" customWidth="1"/>
    <col min="71" max="75" width="9.140625" style="1768"/>
    <col min="76" max="76" width="10.5703125" style="1768" bestFit="1" customWidth="1"/>
    <col min="77" max="82" width="9.140625" style="1768"/>
    <col min="83" max="83" width="11.42578125" style="1768" bestFit="1" customWidth="1"/>
    <col min="84" max="16384" width="9.140625" style="1768"/>
  </cols>
  <sheetData>
    <row r="1" spans="1:87" s="1129" customFormat="1" ht="14.45" customHeight="1">
      <c r="A1" s="3919"/>
      <c r="B1" s="3919"/>
      <c r="D1" s="980"/>
      <c r="E1" s="1762" t="s">
        <v>3749</v>
      </c>
      <c r="F1" s="1432" t="s">
        <v>65</v>
      </c>
      <c r="G1" s="1763" t="s">
        <v>4219</v>
      </c>
      <c r="H1" s="912" t="s">
        <v>80</v>
      </c>
      <c r="I1" s="1137"/>
      <c r="J1" s="1137"/>
      <c r="K1" s="1137"/>
      <c r="L1" s="1137"/>
      <c r="M1" s="1137"/>
      <c r="N1" s="1137"/>
      <c r="O1" s="2863"/>
      <c r="P1" s="1137"/>
      <c r="Q1" s="1137"/>
      <c r="R1" s="2965"/>
      <c r="S1" s="1137"/>
      <c r="T1" s="1137"/>
      <c r="U1" s="1137"/>
      <c r="V1" s="1137"/>
      <c r="W1" s="1137"/>
      <c r="X1" s="1137"/>
      <c r="Y1" s="1137"/>
      <c r="Z1" s="1137"/>
      <c r="AA1" s="1137"/>
      <c r="AB1" s="1137"/>
      <c r="AC1" s="1137"/>
      <c r="AD1" s="1137"/>
      <c r="AE1" s="1137"/>
      <c r="AF1" s="1137"/>
      <c r="AG1" s="1137"/>
      <c r="AH1" s="1137"/>
      <c r="AI1" s="1137"/>
      <c r="AJ1" s="1137"/>
      <c r="AK1" s="1137"/>
      <c r="AL1" s="1137"/>
      <c r="AM1" s="1137"/>
      <c r="AN1" s="1138"/>
      <c r="AO1" s="1138"/>
      <c r="AP1" s="1138"/>
      <c r="AQ1" s="1138"/>
      <c r="AR1" s="1138"/>
      <c r="AS1" s="1138"/>
      <c r="AT1" s="1138"/>
      <c r="AU1" s="1332"/>
      <c r="AV1" s="1332"/>
      <c r="AW1" s="1332"/>
      <c r="AX1" s="1332"/>
      <c r="AY1" s="1332"/>
      <c r="AZ1" s="1332"/>
      <c r="BA1" s="1332"/>
      <c r="BB1" s="3143"/>
      <c r="BC1" s="1332"/>
      <c r="BD1" s="1332"/>
    </row>
    <row r="2" spans="1:87" s="861" customFormat="1" ht="14.45" customHeight="1">
      <c r="A2" s="864" t="str">
        <f>HYPERLINK("#'Budget Summary I'!A1:AL1", "Budget Summary I")</f>
        <v>Budget Summary I</v>
      </c>
      <c r="B2" s="864" t="str">
        <f>HYPERLINK("#'Budget Summary II'!A3:B5", "Budget Summary II")</f>
        <v>Budget Summary II</v>
      </c>
      <c r="C2" s="861" t="s">
        <v>4461</v>
      </c>
      <c r="D2" s="980"/>
      <c r="E2" s="915">
        <f>O12+O13+O14+O15+O16+O17+O22+O23+O24+O25+O26+O27+O28+O34+O35+O36+O51+O71+O74+O75+O95+O96+O101+O112+O113+O121+O147+O164</f>
        <v>42.454879999999996</v>
      </c>
      <c r="F2" s="161">
        <f>O9+O10+O11+O19+O29+O30+O31+O32+O49+O52+O53+O54+O66+O67+O70+O72+O73+O90+O93+O97+O98+O99+O110+O114+O115+O116+O123+O137+O150+O151+O165+O166+O167+O178</f>
        <v>376.19993999999997</v>
      </c>
      <c r="G2" s="915">
        <f>O37+O38+O39+O40+O41+O42+O46+O48+O55+O56+O57+O58+O59+O60+O63+O64+O65+O76+O77+O78+O79+O80+O81+O82+O83+O84+O85+O89+O92+O102+O103+O104+O105+O106+O118+O122+O125+O126+O127+O128+O129+O130+O134+O135+O139+O140+O141+O152+O154+O155+O156+O157+O161+O162+O168+O169+O170</f>
        <v>221.64583999999999</v>
      </c>
      <c r="H2" s="915">
        <f>O18+O33+O43+O44+O45+O47+O61+O62+O87+O88+O100+O107+O108+O109+O124+O131+O132+O133+O138+O142+O143+O144+O145+O159+O160+O171+O172+O174+O176+O177</f>
        <v>7.9599899999999995</v>
      </c>
      <c r="I2" s="3144">
        <f>SUM(E2:H2)</f>
        <v>648.26064999999994</v>
      </c>
      <c r="J2" s="1143"/>
      <c r="K2" s="1143"/>
      <c r="L2" s="1143"/>
      <c r="M2" s="1144"/>
      <c r="N2" s="1144"/>
      <c r="O2" s="2947"/>
      <c r="P2" s="1145"/>
      <c r="Q2" s="1145"/>
      <c r="R2" s="2917"/>
      <c r="S2" s="1145"/>
      <c r="T2" s="1145"/>
      <c r="U2" s="1145"/>
      <c r="V2" s="1145"/>
      <c r="W2" s="1145"/>
      <c r="X2" s="1145"/>
      <c r="Y2" s="1145"/>
      <c r="Z2" s="1145"/>
      <c r="AA2" s="1145"/>
      <c r="AB2" s="1145"/>
      <c r="AC2" s="1145"/>
      <c r="AD2" s="1145"/>
      <c r="AE2" s="1145"/>
      <c r="AF2" s="1145"/>
      <c r="AG2" s="1145"/>
      <c r="AH2" s="1145"/>
      <c r="AI2" s="1145"/>
      <c r="AJ2" s="1142"/>
      <c r="AK2" s="1142"/>
      <c r="AL2" s="1142"/>
      <c r="AM2" s="1142"/>
      <c r="AN2" s="1142"/>
      <c r="AO2" s="1142"/>
      <c r="AP2" s="1142"/>
      <c r="AQ2" s="1142"/>
      <c r="AR2" s="1142"/>
      <c r="AS2" s="1142"/>
      <c r="AT2" s="1142"/>
      <c r="AU2" s="1334"/>
      <c r="AV2" s="1334"/>
      <c r="AW2" s="1334"/>
      <c r="AX2" s="1334"/>
      <c r="AY2" s="1334"/>
      <c r="AZ2" s="1334"/>
      <c r="BA2" s="1334"/>
      <c r="BB2" s="1334"/>
      <c r="BC2" s="1334"/>
      <c r="BD2" s="1334"/>
    </row>
    <row r="3" spans="1:87" s="861" customFormat="1" ht="14.45" customHeight="1">
      <c r="A3" s="3141"/>
      <c r="B3" s="3142"/>
      <c r="C3" s="861" t="s">
        <v>4460</v>
      </c>
      <c r="D3" s="1849"/>
      <c r="E3" s="3143">
        <f>R12+R13+R14+R15+R16+R17+R22+R23+R24+R25+R26+R27+R28+R34+R35+R36+R51+R71+R74+R75+R95+R96+R101+R112+R113+R121+R147+R164</f>
        <v>41.82</v>
      </c>
      <c r="F3" s="161">
        <f>R9+R10+R11+R19+R29+R30+R31+R32+R49+R52+R53+R54+R66+R67+R70+R72+R73+R90+R93+R97+R98+R99+R110+R114+R115+R116+R123+R137+R150+R151+R165+R166+R167+R178</f>
        <v>376.19993999999997</v>
      </c>
      <c r="G3" s="915">
        <f>R37+R38+R39+R40+R41+R42+R46+R48+R55+R56+R57+R58+R59+R60+R63+R64+R65+R76+R77+R78+R79+R80+R81+R82+R83+R84+R85+R89+R92+R102+R103+R104+R105+R106+R118+R122+R125+R126+R127+R128+R129+R130+R134+R135+R139+R140+R141+R152+R154+R155+R156+R157+R161+R162+R168+R169+R170</f>
        <v>221.64000000000001</v>
      </c>
      <c r="H3" s="915">
        <f>R18+R33+R43+R44+R45+R47+R61+R62+R87+R88+R100+R107+R108+R109+R124+R131+R132+R133+R138+R142+R143+R144+R145+R159+R160+R171+R172+R174+R176+R177</f>
        <v>6.28</v>
      </c>
      <c r="I3" s="3144">
        <f>SUM(E3:H3)</f>
        <v>645.93993999999998</v>
      </c>
      <c r="J3" s="1143"/>
      <c r="K3" s="1143"/>
      <c r="L3" s="1143"/>
      <c r="M3" s="1144"/>
      <c r="N3" s="1144"/>
      <c r="O3" s="2947"/>
      <c r="P3" s="1145"/>
      <c r="Q3" s="1145"/>
      <c r="R3" s="2917"/>
      <c r="S3" s="1145"/>
      <c r="T3" s="1145"/>
      <c r="U3" s="1145"/>
      <c r="V3" s="1145"/>
      <c r="W3" s="1145"/>
      <c r="X3" s="1145"/>
      <c r="Y3" s="1145"/>
      <c r="Z3" s="1145"/>
      <c r="AA3" s="1145"/>
      <c r="AB3" s="1145"/>
      <c r="AC3" s="1145"/>
      <c r="AD3" s="1145"/>
      <c r="AE3" s="1145"/>
      <c r="AF3" s="1145"/>
      <c r="AG3" s="1145"/>
      <c r="AH3" s="1145"/>
      <c r="AI3" s="1145"/>
      <c r="AJ3" s="1142"/>
      <c r="AK3" s="1142"/>
      <c r="AL3" s="1142"/>
      <c r="AM3" s="1142"/>
      <c r="AN3" s="1142"/>
      <c r="AO3" s="1142"/>
      <c r="AP3" s="1142"/>
      <c r="AQ3" s="1142"/>
      <c r="AR3" s="1142"/>
      <c r="AS3" s="1142"/>
      <c r="AT3" s="1142"/>
      <c r="AU3" s="1334"/>
      <c r="AV3" s="1334"/>
      <c r="AW3" s="1334"/>
      <c r="AX3" s="1334"/>
      <c r="AY3" s="1334"/>
      <c r="AZ3" s="1334"/>
      <c r="BA3" s="1334"/>
      <c r="BB3" s="1334"/>
      <c r="BC3" s="1334"/>
      <c r="BD3" s="1334"/>
    </row>
    <row r="4" spans="1:87" s="1764" customFormat="1" ht="12.75" customHeight="1" thickBot="1">
      <c r="A4" s="4042" t="s">
        <v>49</v>
      </c>
      <c r="B4" s="4043"/>
      <c r="C4" s="4040" t="s">
        <v>50</v>
      </c>
      <c r="D4" s="4040" t="s">
        <v>51</v>
      </c>
      <c r="E4" s="4040" t="s">
        <v>52</v>
      </c>
      <c r="F4" s="3866" t="s">
        <v>4478</v>
      </c>
      <c r="G4" s="3866"/>
      <c r="H4" s="3866"/>
      <c r="I4" s="3866"/>
      <c r="J4" s="3866"/>
      <c r="K4" s="3894" t="s">
        <v>4484</v>
      </c>
      <c r="L4" s="3903"/>
      <c r="M4" s="3903"/>
      <c r="N4" s="3903"/>
      <c r="O4" s="3903"/>
      <c r="P4" s="3904"/>
      <c r="Q4" s="3921" t="s">
        <v>4514</v>
      </c>
      <c r="R4" s="4039"/>
    </row>
    <row r="5" spans="1:87" s="1766" customFormat="1" ht="57.95" customHeight="1">
      <c r="A5" s="4044"/>
      <c r="B5" s="4045"/>
      <c r="C5" s="4041"/>
      <c r="D5" s="4041"/>
      <c r="E5" s="4041"/>
      <c r="F5" s="918" t="s">
        <v>4479</v>
      </c>
      <c r="G5" s="918" t="s">
        <v>4482</v>
      </c>
      <c r="H5" s="918" t="s">
        <v>4480</v>
      </c>
      <c r="I5" s="918" t="s">
        <v>4483</v>
      </c>
      <c r="J5" s="918" t="s">
        <v>2448</v>
      </c>
      <c r="K5" s="919" t="s">
        <v>53</v>
      </c>
      <c r="L5" s="919" t="s">
        <v>54</v>
      </c>
      <c r="M5" s="920" t="s">
        <v>55</v>
      </c>
      <c r="N5" s="919" t="s">
        <v>56</v>
      </c>
      <c r="O5" s="2821" t="s">
        <v>57</v>
      </c>
      <c r="P5" s="919" t="s">
        <v>5069</v>
      </c>
      <c r="Q5" s="1765" t="s">
        <v>2450</v>
      </c>
      <c r="R5" s="2887" t="s">
        <v>4526</v>
      </c>
      <c r="S5" s="3115"/>
      <c r="BB5" s="3153" t="s">
        <v>5973</v>
      </c>
      <c r="BC5" s="3153" t="s">
        <v>5432</v>
      </c>
      <c r="BD5" s="3153" t="s">
        <v>5433</v>
      </c>
      <c r="BE5" s="3153" t="s">
        <v>5434</v>
      </c>
      <c r="BF5" s="3153" t="s">
        <v>5435</v>
      </c>
      <c r="BG5" s="3153" t="s">
        <v>5436</v>
      </c>
      <c r="BH5" s="3153" t="s">
        <v>5437</v>
      </c>
      <c r="BI5" s="3153" t="s">
        <v>5959</v>
      </c>
      <c r="BJ5" s="3153" t="s">
        <v>5438</v>
      </c>
      <c r="BK5" s="3153" t="s">
        <v>5439</v>
      </c>
      <c r="BL5" s="3153" t="s">
        <v>5960</v>
      </c>
      <c r="BM5" s="3153" t="s">
        <v>5440</v>
      </c>
      <c r="BN5" s="3153" t="s">
        <v>5441</v>
      </c>
      <c r="BO5" s="3153" t="s">
        <v>5961</v>
      </c>
      <c r="BP5" s="3153" t="s">
        <v>5974</v>
      </c>
      <c r="BQ5" s="3153" t="s">
        <v>5975</v>
      </c>
      <c r="BR5" s="3153" t="s">
        <v>5976</v>
      </c>
      <c r="BS5" s="3153" t="s">
        <v>5977</v>
      </c>
      <c r="BT5" s="3153" t="s">
        <v>5978</v>
      </c>
      <c r="BU5" s="3153" t="s">
        <v>5979</v>
      </c>
      <c r="BV5" s="3153" t="s">
        <v>5962</v>
      </c>
      <c r="BW5" s="3153" t="s">
        <v>5963</v>
      </c>
      <c r="BX5" s="3153" t="s">
        <v>5964</v>
      </c>
      <c r="BY5" s="3153" t="s">
        <v>5965</v>
      </c>
      <c r="BZ5" s="3153" t="s">
        <v>5966</v>
      </c>
      <c r="CA5" s="3153" t="s">
        <v>5967</v>
      </c>
      <c r="CB5" s="3153" t="s">
        <v>5968</v>
      </c>
      <c r="CC5" s="3153" t="s">
        <v>5969</v>
      </c>
      <c r="CD5" s="3153" t="s">
        <v>5970</v>
      </c>
      <c r="CE5" s="3153" t="s">
        <v>5980</v>
      </c>
      <c r="CF5" s="3153" t="s">
        <v>5971</v>
      </c>
      <c r="CG5" s="3153" t="s">
        <v>5981</v>
      </c>
      <c r="CH5" s="3153" t="s">
        <v>5982</v>
      </c>
      <c r="CI5" s="3153" t="s">
        <v>5972</v>
      </c>
    </row>
    <row r="6" spans="1:87">
      <c r="A6" s="541">
        <v>16.100000000000001</v>
      </c>
      <c r="B6" s="541">
        <v>16</v>
      </c>
      <c r="C6" s="541" t="s">
        <v>2147</v>
      </c>
      <c r="D6" s="542"/>
      <c r="E6" s="542"/>
      <c r="F6" s="542"/>
      <c r="G6" s="542"/>
      <c r="H6" s="542"/>
      <c r="I6" s="542"/>
      <c r="J6" s="542"/>
      <c r="K6" s="542"/>
      <c r="L6" s="542"/>
      <c r="M6" s="160"/>
      <c r="N6" s="542"/>
      <c r="O6" s="2948">
        <f>O7+O20+O68+O119+O148</f>
        <v>648.26064999999994</v>
      </c>
      <c r="P6" s="1767"/>
      <c r="Q6" s="993"/>
      <c r="R6" s="2956">
        <f>R7+R20+R68+R119+R148</f>
        <v>645.93993999999998</v>
      </c>
      <c r="S6" s="3116">
        <f>O6-R6</f>
        <v>2.3207099999999627</v>
      </c>
      <c r="BB6" s="3237"/>
      <c r="BC6" s="3237"/>
      <c r="BD6" s="3237"/>
      <c r="BE6" s="3237"/>
      <c r="BF6" s="3237"/>
      <c r="BG6" s="3237"/>
      <c r="BH6" s="3237"/>
      <c r="BI6" s="3237"/>
      <c r="BJ6" s="3237"/>
      <c r="BK6" s="3237"/>
      <c r="BL6" s="3237"/>
      <c r="BM6" s="3237"/>
      <c r="BN6" s="3237"/>
      <c r="BO6" s="3237"/>
      <c r="BP6" s="3237"/>
      <c r="BQ6" s="3237"/>
      <c r="BR6" s="3237"/>
      <c r="BS6" s="3237"/>
      <c r="BT6" s="3237"/>
      <c r="BU6" s="3237"/>
      <c r="BV6" s="3237"/>
      <c r="BW6" s="3237"/>
      <c r="BX6" s="3237"/>
      <c r="BY6" s="3237"/>
      <c r="BZ6" s="3237"/>
      <c r="CA6" s="3237"/>
      <c r="CB6" s="3237"/>
      <c r="CC6" s="3237"/>
      <c r="CD6" s="3237"/>
      <c r="CE6" s="3237"/>
      <c r="CF6" s="3237"/>
      <c r="CG6" s="3237"/>
      <c r="CH6" s="3237"/>
      <c r="CI6" s="3237">
        <f>SUM(BB6:CH6)</f>
        <v>0</v>
      </c>
    </row>
    <row r="7" spans="1:87">
      <c r="A7" s="543" t="s">
        <v>3274</v>
      </c>
      <c r="B7" s="543">
        <v>16.100000000000001</v>
      </c>
      <c r="C7" s="543" t="s">
        <v>2148</v>
      </c>
      <c r="D7" s="544"/>
      <c r="E7" s="544"/>
      <c r="F7" s="544"/>
      <c r="G7" s="544"/>
      <c r="H7" s="544"/>
      <c r="I7" s="544"/>
      <c r="J7" s="544"/>
      <c r="K7" s="544"/>
      <c r="L7" s="544"/>
      <c r="M7" s="546"/>
      <c r="N7" s="544"/>
      <c r="O7" s="2817">
        <f>O8+SUM(O12:O19)</f>
        <v>4.0790000000000006</v>
      </c>
      <c r="P7" s="1769"/>
      <c r="Q7" s="1504"/>
      <c r="R7" s="2957">
        <f>R8+SUM(R12:R19)</f>
        <v>4.08</v>
      </c>
      <c r="S7" s="3116">
        <f>O7-R7</f>
        <v>-9.9999999999944578E-4</v>
      </c>
      <c r="BB7" s="3237"/>
      <c r="BC7" s="3237"/>
      <c r="BD7" s="3237"/>
      <c r="BE7" s="3237"/>
      <c r="BF7" s="3237"/>
      <c r="BG7" s="3237"/>
      <c r="BH7" s="3237"/>
      <c r="BI7" s="3237"/>
      <c r="BJ7" s="3237"/>
      <c r="BK7" s="3237"/>
      <c r="BL7" s="3237"/>
      <c r="BM7" s="3237"/>
      <c r="BN7" s="3237"/>
      <c r="BO7" s="3237"/>
      <c r="BP7" s="3237"/>
      <c r="BQ7" s="3237"/>
      <c r="BR7" s="3237"/>
      <c r="BS7" s="3237"/>
      <c r="BT7" s="3237"/>
      <c r="BU7" s="3237"/>
      <c r="BV7" s="3237"/>
      <c r="BW7" s="3237"/>
      <c r="BX7" s="3237"/>
      <c r="BY7" s="3237"/>
      <c r="BZ7" s="3237"/>
      <c r="CA7" s="3237"/>
      <c r="CB7" s="3237"/>
      <c r="CC7" s="3237"/>
      <c r="CD7" s="3237"/>
      <c r="CE7" s="3237"/>
      <c r="CF7" s="3237"/>
      <c r="CG7" s="3237"/>
      <c r="CH7" s="3237"/>
      <c r="CI7" s="3237">
        <f t="shared" ref="CI7:CI70" si="0">SUM(BB7:CH7)</f>
        <v>0</v>
      </c>
    </row>
    <row r="8" spans="1:87" s="1770" customFormat="1">
      <c r="A8" s="548" t="s">
        <v>3275</v>
      </c>
      <c r="B8" s="548" t="s">
        <v>3274</v>
      </c>
      <c r="C8" s="548" t="s">
        <v>2149</v>
      </c>
      <c r="D8" s="549"/>
      <c r="E8" s="549"/>
      <c r="F8" s="2238"/>
      <c r="G8" s="550">
        <v>678.77</v>
      </c>
      <c r="H8" s="550"/>
      <c r="I8" s="550"/>
      <c r="J8" s="550"/>
      <c r="K8" s="550"/>
      <c r="L8" s="550"/>
      <c r="M8" s="161"/>
      <c r="N8" s="550"/>
      <c r="O8" s="2949">
        <f>SUM(O9:O11)</f>
        <v>0</v>
      </c>
      <c r="P8" s="733"/>
      <c r="Q8" s="2286"/>
      <c r="R8" s="2958">
        <f>SUM(R9:R11)</f>
        <v>0</v>
      </c>
      <c r="BB8" s="3238"/>
      <c r="BC8" s="3238"/>
      <c r="BD8" s="3238"/>
      <c r="BE8" s="3238"/>
      <c r="BF8" s="3238"/>
      <c r="BG8" s="3238"/>
      <c r="BH8" s="3238"/>
      <c r="BI8" s="3238"/>
      <c r="BJ8" s="3238"/>
      <c r="BK8" s="3238"/>
      <c r="BL8" s="3238"/>
      <c r="BM8" s="3238"/>
      <c r="BN8" s="3238"/>
      <c r="BO8" s="3238"/>
      <c r="BP8" s="3238"/>
      <c r="BQ8" s="3238"/>
      <c r="BR8" s="3238"/>
      <c r="BS8" s="3238"/>
      <c r="BT8" s="3238"/>
      <c r="BU8" s="3238"/>
      <c r="BV8" s="3238"/>
      <c r="BW8" s="3238"/>
      <c r="BX8" s="3238"/>
      <c r="BY8" s="3238"/>
      <c r="BZ8" s="3238"/>
      <c r="CA8" s="3238"/>
      <c r="CB8" s="3238"/>
      <c r="CC8" s="3238"/>
      <c r="CD8" s="3238"/>
      <c r="CE8" s="3238"/>
      <c r="CF8" s="3238"/>
      <c r="CG8" s="3238"/>
      <c r="CH8" s="3238"/>
      <c r="CI8" s="3237">
        <f t="shared" si="0"/>
        <v>0</v>
      </c>
    </row>
    <row r="9" spans="1:87">
      <c r="A9" s="548" t="s">
        <v>3276</v>
      </c>
      <c r="B9" s="548" t="s">
        <v>3275</v>
      </c>
      <c r="C9" s="551" t="s">
        <v>2150</v>
      </c>
      <c r="D9" s="908" t="s">
        <v>65</v>
      </c>
      <c r="E9" s="608" t="s">
        <v>3238</v>
      </c>
      <c r="F9" s="2236">
        <v>1</v>
      </c>
      <c r="G9" s="552"/>
      <c r="H9" s="552">
        <v>5</v>
      </c>
      <c r="I9" s="552">
        <v>0.38</v>
      </c>
      <c r="J9" s="552">
        <v>4.62</v>
      </c>
      <c r="K9" s="552"/>
      <c r="L9" s="277"/>
      <c r="M9" s="553">
        <f t="shared" ref="M9:M19" si="1">L9/100000</f>
        <v>0</v>
      </c>
      <c r="N9" s="277"/>
      <c r="O9" s="2950">
        <f>M9*N9</f>
        <v>0</v>
      </c>
      <c r="P9" s="734"/>
      <c r="Q9" s="1377"/>
      <c r="R9" s="2966"/>
      <c r="BB9" s="3237"/>
      <c r="BC9" s="3237"/>
      <c r="BD9" s="3237"/>
      <c r="BE9" s="3237"/>
      <c r="BF9" s="3237"/>
      <c r="BG9" s="3237"/>
      <c r="BH9" s="3237"/>
      <c r="BI9" s="3237"/>
      <c r="BJ9" s="3237"/>
      <c r="BK9" s="3237"/>
      <c r="BL9" s="3237"/>
      <c r="BM9" s="3237"/>
      <c r="BN9" s="3237"/>
      <c r="BO9" s="3237"/>
      <c r="BP9" s="3237"/>
      <c r="BQ9" s="3237"/>
      <c r="BR9" s="3237"/>
      <c r="BS9" s="3237"/>
      <c r="BT9" s="3237"/>
      <c r="BU9" s="3237"/>
      <c r="BV9" s="3237"/>
      <c r="BW9" s="3237"/>
      <c r="BX9" s="3237"/>
      <c r="BY9" s="3237"/>
      <c r="BZ9" s="3237"/>
      <c r="CA9" s="3237"/>
      <c r="CB9" s="3237"/>
      <c r="CC9" s="3237"/>
      <c r="CD9" s="3237"/>
      <c r="CE9" s="3237"/>
      <c r="CF9" s="3237"/>
      <c r="CG9" s="3237"/>
      <c r="CH9" s="3237"/>
      <c r="CI9" s="3237">
        <f t="shared" si="0"/>
        <v>0</v>
      </c>
    </row>
    <row r="10" spans="1:87" ht="30">
      <c r="A10" s="548" t="s">
        <v>3277</v>
      </c>
      <c r="B10" s="548" t="s">
        <v>3278</v>
      </c>
      <c r="C10" s="551" t="s">
        <v>4322</v>
      </c>
      <c r="D10" s="908" t="s">
        <v>65</v>
      </c>
      <c r="E10" s="608" t="s">
        <v>3238</v>
      </c>
      <c r="F10" s="2236">
        <v>12</v>
      </c>
      <c r="G10" s="552"/>
      <c r="H10" s="552">
        <v>3.6</v>
      </c>
      <c r="I10" s="552">
        <v>0.08</v>
      </c>
      <c r="J10" s="552">
        <v>3.52</v>
      </c>
      <c r="K10" s="552"/>
      <c r="L10" s="277"/>
      <c r="M10" s="553">
        <f t="shared" si="1"/>
        <v>0</v>
      </c>
      <c r="N10" s="277"/>
      <c r="O10" s="2950">
        <f t="shared" ref="O10:O19" si="2">M10*N10</f>
        <v>0</v>
      </c>
      <c r="P10" s="734"/>
      <c r="Q10" s="1022"/>
      <c r="R10" s="2966"/>
      <c r="BB10" s="3237"/>
      <c r="BC10" s="3237"/>
      <c r="BD10" s="3237"/>
      <c r="BE10" s="3237"/>
      <c r="BF10" s="3237"/>
      <c r="BG10" s="3237"/>
      <c r="BH10" s="3237"/>
      <c r="BI10" s="3237"/>
      <c r="BJ10" s="3237"/>
      <c r="BK10" s="3237"/>
      <c r="BL10" s="3237"/>
      <c r="BM10" s="3237"/>
      <c r="BN10" s="3237"/>
      <c r="BO10" s="3237"/>
      <c r="BP10" s="3237"/>
      <c r="BQ10" s="3237"/>
      <c r="BR10" s="3237"/>
      <c r="BS10" s="3237"/>
      <c r="BT10" s="3237"/>
      <c r="BU10" s="3237"/>
      <c r="BV10" s="3237"/>
      <c r="BW10" s="3237"/>
      <c r="BX10" s="3237"/>
      <c r="BY10" s="3237"/>
      <c r="BZ10" s="3237"/>
      <c r="CA10" s="3237"/>
      <c r="CB10" s="3237"/>
      <c r="CC10" s="3237"/>
      <c r="CD10" s="3237"/>
      <c r="CE10" s="3237"/>
      <c r="CF10" s="3237"/>
      <c r="CG10" s="3237"/>
      <c r="CH10" s="3237"/>
      <c r="CI10" s="3237">
        <f t="shared" si="0"/>
        <v>0</v>
      </c>
    </row>
    <row r="11" spans="1:87">
      <c r="A11" s="548" t="s">
        <v>3279</v>
      </c>
      <c r="B11" s="548" t="s">
        <v>3280</v>
      </c>
      <c r="C11" s="551" t="s">
        <v>2151</v>
      </c>
      <c r="D11" s="908" t="s">
        <v>65</v>
      </c>
      <c r="E11" s="608" t="s">
        <v>3238</v>
      </c>
      <c r="F11" s="2236">
        <v>76</v>
      </c>
      <c r="G11" s="552"/>
      <c r="H11" s="552"/>
      <c r="I11" s="552"/>
      <c r="J11" s="552"/>
      <c r="K11" s="552"/>
      <c r="L11" s="277"/>
      <c r="M11" s="553">
        <f t="shared" si="1"/>
        <v>0</v>
      </c>
      <c r="N11" s="277"/>
      <c r="O11" s="2950">
        <f t="shared" si="2"/>
        <v>0</v>
      </c>
      <c r="P11" s="734"/>
      <c r="Q11" s="1022"/>
      <c r="R11" s="2966"/>
      <c r="BB11" s="3237"/>
      <c r="BC11" s="3237"/>
      <c r="BD11" s="3237"/>
      <c r="BE11" s="3237"/>
      <c r="BF11" s="3237"/>
      <c r="BG11" s="3237"/>
      <c r="BH11" s="3237"/>
      <c r="BI11" s="3237"/>
      <c r="BJ11" s="3237"/>
      <c r="BK11" s="3237"/>
      <c r="BL11" s="3237"/>
      <c r="BM11" s="3237"/>
      <c r="BN11" s="3237"/>
      <c r="BO11" s="3237"/>
      <c r="BP11" s="3237"/>
      <c r="BQ11" s="3237"/>
      <c r="BR11" s="3237"/>
      <c r="BS11" s="3237"/>
      <c r="BT11" s="3237"/>
      <c r="BU11" s="3237"/>
      <c r="BV11" s="3237"/>
      <c r="BW11" s="3237"/>
      <c r="BX11" s="3237"/>
      <c r="BY11" s="3237"/>
      <c r="BZ11" s="3237"/>
      <c r="CA11" s="3237"/>
      <c r="CB11" s="3237"/>
      <c r="CC11" s="3237"/>
      <c r="CD11" s="3237"/>
      <c r="CE11" s="3237"/>
      <c r="CF11" s="3237"/>
      <c r="CG11" s="3237"/>
      <c r="CH11" s="3237"/>
      <c r="CI11" s="3237">
        <f t="shared" si="0"/>
        <v>0</v>
      </c>
    </row>
    <row r="12" spans="1:87" ht="75">
      <c r="A12" s="548" t="s">
        <v>3278</v>
      </c>
      <c r="B12" s="548" t="s">
        <v>3281</v>
      </c>
      <c r="C12" s="551" t="s">
        <v>825</v>
      </c>
      <c r="D12" s="555" t="s">
        <v>85</v>
      </c>
      <c r="E12" s="608" t="s">
        <v>3241</v>
      </c>
      <c r="F12" s="2236">
        <v>0</v>
      </c>
      <c r="G12" s="552"/>
      <c r="H12" s="552"/>
      <c r="I12" s="552"/>
      <c r="J12" s="552"/>
      <c r="K12" s="552"/>
      <c r="L12" s="277"/>
      <c r="M12" s="553">
        <f t="shared" si="1"/>
        <v>0</v>
      </c>
      <c r="N12" s="277"/>
      <c r="O12" s="2950">
        <f t="shared" si="2"/>
        <v>0</v>
      </c>
      <c r="P12" s="734"/>
      <c r="Q12" s="1017" t="str">
        <f>'Ab1. RMNCH+A'!Q448</f>
        <v>--</v>
      </c>
      <c r="R12" s="2967">
        <f>'Ab1. RMNCH+A'!R448</f>
        <v>0</v>
      </c>
      <c r="BB12" s="3237"/>
      <c r="BC12" s="3237"/>
      <c r="BD12" s="3237"/>
      <c r="BE12" s="3237"/>
      <c r="BF12" s="3237"/>
      <c r="BG12" s="3237"/>
      <c r="BH12" s="3237"/>
      <c r="BI12" s="3237"/>
      <c r="BJ12" s="3237"/>
      <c r="BK12" s="3237"/>
      <c r="BL12" s="3237"/>
      <c r="BM12" s="3237"/>
      <c r="BN12" s="3237"/>
      <c r="BO12" s="3237"/>
      <c r="BP12" s="3237"/>
      <c r="BQ12" s="3237"/>
      <c r="BR12" s="3237"/>
      <c r="BS12" s="3237"/>
      <c r="BT12" s="3237"/>
      <c r="BU12" s="3237"/>
      <c r="BV12" s="3237"/>
      <c r="BW12" s="3237"/>
      <c r="BX12" s="3237"/>
      <c r="BY12" s="3237"/>
      <c r="BZ12" s="3237"/>
      <c r="CA12" s="3237"/>
      <c r="CB12" s="3237"/>
      <c r="CC12" s="3237"/>
      <c r="CD12" s="3237"/>
      <c r="CE12" s="3237"/>
      <c r="CF12" s="3237"/>
      <c r="CG12" s="3237"/>
      <c r="CH12" s="3237"/>
      <c r="CI12" s="3237">
        <f t="shared" si="0"/>
        <v>0</v>
      </c>
    </row>
    <row r="13" spans="1:87" ht="29.1" customHeight="1">
      <c r="A13" s="548" t="s">
        <v>3280</v>
      </c>
      <c r="B13" s="548" t="s">
        <v>3282</v>
      </c>
      <c r="C13" s="551" t="s">
        <v>1494</v>
      </c>
      <c r="D13" s="555" t="s">
        <v>85</v>
      </c>
      <c r="E13" s="608" t="s">
        <v>3568</v>
      </c>
      <c r="F13" s="2236">
        <v>0</v>
      </c>
      <c r="G13" s="552"/>
      <c r="H13" s="552"/>
      <c r="I13" s="552"/>
      <c r="J13" s="552"/>
      <c r="K13" s="552"/>
      <c r="L13" s="277"/>
      <c r="M13" s="553">
        <f t="shared" si="1"/>
        <v>0</v>
      </c>
      <c r="N13" s="277"/>
      <c r="O13" s="2950">
        <f t="shared" si="2"/>
        <v>0</v>
      </c>
      <c r="P13" s="734"/>
      <c r="Q13" s="1017" t="str">
        <f>'Ab1. RMNCH+A'!Q449</f>
        <v>--</v>
      </c>
      <c r="R13" s="2967">
        <f>'Ab1. RMNCH+A'!R449</f>
        <v>0</v>
      </c>
      <c r="BB13" s="3237"/>
      <c r="BC13" s="3237"/>
      <c r="BD13" s="3237"/>
      <c r="BE13" s="3237"/>
      <c r="BF13" s="3237"/>
      <c r="BG13" s="3237"/>
      <c r="BH13" s="3237"/>
      <c r="BI13" s="3237"/>
      <c r="BJ13" s="3237"/>
      <c r="BK13" s="3237"/>
      <c r="BL13" s="3237"/>
      <c r="BM13" s="3237"/>
      <c r="BN13" s="3237"/>
      <c r="BO13" s="3237"/>
      <c r="BP13" s="3237"/>
      <c r="BQ13" s="3237"/>
      <c r="BR13" s="3237"/>
      <c r="BS13" s="3237"/>
      <c r="BT13" s="3237"/>
      <c r="BU13" s="3237"/>
      <c r="BV13" s="3237"/>
      <c r="BW13" s="3237"/>
      <c r="BX13" s="3237"/>
      <c r="BY13" s="3237"/>
      <c r="BZ13" s="3237"/>
      <c r="CA13" s="3237"/>
      <c r="CB13" s="3237"/>
      <c r="CC13" s="3237"/>
      <c r="CD13" s="3237"/>
      <c r="CE13" s="3237"/>
      <c r="CF13" s="3237"/>
      <c r="CG13" s="3237"/>
      <c r="CH13" s="3237"/>
      <c r="CI13" s="3237">
        <f t="shared" si="0"/>
        <v>0</v>
      </c>
    </row>
    <row r="14" spans="1:87" s="1770" customFormat="1" ht="75">
      <c r="A14" s="548" t="s">
        <v>3283</v>
      </c>
      <c r="B14" s="548" t="s">
        <v>3284</v>
      </c>
      <c r="C14" s="558" t="s">
        <v>2152</v>
      </c>
      <c r="D14" s="2601" t="s">
        <v>85</v>
      </c>
      <c r="E14" s="609" t="s">
        <v>3568</v>
      </c>
      <c r="F14" s="2238">
        <v>100</v>
      </c>
      <c r="G14" s="560"/>
      <c r="H14" s="560"/>
      <c r="I14" s="560"/>
      <c r="J14" s="560"/>
      <c r="K14" s="2602">
        <v>1</v>
      </c>
      <c r="L14" s="2504">
        <v>1000</v>
      </c>
      <c r="M14" s="569">
        <f t="shared" si="1"/>
        <v>0.01</v>
      </c>
      <c r="N14" s="283">
        <v>100</v>
      </c>
      <c r="O14" s="2951">
        <f t="shared" si="2"/>
        <v>1</v>
      </c>
      <c r="P14" s="2603" t="s">
        <v>5386</v>
      </c>
      <c r="Q14" s="2263" t="str">
        <f>'Ab1. RMNCH+A'!Q450</f>
        <v xml:space="preserve">Recommended for approval of Rs.1.00 lakh as proposed by State Rs.1 lakh to prepare microplan for each MHTs in consultation with ICDS, Department of education and Tribal Welfare Departments. </v>
      </c>
      <c r="R14" s="2968">
        <f>'Ab1. RMNCH+A'!R450</f>
        <v>1</v>
      </c>
      <c r="S14" s="3116">
        <f>O14-R14</f>
        <v>0</v>
      </c>
      <c r="BB14" s="3238">
        <v>0.26</v>
      </c>
      <c r="BC14" s="3238">
        <v>0.03</v>
      </c>
      <c r="BD14" s="3238">
        <v>7.0000000000000007E-2</v>
      </c>
      <c r="BE14" s="3238">
        <v>0.06</v>
      </c>
      <c r="BF14" s="3238">
        <v>0.13</v>
      </c>
      <c r="BG14" s="3238">
        <v>0.03</v>
      </c>
      <c r="BH14" s="3238">
        <v>0.05</v>
      </c>
      <c r="BI14" s="3238">
        <v>0.02</v>
      </c>
      <c r="BJ14" s="3238">
        <v>0.11</v>
      </c>
      <c r="BK14" s="3238">
        <v>0.09</v>
      </c>
      <c r="BL14" s="3238">
        <v>0.05</v>
      </c>
      <c r="BM14" s="3238">
        <v>0.05</v>
      </c>
      <c r="BN14" s="3238">
        <v>0.05</v>
      </c>
      <c r="BO14" s="3238"/>
      <c r="BP14" s="3238"/>
      <c r="BQ14" s="3238"/>
      <c r="BR14" s="3238"/>
      <c r="BS14" s="3238"/>
      <c r="BT14" s="3238"/>
      <c r="BU14" s="3238"/>
      <c r="BV14" s="3238"/>
      <c r="BW14" s="3238"/>
      <c r="BX14" s="3238"/>
      <c r="BY14" s="3238"/>
      <c r="BZ14" s="3238"/>
      <c r="CA14" s="3238"/>
      <c r="CB14" s="3238"/>
      <c r="CC14" s="3238"/>
      <c r="CD14" s="3238"/>
      <c r="CE14" s="3238"/>
      <c r="CF14" s="3238"/>
      <c r="CG14" s="3238"/>
      <c r="CH14" s="3238"/>
      <c r="CI14" s="3237">
        <f t="shared" si="0"/>
        <v>1.0000000000000002</v>
      </c>
    </row>
    <row r="15" spans="1:87" ht="30">
      <c r="A15" s="548" t="s">
        <v>3285</v>
      </c>
      <c r="B15" s="548" t="s">
        <v>3286</v>
      </c>
      <c r="C15" s="551" t="s">
        <v>2153</v>
      </c>
      <c r="D15" s="555" t="s">
        <v>85</v>
      </c>
      <c r="E15" s="608" t="s">
        <v>3569</v>
      </c>
      <c r="F15" s="2236">
        <v>0</v>
      </c>
      <c r="G15" s="552"/>
      <c r="H15" s="552"/>
      <c r="I15" s="552"/>
      <c r="J15" s="552"/>
      <c r="K15" s="552"/>
      <c r="L15" s="277"/>
      <c r="M15" s="553">
        <f t="shared" si="1"/>
        <v>0</v>
      </c>
      <c r="N15" s="277"/>
      <c r="O15" s="2950">
        <f t="shared" si="2"/>
        <v>0</v>
      </c>
      <c r="P15" s="734"/>
      <c r="Q15" s="1017" t="str">
        <f>'Ab1. RMNCH+A'!Q451</f>
        <v>--</v>
      </c>
      <c r="R15" s="2967">
        <f>'Ab1. RMNCH+A'!R451</f>
        <v>0</v>
      </c>
      <c r="BB15" s="3237"/>
      <c r="BC15" s="3237"/>
      <c r="BD15" s="3237"/>
      <c r="BE15" s="3237"/>
      <c r="BF15" s="3237"/>
      <c r="BG15" s="3237"/>
      <c r="BH15" s="3237"/>
      <c r="BI15" s="3237"/>
      <c r="BJ15" s="3237"/>
      <c r="BK15" s="3237"/>
      <c r="BL15" s="3237"/>
      <c r="BM15" s="3237"/>
      <c r="BN15" s="3237"/>
      <c r="BO15" s="3237"/>
      <c r="BP15" s="3237"/>
      <c r="BQ15" s="3237"/>
      <c r="BR15" s="3237"/>
      <c r="BS15" s="3237"/>
      <c r="BT15" s="3237"/>
      <c r="BU15" s="3237"/>
      <c r="BV15" s="3237"/>
      <c r="BW15" s="3237"/>
      <c r="BX15" s="3237"/>
      <c r="BY15" s="3237"/>
      <c r="BZ15" s="3237"/>
      <c r="CA15" s="3237"/>
      <c r="CB15" s="3237"/>
      <c r="CC15" s="3237"/>
      <c r="CD15" s="3237"/>
      <c r="CE15" s="3237"/>
      <c r="CF15" s="3237"/>
      <c r="CG15" s="3237"/>
      <c r="CH15" s="3237"/>
      <c r="CI15" s="3237">
        <f t="shared" si="0"/>
        <v>0</v>
      </c>
    </row>
    <row r="16" spans="1:87" s="3470" customFormat="1" ht="30">
      <c r="A16" s="3463" t="s">
        <v>3287</v>
      </c>
      <c r="B16" s="3463" t="s">
        <v>3288</v>
      </c>
      <c r="C16" s="3562" t="s">
        <v>3981</v>
      </c>
      <c r="D16" s="3563" t="s">
        <v>85</v>
      </c>
      <c r="E16" s="3465" t="s">
        <v>3570</v>
      </c>
      <c r="F16" s="3466">
        <v>2083</v>
      </c>
      <c r="G16" s="3466"/>
      <c r="H16" s="3466">
        <v>2.08</v>
      </c>
      <c r="I16" s="3564">
        <v>0.09</v>
      </c>
      <c r="J16" s="3564">
        <v>1.99</v>
      </c>
      <c r="K16" s="3466">
        <v>1</v>
      </c>
      <c r="L16" s="243">
        <v>100</v>
      </c>
      <c r="M16" s="962">
        <f t="shared" si="1"/>
        <v>1E-3</v>
      </c>
      <c r="N16" s="243">
        <v>2083</v>
      </c>
      <c r="O16" s="3467">
        <f t="shared" si="2"/>
        <v>2.0830000000000002</v>
      </c>
      <c r="P16" s="3468" t="s">
        <v>5410</v>
      </c>
      <c r="Q16" s="2257" t="str">
        <f>'Ab1. RMNCH+A'!Q452</f>
        <v>Rs. 2.08 lakhs is recommended for approval as per norms @ Rs 100/Sub-Centre for 2083 SCs</v>
      </c>
      <c r="R16" s="3190">
        <f>'Ab1. RMNCH+A'!R452</f>
        <v>2.08</v>
      </c>
      <c r="S16" s="3565">
        <f>O16-R16</f>
        <v>3.0000000000001137E-3</v>
      </c>
      <c r="BB16" s="3471"/>
      <c r="BC16" s="3471">
        <f>98.62*120/100000</f>
        <v>0.11834400000000002</v>
      </c>
      <c r="BD16" s="3471">
        <f>98.62*177/100000</f>
        <v>0.17455740000000003</v>
      </c>
      <c r="BE16" s="3471">
        <f>98.62*150/100000</f>
        <v>0.14793000000000001</v>
      </c>
      <c r="BF16" s="3471">
        <f>98.62*440/100000</f>
        <v>0.43392800000000004</v>
      </c>
      <c r="BG16" s="3471">
        <f>98.62*35/100000</f>
        <v>3.4517000000000006E-2</v>
      </c>
      <c r="BH16" s="3471">
        <f>98.62*103/100000</f>
        <v>0.1015786</v>
      </c>
      <c r="BI16" s="3471">
        <f>98.62*37/100000</f>
        <v>3.6489399999999998E-2</v>
      </c>
      <c r="BJ16" s="3471">
        <f>98.62*332/100000</f>
        <v>0.3274184</v>
      </c>
      <c r="BK16" s="3471">
        <f>98.62*253/100000</f>
        <v>0.2495086</v>
      </c>
      <c r="BL16" s="3471">
        <f>98.62*149/100000</f>
        <v>0.14694380000000001</v>
      </c>
      <c r="BM16" s="3471">
        <f>98.62*177/100000</f>
        <v>0.17455740000000003</v>
      </c>
      <c r="BN16" s="3471">
        <f>98.62*136/100000</f>
        <v>0.1341232</v>
      </c>
      <c r="BO16" s="3471"/>
      <c r="BP16" s="3471"/>
      <c r="BQ16" s="3471"/>
      <c r="BR16" s="3471"/>
      <c r="BS16" s="3471"/>
      <c r="BT16" s="3471"/>
      <c r="BU16" s="3471"/>
      <c r="BV16" s="3471"/>
      <c r="BW16" s="3471"/>
      <c r="BX16" s="3471"/>
      <c r="BY16" s="3471"/>
      <c r="BZ16" s="3471"/>
      <c r="CA16" s="3471"/>
      <c r="CB16" s="3471"/>
      <c r="CC16" s="3471"/>
      <c r="CD16" s="3471"/>
      <c r="CE16" s="3471"/>
      <c r="CF16" s="3471"/>
      <c r="CG16" s="3471"/>
      <c r="CH16" s="3471"/>
      <c r="CI16" s="3471">
        <f t="shared" si="0"/>
        <v>2.0798958000000001</v>
      </c>
    </row>
    <row r="17" spans="1:87" s="3470" customFormat="1" ht="45">
      <c r="A17" s="3463" t="s">
        <v>3289</v>
      </c>
      <c r="B17" s="3463" t="s">
        <v>3290</v>
      </c>
      <c r="C17" s="3562" t="s">
        <v>2154</v>
      </c>
      <c r="D17" s="3563" t="s">
        <v>85</v>
      </c>
      <c r="E17" s="3465" t="s">
        <v>3570</v>
      </c>
      <c r="F17" s="3466">
        <v>83</v>
      </c>
      <c r="G17" s="3466"/>
      <c r="H17" s="3466">
        <v>1</v>
      </c>
      <c r="I17" s="3564">
        <v>0.04</v>
      </c>
      <c r="J17" s="3564">
        <v>0.96</v>
      </c>
      <c r="K17" s="3466">
        <v>1</v>
      </c>
      <c r="L17" s="243">
        <v>1200</v>
      </c>
      <c r="M17" s="962">
        <f t="shared" si="1"/>
        <v>1.2E-2</v>
      </c>
      <c r="N17" s="243">
        <v>83</v>
      </c>
      <c r="O17" s="3467">
        <f t="shared" si="2"/>
        <v>0.996</v>
      </c>
      <c r="P17" s="3468" t="s">
        <v>5411</v>
      </c>
      <c r="Q17" s="2257" t="str">
        <f>'Ab1. RMNCH+A'!Q453</f>
        <v>Rs. 1.00 lakh is recommended for approval @ Rs.1000/ Block/PHC for 83 Blocks/PHCs and Rs.2000/District for 12 Districts</v>
      </c>
      <c r="R17" s="3190">
        <f>'Ab1. RMNCH+A'!R453</f>
        <v>1</v>
      </c>
      <c r="S17" s="3565">
        <f>O17-R17</f>
        <v>-4.0000000000000036E-3</v>
      </c>
      <c r="BB17" s="3471"/>
      <c r="BC17" s="3471">
        <f>1315.78*4/100000</f>
        <v>5.2631199999999996E-2</v>
      </c>
      <c r="BD17" s="3471">
        <f>1315.78*7/100000</f>
        <v>9.2104599999999995E-2</v>
      </c>
      <c r="BE17" s="3471">
        <f>1315.78*6/100000</f>
        <v>7.8946799999999998E-2</v>
      </c>
      <c r="BF17" s="3471">
        <f>1315.78*13/100000</f>
        <v>0.17105139999999999</v>
      </c>
      <c r="BG17" s="3471">
        <f>1315.78*3/100000</f>
        <v>3.9473399999999999E-2</v>
      </c>
      <c r="BH17" s="3471">
        <f>1315.78*5/100000</f>
        <v>6.5789E-2</v>
      </c>
      <c r="BI17" s="3471">
        <f>1315.78*2/100000</f>
        <v>2.6315599999999998E-2</v>
      </c>
      <c r="BJ17" s="3471">
        <f>1315.78*11/100000</f>
        <v>0.1447358</v>
      </c>
      <c r="BK17" s="3471">
        <f>1315.78*10/100000</f>
        <v>0.131578</v>
      </c>
      <c r="BL17" s="3471">
        <f>1315.78*5/100000</f>
        <v>6.5789E-2</v>
      </c>
      <c r="BM17" s="3471">
        <f>1315.78*5/100000</f>
        <v>6.5789E-2</v>
      </c>
      <c r="BN17" s="3471">
        <f>1315.78*5/100000</f>
        <v>6.5789E-2</v>
      </c>
      <c r="BO17" s="3471"/>
      <c r="BP17" s="3471"/>
      <c r="BQ17" s="3471"/>
      <c r="BR17" s="3471"/>
      <c r="BS17" s="3471"/>
      <c r="BT17" s="3471"/>
      <c r="BU17" s="3471"/>
      <c r="BV17" s="3471"/>
      <c r="BW17" s="3471"/>
      <c r="BX17" s="3471"/>
      <c r="BY17" s="3471"/>
      <c r="BZ17" s="3471"/>
      <c r="CA17" s="3471"/>
      <c r="CB17" s="3471"/>
      <c r="CC17" s="3471"/>
      <c r="CD17" s="3471"/>
      <c r="CE17" s="3471"/>
      <c r="CF17" s="3471"/>
      <c r="CG17" s="3471"/>
      <c r="CH17" s="3471"/>
      <c r="CI17" s="3471">
        <f t="shared" si="0"/>
        <v>0.9999927999999999</v>
      </c>
    </row>
    <row r="18" spans="1:87" ht="30">
      <c r="A18" s="548" t="s">
        <v>3291</v>
      </c>
      <c r="B18" s="548" t="s">
        <v>3292</v>
      </c>
      <c r="C18" s="557" t="s">
        <v>2155</v>
      </c>
      <c r="D18" s="1549" t="s">
        <v>80</v>
      </c>
      <c r="E18" s="608" t="s">
        <v>3571</v>
      </c>
      <c r="F18" s="2236">
        <v>0</v>
      </c>
      <c r="G18" s="552"/>
      <c r="H18" s="552"/>
      <c r="I18" s="552"/>
      <c r="J18" s="552"/>
      <c r="K18" s="552"/>
      <c r="L18" s="277"/>
      <c r="M18" s="553">
        <f t="shared" si="1"/>
        <v>0</v>
      </c>
      <c r="N18" s="277"/>
      <c r="O18" s="2950">
        <f t="shared" si="2"/>
        <v>0</v>
      </c>
      <c r="P18" s="734"/>
      <c r="Q18" s="1017">
        <f>'Abs16. NMHP'!Q30</f>
        <v>0</v>
      </c>
      <c r="R18" s="2969">
        <f>'Abs16. NMHP'!R30</f>
        <v>0</v>
      </c>
      <c r="BB18" s="3237"/>
      <c r="BC18" s="3237"/>
      <c r="BD18" s="3237"/>
      <c r="BE18" s="3237"/>
      <c r="BF18" s="3237"/>
      <c r="BG18" s="3237"/>
      <c r="BH18" s="3237"/>
      <c r="BI18" s="3237"/>
      <c r="BJ18" s="3237"/>
      <c r="BK18" s="3237"/>
      <c r="BL18" s="3237"/>
      <c r="BM18" s="3237"/>
      <c r="BN18" s="3237"/>
      <c r="BO18" s="3237"/>
      <c r="BP18" s="3237"/>
      <c r="BQ18" s="3237"/>
      <c r="BR18" s="3237"/>
      <c r="BS18" s="3237"/>
      <c r="BT18" s="3237"/>
      <c r="BU18" s="3237"/>
      <c r="BV18" s="3237"/>
      <c r="BW18" s="3237"/>
      <c r="BX18" s="3237"/>
      <c r="BY18" s="3237"/>
      <c r="BZ18" s="3237"/>
      <c r="CA18" s="3237"/>
      <c r="CB18" s="3237"/>
      <c r="CC18" s="3237"/>
      <c r="CD18" s="3237"/>
      <c r="CE18" s="3237"/>
      <c r="CF18" s="3237"/>
      <c r="CG18" s="3237"/>
      <c r="CH18" s="3237"/>
      <c r="CI18" s="3237">
        <f t="shared" si="0"/>
        <v>0</v>
      </c>
    </row>
    <row r="19" spans="1:87">
      <c r="A19" s="548" t="s">
        <v>3293</v>
      </c>
      <c r="B19" s="548" t="s">
        <v>3294</v>
      </c>
      <c r="C19" s="558" t="s">
        <v>302</v>
      </c>
      <c r="D19" s="908" t="s">
        <v>65</v>
      </c>
      <c r="E19" s="608" t="s">
        <v>3238</v>
      </c>
      <c r="F19" s="2237">
        <v>0</v>
      </c>
      <c r="G19" s="560"/>
      <c r="H19" s="560"/>
      <c r="I19" s="561"/>
      <c r="J19" s="561"/>
      <c r="K19" s="560"/>
      <c r="L19" s="277"/>
      <c r="M19" s="553">
        <f t="shared" si="1"/>
        <v>0</v>
      </c>
      <c r="N19" s="277"/>
      <c r="O19" s="2951">
        <f t="shared" si="2"/>
        <v>0</v>
      </c>
      <c r="P19" s="735"/>
      <c r="Q19" s="1022"/>
      <c r="R19" s="2966"/>
      <c r="BB19" s="3237"/>
      <c r="BC19" s="3237"/>
      <c r="BD19" s="3237"/>
      <c r="BE19" s="3237"/>
      <c r="BF19" s="3237"/>
      <c r="BG19" s="3237"/>
      <c r="BH19" s="3237"/>
      <c r="BI19" s="3237"/>
      <c r="BJ19" s="3237"/>
      <c r="BK19" s="3237"/>
      <c r="BL19" s="3237"/>
      <c r="BM19" s="3237"/>
      <c r="BN19" s="3237"/>
      <c r="BO19" s="3237"/>
      <c r="BP19" s="3237"/>
      <c r="BQ19" s="3237"/>
      <c r="BR19" s="3237"/>
      <c r="BS19" s="3237"/>
      <c r="BT19" s="3237"/>
      <c r="BU19" s="3237"/>
      <c r="BV19" s="3237"/>
      <c r="BW19" s="3237"/>
      <c r="BX19" s="3237"/>
      <c r="BY19" s="3237"/>
      <c r="BZ19" s="3237"/>
      <c r="CA19" s="3237"/>
      <c r="CB19" s="3237"/>
      <c r="CC19" s="3237"/>
      <c r="CD19" s="3237"/>
      <c r="CE19" s="3237"/>
      <c r="CF19" s="3237"/>
      <c r="CG19" s="3237"/>
      <c r="CH19" s="3237"/>
      <c r="CI19" s="3237">
        <f t="shared" si="0"/>
        <v>0</v>
      </c>
    </row>
    <row r="20" spans="1:87" ht="12.95" customHeight="1">
      <c r="A20" s="543" t="s">
        <v>3281</v>
      </c>
      <c r="B20" s="543">
        <v>16.2</v>
      </c>
      <c r="C20" s="543" t="s">
        <v>2846</v>
      </c>
      <c r="D20" s="544"/>
      <c r="E20" s="544"/>
      <c r="F20" s="545"/>
      <c r="G20" s="545"/>
      <c r="H20" s="545"/>
      <c r="I20" s="545"/>
      <c r="J20" s="545"/>
      <c r="K20" s="545"/>
      <c r="L20" s="545"/>
      <c r="M20" s="546"/>
      <c r="N20" s="545"/>
      <c r="O20" s="2817">
        <f>O21+O50</f>
        <v>57.340290000000003</v>
      </c>
      <c r="P20" s="732"/>
      <c r="Q20" s="1504"/>
      <c r="R20" s="2957">
        <f>R21+R50</f>
        <v>57.34</v>
      </c>
      <c r="S20" s="3116">
        <f>O20-R20</f>
        <v>2.899999999996794E-4</v>
      </c>
      <c r="BB20" s="3237"/>
      <c r="BC20" s="3237"/>
      <c r="BD20" s="3237"/>
      <c r="BE20" s="3237"/>
      <c r="BF20" s="3237"/>
      <c r="BG20" s="3237"/>
      <c r="BH20" s="3237"/>
      <c r="BI20" s="3237"/>
      <c r="BJ20" s="3237"/>
      <c r="BK20" s="3237"/>
      <c r="BL20" s="3237"/>
      <c r="BM20" s="3237"/>
      <c r="BN20" s="3237"/>
      <c r="BO20" s="3237"/>
      <c r="BP20" s="3237"/>
      <c r="BQ20" s="3237"/>
      <c r="BR20" s="3237"/>
      <c r="BS20" s="3237"/>
      <c r="BT20" s="3237"/>
      <c r="BU20" s="3237"/>
      <c r="BV20" s="3237"/>
      <c r="BW20" s="3237"/>
      <c r="BX20" s="3237"/>
      <c r="BY20" s="3237"/>
      <c r="BZ20" s="3237"/>
      <c r="CA20" s="3237"/>
      <c r="CB20" s="3237"/>
      <c r="CC20" s="3237"/>
      <c r="CD20" s="3237"/>
      <c r="CE20" s="3237"/>
      <c r="CF20" s="3237"/>
      <c r="CG20" s="3237"/>
      <c r="CH20" s="3237"/>
      <c r="CI20" s="3237">
        <f t="shared" si="0"/>
        <v>0</v>
      </c>
    </row>
    <row r="21" spans="1:87" ht="12.95" customHeight="1">
      <c r="A21" s="548" t="s">
        <v>3295</v>
      </c>
      <c r="B21" s="548" t="s">
        <v>3296</v>
      </c>
      <c r="C21" s="548" t="s">
        <v>2156</v>
      </c>
      <c r="D21" s="549"/>
      <c r="E21" s="549"/>
      <c r="F21" s="550"/>
      <c r="G21" s="550"/>
      <c r="H21" s="550"/>
      <c r="I21" s="550"/>
      <c r="J21" s="550"/>
      <c r="K21" s="550"/>
      <c r="L21" s="550"/>
      <c r="M21" s="161"/>
      <c r="N21" s="550"/>
      <c r="O21" s="2949">
        <f>SUM(O22:O49)</f>
        <v>10.335990000000001</v>
      </c>
      <c r="P21" s="733"/>
      <c r="Q21" s="1511"/>
      <c r="R21" s="2961">
        <f>SUM(R22:R49)</f>
        <v>10.34</v>
      </c>
      <c r="S21" s="3116">
        <f>O21-R21</f>
        <v>-4.0099999999991809E-3</v>
      </c>
      <c r="BB21" s="3237"/>
      <c r="BC21" s="3237"/>
      <c r="BD21" s="3237"/>
      <c r="BE21" s="3237"/>
      <c r="BF21" s="3237"/>
      <c r="BG21" s="3237"/>
      <c r="BH21" s="3237"/>
      <c r="BI21" s="3237"/>
      <c r="BJ21" s="3237"/>
      <c r="BK21" s="3237"/>
      <c r="BL21" s="3237"/>
      <c r="BM21" s="3237"/>
      <c r="BN21" s="3237"/>
      <c r="BO21" s="3237"/>
      <c r="BP21" s="3237"/>
      <c r="BQ21" s="3237"/>
      <c r="BR21" s="3237"/>
      <c r="BS21" s="3237"/>
      <c r="BT21" s="3237"/>
      <c r="BU21" s="3237"/>
      <c r="BV21" s="3237"/>
      <c r="BW21" s="3237"/>
      <c r="BX21" s="3237"/>
      <c r="BY21" s="3237"/>
      <c r="BZ21" s="3237"/>
      <c r="CA21" s="3237"/>
      <c r="CB21" s="3237"/>
      <c r="CC21" s="3237"/>
      <c r="CD21" s="3237"/>
      <c r="CE21" s="3237"/>
      <c r="CF21" s="3237"/>
      <c r="CG21" s="3237"/>
      <c r="CH21" s="3237"/>
      <c r="CI21" s="3237">
        <f t="shared" si="0"/>
        <v>0</v>
      </c>
    </row>
    <row r="22" spans="1:87" ht="30">
      <c r="A22" s="548" t="s">
        <v>3297</v>
      </c>
      <c r="B22" s="548" t="s">
        <v>3298</v>
      </c>
      <c r="C22" s="551" t="s">
        <v>2157</v>
      </c>
      <c r="D22" s="555" t="s">
        <v>85</v>
      </c>
      <c r="E22" s="608" t="s">
        <v>3241</v>
      </c>
      <c r="F22" s="2236">
        <v>3</v>
      </c>
      <c r="G22" s="563"/>
      <c r="H22" s="563"/>
      <c r="I22" s="563"/>
      <c r="J22" s="563"/>
      <c r="K22" s="563"/>
      <c r="L22" s="277"/>
      <c r="M22" s="553">
        <f t="shared" ref="M22:M49" si="3">L22/100000</f>
        <v>0</v>
      </c>
      <c r="N22" s="277"/>
      <c r="O22" s="2950">
        <f t="shared" ref="O22:O40" si="4">M22*N22</f>
        <v>0</v>
      </c>
      <c r="P22" s="734"/>
      <c r="Q22" s="1017" t="str">
        <f>'Ab1. RMNCH+A'!Q454</f>
        <v>--</v>
      </c>
      <c r="R22" s="2961">
        <f>'Ab1. RMNCH+A'!R454</f>
        <v>0</v>
      </c>
      <c r="BB22" s="3237"/>
      <c r="BC22" s="3237"/>
      <c r="BD22" s="3237"/>
      <c r="BE22" s="3237"/>
      <c r="BF22" s="3237"/>
      <c r="BG22" s="3237"/>
      <c r="BH22" s="3237"/>
      <c r="BI22" s="3237"/>
      <c r="BJ22" s="3237"/>
      <c r="BK22" s="3237"/>
      <c r="BL22" s="3237"/>
      <c r="BM22" s="3237"/>
      <c r="BN22" s="3237"/>
      <c r="BO22" s="3237"/>
      <c r="BP22" s="3237"/>
      <c r="BQ22" s="3237"/>
      <c r="BR22" s="3237"/>
      <c r="BS22" s="3237"/>
      <c r="BT22" s="3237"/>
      <c r="BU22" s="3237"/>
      <c r="BV22" s="3237"/>
      <c r="BW22" s="3237"/>
      <c r="BX22" s="3237"/>
      <c r="BY22" s="3237"/>
      <c r="BZ22" s="3237"/>
      <c r="CA22" s="3237"/>
      <c r="CB22" s="3237"/>
      <c r="CC22" s="3237"/>
      <c r="CD22" s="3237"/>
      <c r="CE22" s="3237"/>
      <c r="CF22" s="3237"/>
      <c r="CG22" s="3237"/>
      <c r="CH22" s="3237"/>
      <c r="CI22" s="3237">
        <f t="shared" si="0"/>
        <v>0</v>
      </c>
    </row>
    <row r="23" spans="1:87">
      <c r="A23" s="548" t="s">
        <v>3299</v>
      </c>
      <c r="B23" s="548" t="s">
        <v>3300</v>
      </c>
      <c r="C23" s="551" t="s">
        <v>2387</v>
      </c>
      <c r="D23" s="555" t="s">
        <v>85</v>
      </c>
      <c r="E23" s="608" t="s">
        <v>3241</v>
      </c>
      <c r="F23" s="2236">
        <v>0</v>
      </c>
      <c r="G23" s="550"/>
      <c r="H23" s="550"/>
      <c r="I23" s="550"/>
      <c r="J23" s="550"/>
      <c r="K23" s="550"/>
      <c r="L23" s="277"/>
      <c r="M23" s="553">
        <f t="shared" si="3"/>
        <v>0</v>
      </c>
      <c r="N23" s="277"/>
      <c r="O23" s="2950">
        <f t="shared" si="4"/>
        <v>0</v>
      </c>
      <c r="P23" s="734"/>
      <c r="Q23" s="1017" t="str">
        <f>'Ab1. RMNCH+A'!Q455</f>
        <v>--</v>
      </c>
      <c r="R23" s="2961">
        <f>'Ab1. RMNCH+A'!R455</f>
        <v>0</v>
      </c>
      <c r="BB23" s="3237"/>
      <c r="BC23" s="3237"/>
      <c r="BD23" s="3237"/>
      <c r="BE23" s="3237"/>
      <c r="BF23" s="3237"/>
      <c r="BG23" s="3237"/>
      <c r="BH23" s="3237"/>
      <c r="BI23" s="3237"/>
      <c r="BJ23" s="3237"/>
      <c r="BK23" s="3237"/>
      <c r="BL23" s="3237"/>
      <c r="BM23" s="3237"/>
      <c r="BN23" s="3237"/>
      <c r="BO23" s="3237"/>
      <c r="BP23" s="3237"/>
      <c r="BQ23" s="3237"/>
      <c r="BR23" s="3237"/>
      <c r="BS23" s="3237"/>
      <c r="BT23" s="3237"/>
      <c r="BU23" s="3237"/>
      <c r="BV23" s="3237"/>
      <c r="BW23" s="3237"/>
      <c r="BX23" s="3237"/>
      <c r="BY23" s="3237"/>
      <c r="BZ23" s="3237"/>
      <c r="CA23" s="3237"/>
      <c r="CB23" s="3237"/>
      <c r="CC23" s="3237"/>
      <c r="CD23" s="3237"/>
      <c r="CE23" s="3237"/>
      <c r="CF23" s="3237"/>
      <c r="CG23" s="3237"/>
      <c r="CH23" s="3237"/>
      <c r="CI23" s="3237">
        <f t="shared" si="0"/>
        <v>0</v>
      </c>
    </row>
    <row r="24" spans="1:87" ht="30">
      <c r="A24" s="548" t="s">
        <v>3301</v>
      </c>
      <c r="B24" s="548" t="s">
        <v>3302</v>
      </c>
      <c r="C24" s="558" t="s">
        <v>3572</v>
      </c>
      <c r="D24" s="555" t="s">
        <v>85</v>
      </c>
      <c r="E24" s="608" t="s">
        <v>3241</v>
      </c>
      <c r="F24" s="2236">
        <v>10</v>
      </c>
      <c r="G24" s="550"/>
      <c r="H24" s="550">
        <v>5</v>
      </c>
      <c r="I24" s="550">
        <v>0.01</v>
      </c>
      <c r="J24" s="550">
        <v>4.99</v>
      </c>
      <c r="K24" s="550"/>
      <c r="L24" s="277"/>
      <c r="M24" s="553">
        <f t="shared" si="3"/>
        <v>0</v>
      </c>
      <c r="N24" s="277"/>
      <c r="O24" s="2950">
        <f t="shared" si="4"/>
        <v>0</v>
      </c>
      <c r="P24" s="734"/>
      <c r="Q24" s="1017" t="str">
        <f>'Ab1. RMNCH+A'!Q456</f>
        <v>--</v>
      </c>
      <c r="R24" s="2961">
        <f>'Ab1. RMNCH+A'!R456</f>
        <v>0</v>
      </c>
      <c r="BB24" s="3237"/>
      <c r="BC24" s="3237"/>
      <c r="BD24" s="3237"/>
      <c r="BE24" s="3237"/>
      <c r="BF24" s="3237"/>
      <c r="BG24" s="3237"/>
      <c r="BH24" s="3237"/>
      <c r="BI24" s="3237"/>
      <c r="BJ24" s="3237"/>
      <c r="BK24" s="3237"/>
      <c r="BL24" s="3237"/>
      <c r="BM24" s="3237"/>
      <c r="BN24" s="3237"/>
      <c r="BO24" s="3237"/>
      <c r="BP24" s="3237"/>
      <c r="BQ24" s="3237"/>
      <c r="BR24" s="3237"/>
      <c r="BS24" s="3237"/>
      <c r="BT24" s="3237"/>
      <c r="BU24" s="3237"/>
      <c r="BV24" s="3237"/>
      <c r="BW24" s="3237"/>
      <c r="BX24" s="3237"/>
      <c r="BY24" s="3237"/>
      <c r="BZ24" s="3237"/>
      <c r="CA24" s="3237"/>
      <c r="CB24" s="3237"/>
      <c r="CC24" s="3237"/>
      <c r="CD24" s="3237"/>
      <c r="CE24" s="3237"/>
      <c r="CF24" s="3237"/>
      <c r="CG24" s="3237"/>
      <c r="CH24" s="3237"/>
      <c r="CI24" s="3237">
        <f t="shared" si="0"/>
        <v>0</v>
      </c>
    </row>
    <row r="25" spans="1:87" s="1770" customFormat="1" ht="90">
      <c r="A25" s="548" t="s">
        <v>3303</v>
      </c>
      <c r="B25" s="548" t="s">
        <v>3304</v>
      </c>
      <c r="C25" s="558" t="s">
        <v>2406</v>
      </c>
      <c r="D25" s="2601" t="s">
        <v>85</v>
      </c>
      <c r="E25" s="609" t="s">
        <v>3573</v>
      </c>
      <c r="F25" s="2238">
        <v>48</v>
      </c>
      <c r="G25" s="560"/>
      <c r="H25" s="3555">
        <v>2.4</v>
      </c>
      <c r="I25" s="3555">
        <v>0</v>
      </c>
      <c r="J25" s="3555"/>
      <c r="K25" s="3555">
        <v>1</v>
      </c>
      <c r="L25" s="2536">
        <v>5000</v>
      </c>
      <c r="M25" s="569">
        <f t="shared" si="3"/>
        <v>0.05</v>
      </c>
      <c r="N25" s="2536">
        <v>48</v>
      </c>
      <c r="O25" s="2951">
        <f t="shared" si="4"/>
        <v>2.4000000000000004</v>
      </c>
      <c r="P25" s="3556" t="s">
        <v>5334</v>
      </c>
      <c r="Q25" s="2263" t="str">
        <f>'Ab1. RMNCH+A'!Q457</f>
        <v>Ongoing Activity : Rs 2.40 lakhs is recommended for approval  for FP QAC meetings @ Rs 5000 /meeting for 48 meetings (Minimum frequency of QAC meetings as per Supreme Court mandate : State level -Biannual meeting; District Level - Quarterly)</v>
      </c>
      <c r="R25" s="2958">
        <f>'Ab1. RMNCH+A'!R457</f>
        <v>2.4</v>
      </c>
      <c r="S25" s="3557">
        <f>O25-R25</f>
        <v>0</v>
      </c>
      <c r="BB25" s="3238">
        <v>0.2</v>
      </c>
      <c r="BC25" s="3238">
        <v>0.2</v>
      </c>
      <c r="BD25" s="3238">
        <v>0.2</v>
      </c>
      <c r="BE25" s="3238">
        <v>0.2</v>
      </c>
      <c r="BF25" s="3238">
        <v>0.2</v>
      </c>
      <c r="BG25" s="3238">
        <v>0.1</v>
      </c>
      <c r="BH25" s="3238">
        <v>0.2</v>
      </c>
      <c r="BI25" s="3238">
        <v>0.1</v>
      </c>
      <c r="BJ25" s="3238">
        <v>0.2</v>
      </c>
      <c r="BK25" s="3238">
        <v>0.2</v>
      </c>
      <c r="BL25" s="3238">
        <v>0.2</v>
      </c>
      <c r="BM25" s="3238">
        <v>0.2</v>
      </c>
      <c r="BN25" s="3238">
        <v>0.2</v>
      </c>
      <c r="BO25" s="3238"/>
      <c r="BP25" s="3238"/>
      <c r="BQ25" s="3238"/>
      <c r="BR25" s="3238"/>
      <c r="BS25" s="3238"/>
      <c r="BT25" s="3238"/>
      <c r="BU25" s="3238"/>
      <c r="BV25" s="3238"/>
      <c r="BW25" s="3238"/>
      <c r="BX25" s="3238"/>
      <c r="BY25" s="3238"/>
      <c r="BZ25" s="3238"/>
      <c r="CA25" s="3238"/>
      <c r="CB25" s="3238"/>
      <c r="CC25" s="3238"/>
      <c r="CD25" s="3238"/>
      <c r="CE25" s="3238"/>
      <c r="CF25" s="3238"/>
      <c r="CG25" s="3238"/>
      <c r="CH25" s="3238"/>
      <c r="CI25" s="3238">
        <f t="shared" si="0"/>
        <v>2.4000000000000004</v>
      </c>
    </row>
    <row r="26" spans="1:87" s="1770" customFormat="1" ht="45">
      <c r="A26" s="548" t="s">
        <v>3305</v>
      </c>
      <c r="B26" s="548" t="s">
        <v>3306</v>
      </c>
      <c r="C26" s="558" t="s">
        <v>2407</v>
      </c>
      <c r="D26" s="2601" t="s">
        <v>85</v>
      </c>
      <c r="E26" s="609" t="s">
        <v>3573</v>
      </c>
      <c r="F26" s="2238">
        <v>2</v>
      </c>
      <c r="G26" s="560"/>
      <c r="H26" s="560"/>
      <c r="I26" s="3555">
        <v>0</v>
      </c>
      <c r="J26" s="3555"/>
      <c r="K26" s="3555">
        <v>1</v>
      </c>
      <c r="L26" s="2536">
        <v>10000</v>
      </c>
      <c r="M26" s="569">
        <f t="shared" si="3"/>
        <v>0.1</v>
      </c>
      <c r="N26" s="2536">
        <v>2</v>
      </c>
      <c r="O26" s="2951">
        <f t="shared" si="4"/>
        <v>0.2</v>
      </c>
      <c r="P26" s="3558" t="s">
        <v>5335</v>
      </c>
      <c r="Q26" s="2263" t="str">
        <f>'Ab1. RMNCH+A'!Q458</f>
        <v xml:space="preserve">Ongoing activity :Rs 0.20 lakh is recommended for approval for 2 FP review meting @ Rs.10,000/meeting. </v>
      </c>
      <c r="R26" s="2958">
        <f>'Ab1. RMNCH+A'!R458</f>
        <v>0.2</v>
      </c>
      <c r="S26" s="3557">
        <f>O26-R26</f>
        <v>0</v>
      </c>
      <c r="BB26" s="3238">
        <v>0.2</v>
      </c>
      <c r="BC26" s="3238"/>
      <c r="BD26" s="3238"/>
      <c r="BE26" s="3238"/>
      <c r="BF26" s="3238"/>
      <c r="BG26" s="3238"/>
      <c r="BH26" s="3238"/>
      <c r="BI26" s="3238"/>
      <c r="BJ26" s="3238"/>
      <c r="BK26" s="3238"/>
      <c r="BL26" s="3238"/>
      <c r="BM26" s="3238"/>
      <c r="BN26" s="3238"/>
      <c r="BO26" s="3238"/>
      <c r="BP26" s="3238"/>
      <c r="BQ26" s="3238"/>
      <c r="BR26" s="3238"/>
      <c r="BS26" s="3238"/>
      <c r="BT26" s="3238"/>
      <c r="BU26" s="3238"/>
      <c r="BV26" s="3238"/>
      <c r="BW26" s="3238"/>
      <c r="BX26" s="3238"/>
      <c r="BY26" s="3238"/>
      <c r="BZ26" s="3238"/>
      <c r="CA26" s="3238"/>
      <c r="CB26" s="3238"/>
      <c r="CC26" s="3238"/>
      <c r="CD26" s="3238"/>
      <c r="CE26" s="3238"/>
      <c r="CF26" s="3238"/>
      <c r="CG26" s="3238"/>
      <c r="CH26" s="3238"/>
      <c r="CI26" s="3238">
        <f t="shared" si="0"/>
        <v>0.2</v>
      </c>
    </row>
    <row r="27" spans="1:87" ht="30">
      <c r="A27" s="548" t="s">
        <v>3307</v>
      </c>
      <c r="B27" s="548" t="s">
        <v>3308</v>
      </c>
      <c r="C27" s="551" t="s">
        <v>2158</v>
      </c>
      <c r="D27" s="555" t="s">
        <v>85</v>
      </c>
      <c r="E27" s="608" t="s">
        <v>3574</v>
      </c>
      <c r="F27" s="2236">
        <v>1</v>
      </c>
      <c r="G27" s="560"/>
      <c r="H27" s="560">
        <v>2</v>
      </c>
      <c r="I27" s="560">
        <v>0.03</v>
      </c>
      <c r="J27" s="560">
        <v>1.97</v>
      </c>
      <c r="K27" s="560"/>
      <c r="L27" s="277"/>
      <c r="M27" s="553">
        <f t="shared" si="3"/>
        <v>0</v>
      </c>
      <c r="N27" s="277"/>
      <c r="O27" s="2950">
        <f t="shared" si="4"/>
        <v>0</v>
      </c>
      <c r="P27" s="734"/>
      <c r="Q27" s="1017" t="str">
        <f>'Ab1. RMNCH+A'!Q459</f>
        <v>--</v>
      </c>
      <c r="R27" s="2961">
        <f>'Ab1. RMNCH+A'!R459</f>
        <v>0</v>
      </c>
      <c r="BB27" s="3237"/>
      <c r="BC27" s="3237"/>
      <c r="BD27" s="3237"/>
      <c r="BE27" s="3237"/>
      <c r="BF27" s="3237"/>
      <c r="BG27" s="3237"/>
      <c r="BH27" s="3237"/>
      <c r="BI27" s="3237"/>
      <c r="BJ27" s="3237"/>
      <c r="BK27" s="3237"/>
      <c r="BL27" s="3237"/>
      <c r="BM27" s="3237"/>
      <c r="BN27" s="3237"/>
      <c r="BO27" s="3237"/>
      <c r="BP27" s="3237"/>
      <c r="BQ27" s="3237"/>
      <c r="BR27" s="3237"/>
      <c r="BS27" s="3237"/>
      <c r="BT27" s="3237"/>
      <c r="BU27" s="3237"/>
      <c r="BV27" s="3237"/>
      <c r="BW27" s="3237"/>
      <c r="BX27" s="3237"/>
      <c r="BY27" s="3237"/>
      <c r="BZ27" s="3237"/>
      <c r="CA27" s="3237"/>
      <c r="CB27" s="3237"/>
      <c r="CC27" s="3237"/>
      <c r="CD27" s="3237"/>
      <c r="CE27" s="3237"/>
      <c r="CF27" s="3237"/>
      <c r="CG27" s="3237"/>
      <c r="CH27" s="3237"/>
      <c r="CI27" s="3237">
        <f t="shared" si="0"/>
        <v>0</v>
      </c>
    </row>
    <row r="28" spans="1:87" ht="60">
      <c r="A28" s="548" t="s">
        <v>3309</v>
      </c>
      <c r="B28" s="548" t="s">
        <v>3310</v>
      </c>
      <c r="C28" s="551" t="s">
        <v>2159</v>
      </c>
      <c r="D28" s="555" t="s">
        <v>85</v>
      </c>
      <c r="E28" s="608" t="s">
        <v>3568</v>
      </c>
      <c r="F28" s="2236">
        <v>200</v>
      </c>
      <c r="G28" s="552"/>
      <c r="H28" s="552"/>
      <c r="I28" s="552"/>
      <c r="J28" s="552"/>
      <c r="K28" s="552"/>
      <c r="L28" s="277"/>
      <c r="M28" s="553">
        <f t="shared" si="3"/>
        <v>0</v>
      </c>
      <c r="N28" s="277"/>
      <c r="O28" s="2950">
        <f t="shared" si="4"/>
        <v>0</v>
      </c>
      <c r="P28" s="734"/>
      <c r="Q28" s="1017" t="str">
        <f>'Ab1. RMNCH+A'!Q460</f>
        <v xml:space="preserve">The State to ensure that coordination with ICDS and Department of education, tribal affairs for planning community level screenings is held periodically. </v>
      </c>
      <c r="R28" s="2961">
        <f>'Ab1. RMNCH+A'!R460</f>
        <v>0</v>
      </c>
      <c r="BB28" s="3237"/>
      <c r="BC28" s="3237"/>
      <c r="BD28" s="3237"/>
      <c r="BE28" s="3237"/>
      <c r="BF28" s="3237"/>
      <c r="BG28" s="3237"/>
      <c r="BH28" s="3237"/>
      <c r="BI28" s="3237"/>
      <c r="BJ28" s="3237"/>
      <c r="BK28" s="3237"/>
      <c r="BL28" s="3237"/>
      <c r="BM28" s="3237"/>
      <c r="BN28" s="3237"/>
      <c r="BO28" s="3237"/>
      <c r="BP28" s="3237"/>
      <c r="BQ28" s="3237"/>
      <c r="BR28" s="3237"/>
      <c r="BS28" s="3237"/>
      <c r="BT28" s="3237"/>
      <c r="BU28" s="3237"/>
      <c r="BV28" s="3237"/>
      <c r="BW28" s="3237"/>
      <c r="BX28" s="3237"/>
      <c r="BY28" s="3237"/>
      <c r="BZ28" s="3237"/>
      <c r="CA28" s="3237"/>
      <c r="CB28" s="3237"/>
      <c r="CC28" s="3237"/>
      <c r="CD28" s="3237"/>
      <c r="CE28" s="3237"/>
      <c r="CF28" s="3237"/>
      <c r="CG28" s="3237"/>
      <c r="CH28" s="3237"/>
      <c r="CI28" s="3237">
        <f t="shared" si="0"/>
        <v>0</v>
      </c>
    </row>
    <row r="29" spans="1:87">
      <c r="A29" s="548" t="s">
        <v>3311</v>
      </c>
      <c r="B29" s="548" t="s">
        <v>3312</v>
      </c>
      <c r="C29" s="551" t="s">
        <v>2160</v>
      </c>
      <c r="D29" s="908" t="s">
        <v>65</v>
      </c>
      <c r="E29" s="608" t="s">
        <v>3582</v>
      </c>
      <c r="F29" s="2236">
        <v>0</v>
      </c>
      <c r="G29" s="552"/>
      <c r="H29" s="552"/>
      <c r="I29" s="552"/>
      <c r="J29" s="552"/>
      <c r="K29" s="552"/>
      <c r="L29" s="277"/>
      <c r="M29" s="553">
        <f t="shared" si="3"/>
        <v>0</v>
      </c>
      <c r="N29" s="277"/>
      <c r="O29" s="2950">
        <f t="shared" si="4"/>
        <v>0</v>
      </c>
      <c r="P29" s="734"/>
      <c r="Q29" s="1022"/>
      <c r="R29" s="2966"/>
      <c r="BB29" s="3237"/>
      <c r="BC29" s="3237"/>
      <c r="BD29" s="3237"/>
      <c r="BE29" s="3237"/>
      <c r="BF29" s="3237"/>
      <c r="BG29" s="3237"/>
      <c r="BH29" s="3237"/>
      <c r="BI29" s="3237"/>
      <c r="BJ29" s="3237"/>
      <c r="BK29" s="3237"/>
      <c r="BL29" s="3237"/>
      <c r="BM29" s="3237"/>
      <c r="BN29" s="3237"/>
      <c r="BO29" s="3237"/>
      <c r="BP29" s="3237"/>
      <c r="BQ29" s="3237"/>
      <c r="BR29" s="3237"/>
      <c r="BS29" s="3237"/>
      <c r="BT29" s="3237"/>
      <c r="BU29" s="3237"/>
      <c r="BV29" s="3237"/>
      <c r="BW29" s="3237"/>
      <c r="BX29" s="3237"/>
      <c r="BY29" s="3237"/>
      <c r="BZ29" s="3237"/>
      <c r="CA29" s="3237"/>
      <c r="CB29" s="3237"/>
      <c r="CC29" s="3237"/>
      <c r="CD29" s="3237"/>
      <c r="CE29" s="3237"/>
      <c r="CF29" s="3237"/>
      <c r="CG29" s="3237"/>
      <c r="CH29" s="3237"/>
      <c r="CI29" s="3237">
        <f t="shared" si="0"/>
        <v>0</v>
      </c>
    </row>
    <row r="30" spans="1:87" ht="45">
      <c r="A30" s="548" t="s">
        <v>3313</v>
      </c>
      <c r="B30" s="548" t="s">
        <v>3314</v>
      </c>
      <c r="C30" s="551" t="s">
        <v>2161</v>
      </c>
      <c r="D30" s="908" t="s">
        <v>65</v>
      </c>
      <c r="E30" s="608" t="s">
        <v>4892</v>
      </c>
      <c r="F30" s="2236">
        <v>0</v>
      </c>
      <c r="G30" s="552"/>
      <c r="H30" s="552"/>
      <c r="I30" s="552"/>
      <c r="J30" s="552"/>
      <c r="K30" s="552"/>
      <c r="L30" s="277"/>
      <c r="M30" s="553">
        <f t="shared" si="3"/>
        <v>0</v>
      </c>
      <c r="N30" s="277"/>
      <c r="O30" s="2950">
        <f t="shared" si="4"/>
        <v>0</v>
      </c>
      <c r="P30" s="734"/>
      <c r="Q30" s="1017">
        <f>'Ab3. ASHA'!Q104</f>
        <v>0</v>
      </c>
      <c r="R30" s="2967">
        <f>'Ab3. ASHA'!R104</f>
        <v>0</v>
      </c>
      <c r="BB30" s="3237"/>
      <c r="BC30" s="3237"/>
      <c r="BD30" s="3237"/>
      <c r="BE30" s="3237"/>
      <c r="BF30" s="3237"/>
      <c r="BG30" s="3237"/>
      <c r="BH30" s="3237"/>
      <c r="BI30" s="3237"/>
      <c r="BJ30" s="3237"/>
      <c r="BK30" s="3237"/>
      <c r="BL30" s="3237"/>
      <c r="BM30" s="3237"/>
      <c r="BN30" s="3237"/>
      <c r="BO30" s="3237"/>
      <c r="BP30" s="3237"/>
      <c r="BQ30" s="3237"/>
      <c r="BR30" s="3237"/>
      <c r="BS30" s="3237"/>
      <c r="BT30" s="3237"/>
      <c r="BU30" s="3237"/>
      <c r="BV30" s="3237"/>
      <c r="BW30" s="3237"/>
      <c r="BX30" s="3237"/>
      <c r="BY30" s="3237"/>
      <c r="BZ30" s="3237"/>
      <c r="CA30" s="3237"/>
      <c r="CB30" s="3237"/>
      <c r="CC30" s="3237"/>
      <c r="CD30" s="3237"/>
      <c r="CE30" s="3237"/>
      <c r="CF30" s="3237"/>
      <c r="CG30" s="3237"/>
      <c r="CH30" s="3237"/>
      <c r="CI30" s="3237">
        <f t="shared" si="0"/>
        <v>0</v>
      </c>
    </row>
    <row r="31" spans="1:87" s="1770" customFormat="1" ht="30">
      <c r="A31" s="548" t="s">
        <v>3315</v>
      </c>
      <c r="B31" s="548" t="s">
        <v>3316</v>
      </c>
      <c r="C31" s="558" t="s">
        <v>2162</v>
      </c>
      <c r="D31" s="982" t="s">
        <v>65</v>
      </c>
      <c r="E31" s="609" t="s">
        <v>3238</v>
      </c>
      <c r="F31" s="2238">
        <v>2</v>
      </c>
      <c r="G31" s="2496">
        <v>1</v>
      </c>
      <c r="H31" s="560">
        <v>0.2</v>
      </c>
      <c r="I31" s="560">
        <v>7.0000000000000007E-2</v>
      </c>
      <c r="J31" s="560">
        <v>0.13</v>
      </c>
      <c r="K31" s="560"/>
      <c r="L31" s="283"/>
      <c r="M31" s="569">
        <f t="shared" si="3"/>
        <v>0</v>
      </c>
      <c r="N31" s="283"/>
      <c r="O31" s="2951">
        <f t="shared" si="4"/>
        <v>0</v>
      </c>
      <c r="P31" s="2497" t="s">
        <v>5222</v>
      </c>
      <c r="Q31" s="2315"/>
      <c r="R31" s="2970"/>
      <c r="BB31" s="3238"/>
      <c r="BC31" s="3238"/>
      <c r="BD31" s="3238"/>
      <c r="BE31" s="3238"/>
      <c r="BF31" s="3238"/>
      <c r="BG31" s="3238"/>
      <c r="BH31" s="3238"/>
      <c r="BI31" s="3238"/>
      <c r="BJ31" s="3238"/>
      <c r="BK31" s="3238"/>
      <c r="BL31" s="3238"/>
      <c r="BM31" s="3238"/>
      <c r="BN31" s="3238"/>
      <c r="BO31" s="3238"/>
      <c r="BP31" s="3238"/>
      <c r="BQ31" s="3238"/>
      <c r="BR31" s="3238"/>
      <c r="BS31" s="3238"/>
      <c r="BT31" s="3238"/>
      <c r="BU31" s="3238"/>
      <c r="BV31" s="3238"/>
      <c r="BW31" s="3238"/>
      <c r="BX31" s="3238"/>
      <c r="BY31" s="3238"/>
      <c r="BZ31" s="3238"/>
      <c r="CA31" s="3238"/>
      <c r="CB31" s="3238"/>
      <c r="CC31" s="3238"/>
      <c r="CD31" s="3238"/>
      <c r="CE31" s="3238"/>
      <c r="CF31" s="3238"/>
      <c r="CG31" s="3238"/>
      <c r="CH31" s="3238"/>
      <c r="CI31" s="3237">
        <f t="shared" si="0"/>
        <v>0</v>
      </c>
    </row>
    <row r="32" spans="1:87" s="1770" customFormat="1" ht="30">
      <c r="A32" s="548" t="s">
        <v>3317</v>
      </c>
      <c r="B32" s="548" t="s">
        <v>3318</v>
      </c>
      <c r="C32" s="558" t="s">
        <v>2163</v>
      </c>
      <c r="D32" s="982" t="s">
        <v>65</v>
      </c>
      <c r="E32" s="609" t="s">
        <v>3238</v>
      </c>
      <c r="F32" s="2238">
        <v>48</v>
      </c>
      <c r="G32" s="2496">
        <v>2</v>
      </c>
      <c r="H32" s="560">
        <v>0.96</v>
      </c>
      <c r="I32" s="2496">
        <v>0.24</v>
      </c>
      <c r="J32" s="2496">
        <v>0.72</v>
      </c>
      <c r="K32" s="560"/>
      <c r="L32" s="283"/>
      <c r="M32" s="569">
        <f t="shared" si="3"/>
        <v>0</v>
      </c>
      <c r="N32" s="283"/>
      <c r="O32" s="2951">
        <f t="shared" si="4"/>
        <v>0</v>
      </c>
      <c r="P32" s="2497" t="s">
        <v>5222</v>
      </c>
      <c r="Q32" s="2315"/>
      <c r="R32" s="2970"/>
      <c r="BB32" s="3238"/>
      <c r="BC32" s="3238"/>
      <c r="BD32" s="3238"/>
      <c r="BE32" s="3238"/>
      <c r="BF32" s="3238"/>
      <c r="BG32" s="3238"/>
      <c r="BH32" s="3238"/>
      <c r="BI32" s="3238"/>
      <c r="BJ32" s="3238"/>
      <c r="BK32" s="3238"/>
      <c r="BL32" s="3238"/>
      <c r="BM32" s="3238"/>
      <c r="BN32" s="3238"/>
      <c r="BO32" s="3238"/>
      <c r="BP32" s="3238"/>
      <c r="BQ32" s="3238"/>
      <c r="BR32" s="3238"/>
      <c r="BS32" s="3238"/>
      <c r="BT32" s="3238"/>
      <c r="BU32" s="3238"/>
      <c r="BV32" s="3238"/>
      <c r="BW32" s="3238"/>
      <c r="BX32" s="3238"/>
      <c r="BY32" s="3238"/>
      <c r="BZ32" s="3238"/>
      <c r="CA32" s="3238"/>
      <c r="CB32" s="3238"/>
      <c r="CC32" s="3238"/>
      <c r="CD32" s="3238"/>
      <c r="CE32" s="3238"/>
      <c r="CF32" s="3238"/>
      <c r="CG32" s="3238"/>
      <c r="CH32" s="3238"/>
      <c r="CI32" s="3237">
        <f t="shared" si="0"/>
        <v>0</v>
      </c>
    </row>
    <row r="33" spans="1:87" ht="30">
      <c r="A33" s="548" t="s">
        <v>3319</v>
      </c>
      <c r="B33" s="548" t="s">
        <v>3320</v>
      </c>
      <c r="C33" s="551" t="s">
        <v>2164</v>
      </c>
      <c r="D33" s="913" t="s">
        <v>80</v>
      </c>
      <c r="E33" s="608" t="s">
        <v>4549</v>
      </c>
      <c r="F33" s="2236">
        <v>0</v>
      </c>
      <c r="G33" s="552"/>
      <c r="H33" s="552"/>
      <c r="I33" s="552"/>
      <c r="J33" s="552"/>
      <c r="K33" s="552"/>
      <c r="L33" s="277"/>
      <c r="M33" s="553">
        <f t="shared" si="3"/>
        <v>0</v>
      </c>
      <c r="N33" s="277"/>
      <c r="O33" s="2950">
        <f t="shared" si="4"/>
        <v>0</v>
      </c>
      <c r="P33" s="734"/>
      <c r="Q33" s="1017">
        <f>'Abs23. NPPCF'!Q20</f>
        <v>0</v>
      </c>
      <c r="R33" s="2967">
        <f>'Abs23. NPPCF'!R20</f>
        <v>0</v>
      </c>
      <c r="BB33" s="3237"/>
      <c r="BC33" s="3237"/>
      <c r="BD33" s="3237"/>
      <c r="BE33" s="3237"/>
      <c r="BF33" s="3237"/>
      <c r="BG33" s="3237"/>
      <c r="BH33" s="3237"/>
      <c r="BI33" s="3237"/>
      <c r="BJ33" s="3237"/>
      <c r="BK33" s="3237"/>
      <c r="BL33" s="3237"/>
      <c r="BM33" s="3237"/>
      <c r="BN33" s="3237"/>
      <c r="BO33" s="3237"/>
      <c r="BP33" s="3237"/>
      <c r="BQ33" s="3237"/>
      <c r="BR33" s="3237"/>
      <c r="BS33" s="3237"/>
      <c r="BT33" s="3237"/>
      <c r="BU33" s="3237"/>
      <c r="BV33" s="3237"/>
      <c r="BW33" s="3237"/>
      <c r="BX33" s="3237"/>
      <c r="BY33" s="3237"/>
      <c r="BZ33" s="3237"/>
      <c r="CA33" s="3237"/>
      <c r="CB33" s="3237"/>
      <c r="CC33" s="3237"/>
      <c r="CD33" s="3237"/>
      <c r="CE33" s="3237"/>
      <c r="CF33" s="3237"/>
      <c r="CG33" s="3237"/>
      <c r="CH33" s="3237"/>
      <c r="CI33" s="3237">
        <f t="shared" si="0"/>
        <v>0</v>
      </c>
    </row>
    <row r="34" spans="1:87" ht="30">
      <c r="A34" s="548" t="s">
        <v>3321</v>
      </c>
      <c r="B34" s="548" t="s">
        <v>3322</v>
      </c>
      <c r="C34" s="551" t="s">
        <v>2165</v>
      </c>
      <c r="D34" s="555" t="s">
        <v>85</v>
      </c>
      <c r="E34" s="608" t="s">
        <v>3570</v>
      </c>
      <c r="F34" s="2236">
        <v>144</v>
      </c>
      <c r="G34" s="552"/>
      <c r="H34" s="552"/>
      <c r="I34" s="2516">
        <v>0</v>
      </c>
      <c r="J34" s="2516"/>
      <c r="K34" s="2517">
        <v>1</v>
      </c>
      <c r="L34" s="2513">
        <v>0</v>
      </c>
      <c r="M34" s="553">
        <f t="shared" si="3"/>
        <v>0</v>
      </c>
      <c r="N34" s="2513">
        <v>0</v>
      </c>
      <c r="O34" s="2950">
        <f t="shared" si="4"/>
        <v>0</v>
      </c>
      <c r="P34" s="2518"/>
      <c r="Q34" s="1017" t="str">
        <f>'Ab1. RMNCH+A'!Q461</f>
        <v>--</v>
      </c>
      <c r="R34" s="2967">
        <f>'Ab1. RMNCH+A'!R461</f>
        <v>0</v>
      </c>
      <c r="BB34" s="3237"/>
      <c r="BC34" s="3237"/>
      <c r="BD34" s="3237"/>
      <c r="BE34" s="3237"/>
      <c r="BF34" s="3237"/>
      <c r="BG34" s="3237"/>
      <c r="BH34" s="3237"/>
      <c r="BI34" s="3237"/>
      <c r="BJ34" s="3237"/>
      <c r="BK34" s="3237"/>
      <c r="BL34" s="3237"/>
      <c r="BM34" s="3237"/>
      <c r="BN34" s="3237"/>
      <c r="BO34" s="3237"/>
      <c r="BP34" s="3237"/>
      <c r="BQ34" s="3237"/>
      <c r="BR34" s="3237"/>
      <c r="BS34" s="3237"/>
      <c r="BT34" s="3237"/>
      <c r="BU34" s="3237"/>
      <c r="BV34" s="3237"/>
      <c r="BW34" s="3237"/>
      <c r="BX34" s="3237"/>
      <c r="BY34" s="3237"/>
      <c r="BZ34" s="3237"/>
      <c r="CA34" s="3237"/>
      <c r="CB34" s="3237"/>
      <c r="CC34" s="3237"/>
      <c r="CD34" s="3237"/>
      <c r="CE34" s="3237"/>
      <c r="CF34" s="3237"/>
      <c r="CG34" s="3237"/>
      <c r="CH34" s="3237"/>
      <c r="CI34" s="3237">
        <f t="shared" si="0"/>
        <v>0</v>
      </c>
    </row>
    <row r="35" spans="1:87" ht="45">
      <c r="A35" s="548" t="s">
        <v>3323</v>
      </c>
      <c r="B35" s="548" t="s">
        <v>3324</v>
      </c>
      <c r="C35" s="551" t="s">
        <v>2166</v>
      </c>
      <c r="D35" s="555" t="s">
        <v>85</v>
      </c>
      <c r="E35" s="608" t="s">
        <v>3570</v>
      </c>
      <c r="F35" s="2236">
        <v>240</v>
      </c>
      <c r="G35" s="552"/>
      <c r="H35" s="552">
        <v>0.36</v>
      </c>
      <c r="I35" s="2516">
        <v>0.34</v>
      </c>
      <c r="J35" s="2516">
        <f>H35-I35</f>
        <v>1.9999999999999962E-2</v>
      </c>
      <c r="K35" s="2517">
        <v>1</v>
      </c>
      <c r="L35" s="2513">
        <v>0</v>
      </c>
      <c r="M35" s="553">
        <f t="shared" si="3"/>
        <v>0</v>
      </c>
      <c r="N35" s="2513">
        <v>0</v>
      </c>
      <c r="O35" s="2950">
        <f t="shared" si="4"/>
        <v>0</v>
      </c>
      <c r="P35" s="2518"/>
      <c r="Q35" s="1017" t="str">
        <f>'Ab1. RMNCH+A'!Q462</f>
        <v>--</v>
      </c>
      <c r="R35" s="2967">
        <f>'Ab1. RMNCH+A'!R462</f>
        <v>0</v>
      </c>
      <c r="BB35" s="3237"/>
      <c r="BC35" s="3237"/>
      <c r="BD35" s="3237"/>
      <c r="BE35" s="3237"/>
      <c r="BF35" s="3237"/>
      <c r="BG35" s="3237"/>
      <c r="BH35" s="3237"/>
      <c r="BI35" s="3237"/>
      <c r="BJ35" s="3237"/>
      <c r="BK35" s="3237"/>
      <c r="BL35" s="3237"/>
      <c r="BM35" s="3237"/>
      <c r="BN35" s="3237"/>
      <c r="BO35" s="3237"/>
      <c r="BP35" s="3237"/>
      <c r="BQ35" s="3237"/>
      <c r="BR35" s="3237"/>
      <c r="BS35" s="3237"/>
      <c r="BT35" s="3237"/>
      <c r="BU35" s="3237"/>
      <c r="BV35" s="3237"/>
      <c r="BW35" s="3237"/>
      <c r="BX35" s="3237"/>
      <c r="BY35" s="3237"/>
      <c r="BZ35" s="3237"/>
      <c r="CA35" s="3237"/>
      <c r="CB35" s="3237"/>
      <c r="CC35" s="3237"/>
      <c r="CD35" s="3237"/>
      <c r="CE35" s="3237"/>
      <c r="CF35" s="3237"/>
      <c r="CG35" s="3237"/>
      <c r="CH35" s="3237"/>
      <c r="CI35" s="3237">
        <f t="shared" si="0"/>
        <v>0</v>
      </c>
    </row>
    <row r="36" spans="1:87" s="3470" customFormat="1" ht="30">
      <c r="A36" s="3463" t="s">
        <v>3325</v>
      </c>
      <c r="B36" s="3463" t="s">
        <v>3326</v>
      </c>
      <c r="C36" s="3562" t="s">
        <v>2167</v>
      </c>
      <c r="D36" s="3563" t="s">
        <v>85</v>
      </c>
      <c r="E36" s="3465" t="s">
        <v>3570</v>
      </c>
      <c r="F36" s="3466">
        <v>288</v>
      </c>
      <c r="G36" s="3466"/>
      <c r="H36" s="3466"/>
      <c r="I36" s="3564">
        <v>0</v>
      </c>
      <c r="J36" s="3564"/>
      <c r="K36" s="3466">
        <v>1</v>
      </c>
      <c r="L36" s="243">
        <v>75</v>
      </c>
      <c r="M36" s="962">
        <f t="shared" si="3"/>
        <v>7.5000000000000002E-4</v>
      </c>
      <c r="N36" s="243">
        <v>288</v>
      </c>
      <c r="O36" s="3467">
        <f t="shared" si="4"/>
        <v>0.216</v>
      </c>
      <c r="P36" s="3468" t="s">
        <v>5412</v>
      </c>
      <c r="Q36" s="2257" t="str">
        <f>'Ab1. RMNCH+A'!Q463</f>
        <v>Rs. 0.22 lakhs is recommended for approval @ Rs.75 as honorarium for 288 participants</v>
      </c>
      <c r="R36" s="3190">
        <f>'Ab1. RMNCH+A'!R463</f>
        <v>0.22</v>
      </c>
      <c r="S36" s="3565">
        <f>O36-R36</f>
        <v>-4.0000000000000036E-3</v>
      </c>
      <c r="BB36" s="3471"/>
      <c r="BC36" s="3471">
        <f>76.38*3.78*4/100000</f>
        <v>1.1548655999999999E-2</v>
      </c>
      <c r="BD36" s="3471">
        <f>76.38*3.78*7/100000</f>
        <v>2.0210147999999997E-2</v>
      </c>
      <c r="BE36" s="3471">
        <f>76.38*3.78*6/100000</f>
        <v>1.7322983999999996E-2</v>
      </c>
      <c r="BF36" s="3471">
        <f>76.38*3.78*13/100000</f>
        <v>3.7533131999999997E-2</v>
      </c>
      <c r="BG36" s="3471">
        <f>76.38*3.78*3/100000</f>
        <v>8.6614919999999981E-3</v>
      </c>
      <c r="BH36" s="3471">
        <f>76.38*3.78*5/100000</f>
        <v>1.4435819999999999E-2</v>
      </c>
      <c r="BI36" s="3471">
        <f>76.38*3.78*2/100000</f>
        <v>5.7743279999999996E-3</v>
      </c>
      <c r="BJ36" s="3471">
        <f>76.38*3.78*11/100000</f>
        <v>3.1758803999999995E-2</v>
      </c>
      <c r="BK36" s="3471">
        <f>76.38*3.78*10/100000</f>
        <v>2.8871639999999997E-2</v>
      </c>
      <c r="BL36" s="3471">
        <f>76.38*3.78*5/100000</f>
        <v>1.4435819999999999E-2</v>
      </c>
      <c r="BM36" s="3471">
        <f>76.38*3.78*5/100000</f>
        <v>1.4435819999999999E-2</v>
      </c>
      <c r="BN36" s="3471">
        <f>76.38*3.78*5/100000</f>
        <v>1.4435819999999999E-2</v>
      </c>
      <c r="BO36" s="3471"/>
      <c r="BP36" s="3471"/>
      <c r="BQ36" s="3471"/>
      <c r="BR36" s="3471"/>
      <c r="BS36" s="3471"/>
      <c r="BT36" s="3471"/>
      <c r="BU36" s="3471"/>
      <c r="BV36" s="3471"/>
      <c r="BW36" s="3471"/>
      <c r="BX36" s="3471"/>
      <c r="BY36" s="3471"/>
      <c r="BZ36" s="3471"/>
      <c r="CA36" s="3471"/>
      <c r="CB36" s="3471"/>
      <c r="CC36" s="3471"/>
      <c r="CD36" s="3471"/>
      <c r="CE36" s="3471"/>
      <c r="CF36" s="3471"/>
      <c r="CG36" s="3471"/>
      <c r="CH36" s="3471"/>
      <c r="CI36" s="3471">
        <f t="shared" si="0"/>
        <v>0.21942446399999993</v>
      </c>
    </row>
    <row r="37" spans="1:87">
      <c r="A37" s="548" t="s">
        <v>3327</v>
      </c>
      <c r="B37" s="548" t="s">
        <v>3328</v>
      </c>
      <c r="C37" s="557" t="s">
        <v>2168</v>
      </c>
      <c r="D37" s="1007" t="s">
        <v>4219</v>
      </c>
      <c r="E37" s="608" t="s">
        <v>3576</v>
      </c>
      <c r="F37" s="2236">
        <v>13</v>
      </c>
      <c r="G37" s="560"/>
      <c r="H37" s="560">
        <v>1.3</v>
      </c>
      <c r="I37" s="560">
        <v>0.08</v>
      </c>
      <c r="J37" s="560">
        <v>0.5</v>
      </c>
      <c r="K37" s="560"/>
      <c r="L37" s="277"/>
      <c r="M37" s="553">
        <f t="shared" si="3"/>
        <v>0</v>
      </c>
      <c r="N37" s="277"/>
      <c r="O37" s="2950">
        <f t="shared" si="4"/>
        <v>0</v>
      </c>
      <c r="P37" s="734"/>
      <c r="Q37" s="1017">
        <f>'Abs8. IDSP'!Q30</f>
        <v>0</v>
      </c>
      <c r="R37" s="2967">
        <f>'Abs8. IDSP'!R30</f>
        <v>0</v>
      </c>
      <c r="BB37" s="3237"/>
      <c r="BC37" s="3237"/>
      <c r="BD37" s="3237"/>
      <c r="BE37" s="3237"/>
      <c r="BF37" s="3237"/>
      <c r="BG37" s="3237"/>
      <c r="BH37" s="3237"/>
      <c r="BI37" s="3237"/>
      <c r="BJ37" s="3237"/>
      <c r="BK37" s="3237"/>
      <c r="BL37" s="3237"/>
      <c r="BM37" s="3237"/>
      <c r="BN37" s="3237"/>
      <c r="BO37" s="3237"/>
      <c r="BP37" s="3237"/>
      <c r="BQ37" s="3237"/>
      <c r="BR37" s="3237"/>
      <c r="BS37" s="3237"/>
      <c r="BT37" s="3237"/>
      <c r="BU37" s="3237"/>
      <c r="BV37" s="3237"/>
      <c r="BW37" s="3237"/>
      <c r="BX37" s="3237"/>
      <c r="BY37" s="3237"/>
      <c r="BZ37" s="3237"/>
      <c r="CA37" s="3237"/>
      <c r="CB37" s="3237"/>
      <c r="CC37" s="3237"/>
      <c r="CD37" s="3237"/>
      <c r="CE37" s="3237"/>
      <c r="CF37" s="3237"/>
      <c r="CG37" s="3237"/>
      <c r="CH37" s="3237"/>
      <c r="CI37" s="3237">
        <f t="shared" si="0"/>
        <v>0</v>
      </c>
    </row>
    <row r="38" spans="1:87" ht="60">
      <c r="A38" s="548" t="s">
        <v>3329</v>
      </c>
      <c r="B38" s="548" t="s">
        <v>3330</v>
      </c>
      <c r="C38" s="557" t="s">
        <v>2169</v>
      </c>
      <c r="D38" s="1007" t="s">
        <v>4219</v>
      </c>
      <c r="E38" s="608" t="s">
        <v>4715</v>
      </c>
      <c r="F38" s="2236">
        <v>0</v>
      </c>
      <c r="G38" s="552"/>
      <c r="H38" s="552"/>
      <c r="I38" s="552"/>
      <c r="J38" s="552"/>
      <c r="K38" s="552"/>
      <c r="L38" s="277"/>
      <c r="M38" s="553">
        <f t="shared" si="3"/>
        <v>0</v>
      </c>
      <c r="N38" s="277"/>
      <c r="O38" s="2950">
        <f t="shared" si="4"/>
        <v>0</v>
      </c>
      <c r="P38" s="734"/>
      <c r="Q38" s="1017">
        <f>'Abs9. NVBDCP'!Q109</f>
        <v>0</v>
      </c>
      <c r="R38" s="2967">
        <f>'Abs9. NVBDCP'!R109</f>
        <v>0</v>
      </c>
      <c r="BB38" s="3237"/>
      <c r="BC38" s="3237"/>
      <c r="BD38" s="3237"/>
      <c r="BE38" s="3237"/>
      <c r="BF38" s="3237"/>
      <c r="BG38" s="3237"/>
      <c r="BH38" s="3237"/>
      <c r="BI38" s="3237"/>
      <c r="BJ38" s="3237"/>
      <c r="BK38" s="3237"/>
      <c r="BL38" s="3237"/>
      <c r="BM38" s="3237"/>
      <c r="BN38" s="3237"/>
      <c r="BO38" s="3237"/>
      <c r="BP38" s="3237"/>
      <c r="BQ38" s="3237"/>
      <c r="BR38" s="3237"/>
      <c r="BS38" s="3237"/>
      <c r="BT38" s="3237"/>
      <c r="BU38" s="3237"/>
      <c r="BV38" s="3237"/>
      <c r="BW38" s="3237"/>
      <c r="BX38" s="3237"/>
      <c r="BY38" s="3237"/>
      <c r="BZ38" s="3237"/>
      <c r="CA38" s="3237"/>
      <c r="CB38" s="3237"/>
      <c r="CC38" s="3237"/>
      <c r="CD38" s="3237"/>
      <c r="CE38" s="3237"/>
      <c r="CF38" s="3237"/>
      <c r="CG38" s="3237"/>
      <c r="CH38" s="3237"/>
      <c r="CI38" s="3237">
        <f t="shared" si="0"/>
        <v>0</v>
      </c>
    </row>
    <row r="39" spans="1:87" s="1770" customFormat="1" ht="90">
      <c r="A39" s="548" t="s">
        <v>3331</v>
      </c>
      <c r="B39" s="548"/>
      <c r="C39" s="564" t="s">
        <v>4290</v>
      </c>
      <c r="D39" s="2254" t="s">
        <v>4219</v>
      </c>
      <c r="E39" s="609" t="s">
        <v>4715</v>
      </c>
      <c r="F39" s="2238">
        <v>10</v>
      </c>
      <c r="G39" s="560"/>
      <c r="H39" s="560">
        <v>5</v>
      </c>
      <c r="I39" s="560"/>
      <c r="J39" s="560">
        <v>2</v>
      </c>
      <c r="K39" s="560"/>
      <c r="L39" s="283"/>
      <c r="M39" s="569">
        <f t="shared" si="3"/>
        <v>0</v>
      </c>
      <c r="N39" s="283"/>
      <c r="O39" s="2951">
        <f t="shared" si="4"/>
        <v>0</v>
      </c>
      <c r="P39" s="739" t="s">
        <v>5461</v>
      </c>
      <c r="Q39" s="2263">
        <f>'Abs9. NVBDCP'!Q110</f>
        <v>0</v>
      </c>
      <c r="R39" s="2968">
        <f>'Abs9. NVBDCP'!R110</f>
        <v>0</v>
      </c>
      <c r="BB39" s="3238"/>
      <c r="BC39" s="3238"/>
      <c r="BD39" s="3238"/>
      <c r="BE39" s="3238"/>
      <c r="BF39" s="3238"/>
      <c r="BG39" s="3238"/>
      <c r="BH39" s="3238"/>
      <c r="BI39" s="3238"/>
      <c r="BJ39" s="3238"/>
      <c r="BK39" s="3238"/>
      <c r="BL39" s="3238"/>
      <c r="BM39" s="3238"/>
      <c r="BN39" s="3238"/>
      <c r="BO39" s="3238"/>
      <c r="BP39" s="3238"/>
      <c r="BQ39" s="3238"/>
      <c r="BR39" s="3238"/>
      <c r="BS39" s="3238"/>
      <c r="BT39" s="3238"/>
      <c r="BU39" s="3238"/>
      <c r="BV39" s="3238"/>
      <c r="BW39" s="3238"/>
      <c r="BX39" s="3238"/>
      <c r="BY39" s="3238"/>
      <c r="BZ39" s="3238"/>
      <c r="CA39" s="3238"/>
      <c r="CB39" s="3238"/>
      <c r="CC39" s="3238"/>
      <c r="CD39" s="3238"/>
      <c r="CE39" s="3238"/>
      <c r="CF39" s="3238"/>
      <c r="CG39" s="3238"/>
      <c r="CH39" s="3238"/>
      <c r="CI39" s="3237">
        <f t="shared" si="0"/>
        <v>0</v>
      </c>
    </row>
    <row r="40" spans="1:87" ht="30">
      <c r="A40" s="548" t="s">
        <v>3333</v>
      </c>
      <c r="B40" s="548" t="s">
        <v>3332</v>
      </c>
      <c r="C40" s="557" t="s">
        <v>2170</v>
      </c>
      <c r="D40" s="1007" t="s">
        <v>4219</v>
      </c>
      <c r="E40" s="608" t="s">
        <v>4716</v>
      </c>
      <c r="F40" s="2236">
        <v>0</v>
      </c>
      <c r="G40" s="552"/>
      <c r="H40" s="552"/>
      <c r="I40" s="552"/>
      <c r="J40" s="552"/>
      <c r="K40" s="552"/>
      <c r="L40" s="277"/>
      <c r="M40" s="553">
        <f t="shared" si="3"/>
        <v>0</v>
      </c>
      <c r="N40" s="277"/>
      <c r="O40" s="2950">
        <f t="shared" si="4"/>
        <v>0</v>
      </c>
      <c r="P40" s="734"/>
      <c r="Q40" s="1017">
        <f>'Abs9. NVBDCP'!Q111</f>
        <v>0</v>
      </c>
      <c r="R40" s="2967">
        <f>'Abs9. NVBDCP'!R111</f>
        <v>0</v>
      </c>
      <c r="BB40" s="3237"/>
      <c r="BC40" s="3237"/>
      <c r="BD40" s="3237"/>
      <c r="BE40" s="3237"/>
      <c r="BF40" s="3237"/>
      <c r="BG40" s="3237"/>
      <c r="BH40" s="3237"/>
      <c r="BI40" s="3237"/>
      <c r="BJ40" s="3237"/>
      <c r="BK40" s="3237"/>
      <c r="BL40" s="3237"/>
      <c r="BM40" s="3237"/>
      <c r="BN40" s="3237"/>
      <c r="BO40" s="3237"/>
      <c r="BP40" s="3237"/>
      <c r="BQ40" s="3237"/>
      <c r="BR40" s="3237"/>
      <c r="BS40" s="3237"/>
      <c r="BT40" s="3237"/>
      <c r="BU40" s="3237"/>
      <c r="BV40" s="3237"/>
      <c r="BW40" s="3237"/>
      <c r="BX40" s="3237"/>
      <c r="BY40" s="3237"/>
      <c r="BZ40" s="3237"/>
      <c r="CA40" s="3237"/>
      <c r="CB40" s="3237"/>
      <c r="CC40" s="3237"/>
      <c r="CD40" s="3237"/>
      <c r="CE40" s="3237"/>
      <c r="CF40" s="3237"/>
      <c r="CG40" s="3237"/>
      <c r="CH40" s="3237"/>
      <c r="CI40" s="3237">
        <f t="shared" si="0"/>
        <v>0</v>
      </c>
    </row>
    <row r="41" spans="1:87">
      <c r="A41" s="548" t="s">
        <v>3335</v>
      </c>
      <c r="B41" s="548" t="s">
        <v>3334</v>
      </c>
      <c r="C41" s="557" t="s">
        <v>2171</v>
      </c>
      <c r="D41" s="1007" t="s">
        <v>4219</v>
      </c>
      <c r="E41" s="608" t="s">
        <v>3578</v>
      </c>
      <c r="F41" s="2236">
        <v>13</v>
      </c>
      <c r="G41" s="566"/>
      <c r="H41" s="566"/>
      <c r="I41" s="566"/>
      <c r="J41" s="566">
        <v>2.6</v>
      </c>
      <c r="K41" s="566"/>
      <c r="L41" s="277"/>
      <c r="M41" s="553">
        <f t="shared" si="3"/>
        <v>0</v>
      </c>
      <c r="N41" s="277"/>
      <c r="O41" s="2952">
        <f t="shared" ref="O41:O49" si="5">M41*N41</f>
        <v>0</v>
      </c>
      <c r="P41" s="736"/>
      <c r="Q41" s="1017">
        <f>'Abs10. NLEP'!Q37</f>
        <v>0</v>
      </c>
      <c r="R41" s="2969">
        <f>'Abs10. NLEP'!R37</f>
        <v>0</v>
      </c>
      <c r="BB41" s="3237"/>
      <c r="BC41" s="3237"/>
      <c r="BD41" s="3237"/>
      <c r="BE41" s="3237"/>
      <c r="BF41" s="3237"/>
      <c r="BG41" s="3237"/>
      <c r="BH41" s="3237"/>
      <c r="BI41" s="3237"/>
      <c r="BJ41" s="3237"/>
      <c r="BK41" s="3237"/>
      <c r="BL41" s="3237"/>
      <c r="BM41" s="3237"/>
      <c r="BN41" s="3237"/>
      <c r="BO41" s="3237"/>
      <c r="BP41" s="3237"/>
      <c r="BQ41" s="3237"/>
      <c r="BR41" s="3237"/>
      <c r="BS41" s="3237"/>
      <c r="BT41" s="3237"/>
      <c r="BU41" s="3237"/>
      <c r="BV41" s="3237"/>
      <c r="BW41" s="3237"/>
      <c r="BX41" s="3237"/>
      <c r="BY41" s="3237"/>
      <c r="BZ41" s="3237"/>
      <c r="CA41" s="3237"/>
      <c r="CB41" s="3237"/>
      <c r="CC41" s="3237"/>
      <c r="CD41" s="3237"/>
      <c r="CE41" s="3237"/>
      <c r="CF41" s="3237"/>
      <c r="CG41" s="3237"/>
      <c r="CH41" s="3237"/>
      <c r="CI41" s="3237">
        <f t="shared" si="0"/>
        <v>0</v>
      </c>
    </row>
    <row r="42" spans="1:87" s="3470" customFormat="1" ht="84" customHeight="1">
      <c r="A42" s="3463"/>
      <c r="B42" s="3463" t="s">
        <v>3336</v>
      </c>
      <c r="C42" s="3464" t="s">
        <v>2172</v>
      </c>
      <c r="D42" s="2254" t="s">
        <v>4219</v>
      </c>
      <c r="E42" s="3465" t="s">
        <v>4524</v>
      </c>
      <c r="F42" s="3466">
        <v>41</v>
      </c>
      <c r="G42" s="3466">
        <v>13254</v>
      </c>
      <c r="H42" s="3466">
        <v>11.52</v>
      </c>
      <c r="I42" s="3466">
        <v>3.27</v>
      </c>
      <c r="J42" s="3466">
        <v>2</v>
      </c>
      <c r="K42" s="3466">
        <v>1</v>
      </c>
      <c r="L42" s="243">
        <v>76000</v>
      </c>
      <c r="M42" s="962">
        <f t="shared" si="3"/>
        <v>0.76</v>
      </c>
      <c r="N42" s="243">
        <v>7</v>
      </c>
      <c r="O42" s="3467">
        <f t="shared" si="5"/>
        <v>5.32</v>
      </c>
      <c r="P42" s="3468" t="s">
        <v>5989</v>
      </c>
      <c r="Q42" s="2257" t="str">
        <f>'Abs11. NTEP'!Q57</f>
        <v>Recommended as proposed by the State for attending/organizing ZTF, STF, etc</v>
      </c>
      <c r="R42" s="2990">
        <f>'Abs11. NTEP'!R57</f>
        <v>5.32</v>
      </c>
      <c r="S42" s="3469">
        <f>O42-R42</f>
        <v>0</v>
      </c>
      <c r="BB42" s="3471">
        <v>5.32</v>
      </c>
      <c r="BC42" s="3471"/>
      <c r="BD42" s="3471"/>
      <c r="BE42" s="3471"/>
      <c r="BF42" s="3471"/>
      <c r="BG42" s="3471"/>
      <c r="BH42" s="3471"/>
      <c r="BI42" s="3471"/>
      <c r="BJ42" s="3471"/>
      <c r="BK42" s="3471"/>
      <c r="BL42" s="3471"/>
      <c r="BM42" s="3471"/>
      <c r="BN42" s="3471"/>
      <c r="BO42" s="3471"/>
      <c r="BP42" s="3471"/>
      <c r="BQ42" s="3471"/>
      <c r="BR42" s="3471"/>
      <c r="BS42" s="3471"/>
      <c r="BT42" s="3471"/>
      <c r="BU42" s="3471"/>
      <c r="BV42" s="3471"/>
      <c r="BW42" s="3471"/>
      <c r="BX42" s="3471"/>
      <c r="BY42" s="3471"/>
      <c r="BZ42" s="3471"/>
      <c r="CA42" s="3471"/>
      <c r="CB42" s="3471"/>
      <c r="CC42" s="3471"/>
      <c r="CD42" s="3471"/>
      <c r="CE42" s="3471"/>
      <c r="CF42" s="3471"/>
      <c r="CG42" s="3471"/>
      <c r="CH42" s="3471"/>
      <c r="CI42" s="3472">
        <f t="shared" si="0"/>
        <v>5.32</v>
      </c>
    </row>
    <row r="43" spans="1:87" ht="30">
      <c r="A43" s="548" t="s">
        <v>3873</v>
      </c>
      <c r="B43" s="548" t="s">
        <v>3337</v>
      </c>
      <c r="C43" s="557" t="s">
        <v>4967</v>
      </c>
      <c r="D43" s="1549" t="s">
        <v>80</v>
      </c>
      <c r="E43" s="608" t="s">
        <v>3579</v>
      </c>
      <c r="F43" s="2236">
        <v>0</v>
      </c>
      <c r="G43" s="552"/>
      <c r="H43" s="552"/>
      <c r="I43" s="552"/>
      <c r="J43" s="552"/>
      <c r="K43" s="552"/>
      <c r="L43" s="277"/>
      <c r="M43" s="553">
        <f t="shared" si="3"/>
        <v>0</v>
      </c>
      <c r="N43" s="277"/>
      <c r="O43" s="2950">
        <f t="shared" si="5"/>
        <v>0</v>
      </c>
      <c r="P43" s="734"/>
      <c r="Q43" s="1017">
        <f>'Abs18. NTCP'!Q29</f>
        <v>0</v>
      </c>
      <c r="R43" s="2969">
        <f>'Abs18. NTCP'!R29</f>
        <v>0</v>
      </c>
      <c r="BB43" s="3237"/>
      <c r="BC43" s="3237"/>
      <c r="BD43" s="3237"/>
      <c r="BE43" s="3237"/>
      <c r="BF43" s="3237"/>
      <c r="BG43" s="3237"/>
      <c r="BH43" s="3237"/>
      <c r="BI43" s="3237"/>
      <c r="BJ43" s="3237"/>
      <c r="BK43" s="3237"/>
      <c r="BL43" s="3237"/>
      <c r="BM43" s="3237"/>
      <c r="BN43" s="3237"/>
      <c r="BO43" s="3237"/>
      <c r="BP43" s="3237"/>
      <c r="BQ43" s="3237"/>
      <c r="BR43" s="3237"/>
      <c r="BS43" s="3237"/>
      <c r="BT43" s="3237"/>
      <c r="BU43" s="3237"/>
      <c r="BV43" s="3237"/>
      <c r="BW43" s="3237"/>
      <c r="BX43" s="3237"/>
      <c r="BY43" s="3237"/>
      <c r="BZ43" s="3237"/>
      <c r="CA43" s="3237"/>
      <c r="CB43" s="3237"/>
      <c r="CC43" s="3237"/>
      <c r="CD43" s="3237"/>
      <c r="CE43" s="3237"/>
      <c r="CF43" s="3237"/>
      <c r="CG43" s="3237"/>
      <c r="CH43" s="3237"/>
      <c r="CI43" s="3237">
        <f t="shared" si="0"/>
        <v>0</v>
      </c>
    </row>
    <row r="44" spans="1:87" ht="60">
      <c r="A44" s="548" t="s">
        <v>3718</v>
      </c>
      <c r="B44" s="548"/>
      <c r="C44" s="551" t="s">
        <v>3871</v>
      </c>
      <c r="D44" s="1549" t="s">
        <v>80</v>
      </c>
      <c r="E44" s="608" t="s">
        <v>4362</v>
      </c>
      <c r="F44" s="2236">
        <v>0</v>
      </c>
      <c r="G44" s="552"/>
      <c r="H44" s="552"/>
      <c r="I44" s="552"/>
      <c r="J44" s="552"/>
      <c r="K44" s="552"/>
      <c r="L44" s="277">
        <v>16923</v>
      </c>
      <c r="M44" s="553">
        <f t="shared" si="3"/>
        <v>0.16922999999999999</v>
      </c>
      <c r="N44" s="277">
        <v>13</v>
      </c>
      <c r="O44" s="2950">
        <f t="shared" si="5"/>
        <v>2.1999899999999997</v>
      </c>
      <c r="P44" s="734" t="s">
        <v>5431</v>
      </c>
      <c r="Q44" s="1017" t="str">
        <f>'Abs21. NPCCHH'!Q20</f>
        <v>Recommended for approval.Same budget can be used for sensitization workshop/ Meeting of the State Program Officers and District level Health Officers</v>
      </c>
      <c r="R44" s="2967">
        <f>'Abs21. NPCCHH'!R20</f>
        <v>2.2000000000000002</v>
      </c>
      <c r="S44" s="3116">
        <f>O44-R44</f>
        <v>-1.0000000000509601E-5</v>
      </c>
      <c r="BB44" s="3237">
        <v>2.2000000000000002</v>
      </c>
      <c r="BC44" s="3237"/>
      <c r="BD44" s="3237"/>
      <c r="BE44" s="3237"/>
      <c r="BF44" s="3237"/>
      <c r="BG44" s="3237"/>
      <c r="BH44" s="3237"/>
      <c r="BI44" s="3237"/>
      <c r="BJ44" s="3237"/>
      <c r="BK44" s="3237"/>
      <c r="BL44" s="3237"/>
      <c r="BM44" s="3237"/>
      <c r="BN44" s="3237"/>
      <c r="BO44" s="3237"/>
      <c r="BP44" s="3237"/>
      <c r="BQ44" s="3237"/>
      <c r="BR44" s="3237"/>
      <c r="BS44" s="3237"/>
      <c r="BT44" s="3237"/>
      <c r="BU44" s="3237"/>
      <c r="BV44" s="3237"/>
      <c r="BW44" s="3237"/>
      <c r="BX44" s="3237"/>
      <c r="BY44" s="3237"/>
      <c r="BZ44" s="3237"/>
      <c r="CA44" s="3237"/>
      <c r="CB44" s="3237"/>
      <c r="CC44" s="3237"/>
      <c r="CD44" s="3237"/>
      <c r="CE44" s="3237"/>
      <c r="CF44" s="3237"/>
      <c r="CG44" s="3237"/>
      <c r="CH44" s="3237"/>
      <c r="CI44" s="3237">
        <f t="shared" si="0"/>
        <v>2.2000000000000002</v>
      </c>
    </row>
    <row r="45" spans="1:87" ht="45">
      <c r="A45" s="548" t="s">
        <v>3875</v>
      </c>
      <c r="B45" s="548"/>
      <c r="C45" s="551" t="s">
        <v>3874</v>
      </c>
      <c r="D45" s="1549" t="s">
        <v>80</v>
      </c>
      <c r="E45" s="608" t="s">
        <v>4362</v>
      </c>
      <c r="F45" s="2236">
        <v>0</v>
      </c>
      <c r="G45" s="552"/>
      <c r="H45" s="552"/>
      <c r="I45" s="552"/>
      <c r="J45" s="552"/>
      <c r="K45" s="552"/>
      <c r="L45" s="277"/>
      <c r="M45" s="553">
        <f t="shared" si="3"/>
        <v>0</v>
      </c>
      <c r="N45" s="277"/>
      <c r="O45" s="2950">
        <f t="shared" si="5"/>
        <v>0</v>
      </c>
      <c r="P45" s="734"/>
      <c r="Q45" s="1017">
        <f>'Abs21. NPCCHH'!Q21</f>
        <v>0</v>
      </c>
      <c r="R45" s="2967">
        <f>'Abs21. NPCCHH'!R21</f>
        <v>0</v>
      </c>
      <c r="BB45" s="3237"/>
      <c r="BC45" s="3237"/>
      <c r="BD45" s="3237"/>
      <c r="BE45" s="3237"/>
      <c r="BF45" s="3237"/>
      <c r="BG45" s="3237"/>
      <c r="BH45" s="3237"/>
      <c r="BI45" s="3237"/>
      <c r="BJ45" s="3237"/>
      <c r="BK45" s="3237"/>
      <c r="BL45" s="3237"/>
      <c r="BM45" s="3237"/>
      <c r="BN45" s="3237"/>
      <c r="BO45" s="3237"/>
      <c r="BP45" s="3237"/>
      <c r="BQ45" s="3237"/>
      <c r="BR45" s="3237"/>
      <c r="BS45" s="3237"/>
      <c r="BT45" s="3237"/>
      <c r="BU45" s="3237"/>
      <c r="BV45" s="3237"/>
      <c r="BW45" s="3237"/>
      <c r="BX45" s="3237"/>
      <c r="BY45" s="3237"/>
      <c r="BZ45" s="3237"/>
      <c r="CA45" s="3237"/>
      <c r="CB45" s="3237"/>
      <c r="CC45" s="3237"/>
      <c r="CD45" s="3237"/>
      <c r="CE45" s="3237"/>
      <c r="CF45" s="3237"/>
      <c r="CG45" s="3237"/>
      <c r="CH45" s="3237"/>
      <c r="CI45" s="3237">
        <f t="shared" si="0"/>
        <v>0</v>
      </c>
    </row>
    <row r="46" spans="1:87" s="1770" customFormat="1">
      <c r="A46" s="548" t="s">
        <v>4272</v>
      </c>
      <c r="B46" s="548"/>
      <c r="C46" s="558" t="s">
        <v>4273</v>
      </c>
      <c r="D46" s="1007" t="s">
        <v>4219</v>
      </c>
      <c r="E46" s="609" t="s">
        <v>3245</v>
      </c>
      <c r="F46" s="2238">
        <v>0</v>
      </c>
      <c r="G46" s="560"/>
      <c r="H46" s="560"/>
      <c r="I46" s="560"/>
      <c r="J46" s="560"/>
      <c r="K46" s="560"/>
      <c r="L46" s="277"/>
      <c r="M46" s="553">
        <f t="shared" si="3"/>
        <v>0</v>
      </c>
      <c r="N46" s="277"/>
      <c r="O46" s="2951">
        <f t="shared" si="5"/>
        <v>0</v>
      </c>
      <c r="P46" s="735"/>
      <c r="Q46" s="1017">
        <f>'Abs12. NVHCP'!Q41</f>
        <v>0</v>
      </c>
      <c r="R46" s="2969">
        <f>'Abs12. NVHCP'!R41</f>
        <v>0</v>
      </c>
      <c r="BB46" s="3238"/>
      <c r="BC46" s="3238"/>
      <c r="BD46" s="3238"/>
      <c r="BE46" s="3238"/>
      <c r="BF46" s="3238"/>
      <c r="BG46" s="3238"/>
      <c r="BH46" s="3238"/>
      <c r="BI46" s="3238"/>
      <c r="BJ46" s="3238"/>
      <c r="BK46" s="3238"/>
      <c r="BL46" s="3238"/>
      <c r="BM46" s="3238"/>
      <c r="BN46" s="3238"/>
      <c r="BO46" s="3238"/>
      <c r="BP46" s="3238"/>
      <c r="BQ46" s="3238"/>
      <c r="BR46" s="3238"/>
      <c r="BS46" s="3238"/>
      <c r="BT46" s="3238"/>
      <c r="BU46" s="3238"/>
      <c r="BV46" s="3238"/>
      <c r="BW46" s="3238"/>
      <c r="BX46" s="3238"/>
      <c r="BY46" s="3238"/>
      <c r="BZ46" s="3238"/>
      <c r="CA46" s="3238"/>
      <c r="CB46" s="3238"/>
      <c r="CC46" s="3238"/>
      <c r="CD46" s="3238"/>
      <c r="CE46" s="3238"/>
      <c r="CF46" s="3238"/>
      <c r="CG46" s="3238"/>
      <c r="CH46" s="3238"/>
      <c r="CI46" s="3237">
        <f t="shared" si="0"/>
        <v>0</v>
      </c>
    </row>
    <row r="47" spans="1:87" s="1770" customFormat="1" ht="30">
      <c r="A47" s="548" t="s">
        <v>4286</v>
      </c>
      <c r="B47" s="548"/>
      <c r="C47" s="558" t="s">
        <v>4287</v>
      </c>
      <c r="D47" s="1549" t="s">
        <v>80</v>
      </c>
      <c r="E47" s="609" t="s">
        <v>4288</v>
      </c>
      <c r="F47" s="2238">
        <v>0</v>
      </c>
      <c r="G47" s="560"/>
      <c r="H47" s="560"/>
      <c r="I47" s="560"/>
      <c r="J47" s="560"/>
      <c r="K47" s="560"/>
      <c r="L47" s="277"/>
      <c r="M47" s="553">
        <f t="shared" si="3"/>
        <v>0</v>
      </c>
      <c r="N47" s="277"/>
      <c r="O47" s="2951">
        <f t="shared" si="5"/>
        <v>0</v>
      </c>
      <c r="P47" s="735"/>
      <c r="Q47" s="1017">
        <f>'Abs17. NPHCE'!Q33</f>
        <v>0</v>
      </c>
      <c r="R47" s="2967">
        <f>'Abs17. NPHCE'!R33</f>
        <v>0</v>
      </c>
      <c r="BB47" s="3238"/>
      <c r="BC47" s="3238"/>
      <c r="BD47" s="3238"/>
      <c r="BE47" s="3238"/>
      <c r="BF47" s="3238"/>
      <c r="BG47" s="3238"/>
      <c r="BH47" s="3238"/>
      <c r="BI47" s="3238"/>
      <c r="BJ47" s="3238"/>
      <c r="BK47" s="3238"/>
      <c r="BL47" s="3238"/>
      <c r="BM47" s="3238"/>
      <c r="BN47" s="3238"/>
      <c r="BO47" s="3238"/>
      <c r="BP47" s="3238"/>
      <c r="BQ47" s="3238"/>
      <c r="BR47" s="3238"/>
      <c r="BS47" s="3238"/>
      <c r="BT47" s="3238"/>
      <c r="BU47" s="3238"/>
      <c r="BV47" s="3238"/>
      <c r="BW47" s="3238"/>
      <c r="BX47" s="3238"/>
      <c r="BY47" s="3238"/>
      <c r="BZ47" s="3238"/>
      <c r="CA47" s="3238"/>
      <c r="CB47" s="3238"/>
      <c r="CC47" s="3238"/>
      <c r="CD47" s="3238"/>
      <c r="CE47" s="3238"/>
      <c r="CF47" s="3238"/>
      <c r="CG47" s="3238"/>
      <c r="CH47" s="3238"/>
      <c r="CI47" s="3237">
        <f t="shared" si="0"/>
        <v>0</v>
      </c>
    </row>
    <row r="48" spans="1:87" s="1770" customFormat="1" ht="30">
      <c r="A48" s="548" t="s">
        <v>4289</v>
      </c>
      <c r="B48" s="548"/>
      <c r="C48" s="558" t="s">
        <v>4351</v>
      </c>
      <c r="D48" s="910" t="s">
        <v>4219</v>
      </c>
      <c r="E48" s="609" t="s">
        <v>4352</v>
      </c>
      <c r="F48" s="2238">
        <v>0</v>
      </c>
      <c r="G48" s="560"/>
      <c r="H48" s="560"/>
      <c r="I48" s="560"/>
      <c r="J48" s="560"/>
      <c r="K48" s="560"/>
      <c r="L48" s="277"/>
      <c r="M48" s="553">
        <f t="shared" si="3"/>
        <v>0</v>
      </c>
      <c r="N48" s="277"/>
      <c r="O48" s="2951">
        <f t="shared" si="5"/>
        <v>0</v>
      </c>
      <c r="P48" s="735"/>
      <c r="Q48" s="1017">
        <f>'Abs14. PPCL'!Q16</f>
        <v>0</v>
      </c>
      <c r="R48" s="2967">
        <f>'Abs14. PPCL'!R16</f>
        <v>0</v>
      </c>
      <c r="BB48" s="3238"/>
      <c r="BC48" s="3238"/>
      <c r="BD48" s="3238"/>
      <c r="BE48" s="3238"/>
      <c r="BF48" s="3238"/>
      <c r="BG48" s="3238"/>
      <c r="BH48" s="3238"/>
      <c r="BI48" s="3238"/>
      <c r="BJ48" s="3238"/>
      <c r="BK48" s="3238"/>
      <c r="BL48" s="3238"/>
      <c r="BM48" s="3238"/>
      <c r="BN48" s="3238"/>
      <c r="BO48" s="3238"/>
      <c r="BP48" s="3238"/>
      <c r="BQ48" s="3238"/>
      <c r="BR48" s="3238"/>
      <c r="BS48" s="3238"/>
      <c r="BT48" s="3238"/>
      <c r="BU48" s="3238"/>
      <c r="BV48" s="3238"/>
      <c r="BW48" s="3238"/>
      <c r="BX48" s="3238"/>
      <c r="BY48" s="3238"/>
      <c r="BZ48" s="3238"/>
      <c r="CA48" s="3238"/>
      <c r="CB48" s="3238"/>
      <c r="CC48" s="3238"/>
      <c r="CD48" s="3238"/>
      <c r="CE48" s="3238"/>
      <c r="CF48" s="3238"/>
      <c r="CG48" s="3238"/>
      <c r="CH48" s="3238"/>
      <c r="CI48" s="3237">
        <f t="shared" si="0"/>
        <v>0</v>
      </c>
    </row>
    <row r="49" spans="1:87">
      <c r="A49" s="548" t="s">
        <v>4350</v>
      </c>
      <c r="B49" s="548" t="s">
        <v>3719</v>
      </c>
      <c r="C49" s="568" t="s">
        <v>302</v>
      </c>
      <c r="D49" s="908" t="s">
        <v>65</v>
      </c>
      <c r="E49" s="608" t="s">
        <v>3238</v>
      </c>
      <c r="F49" s="2238">
        <v>0</v>
      </c>
      <c r="G49" s="560"/>
      <c r="H49" s="560"/>
      <c r="I49" s="560"/>
      <c r="J49" s="560"/>
      <c r="K49" s="560"/>
      <c r="L49" s="277"/>
      <c r="M49" s="553">
        <f t="shared" si="3"/>
        <v>0</v>
      </c>
      <c r="N49" s="277"/>
      <c r="O49" s="2951">
        <f t="shared" si="5"/>
        <v>0</v>
      </c>
      <c r="P49" s="735"/>
      <c r="Q49" s="1022"/>
      <c r="R49" s="2966"/>
      <c r="BB49" s="3237"/>
      <c r="BC49" s="3237"/>
      <c r="BD49" s="3237"/>
      <c r="BE49" s="3237"/>
      <c r="BF49" s="3237"/>
      <c r="BG49" s="3237"/>
      <c r="BH49" s="3237"/>
      <c r="BI49" s="3237"/>
      <c r="BJ49" s="3237"/>
      <c r="BK49" s="3237"/>
      <c r="BL49" s="3237"/>
      <c r="BM49" s="3237"/>
      <c r="BN49" s="3237"/>
      <c r="BO49" s="3237"/>
      <c r="BP49" s="3237"/>
      <c r="BQ49" s="3237"/>
      <c r="BR49" s="3237"/>
      <c r="BS49" s="3237"/>
      <c r="BT49" s="3237"/>
      <c r="BU49" s="3237"/>
      <c r="BV49" s="3237"/>
      <c r="BW49" s="3237"/>
      <c r="BX49" s="3237"/>
      <c r="BY49" s="3237"/>
      <c r="BZ49" s="3237"/>
      <c r="CA49" s="3237"/>
      <c r="CB49" s="3237"/>
      <c r="CC49" s="3237"/>
      <c r="CD49" s="3237"/>
      <c r="CE49" s="3237"/>
      <c r="CF49" s="3237"/>
      <c r="CG49" s="3237"/>
      <c r="CH49" s="3237"/>
      <c r="CI49" s="3237">
        <f t="shared" si="0"/>
        <v>0</v>
      </c>
    </row>
    <row r="50" spans="1:87" ht="12.95" customHeight="1">
      <c r="A50" s="548" t="s">
        <v>3338</v>
      </c>
      <c r="B50" s="548" t="s">
        <v>3339</v>
      </c>
      <c r="C50" s="548" t="s">
        <v>2173</v>
      </c>
      <c r="D50" s="549"/>
      <c r="E50" s="549"/>
      <c r="F50" s="550"/>
      <c r="G50" s="550"/>
      <c r="H50" s="550"/>
      <c r="I50" s="550"/>
      <c r="J50" s="550"/>
      <c r="K50" s="550"/>
      <c r="L50" s="550"/>
      <c r="M50" s="161"/>
      <c r="N50" s="550"/>
      <c r="O50" s="2949">
        <f>SUM(O51:O67)</f>
        <v>47.004300000000001</v>
      </c>
      <c r="P50" s="733"/>
      <c r="Q50" s="1511"/>
      <c r="R50" s="2961">
        <f>SUM(R51:R67)</f>
        <v>47</v>
      </c>
      <c r="S50" s="3116">
        <f>O50-R50</f>
        <v>4.3000000000006366E-3</v>
      </c>
      <c r="BB50" s="3237"/>
      <c r="BC50" s="3237"/>
      <c r="BD50" s="3237"/>
      <c r="BE50" s="3237"/>
      <c r="BF50" s="3237"/>
      <c r="BG50" s="3237"/>
      <c r="BH50" s="3237"/>
      <c r="BI50" s="3237"/>
      <c r="BJ50" s="3237"/>
      <c r="BK50" s="3237"/>
      <c r="BL50" s="3237"/>
      <c r="BM50" s="3237"/>
      <c r="BN50" s="3237"/>
      <c r="BO50" s="3237"/>
      <c r="BP50" s="3237"/>
      <c r="BQ50" s="3237"/>
      <c r="BR50" s="3237"/>
      <c r="BS50" s="3237"/>
      <c r="BT50" s="3237"/>
      <c r="BU50" s="3237"/>
      <c r="BV50" s="3237"/>
      <c r="BW50" s="3237"/>
      <c r="BX50" s="3237"/>
      <c r="BY50" s="3237"/>
      <c r="BZ50" s="3237"/>
      <c r="CA50" s="3237"/>
      <c r="CB50" s="3237"/>
      <c r="CC50" s="3237"/>
      <c r="CD50" s="3237"/>
      <c r="CE50" s="3237"/>
      <c r="CF50" s="3237"/>
      <c r="CG50" s="3237"/>
      <c r="CH50" s="3237"/>
      <c r="CI50" s="3237">
        <f t="shared" si="0"/>
        <v>0</v>
      </c>
    </row>
    <row r="51" spans="1:87" ht="30">
      <c r="A51" s="548" t="s">
        <v>3340</v>
      </c>
      <c r="B51" s="548" t="s">
        <v>3341</v>
      </c>
      <c r="C51" s="551" t="s">
        <v>2174</v>
      </c>
      <c r="D51" s="555" t="s">
        <v>85</v>
      </c>
      <c r="E51" s="608" t="s">
        <v>3241</v>
      </c>
      <c r="F51" s="2236">
        <v>0</v>
      </c>
      <c r="G51" s="552"/>
      <c r="H51" s="552"/>
      <c r="I51" s="552"/>
      <c r="J51" s="552"/>
      <c r="K51" s="552"/>
      <c r="L51" s="277"/>
      <c r="M51" s="553">
        <f t="shared" ref="M51:M67" si="6">L51/100000</f>
        <v>0</v>
      </c>
      <c r="N51" s="277"/>
      <c r="O51" s="2950">
        <f t="shared" ref="O51:O56" si="7">M51*N51</f>
        <v>0</v>
      </c>
      <c r="P51" s="734"/>
      <c r="Q51" s="1017" t="str">
        <f>'Ab1. RMNCH+A'!Q464</f>
        <v>--</v>
      </c>
      <c r="R51" s="2967">
        <f>'Ab1. RMNCH+A'!R464</f>
        <v>0</v>
      </c>
      <c r="BB51" s="3237"/>
      <c r="BC51" s="3237"/>
      <c r="BD51" s="3237"/>
      <c r="BE51" s="3237"/>
      <c r="BF51" s="3237"/>
      <c r="BG51" s="3237"/>
      <c r="BH51" s="3237"/>
      <c r="BI51" s="3237"/>
      <c r="BJ51" s="3237"/>
      <c r="BK51" s="3237"/>
      <c r="BL51" s="3237"/>
      <c r="BM51" s="3237"/>
      <c r="BN51" s="3237"/>
      <c r="BO51" s="3237"/>
      <c r="BP51" s="3237"/>
      <c r="BQ51" s="3237"/>
      <c r="BR51" s="3237"/>
      <c r="BS51" s="3237"/>
      <c r="BT51" s="3237"/>
      <c r="BU51" s="3237"/>
      <c r="BV51" s="3237"/>
      <c r="BW51" s="3237"/>
      <c r="BX51" s="3237"/>
      <c r="BY51" s="3237"/>
      <c r="BZ51" s="3237"/>
      <c r="CA51" s="3237"/>
      <c r="CB51" s="3237"/>
      <c r="CC51" s="3237"/>
      <c r="CD51" s="3237"/>
      <c r="CE51" s="3237"/>
      <c r="CF51" s="3237"/>
      <c r="CG51" s="3237"/>
      <c r="CH51" s="3237"/>
      <c r="CI51" s="3237">
        <f t="shared" si="0"/>
        <v>0</v>
      </c>
    </row>
    <row r="52" spans="1:87">
      <c r="A52" s="548" t="s">
        <v>3342</v>
      </c>
      <c r="B52" s="548" t="s">
        <v>3343</v>
      </c>
      <c r="C52" s="551" t="s">
        <v>2175</v>
      </c>
      <c r="D52" s="908" t="s">
        <v>65</v>
      </c>
      <c r="E52" s="608" t="s">
        <v>3580</v>
      </c>
      <c r="F52" s="2236">
        <v>0</v>
      </c>
      <c r="G52" s="552"/>
      <c r="H52" s="552"/>
      <c r="I52" s="552"/>
      <c r="J52" s="552"/>
      <c r="K52" s="552"/>
      <c r="L52" s="277"/>
      <c r="M52" s="553">
        <f t="shared" si="6"/>
        <v>0</v>
      </c>
      <c r="N52" s="277"/>
      <c r="O52" s="2950">
        <f t="shared" si="7"/>
        <v>0</v>
      </c>
      <c r="P52" s="734"/>
      <c r="Q52" s="1022"/>
      <c r="R52" s="2966"/>
      <c r="BB52" s="3237"/>
      <c r="BC52" s="3237"/>
      <c r="BD52" s="3237"/>
      <c r="BE52" s="3237"/>
      <c r="BF52" s="3237"/>
      <c r="BG52" s="3237"/>
      <c r="BH52" s="3237"/>
      <c r="BI52" s="3237"/>
      <c r="BJ52" s="3237"/>
      <c r="BK52" s="3237"/>
      <c r="BL52" s="3237"/>
      <c r="BM52" s="3237"/>
      <c r="BN52" s="3237"/>
      <c r="BO52" s="3237"/>
      <c r="BP52" s="3237"/>
      <c r="BQ52" s="3237"/>
      <c r="BR52" s="3237"/>
      <c r="BS52" s="3237"/>
      <c r="BT52" s="3237"/>
      <c r="BU52" s="3237"/>
      <c r="BV52" s="3237"/>
      <c r="BW52" s="3237"/>
      <c r="BX52" s="3237"/>
      <c r="BY52" s="3237"/>
      <c r="BZ52" s="3237"/>
      <c r="CA52" s="3237"/>
      <c r="CB52" s="3237"/>
      <c r="CC52" s="3237"/>
      <c r="CD52" s="3237"/>
      <c r="CE52" s="3237"/>
      <c r="CF52" s="3237"/>
      <c r="CG52" s="3237"/>
      <c r="CH52" s="3237"/>
      <c r="CI52" s="3237">
        <f t="shared" si="0"/>
        <v>0</v>
      </c>
    </row>
    <row r="53" spans="1:87" ht="30">
      <c r="A53" s="548" t="s">
        <v>3344</v>
      </c>
      <c r="B53" s="548" t="s">
        <v>3345</v>
      </c>
      <c r="C53" s="551" t="s">
        <v>3913</v>
      </c>
      <c r="D53" s="908" t="s">
        <v>65</v>
      </c>
      <c r="E53" s="608" t="s">
        <v>3238</v>
      </c>
      <c r="F53" s="2236">
        <v>0</v>
      </c>
      <c r="G53" s="552"/>
      <c r="H53" s="552"/>
      <c r="I53" s="552"/>
      <c r="J53" s="552"/>
      <c r="K53" s="552"/>
      <c r="L53" s="277"/>
      <c r="M53" s="553">
        <f t="shared" si="6"/>
        <v>0</v>
      </c>
      <c r="N53" s="277"/>
      <c r="O53" s="2950">
        <f t="shared" si="7"/>
        <v>0</v>
      </c>
      <c r="P53" s="734"/>
      <c r="Q53" s="1022"/>
      <c r="R53" s="2966"/>
      <c r="BB53" s="3237"/>
      <c r="BC53" s="3237"/>
      <c r="BD53" s="3237"/>
      <c r="BE53" s="3237"/>
      <c r="BF53" s="3237"/>
      <c r="BG53" s="3237"/>
      <c r="BH53" s="3237"/>
      <c r="BI53" s="3237"/>
      <c r="BJ53" s="3237"/>
      <c r="BK53" s="3237"/>
      <c r="BL53" s="3237"/>
      <c r="BM53" s="3237"/>
      <c r="BN53" s="3237"/>
      <c r="BO53" s="3237"/>
      <c r="BP53" s="3237"/>
      <c r="BQ53" s="3237"/>
      <c r="BR53" s="3237"/>
      <c r="BS53" s="3237"/>
      <c r="BT53" s="3237"/>
      <c r="BU53" s="3237"/>
      <c r="BV53" s="3237"/>
      <c r="BW53" s="3237"/>
      <c r="BX53" s="3237"/>
      <c r="BY53" s="3237"/>
      <c r="BZ53" s="3237"/>
      <c r="CA53" s="3237"/>
      <c r="CB53" s="3237"/>
      <c r="CC53" s="3237"/>
      <c r="CD53" s="3237"/>
      <c r="CE53" s="3237"/>
      <c r="CF53" s="3237"/>
      <c r="CG53" s="3237"/>
      <c r="CH53" s="3237"/>
      <c r="CI53" s="3237">
        <f t="shared" si="0"/>
        <v>0</v>
      </c>
    </row>
    <row r="54" spans="1:87" ht="45">
      <c r="A54" s="548" t="s">
        <v>3346</v>
      </c>
      <c r="B54" s="548" t="s">
        <v>3347</v>
      </c>
      <c r="C54" s="551" t="s">
        <v>2335</v>
      </c>
      <c r="D54" s="908" t="s">
        <v>65</v>
      </c>
      <c r="E54" s="608" t="s">
        <v>3238</v>
      </c>
      <c r="F54" s="2236">
        <v>0</v>
      </c>
      <c r="G54" s="552"/>
      <c r="H54" s="552"/>
      <c r="I54" s="556"/>
      <c r="J54" s="556"/>
      <c r="K54" s="552"/>
      <c r="L54" s="277"/>
      <c r="M54" s="553">
        <f t="shared" si="6"/>
        <v>0</v>
      </c>
      <c r="N54" s="277"/>
      <c r="O54" s="2950">
        <f t="shared" si="7"/>
        <v>0</v>
      </c>
      <c r="P54" s="734"/>
      <c r="Q54" s="1022"/>
      <c r="R54" s="2966"/>
      <c r="BB54" s="3237"/>
      <c r="BC54" s="3237"/>
      <c r="BD54" s="3237"/>
      <c r="BE54" s="3237"/>
      <c r="BF54" s="3237"/>
      <c r="BG54" s="3237"/>
      <c r="BH54" s="3237"/>
      <c r="BI54" s="3237"/>
      <c r="BJ54" s="3237"/>
      <c r="BK54" s="3237"/>
      <c r="BL54" s="3237"/>
      <c r="BM54" s="3237"/>
      <c r="BN54" s="3237"/>
      <c r="BO54" s="3237"/>
      <c r="BP54" s="3237"/>
      <c r="BQ54" s="3237"/>
      <c r="BR54" s="3237"/>
      <c r="BS54" s="3237"/>
      <c r="BT54" s="3237"/>
      <c r="BU54" s="3237"/>
      <c r="BV54" s="3237"/>
      <c r="BW54" s="3237"/>
      <c r="BX54" s="3237"/>
      <c r="BY54" s="3237"/>
      <c r="BZ54" s="3237"/>
      <c r="CA54" s="3237"/>
      <c r="CB54" s="3237"/>
      <c r="CC54" s="3237"/>
      <c r="CD54" s="3237"/>
      <c r="CE54" s="3237"/>
      <c r="CF54" s="3237"/>
      <c r="CG54" s="3237"/>
      <c r="CH54" s="3237"/>
      <c r="CI54" s="3237">
        <f t="shared" si="0"/>
        <v>0</v>
      </c>
    </row>
    <row r="55" spans="1:87" ht="30">
      <c r="A55" s="548" t="s">
        <v>3348</v>
      </c>
      <c r="B55" s="548" t="s">
        <v>3350</v>
      </c>
      <c r="C55" s="551" t="s">
        <v>2176</v>
      </c>
      <c r="D55" s="1007" t="s">
        <v>4219</v>
      </c>
      <c r="E55" s="608" t="s">
        <v>4715</v>
      </c>
      <c r="F55" s="2236">
        <v>0</v>
      </c>
      <c r="G55" s="552"/>
      <c r="H55" s="552"/>
      <c r="I55" s="556"/>
      <c r="J55" s="556"/>
      <c r="K55" s="552"/>
      <c r="L55" s="277"/>
      <c r="M55" s="553">
        <f t="shared" si="6"/>
        <v>0</v>
      </c>
      <c r="N55" s="277"/>
      <c r="O55" s="2950">
        <f t="shared" si="7"/>
        <v>0</v>
      </c>
      <c r="P55" s="734"/>
      <c r="Q55" s="1017">
        <f>'Abs9. NVBDCP'!Q112</f>
        <v>0</v>
      </c>
      <c r="R55" s="2969">
        <f>'Abs9. NVBDCP'!R112</f>
        <v>0</v>
      </c>
      <c r="BB55" s="3237"/>
      <c r="BC55" s="3237"/>
      <c r="BD55" s="3237"/>
      <c r="BE55" s="3237"/>
      <c r="BF55" s="3237"/>
      <c r="BG55" s="3237"/>
      <c r="BH55" s="3237"/>
      <c r="BI55" s="3237"/>
      <c r="BJ55" s="3237"/>
      <c r="BK55" s="3237"/>
      <c r="BL55" s="3237"/>
      <c r="BM55" s="3237"/>
      <c r="BN55" s="3237"/>
      <c r="BO55" s="3237"/>
      <c r="BP55" s="3237"/>
      <c r="BQ55" s="3237"/>
      <c r="BR55" s="3237"/>
      <c r="BS55" s="3237"/>
      <c r="BT55" s="3237"/>
      <c r="BU55" s="3237"/>
      <c r="BV55" s="3237"/>
      <c r="BW55" s="3237"/>
      <c r="BX55" s="3237"/>
      <c r="BY55" s="3237"/>
      <c r="BZ55" s="3237"/>
      <c r="CA55" s="3237"/>
      <c r="CB55" s="3237"/>
      <c r="CC55" s="3237"/>
      <c r="CD55" s="3237"/>
      <c r="CE55" s="3237"/>
      <c r="CF55" s="3237"/>
      <c r="CG55" s="3237"/>
      <c r="CH55" s="3237"/>
      <c r="CI55" s="3237">
        <f t="shared" si="0"/>
        <v>0</v>
      </c>
    </row>
    <row r="56" spans="1:87" ht="30">
      <c r="A56" s="548" t="s">
        <v>3349</v>
      </c>
      <c r="B56" s="548" t="s">
        <v>3352</v>
      </c>
      <c r="C56" s="551" t="s">
        <v>2177</v>
      </c>
      <c r="D56" s="1007" t="s">
        <v>4219</v>
      </c>
      <c r="E56" s="608" t="s">
        <v>4717</v>
      </c>
      <c r="F56" s="2236">
        <v>0</v>
      </c>
      <c r="G56" s="552"/>
      <c r="H56" s="552"/>
      <c r="I56" s="556"/>
      <c r="J56" s="556"/>
      <c r="K56" s="552"/>
      <c r="L56" s="277"/>
      <c r="M56" s="553">
        <f t="shared" si="6"/>
        <v>0</v>
      </c>
      <c r="N56" s="277"/>
      <c r="O56" s="2950">
        <f t="shared" si="7"/>
        <v>0</v>
      </c>
      <c r="P56" s="734"/>
      <c r="Q56" s="1017">
        <f>'Abs9. NVBDCP'!Q113</f>
        <v>0</v>
      </c>
      <c r="R56" s="2969">
        <f>'Abs9. NVBDCP'!R113</f>
        <v>0</v>
      </c>
      <c r="BB56" s="3237"/>
      <c r="BC56" s="3237"/>
      <c r="BD56" s="3237"/>
      <c r="BE56" s="3237"/>
      <c r="BF56" s="3237"/>
      <c r="BG56" s="3237"/>
      <c r="BH56" s="3237"/>
      <c r="BI56" s="3237"/>
      <c r="BJ56" s="3237"/>
      <c r="BK56" s="3237"/>
      <c r="BL56" s="3237"/>
      <c r="BM56" s="3237"/>
      <c r="BN56" s="3237"/>
      <c r="BO56" s="3237"/>
      <c r="BP56" s="3237"/>
      <c r="BQ56" s="3237"/>
      <c r="BR56" s="3237"/>
      <c r="BS56" s="3237"/>
      <c r="BT56" s="3237"/>
      <c r="BU56" s="3237"/>
      <c r="BV56" s="3237"/>
      <c r="BW56" s="3237"/>
      <c r="BX56" s="3237"/>
      <c r="BY56" s="3237"/>
      <c r="BZ56" s="3237"/>
      <c r="CA56" s="3237"/>
      <c r="CB56" s="3237"/>
      <c r="CC56" s="3237"/>
      <c r="CD56" s="3237"/>
      <c r="CE56" s="3237"/>
      <c r="CF56" s="3237"/>
      <c r="CG56" s="3237"/>
      <c r="CH56" s="3237"/>
      <c r="CI56" s="3237">
        <f t="shared" si="0"/>
        <v>0</v>
      </c>
    </row>
    <row r="57" spans="1:87" ht="30">
      <c r="A57" s="548" t="s">
        <v>3351</v>
      </c>
      <c r="B57" s="548" t="s">
        <v>3354</v>
      </c>
      <c r="C57" s="557" t="s">
        <v>2178</v>
      </c>
      <c r="D57" s="1007" t="s">
        <v>4219</v>
      </c>
      <c r="E57" s="608" t="s">
        <v>4718</v>
      </c>
      <c r="F57" s="2236">
        <v>0</v>
      </c>
      <c r="G57" s="552"/>
      <c r="H57" s="552"/>
      <c r="I57" s="552"/>
      <c r="J57" s="552"/>
      <c r="K57" s="552"/>
      <c r="L57" s="277"/>
      <c r="M57" s="553">
        <f t="shared" si="6"/>
        <v>0</v>
      </c>
      <c r="N57" s="277"/>
      <c r="O57" s="2950">
        <f t="shared" ref="O57:O64" si="8">M57*N57</f>
        <v>0</v>
      </c>
      <c r="P57" s="734"/>
      <c r="Q57" s="1017">
        <f>'Abs9. NVBDCP'!Q114</f>
        <v>0</v>
      </c>
      <c r="R57" s="2969">
        <f>'Abs9. NVBDCP'!R114</f>
        <v>0</v>
      </c>
      <c r="BB57" s="3237"/>
      <c r="BC57" s="3237"/>
      <c r="BD57" s="3237"/>
      <c r="BE57" s="3237"/>
      <c r="BF57" s="3237"/>
      <c r="BG57" s="3237"/>
      <c r="BH57" s="3237"/>
      <c r="BI57" s="3237"/>
      <c r="BJ57" s="3237"/>
      <c r="BK57" s="3237"/>
      <c r="BL57" s="3237"/>
      <c r="BM57" s="3237"/>
      <c r="BN57" s="3237"/>
      <c r="BO57" s="3237"/>
      <c r="BP57" s="3237"/>
      <c r="BQ57" s="3237"/>
      <c r="BR57" s="3237"/>
      <c r="BS57" s="3237"/>
      <c r="BT57" s="3237"/>
      <c r="BU57" s="3237"/>
      <c r="BV57" s="3237"/>
      <c r="BW57" s="3237"/>
      <c r="BX57" s="3237"/>
      <c r="BY57" s="3237"/>
      <c r="BZ57" s="3237"/>
      <c r="CA57" s="3237"/>
      <c r="CB57" s="3237"/>
      <c r="CC57" s="3237"/>
      <c r="CD57" s="3237"/>
      <c r="CE57" s="3237"/>
      <c r="CF57" s="3237"/>
      <c r="CG57" s="3237"/>
      <c r="CH57" s="3237"/>
      <c r="CI57" s="3237">
        <f t="shared" si="0"/>
        <v>0</v>
      </c>
    </row>
    <row r="58" spans="1:87" ht="30">
      <c r="A58" s="548" t="s">
        <v>3353</v>
      </c>
      <c r="B58" s="548" t="s">
        <v>3356</v>
      </c>
      <c r="C58" s="557" t="s">
        <v>2179</v>
      </c>
      <c r="D58" s="1007" t="s">
        <v>4219</v>
      </c>
      <c r="E58" s="608" t="s">
        <v>4719</v>
      </c>
      <c r="F58" s="2236">
        <v>0</v>
      </c>
      <c r="G58" s="552"/>
      <c r="H58" s="552"/>
      <c r="I58" s="552"/>
      <c r="J58" s="552"/>
      <c r="K58" s="552"/>
      <c r="L58" s="277"/>
      <c r="M58" s="553">
        <f t="shared" si="6"/>
        <v>0</v>
      </c>
      <c r="N58" s="277"/>
      <c r="O58" s="2950">
        <f t="shared" si="8"/>
        <v>0</v>
      </c>
      <c r="P58" s="734"/>
      <c r="Q58" s="1017">
        <f>'Abs9. NVBDCP'!Q115</f>
        <v>0</v>
      </c>
      <c r="R58" s="2969">
        <f>'Abs9. NVBDCP'!R115</f>
        <v>0</v>
      </c>
      <c r="BB58" s="3237"/>
      <c r="BC58" s="3237"/>
      <c r="BD58" s="3237"/>
      <c r="BE58" s="3237"/>
      <c r="BF58" s="3237"/>
      <c r="BG58" s="3237"/>
      <c r="BH58" s="3237"/>
      <c r="BI58" s="3237"/>
      <c r="BJ58" s="3237"/>
      <c r="BK58" s="3237"/>
      <c r="BL58" s="3237"/>
      <c r="BM58" s="3237"/>
      <c r="BN58" s="3237"/>
      <c r="BO58" s="3237"/>
      <c r="BP58" s="3237"/>
      <c r="BQ58" s="3237"/>
      <c r="BR58" s="3237"/>
      <c r="BS58" s="3237"/>
      <c r="BT58" s="3237"/>
      <c r="BU58" s="3237"/>
      <c r="BV58" s="3237"/>
      <c r="BW58" s="3237"/>
      <c r="BX58" s="3237"/>
      <c r="BY58" s="3237"/>
      <c r="BZ58" s="3237"/>
      <c r="CA58" s="3237"/>
      <c r="CB58" s="3237"/>
      <c r="CC58" s="3237"/>
      <c r="CD58" s="3237"/>
      <c r="CE58" s="3237"/>
      <c r="CF58" s="3237"/>
      <c r="CG58" s="3237"/>
      <c r="CH58" s="3237"/>
      <c r="CI58" s="3237">
        <f t="shared" si="0"/>
        <v>0</v>
      </c>
    </row>
    <row r="59" spans="1:87" ht="30">
      <c r="A59" s="548" t="s">
        <v>3355</v>
      </c>
      <c r="B59" s="548" t="s">
        <v>3358</v>
      </c>
      <c r="C59" s="557" t="s">
        <v>2180</v>
      </c>
      <c r="D59" s="1007" t="s">
        <v>4219</v>
      </c>
      <c r="E59" s="608" t="s">
        <v>4720</v>
      </c>
      <c r="F59" s="2236">
        <v>0</v>
      </c>
      <c r="G59" s="552"/>
      <c r="H59" s="552"/>
      <c r="I59" s="552"/>
      <c r="J59" s="552"/>
      <c r="K59" s="552"/>
      <c r="L59" s="277"/>
      <c r="M59" s="553">
        <f t="shared" si="6"/>
        <v>0</v>
      </c>
      <c r="N59" s="277"/>
      <c r="O59" s="2950">
        <f t="shared" si="8"/>
        <v>0</v>
      </c>
      <c r="P59" s="734"/>
      <c r="Q59" s="1017">
        <f>'Abs9. NVBDCP'!Q116</f>
        <v>0</v>
      </c>
      <c r="R59" s="2969">
        <f>'Abs9. NVBDCP'!R116</f>
        <v>0</v>
      </c>
      <c r="BB59" s="3237"/>
      <c r="BC59" s="3237"/>
      <c r="BD59" s="3237"/>
      <c r="BE59" s="3237"/>
      <c r="BF59" s="3237"/>
      <c r="BG59" s="3237"/>
      <c r="BH59" s="3237"/>
      <c r="BI59" s="3237"/>
      <c r="BJ59" s="3237"/>
      <c r="BK59" s="3237"/>
      <c r="BL59" s="3237"/>
      <c r="BM59" s="3237"/>
      <c r="BN59" s="3237"/>
      <c r="BO59" s="3237"/>
      <c r="BP59" s="3237"/>
      <c r="BQ59" s="3237"/>
      <c r="BR59" s="3237"/>
      <c r="BS59" s="3237"/>
      <c r="BT59" s="3237"/>
      <c r="BU59" s="3237"/>
      <c r="BV59" s="3237"/>
      <c r="BW59" s="3237"/>
      <c r="BX59" s="3237"/>
      <c r="BY59" s="3237"/>
      <c r="BZ59" s="3237"/>
      <c r="CA59" s="3237"/>
      <c r="CB59" s="3237"/>
      <c r="CC59" s="3237"/>
      <c r="CD59" s="3237"/>
      <c r="CE59" s="3237"/>
      <c r="CF59" s="3237"/>
      <c r="CG59" s="3237"/>
      <c r="CH59" s="3237"/>
      <c r="CI59" s="3237">
        <f t="shared" si="0"/>
        <v>0</v>
      </c>
    </row>
    <row r="60" spans="1:87">
      <c r="A60" s="548" t="s">
        <v>3357</v>
      </c>
      <c r="B60" s="548" t="s">
        <v>3360</v>
      </c>
      <c r="C60" s="557" t="s">
        <v>2182</v>
      </c>
      <c r="D60" s="1007" t="s">
        <v>4219</v>
      </c>
      <c r="E60" s="608" t="s">
        <v>3577</v>
      </c>
      <c r="F60" s="2236">
        <v>0</v>
      </c>
      <c r="G60" s="552"/>
      <c r="H60" s="552"/>
      <c r="I60" s="552"/>
      <c r="J60" s="552"/>
      <c r="K60" s="552"/>
      <c r="L60" s="277"/>
      <c r="M60" s="553">
        <f t="shared" si="6"/>
        <v>0</v>
      </c>
      <c r="N60" s="277"/>
      <c r="O60" s="2950">
        <f t="shared" si="8"/>
        <v>0</v>
      </c>
      <c r="P60" s="734"/>
      <c r="Q60" s="1017">
        <f>'Abs9. NVBDCP'!Q117</f>
        <v>0</v>
      </c>
      <c r="R60" s="2969">
        <f>'Abs9. NVBDCP'!R117</f>
        <v>0</v>
      </c>
      <c r="BB60" s="3237"/>
      <c r="BC60" s="3237"/>
      <c r="BD60" s="3237"/>
      <c r="BE60" s="3237"/>
      <c r="BF60" s="3237"/>
      <c r="BG60" s="3237"/>
      <c r="BH60" s="3237"/>
      <c r="BI60" s="3237"/>
      <c r="BJ60" s="3237"/>
      <c r="BK60" s="3237"/>
      <c r="BL60" s="3237"/>
      <c r="BM60" s="3237"/>
      <c r="BN60" s="3237"/>
      <c r="BO60" s="3237"/>
      <c r="BP60" s="3237"/>
      <c r="BQ60" s="3237"/>
      <c r="BR60" s="3237"/>
      <c r="BS60" s="3237"/>
      <c r="BT60" s="3237"/>
      <c r="BU60" s="3237"/>
      <c r="BV60" s="3237"/>
      <c r="BW60" s="3237"/>
      <c r="BX60" s="3237"/>
      <c r="BY60" s="3237"/>
      <c r="BZ60" s="3237"/>
      <c r="CA60" s="3237"/>
      <c r="CB60" s="3237"/>
      <c r="CC60" s="3237"/>
      <c r="CD60" s="3237"/>
      <c r="CE60" s="3237"/>
      <c r="CF60" s="3237"/>
      <c r="CG60" s="3237"/>
      <c r="CH60" s="3237"/>
      <c r="CI60" s="3237">
        <f t="shared" si="0"/>
        <v>0</v>
      </c>
    </row>
    <row r="61" spans="1:87">
      <c r="A61" s="548" t="s">
        <v>3359</v>
      </c>
      <c r="B61" s="548" t="s">
        <v>3362</v>
      </c>
      <c r="C61" s="557" t="s">
        <v>1110</v>
      </c>
      <c r="D61" s="1549" t="s">
        <v>80</v>
      </c>
      <c r="E61" s="608" t="s">
        <v>3581</v>
      </c>
      <c r="F61" s="2236">
        <v>1</v>
      </c>
      <c r="G61" s="552"/>
      <c r="H61" s="552">
        <v>1</v>
      </c>
      <c r="I61" s="552"/>
      <c r="J61" s="552"/>
      <c r="K61" s="552"/>
      <c r="L61" s="277"/>
      <c r="M61" s="553">
        <f t="shared" si="6"/>
        <v>0</v>
      </c>
      <c r="N61" s="277"/>
      <c r="O61" s="2950">
        <f t="shared" si="8"/>
        <v>0</v>
      </c>
      <c r="P61" s="734"/>
      <c r="Q61" s="1017">
        <f>'Abs19. NPCDCS'!Q62</f>
        <v>0</v>
      </c>
      <c r="R61" s="2967">
        <f>'Abs19. NPCDCS'!R62</f>
        <v>0</v>
      </c>
      <c r="BB61" s="3237"/>
      <c r="BC61" s="3237"/>
      <c r="BD61" s="3237"/>
      <c r="BE61" s="3237"/>
      <c r="BF61" s="3237"/>
      <c r="BG61" s="3237"/>
      <c r="BH61" s="3237"/>
      <c r="BI61" s="3237"/>
      <c r="BJ61" s="3237"/>
      <c r="BK61" s="3237"/>
      <c r="BL61" s="3237"/>
      <c r="BM61" s="3237"/>
      <c r="BN61" s="3237"/>
      <c r="BO61" s="3237"/>
      <c r="BP61" s="3237"/>
      <c r="BQ61" s="3237"/>
      <c r="BR61" s="3237"/>
      <c r="BS61" s="3237"/>
      <c r="BT61" s="3237"/>
      <c r="BU61" s="3237"/>
      <c r="BV61" s="3237"/>
      <c r="BW61" s="3237"/>
      <c r="BX61" s="3237"/>
      <c r="BY61" s="3237"/>
      <c r="BZ61" s="3237"/>
      <c r="CA61" s="3237"/>
      <c r="CB61" s="3237"/>
      <c r="CC61" s="3237"/>
      <c r="CD61" s="3237"/>
      <c r="CE61" s="3237"/>
      <c r="CF61" s="3237"/>
      <c r="CG61" s="3237"/>
      <c r="CH61" s="3237"/>
      <c r="CI61" s="3237">
        <f t="shared" si="0"/>
        <v>0</v>
      </c>
    </row>
    <row r="62" spans="1:87" s="1770" customFormat="1" ht="34.5" customHeight="1">
      <c r="A62" s="548" t="s">
        <v>3361</v>
      </c>
      <c r="B62" s="548" t="s">
        <v>3364</v>
      </c>
      <c r="C62" s="564" t="s">
        <v>1113</v>
      </c>
      <c r="D62" s="2264" t="s">
        <v>80</v>
      </c>
      <c r="E62" s="609" t="s">
        <v>3581</v>
      </c>
      <c r="F62" s="2238">
        <v>12</v>
      </c>
      <c r="G62" s="560"/>
      <c r="H62" s="560">
        <v>12</v>
      </c>
      <c r="I62" s="560">
        <v>1.18</v>
      </c>
      <c r="J62" s="560">
        <v>10</v>
      </c>
      <c r="K62" s="560"/>
      <c r="L62" s="283"/>
      <c r="M62" s="569">
        <f t="shared" si="6"/>
        <v>0</v>
      </c>
      <c r="N62" s="283"/>
      <c r="O62" s="2951">
        <f t="shared" si="8"/>
        <v>0</v>
      </c>
      <c r="P62" s="739"/>
      <c r="Q62" s="2263">
        <f>'Abs19. NPCDCS'!Q63</f>
        <v>0</v>
      </c>
      <c r="R62" s="2971">
        <f>'Abs19. NPCDCS'!R63</f>
        <v>0</v>
      </c>
      <c r="BB62" s="3238"/>
      <c r="BC62" s="3238"/>
      <c r="BD62" s="3238"/>
      <c r="BE62" s="3238"/>
      <c r="BF62" s="3238"/>
      <c r="BG62" s="3238"/>
      <c r="BH62" s="3238"/>
      <c r="BI62" s="3238"/>
      <c r="BJ62" s="3238"/>
      <c r="BK62" s="3238"/>
      <c r="BL62" s="3238"/>
      <c r="BM62" s="3238"/>
      <c r="BN62" s="3238"/>
      <c r="BO62" s="3238"/>
      <c r="BP62" s="3238"/>
      <c r="BQ62" s="3238"/>
      <c r="BR62" s="3238"/>
      <c r="BS62" s="3238"/>
      <c r="BT62" s="3238"/>
      <c r="BU62" s="3238"/>
      <c r="BV62" s="3238"/>
      <c r="BW62" s="3238"/>
      <c r="BX62" s="3238"/>
      <c r="BY62" s="3238"/>
      <c r="BZ62" s="3238"/>
      <c r="CA62" s="3238"/>
      <c r="CB62" s="3238"/>
      <c r="CC62" s="3238"/>
      <c r="CD62" s="3238"/>
      <c r="CE62" s="3238"/>
      <c r="CF62" s="3238"/>
      <c r="CG62" s="3238"/>
      <c r="CH62" s="3238"/>
      <c r="CI62" s="3237">
        <f t="shared" si="0"/>
        <v>0</v>
      </c>
    </row>
    <row r="63" spans="1:87" s="1770" customFormat="1" ht="45.75" customHeight="1">
      <c r="A63" s="548" t="s">
        <v>3363</v>
      </c>
      <c r="B63" s="548" t="s">
        <v>3365</v>
      </c>
      <c r="C63" s="564" t="s">
        <v>2181</v>
      </c>
      <c r="D63" s="2254" t="s">
        <v>4219</v>
      </c>
      <c r="E63" s="609" t="s">
        <v>4524</v>
      </c>
      <c r="F63" s="2238">
        <v>43</v>
      </c>
      <c r="G63" s="2421">
        <v>9564</v>
      </c>
      <c r="H63" s="2421">
        <v>47.48</v>
      </c>
      <c r="I63" s="2423">
        <v>6.44</v>
      </c>
      <c r="J63" s="2423">
        <v>40</v>
      </c>
      <c r="K63" s="2421">
        <v>1</v>
      </c>
      <c r="L63" s="2368">
        <v>87045</v>
      </c>
      <c r="M63" s="569">
        <f t="shared" si="6"/>
        <v>0.87044999999999995</v>
      </c>
      <c r="N63" s="283">
        <v>54</v>
      </c>
      <c r="O63" s="2951">
        <f t="shared" si="8"/>
        <v>47.004300000000001</v>
      </c>
      <c r="P63" s="2422" t="s">
        <v>5181</v>
      </c>
      <c r="Q63" s="2263" t="str">
        <f>'Abs11. NTEP'!Q58</f>
        <v>Recommended Rs 47 lakhs for supervision &amp; mointoring including review meetings and field visits</v>
      </c>
      <c r="R63" s="2971">
        <f>'Abs11. NTEP'!R58</f>
        <v>47</v>
      </c>
      <c r="S63" s="3116">
        <f>O63-R63</f>
        <v>4.3000000000006366E-3</v>
      </c>
      <c r="BB63" s="3238">
        <v>10</v>
      </c>
      <c r="BC63" s="3238">
        <v>1.05</v>
      </c>
      <c r="BD63" s="3238">
        <v>1.24</v>
      </c>
      <c r="BE63" s="3238">
        <v>1.24</v>
      </c>
      <c r="BF63" s="3238">
        <v>6.84</v>
      </c>
      <c r="BG63" s="3238">
        <v>0.89</v>
      </c>
      <c r="BH63" s="3238">
        <v>2.4300000000000002</v>
      </c>
      <c r="BI63" s="3238">
        <v>4.95</v>
      </c>
      <c r="BJ63" s="3238">
        <v>3.68</v>
      </c>
      <c r="BK63" s="3238">
        <v>3.89</v>
      </c>
      <c r="BL63" s="3238">
        <v>2.68</v>
      </c>
      <c r="BM63" s="3238">
        <v>3.68</v>
      </c>
      <c r="BN63" s="3238">
        <v>1.98</v>
      </c>
      <c r="BO63" s="3238"/>
      <c r="BP63" s="3238"/>
      <c r="BQ63" s="3238"/>
      <c r="BR63" s="3238"/>
      <c r="BS63" s="3238"/>
      <c r="BT63" s="3238"/>
      <c r="BU63" s="3238"/>
      <c r="BV63" s="3238"/>
      <c r="BW63" s="3238"/>
      <c r="BX63" s="3238"/>
      <c r="BY63" s="3238"/>
      <c r="BZ63" s="3238"/>
      <c r="CA63" s="3238"/>
      <c r="CB63" s="3238"/>
      <c r="CC63" s="3238"/>
      <c r="CD63" s="3238"/>
      <c r="CE63" s="3238">
        <v>2.4500000000000002</v>
      </c>
      <c r="CF63" s="3238"/>
      <c r="CG63" s="3238"/>
      <c r="CH63" s="3238"/>
      <c r="CI63" s="3237">
        <f t="shared" si="0"/>
        <v>47</v>
      </c>
    </row>
    <row r="64" spans="1:87">
      <c r="A64" s="548" t="s">
        <v>3366</v>
      </c>
      <c r="B64" s="548" t="s">
        <v>3368</v>
      </c>
      <c r="C64" s="557" t="s">
        <v>3722</v>
      </c>
      <c r="D64" s="1007" t="s">
        <v>4219</v>
      </c>
      <c r="E64" s="2204" t="s">
        <v>3577</v>
      </c>
      <c r="F64" s="2236">
        <v>0</v>
      </c>
      <c r="G64" s="552"/>
      <c r="H64" s="552"/>
      <c r="I64" s="552"/>
      <c r="J64" s="552"/>
      <c r="K64" s="552"/>
      <c r="L64" s="277"/>
      <c r="M64" s="553">
        <f t="shared" si="6"/>
        <v>0</v>
      </c>
      <c r="N64" s="277"/>
      <c r="O64" s="2950">
        <f t="shared" si="8"/>
        <v>0</v>
      </c>
      <c r="P64" s="734"/>
      <c r="Q64" s="1017">
        <f>'Abs9. NVBDCP'!Q118</f>
        <v>0</v>
      </c>
      <c r="R64" s="2969">
        <f>'Abs9. NVBDCP'!R118</f>
        <v>0</v>
      </c>
      <c r="BB64" s="3237"/>
      <c r="BC64" s="3237"/>
      <c r="BD64" s="3237"/>
      <c r="BE64" s="3237"/>
      <c r="BF64" s="3237"/>
      <c r="BG64" s="3237"/>
      <c r="BH64" s="3237"/>
      <c r="BI64" s="3237"/>
      <c r="BJ64" s="3237"/>
      <c r="BK64" s="3237"/>
      <c r="BL64" s="3237"/>
      <c r="BM64" s="3237"/>
      <c r="BN64" s="3237"/>
      <c r="BO64" s="3237"/>
      <c r="BP64" s="3237"/>
      <c r="BQ64" s="3237"/>
      <c r="BR64" s="3237"/>
      <c r="BS64" s="3237"/>
      <c r="BT64" s="3237"/>
      <c r="BU64" s="3237"/>
      <c r="BV64" s="3237"/>
      <c r="BW64" s="3237"/>
      <c r="BX64" s="3237"/>
      <c r="BY64" s="3237"/>
      <c r="BZ64" s="3237"/>
      <c r="CA64" s="3237"/>
      <c r="CB64" s="3237"/>
      <c r="CC64" s="3237"/>
      <c r="CD64" s="3237"/>
      <c r="CE64" s="3237"/>
      <c r="CF64" s="3237"/>
      <c r="CG64" s="3237"/>
      <c r="CH64" s="3237"/>
      <c r="CI64" s="3237">
        <f t="shared" si="0"/>
        <v>0</v>
      </c>
    </row>
    <row r="65" spans="1:87" ht="30">
      <c r="A65" s="548" t="s">
        <v>3367</v>
      </c>
      <c r="B65" s="548"/>
      <c r="C65" s="557" t="s">
        <v>3866</v>
      </c>
      <c r="D65" s="1007" t="s">
        <v>4219</v>
      </c>
      <c r="E65" s="608" t="s">
        <v>3867</v>
      </c>
      <c r="F65" s="2236">
        <v>0</v>
      </c>
      <c r="G65" s="552"/>
      <c r="H65" s="552"/>
      <c r="I65" s="552"/>
      <c r="J65" s="552"/>
      <c r="K65" s="552"/>
      <c r="L65" s="277"/>
      <c r="M65" s="553">
        <f t="shared" si="6"/>
        <v>0</v>
      </c>
      <c r="N65" s="277"/>
      <c r="O65" s="2950">
        <f>M65*N65</f>
        <v>0</v>
      </c>
      <c r="P65" s="734"/>
      <c r="Q65" s="1017">
        <f>'Abs13. NRCP'!Q16</f>
        <v>0</v>
      </c>
      <c r="R65" s="2967">
        <f>'Abs13. NRCP'!R16</f>
        <v>0</v>
      </c>
      <c r="BB65" s="3237"/>
      <c r="BC65" s="3237"/>
      <c r="BD65" s="3237"/>
      <c r="BE65" s="3237"/>
      <c r="BF65" s="3237"/>
      <c r="BG65" s="3237"/>
      <c r="BH65" s="3237"/>
      <c r="BI65" s="3237"/>
      <c r="BJ65" s="3237"/>
      <c r="BK65" s="3237"/>
      <c r="BL65" s="3237"/>
      <c r="BM65" s="3237"/>
      <c r="BN65" s="3237"/>
      <c r="BO65" s="3237"/>
      <c r="BP65" s="3237"/>
      <c r="BQ65" s="3237"/>
      <c r="BR65" s="3237"/>
      <c r="BS65" s="3237"/>
      <c r="BT65" s="3237"/>
      <c r="BU65" s="3237"/>
      <c r="BV65" s="3237"/>
      <c r="BW65" s="3237"/>
      <c r="BX65" s="3237"/>
      <c r="BY65" s="3237"/>
      <c r="BZ65" s="3237"/>
      <c r="CA65" s="3237"/>
      <c r="CB65" s="3237"/>
      <c r="CC65" s="3237"/>
      <c r="CD65" s="3237"/>
      <c r="CE65" s="3237"/>
      <c r="CF65" s="3237"/>
      <c r="CG65" s="3237"/>
      <c r="CH65" s="3237"/>
      <c r="CI65" s="3237">
        <f t="shared" si="0"/>
        <v>0</v>
      </c>
    </row>
    <row r="66" spans="1:87" s="1770" customFormat="1" ht="45">
      <c r="A66" s="548" t="s">
        <v>3865</v>
      </c>
      <c r="B66" s="548"/>
      <c r="C66" s="564" t="s">
        <v>4324</v>
      </c>
      <c r="D66" s="908" t="s">
        <v>65</v>
      </c>
      <c r="E66" s="609" t="s">
        <v>3238</v>
      </c>
      <c r="F66" s="2238">
        <v>0</v>
      </c>
      <c r="G66" s="560"/>
      <c r="H66" s="560"/>
      <c r="I66" s="560"/>
      <c r="J66" s="560"/>
      <c r="K66" s="560"/>
      <c r="L66" s="277"/>
      <c r="M66" s="553">
        <f t="shared" si="6"/>
        <v>0</v>
      </c>
      <c r="N66" s="277"/>
      <c r="O66" s="2951">
        <f>M66*N66</f>
        <v>0</v>
      </c>
      <c r="P66" s="735"/>
      <c r="Q66" s="1022"/>
      <c r="R66" s="2966"/>
      <c r="BB66" s="3238"/>
      <c r="BC66" s="3238"/>
      <c r="BD66" s="3238"/>
      <c r="BE66" s="3238"/>
      <c r="BF66" s="3238"/>
      <c r="BG66" s="3238"/>
      <c r="BH66" s="3238"/>
      <c r="BI66" s="3238"/>
      <c r="BJ66" s="3238"/>
      <c r="BK66" s="3238"/>
      <c r="BL66" s="3238"/>
      <c r="BM66" s="3238"/>
      <c r="BN66" s="3238"/>
      <c r="BO66" s="3238"/>
      <c r="BP66" s="3238"/>
      <c r="BQ66" s="3238"/>
      <c r="BR66" s="3238"/>
      <c r="BS66" s="3238"/>
      <c r="BT66" s="3238"/>
      <c r="BU66" s="3238"/>
      <c r="BV66" s="3238"/>
      <c r="BW66" s="3238"/>
      <c r="BX66" s="3238"/>
      <c r="BY66" s="3238"/>
      <c r="BZ66" s="3238"/>
      <c r="CA66" s="3238"/>
      <c r="CB66" s="3238"/>
      <c r="CC66" s="3238"/>
      <c r="CD66" s="3238"/>
      <c r="CE66" s="3238"/>
      <c r="CF66" s="3238"/>
      <c r="CG66" s="3238"/>
      <c r="CH66" s="3238"/>
      <c r="CI66" s="3237">
        <f t="shared" si="0"/>
        <v>0</v>
      </c>
    </row>
    <row r="67" spans="1:87">
      <c r="A67" s="548" t="s">
        <v>4323</v>
      </c>
      <c r="B67" s="548" t="s">
        <v>3368</v>
      </c>
      <c r="C67" s="568" t="s">
        <v>302</v>
      </c>
      <c r="D67" s="908" t="s">
        <v>65</v>
      </c>
      <c r="E67" s="609" t="s">
        <v>3238</v>
      </c>
      <c r="F67" s="2238">
        <v>0</v>
      </c>
      <c r="G67" s="560"/>
      <c r="H67" s="560"/>
      <c r="I67" s="560"/>
      <c r="J67" s="560"/>
      <c r="K67" s="560"/>
      <c r="L67" s="277"/>
      <c r="M67" s="553">
        <f t="shared" si="6"/>
        <v>0</v>
      </c>
      <c r="N67" s="277"/>
      <c r="O67" s="2953">
        <f>M67*N67</f>
        <v>0</v>
      </c>
      <c r="P67" s="737"/>
      <c r="Q67" s="1022"/>
      <c r="R67" s="2966"/>
      <c r="BB67" s="3237"/>
      <c r="BC67" s="3237"/>
      <c r="BD67" s="3237"/>
      <c r="BE67" s="3237"/>
      <c r="BF67" s="3237"/>
      <c r="BG67" s="3237"/>
      <c r="BH67" s="3237"/>
      <c r="BI67" s="3237"/>
      <c r="BJ67" s="3237"/>
      <c r="BK67" s="3237"/>
      <c r="BL67" s="3237"/>
      <c r="BM67" s="3237"/>
      <c r="BN67" s="3237"/>
      <c r="BO67" s="3237"/>
      <c r="BP67" s="3237"/>
      <c r="BQ67" s="3237"/>
      <c r="BR67" s="3237"/>
      <c r="BS67" s="3237"/>
      <c r="BT67" s="3237"/>
      <c r="BU67" s="3237"/>
      <c r="BV67" s="3237"/>
      <c r="BW67" s="3237"/>
      <c r="BX67" s="3237"/>
      <c r="BY67" s="3237"/>
      <c r="BZ67" s="3237"/>
      <c r="CA67" s="3237"/>
      <c r="CB67" s="3237"/>
      <c r="CC67" s="3237"/>
      <c r="CD67" s="3237"/>
      <c r="CE67" s="3237"/>
      <c r="CF67" s="3237"/>
      <c r="CG67" s="3237"/>
      <c r="CH67" s="3237"/>
      <c r="CI67" s="3237">
        <f t="shared" si="0"/>
        <v>0</v>
      </c>
    </row>
    <row r="68" spans="1:87" ht="12.95" customHeight="1">
      <c r="A68" s="543" t="s">
        <v>3282</v>
      </c>
      <c r="B68" s="543">
        <v>16.3</v>
      </c>
      <c r="C68" s="543" t="s">
        <v>2183</v>
      </c>
      <c r="D68" s="570"/>
      <c r="E68" s="570"/>
      <c r="F68" s="571"/>
      <c r="G68" s="571"/>
      <c r="H68" s="571"/>
      <c r="I68" s="571"/>
      <c r="J68" s="571"/>
      <c r="K68" s="571"/>
      <c r="L68" s="571"/>
      <c r="M68" s="547"/>
      <c r="N68" s="571"/>
      <c r="O68" s="2817">
        <f>O69+O91+O94+O111+O117</f>
        <v>499.51956999999999</v>
      </c>
      <c r="P68" s="738"/>
      <c r="Q68" s="996"/>
      <c r="R68" s="2957">
        <f>R69+R91+R94+R111+R117</f>
        <v>502.39995999999996</v>
      </c>
      <c r="S68" s="3116">
        <f>O68-R68</f>
        <v>-2.8803899999999771</v>
      </c>
      <c r="BB68" s="3237"/>
      <c r="BC68" s="3237"/>
      <c r="BD68" s="3237"/>
      <c r="BE68" s="3237"/>
      <c r="BF68" s="3237"/>
      <c r="BG68" s="3237"/>
      <c r="BH68" s="3237"/>
      <c r="BI68" s="3237"/>
      <c r="BJ68" s="3237"/>
      <c r="BK68" s="3237"/>
      <c r="BL68" s="3237"/>
      <c r="BM68" s="3237"/>
      <c r="BN68" s="3237"/>
      <c r="BO68" s="3237"/>
      <c r="BP68" s="3237"/>
      <c r="BQ68" s="3237"/>
      <c r="BR68" s="3237"/>
      <c r="BS68" s="3237"/>
      <c r="BT68" s="3237"/>
      <c r="BU68" s="3237"/>
      <c r="BV68" s="3237"/>
      <c r="BW68" s="3237"/>
      <c r="BX68" s="3237"/>
      <c r="BY68" s="3237"/>
      <c r="BZ68" s="3237"/>
      <c r="CA68" s="3237"/>
      <c r="CB68" s="3237"/>
      <c r="CC68" s="3237"/>
      <c r="CD68" s="3237"/>
      <c r="CE68" s="3237"/>
      <c r="CF68" s="3237"/>
      <c r="CG68" s="3237"/>
      <c r="CH68" s="3237"/>
      <c r="CI68" s="3237">
        <f t="shared" si="0"/>
        <v>0</v>
      </c>
    </row>
    <row r="69" spans="1:87" ht="12.95" customHeight="1">
      <c r="A69" s="548" t="s">
        <v>3369</v>
      </c>
      <c r="B69" s="548" t="s">
        <v>3370</v>
      </c>
      <c r="C69" s="548" t="s">
        <v>2150</v>
      </c>
      <c r="D69" s="549"/>
      <c r="E69" s="549"/>
      <c r="F69" s="550"/>
      <c r="G69" s="550"/>
      <c r="H69" s="550"/>
      <c r="I69" s="550"/>
      <c r="J69" s="550"/>
      <c r="K69" s="550"/>
      <c r="L69" s="550"/>
      <c r="M69" s="161"/>
      <c r="N69" s="550"/>
      <c r="O69" s="2949">
        <f>SUM(O70:O86)+O88+O90+O89</f>
        <v>273.19961000000001</v>
      </c>
      <c r="P69" s="733"/>
      <c r="Q69" s="1511"/>
      <c r="R69" s="2961">
        <f>SUM(R70:R86)+R88+R90+R89</f>
        <v>273.2</v>
      </c>
      <c r="S69" s="3116">
        <f>O69-R69</f>
        <v>-3.8999999998168278E-4</v>
      </c>
      <c r="BB69" s="3237"/>
      <c r="BC69" s="3237"/>
      <c r="BD69" s="3237"/>
      <c r="BE69" s="3237"/>
      <c r="BF69" s="3237"/>
      <c r="BG69" s="3237"/>
      <c r="BH69" s="3237"/>
      <c r="BI69" s="3237"/>
      <c r="BJ69" s="3237"/>
      <c r="BK69" s="3237"/>
      <c r="BL69" s="3237"/>
      <c r="BM69" s="3237"/>
      <c r="BN69" s="3237"/>
      <c r="BO69" s="3237"/>
      <c r="BP69" s="3237"/>
      <c r="BQ69" s="3237"/>
      <c r="BR69" s="3237"/>
      <c r="BS69" s="3237"/>
      <c r="BT69" s="3237"/>
      <c r="BU69" s="3237"/>
      <c r="BV69" s="3237"/>
      <c r="BW69" s="3237"/>
      <c r="BX69" s="3237"/>
      <c r="BY69" s="3237"/>
      <c r="BZ69" s="3237"/>
      <c r="CA69" s="3237"/>
      <c r="CB69" s="3237"/>
      <c r="CC69" s="3237"/>
      <c r="CD69" s="3237"/>
      <c r="CE69" s="3237"/>
      <c r="CF69" s="3237"/>
      <c r="CG69" s="3237"/>
      <c r="CH69" s="3237"/>
      <c r="CI69" s="3237">
        <f t="shared" si="0"/>
        <v>0</v>
      </c>
    </row>
    <row r="70" spans="1:87" ht="38.25">
      <c r="A70" s="548" t="s">
        <v>3371</v>
      </c>
      <c r="B70" s="548" t="s">
        <v>3372</v>
      </c>
      <c r="C70" s="551" t="s">
        <v>2185</v>
      </c>
      <c r="D70" s="908" t="s">
        <v>65</v>
      </c>
      <c r="E70" s="608" t="s">
        <v>3582</v>
      </c>
      <c r="F70" s="2236">
        <v>1</v>
      </c>
      <c r="G70" s="552">
        <v>1</v>
      </c>
      <c r="H70" s="552">
        <v>20</v>
      </c>
      <c r="I70" s="552">
        <v>8.44</v>
      </c>
      <c r="J70" s="552">
        <v>11.56</v>
      </c>
      <c r="K70" s="552"/>
      <c r="L70" s="277">
        <v>2000000</v>
      </c>
      <c r="M70" s="553">
        <f t="shared" ref="M70:M85" si="9">L70/100000</f>
        <v>20</v>
      </c>
      <c r="N70" s="277">
        <v>1</v>
      </c>
      <c r="O70" s="2950">
        <f t="shared" ref="O70:O79" si="10">M70*N70</f>
        <v>20</v>
      </c>
      <c r="P70" s="734"/>
      <c r="Q70" s="3117" t="s">
        <v>5942</v>
      </c>
      <c r="R70" s="2966">
        <v>20</v>
      </c>
      <c r="S70" s="3116">
        <f>O70-R70</f>
        <v>0</v>
      </c>
      <c r="BB70" s="3237">
        <v>20</v>
      </c>
      <c r="BC70" s="3237"/>
      <c r="BD70" s="3237"/>
      <c r="BE70" s="3237"/>
      <c r="BF70" s="3237"/>
      <c r="BG70" s="3237"/>
      <c r="BH70" s="3237"/>
      <c r="BI70" s="3237"/>
      <c r="BJ70" s="3237"/>
      <c r="BK70" s="3237"/>
      <c r="BL70" s="3237"/>
      <c r="BM70" s="3237"/>
      <c r="BN70" s="3237"/>
      <c r="BO70" s="3237"/>
      <c r="BP70" s="3237"/>
      <c r="BQ70" s="3237"/>
      <c r="BR70" s="3237"/>
      <c r="BS70" s="3237"/>
      <c r="BT70" s="3237"/>
      <c r="BU70" s="3237"/>
      <c r="BV70" s="3237"/>
      <c r="BW70" s="3237"/>
      <c r="BX70" s="3237"/>
      <c r="BY70" s="3237"/>
      <c r="BZ70" s="3237"/>
      <c r="CA70" s="3237"/>
      <c r="CB70" s="3237"/>
      <c r="CC70" s="3237"/>
      <c r="CD70" s="3237"/>
      <c r="CE70" s="3237"/>
      <c r="CF70" s="3237"/>
      <c r="CG70" s="3237"/>
      <c r="CH70" s="3237"/>
      <c r="CI70" s="3237">
        <f t="shared" si="0"/>
        <v>20</v>
      </c>
    </row>
    <row r="71" spans="1:87" ht="30">
      <c r="A71" s="548" t="s">
        <v>3373</v>
      </c>
      <c r="B71" s="548" t="s">
        <v>3374</v>
      </c>
      <c r="C71" s="551" t="s">
        <v>3032</v>
      </c>
      <c r="D71" s="572" t="s">
        <v>85</v>
      </c>
      <c r="E71" s="608" t="s">
        <v>3574</v>
      </c>
      <c r="F71" s="2236">
        <v>0</v>
      </c>
      <c r="G71" s="552"/>
      <c r="H71" s="552"/>
      <c r="I71" s="552"/>
      <c r="J71" s="552"/>
      <c r="K71" s="552"/>
      <c r="L71" s="277"/>
      <c r="M71" s="553">
        <f t="shared" si="9"/>
        <v>0</v>
      </c>
      <c r="N71" s="277"/>
      <c r="O71" s="2950">
        <f t="shared" si="10"/>
        <v>0</v>
      </c>
      <c r="P71" s="734"/>
      <c r="Q71" s="1017" t="str">
        <f>'Ab1. RMNCH+A'!Q465</f>
        <v>--</v>
      </c>
      <c r="R71" s="2967">
        <f>'Ab1. RMNCH+A'!R465</f>
        <v>0</v>
      </c>
      <c r="BB71" s="3237"/>
      <c r="BC71" s="3237"/>
      <c r="BD71" s="3237"/>
      <c r="BE71" s="3237"/>
      <c r="BF71" s="3237"/>
      <c r="BG71" s="3237"/>
      <c r="BH71" s="3237"/>
      <c r="BI71" s="3237"/>
      <c r="BJ71" s="3237"/>
      <c r="BK71" s="3237"/>
      <c r="BL71" s="3237"/>
      <c r="BM71" s="3237"/>
      <c r="BN71" s="3237"/>
      <c r="BO71" s="3237"/>
      <c r="BP71" s="3237"/>
      <c r="BQ71" s="3237"/>
      <c r="BR71" s="3237"/>
      <c r="BS71" s="3237"/>
      <c r="BT71" s="3237"/>
      <c r="BU71" s="3237"/>
      <c r="BV71" s="3237"/>
      <c r="BW71" s="3237"/>
      <c r="BX71" s="3237"/>
      <c r="BY71" s="3237"/>
      <c r="BZ71" s="3237"/>
      <c r="CA71" s="3237"/>
      <c r="CB71" s="3237"/>
      <c r="CC71" s="3237"/>
      <c r="CD71" s="3237"/>
      <c r="CE71" s="3237"/>
      <c r="CF71" s="3237"/>
      <c r="CG71" s="3237"/>
      <c r="CH71" s="3237"/>
      <c r="CI71" s="3237">
        <f t="shared" ref="CI71:CI134" si="11">SUM(BB71:CH71)</f>
        <v>0</v>
      </c>
    </row>
    <row r="72" spans="1:87" ht="30">
      <c r="A72" s="548" t="s">
        <v>3375</v>
      </c>
      <c r="B72" s="548" t="s">
        <v>3376</v>
      </c>
      <c r="C72" s="551" t="s">
        <v>2186</v>
      </c>
      <c r="D72" s="908" t="s">
        <v>65</v>
      </c>
      <c r="E72" s="608" t="s">
        <v>3238</v>
      </c>
      <c r="F72" s="2236">
        <v>0</v>
      </c>
      <c r="G72" s="552"/>
      <c r="H72" s="552"/>
      <c r="I72" s="573"/>
      <c r="J72" s="574"/>
      <c r="K72" s="552"/>
      <c r="L72" s="277"/>
      <c r="M72" s="553">
        <f t="shared" si="9"/>
        <v>0</v>
      </c>
      <c r="N72" s="277"/>
      <c r="O72" s="2950">
        <f t="shared" si="10"/>
        <v>0</v>
      </c>
      <c r="P72" s="734"/>
      <c r="Q72" s="1022"/>
      <c r="R72" s="2966"/>
      <c r="BB72" s="3237"/>
      <c r="BC72" s="3237"/>
      <c r="BD72" s="3237"/>
      <c r="BE72" s="3237"/>
      <c r="BF72" s="3237"/>
      <c r="BG72" s="3237"/>
      <c r="BH72" s="3237"/>
      <c r="BI72" s="3237"/>
      <c r="BJ72" s="3237"/>
      <c r="BK72" s="3237"/>
      <c r="BL72" s="3237"/>
      <c r="BM72" s="3237"/>
      <c r="BN72" s="3237"/>
      <c r="BO72" s="3237"/>
      <c r="BP72" s="3237"/>
      <c r="BQ72" s="3237"/>
      <c r="BR72" s="3237"/>
      <c r="BS72" s="3237"/>
      <c r="BT72" s="3237"/>
      <c r="BU72" s="3237"/>
      <c r="BV72" s="3237"/>
      <c r="BW72" s="3237"/>
      <c r="BX72" s="3237"/>
      <c r="BY72" s="3237"/>
      <c r="BZ72" s="3237"/>
      <c r="CA72" s="3237"/>
      <c r="CB72" s="3237"/>
      <c r="CC72" s="3237"/>
      <c r="CD72" s="3237"/>
      <c r="CE72" s="3237"/>
      <c r="CF72" s="3237"/>
      <c r="CG72" s="3237"/>
      <c r="CH72" s="3237"/>
      <c r="CI72" s="3237">
        <f t="shared" si="11"/>
        <v>0</v>
      </c>
    </row>
    <row r="73" spans="1:87" ht="45">
      <c r="A73" s="548" t="s">
        <v>3377</v>
      </c>
      <c r="B73" s="548" t="s">
        <v>3378</v>
      </c>
      <c r="C73" s="551" t="s">
        <v>2187</v>
      </c>
      <c r="D73" s="908" t="s">
        <v>65</v>
      </c>
      <c r="E73" s="608" t="s">
        <v>3575</v>
      </c>
      <c r="F73" s="2236">
        <v>0</v>
      </c>
      <c r="G73" s="552"/>
      <c r="H73" s="552"/>
      <c r="I73" s="552"/>
      <c r="J73" s="552"/>
      <c r="K73" s="552"/>
      <c r="L73" s="277"/>
      <c r="M73" s="553">
        <f t="shared" si="9"/>
        <v>0</v>
      </c>
      <c r="N73" s="277"/>
      <c r="O73" s="2950">
        <f t="shared" si="10"/>
        <v>0</v>
      </c>
      <c r="P73" s="734"/>
      <c r="Q73" s="1017">
        <f>'Ab3. ASHA'!Q105</f>
        <v>0</v>
      </c>
      <c r="R73" s="2967">
        <f>'Ab3. ASHA'!R105</f>
        <v>0</v>
      </c>
      <c r="BB73" s="3237"/>
      <c r="BC73" s="3237"/>
      <c r="BD73" s="3237"/>
      <c r="BE73" s="3237"/>
      <c r="BF73" s="3237"/>
      <c r="BG73" s="3237"/>
      <c r="BH73" s="3237"/>
      <c r="BI73" s="3237"/>
      <c r="BJ73" s="3237"/>
      <c r="BK73" s="3237"/>
      <c r="BL73" s="3237"/>
      <c r="BM73" s="3237"/>
      <c r="BN73" s="3237"/>
      <c r="BO73" s="3237"/>
      <c r="BP73" s="3237"/>
      <c r="BQ73" s="3237"/>
      <c r="BR73" s="3237"/>
      <c r="BS73" s="3237"/>
      <c r="BT73" s="3237"/>
      <c r="BU73" s="3237"/>
      <c r="BV73" s="3237"/>
      <c r="BW73" s="3237"/>
      <c r="BX73" s="3237"/>
      <c r="BY73" s="3237"/>
      <c r="BZ73" s="3237"/>
      <c r="CA73" s="3237"/>
      <c r="CB73" s="3237"/>
      <c r="CC73" s="3237"/>
      <c r="CD73" s="3237"/>
      <c r="CE73" s="3237"/>
      <c r="CF73" s="3237"/>
      <c r="CG73" s="3237"/>
      <c r="CH73" s="3237"/>
      <c r="CI73" s="3237">
        <f t="shared" si="11"/>
        <v>0</v>
      </c>
    </row>
    <row r="74" spans="1:87" s="1770" customFormat="1" ht="60">
      <c r="A74" s="548" t="s">
        <v>3379</v>
      </c>
      <c r="B74" s="548" t="s">
        <v>3380</v>
      </c>
      <c r="C74" s="558" t="s">
        <v>4226</v>
      </c>
      <c r="D74" s="2604" t="s">
        <v>85</v>
      </c>
      <c r="E74" s="609" t="s">
        <v>4227</v>
      </c>
      <c r="F74" s="2238">
        <v>1</v>
      </c>
      <c r="G74" s="560"/>
      <c r="H74" s="560">
        <v>3.6</v>
      </c>
      <c r="I74" s="3559">
        <v>0.84</v>
      </c>
      <c r="J74" s="3559">
        <v>2.76</v>
      </c>
      <c r="K74" s="3560">
        <v>1</v>
      </c>
      <c r="L74" s="2520">
        <v>360000</v>
      </c>
      <c r="M74" s="569">
        <f t="shared" si="9"/>
        <v>3.6</v>
      </c>
      <c r="N74" s="283">
        <v>1</v>
      </c>
      <c r="O74" s="2951">
        <f t="shared" si="10"/>
        <v>3.6</v>
      </c>
      <c r="P74" s="3561" t="s">
        <v>5413</v>
      </c>
      <c r="Q74" s="2263" t="str">
        <f>'Ab1. RMNCH+A'!Q466</f>
        <v>Rs.3.60 lakhs is recommended for approval for mobility support for supervision for immunization as per norms (for budget purpose)</v>
      </c>
      <c r="R74" s="2968">
        <f>'Ab1. RMNCH+A'!R466</f>
        <v>3.6</v>
      </c>
      <c r="S74" s="3557">
        <f>O74-R74</f>
        <v>0</v>
      </c>
      <c r="BB74" s="3238">
        <v>3.6</v>
      </c>
      <c r="BC74" s="3238"/>
      <c r="BD74" s="3238"/>
      <c r="BE74" s="3238"/>
      <c r="BF74" s="3238"/>
      <c r="BG74" s="3238"/>
      <c r="BH74" s="3238"/>
      <c r="BI74" s="3238"/>
      <c r="BJ74" s="3238"/>
      <c r="BK74" s="3238"/>
      <c r="BL74" s="3238"/>
      <c r="BM74" s="3238"/>
      <c r="BN74" s="3238"/>
      <c r="BO74" s="3238"/>
      <c r="BP74" s="3238"/>
      <c r="BQ74" s="3238"/>
      <c r="BR74" s="3238"/>
      <c r="BS74" s="3238"/>
      <c r="BT74" s="3238"/>
      <c r="BU74" s="3238"/>
      <c r="BV74" s="3238"/>
      <c r="BW74" s="3238"/>
      <c r="BX74" s="3238"/>
      <c r="BY74" s="3238"/>
      <c r="BZ74" s="3238"/>
      <c r="CA74" s="3238"/>
      <c r="CB74" s="3238"/>
      <c r="CC74" s="3238"/>
      <c r="CD74" s="3238"/>
      <c r="CE74" s="3238"/>
      <c r="CF74" s="3238"/>
      <c r="CG74" s="3238"/>
      <c r="CH74" s="3238"/>
      <c r="CI74" s="3238">
        <f t="shared" si="11"/>
        <v>3.6</v>
      </c>
    </row>
    <row r="75" spans="1:87" ht="30">
      <c r="A75" s="548" t="s">
        <v>3381</v>
      </c>
      <c r="B75" s="548" t="s">
        <v>3382</v>
      </c>
      <c r="C75" s="551" t="s">
        <v>2188</v>
      </c>
      <c r="D75" s="572" t="s">
        <v>85</v>
      </c>
      <c r="E75" s="608" t="s">
        <v>3570</v>
      </c>
      <c r="F75" s="2236">
        <v>1</v>
      </c>
      <c r="G75" s="552"/>
      <c r="H75" s="552"/>
      <c r="I75" s="2516">
        <v>0</v>
      </c>
      <c r="J75" s="2516"/>
      <c r="K75" s="2517"/>
      <c r="L75" s="2513"/>
      <c r="M75" s="553">
        <f t="shared" si="9"/>
        <v>0</v>
      </c>
      <c r="N75" s="277"/>
      <c r="O75" s="2950">
        <f t="shared" si="10"/>
        <v>0</v>
      </c>
      <c r="P75" s="734"/>
      <c r="Q75" s="1771" t="str">
        <f>'Ab1. RMNCH+A'!Q467</f>
        <v>--</v>
      </c>
      <c r="R75" s="2967">
        <f>'Ab1. RMNCH+A'!R467</f>
        <v>0</v>
      </c>
      <c r="BB75" s="3237"/>
      <c r="BC75" s="3237"/>
      <c r="BD75" s="3237"/>
      <c r="BE75" s="3237"/>
      <c r="BF75" s="3237"/>
      <c r="BG75" s="3237"/>
      <c r="BH75" s="3237"/>
      <c r="BI75" s="3237"/>
      <c r="BJ75" s="3237"/>
      <c r="BK75" s="3237"/>
      <c r="BL75" s="3237"/>
      <c r="BM75" s="3237"/>
      <c r="BN75" s="3237"/>
      <c r="BO75" s="3237"/>
      <c r="BP75" s="3237"/>
      <c r="BQ75" s="3237"/>
      <c r="BR75" s="3237"/>
      <c r="BS75" s="3237"/>
      <c r="BT75" s="3237"/>
      <c r="BU75" s="3237"/>
      <c r="BV75" s="3237"/>
      <c r="BW75" s="3237"/>
      <c r="BX75" s="3237"/>
      <c r="BY75" s="3237"/>
      <c r="BZ75" s="3237"/>
      <c r="CA75" s="3237"/>
      <c r="CB75" s="3237"/>
      <c r="CC75" s="3237"/>
      <c r="CD75" s="3237"/>
      <c r="CE75" s="3237"/>
      <c r="CF75" s="3237"/>
      <c r="CG75" s="3237"/>
      <c r="CH75" s="3237"/>
      <c r="CI75" s="3237">
        <f t="shared" si="11"/>
        <v>0</v>
      </c>
    </row>
    <row r="76" spans="1:87" ht="60">
      <c r="A76" s="548" t="s">
        <v>3383</v>
      </c>
      <c r="B76" s="548" t="s">
        <v>3384</v>
      </c>
      <c r="C76" s="551" t="s">
        <v>2189</v>
      </c>
      <c r="D76" s="1007" t="s">
        <v>4219</v>
      </c>
      <c r="E76" s="608" t="s">
        <v>3576</v>
      </c>
      <c r="F76" s="2236">
        <v>1</v>
      </c>
      <c r="G76" s="552"/>
      <c r="H76" s="552">
        <v>1</v>
      </c>
      <c r="I76" s="2516"/>
      <c r="J76" s="2516"/>
      <c r="K76" s="2517">
        <v>1</v>
      </c>
      <c r="L76" s="2513">
        <v>205000</v>
      </c>
      <c r="M76" s="553">
        <f t="shared" si="9"/>
        <v>2.0499999999999998</v>
      </c>
      <c r="N76" s="277"/>
      <c r="O76" s="2950">
        <f t="shared" si="10"/>
        <v>0</v>
      </c>
      <c r="P76" s="734"/>
      <c r="Q76" s="1017">
        <f>'Abs8. IDSP'!Q31</f>
        <v>0</v>
      </c>
      <c r="R76" s="2967">
        <f>'Abs8. IDSP'!R31</f>
        <v>0</v>
      </c>
      <c r="BB76" s="3237"/>
      <c r="BC76" s="3237"/>
      <c r="BD76" s="3237"/>
      <c r="BE76" s="3237"/>
      <c r="BF76" s="3237"/>
      <c r="BG76" s="3237"/>
      <c r="BH76" s="3237"/>
      <c r="BI76" s="3237"/>
      <c r="BJ76" s="3237"/>
      <c r="BK76" s="3237"/>
      <c r="BL76" s="3237"/>
      <c r="BM76" s="3237"/>
      <c r="BN76" s="3237"/>
      <c r="BO76" s="3237"/>
      <c r="BP76" s="3237"/>
      <c r="BQ76" s="3237"/>
      <c r="BR76" s="3237"/>
      <c r="BS76" s="3237"/>
      <c r="BT76" s="3237"/>
      <c r="BU76" s="3237"/>
      <c r="BV76" s="3237"/>
      <c r="BW76" s="3237"/>
      <c r="BX76" s="3237"/>
      <c r="BY76" s="3237"/>
      <c r="BZ76" s="3237"/>
      <c r="CA76" s="3237"/>
      <c r="CB76" s="3237"/>
      <c r="CC76" s="3237"/>
      <c r="CD76" s="3237"/>
      <c r="CE76" s="3237"/>
      <c r="CF76" s="3237"/>
      <c r="CG76" s="3237"/>
      <c r="CH76" s="3237"/>
      <c r="CI76" s="3237">
        <f t="shared" si="11"/>
        <v>0</v>
      </c>
    </row>
    <row r="77" spans="1:87" ht="45">
      <c r="A77" s="548" t="s">
        <v>3385</v>
      </c>
      <c r="B77" s="548" t="s">
        <v>3386</v>
      </c>
      <c r="C77" s="551" t="s">
        <v>2190</v>
      </c>
      <c r="D77" s="1007" t="s">
        <v>4219</v>
      </c>
      <c r="E77" s="608" t="s">
        <v>4715</v>
      </c>
      <c r="F77" s="2236">
        <v>0</v>
      </c>
      <c r="G77" s="552"/>
      <c r="H77" s="552"/>
      <c r="I77" s="556"/>
      <c r="J77" s="556"/>
      <c r="K77" s="552"/>
      <c r="L77" s="277"/>
      <c r="M77" s="553">
        <f t="shared" si="9"/>
        <v>0</v>
      </c>
      <c r="N77" s="277"/>
      <c r="O77" s="2950">
        <f t="shared" si="10"/>
        <v>0</v>
      </c>
      <c r="P77" s="734"/>
      <c r="Q77" s="1017">
        <f>'Abs9. NVBDCP'!Q119</f>
        <v>0</v>
      </c>
      <c r="R77" s="2969">
        <f>'Abs9. NVBDCP'!R119</f>
        <v>0</v>
      </c>
      <c r="BB77" s="3237"/>
      <c r="BC77" s="3237"/>
      <c r="BD77" s="3237"/>
      <c r="BE77" s="3237"/>
      <c r="BF77" s="3237"/>
      <c r="BG77" s="3237"/>
      <c r="BH77" s="3237"/>
      <c r="BI77" s="3237"/>
      <c r="BJ77" s="3237"/>
      <c r="BK77" s="3237"/>
      <c r="BL77" s="3237"/>
      <c r="BM77" s="3237"/>
      <c r="BN77" s="3237"/>
      <c r="BO77" s="3237"/>
      <c r="BP77" s="3237"/>
      <c r="BQ77" s="3237"/>
      <c r="BR77" s="3237"/>
      <c r="BS77" s="3237"/>
      <c r="BT77" s="3237"/>
      <c r="BU77" s="3237"/>
      <c r="BV77" s="3237"/>
      <c r="BW77" s="3237"/>
      <c r="BX77" s="3237"/>
      <c r="BY77" s="3237"/>
      <c r="BZ77" s="3237"/>
      <c r="CA77" s="3237"/>
      <c r="CB77" s="3237"/>
      <c r="CC77" s="3237"/>
      <c r="CD77" s="3237"/>
      <c r="CE77" s="3237"/>
      <c r="CF77" s="3237"/>
      <c r="CG77" s="3237"/>
      <c r="CH77" s="3237"/>
      <c r="CI77" s="3237">
        <f t="shared" si="11"/>
        <v>0</v>
      </c>
    </row>
    <row r="78" spans="1:87" ht="30">
      <c r="A78" s="548" t="s">
        <v>3387</v>
      </c>
      <c r="B78" s="548" t="s">
        <v>3388</v>
      </c>
      <c r="C78" s="551" t="s">
        <v>2191</v>
      </c>
      <c r="D78" s="1007" t="s">
        <v>4219</v>
      </c>
      <c r="E78" s="608" t="s">
        <v>4719</v>
      </c>
      <c r="F78" s="2236">
        <v>0</v>
      </c>
      <c r="G78" s="552"/>
      <c r="H78" s="552"/>
      <c r="I78" s="552"/>
      <c r="J78" s="552"/>
      <c r="K78" s="552"/>
      <c r="L78" s="277"/>
      <c r="M78" s="553">
        <f t="shared" si="9"/>
        <v>0</v>
      </c>
      <c r="N78" s="277"/>
      <c r="O78" s="2950">
        <f t="shared" si="10"/>
        <v>0</v>
      </c>
      <c r="P78" s="734"/>
      <c r="Q78" s="1017">
        <f>'Abs9. NVBDCP'!Q120</f>
        <v>0</v>
      </c>
      <c r="R78" s="2969">
        <f>'Abs9. NVBDCP'!R120</f>
        <v>0</v>
      </c>
      <c r="BB78" s="3237"/>
      <c r="BC78" s="3237"/>
      <c r="BD78" s="3237"/>
      <c r="BE78" s="3237"/>
      <c r="BF78" s="3237"/>
      <c r="BG78" s="3237"/>
      <c r="BH78" s="3237"/>
      <c r="BI78" s="3237"/>
      <c r="BJ78" s="3237"/>
      <c r="BK78" s="3237"/>
      <c r="BL78" s="3237"/>
      <c r="BM78" s="3237"/>
      <c r="BN78" s="3237"/>
      <c r="BO78" s="3237"/>
      <c r="BP78" s="3237"/>
      <c r="BQ78" s="3237"/>
      <c r="BR78" s="3237"/>
      <c r="BS78" s="3237"/>
      <c r="BT78" s="3237"/>
      <c r="BU78" s="3237"/>
      <c r="BV78" s="3237"/>
      <c r="BW78" s="3237"/>
      <c r="BX78" s="3237"/>
      <c r="BY78" s="3237"/>
      <c r="BZ78" s="3237"/>
      <c r="CA78" s="3237"/>
      <c r="CB78" s="3237"/>
      <c r="CC78" s="3237"/>
      <c r="CD78" s="3237"/>
      <c r="CE78" s="3237"/>
      <c r="CF78" s="3237"/>
      <c r="CG78" s="3237"/>
      <c r="CH78" s="3237"/>
      <c r="CI78" s="3237">
        <f t="shared" si="11"/>
        <v>0</v>
      </c>
    </row>
    <row r="79" spans="1:87" ht="30">
      <c r="A79" s="548" t="s">
        <v>3389</v>
      </c>
      <c r="B79" s="548" t="s">
        <v>3390</v>
      </c>
      <c r="C79" s="551" t="s">
        <v>2192</v>
      </c>
      <c r="D79" s="1007" t="s">
        <v>4219</v>
      </c>
      <c r="E79" s="608" t="s">
        <v>4716</v>
      </c>
      <c r="F79" s="2236">
        <v>0</v>
      </c>
      <c r="G79" s="552"/>
      <c r="H79" s="552"/>
      <c r="I79" s="552"/>
      <c r="J79" s="552"/>
      <c r="K79" s="552"/>
      <c r="L79" s="277"/>
      <c r="M79" s="553">
        <f t="shared" si="9"/>
        <v>0</v>
      </c>
      <c r="N79" s="277"/>
      <c r="O79" s="2950">
        <f t="shared" si="10"/>
        <v>0</v>
      </c>
      <c r="P79" s="734"/>
      <c r="Q79" s="1017">
        <f>'Abs9. NVBDCP'!Q121</f>
        <v>0</v>
      </c>
      <c r="R79" s="2969">
        <f>'Abs9. NVBDCP'!R121</f>
        <v>0</v>
      </c>
      <c r="BB79" s="3237"/>
      <c r="BC79" s="3237"/>
      <c r="BD79" s="3237"/>
      <c r="BE79" s="3237"/>
      <c r="BF79" s="3237"/>
      <c r="BG79" s="3237"/>
      <c r="BH79" s="3237"/>
      <c r="BI79" s="3237"/>
      <c r="BJ79" s="3237"/>
      <c r="BK79" s="3237"/>
      <c r="BL79" s="3237"/>
      <c r="BM79" s="3237"/>
      <c r="BN79" s="3237"/>
      <c r="BO79" s="3237"/>
      <c r="BP79" s="3237"/>
      <c r="BQ79" s="3237"/>
      <c r="BR79" s="3237"/>
      <c r="BS79" s="3237"/>
      <c r="BT79" s="3237"/>
      <c r="BU79" s="3237"/>
      <c r="BV79" s="3237"/>
      <c r="BW79" s="3237"/>
      <c r="BX79" s="3237"/>
      <c r="BY79" s="3237"/>
      <c r="BZ79" s="3237"/>
      <c r="CA79" s="3237"/>
      <c r="CB79" s="3237"/>
      <c r="CC79" s="3237"/>
      <c r="CD79" s="3237"/>
      <c r="CE79" s="3237"/>
      <c r="CF79" s="3237"/>
      <c r="CG79" s="3237"/>
      <c r="CH79" s="3237"/>
      <c r="CI79" s="3237">
        <f t="shared" si="11"/>
        <v>0</v>
      </c>
    </row>
    <row r="80" spans="1:87" ht="30">
      <c r="A80" s="548" t="s">
        <v>3391</v>
      </c>
      <c r="B80" s="548" t="s">
        <v>3392</v>
      </c>
      <c r="C80" s="551" t="s">
        <v>2193</v>
      </c>
      <c r="D80" s="1007" t="s">
        <v>4219</v>
      </c>
      <c r="E80" s="608" t="s">
        <v>3578</v>
      </c>
      <c r="F80" s="2236">
        <v>0</v>
      </c>
      <c r="G80" s="566"/>
      <c r="H80" s="566"/>
      <c r="I80" s="566"/>
      <c r="J80" s="566"/>
      <c r="K80" s="566"/>
      <c r="L80" s="277"/>
      <c r="M80" s="553">
        <f t="shared" si="9"/>
        <v>0</v>
      </c>
      <c r="N80" s="277"/>
      <c r="O80" s="2952">
        <f t="shared" ref="O80:O85" si="12">M80*N80</f>
        <v>0</v>
      </c>
      <c r="P80" s="736"/>
      <c r="Q80" s="1017">
        <f>'Abs10. NLEP'!Q38</f>
        <v>0</v>
      </c>
      <c r="R80" s="2969">
        <f>'Abs10. NLEP'!R38</f>
        <v>0</v>
      </c>
      <c r="BB80" s="3237"/>
      <c r="BC80" s="3237"/>
      <c r="BD80" s="3237"/>
      <c r="BE80" s="3237"/>
      <c r="BF80" s="3237"/>
      <c r="BG80" s="3237"/>
      <c r="BH80" s="3237"/>
      <c r="BI80" s="3237"/>
      <c r="BJ80" s="3237"/>
      <c r="BK80" s="3237"/>
      <c r="BL80" s="3237"/>
      <c r="BM80" s="3237"/>
      <c r="BN80" s="3237"/>
      <c r="BO80" s="3237"/>
      <c r="BP80" s="3237"/>
      <c r="BQ80" s="3237"/>
      <c r="BR80" s="3237"/>
      <c r="BS80" s="3237"/>
      <c r="BT80" s="3237"/>
      <c r="BU80" s="3237"/>
      <c r="BV80" s="3237"/>
      <c r="BW80" s="3237"/>
      <c r="BX80" s="3237"/>
      <c r="BY80" s="3237"/>
      <c r="BZ80" s="3237"/>
      <c r="CA80" s="3237"/>
      <c r="CB80" s="3237"/>
      <c r="CC80" s="3237"/>
      <c r="CD80" s="3237"/>
      <c r="CE80" s="3237"/>
      <c r="CF80" s="3237"/>
      <c r="CG80" s="3237"/>
      <c r="CH80" s="3237"/>
      <c r="CI80" s="3237">
        <f t="shared" si="11"/>
        <v>0</v>
      </c>
    </row>
    <row r="81" spans="1:87">
      <c r="A81" s="548" t="s">
        <v>3393</v>
      </c>
      <c r="B81" s="548" t="s">
        <v>3394</v>
      </c>
      <c r="C81" s="551" t="s">
        <v>2194</v>
      </c>
      <c r="D81" s="1007" t="s">
        <v>4219</v>
      </c>
      <c r="E81" s="608" t="s">
        <v>3578</v>
      </c>
      <c r="F81" s="2236">
        <v>1</v>
      </c>
      <c r="G81" s="566"/>
      <c r="H81" s="566">
        <v>2</v>
      </c>
      <c r="I81" s="566"/>
      <c r="J81" s="566">
        <v>2</v>
      </c>
      <c r="K81" s="566"/>
      <c r="L81" s="277"/>
      <c r="M81" s="553">
        <f t="shared" si="9"/>
        <v>0</v>
      </c>
      <c r="N81" s="277"/>
      <c r="O81" s="2952">
        <f t="shared" si="12"/>
        <v>0</v>
      </c>
      <c r="P81" s="736"/>
      <c r="Q81" s="1017">
        <f>'Abs10. NLEP'!Q39</f>
        <v>0</v>
      </c>
      <c r="R81" s="2969">
        <f>'Abs10. NLEP'!R39</f>
        <v>0</v>
      </c>
      <c r="BB81" s="3237"/>
      <c r="BC81" s="3237"/>
      <c r="BD81" s="3237"/>
      <c r="BE81" s="3237"/>
      <c r="BF81" s="3237"/>
      <c r="BG81" s="3237"/>
      <c r="BH81" s="3237"/>
      <c r="BI81" s="3237"/>
      <c r="BJ81" s="3237"/>
      <c r="BK81" s="3237"/>
      <c r="BL81" s="3237"/>
      <c r="BM81" s="3237"/>
      <c r="BN81" s="3237"/>
      <c r="BO81" s="3237"/>
      <c r="BP81" s="3237"/>
      <c r="BQ81" s="3237"/>
      <c r="BR81" s="3237"/>
      <c r="BS81" s="3237"/>
      <c r="BT81" s="3237"/>
      <c r="BU81" s="3237"/>
      <c r="BV81" s="3237"/>
      <c r="BW81" s="3237"/>
      <c r="BX81" s="3237"/>
      <c r="BY81" s="3237"/>
      <c r="BZ81" s="3237"/>
      <c r="CA81" s="3237"/>
      <c r="CB81" s="3237"/>
      <c r="CC81" s="3237"/>
      <c r="CD81" s="3237"/>
      <c r="CE81" s="3237"/>
      <c r="CF81" s="3237"/>
      <c r="CG81" s="3237"/>
      <c r="CH81" s="3237"/>
      <c r="CI81" s="3237">
        <f t="shared" si="11"/>
        <v>0</v>
      </c>
    </row>
    <row r="82" spans="1:87" s="1770" customFormat="1" ht="83.25" customHeight="1">
      <c r="A82" s="548" t="s">
        <v>3395</v>
      </c>
      <c r="B82" s="548" t="s">
        <v>3396</v>
      </c>
      <c r="C82" s="558" t="s">
        <v>2195</v>
      </c>
      <c r="D82" s="2254" t="s">
        <v>4219</v>
      </c>
      <c r="E82" s="609" t="s">
        <v>4524</v>
      </c>
      <c r="F82" s="2238">
        <v>160</v>
      </c>
      <c r="G82" s="2421">
        <v>160</v>
      </c>
      <c r="H82" s="2421">
        <v>34.78</v>
      </c>
      <c r="I82" s="2421">
        <v>17.48</v>
      </c>
      <c r="J82" s="2421">
        <v>17</v>
      </c>
      <c r="K82" s="2421">
        <v>105</v>
      </c>
      <c r="L82" s="2368">
        <v>26982</v>
      </c>
      <c r="M82" s="569">
        <f t="shared" si="9"/>
        <v>0.26982</v>
      </c>
      <c r="N82" s="2368">
        <v>169</v>
      </c>
      <c r="O82" s="2951">
        <f t="shared" si="12"/>
        <v>45.599580000000003</v>
      </c>
      <c r="P82" s="2422" t="s">
        <v>5182</v>
      </c>
      <c r="Q82" s="2263" t="str">
        <f>'Abs11. NTEP'!Q59</f>
        <v>Recommended Rs 45.60 lakhs for vehicle operation and maintenace</v>
      </c>
      <c r="R82" s="2971">
        <f>'Abs11. NTEP'!R59</f>
        <v>45.6</v>
      </c>
      <c r="S82" s="3116">
        <f>O82-R82</f>
        <v>-4.1999999999831061E-4</v>
      </c>
      <c r="BB82" s="3238">
        <v>1.59</v>
      </c>
      <c r="BC82" s="3238">
        <v>2.37</v>
      </c>
      <c r="BD82" s="3238">
        <v>3.28</v>
      </c>
      <c r="BE82" s="3238">
        <v>3.28</v>
      </c>
      <c r="BF82" s="3238">
        <v>6.44</v>
      </c>
      <c r="BG82" s="3238">
        <v>1.71</v>
      </c>
      <c r="BH82" s="3238">
        <v>3.28</v>
      </c>
      <c r="BI82" s="3238">
        <v>1.71</v>
      </c>
      <c r="BJ82" s="3238">
        <v>5.65</v>
      </c>
      <c r="BK82" s="3238">
        <v>5.65</v>
      </c>
      <c r="BL82" s="3238">
        <v>3.28</v>
      </c>
      <c r="BM82" s="3238">
        <v>3.28</v>
      </c>
      <c r="BN82" s="3238">
        <v>2.5</v>
      </c>
      <c r="BO82" s="3238"/>
      <c r="BP82" s="3238"/>
      <c r="BQ82" s="3238"/>
      <c r="BR82" s="3238"/>
      <c r="BS82" s="3238"/>
      <c r="BT82" s="3238"/>
      <c r="BU82" s="3238"/>
      <c r="BV82" s="3238"/>
      <c r="BW82" s="3238"/>
      <c r="BX82" s="3238"/>
      <c r="BY82" s="3238"/>
      <c r="BZ82" s="3238"/>
      <c r="CA82" s="3238"/>
      <c r="CB82" s="3238"/>
      <c r="CC82" s="3238"/>
      <c r="CD82" s="3238"/>
      <c r="CE82" s="3238">
        <v>1.58</v>
      </c>
      <c r="CF82" s="3238"/>
      <c r="CG82" s="3238"/>
      <c r="CH82" s="3238"/>
      <c r="CI82" s="3237">
        <f t="shared" si="11"/>
        <v>45.6</v>
      </c>
    </row>
    <row r="83" spans="1:87" s="3519" customFormat="1" ht="60">
      <c r="A83" s="3509" t="s">
        <v>3397</v>
      </c>
      <c r="B83" s="3509" t="s">
        <v>3398</v>
      </c>
      <c r="C83" s="3510" t="s">
        <v>1290</v>
      </c>
      <c r="D83" s="3395" t="s">
        <v>4219</v>
      </c>
      <c r="E83" s="3511" t="s">
        <v>4524</v>
      </c>
      <c r="F83" s="3512">
        <v>0</v>
      </c>
      <c r="G83" s="3512">
        <v>0</v>
      </c>
      <c r="H83" s="3512">
        <v>0</v>
      </c>
      <c r="I83" s="3512">
        <v>0</v>
      </c>
      <c r="J83" s="3512">
        <v>0</v>
      </c>
      <c r="K83" s="3512">
        <v>0</v>
      </c>
      <c r="L83" s="3513">
        <v>257143</v>
      </c>
      <c r="M83" s="3513">
        <f t="shared" si="9"/>
        <v>2.5714299999999999</v>
      </c>
      <c r="N83" s="3514">
        <v>21</v>
      </c>
      <c r="O83" s="3515">
        <f t="shared" si="12"/>
        <v>54.000029999999995</v>
      </c>
      <c r="P83" s="3516"/>
      <c r="Q83" s="3400" t="str">
        <f>'Abs11. NTEP'!Q60</f>
        <v>Recommended Rs 54 lakhs- Rs 52.8 lakhs towards hiring of vehicles and Rs 1.2 lakhs towards POL charges for 10 District Programme Coordinators, as proposed by the State</v>
      </c>
      <c r="R83" s="3517">
        <f>'Abs11. NTEP'!R60</f>
        <v>54</v>
      </c>
      <c r="S83" s="3518">
        <f>O83-R83</f>
        <v>2.9999999995311555E-5</v>
      </c>
      <c r="BB83" s="3520">
        <v>12.96</v>
      </c>
      <c r="BC83" s="3520">
        <v>0.12</v>
      </c>
      <c r="BD83" s="3520">
        <v>7.32</v>
      </c>
      <c r="BE83" s="3520">
        <v>0.12</v>
      </c>
      <c r="BF83" s="3520">
        <v>7.32</v>
      </c>
      <c r="BG83" s="3520">
        <v>3.72</v>
      </c>
      <c r="BH83" s="3520">
        <v>3.72</v>
      </c>
      <c r="BI83" s="3520">
        <v>0.12</v>
      </c>
      <c r="BJ83" s="3520">
        <v>7.32</v>
      </c>
      <c r="BK83" s="3520">
        <v>3.72</v>
      </c>
      <c r="BL83" s="3520">
        <v>3.72</v>
      </c>
      <c r="BM83" s="3520">
        <v>0.12</v>
      </c>
      <c r="BN83" s="3520">
        <v>3.72</v>
      </c>
      <c r="BO83" s="3520"/>
      <c r="BP83" s="3520"/>
      <c r="BQ83" s="3520"/>
      <c r="BR83" s="3520"/>
      <c r="BS83" s="3520"/>
      <c r="BT83" s="3520"/>
      <c r="BU83" s="3520"/>
      <c r="BV83" s="3520"/>
      <c r="BW83" s="3520"/>
      <c r="BX83" s="3520"/>
      <c r="BY83" s="3520"/>
      <c r="BZ83" s="3520"/>
      <c r="CA83" s="3520"/>
      <c r="CB83" s="3520"/>
      <c r="CC83" s="3520"/>
      <c r="CD83" s="3520"/>
      <c r="CE83" s="3520"/>
      <c r="CF83" s="3520"/>
      <c r="CG83" s="3520"/>
      <c r="CH83" s="3520"/>
      <c r="CI83" s="3520">
        <f t="shared" si="11"/>
        <v>53.999999999999993</v>
      </c>
    </row>
    <row r="84" spans="1:87" ht="30">
      <c r="A84" s="548" t="s">
        <v>3399</v>
      </c>
      <c r="B84" s="548" t="s">
        <v>3401</v>
      </c>
      <c r="C84" s="551" t="s">
        <v>4721</v>
      </c>
      <c r="D84" s="1007" t="s">
        <v>4219</v>
      </c>
      <c r="E84" s="608" t="s">
        <v>4715</v>
      </c>
      <c r="F84" s="2236">
        <v>0</v>
      </c>
      <c r="G84" s="552"/>
      <c r="H84" s="552"/>
      <c r="I84" s="552"/>
      <c r="J84" s="552"/>
      <c r="K84" s="552"/>
      <c r="L84" s="277"/>
      <c r="M84" s="553">
        <f t="shared" si="9"/>
        <v>0</v>
      </c>
      <c r="N84" s="277"/>
      <c r="O84" s="2950">
        <f t="shared" si="12"/>
        <v>0</v>
      </c>
      <c r="P84" s="734"/>
      <c r="Q84" s="1017">
        <f>'Abs9. NVBDCP'!Q122</f>
        <v>0</v>
      </c>
      <c r="R84" s="2969">
        <f>'Abs9. NVBDCP'!R122</f>
        <v>0</v>
      </c>
      <c r="BB84" s="3237"/>
      <c r="BC84" s="3237"/>
      <c r="BD84" s="3237"/>
      <c r="BE84" s="3237"/>
      <c r="BF84" s="3237"/>
      <c r="BG84" s="3237"/>
      <c r="BH84" s="3237"/>
      <c r="BI84" s="3237"/>
      <c r="BJ84" s="3237"/>
      <c r="BK84" s="3237"/>
      <c r="BL84" s="3237"/>
      <c r="BM84" s="3237"/>
      <c r="BN84" s="3237"/>
      <c r="BO84" s="3237"/>
      <c r="BP84" s="3237"/>
      <c r="BQ84" s="3237"/>
      <c r="BR84" s="3237"/>
      <c r="BS84" s="3237"/>
      <c r="BT84" s="3237"/>
      <c r="BU84" s="3237"/>
      <c r="BV84" s="3237"/>
      <c r="BW84" s="3237"/>
      <c r="BX84" s="3237"/>
      <c r="BY84" s="3237"/>
      <c r="BZ84" s="3237"/>
      <c r="CA84" s="3237"/>
      <c r="CB84" s="3237"/>
      <c r="CC84" s="3237"/>
      <c r="CD84" s="3237"/>
      <c r="CE84" s="3237"/>
      <c r="CF84" s="3237"/>
      <c r="CG84" s="3237"/>
      <c r="CH84" s="3237"/>
      <c r="CI84" s="3237">
        <f t="shared" si="11"/>
        <v>0</v>
      </c>
    </row>
    <row r="85" spans="1:87" ht="30">
      <c r="A85" s="548" t="s">
        <v>3400</v>
      </c>
      <c r="B85" s="548" t="s">
        <v>3403</v>
      </c>
      <c r="C85" s="575" t="s">
        <v>3567</v>
      </c>
      <c r="D85" s="1007" t="s">
        <v>4219</v>
      </c>
      <c r="E85" s="608" t="s">
        <v>3245</v>
      </c>
      <c r="F85" s="2236">
        <v>1</v>
      </c>
      <c r="G85" s="552"/>
      <c r="H85" s="552">
        <v>1</v>
      </c>
      <c r="I85" s="552"/>
      <c r="J85" s="552">
        <v>1</v>
      </c>
      <c r="K85" s="552"/>
      <c r="L85" s="277"/>
      <c r="M85" s="553">
        <f t="shared" si="9"/>
        <v>0</v>
      </c>
      <c r="N85" s="277"/>
      <c r="O85" s="2950">
        <f t="shared" si="12"/>
        <v>0</v>
      </c>
      <c r="P85" s="734"/>
      <c r="Q85" s="1772">
        <f>'Abs12. NVHCP'!Q42</f>
        <v>0</v>
      </c>
      <c r="R85" s="2967">
        <f>'Abs12. NVHCP'!R42</f>
        <v>0</v>
      </c>
      <c r="BB85" s="3237"/>
      <c r="BC85" s="3237"/>
      <c r="BD85" s="3237"/>
      <c r="BE85" s="3237"/>
      <c r="BF85" s="3237"/>
      <c r="BG85" s="3237"/>
      <c r="BH85" s="3237"/>
      <c r="BI85" s="3237"/>
      <c r="BJ85" s="3237"/>
      <c r="BK85" s="3237"/>
      <c r="BL85" s="3237"/>
      <c r="BM85" s="3237"/>
      <c r="BN85" s="3237"/>
      <c r="BO85" s="3237"/>
      <c r="BP85" s="3237"/>
      <c r="BQ85" s="3237"/>
      <c r="BR85" s="3237"/>
      <c r="BS85" s="3237"/>
      <c r="BT85" s="3237"/>
      <c r="BU85" s="3237"/>
      <c r="BV85" s="3237"/>
      <c r="BW85" s="3237"/>
      <c r="BX85" s="3237"/>
      <c r="BY85" s="3237"/>
      <c r="BZ85" s="3237"/>
      <c r="CA85" s="3237"/>
      <c r="CB85" s="3237"/>
      <c r="CC85" s="3237"/>
      <c r="CD85" s="3237"/>
      <c r="CE85" s="3237"/>
      <c r="CF85" s="3237"/>
      <c r="CG85" s="3237"/>
      <c r="CH85" s="3237"/>
      <c r="CI85" s="3237">
        <f t="shared" si="11"/>
        <v>0</v>
      </c>
    </row>
    <row r="86" spans="1:87" s="1770" customFormat="1" ht="26.1" customHeight="1">
      <c r="A86" s="548" t="s">
        <v>3402</v>
      </c>
      <c r="B86" s="548" t="s">
        <v>3401</v>
      </c>
      <c r="C86" s="548" t="s">
        <v>2196</v>
      </c>
      <c r="D86" s="549"/>
      <c r="E86" s="549"/>
      <c r="F86" s="550">
        <v>0</v>
      </c>
      <c r="G86" s="550"/>
      <c r="H86" s="550"/>
      <c r="I86" s="550"/>
      <c r="J86" s="550"/>
      <c r="K86" s="550"/>
      <c r="L86" s="550"/>
      <c r="M86" s="161"/>
      <c r="N86" s="550"/>
      <c r="O86" s="2949">
        <f>O87</f>
        <v>0</v>
      </c>
      <c r="P86" s="733"/>
      <c r="Q86" s="1511"/>
      <c r="R86" s="2961">
        <f>R87</f>
        <v>0</v>
      </c>
      <c r="BB86" s="3238"/>
      <c r="BC86" s="3238"/>
      <c r="BD86" s="3238"/>
      <c r="BE86" s="3238"/>
      <c r="BF86" s="3238"/>
      <c r="BG86" s="3238"/>
      <c r="BH86" s="3238"/>
      <c r="BI86" s="3238"/>
      <c r="BJ86" s="3238"/>
      <c r="BK86" s="3238"/>
      <c r="BL86" s="3238"/>
      <c r="BM86" s="3238"/>
      <c r="BN86" s="3238"/>
      <c r="BO86" s="3238"/>
      <c r="BP86" s="3238"/>
      <c r="BQ86" s="3238"/>
      <c r="BR86" s="3238"/>
      <c r="BS86" s="3238"/>
      <c r="BT86" s="3238"/>
      <c r="BU86" s="3238"/>
      <c r="BV86" s="3238"/>
      <c r="BW86" s="3238"/>
      <c r="BX86" s="3238"/>
      <c r="BY86" s="3238"/>
      <c r="BZ86" s="3238"/>
      <c r="CA86" s="3238"/>
      <c r="CB86" s="3238"/>
      <c r="CC86" s="3238"/>
      <c r="CD86" s="3238"/>
      <c r="CE86" s="3238"/>
      <c r="CF86" s="3238"/>
      <c r="CG86" s="3238"/>
      <c r="CH86" s="3238"/>
      <c r="CI86" s="3237">
        <f t="shared" si="11"/>
        <v>0</v>
      </c>
    </row>
    <row r="87" spans="1:87" ht="30">
      <c r="A87" s="548" t="s">
        <v>4475</v>
      </c>
      <c r="B87" s="548" t="s">
        <v>3405</v>
      </c>
      <c r="C87" s="551" t="s">
        <v>3872</v>
      </c>
      <c r="D87" s="1549" t="s">
        <v>80</v>
      </c>
      <c r="E87" s="608" t="s">
        <v>3579</v>
      </c>
      <c r="F87" s="2236">
        <v>0</v>
      </c>
      <c r="G87" s="552"/>
      <c r="H87" s="552"/>
      <c r="I87" s="552"/>
      <c r="J87" s="552"/>
      <c r="K87" s="552"/>
      <c r="L87" s="277"/>
      <c r="M87" s="553">
        <f>L87/100000</f>
        <v>0</v>
      </c>
      <c r="N87" s="277"/>
      <c r="O87" s="2950">
        <f>M87*N87</f>
        <v>0</v>
      </c>
      <c r="P87" s="734"/>
      <c r="Q87" s="1017">
        <f>'Abs18. NTCP'!Q30</f>
        <v>0</v>
      </c>
      <c r="R87" s="2969">
        <f>'Abs18. NTCP'!R30</f>
        <v>0</v>
      </c>
      <c r="BB87" s="3237"/>
      <c r="BC87" s="3237"/>
      <c r="BD87" s="3237"/>
      <c r="BE87" s="3237"/>
      <c r="BF87" s="3237"/>
      <c r="BG87" s="3237"/>
      <c r="BH87" s="3237"/>
      <c r="BI87" s="3237"/>
      <c r="BJ87" s="3237"/>
      <c r="BK87" s="3237"/>
      <c r="BL87" s="3237"/>
      <c r="BM87" s="3237"/>
      <c r="BN87" s="3237"/>
      <c r="BO87" s="3237"/>
      <c r="BP87" s="3237"/>
      <c r="BQ87" s="3237"/>
      <c r="BR87" s="3237"/>
      <c r="BS87" s="3237"/>
      <c r="BT87" s="3237"/>
      <c r="BU87" s="3237"/>
      <c r="BV87" s="3237"/>
      <c r="BW87" s="3237"/>
      <c r="BX87" s="3237"/>
      <c r="BY87" s="3237"/>
      <c r="BZ87" s="3237"/>
      <c r="CA87" s="3237"/>
      <c r="CB87" s="3237"/>
      <c r="CC87" s="3237"/>
      <c r="CD87" s="3237"/>
      <c r="CE87" s="3237"/>
      <c r="CF87" s="3237"/>
      <c r="CG87" s="3237"/>
      <c r="CH87" s="3237"/>
      <c r="CI87" s="3237">
        <f t="shared" si="11"/>
        <v>0</v>
      </c>
    </row>
    <row r="88" spans="1:87">
      <c r="A88" s="548" t="s">
        <v>3404</v>
      </c>
      <c r="B88" s="548" t="s">
        <v>3406</v>
      </c>
      <c r="C88" s="551" t="s">
        <v>2197</v>
      </c>
      <c r="D88" s="1549" t="s">
        <v>80</v>
      </c>
      <c r="E88" s="608" t="s">
        <v>3581</v>
      </c>
      <c r="F88" s="2236">
        <v>0</v>
      </c>
      <c r="G88" s="552"/>
      <c r="H88" s="552"/>
      <c r="I88" s="552"/>
      <c r="J88" s="552"/>
      <c r="K88" s="552"/>
      <c r="L88" s="277"/>
      <c r="M88" s="553">
        <f>L88/100000</f>
        <v>0</v>
      </c>
      <c r="N88" s="277"/>
      <c r="O88" s="2950">
        <f>M88*N88</f>
        <v>0</v>
      </c>
      <c r="P88" s="734"/>
      <c r="Q88" s="1017">
        <f>'Abs19. NPCDCS'!Q65</f>
        <v>0</v>
      </c>
      <c r="R88" s="2969">
        <f>'Abs19. NPCDCS'!R65</f>
        <v>0</v>
      </c>
      <c r="BB88" s="3237"/>
      <c r="BC88" s="3237"/>
      <c r="BD88" s="3237"/>
      <c r="BE88" s="3237"/>
      <c r="BF88" s="3237"/>
      <c r="BG88" s="3237"/>
      <c r="BH88" s="3237"/>
      <c r="BI88" s="3237"/>
      <c r="BJ88" s="3237"/>
      <c r="BK88" s="3237"/>
      <c r="BL88" s="3237"/>
      <c r="BM88" s="3237"/>
      <c r="BN88" s="3237"/>
      <c r="BO88" s="3237"/>
      <c r="BP88" s="3237"/>
      <c r="BQ88" s="3237"/>
      <c r="BR88" s="3237"/>
      <c r="BS88" s="3237"/>
      <c r="BT88" s="3237"/>
      <c r="BU88" s="3237"/>
      <c r="BV88" s="3237"/>
      <c r="BW88" s="3237"/>
      <c r="BX88" s="3237"/>
      <c r="BY88" s="3237"/>
      <c r="BZ88" s="3237"/>
      <c r="CA88" s="3237"/>
      <c r="CB88" s="3237"/>
      <c r="CC88" s="3237"/>
      <c r="CD88" s="3237"/>
      <c r="CE88" s="3237"/>
      <c r="CF88" s="3237"/>
      <c r="CG88" s="3237"/>
      <c r="CH88" s="3237"/>
      <c r="CI88" s="3237">
        <f t="shared" si="11"/>
        <v>0</v>
      </c>
    </row>
    <row r="89" spans="1:87" ht="30">
      <c r="A89" s="548" t="s">
        <v>4353</v>
      </c>
      <c r="B89" s="548"/>
      <c r="C89" s="551" t="s">
        <v>4354</v>
      </c>
      <c r="D89" s="910" t="s">
        <v>4219</v>
      </c>
      <c r="E89" s="608" t="s">
        <v>4352</v>
      </c>
      <c r="F89" s="2236">
        <v>0</v>
      </c>
      <c r="G89" s="552"/>
      <c r="H89" s="552"/>
      <c r="I89" s="552"/>
      <c r="J89" s="552"/>
      <c r="K89" s="552"/>
      <c r="L89" s="277"/>
      <c r="M89" s="553">
        <f>L89/100000</f>
        <v>0</v>
      </c>
      <c r="N89" s="277"/>
      <c r="O89" s="2950">
        <f>M89*N89</f>
        <v>0</v>
      </c>
      <c r="P89" s="734"/>
      <c r="Q89" s="1017">
        <f>'Abs14. PPCL'!Q17</f>
        <v>0</v>
      </c>
      <c r="R89" s="2967">
        <f>'Abs14. PPCL'!R17</f>
        <v>0</v>
      </c>
      <c r="BB89" s="3237"/>
      <c r="BC89" s="3237"/>
      <c r="BD89" s="3237"/>
      <c r="BE89" s="3237"/>
      <c r="BF89" s="3237"/>
      <c r="BG89" s="3237"/>
      <c r="BH89" s="3237"/>
      <c r="BI89" s="3237"/>
      <c r="BJ89" s="3237"/>
      <c r="BK89" s="3237"/>
      <c r="BL89" s="3237"/>
      <c r="BM89" s="3237"/>
      <c r="BN89" s="3237"/>
      <c r="BO89" s="3237"/>
      <c r="BP89" s="3237"/>
      <c r="BQ89" s="3237"/>
      <c r="BR89" s="3237"/>
      <c r="BS89" s="3237"/>
      <c r="BT89" s="3237"/>
      <c r="BU89" s="3237"/>
      <c r="BV89" s="3237"/>
      <c r="BW89" s="3237"/>
      <c r="BX89" s="3237"/>
      <c r="BY89" s="3237"/>
      <c r="BZ89" s="3237"/>
      <c r="CA89" s="3237"/>
      <c r="CB89" s="3237"/>
      <c r="CC89" s="3237"/>
      <c r="CD89" s="3237"/>
      <c r="CE89" s="3237"/>
      <c r="CF89" s="3237"/>
      <c r="CG89" s="3237"/>
      <c r="CH89" s="3237"/>
      <c r="CI89" s="3237">
        <f t="shared" si="11"/>
        <v>0</v>
      </c>
    </row>
    <row r="90" spans="1:87" ht="38.25">
      <c r="A90" s="548" t="s">
        <v>4476</v>
      </c>
      <c r="B90" s="548" t="s">
        <v>3407</v>
      </c>
      <c r="C90" s="576" t="s">
        <v>302</v>
      </c>
      <c r="D90" s="908" t="s">
        <v>65</v>
      </c>
      <c r="E90" s="608" t="s">
        <v>3238</v>
      </c>
      <c r="F90" s="2239">
        <v>1</v>
      </c>
      <c r="G90" s="560">
        <v>1</v>
      </c>
      <c r="H90" s="560">
        <v>126</v>
      </c>
      <c r="I90" s="560">
        <v>129.11000000000001</v>
      </c>
      <c r="J90" s="560"/>
      <c r="K90" s="560"/>
      <c r="L90" s="277">
        <v>15000000</v>
      </c>
      <c r="M90" s="553">
        <f>L90/100000</f>
        <v>150</v>
      </c>
      <c r="N90" s="277">
        <v>1</v>
      </c>
      <c r="O90" s="2951">
        <f>M90*N90</f>
        <v>150</v>
      </c>
      <c r="P90" s="735"/>
      <c r="Q90" s="3117" t="s">
        <v>5942</v>
      </c>
      <c r="R90" s="2966">
        <v>150</v>
      </c>
      <c r="S90" s="3116">
        <f>O90-R90</f>
        <v>0</v>
      </c>
      <c r="BB90" s="3237">
        <v>150</v>
      </c>
      <c r="BC90" s="3237"/>
      <c r="BD90" s="3237"/>
      <c r="BE90" s="3237"/>
      <c r="BF90" s="3237"/>
      <c r="BG90" s="3237"/>
      <c r="BH90" s="3237"/>
      <c r="BI90" s="3237"/>
      <c r="BJ90" s="3237"/>
      <c r="BK90" s="3237"/>
      <c r="BL90" s="3237"/>
      <c r="BM90" s="3237"/>
      <c r="BN90" s="3237"/>
      <c r="BO90" s="3237"/>
      <c r="BP90" s="3237"/>
      <c r="BQ90" s="3237"/>
      <c r="BR90" s="3237"/>
      <c r="BS90" s="3237"/>
      <c r="BT90" s="3237"/>
      <c r="BU90" s="3237"/>
      <c r="BV90" s="3237"/>
      <c r="BW90" s="3237"/>
      <c r="BX90" s="3237"/>
      <c r="BY90" s="3237"/>
      <c r="BZ90" s="3237"/>
      <c r="CA90" s="3237"/>
      <c r="CB90" s="3237"/>
      <c r="CC90" s="3237"/>
      <c r="CD90" s="3237"/>
      <c r="CE90" s="3237"/>
      <c r="CF90" s="3237"/>
      <c r="CG90" s="3237"/>
      <c r="CH90" s="3237"/>
      <c r="CI90" s="3237">
        <f t="shared" si="11"/>
        <v>150</v>
      </c>
    </row>
    <row r="91" spans="1:87" ht="12.95" customHeight="1">
      <c r="A91" s="548" t="s">
        <v>3408</v>
      </c>
      <c r="B91" s="548" t="s">
        <v>3409</v>
      </c>
      <c r="C91" s="548" t="s">
        <v>2198</v>
      </c>
      <c r="D91" s="549"/>
      <c r="E91" s="549"/>
      <c r="F91" s="550"/>
      <c r="G91" s="550"/>
      <c r="H91" s="550"/>
      <c r="I91" s="550"/>
      <c r="J91" s="550"/>
      <c r="K91" s="550"/>
      <c r="L91" s="550"/>
      <c r="M91" s="161"/>
      <c r="N91" s="550"/>
      <c r="O91" s="2949">
        <f>SUM(O92:O93)</f>
        <v>0</v>
      </c>
      <c r="P91" s="733"/>
      <c r="Q91" s="1511"/>
      <c r="R91" s="2961">
        <f>SUM(R92:R93)</f>
        <v>0</v>
      </c>
      <c r="BB91" s="3237"/>
      <c r="BC91" s="3237"/>
      <c r="BD91" s="3237"/>
      <c r="BE91" s="3237"/>
      <c r="BF91" s="3237"/>
      <c r="BG91" s="3237"/>
      <c r="BH91" s="3237"/>
      <c r="BI91" s="3237"/>
      <c r="BJ91" s="3237"/>
      <c r="BK91" s="3237"/>
      <c r="BL91" s="3237"/>
      <c r="BM91" s="3237"/>
      <c r="BN91" s="3237"/>
      <c r="BO91" s="3237"/>
      <c r="BP91" s="3237"/>
      <c r="BQ91" s="3237"/>
      <c r="BR91" s="3237"/>
      <c r="BS91" s="3237"/>
      <c r="BT91" s="3237"/>
      <c r="BU91" s="3237"/>
      <c r="BV91" s="3237"/>
      <c r="BW91" s="3237"/>
      <c r="BX91" s="3237"/>
      <c r="BY91" s="3237"/>
      <c r="BZ91" s="3237"/>
      <c r="CA91" s="3237"/>
      <c r="CB91" s="3237"/>
      <c r="CC91" s="3237"/>
      <c r="CD91" s="3237"/>
      <c r="CE91" s="3237"/>
      <c r="CF91" s="3237"/>
      <c r="CG91" s="3237"/>
      <c r="CH91" s="3237"/>
      <c r="CI91" s="3237">
        <f t="shared" si="11"/>
        <v>0</v>
      </c>
    </row>
    <row r="92" spans="1:87" ht="30">
      <c r="A92" s="548" t="s">
        <v>3410</v>
      </c>
      <c r="B92" s="548" t="s">
        <v>3411</v>
      </c>
      <c r="C92" s="551" t="s">
        <v>2199</v>
      </c>
      <c r="D92" s="1007" t="s">
        <v>4219</v>
      </c>
      <c r="E92" s="608" t="s">
        <v>4715</v>
      </c>
      <c r="F92" s="2236">
        <v>0</v>
      </c>
      <c r="G92" s="552"/>
      <c r="H92" s="552"/>
      <c r="I92" s="552"/>
      <c r="J92" s="552"/>
      <c r="K92" s="552"/>
      <c r="L92" s="277"/>
      <c r="M92" s="553">
        <f>L92/100000</f>
        <v>0</v>
      </c>
      <c r="N92" s="277"/>
      <c r="O92" s="2950">
        <f>M92*N92</f>
        <v>0</v>
      </c>
      <c r="P92" s="734"/>
      <c r="Q92" s="1017">
        <f>'Abs9. NVBDCP'!Q123</f>
        <v>0</v>
      </c>
      <c r="R92" s="2969">
        <f>'Abs9. NVBDCP'!R123</f>
        <v>0</v>
      </c>
      <c r="BB92" s="3237"/>
      <c r="BC92" s="3237"/>
      <c r="BD92" s="3237"/>
      <c r="BE92" s="3237"/>
      <c r="BF92" s="3237"/>
      <c r="BG92" s="3237"/>
      <c r="BH92" s="3237"/>
      <c r="BI92" s="3237"/>
      <c r="BJ92" s="3237"/>
      <c r="BK92" s="3237"/>
      <c r="BL92" s="3237"/>
      <c r="BM92" s="3237"/>
      <c r="BN92" s="3237"/>
      <c r="BO92" s="3237"/>
      <c r="BP92" s="3237"/>
      <c r="BQ92" s="3237"/>
      <c r="BR92" s="3237"/>
      <c r="BS92" s="3237"/>
      <c r="BT92" s="3237"/>
      <c r="BU92" s="3237"/>
      <c r="BV92" s="3237"/>
      <c r="BW92" s="3237"/>
      <c r="BX92" s="3237"/>
      <c r="BY92" s="3237"/>
      <c r="BZ92" s="3237"/>
      <c r="CA92" s="3237"/>
      <c r="CB92" s="3237"/>
      <c r="CC92" s="3237"/>
      <c r="CD92" s="3237"/>
      <c r="CE92" s="3237"/>
      <c r="CF92" s="3237"/>
      <c r="CG92" s="3237"/>
      <c r="CH92" s="3237"/>
      <c r="CI92" s="3237">
        <f t="shared" si="11"/>
        <v>0</v>
      </c>
    </row>
    <row r="93" spans="1:87">
      <c r="A93" s="548" t="s">
        <v>3412</v>
      </c>
      <c r="B93" s="548" t="s">
        <v>3413</v>
      </c>
      <c r="C93" s="576" t="s">
        <v>302</v>
      </c>
      <c r="D93" s="908" t="s">
        <v>65</v>
      </c>
      <c r="E93" s="608" t="s">
        <v>3238</v>
      </c>
      <c r="F93" s="577"/>
      <c r="G93" s="560"/>
      <c r="H93" s="560"/>
      <c r="I93" s="560"/>
      <c r="J93" s="560"/>
      <c r="K93" s="560"/>
      <c r="L93" s="277"/>
      <c r="M93" s="553">
        <f>L93/100000</f>
        <v>0</v>
      </c>
      <c r="N93" s="277"/>
      <c r="O93" s="2951">
        <f>M93*N93</f>
        <v>0</v>
      </c>
      <c r="P93" s="735"/>
      <c r="Q93" s="1022"/>
      <c r="R93" s="2966"/>
      <c r="BB93" s="3237"/>
      <c r="BC93" s="3237"/>
      <c r="BD93" s="3237"/>
      <c r="BE93" s="3237"/>
      <c r="BF93" s="3237"/>
      <c r="BG93" s="3237"/>
      <c r="BH93" s="3237"/>
      <c r="BI93" s="3237"/>
      <c r="BJ93" s="3237"/>
      <c r="BK93" s="3237"/>
      <c r="BL93" s="3237"/>
      <c r="BM93" s="3237"/>
      <c r="BN93" s="3237"/>
      <c r="BO93" s="3237"/>
      <c r="BP93" s="3237"/>
      <c r="BQ93" s="3237"/>
      <c r="BR93" s="3237"/>
      <c r="BS93" s="3237"/>
      <c r="BT93" s="3237"/>
      <c r="BU93" s="3237"/>
      <c r="BV93" s="3237"/>
      <c r="BW93" s="3237"/>
      <c r="BX93" s="3237"/>
      <c r="BY93" s="3237"/>
      <c r="BZ93" s="3237"/>
      <c r="CA93" s="3237"/>
      <c r="CB93" s="3237"/>
      <c r="CC93" s="3237"/>
      <c r="CD93" s="3237"/>
      <c r="CE93" s="3237"/>
      <c r="CF93" s="3237"/>
      <c r="CG93" s="3237"/>
      <c r="CH93" s="3237"/>
      <c r="CI93" s="3237">
        <f t="shared" si="11"/>
        <v>0</v>
      </c>
    </row>
    <row r="94" spans="1:87" ht="12.95" customHeight="1">
      <c r="A94" s="548" t="s">
        <v>3414</v>
      </c>
      <c r="B94" s="548" t="s">
        <v>3415</v>
      </c>
      <c r="C94" s="548" t="s">
        <v>2200</v>
      </c>
      <c r="D94" s="549"/>
      <c r="E94" s="549"/>
      <c r="F94" s="550"/>
      <c r="G94" s="550"/>
      <c r="H94" s="550"/>
      <c r="I94" s="550"/>
      <c r="J94" s="550"/>
      <c r="K94" s="550"/>
      <c r="L94" s="550"/>
      <c r="M94" s="161"/>
      <c r="N94" s="550"/>
      <c r="O94" s="2949">
        <f>SUM(O95:O110)</f>
        <v>131.31995999999998</v>
      </c>
      <c r="P94" s="733"/>
      <c r="Q94" s="1511"/>
      <c r="R94" s="2961">
        <f>SUM(R95:R110)</f>
        <v>134.19995999999998</v>
      </c>
      <c r="S94" s="3116">
        <f>O94-R94</f>
        <v>-2.8799999999999955</v>
      </c>
      <c r="BB94" s="3237"/>
      <c r="BC94" s="3237"/>
      <c r="BD94" s="3237"/>
      <c r="BE94" s="3237"/>
      <c r="BF94" s="3237"/>
      <c r="BG94" s="3237"/>
      <c r="BH94" s="3237"/>
      <c r="BI94" s="3237"/>
      <c r="BJ94" s="3237"/>
      <c r="BK94" s="3237"/>
      <c r="BL94" s="3237"/>
      <c r="BM94" s="3237"/>
      <c r="BN94" s="3237"/>
      <c r="BO94" s="3237"/>
      <c r="BP94" s="3237"/>
      <c r="BQ94" s="3237"/>
      <c r="BR94" s="3237"/>
      <c r="BS94" s="3237"/>
      <c r="BT94" s="3237"/>
      <c r="BU94" s="3237"/>
      <c r="BV94" s="3237"/>
      <c r="BW94" s="3237"/>
      <c r="BX94" s="3237"/>
      <c r="BY94" s="3237"/>
      <c r="BZ94" s="3237"/>
      <c r="CA94" s="3237"/>
      <c r="CB94" s="3237"/>
      <c r="CC94" s="3237"/>
      <c r="CD94" s="3237"/>
      <c r="CE94" s="3237"/>
      <c r="CF94" s="3237"/>
      <c r="CG94" s="3237"/>
      <c r="CH94" s="3237"/>
      <c r="CI94" s="3237">
        <f t="shared" si="11"/>
        <v>0</v>
      </c>
    </row>
    <row r="95" spans="1:87" s="2699" customFormat="1" ht="75">
      <c r="A95" s="2691" t="s">
        <v>3416</v>
      </c>
      <c r="B95" s="2691" t="s">
        <v>3417</v>
      </c>
      <c r="C95" s="2692" t="s">
        <v>2201</v>
      </c>
      <c r="D95" s="3459" t="s">
        <v>85</v>
      </c>
      <c r="E95" s="2693" t="s">
        <v>3573</v>
      </c>
      <c r="F95" s="2694">
        <v>1</v>
      </c>
      <c r="G95" s="3460"/>
      <c r="H95" s="3461">
        <v>0.48</v>
      </c>
      <c r="I95" s="3461">
        <v>0.4</v>
      </c>
      <c r="J95" s="3461">
        <v>0.08</v>
      </c>
      <c r="K95" s="3461">
        <v>1</v>
      </c>
      <c r="L95" s="3456">
        <v>48000</v>
      </c>
      <c r="M95" s="2696">
        <f t="shared" ref="M95:M110" si="13">L95/100000</f>
        <v>0.48</v>
      </c>
      <c r="N95" s="3456">
        <v>1</v>
      </c>
      <c r="O95" s="2954">
        <f t="shared" ref="O95:O104" si="14">M95*N95</f>
        <v>0.48</v>
      </c>
      <c r="P95" s="3457" t="s">
        <v>5336</v>
      </c>
      <c r="Q95" s="2698" t="str">
        <f>'Ab1. RMNCH+A'!Q468</f>
        <v>Ongoing activity : Rs 0.48 lakhs is approved  for PM activities for World population day celeberation (Only Mobility cost). For 12 Districts @ Rs.4000/District</v>
      </c>
      <c r="R95" s="3458">
        <f>'Ab1. RMNCH+A'!R468</f>
        <v>0.48</v>
      </c>
      <c r="S95" s="3388">
        <f>O95-R95</f>
        <v>0</v>
      </c>
      <c r="BB95" s="3239">
        <v>0.48</v>
      </c>
      <c r="BC95" s="3239"/>
      <c r="BD95" s="3239"/>
      <c r="BE95" s="3239"/>
      <c r="BF95" s="3239"/>
      <c r="BG95" s="3239"/>
      <c r="BH95" s="3239"/>
      <c r="BI95" s="3239"/>
      <c r="BJ95" s="3239"/>
      <c r="BK95" s="3239"/>
      <c r="BL95" s="3239"/>
      <c r="BM95" s="3239"/>
      <c r="BN95" s="3239"/>
      <c r="BO95" s="3239"/>
      <c r="BP95" s="3239"/>
      <c r="BQ95" s="3239"/>
      <c r="BR95" s="3239"/>
      <c r="BS95" s="3239"/>
      <c r="BT95" s="3239"/>
      <c r="BU95" s="3239"/>
      <c r="BV95" s="3239"/>
      <c r="BW95" s="3239"/>
      <c r="BX95" s="3239"/>
      <c r="BY95" s="3239"/>
      <c r="BZ95" s="3239"/>
      <c r="CA95" s="3239"/>
      <c r="CB95" s="3239"/>
      <c r="CC95" s="3239"/>
      <c r="CD95" s="3239"/>
      <c r="CE95" s="3239"/>
      <c r="CF95" s="3239"/>
      <c r="CG95" s="3239"/>
      <c r="CH95" s="3239"/>
      <c r="CI95" s="3239">
        <f t="shared" si="11"/>
        <v>0.48</v>
      </c>
    </row>
    <row r="96" spans="1:87" s="2699" customFormat="1" ht="75">
      <c r="A96" s="2691" t="s">
        <v>3418</v>
      </c>
      <c r="B96" s="2691" t="s">
        <v>3419</v>
      </c>
      <c r="C96" s="2692" t="s">
        <v>3982</v>
      </c>
      <c r="D96" s="3459" t="s">
        <v>85</v>
      </c>
      <c r="E96" s="2693" t="s">
        <v>3573</v>
      </c>
      <c r="F96" s="2694">
        <v>1</v>
      </c>
      <c r="G96" s="3460"/>
      <c r="H96" s="3461">
        <v>0.24</v>
      </c>
      <c r="I96" s="3461">
        <v>0.03</v>
      </c>
      <c r="J96" s="3461">
        <v>0.21</v>
      </c>
      <c r="K96" s="3461">
        <v>1</v>
      </c>
      <c r="L96" s="3456">
        <v>24000</v>
      </c>
      <c r="M96" s="2696">
        <f t="shared" si="13"/>
        <v>0.24</v>
      </c>
      <c r="N96" s="3456">
        <v>1</v>
      </c>
      <c r="O96" s="2954">
        <f t="shared" si="14"/>
        <v>0.24</v>
      </c>
      <c r="P96" s="3457" t="s">
        <v>5337</v>
      </c>
      <c r="Q96" s="2698" t="str">
        <f>'Ab1. RMNCH+A'!Q469</f>
        <v>Ongoing activity :Recommended for Rs 0.24 lakhs for PM activities for Vasectomy Fortnight  celeberation (Only Mobility cost) for 12 Districts @ Rs 2000/District</v>
      </c>
      <c r="R96" s="3458">
        <f>'Ab1. RMNCH+A'!R469</f>
        <v>0.24</v>
      </c>
      <c r="S96" s="3388">
        <f>O96-R96</f>
        <v>0</v>
      </c>
      <c r="BB96" s="3239">
        <v>0.24</v>
      </c>
      <c r="BC96" s="3239"/>
      <c r="BD96" s="3239"/>
      <c r="BE96" s="3239"/>
      <c r="BF96" s="3239"/>
      <c r="BG96" s="3239"/>
      <c r="BH96" s="3239"/>
      <c r="BI96" s="3239"/>
      <c r="BJ96" s="3239"/>
      <c r="BK96" s="3239"/>
      <c r="BL96" s="3239"/>
      <c r="BM96" s="3239"/>
      <c r="BN96" s="3239"/>
      <c r="BO96" s="3239"/>
      <c r="BP96" s="3239"/>
      <c r="BQ96" s="3239"/>
      <c r="BR96" s="3239"/>
      <c r="BS96" s="3239"/>
      <c r="BT96" s="3239"/>
      <c r="BU96" s="3239"/>
      <c r="BV96" s="3239"/>
      <c r="BW96" s="3239"/>
      <c r="BX96" s="3239"/>
      <c r="BY96" s="3239"/>
      <c r="BZ96" s="3239"/>
      <c r="CA96" s="3239"/>
      <c r="CB96" s="3239"/>
      <c r="CC96" s="3239"/>
      <c r="CD96" s="3239"/>
      <c r="CE96" s="3239"/>
      <c r="CF96" s="3239"/>
      <c r="CG96" s="3239"/>
      <c r="CH96" s="3239"/>
      <c r="CI96" s="3239">
        <f t="shared" si="11"/>
        <v>0.24</v>
      </c>
    </row>
    <row r="97" spans="1:87" ht="45">
      <c r="A97" s="548" t="s">
        <v>3420</v>
      </c>
      <c r="B97" s="548" t="s">
        <v>3421</v>
      </c>
      <c r="C97" s="551" t="s">
        <v>4232</v>
      </c>
      <c r="D97" s="908" t="s">
        <v>65</v>
      </c>
      <c r="E97" s="578" t="s">
        <v>3582</v>
      </c>
      <c r="F97" s="2240">
        <v>12</v>
      </c>
      <c r="G97" s="552">
        <v>12</v>
      </c>
      <c r="H97" s="552">
        <v>48</v>
      </c>
      <c r="I97" s="552">
        <v>7.19</v>
      </c>
      <c r="J97" s="552">
        <v>40.81</v>
      </c>
      <c r="K97" s="552"/>
      <c r="L97" s="277">
        <v>400000</v>
      </c>
      <c r="M97" s="553">
        <f t="shared" si="13"/>
        <v>4</v>
      </c>
      <c r="N97" s="277">
        <v>12</v>
      </c>
      <c r="O97" s="2950">
        <f t="shared" si="14"/>
        <v>48</v>
      </c>
      <c r="P97" s="734"/>
      <c r="Q97" s="3117" t="s">
        <v>5942</v>
      </c>
      <c r="R97" s="2966">
        <v>48</v>
      </c>
      <c r="S97" s="3116">
        <f>O97-R97</f>
        <v>0</v>
      </c>
      <c r="BB97" s="3237">
        <v>11</v>
      </c>
      <c r="BC97" s="3237">
        <v>3</v>
      </c>
      <c r="BD97" s="3237">
        <v>3</v>
      </c>
      <c r="BE97" s="3237">
        <v>3</v>
      </c>
      <c r="BF97" s="3237">
        <v>4</v>
      </c>
      <c r="BG97" s="3237">
        <v>2</v>
      </c>
      <c r="BH97" s="3237">
        <v>3</v>
      </c>
      <c r="BI97" s="3237">
        <v>2</v>
      </c>
      <c r="BJ97" s="3237">
        <v>4</v>
      </c>
      <c r="BK97" s="3237">
        <v>4</v>
      </c>
      <c r="BL97" s="3237">
        <v>3</v>
      </c>
      <c r="BM97" s="3237">
        <v>3</v>
      </c>
      <c r="BN97" s="3237">
        <v>3</v>
      </c>
      <c r="BO97" s="3237"/>
      <c r="BP97" s="3237"/>
      <c r="BQ97" s="3237"/>
      <c r="BR97" s="3237"/>
      <c r="BS97" s="3237"/>
      <c r="BT97" s="3237"/>
      <c r="BU97" s="3237"/>
      <c r="BV97" s="3237"/>
      <c r="BW97" s="3237"/>
      <c r="BX97" s="3237"/>
      <c r="BY97" s="3237"/>
      <c r="BZ97" s="3237"/>
      <c r="CA97" s="3237"/>
      <c r="CB97" s="3237"/>
      <c r="CC97" s="3237"/>
      <c r="CD97" s="3237"/>
      <c r="CE97" s="3237"/>
      <c r="CF97" s="3237"/>
      <c r="CG97" s="3237"/>
      <c r="CH97" s="3237"/>
      <c r="CI97" s="3237">
        <f t="shared" si="11"/>
        <v>48</v>
      </c>
    </row>
    <row r="98" spans="1:87" ht="30">
      <c r="A98" s="548" t="s">
        <v>3422</v>
      </c>
      <c r="B98" s="548" t="s">
        <v>3423</v>
      </c>
      <c r="C98" s="551" t="s">
        <v>2186</v>
      </c>
      <c r="D98" s="908" t="s">
        <v>65</v>
      </c>
      <c r="E98" s="608" t="s">
        <v>3238</v>
      </c>
      <c r="F98" s="2236">
        <v>0</v>
      </c>
      <c r="G98" s="552"/>
      <c r="H98" s="552"/>
      <c r="I98" s="552"/>
      <c r="J98" s="552"/>
      <c r="K98" s="552"/>
      <c r="L98" s="277"/>
      <c r="M98" s="553">
        <f t="shared" si="13"/>
        <v>0</v>
      </c>
      <c r="N98" s="277"/>
      <c r="O98" s="2950">
        <f t="shared" si="14"/>
        <v>0</v>
      </c>
      <c r="P98" s="734"/>
      <c r="Q98" s="1022"/>
      <c r="R98" s="2966"/>
      <c r="BB98" s="3237"/>
      <c r="BC98" s="3237"/>
      <c r="BD98" s="3237"/>
      <c r="BE98" s="3237"/>
      <c r="BF98" s="3237"/>
      <c r="BG98" s="3237"/>
      <c r="BH98" s="3237"/>
      <c r="BI98" s="3237"/>
      <c r="BJ98" s="3237"/>
      <c r="BK98" s="3237"/>
      <c r="BL98" s="3237"/>
      <c r="BM98" s="3237"/>
      <c r="BN98" s="3237"/>
      <c r="BO98" s="3237"/>
      <c r="BP98" s="3237"/>
      <c r="BQ98" s="3237"/>
      <c r="BR98" s="3237"/>
      <c r="BS98" s="3237"/>
      <c r="BT98" s="3237"/>
      <c r="BU98" s="3237"/>
      <c r="BV98" s="3237"/>
      <c r="BW98" s="3237"/>
      <c r="BX98" s="3237"/>
      <c r="BY98" s="3237"/>
      <c r="BZ98" s="3237"/>
      <c r="CA98" s="3237"/>
      <c r="CB98" s="3237"/>
      <c r="CC98" s="3237"/>
      <c r="CD98" s="3237"/>
      <c r="CE98" s="3237"/>
      <c r="CF98" s="3237"/>
      <c r="CG98" s="3237"/>
      <c r="CH98" s="3237"/>
      <c r="CI98" s="3237">
        <f t="shared" si="11"/>
        <v>0</v>
      </c>
    </row>
    <row r="99" spans="1:87" ht="45">
      <c r="A99" s="548" t="s">
        <v>3424</v>
      </c>
      <c r="B99" s="548" t="s">
        <v>3425</v>
      </c>
      <c r="C99" s="551" t="s">
        <v>2187</v>
      </c>
      <c r="D99" s="908" t="s">
        <v>65</v>
      </c>
      <c r="E99" s="608" t="s">
        <v>3575</v>
      </c>
      <c r="F99" s="2236">
        <v>0</v>
      </c>
      <c r="G99" s="552"/>
      <c r="H99" s="552"/>
      <c r="I99" s="552"/>
      <c r="J99" s="552"/>
      <c r="K99" s="552"/>
      <c r="L99" s="277"/>
      <c r="M99" s="553">
        <f t="shared" si="13"/>
        <v>0</v>
      </c>
      <c r="N99" s="277"/>
      <c r="O99" s="2950">
        <f t="shared" si="14"/>
        <v>0</v>
      </c>
      <c r="P99" s="734"/>
      <c r="Q99" s="1017">
        <f>'Ab3. ASHA'!Q106</f>
        <v>0</v>
      </c>
      <c r="R99" s="2967">
        <f>'Ab3. ASHA'!R106</f>
        <v>0</v>
      </c>
      <c r="BB99" s="3237"/>
      <c r="BC99" s="3237"/>
      <c r="BD99" s="3237"/>
      <c r="BE99" s="3237"/>
      <c r="BF99" s="3237"/>
      <c r="BG99" s="3237"/>
      <c r="BH99" s="3237"/>
      <c r="BI99" s="3237"/>
      <c r="BJ99" s="3237"/>
      <c r="BK99" s="3237"/>
      <c r="BL99" s="3237"/>
      <c r="BM99" s="3237"/>
      <c r="BN99" s="3237"/>
      <c r="BO99" s="3237"/>
      <c r="BP99" s="3237"/>
      <c r="BQ99" s="3237"/>
      <c r="BR99" s="3237"/>
      <c r="BS99" s="3237"/>
      <c r="BT99" s="3237"/>
      <c r="BU99" s="3237"/>
      <c r="BV99" s="3237"/>
      <c r="BW99" s="3237"/>
      <c r="BX99" s="3237"/>
      <c r="BY99" s="3237"/>
      <c r="BZ99" s="3237"/>
      <c r="CA99" s="3237"/>
      <c r="CB99" s="3237"/>
      <c r="CC99" s="3237"/>
      <c r="CD99" s="3237"/>
      <c r="CE99" s="3237"/>
      <c r="CF99" s="3237"/>
      <c r="CG99" s="3237"/>
      <c r="CH99" s="3237"/>
      <c r="CI99" s="3237">
        <f t="shared" si="11"/>
        <v>0</v>
      </c>
    </row>
    <row r="100" spans="1:87">
      <c r="A100" s="548" t="s">
        <v>3426</v>
      </c>
      <c r="B100" s="548" t="s">
        <v>3427</v>
      </c>
      <c r="C100" s="551" t="s">
        <v>2202</v>
      </c>
      <c r="D100" s="913" t="s">
        <v>80</v>
      </c>
      <c r="E100" s="608" t="s">
        <v>4549</v>
      </c>
      <c r="F100" s="2236">
        <v>0</v>
      </c>
      <c r="G100" s="552"/>
      <c r="H100" s="552"/>
      <c r="I100" s="552"/>
      <c r="J100" s="552"/>
      <c r="K100" s="552"/>
      <c r="L100" s="277"/>
      <c r="M100" s="553">
        <f t="shared" si="13"/>
        <v>0</v>
      </c>
      <c r="N100" s="277"/>
      <c r="O100" s="2950">
        <f t="shared" si="14"/>
        <v>0</v>
      </c>
      <c r="P100" s="734"/>
      <c r="Q100" s="1017">
        <f>'Abs23. NPPCF'!Q21</f>
        <v>0</v>
      </c>
      <c r="R100" s="2967">
        <f>'Abs23. NPPCF'!R21</f>
        <v>0</v>
      </c>
      <c r="BB100" s="3237"/>
      <c r="BC100" s="3237"/>
      <c r="BD100" s="3237"/>
      <c r="BE100" s="3237"/>
      <c r="BF100" s="3237"/>
      <c r="BG100" s="3237"/>
      <c r="BH100" s="3237"/>
      <c r="BI100" s="3237"/>
      <c r="BJ100" s="3237"/>
      <c r="BK100" s="3237"/>
      <c r="BL100" s="3237"/>
      <c r="BM100" s="3237"/>
      <c r="BN100" s="3237"/>
      <c r="BO100" s="3237"/>
      <c r="BP100" s="3237"/>
      <c r="BQ100" s="3237"/>
      <c r="BR100" s="3237"/>
      <c r="BS100" s="3237"/>
      <c r="BT100" s="3237"/>
      <c r="BU100" s="3237"/>
      <c r="BV100" s="3237"/>
      <c r="BW100" s="3237"/>
      <c r="BX100" s="3237"/>
      <c r="BY100" s="3237"/>
      <c r="BZ100" s="3237"/>
      <c r="CA100" s="3237"/>
      <c r="CB100" s="3237"/>
      <c r="CC100" s="3237"/>
      <c r="CD100" s="3237"/>
      <c r="CE100" s="3237"/>
      <c r="CF100" s="3237"/>
      <c r="CG100" s="3237"/>
      <c r="CH100" s="3237"/>
      <c r="CI100" s="3237">
        <f t="shared" si="11"/>
        <v>0</v>
      </c>
    </row>
    <row r="101" spans="1:87" s="2699" customFormat="1" ht="30">
      <c r="A101" s="2691" t="s">
        <v>3428</v>
      </c>
      <c r="B101" s="2691" t="s">
        <v>3429</v>
      </c>
      <c r="C101" s="2692" t="s">
        <v>2203</v>
      </c>
      <c r="D101" s="3459" t="s">
        <v>85</v>
      </c>
      <c r="E101" s="2693" t="s">
        <v>3570</v>
      </c>
      <c r="F101" s="2694">
        <v>12</v>
      </c>
      <c r="G101" s="2695"/>
      <c r="H101" s="2695">
        <v>36</v>
      </c>
      <c r="I101" s="3452">
        <v>1.76</v>
      </c>
      <c r="J101" s="3452">
        <v>34.24</v>
      </c>
      <c r="K101" s="3453">
        <v>1</v>
      </c>
      <c r="L101" s="3454">
        <v>205000</v>
      </c>
      <c r="M101" s="2696">
        <f t="shared" si="13"/>
        <v>2.0499999999999998</v>
      </c>
      <c r="N101" s="2697">
        <v>12</v>
      </c>
      <c r="O101" s="2954">
        <f t="shared" si="14"/>
        <v>24.599999999999998</v>
      </c>
      <c r="P101" s="3455" t="s">
        <v>5414</v>
      </c>
      <c r="Q101" s="2698" t="str">
        <f>'Ab1. RMNCH+A'!Q470</f>
        <v>to be bet out from budget approved under FMR 16.1.1</v>
      </c>
      <c r="R101" s="3458">
        <f>'Ab1. RMNCH+A'!R470</f>
        <v>24.599999999999998</v>
      </c>
      <c r="S101" s="3388">
        <f>O101-R101</f>
        <v>0</v>
      </c>
      <c r="BB101" s="3239">
        <v>24.6</v>
      </c>
      <c r="BC101" s="3239"/>
      <c r="BD101" s="3239"/>
      <c r="BE101" s="3239"/>
      <c r="BF101" s="3239"/>
      <c r="BG101" s="3239"/>
      <c r="BH101" s="3239"/>
      <c r="BI101" s="3239"/>
      <c r="BJ101" s="3239"/>
      <c r="BK101" s="3239"/>
      <c r="BL101" s="3239"/>
      <c r="BM101" s="3239"/>
      <c r="BN101" s="3239"/>
      <c r="BO101" s="3239"/>
      <c r="BP101" s="3239"/>
      <c r="BQ101" s="3239"/>
      <c r="BR101" s="3239"/>
      <c r="BS101" s="3239"/>
      <c r="BT101" s="3239"/>
      <c r="BU101" s="3239"/>
      <c r="BV101" s="3239"/>
      <c r="BW101" s="3239"/>
      <c r="BX101" s="3239"/>
      <c r="BY101" s="3239"/>
      <c r="BZ101" s="3239"/>
      <c r="CA101" s="3239"/>
      <c r="CB101" s="3239"/>
      <c r="CC101" s="3239"/>
      <c r="CD101" s="3239"/>
      <c r="CE101" s="3239"/>
      <c r="CF101" s="3239"/>
      <c r="CG101" s="3239"/>
      <c r="CH101" s="3239"/>
      <c r="CI101" s="3239">
        <f t="shared" si="11"/>
        <v>24.6</v>
      </c>
    </row>
    <row r="102" spans="1:87" s="1770" customFormat="1" ht="60">
      <c r="A102" s="548" t="s">
        <v>3430</v>
      </c>
      <c r="B102" s="548" t="s">
        <v>3431</v>
      </c>
      <c r="C102" s="558" t="s">
        <v>2204</v>
      </c>
      <c r="D102" s="2254" t="s">
        <v>4219</v>
      </c>
      <c r="E102" s="609" t="s">
        <v>3576</v>
      </c>
      <c r="F102" s="2238">
        <v>12</v>
      </c>
      <c r="G102" s="560">
        <v>0</v>
      </c>
      <c r="H102" s="560">
        <v>12</v>
      </c>
      <c r="I102" s="2605">
        <v>1.96</v>
      </c>
      <c r="J102" s="2605">
        <v>5</v>
      </c>
      <c r="K102" s="2605">
        <v>12</v>
      </c>
      <c r="L102" s="2545">
        <v>100000</v>
      </c>
      <c r="M102" s="569">
        <f t="shared" si="13"/>
        <v>1</v>
      </c>
      <c r="N102" s="2545">
        <v>12</v>
      </c>
      <c r="O102" s="2951">
        <f t="shared" si="14"/>
        <v>12</v>
      </c>
      <c r="P102" s="735"/>
      <c r="Q102" s="2698" t="str">
        <f>'Abs8. IDSP'!Q32</f>
        <v xml:space="preserve">Recommended. </v>
      </c>
      <c r="R102" s="2968">
        <f>'Abs8. IDSP'!R32</f>
        <v>12</v>
      </c>
      <c r="S102" s="3116">
        <f>O102-R102</f>
        <v>0</v>
      </c>
      <c r="BB102" s="3238">
        <v>2</v>
      </c>
      <c r="BC102" s="3238">
        <v>0.5</v>
      </c>
      <c r="BD102" s="3238">
        <v>0.5</v>
      </c>
      <c r="BE102" s="3238">
        <v>0.5</v>
      </c>
      <c r="BF102" s="3238">
        <v>2</v>
      </c>
      <c r="BG102" s="3238">
        <v>0.3</v>
      </c>
      <c r="BH102" s="3238">
        <v>0.5</v>
      </c>
      <c r="BI102" s="3238">
        <v>0.2</v>
      </c>
      <c r="BJ102" s="3238">
        <v>2</v>
      </c>
      <c r="BK102" s="3238">
        <v>2</v>
      </c>
      <c r="BL102" s="3238">
        <v>0.5</v>
      </c>
      <c r="BM102" s="3238">
        <v>0.5</v>
      </c>
      <c r="BN102" s="3238">
        <v>0.5</v>
      </c>
      <c r="BO102" s="3238"/>
      <c r="BP102" s="3238"/>
      <c r="BQ102" s="3238"/>
      <c r="BR102" s="3238"/>
      <c r="BS102" s="3238"/>
      <c r="BT102" s="3238"/>
      <c r="BU102" s="3238"/>
      <c r="BV102" s="3238"/>
      <c r="BW102" s="3238"/>
      <c r="BX102" s="3238"/>
      <c r="BY102" s="3238"/>
      <c r="BZ102" s="3238"/>
      <c r="CA102" s="3238"/>
      <c r="CB102" s="3238"/>
      <c r="CC102" s="3238"/>
      <c r="CD102" s="3238"/>
      <c r="CE102" s="3238"/>
      <c r="CF102" s="3238"/>
      <c r="CG102" s="3238"/>
      <c r="CH102" s="3238"/>
      <c r="CI102" s="3237">
        <f t="shared" si="11"/>
        <v>12</v>
      </c>
    </row>
    <row r="103" spans="1:87" s="1770" customFormat="1" ht="45">
      <c r="A103" s="548" t="s">
        <v>3432</v>
      </c>
      <c r="B103" s="548" t="s">
        <v>3433</v>
      </c>
      <c r="C103" s="558" t="s">
        <v>2190</v>
      </c>
      <c r="D103" s="2254" t="s">
        <v>4219</v>
      </c>
      <c r="E103" s="609" t="s">
        <v>4715</v>
      </c>
      <c r="F103" s="2238">
        <v>12</v>
      </c>
      <c r="G103" s="560">
        <v>0</v>
      </c>
      <c r="H103" s="560">
        <v>12</v>
      </c>
      <c r="I103" s="2605">
        <v>0.93</v>
      </c>
      <c r="J103" s="2605">
        <v>5</v>
      </c>
      <c r="K103" s="2605">
        <v>12</v>
      </c>
      <c r="L103" s="2545">
        <v>50000</v>
      </c>
      <c r="M103" s="569">
        <f t="shared" si="13"/>
        <v>0.5</v>
      </c>
      <c r="N103" s="283">
        <v>12</v>
      </c>
      <c r="O103" s="2951">
        <f t="shared" si="14"/>
        <v>6</v>
      </c>
      <c r="P103" s="735"/>
      <c r="Q103" s="2698" t="str">
        <f>'Abs9. NVBDCP'!Q124</f>
        <v xml:space="preserve">Activity Recommended. </v>
      </c>
      <c r="R103" s="2971">
        <f>'Abs9. NVBDCP'!R124</f>
        <v>6</v>
      </c>
      <c r="S103" s="3116">
        <f>O103-R103</f>
        <v>0</v>
      </c>
      <c r="BB103" s="3238"/>
      <c r="BC103" s="3238">
        <v>0.7</v>
      </c>
      <c r="BD103" s="3238">
        <v>0.5</v>
      </c>
      <c r="BE103" s="3238">
        <v>0.5</v>
      </c>
      <c r="BF103" s="3238">
        <v>0.7</v>
      </c>
      <c r="BG103" s="3238">
        <v>0</v>
      </c>
      <c r="BH103" s="3238">
        <v>0.5</v>
      </c>
      <c r="BI103" s="3238">
        <v>0</v>
      </c>
      <c r="BJ103" s="3238">
        <v>0.5</v>
      </c>
      <c r="BK103" s="3238">
        <v>0.5</v>
      </c>
      <c r="BL103" s="3238">
        <v>0.7</v>
      </c>
      <c r="BM103" s="3238">
        <v>0.7</v>
      </c>
      <c r="BN103" s="3238">
        <v>0.7</v>
      </c>
      <c r="BO103" s="3238"/>
      <c r="BP103" s="3238"/>
      <c r="BQ103" s="3238"/>
      <c r="BR103" s="3238"/>
      <c r="BS103" s="3238"/>
      <c r="BT103" s="3238"/>
      <c r="BU103" s="3238"/>
      <c r="BV103" s="3238"/>
      <c r="BW103" s="3238"/>
      <c r="BX103" s="3238"/>
      <c r="BY103" s="3238"/>
      <c r="BZ103" s="3238"/>
      <c r="CA103" s="3238"/>
      <c r="CB103" s="3238"/>
      <c r="CC103" s="3238"/>
      <c r="CD103" s="3238"/>
      <c r="CE103" s="3238"/>
      <c r="CF103" s="3238"/>
      <c r="CG103" s="3238"/>
      <c r="CH103" s="3238"/>
      <c r="CI103" s="3237">
        <f t="shared" si="11"/>
        <v>6</v>
      </c>
    </row>
    <row r="104" spans="1:87" ht="30">
      <c r="A104" s="548" t="s">
        <v>3434</v>
      </c>
      <c r="B104" s="548" t="s">
        <v>3435</v>
      </c>
      <c r="C104" s="551" t="s">
        <v>2205</v>
      </c>
      <c r="D104" s="1007" t="s">
        <v>4219</v>
      </c>
      <c r="E104" s="608" t="s">
        <v>3578</v>
      </c>
      <c r="F104" s="2236">
        <v>7</v>
      </c>
      <c r="G104" s="566"/>
      <c r="H104" s="566">
        <v>1.4</v>
      </c>
      <c r="I104" s="566"/>
      <c r="J104" s="566">
        <v>1.4</v>
      </c>
      <c r="K104" s="566"/>
      <c r="L104" s="277"/>
      <c r="M104" s="553">
        <f t="shared" si="13"/>
        <v>0</v>
      </c>
      <c r="N104" s="277"/>
      <c r="O104" s="2950">
        <f t="shared" si="14"/>
        <v>0</v>
      </c>
      <c r="P104" s="734"/>
      <c r="Q104" s="1017">
        <f>'Abs10. NLEP'!Q40</f>
        <v>0</v>
      </c>
      <c r="R104" s="2969">
        <f>'Abs10. NLEP'!R40</f>
        <v>0</v>
      </c>
      <c r="BB104" s="3237"/>
      <c r="BC104" s="3237"/>
      <c r="BD104" s="3237"/>
      <c r="BE104" s="3237"/>
      <c r="BF104" s="3237"/>
      <c r="BG104" s="3237"/>
      <c r="BH104" s="3237"/>
      <c r="BI104" s="3237"/>
      <c r="BJ104" s="3237"/>
      <c r="BK104" s="3237"/>
      <c r="BL104" s="3237"/>
      <c r="BM104" s="3237"/>
      <c r="BN104" s="3237"/>
      <c r="BO104" s="3237"/>
      <c r="BP104" s="3237"/>
      <c r="BQ104" s="3237"/>
      <c r="BR104" s="3237"/>
      <c r="BS104" s="3237"/>
      <c r="BT104" s="3237"/>
      <c r="BU104" s="3237"/>
      <c r="BV104" s="3237"/>
      <c r="BW104" s="3237"/>
      <c r="BX104" s="3237"/>
      <c r="BY104" s="3237"/>
      <c r="BZ104" s="3237"/>
      <c r="CA104" s="3237"/>
      <c r="CB104" s="3237"/>
      <c r="CC104" s="3237"/>
      <c r="CD104" s="3237"/>
      <c r="CE104" s="3237"/>
      <c r="CF104" s="3237"/>
      <c r="CG104" s="3237"/>
      <c r="CH104" s="3237"/>
      <c r="CI104" s="3237">
        <f t="shared" si="11"/>
        <v>0</v>
      </c>
    </row>
    <row r="105" spans="1:87">
      <c r="A105" s="548" t="s">
        <v>3436</v>
      </c>
      <c r="B105" s="548" t="s">
        <v>3437</v>
      </c>
      <c r="C105" s="551" t="s">
        <v>2206</v>
      </c>
      <c r="D105" s="1007" t="s">
        <v>4219</v>
      </c>
      <c r="E105" s="608" t="s">
        <v>3578</v>
      </c>
      <c r="F105" s="2236">
        <v>12</v>
      </c>
      <c r="G105" s="566"/>
      <c r="H105" s="566">
        <v>20</v>
      </c>
      <c r="I105" s="566">
        <v>0.63</v>
      </c>
      <c r="J105" s="566">
        <v>19.37</v>
      </c>
      <c r="K105" s="566"/>
      <c r="L105" s="277"/>
      <c r="M105" s="553">
        <f t="shared" si="13"/>
        <v>0</v>
      </c>
      <c r="N105" s="277"/>
      <c r="O105" s="2952">
        <f t="shared" ref="O105:O110" si="15">M105*N105</f>
        <v>0</v>
      </c>
      <c r="P105" s="736"/>
      <c r="Q105" s="1017">
        <f>'Abs10. NLEP'!Q41</f>
        <v>0</v>
      </c>
      <c r="R105" s="2969">
        <f>'Abs10. NLEP'!R41</f>
        <v>0</v>
      </c>
      <c r="BB105" s="3237"/>
      <c r="BC105" s="3237"/>
      <c r="BD105" s="3237"/>
      <c r="BE105" s="3237"/>
      <c r="BF105" s="3237"/>
      <c r="BG105" s="3237"/>
      <c r="BH105" s="3237"/>
      <c r="BI105" s="3237"/>
      <c r="BJ105" s="3237"/>
      <c r="BK105" s="3237"/>
      <c r="BL105" s="3237"/>
      <c r="BM105" s="3237"/>
      <c r="BN105" s="3237"/>
      <c r="BO105" s="3237"/>
      <c r="BP105" s="3237"/>
      <c r="BQ105" s="3237"/>
      <c r="BR105" s="3237"/>
      <c r="BS105" s="3237"/>
      <c r="BT105" s="3237"/>
      <c r="BU105" s="3237"/>
      <c r="BV105" s="3237"/>
      <c r="BW105" s="3237"/>
      <c r="BX105" s="3237"/>
      <c r="BY105" s="3237"/>
      <c r="BZ105" s="3237"/>
      <c r="CA105" s="3237"/>
      <c r="CB105" s="3237"/>
      <c r="CC105" s="3237"/>
      <c r="CD105" s="3237"/>
      <c r="CE105" s="3237"/>
      <c r="CF105" s="3237"/>
      <c r="CG105" s="3237"/>
      <c r="CH105" s="3237"/>
      <c r="CI105" s="3237">
        <f t="shared" si="11"/>
        <v>0</v>
      </c>
    </row>
    <row r="106" spans="1:87" ht="30">
      <c r="A106" s="548" t="s">
        <v>3438</v>
      </c>
      <c r="B106" s="548" t="s">
        <v>3439</v>
      </c>
      <c r="C106" s="551" t="s">
        <v>2207</v>
      </c>
      <c r="D106" s="1007" t="s">
        <v>4219</v>
      </c>
      <c r="E106" s="608" t="s">
        <v>4524</v>
      </c>
      <c r="F106" s="2236">
        <v>0</v>
      </c>
      <c r="G106" s="552"/>
      <c r="H106" s="552"/>
      <c r="I106" s="552"/>
      <c r="J106" s="552"/>
      <c r="K106" s="552"/>
      <c r="L106" s="277"/>
      <c r="M106" s="553">
        <f t="shared" si="13"/>
        <v>0</v>
      </c>
      <c r="N106" s="277"/>
      <c r="O106" s="2950">
        <f t="shared" si="15"/>
        <v>0</v>
      </c>
      <c r="P106" s="734"/>
      <c r="Q106" s="1017">
        <f>'Abs11. NTEP'!Q61</f>
        <v>0</v>
      </c>
      <c r="R106" s="2969">
        <f>'Abs11. NTEP'!R61</f>
        <v>0</v>
      </c>
      <c r="BB106" s="3237"/>
      <c r="BC106" s="3237"/>
      <c r="BD106" s="3237"/>
      <c r="BE106" s="3237"/>
      <c r="BF106" s="3237"/>
      <c r="BG106" s="3237"/>
      <c r="BH106" s="3237"/>
      <c r="BI106" s="3237"/>
      <c r="BJ106" s="3237"/>
      <c r="BK106" s="3237"/>
      <c r="BL106" s="3237"/>
      <c r="BM106" s="3237"/>
      <c r="BN106" s="3237"/>
      <c r="BO106" s="3237"/>
      <c r="BP106" s="3237"/>
      <c r="BQ106" s="3237"/>
      <c r="BR106" s="3237"/>
      <c r="BS106" s="3237"/>
      <c r="BT106" s="3237"/>
      <c r="BU106" s="3237"/>
      <c r="BV106" s="3237"/>
      <c r="BW106" s="3237"/>
      <c r="BX106" s="3237"/>
      <c r="BY106" s="3237"/>
      <c r="BZ106" s="3237"/>
      <c r="CA106" s="3237"/>
      <c r="CB106" s="3237"/>
      <c r="CC106" s="3237"/>
      <c r="CD106" s="3237"/>
      <c r="CE106" s="3237"/>
      <c r="CF106" s="3237"/>
      <c r="CG106" s="3237"/>
      <c r="CH106" s="3237"/>
      <c r="CI106" s="3237">
        <f t="shared" si="11"/>
        <v>0</v>
      </c>
    </row>
    <row r="107" spans="1:87" s="2699" customFormat="1">
      <c r="A107" s="2691" t="s">
        <v>3440</v>
      </c>
      <c r="B107" s="2691" t="s">
        <v>3441</v>
      </c>
      <c r="C107" s="2692" t="s">
        <v>2208</v>
      </c>
      <c r="D107" s="3389" t="s">
        <v>80</v>
      </c>
      <c r="E107" s="2693" t="s">
        <v>3571</v>
      </c>
      <c r="F107" s="2694">
        <v>0</v>
      </c>
      <c r="G107" s="2695"/>
      <c r="H107" s="2695"/>
      <c r="I107" s="2695"/>
      <c r="J107" s="2695"/>
      <c r="K107" s="2695"/>
      <c r="L107" s="2697"/>
      <c r="M107" s="2696">
        <f t="shared" si="13"/>
        <v>0</v>
      </c>
      <c r="N107" s="2697"/>
      <c r="O107" s="2954">
        <f t="shared" si="15"/>
        <v>0</v>
      </c>
      <c r="P107" s="3390"/>
      <c r="Q107" s="2698" t="str">
        <f>'Abs16. NMHP'!Q31</f>
        <v>Approval shifted from FMR 16.1.4.2.7</v>
      </c>
      <c r="R107" s="2972">
        <f>'Abs16. NMHP'!R31</f>
        <v>2.88</v>
      </c>
      <c r="S107" s="3388">
        <f>O107-R107</f>
        <v>-2.88</v>
      </c>
      <c r="BB107" s="3239">
        <v>2.88</v>
      </c>
      <c r="BC107" s="3239"/>
      <c r="BD107" s="3239"/>
      <c r="BE107" s="3239"/>
      <c r="BF107" s="3239"/>
      <c r="BG107" s="3239"/>
      <c r="BH107" s="3239"/>
      <c r="BI107" s="3239"/>
      <c r="BJ107" s="3239"/>
      <c r="BK107" s="3239"/>
      <c r="BL107" s="3239"/>
      <c r="BM107" s="3239"/>
      <c r="BN107" s="3239"/>
      <c r="BO107" s="3239"/>
      <c r="BP107" s="3239"/>
      <c r="BQ107" s="3239"/>
      <c r="BR107" s="3239"/>
      <c r="BS107" s="3239"/>
      <c r="BT107" s="3239"/>
      <c r="BU107" s="3239"/>
      <c r="BV107" s="3239"/>
      <c r="BW107" s="3239"/>
      <c r="BX107" s="3239"/>
      <c r="BY107" s="3239"/>
      <c r="BZ107" s="3239"/>
      <c r="CA107" s="3239"/>
      <c r="CB107" s="3239"/>
      <c r="CC107" s="3239"/>
      <c r="CD107" s="3239"/>
      <c r="CE107" s="3239"/>
      <c r="CF107" s="3239"/>
      <c r="CG107" s="3239"/>
      <c r="CH107" s="3239"/>
      <c r="CI107" s="3239">
        <f t="shared" si="11"/>
        <v>2.88</v>
      </c>
    </row>
    <row r="108" spans="1:87">
      <c r="A108" s="548" t="s">
        <v>3442</v>
      </c>
      <c r="B108" s="548" t="s">
        <v>3443</v>
      </c>
      <c r="C108" s="551" t="s">
        <v>2209</v>
      </c>
      <c r="D108" s="1549" t="s">
        <v>80</v>
      </c>
      <c r="E108" s="608" t="s">
        <v>3579</v>
      </c>
      <c r="F108" s="2236">
        <v>1</v>
      </c>
      <c r="G108" s="552"/>
      <c r="H108" s="552">
        <v>0.5</v>
      </c>
      <c r="I108" s="552">
        <v>0.34</v>
      </c>
      <c r="J108" s="552">
        <v>0.16</v>
      </c>
      <c r="K108" s="552"/>
      <c r="L108" s="277"/>
      <c r="M108" s="553">
        <f t="shared" si="13"/>
        <v>0</v>
      </c>
      <c r="N108" s="277"/>
      <c r="O108" s="2950">
        <f t="shared" si="15"/>
        <v>0</v>
      </c>
      <c r="P108" s="734"/>
      <c r="Q108" s="1017">
        <f>'Abs18. NTCP'!Q31</f>
        <v>0</v>
      </c>
      <c r="R108" s="2969">
        <f>'Abs18. NTCP'!R31</f>
        <v>0</v>
      </c>
      <c r="BB108" s="3237"/>
      <c r="BC108" s="3237"/>
      <c r="BD108" s="3237"/>
      <c r="BE108" s="3237"/>
      <c r="BF108" s="3237"/>
      <c r="BG108" s="3237"/>
      <c r="BH108" s="3237"/>
      <c r="BI108" s="3237"/>
      <c r="BJ108" s="3237"/>
      <c r="BK108" s="3237"/>
      <c r="BL108" s="3237"/>
      <c r="BM108" s="3237"/>
      <c r="BN108" s="3237"/>
      <c r="BO108" s="3237"/>
      <c r="BP108" s="3237"/>
      <c r="BQ108" s="3237"/>
      <c r="BR108" s="3237"/>
      <c r="BS108" s="3237"/>
      <c r="BT108" s="3237"/>
      <c r="BU108" s="3237"/>
      <c r="BV108" s="3237"/>
      <c r="BW108" s="3237"/>
      <c r="BX108" s="3237"/>
      <c r="BY108" s="3237"/>
      <c r="BZ108" s="3237"/>
      <c r="CA108" s="3237"/>
      <c r="CB108" s="3237"/>
      <c r="CC108" s="3237"/>
      <c r="CD108" s="3237"/>
      <c r="CE108" s="3237"/>
      <c r="CF108" s="3237"/>
      <c r="CG108" s="3237"/>
      <c r="CH108" s="3237"/>
      <c r="CI108" s="3237">
        <f t="shared" si="11"/>
        <v>0</v>
      </c>
    </row>
    <row r="109" spans="1:87">
      <c r="A109" s="548" t="s">
        <v>3444</v>
      </c>
      <c r="B109" s="548" t="s">
        <v>3445</v>
      </c>
      <c r="C109" s="551" t="s">
        <v>2210</v>
      </c>
      <c r="D109" s="1549" t="s">
        <v>80</v>
      </c>
      <c r="E109" s="608" t="s">
        <v>3581</v>
      </c>
      <c r="F109" s="2236">
        <v>0</v>
      </c>
      <c r="G109" s="552"/>
      <c r="H109" s="552"/>
      <c r="I109" s="552"/>
      <c r="J109" s="552"/>
      <c r="K109" s="552"/>
      <c r="L109" s="277"/>
      <c r="M109" s="553">
        <f t="shared" si="13"/>
        <v>0</v>
      </c>
      <c r="N109" s="277"/>
      <c r="O109" s="2950">
        <f t="shared" si="15"/>
        <v>0</v>
      </c>
      <c r="P109" s="734"/>
      <c r="Q109" s="1017">
        <f>'Abs19. NPCDCS'!Q66</f>
        <v>0</v>
      </c>
      <c r="R109" s="2969">
        <f>'Abs19. NPCDCS'!R66</f>
        <v>0</v>
      </c>
      <c r="BB109" s="3237"/>
      <c r="BC109" s="3237"/>
      <c r="BD109" s="3237"/>
      <c r="BE109" s="3237"/>
      <c r="BF109" s="3237"/>
      <c r="BG109" s="3237"/>
      <c r="BH109" s="3237"/>
      <c r="BI109" s="3237"/>
      <c r="BJ109" s="3237"/>
      <c r="BK109" s="3237"/>
      <c r="BL109" s="3237"/>
      <c r="BM109" s="3237"/>
      <c r="BN109" s="3237"/>
      <c r="BO109" s="3237"/>
      <c r="BP109" s="3237"/>
      <c r="BQ109" s="3237"/>
      <c r="BR109" s="3237"/>
      <c r="BS109" s="3237"/>
      <c r="BT109" s="3237"/>
      <c r="BU109" s="3237"/>
      <c r="BV109" s="3237"/>
      <c r="BW109" s="3237"/>
      <c r="BX109" s="3237"/>
      <c r="BY109" s="3237"/>
      <c r="BZ109" s="3237"/>
      <c r="CA109" s="3237"/>
      <c r="CB109" s="3237"/>
      <c r="CC109" s="3237"/>
      <c r="CD109" s="3237"/>
      <c r="CE109" s="3237"/>
      <c r="CF109" s="3237"/>
      <c r="CG109" s="3237"/>
      <c r="CH109" s="3237"/>
      <c r="CI109" s="3237">
        <f t="shared" si="11"/>
        <v>0</v>
      </c>
    </row>
    <row r="110" spans="1:87" ht="38.25">
      <c r="A110" s="548" t="s">
        <v>4477</v>
      </c>
      <c r="B110" s="548" t="s">
        <v>3446</v>
      </c>
      <c r="C110" s="576" t="s">
        <v>302</v>
      </c>
      <c r="D110" s="908" t="s">
        <v>65</v>
      </c>
      <c r="E110" s="608" t="s">
        <v>3238</v>
      </c>
      <c r="F110" s="2239">
        <v>12</v>
      </c>
      <c r="G110" s="560">
        <v>12</v>
      </c>
      <c r="H110" s="560">
        <v>40</v>
      </c>
      <c r="I110" s="560">
        <v>6.04</v>
      </c>
      <c r="J110" s="560"/>
      <c r="K110" s="560"/>
      <c r="L110" s="277">
        <v>333333</v>
      </c>
      <c r="M110" s="553">
        <f t="shared" si="13"/>
        <v>3.3333300000000001</v>
      </c>
      <c r="N110" s="277">
        <v>12</v>
      </c>
      <c r="O110" s="2951">
        <f t="shared" si="15"/>
        <v>39.999960000000002</v>
      </c>
      <c r="P110" s="735"/>
      <c r="Q110" s="3117" t="s">
        <v>5942</v>
      </c>
      <c r="R110" s="2966">
        <v>39.999960000000002</v>
      </c>
      <c r="S110" s="3116">
        <f>O110-R110</f>
        <v>0</v>
      </c>
      <c r="BB110" s="3237">
        <v>3</v>
      </c>
      <c r="BC110" s="3237">
        <v>3</v>
      </c>
      <c r="BD110" s="3237">
        <v>3</v>
      </c>
      <c r="BE110" s="3237">
        <v>3</v>
      </c>
      <c r="BF110" s="3237">
        <v>4</v>
      </c>
      <c r="BG110" s="3237">
        <v>2</v>
      </c>
      <c r="BH110" s="3237">
        <v>3</v>
      </c>
      <c r="BI110" s="3237">
        <v>2</v>
      </c>
      <c r="BJ110" s="3237">
        <v>4</v>
      </c>
      <c r="BK110" s="3237">
        <v>4</v>
      </c>
      <c r="BL110" s="3237">
        <v>3</v>
      </c>
      <c r="BM110" s="3237">
        <v>3</v>
      </c>
      <c r="BN110" s="3237">
        <v>3</v>
      </c>
      <c r="BO110" s="3237"/>
      <c r="BP110" s="3237"/>
      <c r="BQ110" s="3237"/>
      <c r="BR110" s="3237"/>
      <c r="BS110" s="3237"/>
      <c r="BT110" s="3237"/>
      <c r="BU110" s="3237"/>
      <c r="BV110" s="3237"/>
      <c r="BW110" s="3237"/>
      <c r="BX110" s="3237"/>
      <c r="BY110" s="3237"/>
      <c r="BZ110" s="3237"/>
      <c r="CA110" s="3237"/>
      <c r="CB110" s="3237"/>
      <c r="CC110" s="3237"/>
      <c r="CD110" s="3237"/>
      <c r="CE110" s="3237"/>
      <c r="CF110" s="3237"/>
      <c r="CG110" s="3237"/>
      <c r="CH110" s="3237"/>
      <c r="CI110" s="3237">
        <f t="shared" si="11"/>
        <v>40</v>
      </c>
    </row>
    <row r="111" spans="1:87" ht="12.95" customHeight="1">
      <c r="A111" s="548" t="s">
        <v>3447</v>
      </c>
      <c r="B111" s="548" t="s">
        <v>3448</v>
      </c>
      <c r="C111" s="548" t="s">
        <v>2151</v>
      </c>
      <c r="D111" s="549"/>
      <c r="E111" s="549"/>
      <c r="F111" s="550"/>
      <c r="G111" s="550"/>
      <c r="H111" s="550"/>
      <c r="I111" s="550"/>
      <c r="J111" s="550"/>
      <c r="K111" s="550"/>
      <c r="L111" s="550"/>
      <c r="M111" s="161"/>
      <c r="N111" s="550"/>
      <c r="O111" s="2949">
        <f>SUM(O112:O116)</f>
        <v>95</v>
      </c>
      <c r="P111" s="733"/>
      <c r="Q111" s="1511"/>
      <c r="R111" s="2961">
        <f>SUM(R112:R116)</f>
        <v>95</v>
      </c>
      <c r="S111" s="3116">
        <f>O111-R111</f>
        <v>0</v>
      </c>
      <c r="BB111" s="3237"/>
      <c r="BC111" s="3237"/>
      <c r="BD111" s="3237"/>
      <c r="BE111" s="3237"/>
      <c r="BF111" s="3237"/>
      <c r="BG111" s="3237"/>
      <c r="BH111" s="3237"/>
      <c r="BI111" s="3237"/>
      <c r="BJ111" s="3237"/>
      <c r="BK111" s="3237"/>
      <c r="BL111" s="3237"/>
      <c r="BM111" s="3237"/>
      <c r="BN111" s="3237"/>
      <c r="BO111" s="3237"/>
      <c r="BP111" s="3237"/>
      <c r="BQ111" s="3237"/>
      <c r="BR111" s="3237"/>
      <c r="BS111" s="3237"/>
      <c r="BT111" s="3237"/>
      <c r="BU111" s="3237"/>
      <c r="BV111" s="3237"/>
      <c r="BW111" s="3237"/>
      <c r="BX111" s="3237"/>
      <c r="BY111" s="3237"/>
      <c r="BZ111" s="3237"/>
      <c r="CA111" s="3237"/>
      <c r="CB111" s="3237"/>
      <c r="CC111" s="3237"/>
      <c r="CD111" s="3237"/>
      <c r="CE111" s="3237"/>
      <c r="CF111" s="3237"/>
      <c r="CG111" s="3237"/>
      <c r="CH111" s="3237"/>
      <c r="CI111" s="3237">
        <f t="shared" si="11"/>
        <v>0</v>
      </c>
    </row>
    <row r="112" spans="1:87" ht="45">
      <c r="A112" s="548" t="s">
        <v>3449</v>
      </c>
      <c r="B112" s="548" t="s">
        <v>3450</v>
      </c>
      <c r="C112" s="2612" t="s">
        <v>2211</v>
      </c>
      <c r="D112" s="572" t="s">
        <v>85</v>
      </c>
      <c r="E112" s="608" t="s">
        <v>3573</v>
      </c>
      <c r="F112" s="2236">
        <v>0</v>
      </c>
      <c r="G112" s="579"/>
      <c r="H112" s="579"/>
      <c r="I112" s="579"/>
      <c r="J112" s="579"/>
      <c r="K112" s="579"/>
      <c r="L112" s="277"/>
      <c r="M112" s="553">
        <f>L112/100000</f>
        <v>0</v>
      </c>
      <c r="N112" s="277"/>
      <c r="O112" s="2950">
        <f>M112*N112</f>
        <v>0</v>
      </c>
      <c r="P112" s="734"/>
      <c r="Q112" s="1017" t="str">
        <f>'Ab1. RMNCH+A'!Q471</f>
        <v>--</v>
      </c>
      <c r="R112" s="2969">
        <f>'Ab1. RMNCH+A'!R471</f>
        <v>0</v>
      </c>
      <c r="BB112" s="3237"/>
      <c r="BC112" s="3237"/>
      <c r="BD112" s="3237"/>
      <c r="BE112" s="3237"/>
      <c r="BF112" s="3237"/>
      <c r="BG112" s="3237"/>
      <c r="BH112" s="3237"/>
      <c r="BI112" s="3237"/>
      <c r="BJ112" s="3237"/>
      <c r="BK112" s="3237"/>
      <c r="BL112" s="3237"/>
      <c r="BM112" s="3237"/>
      <c r="BN112" s="3237"/>
      <c r="BO112" s="3237"/>
      <c r="BP112" s="3237"/>
      <c r="BQ112" s="3237"/>
      <c r="BR112" s="3237"/>
      <c r="BS112" s="3237"/>
      <c r="BT112" s="3237"/>
      <c r="BU112" s="3237"/>
      <c r="BV112" s="3237"/>
      <c r="BW112" s="3237"/>
      <c r="BX112" s="3237"/>
      <c r="BY112" s="3237"/>
      <c r="BZ112" s="3237"/>
      <c r="CA112" s="3237"/>
      <c r="CB112" s="3237"/>
      <c r="CC112" s="3237"/>
      <c r="CD112" s="3237"/>
      <c r="CE112" s="3237"/>
      <c r="CF112" s="3237"/>
      <c r="CG112" s="3237"/>
      <c r="CH112" s="3237"/>
      <c r="CI112" s="3237">
        <f t="shared" si="11"/>
        <v>0</v>
      </c>
    </row>
    <row r="113" spans="1:87" ht="45">
      <c r="A113" s="548" t="s">
        <v>3451</v>
      </c>
      <c r="B113" s="548" t="s">
        <v>3452</v>
      </c>
      <c r="C113" s="551" t="s">
        <v>3983</v>
      </c>
      <c r="D113" s="572" t="s">
        <v>85</v>
      </c>
      <c r="E113" s="608" t="s">
        <v>3573</v>
      </c>
      <c r="F113" s="2236">
        <v>0</v>
      </c>
      <c r="G113" s="579"/>
      <c r="H113" s="579"/>
      <c r="I113" s="579"/>
      <c r="J113" s="579"/>
      <c r="K113" s="579"/>
      <c r="L113" s="277"/>
      <c r="M113" s="553">
        <f>L113/100000</f>
        <v>0</v>
      </c>
      <c r="N113" s="277"/>
      <c r="O113" s="2950">
        <f>M113*N113</f>
        <v>0</v>
      </c>
      <c r="P113" s="734"/>
      <c r="Q113" s="1017" t="str">
        <f>'Ab1. RMNCH+A'!Q472</f>
        <v>--</v>
      </c>
      <c r="R113" s="2969">
        <f>'Ab1. RMNCH+A'!R472</f>
        <v>0</v>
      </c>
      <c r="BB113" s="3237"/>
      <c r="BC113" s="3237"/>
      <c r="BD113" s="3237"/>
      <c r="BE113" s="3237"/>
      <c r="BF113" s="3237"/>
      <c r="BG113" s="3237"/>
      <c r="BH113" s="3237"/>
      <c r="BI113" s="3237"/>
      <c r="BJ113" s="3237"/>
      <c r="BK113" s="3237"/>
      <c r="BL113" s="3237"/>
      <c r="BM113" s="3237"/>
      <c r="BN113" s="3237"/>
      <c r="BO113" s="3237"/>
      <c r="BP113" s="3237"/>
      <c r="BQ113" s="3237"/>
      <c r="BR113" s="3237"/>
      <c r="BS113" s="3237"/>
      <c r="BT113" s="3237"/>
      <c r="BU113" s="3237"/>
      <c r="BV113" s="3237"/>
      <c r="BW113" s="3237"/>
      <c r="BX113" s="3237"/>
      <c r="BY113" s="3237"/>
      <c r="BZ113" s="3237"/>
      <c r="CA113" s="3237"/>
      <c r="CB113" s="3237"/>
      <c r="CC113" s="3237"/>
      <c r="CD113" s="3237"/>
      <c r="CE113" s="3237"/>
      <c r="CF113" s="3237"/>
      <c r="CG113" s="3237"/>
      <c r="CH113" s="3237"/>
      <c r="CI113" s="3237">
        <f t="shared" si="11"/>
        <v>0</v>
      </c>
    </row>
    <row r="114" spans="1:87" ht="38.25">
      <c r="A114" s="548" t="s">
        <v>3453</v>
      </c>
      <c r="B114" s="548" t="s">
        <v>3454</v>
      </c>
      <c r="C114" s="551" t="s">
        <v>2212</v>
      </c>
      <c r="D114" s="908" t="s">
        <v>65</v>
      </c>
      <c r="E114" s="578" t="s">
        <v>3582</v>
      </c>
      <c r="F114" s="2240">
        <v>76</v>
      </c>
      <c r="G114" s="579">
        <v>76</v>
      </c>
      <c r="H114" s="579">
        <v>45.6</v>
      </c>
      <c r="I114" s="579">
        <v>21.59</v>
      </c>
      <c r="J114" s="579">
        <v>24.01</v>
      </c>
      <c r="K114" s="579"/>
      <c r="L114" s="277">
        <v>50000</v>
      </c>
      <c r="M114" s="553">
        <f>L114/100000</f>
        <v>0.5</v>
      </c>
      <c r="N114" s="277">
        <v>76</v>
      </c>
      <c r="O114" s="2950">
        <f>M114*N114</f>
        <v>38</v>
      </c>
      <c r="P114" s="734"/>
      <c r="Q114" s="3117" t="s">
        <v>5942</v>
      </c>
      <c r="R114" s="2973">
        <v>38</v>
      </c>
      <c r="S114" s="3116">
        <f>O114-R114</f>
        <v>0</v>
      </c>
      <c r="BB114" s="3237"/>
      <c r="BC114" s="3237">
        <f>0.5*4</f>
        <v>2</v>
      </c>
      <c r="BD114" s="3237">
        <f>0.5*7</f>
        <v>3.5</v>
      </c>
      <c r="BE114" s="3237">
        <f>0.5*6</f>
        <v>3</v>
      </c>
      <c r="BF114" s="3237">
        <f>0.5*13</f>
        <v>6.5</v>
      </c>
      <c r="BG114" s="3237">
        <f>0.5*3</f>
        <v>1.5</v>
      </c>
      <c r="BH114" s="3237">
        <f>0.5*5</f>
        <v>2.5</v>
      </c>
      <c r="BI114" s="3237">
        <f>0.5*2</f>
        <v>1</v>
      </c>
      <c r="BJ114" s="3237">
        <f>0.5*11</f>
        <v>5.5</v>
      </c>
      <c r="BK114" s="3237">
        <f>0.5*10</f>
        <v>5</v>
      </c>
      <c r="BL114" s="3237">
        <f>0.5*5</f>
        <v>2.5</v>
      </c>
      <c r="BM114" s="3237">
        <f>0.5*5</f>
        <v>2.5</v>
      </c>
      <c r="BN114" s="3237">
        <f>0.5*5</f>
        <v>2.5</v>
      </c>
      <c r="BO114" s="3237"/>
      <c r="BP114" s="3237"/>
      <c r="BQ114" s="3237"/>
      <c r="BR114" s="3237"/>
      <c r="BS114" s="3237"/>
      <c r="BT114" s="3237"/>
      <c r="BU114" s="3237"/>
      <c r="BV114" s="3237"/>
      <c r="BW114" s="3237"/>
      <c r="BX114" s="3237"/>
      <c r="BY114" s="3237"/>
      <c r="BZ114" s="3237"/>
      <c r="CA114" s="3237"/>
      <c r="CB114" s="3237"/>
      <c r="CC114" s="3237"/>
      <c r="CD114" s="3237"/>
      <c r="CE114" s="3237"/>
      <c r="CF114" s="3237"/>
      <c r="CG114" s="3237"/>
      <c r="CH114" s="3237"/>
      <c r="CI114" s="3237">
        <f t="shared" si="11"/>
        <v>38</v>
      </c>
    </row>
    <row r="115" spans="1:87" ht="45">
      <c r="A115" s="548" t="s">
        <v>3455</v>
      </c>
      <c r="B115" s="548" t="s">
        <v>3456</v>
      </c>
      <c r="C115" s="551" t="s">
        <v>2213</v>
      </c>
      <c r="D115" s="908" t="s">
        <v>65</v>
      </c>
      <c r="E115" s="608" t="s">
        <v>3575</v>
      </c>
      <c r="F115" s="2236">
        <v>0</v>
      </c>
      <c r="G115" s="579"/>
      <c r="H115" s="579"/>
      <c r="I115" s="579"/>
      <c r="J115" s="579"/>
      <c r="K115" s="579"/>
      <c r="L115" s="277"/>
      <c r="M115" s="553">
        <f>L115/100000</f>
        <v>0</v>
      </c>
      <c r="N115" s="277"/>
      <c r="O115" s="2950">
        <f>M115*N115</f>
        <v>0</v>
      </c>
      <c r="P115" s="734"/>
      <c r="Q115" s="1017">
        <f>'Ab3. ASHA'!Q107</f>
        <v>0</v>
      </c>
      <c r="R115" s="2967">
        <f>-'Ab3. ASHA'!R107</f>
        <v>0</v>
      </c>
      <c r="BB115" s="3237"/>
      <c r="BC115" s="3237"/>
      <c r="BD115" s="3237"/>
      <c r="BE115" s="3237"/>
      <c r="BF115" s="3237"/>
      <c r="BG115" s="3237"/>
      <c r="BH115" s="3237"/>
      <c r="BI115" s="3237"/>
      <c r="BJ115" s="3237"/>
      <c r="BK115" s="3237"/>
      <c r="BL115" s="3237"/>
      <c r="BM115" s="3237"/>
      <c r="BN115" s="3237"/>
      <c r="BO115" s="3237"/>
      <c r="BP115" s="3237"/>
      <c r="BQ115" s="3237"/>
      <c r="BR115" s="3237"/>
      <c r="BS115" s="3237"/>
      <c r="BT115" s="3237"/>
      <c r="BU115" s="3237"/>
      <c r="BV115" s="3237"/>
      <c r="BW115" s="3237"/>
      <c r="BX115" s="3237"/>
      <c r="BY115" s="3237"/>
      <c r="BZ115" s="3237"/>
      <c r="CA115" s="3237"/>
      <c r="CB115" s="3237"/>
      <c r="CC115" s="3237"/>
      <c r="CD115" s="3237"/>
      <c r="CE115" s="3237"/>
      <c r="CF115" s="3237"/>
      <c r="CG115" s="3237"/>
      <c r="CH115" s="3237"/>
      <c r="CI115" s="3237">
        <f t="shared" si="11"/>
        <v>0</v>
      </c>
    </row>
    <row r="116" spans="1:87" ht="38.25">
      <c r="A116" s="548" t="s">
        <v>3457</v>
      </c>
      <c r="B116" s="548" t="s">
        <v>3458</v>
      </c>
      <c r="C116" s="576" t="s">
        <v>302</v>
      </c>
      <c r="D116" s="908" t="s">
        <v>65</v>
      </c>
      <c r="E116" s="608" t="s">
        <v>3238</v>
      </c>
      <c r="F116" s="2239">
        <v>76</v>
      </c>
      <c r="G116" s="577">
        <v>76</v>
      </c>
      <c r="H116" s="577">
        <v>38</v>
      </c>
      <c r="I116" s="577">
        <v>2.77</v>
      </c>
      <c r="J116" s="577"/>
      <c r="K116" s="577"/>
      <c r="L116" s="277">
        <v>75000</v>
      </c>
      <c r="M116" s="553">
        <f>L116/100000</f>
        <v>0.75</v>
      </c>
      <c r="N116" s="277">
        <v>76</v>
      </c>
      <c r="O116" s="2951">
        <f>M116*N116</f>
        <v>57</v>
      </c>
      <c r="P116" s="735"/>
      <c r="Q116" s="3117" t="s">
        <v>5942</v>
      </c>
      <c r="R116" s="2973">
        <v>57</v>
      </c>
      <c r="S116" s="3116">
        <f>O116-R116</f>
        <v>0</v>
      </c>
      <c r="BB116" s="3237"/>
      <c r="BC116" s="3237">
        <f>0.75*4</f>
        <v>3</v>
      </c>
      <c r="BD116" s="3237">
        <f>0.75*7</f>
        <v>5.25</v>
      </c>
      <c r="BE116" s="3237">
        <f>0.75*6</f>
        <v>4.5</v>
      </c>
      <c r="BF116" s="3237">
        <f>0.75*13</f>
        <v>9.75</v>
      </c>
      <c r="BG116" s="3237">
        <f>0.75*3</f>
        <v>2.25</v>
      </c>
      <c r="BH116" s="3237">
        <f>0.75*5</f>
        <v>3.75</v>
      </c>
      <c r="BI116" s="3237">
        <f>0.75*2</f>
        <v>1.5</v>
      </c>
      <c r="BJ116" s="3237">
        <f>0.75*11</f>
        <v>8.25</v>
      </c>
      <c r="BK116" s="3237">
        <f>0.75*10</f>
        <v>7.5</v>
      </c>
      <c r="BL116" s="3237">
        <f>0.75*5</f>
        <v>3.75</v>
      </c>
      <c r="BM116" s="3237">
        <f>0.75*5</f>
        <v>3.75</v>
      </c>
      <c r="BN116" s="3237">
        <f>0.75*5</f>
        <v>3.75</v>
      </c>
      <c r="BO116" s="3237"/>
      <c r="BP116" s="3237"/>
      <c r="BQ116" s="3237"/>
      <c r="BR116" s="3237"/>
      <c r="BS116" s="3237"/>
      <c r="BT116" s="3237"/>
      <c r="BU116" s="3237"/>
      <c r="BV116" s="3237"/>
      <c r="BW116" s="3237"/>
      <c r="BX116" s="3237"/>
      <c r="BY116" s="3237"/>
      <c r="BZ116" s="3237"/>
      <c r="CA116" s="3237"/>
      <c r="CB116" s="3237"/>
      <c r="CC116" s="3237"/>
      <c r="CD116" s="3237"/>
      <c r="CE116" s="3237"/>
      <c r="CF116" s="3237"/>
      <c r="CG116" s="3237"/>
      <c r="CH116" s="3237"/>
      <c r="CI116" s="3237">
        <f t="shared" si="11"/>
        <v>57</v>
      </c>
    </row>
    <row r="117" spans="1:87" ht="12.95" customHeight="1">
      <c r="A117" s="548" t="s">
        <v>3459</v>
      </c>
      <c r="B117" s="548" t="s">
        <v>3460</v>
      </c>
      <c r="C117" s="548" t="s">
        <v>2214</v>
      </c>
      <c r="D117" s="549"/>
      <c r="E117" s="549"/>
      <c r="F117" s="550">
        <v>0</v>
      </c>
      <c r="G117" s="550"/>
      <c r="H117" s="550"/>
      <c r="I117" s="550"/>
      <c r="J117" s="550"/>
      <c r="K117" s="550"/>
      <c r="L117" s="550"/>
      <c r="M117" s="161"/>
      <c r="N117" s="550"/>
      <c r="O117" s="2949">
        <f>O118</f>
        <v>0</v>
      </c>
      <c r="P117" s="733"/>
      <c r="Q117" s="1511"/>
      <c r="R117" s="2961">
        <f>R118</f>
        <v>0</v>
      </c>
      <c r="BB117" s="3237"/>
      <c r="BC117" s="3237"/>
      <c r="BD117" s="3237"/>
      <c r="BE117" s="3237"/>
      <c r="BF117" s="3237"/>
      <c r="BG117" s="3237"/>
      <c r="BH117" s="3237"/>
      <c r="BI117" s="3237"/>
      <c r="BJ117" s="3237"/>
      <c r="BK117" s="3237"/>
      <c r="BL117" s="3237"/>
      <c r="BM117" s="3237"/>
      <c r="BN117" s="3237"/>
      <c r="BO117" s="3237"/>
      <c r="BP117" s="3237"/>
      <c r="BQ117" s="3237"/>
      <c r="BR117" s="3237"/>
      <c r="BS117" s="3237"/>
      <c r="BT117" s="3237"/>
      <c r="BU117" s="3237"/>
      <c r="BV117" s="3237"/>
      <c r="BW117" s="3237"/>
      <c r="BX117" s="3237"/>
      <c r="BY117" s="3237"/>
      <c r="BZ117" s="3237"/>
      <c r="CA117" s="3237"/>
      <c r="CB117" s="3237"/>
      <c r="CC117" s="3237"/>
      <c r="CD117" s="3237"/>
      <c r="CE117" s="3237"/>
      <c r="CF117" s="3237"/>
      <c r="CG117" s="3237"/>
      <c r="CH117" s="3237"/>
      <c r="CI117" s="3237">
        <f t="shared" si="11"/>
        <v>0</v>
      </c>
    </row>
    <row r="118" spans="1:87">
      <c r="A118" s="548" t="s">
        <v>3461</v>
      </c>
      <c r="B118" s="548" t="s">
        <v>3462</v>
      </c>
      <c r="C118" s="558" t="s">
        <v>2215</v>
      </c>
      <c r="D118" s="1007" t="s">
        <v>4219</v>
      </c>
      <c r="E118" s="609" t="s">
        <v>3578</v>
      </c>
      <c r="F118" s="560"/>
      <c r="G118" s="559"/>
      <c r="H118" s="559"/>
      <c r="I118" s="559"/>
      <c r="J118" s="559"/>
      <c r="K118" s="559"/>
      <c r="L118" s="277"/>
      <c r="M118" s="553">
        <f>L118/100000</f>
        <v>0</v>
      </c>
      <c r="N118" s="277"/>
      <c r="O118" s="2953">
        <f>M118*N118</f>
        <v>0</v>
      </c>
      <c r="P118" s="739"/>
      <c r="Q118" s="1017">
        <f>'Abs10. NLEP'!Q42</f>
        <v>0</v>
      </c>
      <c r="R118" s="2969">
        <f>'Abs10. NLEP'!R42</f>
        <v>0</v>
      </c>
      <c r="BB118" s="3237"/>
      <c r="BC118" s="3237"/>
      <c r="BD118" s="3237"/>
      <c r="BE118" s="3237"/>
      <c r="BF118" s="3237"/>
      <c r="BG118" s="3237"/>
      <c r="BH118" s="3237"/>
      <c r="BI118" s="3237"/>
      <c r="BJ118" s="3237"/>
      <c r="BK118" s="3237"/>
      <c r="BL118" s="3237"/>
      <c r="BM118" s="3237"/>
      <c r="BN118" s="3237"/>
      <c r="BO118" s="3237"/>
      <c r="BP118" s="3237"/>
      <c r="BQ118" s="3237"/>
      <c r="BR118" s="3237"/>
      <c r="BS118" s="3237"/>
      <c r="BT118" s="3237"/>
      <c r="BU118" s="3237"/>
      <c r="BV118" s="3237"/>
      <c r="BW118" s="3237"/>
      <c r="BX118" s="3237"/>
      <c r="BY118" s="3237"/>
      <c r="BZ118" s="3237"/>
      <c r="CA118" s="3237"/>
      <c r="CB118" s="3237"/>
      <c r="CC118" s="3237"/>
      <c r="CD118" s="3237"/>
      <c r="CE118" s="3237"/>
      <c r="CF118" s="3237"/>
      <c r="CG118" s="3237"/>
      <c r="CH118" s="3237"/>
      <c r="CI118" s="3237">
        <f t="shared" si="11"/>
        <v>0</v>
      </c>
    </row>
    <row r="119" spans="1:87" ht="51.95" customHeight="1">
      <c r="A119" s="543" t="s">
        <v>3284</v>
      </c>
      <c r="B119" s="543">
        <v>16.399999999999999</v>
      </c>
      <c r="C119" s="580" t="s">
        <v>2216</v>
      </c>
      <c r="D119" s="581"/>
      <c r="E119" s="581"/>
      <c r="F119" s="582"/>
      <c r="G119" s="582"/>
      <c r="H119" s="582"/>
      <c r="I119" s="582"/>
      <c r="J119" s="582"/>
      <c r="K119" s="582"/>
      <c r="L119" s="582"/>
      <c r="M119" s="547"/>
      <c r="N119" s="582"/>
      <c r="O119" s="2817">
        <f>O120+O136+O146</f>
        <v>59.321859999999994</v>
      </c>
      <c r="P119" s="732"/>
      <c r="Q119" s="996"/>
      <c r="R119" s="2957">
        <f>R120+R136+R146</f>
        <v>54.12</v>
      </c>
      <c r="S119" s="3116">
        <f>O119-R119</f>
        <v>5.2018599999999964</v>
      </c>
      <c r="BB119" s="3237"/>
      <c r="BC119" s="3237"/>
      <c r="BD119" s="3237"/>
      <c r="BE119" s="3237"/>
      <c r="BF119" s="3237"/>
      <c r="BG119" s="3237"/>
      <c r="BH119" s="3237"/>
      <c r="BI119" s="3237"/>
      <c r="BJ119" s="3237"/>
      <c r="BK119" s="3237"/>
      <c r="BL119" s="3237"/>
      <c r="BM119" s="3237"/>
      <c r="BN119" s="3237"/>
      <c r="BO119" s="3237"/>
      <c r="BP119" s="3237"/>
      <c r="BQ119" s="3237"/>
      <c r="BR119" s="3237"/>
      <c r="BS119" s="3237"/>
      <c r="BT119" s="3237"/>
      <c r="BU119" s="3237"/>
      <c r="BV119" s="3237"/>
      <c r="BW119" s="3237"/>
      <c r="BX119" s="3237"/>
      <c r="BY119" s="3237"/>
      <c r="BZ119" s="3237"/>
      <c r="CA119" s="3237"/>
      <c r="CB119" s="3237"/>
      <c r="CC119" s="3237"/>
      <c r="CD119" s="3237"/>
      <c r="CE119" s="3237"/>
      <c r="CF119" s="3237"/>
      <c r="CG119" s="3237"/>
      <c r="CH119" s="3237"/>
      <c r="CI119" s="3237">
        <f t="shared" si="11"/>
        <v>0</v>
      </c>
    </row>
    <row r="120" spans="1:87" ht="12.95" customHeight="1">
      <c r="A120" s="548" t="s">
        <v>3463</v>
      </c>
      <c r="B120" s="548" t="s">
        <v>3464</v>
      </c>
      <c r="C120" s="548" t="s">
        <v>2150</v>
      </c>
      <c r="D120" s="549"/>
      <c r="E120" s="549"/>
      <c r="F120" s="550"/>
      <c r="G120" s="550"/>
      <c r="H120" s="550"/>
      <c r="I120" s="550"/>
      <c r="J120" s="550"/>
      <c r="K120" s="550"/>
      <c r="L120" s="550"/>
      <c r="M120" s="161"/>
      <c r="N120" s="550"/>
      <c r="O120" s="2949">
        <f>SUM(O121:O135)</f>
        <v>45.721979999999995</v>
      </c>
      <c r="P120" s="733"/>
      <c r="Q120" s="1511"/>
      <c r="R120" s="2961">
        <f>SUM(R121:R135)</f>
        <v>45.72</v>
      </c>
      <c r="S120" s="3116">
        <f>O120-R120</f>
        <v>1.979999999996096E-3</v>
      </c>
      <c r="BB120" s="3237"/>
      <c r="BC120" s="3237"/>
      <c r="BD120" s="3237"/>
      <c r="BE120" s="3237"/>
      <c r="BF120" s="3237"/>
      <c r="BG120" s="3237"/>
      <c r="BH120" s="3237"/>
      <c r="BI120" s="3237"/>
      <c r="BJ120" s="3237"/>
      <c r="BK120" s="3237"/>
      <c r="BL120" s="3237"/>
      <c r="BM120" s="3237"/>
      <c r="BN120" s="3237"/>
      <c r="BO120" s="3237"/>
      <c r="BP120" s="3237"/>
      <c r="BQ120" s="3237"/>
      <c r="BR120" s="3237"/>
      <c r="BS120" s="3237"/>
      <c r="BT120" s="3237"/>
      <c r="BU120" s="3237"/>
      <c r="BV120" s="3237"/>
      <c r="BW120" s="3237"/>
      <c r="BX120" s="3237"/>
      <c r="BY120" s="3237"/>
      <c r="BZ120" s="3237"/>
      <c r="CA120" s="3237"/>
      <c r="CB120" s="3237"/>
      <c r="CC120" s="3237"/>
      <c r="CD120" s="3237"/>
      <c r="CE120" s="3237"/>
      <c r="CF120" s="3237"/>
      <c r="CG120" s="3237"/>
      <c r="CH120" s="3237"/>
      <c r="CI120" s="3237">
        <f t="shared" si="11"/>
        <v>0</v>
      </c>
    </row>
    <row r="121" spans="1:87">
      <c r="A121" s="548" t="s">
        <v>3465</v>
      </c>
      <c r="B121" s="548" t="s">
        <v>3466</v>
      </c>
      <c r="C121" s="551" t="s">
        <v>2302</v>
      </c>
      <c r="D121" s="572" t="s">
        <v>85</v>
      </c>
      <c r="E121" s="608" t="s">
        <v>3583</v>
      </c>
      <c r="F121" s="2236">
        <v>0</v>
      </c>
      <c r="G121" s="384"/>
      <c r="H121" s="384"/>
      <c r="I121" s="483"/>
      <c r="J121" s="423"/>
      <c r="K121" s="384"/>
      <c r="L121" s="277"/>
      <c r="M121" s="553">
        <f t="shared" ref="M121:M135" si="16">L121/100000</f>
        <v>0</v>
      </c>
      <c r="N121" s="277"/>
      <c r="O121" s="2950">
        <f t="shared" ref="O121:O135" si="17">M121*N121</f>
        <v>0</v>
      </c>
      <c r="P121" s="740"/>
      <c r="Q121" s="1017" t="str">
        <f>'Ab1. RMNCH+A'!Q473</f>
        <v>--</v>
      </c>
      <c r="R121" s="2969">
        <f>'Ab1. RMNCH+A'!R473</f>
        <v>0</v>
      </c>
      <c r="BB121" s="3237"/>
      <c r="BC121" s="3237"/>
      <c r="BD121" s="3237"/>
      <c r="BE121" s="3237"/>
      <c r="BF121" s="3237"/>
      <c r="BG121" s="3237"/>
      <c r="BH121" s="3237"/>
      <c r="BI121" s="3237"/>
      <c r="BJ121" s="3237"/>
      <c r="BK121" s="3237"/>
      <c r="BL121" s="3237"/>
      <c r="BM121" s="3237"/>
      <c r="BN121" s="3237"/>
      <c r="BO121" s="3237"/>
      <c r="BP121" s="3237"/>
      <c r="BQ121" s="3237"/>
      <c r="BR121" s="3237"/>
      <c r="BS121" s="3237"/>
      <c r="BT121" s="3237"/>
      <c r="BU121" s="3237"/>
      <c r="BV121" s="3237"/>
      <c r="BW121" s="3237"/>
      <c r="BX121" s="3237"/>
      <c r="BY121" s="3237"/>
      <c r="BZ121" s="3237"/>
      <c r="CA121" s="3237"/>
      <c r="CB121" s="3237"/>
      <c r="CC121" s="3237"/>
      <c r="CD121" s="3237"/>
      <c r="CE121" s="3237"/>
      <c r="CF121" s="3237"/>
      <c r="CG121" s="3237"/>
      <c r="CH121" s="3237"/>
      <c r="CI121" s="3237">
        <f t="shared" si="11"/>
        <v>0</v>
      </c>
    </row>
    <row r="122" spans="1:87" ht="30">
      <c r="A122" s="548" t="s">
        <v>3467</v>
      </c>
      <c r="B122" s="548" t="s">
        <v>3468</v>
      </c>
      <c r="C122" s="551" t="s">
        <v>2217</v>
      </c>
      <c r="D122" s="1007" t="s">
        <v>4219</v>
      </c>
      <c r="E122" s="608" t="s">
        <v>3576</v>
      </c>
      <c r="F122" s="2236">
        <v>0</v>
      </c>
      <c r="G122" s="560"/>
      <c r="H122" s="560"/>
      <c r="I122" s="560"/>
      <c r="J122" s="560"/>
      <c r="K122" s="552"/>
      <c r="L122" s="277"/>
      <c r="M122" s="553">
        <f t="shared" si="16"/>
        <v>0</v>
      </c>
      <c r="N122" s="277"/>
      <c r="O122" s="2950">
        <f t="shared" si="17"/>
        <v>0</v>
      </c>
      <c r="P122" s="734"/>
      <c r="Q122" s="1017">
        <f>'Abs8. IDSP'!Q33</f>
        <v>0</v>
      </c>
      <c r="R122" s="2967">
        <f>'Abs8. IDSP'!R33</f>
        <v>0</v>
      </c>
      <c r="BB122" s="3237"/>
      <c r="BC122" s="3237"/>
      <c r="BD122" s="3237"/>
      <c r="BE122" s="3237"/>
      <c r="BF122" s="3237"/>
      <c r="BG122" s="3237"/>
      <c r="BH122" s="3237"/>
      <c r="BI122" s="3237"/>
      <c r="BJ122" s="3237"/>
      <c r="BK122" s="3237"/>
      <c r="BL122" s="3237"/>
      <c r="BM122" s="3237"/>
      <c r="BN122" s="3237"/>
      <c r="BO122" s="3237"/>
      <c r="BP122" s="3237"/>
      <c r="BQ122" s="3237"/>
      <c r="BR122" s="3237"/>
      <c r="BS122" s="3237"/>
      <c r="BT122" s="3237"/>
      <c r="BU122" s="3237"/>
      <c r="BV122" s="3237"/>
      <c r="BW122" s="3237"/>
      <c r="BX122" s="3237"/>
      <c r="BY122" s="3237"/>
      <c r="BZ122" s="3237"/>
      <c r="CA122" s="3237"/>
      <c r="CB122" s="3237"/>
      <c r="CC122" s="3237"/>
      <c r="CD122" s="3237"/>
      <c r="CE122" s="3237"/>
      <c r="CF122" s="3237"/>
      <c r="CG122" s="3237"/>
      <c r="CH122" s="3237"/>
      <c r="CI122" s="3237">
        <f t="shared" si="11"/>
        <v>0</v>
      </c>
    </row>
    <row r="123" spans="1:87" ht="30">
      <c r="A123" s="548" t="s">
        <v>3469</v>
      </c>
      <c r="B123" s="548" t="s">
        <v>3470</v>
      </c>
      <c r="C123" s="551" t="s">
        <v>2218</v>
      </c>
      <c r="D123" s="908" t="s">
        <v>65</v>
      </c>
      <c r="E123" s="608" t="s">
        <v>3238</v>
      </c>
      <c r="F123" s="2236">
        <v>0</v>
      </c>
      <c r="G123" s="552"/>
      <c r="H123" s="552"/>
      <c r="I123" s="552"/>
      <c r="J123" s="552"/>
      <c r="K123" s="552"/>
      <c r="L123" s="277"/>
      <c r="M123" s="553">
        <f t="shared" si="16"/>
        <v>0</v>
      </c>
      <c r="N123" s="277"/>
      <c r="O123" s="2952">
        <f t="shared" si="17"/>
        <v>0</v>
      </c>
      <c r="P123" s="741"/>
      <c r="Q123" s="1022"/>
      <c r="R123" s="2966"/>
      <c r="BB123" s="3237"/>
      <c r="BC123" s="3237"/>
      <c r="BD123" s="3237"/>
      <c r="BE123" s="3237"/>
      <c r="BF123" s="3237"/>
      <c r="BG123" s="3237"/>
      <c r="BH123" s="3237"/>
      <c r="BI123" s="3237"/>
      <c r="BJ123" s="3237"/>
      <c r="BK123" s="3237"/>
      <c r="BL123" s="3237"/>
      <c r="BM123" s="3237"/>
      <c r="BN123" s="3237"/>
      <c r="BO123" s="3237"/>
      <c r="BP123" s="3237"/>
      <c r="BQ123" s="3237"/>
      <c r="BR123" s="3237"/>
      <c r="BS123" s="3237"/>
      <c r="BT123" s="3237"/>
      <c r="BU123" s="3237"/>
      <c r="BV123" s="3237"/>
      <c r="BW123" s="3237"/>
      <c r="BX123" s="3237"/>
      <c r="BY123" s="3237"/>
      <c r="BZ123" s="3237"/>
      <c r="CA123" s="3237"/>
      <c r="CB123" s="3237"/>
      <c r="CC123" s="3237"/>
      <c r="CD123" s="3237"/>
      <c r="CE123" s="3237"/>
      <c r="CF123" s="3237"/>
      <c r="CG123" s="3237"/>
      <c r="CH123" s="3237"/>
      <c r="CI123" s="3237">
        <f t="shared" si="11"/>
        <v>0</v>
      </c>
    </row>
    <row r="124" spans="1:87" ht="30">
      <c r="A124" s="548" t="s">
        <v>3471</v>
      </c>
      <c r="B124" s="548" t="s">
        <v>3472</v>
      </c>
      <c r="C124" s="551" t="s">
        <v>3984</v>
      </c>
      <c r="D124" s="913" t="s">
        <v>80</v>
      </c>
      <c r="E124" s="608" t="s">
        <v>4549</v>
      </c>
      <c r="F124" s="2236">
        <v>0</v>
      </c>
      <c r="G124" s="552"/>
      <c r="H124" s="552"/>
      <c r="I124" s="552"/>
      <c r="J124" s="552"/>
      <c r="K124" s="552"/>
      <c r="L124" s="277"/>
      <c r="M124" s="553">
        <f t="shared" si="16"/>
        <v>0</v>
      </c>
      <c r="N124" s="277"/>
      <c r="O124" s="2950">
        <f t="shared" si="17"/>
        <v>0</v>
      </c>
      <c r="P124" s="734"/>
      <c r="Q124" s="1017">
        <f>'Abs23. NPPCF'!Q22</f>
        <v>0</v>
      </c>
      <c r="R124" s="2967">
        <f>'Abs23. NPPCF'!R22</f>
        <v>0</v>
      </c>
      <c r="BB124" s="3237"/>
      <c r="BC124" s="3237"/>
      <c r="BD124" s="3237"/>
      <c r="BE124" s="3237"/>
      <c r="BF124" s="3237"/>
      <c r="BG124" s="3237"/>
      <c r="BH124" s="3237"/>
      <c r="BI124" s="3237"/>
      <c r="BJ124" s="3237"/>
      <c r="BK124" s="3237"/>
      <c r="BL124" s="3237"/>
      <c r="BM124" s="3237"/>
      <c r="BN124" s="3237"/>
      <c r="BO124" s="3237"/>
      <c r="BP124" s="3237"/>
      <c r="BQ124" s="3237"/>
      <c r="BR124" s="3237"/>
      <c r="BS124" s="3237"/>
      <c r="BT124" s="3237"/>
      <c r="BU124" s="3237"/>
      <c r="BV124" s="3237"/>
      <c r="BW124" s="3237"/>
      <c r="BX124" s="3237"/>
      <c r="BY124" s="3237"/>
      <c r="BZ124" s="3237"/>
      <c r="CA124" s="3237"/>
      <c r="CB124" s="3237"/>
      <c r="CC124" s="3237"/>
      <c r="CD124" s="3237"/>
      <c r="CE124" s="3237"/>
      <c r="CF124" s="3237"/>
      <c r="CG124" s="3237"/>
      <c r="CH124" s="3237"/>
      <c r="CI124" s="3237">
        <f t="shared" si="11"/>
        <v>0</v>
      </c>
    </row>
    <row r="125" spans="1:87" ht="45">
      <c r="A125" s="548" t="s">
        <v>3473</v>
      </c>
      <c r="B125" s="548" t="s">
        <v>3474</v>
      </c>
      <c r="C125" s="551" t="s">
        <v>2219</v>
      </c>
      <c r="D125" s="1007" t="s">
        <v>4219</v>
      </c>
      <c r="E125" s="608" t="s">
        <v>3576</v>
      </c>
      <c r="F125" s="2236">
        <v>0</v>
      </c>
      <c r="G125" s="560"/>
      <c r="H125" s="560"/>
      <c r="I125" s="560"/>
      <c r="J125" s="560"/>
      <c r="K125" s="552"/>
      <c r="L125" s="277"/>
      <c r="M125" s="553">
        <f t="shared" si="16"/>
        <v>0</v>
      </c>
      <c r="N125" s="277"/>
      <c r="O125" s="2950">
        <f t="shared" si="17"/>
        <v>0</v>
      </c>
      <c r="P125" s="734"/>
      <c r="Q125" s="1017">
        <f>'Abs8. IDSP'!Q34</f>
        <v>0</v>
      </c>
      <c r="R125" s="2967">
        <f>'Abs8. IDSP'!R34</f>
        <v>0</v>
      </c>
      <c r="BB125" s="3237"/>
      <c r="BC125" s="3237"/>
      <c r="BD125" s="3237"/>
      <c r="BE125" s="3237"/>
      <c r="BF125" s="3237"/>
      <c r="BG125" s="3237"/>
      <c r="BH125" s="3237"/>
      <c r="BI125" s="3237"/>
      <c r="BJ125" s="3237"/>
      <c r="BK125" s="3237"/>
      <c r="BL125" s="3237"/>
      <c r="BM125" s="3237"/>
      <c r="BN125" s="3237"/>
      <c r="BO125" s="3237"/>
      <c r="BP125" s="3237"/>
      <c r="BQ125" s="3237"/>
      <c r="BR125" s="3237"/>
      <c r="BS125" s="3237"/>
      <c r="BT125" s="3237"/>
      <c r="BU125" s="3237"/>
      <c r="BV125" s="3237"/>
      <c r="BW125" s="3237"/>
      <c r="BX125" s="3237"/>
      <c r="BY125" s="3237"/>
      <c r="BZ125" s="3237"/>
      <c r="CA125" s="3237"/>
      <c r="CB125" s="3237"/>
      <c r="CC125" s="3237"/>
      <c r="CD125" s="3237"/>
      <c r="CE125" s="3237"/>
      <c r="CF125" s="3237"/>
      <c r="CG125" s="3237"/>
      <c r="CH125" s="3237"/>
      <c r="CI125" s="3237">
        <f t="shared" si="11"/>
        <v>0</v>
      </c>
    </row>
    <row r="126" spans="1:87" ht="30">
      <c r="A126" s="548" t="s">
        <v>3475</v>
      </c>
      <c r="B126" s="548" t="s">
        <v>3476</v>
      </c>
      <c r="C126" s="551" t="s">
        <v>2220</v>
      </c>
      <c r="D126" s="1007" t="s">
        <v>4219</v>
      </c>
      <c r="E126" s="608" t="s">
        <v>4719</v>
      </c>
      <c r="F126" s="2236">
        <v>0</v>
      </c>
      <c r="G126" s="552"/>
      <c r="H126" s="552"/>
      <c r="I126" s="552"/>
      <c r="J126" s="552"/>
      <c r="K126" s="552"/>
      <c r="L126" s="277"/>
      <c r="M126" s="553">
        <f t="shared" si="16"/>
        <v>0</v>
      </c>
      <c r="N126" s="277"/>
      <c r="O126" s="2950">
        <f t="shared" si="17"/>
        <v>0</v>
      </c>
      <c r="P126" s="734"/>
      <c r="Q126" s="1017">
        <f>'Abs9. NVBDCP'!Q125</f>
        <v>0</v>
      </c>
      <c r="R126" s="2969">
        <f>'Abs9. NVBDCP'!R125</f>
        <v>0</v>
      </c>
      <c r="BB126" s="3237"/>
      <c r="BC126" s="3237"/>
      <c r="BD126" s="3237"/>
      <c r="BE126" s="3237"/>
      <c r="BF126" s="3237"/>
      <c r="BG126" s="3237"/>
      <c r="BH126" s="3237"/>
      <c r="BI126" s="3237"/>
      <c r="BJ126" s="3237"/>
      <c r="BK126" s="3237"/>
      <c r="BL126" s="3237"/>
      <c r="BM126" s="3237"/>
      <c r="BN126" s="3237"/>
      <c r="BO126" s="3237"/>
      <c r="BP126" s="3237"/>
      <c r="BQ126" s="3237"/>
      <c r="BR126" s="3237"/>
      <c r="BS126" s="3237"/>
      <c r="BT126" s="3237"/>
      <c r="BU126" s="3237"/>
      <c r="BV126" s="3237"/>
      <c r="BW126" s="3237"/>
      <c r="BX126" s="3237"/>
      <c r="BY126" s="3237"/>
      <c r="BZ126" s="3237"/>
      <c r="CA126" s="3237"/>
      <c r="CB126" s="3237"/>
      <c r="CC126" s="3237"/>
      <c r="CD126" s="3237"/>
      <c r="CE126" s="3237"/>
      <c r="CF126" s="3237"/>
      <c r="CG126" s="3237"/>
      <c r="CH126" s="3237"/>
      <c r="CI126" s="3237">
        <f t="shared" si="11"/>
        <v>0</v>
      </c>
    </row>
    <row r="127" spans="1:87" ht="30">
      <c r="A127" s="548" t="s">
        <v>3477</v>
      </c>
      <c r="B127" s="548" t="s">
        <v>3478</v>
      </c>
      <c r="C127" s="551" t="s">
        <v>2221</v>
      </c>
      <c r="D127" s="1007" t="s">
        <v>4219</v>
      </c>
      <c r="E127" s="608" t="s">
        <v>4716</v>
      </c>
      <c r="F127" s="2236">
        <v>0</v>
      </c>
      <c r="G127" s="552"/>
      <c r="H127" s="552"/>
      <c r="I127" s="552"/>
      <c r="J127" s="552"/>
      <c r="K127" s="552"/>
      <c r="L127" s="277"/>
      <c r="M127" s="553">
        <f t="shared" si="16"/>
        <v>0</v>
      </c>
      <c r="N127" s="277"/>
      <c r="O127" s="2950">
        <f t="shared" si="17"/>
        <v>0</v>
      </c>
      <c r="P127" s="734"/>
      <c r="Q127" s="1017">
        <f>'Abs9. NVBDCP'!Q126</f>
        <v>0</v>
      </c>
      <c r="R127" s="2969">
        <f>'Abs9. NVBDCP'!R126</f>
        <v>0</v>
      </c>
      <c r="BB127" s="3237"/>
      <c r="BC127" s="3237"/>
      <c r="BD127" s="3237"/>
      <c r="BE127" s="3237"/>
      <c r="BF127" s="3237"/>
      <c r="BG127" s="3237"/>
      <c r="BH127" s="3237"/>
      <c r="BI127" s="3237"/>
      <c r="BJ127" s="3237"/>
      <c r="BK127" s="3237"/>
      <c r="BL127" s="3237"/>
      <c r="BM127" s="3237"/>
      <c r="BN127" s="3237"/>
      <c r="BO127" s="3237"/>
      <c r="BP127" s="3237"/>
      <c r="BQ127" s="3237"/>
      <c r="BR127" s="3237"/>
      <c r="BS127" s="3237"/>
      <c r="BT127" s="3237"/>
      <c r="BU127" s="3237"/>
      <c r="BV127" s="3237"/>
      <c r="BW127" s="3237"/>
      <c r="BX127" s="3237"/>
      <c r="BY127" s="3237"/>
      <c r="BZ127" s="3237"/>
      <c r="CA127" s="3237"/>
      <c r="CB127" s="3237"/>
      <c r="CC127" s="3237"/>
      <c r="CD127" s="3237"/>
      <c r="CE127" s="3237"/>
      <c r="CF127" s="3237"/>
      <c r="CG127" s="3237"/>
      <c r="CH127" s="3237"/>
      <c r="CI127" s="3237">
        <f t="shared" si="11"/>
        <v>0</v>
      </c>
    </row>
    <row r="128" spans="1:87" ht="30">
      <c r="A128" s="548" t="s">
        <v>3479</v>
      </c>
      <c r="B128" s="548" t="s">
        <v>3480</v>
      </c>
      <c r="C128" s="551" t="s">
        <v>2222</v>
      </c>
      <c r="D128" s="1007" t="s">
        <v>4219</v>
      </c>
      <c r="E128" s="608" t="s">
        <v>3578</v>
      </c>
      <c r="F128" s="2236">
        <v>1</v>
      </c>
      <c r="G128" s="566"/>
      <c r="H128" s="566">
        <v>1.4</v>
      </c>
      <c r="I128" s="566">
        <v>0.02</v>
      </c>
      <c r="J128" s="566">
        <v>0.5</v>
      </c>
      <c r="K128" s="566"/>
      <c r="L128" s="277"/>
      <c r="M128" s="553">
        <f t="shared" si="16"/>
        <v>0</v>
      </c>
      <c r="N128" s="277"/>
      <c r="O128" s="2952">
        <f t="shared" si="17"/>
        <v>0</v>
      </c>
      <c r="P128" s="736"/>
      <c r="Q128" s="1017">
        <f>'Abs10. NLEP'!Q43</f>
        <v>0</v>
      </c>
      <c r="R128" s="2969">
        <f>'Abs10. NLEP'!R43</f>
        <v>0</v>
      </c>
      <c r="BB128" s="3237"/>
      <c r="BC128" s="3237"/>
      <c r="BD128" s="3237"/>
      <c r="BE128" s="3237"/>
      <c r="BF128" s="3237"/>
      <c r="BG128" s="3237"/>
      <c r="BH128" s="3237"/>
      <c r="BI128" s="3237"/>
      <c r="BJ128" s="3237"/>
      <c r="BK128" s="3237"/>
      <c r="BL128" s="3237"/>
      <c r="BM128" s="3237"/>
      <c r="BN128" s="3237"/>
      <c r="BO128" s="3237"/>
      <c r="BP128" s="3237"/>
      <c r="BQ128" s="3237"/>
      <c r="BR128" s="3237"/>
      <c r="BS128" s="3237"/>
      <c r="BT128" s="3237"/>
      <c r="BU128" s="3237"/>
      <c r="BV128" s="3237"/>
      <c r="BW128" s="3237"/>
      <c r="BX128" s="3237"/>
      <c r="BY128" s="3237"/>
      <c r="BZ128" s="3237"/>
      <c r="CA128" s="3237"/>
      <c r="CB128" s="3237"/>
      <c r="CC128" s="3237"/>
      <c r="CD128" s="3237"/>
      <c r="CE128" s="3237"/>
      <c r="CF128" s="3237"/>
      <c r="CG128" s="3237"/>
      <c r="CH128" s="3237"/>
      <c r="CI128" s="3237">
        <f t="shared" si="11"/>
        <v>0</v>
      </c>
    </row>
    <row r="129" spans="1:87">
      <c r="A129" s="548" t="s">
        <v>3481</v>
      </c>
      <c r="B129" s="548" t="s">
        <v>3482</v>
      </c>
      <c r="C129" s="551" t="s">
        <v>2223</v>
      </c>
      <c r="D129" s="1007" t="s">
        <v>4219</v>
      </c>
      <c r="E129" s="608" t="s">
        <v>3578</v>
      </c>
      <c r="F129" s="2236">
        <v>1</v>
      </c>
      <c r="G129" s="566"/>
      <c r="H129" s="566">
        <v>0.5</v>
      </c>
      <c r="I129" s="566">
        <v>0</v>
      </c>
      <c r="J129" s="566">
        <v>0.5</v>
      </c>
      <c r="K129" s="566"/>
      <c r="L129" s="277"/>
      <c r="M129" s="553">
        <f t="shared" si="16"/>
        <v>0</v>
      </c>
      <c r="N129" s="277"/>
      <c r="O129" s="2952">
        <f t="shared" si="17"/>
        <v>0</v>
      </c>
      <c r="P129" s="736"/>
      <c r="Q129" s="1017">
        <f>'Abs10. NLEP'!Q44</f>
        <v>0</v>
      </c>
      <c r="R129" s="2969">
        <f>'Abs10. NLEP'!R44</f>
        <v>0</v>
      </c>
      <c r="BB129" s="3237"/>
      <c r="BC129" s="3237"/>
      <c r="BD129" s="3237"/>
      <c r="BE129" s="3237"/>
      <c r="BF129" s="3237"/>
      <c r="BG129" s="3237"/>
      <c r="BH129" s="3237"/>
      <c r="BI129" s="3237"/>
      <c r="BJ129" s="3237"/>
      <c r="BK129" s="3237"/>
      <c r="BL129" s="3237"/>
      <c r="BM129" s="3237"/>
      <c r="BN129" s="3237"/>
      <c r="BO129" s="3237"/>
      <c r="BP129" s="3237"/>
      <c r="BQ129" s="3237"/>
      <c r="BR129" s="3237"/>
      <c r="BS129" s="3237"/>
      <c r="BT129" s="3237"/>
      <c r="BU129" s="3237"/>
      <c r="BV129" s="3237"/>
      <c r="BW129" s="3237"/>
      <c r="BX129" s="3237"/>
      <c r="BY129" s="3237"/>
      <c r="BZ129" s="3237"/>
      <c r="CA129" s="3237"/>
      <c r="CB129" s="3237"/>
      <c r="CC129" s="3237"/>
      <c r="CD129" s="3237"/>
      <c r="CE129" s="3237"/>
      <c r="CF129" s="3237"/>
      <c r="CG129" s="3237"/>
      <c r="CH129" s="3237"/>
      <c r="CI129" s="3237">
        <f t="shared" si="11"/>
        <v>0</v>
      </c>
    </row>
    <row r="130" spans="1:87" s="3537" customFormat="1" ht="93" customHeight="1">
      <c r="A130" s="3529" t="s">
        <v>3483</v>
      </c>
      <c r="B130" s="3529" t="s">
        <v>3484</v>
      </c>
      <c r="C130" s="3528" t="s">
        <v>2225</v>
      </c>
      <c r="D130" s="3194" t="s">
        <v>4219</v>
      </c>
      <c r="E130" s="3530" t="s">
        <v>4524</v>
      </c>
      <c r="F130" s="3531">
        <v>45</v>
      </c>
      <c r="G130" s="3531">
        <v>31</v>
      </c>
      <c r="H130" s="3531">
        <v>35.47</v>
      </c>
      <c r="I130" s="3531">
        <v>18.079999999999998</v>
      </c>
      <c r="J130" s="3531">
        <v>17.34</v>
      </c>
      <c r="K130" s="3531">
        <v>93</v>
      </c>
      <c r="L130" s="3532">
        <v>78831</v>
      </c>
      <c r="M130" s="3327">
        <f t="shared" si="16"/>
        <v>0.78830999999999996</v>
      </c>
      <c r="N130" s="3532">
        <v>58</v>
      </c>
      <c r="O130" s="3533">
        <f t="shared" si="17"/>
        <v>45.721979999999995</v>
      </c>
      <c r="P130" s="3534" t="s">
        <v>5992</v>
      </c>
      <c r="Q130" s="3188" t="str">
        <f>'Abs11. NTEP'!Q62</f>
        <v>Recommended Rs 45.72 lakhs for office operation cost fo DTCs, STDC, IRL, C&amp;DST labs, TUs, District Drug Stores, State Drug Store, DRTB Centres &amp; Nodal DRTB centre, etc and operational charge for Tablets</v>
      </c>
      <c r="R130" s="3535">
        <f>'Abs11. NTEP'!R62</f>
        <v>45.72</v>
      </c>
      <c r="S130" s="3536">
        <f>O130-R130</f>
        <v>1.979999999996096E-3</v>
      </c>
      <c r="BB130" s="3538">
        <v>3.16</v>
      </c>
      <c r="BC130" s="3538">
        <v>2.36</v>
      </c>
      <c r="BD130" s="3538">
        <v>3.15</v>
      </c>
      <c r="BE130" s="3538">
        <v>3.15</v>
      </c>
      <c r="BF130" s="3538">
        <v>6.31</v>
      </c>
      <c r="BG130" s="3538">
        <v>1.58</v>
      </c>
      <c r="BH130" s="3538">
        <v>3.15</v>
      </c>
      <c r="BI130" s="3538">
        <v>1.58</v>
      </c>
      <c r="BJ130" s="3538">
        <v>5.52</v>
      </c>
      <c r="BK130" s="3538">
        <v>5.52</v>
      </c>
      <c r="BL130" s="3538">
        <v>3.15</v>
      </c>
      <c r="BM130" s="3538">
        <v>3.15</v>
      </c>
      <c r="BN130" s="3538">
        <v>2.36</v>
      </c>
      <c r="BO130" s="3538"/>
      <c r="BP130" s="3538"/>
      <c r="BQ130" s="3538"/>
      <c r="BR130" s="3538"/>
      <c r="BS130" s="3538"/>
      <c r="BT130" s="3538"/>
      <c r="BU130" s="3538"/>
      <c r="BV130" s="3538"/>
      <c r="BW130" s="3538"/>
      <c r="BX130" s="3538"/>
      <c r="BY130" s="3538"/>
      <c r="BZ130" s="3538"/>
      <c r="CA130" s="3538"/>
      <c r="CB130" s="3538"/>
      <c r="CC130" s="3538"/>
      <c r="CD130" s="3538"/>
      <c r="CE130" s="3538">
        <v>1.58</v>
      </c>
      <c r="CF130" s="3538"/>
      <c r="CG130" s="3538"/>
      <c r="CH130" s="3538"/>
      <c r="CI130" s="3539">
        <f t="shared" si="11"/>
        <v>45.719999999999992</v>
      </c>
    </row>
    <row r="131" spans="1:87" ht="30">
      <c r="A131" s="548" t="s">
        <v>3485</v>
      </c>
      <c r="B131" s="548" t="s">
        <v>3486</v>
      </c>
      <c r="C131" s="551" t="s">
        <v>2226</v>
      </c>
      <c r="D131" s="1549" t="s">
        <v>80</v>
      </c>
      <c r="E131" s="608" t="s">
        <v>3579</v>
      </c>
      <c r="F131" s="2236">
        <v>0</v>
      </c>
      <c r="G131" s="552"/>
      <c r="H131" s="552"/>
      <c r="I131" s="552"/>
      <c r="J131" s="552"/>
      <c r="K131" s="552"/>
      <c r="L131" s="277"/>
      <c r="M131" s="553">
        <f t="shared" si="16"/>
        <v>0</v>
      </c>
      <c r="N131" s="277"/>
      <c r="O131" s="2950">
        <f t="shared" si="17"/>
        <v>0</v>
      </c>
      <c r="P131" s="734"/>
      <c r="Q131" s="1017">
        <f>'Abs18. NTCP'!Q32</f>
        <v>0</v>
      </c>
      <c r="R131" s="2969">
        <f>'Abs18. NTCP'!R32</f>
        <v>0</v>
      </c>
      <c r="BB131" s="3237"/>
      <c r="BC131" s="3237"/>
      <c r="BD131" s="3237"/>
      <c r="BE131" s="3237"/>
      <c r="BF131" s="3237"/>
      <c r="BG131" s="3237"/>
      <c r="BH131" s="3237"/>
      <c r="BI131" s="3237"/>
      <c r="BJ131" s="3237"/>
      <c r="BK131" s="3237"/>
      <c r="BL131" s="3237"/>
      <c r="BM131" s="3237"/>
      <c r="BN131" s="3237"/>
      <c r="BO131" s="3237"/>
      <c r="BP131" s="3237"/>
      <c r="BQ131" s="3237"/>
      <c r="BR131" s="3237"/>
      <c r="BS131" s="3237"/>
      <c r="BT131" s="3237"/>
      <c r="BU131" s="3237"/>
      <c r="BV131" s="3237"/>
      <c r="BW131" s="3237"/>
      <c r="BX131" s="3237"/>
      <c r="BY131" s="3237"/>
      <c r="BZ131" s="3237"/>
      <c r="CA131" s="3237"/>
      <c r="CB131" s="3237"/>
      <c r="CC131" s="3237"/>
      <c r="CD131" s="3237"/>
      <c r="CE131" s="3237"/>
      <c r="CF131" s="3237"/>
      <c r="CG131" s="3237"/>
      <c r="CH131" s="3237"/>
      <c r="CI131" s="3237">
        <f t="shared" si="11"/>
        <v>0</v>
      </c>
    </row>
    <row r="132" spans="1:87" ht="30">
      <c r="A132" s="548" t="s">
        <v>3487</v>
      </c>
      <c r="B132" s="548" t="s">
        <v>3488</v>
      </c>
      <c r="C132" s="551" t="s">
        <v>2227</v>
      </c>
      <c r="D132" s="1549" t="s">
        <v>80</v>
      </c>
      <c r="E132" s="608" t="s">
        <v>3579</v>
      </c>
      <c r="F132" s="2236">
        <v>1</v>
      </c>
      <c r="G132" s="552"/>
      <c r="H132" s="552">
        <v>1</v>
      </c>
      <c r="I132" s="552"/>
      <c r="J132" s="552"/>
      <c r="K132" s="552"/>
      <c r="L132" s="277"/>
      <c r="M132" s="553">
        <f t="shared" si="16"/>
        <v>0</v>
      </c>
      <c r="N132" s="277"/>
      <c r="O132" s="2950">
        <f t="shared" si="17"/>
        <v>0</v>
      </c>
      <c r="P132" s="734"/>
      <c r="Q132" s="1017">
        <f>'Abs18. NTCP'!Q33</f>
        <v>0</v>
      </c>
      <c r="R132" s="2969">
        <f>'Abs18. NTCP'!R33</f>
        <v>0</v>
      </c>
      <c r="BB132" s="3237"/>
      <c r="BC132" s="3237"/>
      <c r="BD132" s="3237"/>
      <c r="BE132" s="3237"/>
      <c r="BF132" s="3237"/>
      <c r="BG132" s="3237"/>
      <c r="BH132" s="3237"/>
      <c r="BI132" s="3237"/>
      <c r="BJ132" s="3237"/>
      <c r="BK132" s="3237"/>
      <c r="BL132" s="3237"/>
      <c r="BM132" s="3237"/>
      <c r="BN132" s="3237"/>
      <c r="BO132" s="3237"/>
      <c r="BP132" s="3237"/>
      <c r="BQ132" s="3237"/>
      <c r="BR132" s="3237"/>
      <c r="BS132" s="3237"/>
      <c r="BT132" s="3237"/>
      <c r="BU132" s="3237"/>
      <c r="BV132" s="3237"/>
      <c r="BW132" s="3237"/>
      <c r="BX132" s="3237"/>
      <c r="BY132" s="3237"/>
      <c r="BZ132" s="3237"/>
      <c r="CA132" s="3237"/>
      <c r="CB132" s="3237"/>
      <c r="CC132" s="3237"/>
      <c r="CD132" s="3237"/>
      <c r="CE132" s="3237"/>
      <c r="CF132" s="3237"/>
      <c r="CG132" s="3237"/>
      <c r="CH132" s="3237"/>
      <c r="CI132" s="3237">
        <f t="shared" si="11"/>
        <v>0</v>
      </c>
    </row>
    <row r="133" spans="1:87">
      <c r="A133" s="548" t="s">
        <v>3489</v>
      </c>
      <c r="B133" s="548" t="s">
        <v>3490</v>
      </c>
      <c r="C133" s="551" t="s">
        <v>2228</v>
      </c>
      <c r="D133" s="1549" t="s">
        <v>80</v>
      </c>
      <c r="E133" s="608" t="s">
        <v>3581</v>
      </c>
      <c r="F133" s="2236">
        <v>0</v>
      </c>
      <c r="G133" s="552"/>
      <c r="H133" s="552"/>
      <c r="I133" s="552"/>
      <c r="J133" s="552"/>
      <c r="K133" s="552"/>
      <c r="L133" s="277"/>
      <c r="M133" s="553">
        <f t="shared" si="16"/>
        <v>0</v>
      </c>
      <c r="N133" s="277"/>
      <c r="O133" s="2950">
        <f t="shared" si="17"/>
        <v>0</v>
      </c>
      <c r="P133" s="734"/>
      <c r="Q133" s="1017">
        <f>'Abs19. NPCDCS'!Q67</f>
        <v>0</v>
      </c>
      <c r="R133" s="2969">
        <f>'Abs19. NPCDCS'!R67</f>
        <v>0</v>
      </c>
      <c r="BB133" s="3237"/>
      <c r="BC133" s="3237"/>
      <c r="BD133" s="3237"/>
      <c r="BE133" s="3237"/>
      <c r="BF133" s="3237"/>
      <c r="BG133" s="3237"/>
      <c r="BH133" s="3237"/>
      <c r="BI133" s="3237"/>
      <c r="BJ133" s="3237"/>
      <c r="BK133" s="3237"/>
      <c r="BL133" s="3237"/>
      <c r="BM133" s="3237"/>
      <c r="BN133" s="3237"/>
      <c r="BO133" s="3237"/>
      <c r="BP133" s="3237"/>
      <c r="BQ133" s="3237"/>
      <c r="BR133" s="3237"/>
      <c r="BS133" s="3237"/>
      <c r="BT133" s="3237"/>
      <c r="BU133" s="3237"/>
      <c r="BV133" s="3237"/>
      <c r="BW133" s="3237"/>
      <c r="BX133" s="3237"/>
      <c r="BY133" s="3237"/>
      <c r="BZ133" s="3237"/>
      <c r="CA133" s="3237"/>
      <c r="CB133" s="3237"/>
      <c r="CC133" s="3237"/>
      <c r="CD133" s="3237"/>
      <c r="CE133" s="3237"/>
      <c r="CF133" s="3237"/>
      <c r="CG133" s="3237"/>
      <c r="CH133" s="3237"/>
      <c r="CI133" s="3237">
        <f t="shared" si="11"/>
        <v>0</v>
      </c>
    </row>
    <row r="134" spans="1:87" ht="30">
      <c r="A134" s="548" t="s">
        <v>3491</v>
      </c>
      <c r="B134" s="548"/>
      <c r="C134" s="575" t="s">
        <v>3566</v>
      </c>
      <c r="D134" s="1007" t="s">
        <v>4219</v>
      </c>
      <c r="E134" s="608" t="s">
        <v>3245</v>
      </c>
      <c r="F134" s="2236">
        <v>1</v>
      </c>
      <c r="G134" s="552"/>
      <c r="H134" s="552">
        <v>1</v>
      </c>
      <c r="I134" s="552"/>
      <c r="J134" s="552">
        <v>1</v>
      </c>
      <c r="K134" s="552"/>
      <c r="L134" s="277"/>
      <c r="M134" s="553">
        <f t="shared" si="16"/>
        <v>0</v>
      </c>
      <c r="N134" s="277"/>
      <c r="O134" s="2950">
        <f t="shared" si="17"/>
        <v>0</v>
      </c>
      <c r="P134" s="734"/>
      <c r="Q134" s="1772">
        <f>'Abs12. NVHCP'!Q43</f>
        <v>0</v>
      </c>
      <c r="R134" s="2967">
        <f>'Abs12. NVHCP'!R43</f>
        <v>0</v>
      </c>
      <c r="BB134" s="3237"/>
      <c r="BC134" s="3237"/>
      <c r="BD134" s="3237"/>
      <c r="BE134" s="3237"/>
      <c r="BF134" s="3237"/>
      <c r="BG134" s="3237"/>
      <c r="BH134" s="3237"/>
      <c r="BI134" s="3237"/>
      <c r="BJ134" s="3237"/>
      <c r="BK134" s="3237"/>
      <c r="BL134" s="3237"/>
      <c r="BM134" s="3237"/>
      <c r="BN134" s="3237"/>
      <c r="BO134" s="3237"/>
      <c r="BP134" s="3237"/>
      <c r="BQ134" s="3237"/>
      <c r="BR134" s="3237"/>
      <c r="BS134" s="3237"/>
      <c r="BT134" s="3237"/>
      <c r="BU134" s="3237"/>
      <c r="BV134" s="3237"/>
      <c r="BW134" s="3237"/>
      <c r="BX134" s="3237"/>
      <c r="BY134" s="3237"/>
      <c r="BZ134" s="3237"/>
      <c r="CA134" s="3237"/>
      <c r="CB134" s="3237"/>
      <c r="CC134" s="3237"/>
      <c r="CD134" s="3237"/>
      <c r="CE134" s="3237"/>
      <c r="CF134" s="3237"/>
      <c r="CG134" s="3237"/>
      <c r="CH134" s="3237"/>
      <c r="CI134" s="3237">
        <f t="shared" si="11"/>
        <v>0</v>
      </c>
    </row>
    <row r="135" spans="1:87" s="1770" customFormat="1">
      <c r="A135" s="548" t="s">
        <v>4300</v>
      </c>
      <c r="B135" s="548"/>
      <c r="C135" s="583" t="s">
        <v>4301</v>
      </c>
      <c r="D135" s="1007" t="s">
        <v>4219</v>
      </c>
      <c r="E135" s="584" t="s">
        <v>3577</v>
      </c>
      <c r="F135" s="2238">
        <v>0</v>
      </c>
      <c r="G135" s="560"/>
      <c r="H135" s="560"/>
      <c r="I135" s="560"/>
      <c r="J135" s="560"/>
      <c r="K135" s="560"/>
      <c r="L135" s="277"/>
      <c r="M135" s="553">
        <f t="shared" si="16"/>
        <v>0</v>
      </c>
      <c r="N135" s="277"/>
      <c r="O135" s="2951">
        <f t="shared" si="17"/>
        <v>0</v>
      </c>
      <c r="P135" s="735"/>
      <c r="Q135" s="1017">
        <f>'Abs9. NVBDCP'!Q127</f>
        <v>0</v>
      </c>
      <c r="R135" s="2969">
        <f>'Abs9. NVBDCP'!R127</f>
        <v>0</v>
      </c>
      <c r="BB135" s="3238"/>
      <c r="BC135" s="3238"/>
      <c r="BD135" s="3238"/>
      <c r="BE135" s="3238"/>
      <c r="BF135" s="3238"/>
      <c r="BG135" s="3238"/>
      <c r="BH135" s="3238"/>
      <c r="BI135" s="3238"/>
      <c r="BJ135" s="3238"/>
      <c r="BK135" s="3238"/>
      <c r="BL135" s="3238"/>
      <c r="BM135" s="3238"/>
      <c r="BN135" s="3238"/>
      <c r="BO135" s="3238"/>
      <c r="BP135" s="3238"/>
      <c r="BQ135" s="3238"/>
      <c r="BR135" s="3238"/>
      <c r="BS135" s="3238"/>
      <c r="BT135" s="3238"/>
      <c r="BU135" s="3238"/>
      <c r="BV135" s="3238"/>
      <c r="BW135" s="3238"/>
      <c r="BX135" s="3238"/>
      <c r="BY135" s="3238"/>
      <c r="BZ135" s="3238"/>
      <c r="CA135" s="3238"/>
      <c r="CB135" s="3238"/>
      <c r="CC135" s="3238"/>
      <c r="CD135" s="3238"/>
      <c r="CE135" s="3238"/>
      <c r="CF135" s="3238"/>
      <c r="CG135" s="3238"/>
      <c r="CH135" s="3238"/>
      <c r="CI135" s="3237">
        <f t="shared" ref="CI135:CI178" si="18">SUM(BB135:CH135)</f>
        <v>0</v>
      </c>
    </row>
    <row r="136" spans="1:87" ht="12.95" customHeight="1">
      <c r="A136" s="548" t="s">
        <v>3492</v>
      </c>
      <c r="B136" s="548" t="s">
        <v>3493</v>
      </c>
      <c r="C136" s="548" t="s">
        <v>2200</v>
      </c>
      <c r="D136" s="549"/>
      <c r="E136" s="549"/>
      <c r="F136" s="550"/>
      <c r="G136" s="550"/>
      <c r="H136" s="550"/>
      <c r="I136" s="550"/>
      <c r="J136" s="550"/>
      <c r="K136" s="550"/>
      <c r="L136" s="550"/>
      <c r="M136" s="161"/>
      <c r="N136" s="550"/>
      <c r="O136" s="2949">
        <f>SUM(O137:O145)</f>
        <v>6.96</v>
      </c>
      <c r="P136" s="733"/>
      <c r="Q136" s="1511"/>
      <c r="R136" s="2961">
        <f>SUM(R137:R145)</f>
        <v>2.4000000000000004</v>
      </c>
      <c r="S136" s="3116">
        <f>O136-R136</f>
        <v>4.5599999999999996</v>
      </c>
      <c r="BB136" s="3237"/>
      <c r="BC136" s="3237"/>
      <c r="BD136" s="3237"/>
      <c r="BE136" s="3237"/>
      <c r="BF136" s="3237"/>
      <c r="BG136" s="3237"/>
      <c r="BH136" s="3237"/>
      <c r="BI136" s="3237"/>
      <c r="BJ136" s="3237"/>
      <c r="BK136" s="3237"/>
      <c r="BL136" s="3237"/>
      <c r="BM136" s="3237"/>
      <c r="BN136" s="3237"/>
      <c r="BO136" s="3237"/>
      <c r="BP136" s="3237"/>
      <c r="BQ136" s="3237"/>
      <c r="BR136" s="3237"/>
      <c r="BS136" s="3237"/>
      <c r="BT136" s="3237"/>
      <c r="BU136" s="3237"/>
      <c r="BV136" s="3237"/>
      <c r="BW136" s="3237"/>
      <c r="BX136" s="3237"/>
      <c r="BY136" s="3237"/>
      <c r="BZ136" s="3237"/>
      <c r="CA136" s="3237"/>
      <c r="CB136" s="3237"/>
      <c r="CC136" s="3237"/>
      <c r="CD136" s="3237"/>
      <c r="CE136" s="3237"/>
      <c r="CF136" s="3237"/>
      <c r="CG136" s="3237"/>
      <c r="CH136" s="3237"/>
      <c r="CI136" s="3237">
        <f t="shared" si="18"/>
        <v>0</v>
      </c>
    </row>
    <row r="137" spans="1:87" s="1770" customFormat="1" ht="30">
      <c r="A137" s="548" t="s">
        <v>3494</v>
      </c>
      <c r="B137" s="548" t="s">
        <v>3495</v>
      </c>
      <c r="C137" s="558" t="s">
        <v>2229</v>
      </c>
      <c r="D137" s="982" t="s">
        <v>65</v>
      </c>
      <c r="E137" s="609" t="s">
        <v>3584</v>
      </c>
      <c r="F137" s="2238">
        <v>14</v>
      </c>
      <c r="G137" s="560"/>
      <c r="H137" s="560">
        <v>2.1</v>
      </c>
      <c r="I137" s="560">
        <v>0.1</v>
      </c>
      <c r="J137" s="560">
        <v>2</v>
      </c>
      <c r="K137" s="560"/>
      <c r="L137" s="2469">
        <v>10000</v>
      </c>
      <c r="M137" s="569">
        <f t="shared" ref="M137:M145" si="19">L137/100000</f>
        <v>0.1</v>
      </c>
      <c r="N137" s="283">
        <v>12</v>
      </c>
      <c r="O137" s="2951">
        <f t="shared" ref="O137:O145" si="20">M137*N137</f>
        <v>1.2000000000000002</v>
      </c>
      <c r="P137" s="2497" t="s">
        <v>5223</v>
      </c>
      <c r="Q137" s="2315" t="s">
        <v>5769</v>
      </c>
      <c r="R137" s="2970">
        <v>1.2000000000000002</v>
      </c>
      <c r="S137" s="3116">
        <f>O137-R137</f>
        <v>0</v>
      </c>
      <c r="BB137" s="3238"/>
      <c r="BC137" s="3238">
        <v>0.1</v>
      </c>
      <c r="BD137" s="3238">
        <v>0.1</v>
      </c>
      <c r="BE137" s="3238">
        <v>0.1</v>
      </c>
      <c r="BF137" s="3238">
        <v>0.1</v>
      </c>
      <c r="BG137" s="3238">
        <v>0.1</v>
      </c>
      <c r="BH137" s="3238">
        <v>0.1</v>
      </c>
      <c r="BI137" s="3238">
        <v>0.1</v>
      </c>
      <c r="BJ137" s="3238">
        <v>0.1</v>
      </c>
      <c r="BK137" s="3238">
        <v>0.1</v>
      </c>
      <c r="BL137" s="3238">
        <v>0.1</v>
      </c>
      <c r="BM137" s="3238">
        <v>0.1</v>
      </c>
      <c r="BN137" s="3238">
        <v>0.1</v>
      </c>
      <c r="BO137" s="3238"/>
      <c r="BP137" s="3238"/>
      <c r="BQ137" s="3238"/>
      <c r="BR137" s="3238"/>
      <c r="BS137" s="3238"/>
      <c r="BT137" s="3238"/>
      <c r="BU137" s="3238"/>
      <c r="BV137" s="3238"/>
      <c r="BW137" s="3238"/>
      <c r="BX137" s="3238"/>
      <c r="BY137" s="3238"/>
      <c r="BZ137" s="3238"/>
      <c r="CA137" s="3238"/>
      <c r="CB137" s="3238"/>
      <c r="CC137" s="3238"/>
      <c r="CD137" s="3238"/>
      <c r="CE137" s="3238"/>
      <c r="CF137" s="3238"/>
      <c r="CG137" s="3238"/>
      <c r="CH137" s="3238"/>
      <c r="CI137" s="3237">
        <f t="shared" si="18"/>
        <v>1.2</v>
      </c>
    </row>
    <row r="138" spans="1:87">
      <c r="A138" s="548" t="s">
        <v>3496</v>
      </c>
      <c r="B138" s="548" t="s">
        <v>3497</v>
      </c>
      <c r="C138" s="551" t="s">
        <v>2230</v>
      </c>
      <c r="D138" s="913" t="s">
        <v>80</v>
      </c>
      <c r="E138" s="3079" t="s">
        <v>4549</v>
      </c>
      <c r="F138" s="2236">
        <v>0</v>
      </c>
      <c r="G138" s="552"/>
      <c r="H138" s="552"/>
      <c r="I138" s="552"/>
      <c r="J138" s="552"/>
      <c r="K138" s="552"/>
      <c r="L138" s="277"/>
      <c r="M138" s="553">
        <f t="shared" si="19"/>
        <v>0</v>
      </c>
      <c r="N138" s="277"/>
      <c r="O138" s="2950">
        <f t="shared" si="20"/>
        <v>0</v>
      </c>
      <c r="P138" s="734"/>
      <c r="Q138" s="1017">
        <f>'Abs25. NPPC'!Q23</f>
        <v>0</v>
      </c>
      <c r="R138" s="2967">
        <f>'Abs25. NPPC'!R23</f>
        <v>0</v>
      </c>
      <c r="BB138" s="3237"/>
      <c r="BC138" s="3237"/>
      <c r="BD138" s="3237"/>
      <c r="BE138" s="3237"/>
      <c r="BF138" s="3237"/>
      <c r="BG138" s="3237"/>
      <c r="BH138" s="3237"/>
      <c r="BI138" s="3237"/>
      <c r="BJ138" s="3237"/>
      <c r="BK138" s="3237"/>
      <c r="BL138" s="3237"/>
      <c r="BM138" s="3237"/>
      <c r="BN138" s="3237"/>
      <c r="BO138" s="3237"/>
      <c r="BP138" s="3237"/>
      <c r="BQ138" s="3237"/>
      <c r="BR138" s="3237"/>
      <c r="BS138" s="3237"/>
      <c r="BT138" s="3237"/>
      <c r="BU138" s="3237"/>
      <c r="BV138" s="3237"/>
      <c r="BW138" s="3237"/>
      <c r="BX138" s="3237"/>
      <c r="BY138" s="3237"/>
      <c r="BZ138" s="3237"/>
      <c r="CA138" s="3237"/>
      <c r="CB138" s="3237"/>
      <c r="CC138" s="3237"/>
      <c r="CD138" s="3237"/>
      <c r="CE138" s="3237"/>
      <c r="CF138" s="3237"/>
      <c r="CG138" s="3237"/>
      <c r="CH138" s="3237"/>
      <c r="CI138" s="3237">
        <f t="shared" si="18"/>
        <v>0</v>
      </c>
    </row>
    <row r="139" spans="1:87" ht="30">
      <c r="A139" s="548" t="s">
        <v>3498</v>
      </c>
      <c r="B139" s="548" t="s">
        <v>3499</v>
      </c>
      <c r="C139" s="551" t="s">
        <v>2220</v>
      </c>
      <c r="D139" s="1007" t="s">
        <v>4219</v>
      </c>
      <c r="E139" s="608" t="s">
        <v>4719</v>
      </c>
      <c r="F139" s="2236">
        <v>0</v>
      </c>
      <c r="G139" s="552"/>
      <c r="H139" s="552"/>
      <c r="I139" s="552"/>
      <c r="J139" s="552"/>
      <c r="K139" s="552"/>
      <c r="L139" s="277"/>
      <c r="M139" s="553">
        <f t="shared" si="19"/>
        <v>0</v>
      </c>
      <c r="N139" s="277"/>
      <c r="O139" s="2950">
        <f t="shared" si="20"/>
        <v>0</v>
      </c>
      <c r="P139" s="734"/>
      <c r="Q139" s="1017">
        <f>'Abs9. NVBDCP'!Q128</f>
        <v>0</v>
      </c>
      <c r="R139" s="2969">
        <f>'Abs9. NVBDCP'!R128</f>
        <v>0</v>
      </c>
      <c r="BB139" s="3237"/>
      <c r="BC139" s="3237"/>
      <c r="BD139" s="3237"/>
      <c r="BE139" s="3237"/>
      <c r="BF139" s="3237"/>
      <c r="BG139" s="3237"/>
      <c r="BH139" s="3237"/>
      <c r="BI139" s="3237"/>
      <c r="BJ139" s="3237"/>
      <c r="BK139" s="3237"/>
      <c r="BL139" s="3237"/>
      <c r="BM139" s="3237"/>
      <c r="BN139" s="3237"/>
      <c r="BO139" s="3237"/>
      <c r="BP139" s="3237"/>
      <c r="BQ139" s="3237"/>
      <c r="BR139" s="3237"/>
      <c r="BS139" s="3237"/>
      <c r="BT139" s="3237"/>
      <c r="BU139" s="3237"/>
      <c r="BV139" s="3237"/>
      <c r="BW139" s="3237"/>
      <c r="BX139" s="3237"/>
      <c r="BY139" s="3237"/>
      <c r="BZ139" s="3237"/>
      <c r="CA139" s="3237"/>
      <c r="CB139" s="3237"/>
      <c r="CC139" s="3237"/>
      <c r="CD139" s="3237"/>
      <c r="CE139" s="3237"/>
      <c r="CF139" s="3237"/>
      <c r="CG139" s="3237"/>
      <c r="CH139" s="3237"/>
      <c r="CI139" s="3237">
        <f t="shared" si="18"/>
        <v>0</v>
      </c>
    </row>
    <row r="140" spans="1:87" ht="30">
      <c r="A140" s="548" t="s">
        <v>3500</v>
      </c>
      <c r="B140" s="548" t="s">
        <v>3501</v>
      </c>
      <c r="C140" s="551" t="s">
        <v>2231</v>
      </c>
      <c r="D140" s="1007" t="s">
        <v>4219</v>
      </c>
      <c r="E140" s="608" t="s">
        <v>3578</v>
      </c>
      <c r="F140" s="2236">
        <v>12</v>
      </c>
      <c r="G140" s="566"/>
      <c r="H140" s="566">
        <v>3.6</v>
      </c>
      <c r="I140" s="566">
        <v>0.84</v>
      </c>
      <c r="J140" s="566">
        <v>2.76</v>
      </c>
      <c r="K140" s="566"/>
      <c r="L140" s="277"/>
      <c r="M140" s="553">
        <f t="shared" si="19"/>
        <v>0</v>
      </c>
      <c r="N140" s="277"/>
      <c r="O140" s="2952">
        <f t="shared" si="20"/>
        <v>0</v>
      </c>
      <c r="P140" s="736"/>
      <c r="Q140" s="1017">
        <f>'Abs10. NLEP'!Q45</f>
        <v>0</v>
      </c>
      <c r="R140" s="2969">
        <f>'Abs10. NLEP'!R45</f>
        <v>0</v>
      </c>
      <c r="BB140" s="3237"/>
      <c r="BC140" s="3237"/>
      <c r="BD140" s="3237"/>
      <c r="BE140" s="3237"/>
      <c r="BF140" s="3237"/>
      <c r="BG140" s="3237"/>
      <c r="BH140" s="3237"/>
      <c r="BI140" s="3237"/>
      <c r="BJ140" s="3237"/>
      <c r="BK140" s="3237"/>
      <c r="BL140" s="3237"/>
      <c r="BM140" s="3237"/>
      <c r="BN140" s="3237"/>
      <c r="BO140" s="3237"/>
      <c r="BP140" s="3237"/>
      <c r="BQ140" s="3237"/>
      <c r="BR140" s="3237"/>
      <c r="BS140" s="3237"/>
      <c r="BT140" s="3237"/>
      <c r="BU140" s="3237"/>
      <c r="BV140" s="3237"/>
      <c r="BW140" s="3237"/>
      <c r="BX140" s="3237"/>
      <c r="BY140" s="3237"/>
      <c r="BZ140" s="3237"/>
      <c r="CA140" s="3237"/>
      <c r="CB140" s="3237"/>
      <c r="CC140" s="3237"/>
      <c r="CD140" s="3237"/>
      <c r="CE140" s="3237"/>
      <c r="CF140" s="3237"/>
      <c r="CG140" s="3237"/>
      <c r="CH140" s="3237"/>
      <c r="CI140" s="3237">
        <f t="shared" si="18"/>
        <v>0</v>
      </c>
    </row>
    <row r="141" spans="1:87">
      <c r="A141" s="548" t="s">
        <v>3502</v>
      </c>
      <c r="B141" s="548" t="s">
        <v>3503</v>
      </c>
      <c r="C141" s="551" t="s">
        <v>2232</v>
      </c>
      <c r="D141" s="1007" t="s">
        <v>4219</v>
      </c>
      <c r="E141" s="608" t="s">
        <v>3578</v>
      </c>
      <c r="F141" s="2236">
        <v>12</v>
      </c>
      <c r="G141" s="566"/>
      <c r="H141" s="566">
        <v>2.4</v>
      </c>
      <c r="I141" s="566"/>
      <c r="J141" s="566">
        <v>2.4</v>
      </c>
      <c r="K141" s="566"/>
      <c r="L141" s="277"/>
      <c r="M141" s="553">
        <f t="shared" si="19"/>
        <v>0</v>
      </c>
      <c r="N141" s="277"/>
      <c r="O141" s="2952">
        <f t="shared" si="20"/>
        <v>0</v>
      </c>
      <c r="P141" s="736"/>
      <c r="Q141" s="1017">
        <f>'Abs10. NLEP'!Q46</f>
        <v>0</v>
      </c>
      <c r="R141" s="2969">
        <f>'Abs10. NLEP'!R46</f>
        <v>0</v>
      </c>
      <c r="BB141" s="3237"/>
      <c r="BC141" s="3237"/>
      <c r="BD141" s="3237"/>
      <c r="BE141" s="3237"/>
      <c r="BF141" s="3237"/>
      <c r="BG141" s="3237"/>
      <c r="BH141" s="3237"/>
      <c r="BI141" s="3237"/>
      <c r="BJ141" s="3237"/>
      <c r="BK141" s="3237"/>
      <c r="BL141" s="3237"/>
      <c r="BM141" s="3237"/>
      <c r="BN141" s="3237"/>
      <c r="BO141" s="3237"/>
      <c r="BP141" s="3237"/>
      <c r="BQ141" s="3237"/>
      <c r="BR141" s="3237"/>
      <c r="BS141" s="3237"/>
      <c r="BT141" s="3237"/>
      <c r="BU141" s="3237"/>
      <c r="BV141" s="3237"/>
      <c r="BW141" s="3237"/>
      <c r="BX141" s="3237"/>
      <c r="BY141" s="3237"/>
      <c r="BZ141" s="3237"/>
      <c r="CA141" s="3237"/>
      <c r="CB141" s="3237"/>
      <c r="CC141" s="3237"/>
      <c r="CD141" s="3237"/>
      <c r="CE141" s="3237"/>
      <c r="CF141" s="3237"/>
      <c r="CG141" s="3237"/>
      <c r="CH141" s="3237"/>
      <c r="CI141" s="3237">
        <f t="shared" si="18"/>
        <v>0</v>
      </c>
    </row>
    <row r="142" spans="1:87" s="2699" customFormat="1" ht="45">
      <c r="A142" s="2691" t="s">
        <v>3504</v>
      </c>
      <c r="B142" s="2691" t="s">
        <v>3505</v>
      </c>
      <c r="C142" s="2692" t="s">
        <v>2233</v>
      </c>
      <c r="D142" s="3389" t="s">
        <v>80</v>
      </c>
      <c r="E142" s="2693" t="s">
        <v>3571</v>
      </c>
      <c r="F142" s="2694">
        <v>0</v>
      </c>
      <c r="G142" s="2695"/>
      <c r="H142" s="2695"/>
      <c r="I142" s="2695"/>
      <c r="J142" s="2695"/>
      <c r="K142" s="2695"/>
      <c r="L142" s="3391">
        <v>24000</v>
      </c>
      <c r="M142" s="2696">
        <f t="shared" si="19"/>
        <v>0.24</v>
      </c>
      <c r="N142" s="2697">
        <v>12</v>
      </c>
      <c r="O142" s="2954">
        <f t="shared" si="20"/>
        <v>2.88</v>
      </c>
      <c r="P142" s="3392" t="s">
        <v>5255</v>
      </c>
      <c r="Q142" s="2698" t="str">
        <f>'Abs16. NMHP'!Q32</f>
        <v xml:space="preserve">NMHP: Recommended @ Rs 10,000 per district </v>
      </c>
      <c r="R142" s="2972">
        <f>'Abs16. NMHP'!R32</f>
        <v>1.2000000000000002</v>
      </c>
      <c r="S142" s="3388">
        <f>O142-R142</f>
        <v>1.6799999999999997</v>
      </c>
      <c r="BB142" s="3239">
        <v>1.2</v>
      </c>
      <c r="BC142" s="3239"/>
      <c r="BD142" s="3239"/>
      <c r="BE142" s="3239"/>
      <c r="BF142" s="3239"/>
      <c r="BG142" s="3239"/>
      <c r="BH142" s="3239"/>
      <c r="BI142" s="3239"/>
      <c r="BJ142" s="3239"/>
      <c r="BK142" s="3239"/>
      <c r="BL142" s="3239"/>
      <c r="BM142" s="3239"/>
      <c r="BN142" s="3239"/>
      <c r="BO142" s="3239"/>
      <c r="BP142" s="3239"/>
      <c r="BQ142" s="3239"/>
      <c r="BR142" s="3239"/>
      <c r="BS142" s="3239"/>
      <c r="BT142" s="3239"/>
      <c r="BU142" s="3239"/>
      <c r="BV142" s="3239"/>
      <c r="BW142" s="3239"/>
      <c r="BX142" s="3239"/>
      <c r="BY142" s="3239"/>
      <c r="BZ142" s="3239"/>
      <c r="CA142" s="3239"/>
      <c r="CB142" s="3239"/>
      <c r="CC142" s="3239"/>
      <c r="CD142" s="3239"/>
      <c r="CE142" s="3239"/>
      <c r="CF142" s="3239"/>
      <c r="CG142" s="3239"/>
      <c r="CH142" s="3239"/>
      <c r="CI142" s="3239">
        <f t="shared" si="18"/>
        <v>1.2</v>
      </c>
    </row>
    <row r="143" spans="1:87" s="1770" customFormat="1">
      <c r="A143" s="548" t="s">
        <v>3506</v>
      </c>
      <c r="B143" s="548" t="s">
        <v>3507</v>
      </c>
      <c r="C143" s="558" t="s">
        <v>2234</v>
      </c>
      <c r="D143" s="2264" t="s">
        <v>80</v>
      </c>
      <c r="E143" s="609" t="s">
        <v>3571</v>
      </c>
      <c r="F143" s="2238">
        <v>0</v>
      </c>
      <c r="G143" s="560"/>
      <c r="H143" s="560"/>
      <c r="I143" s="560"/>
      <c r="J143" s="560"/>
      <c r="K143" s="560"/>
      <c r="L143" s="2477">
        <v>24000</v>
      </c>
      <c r="M143" s="569">
        <f t="shared" si="19"/>
        <v>0.24</v>
      </c>
      <c r="N143" s="283">
        <v>12</v>
      </c>
      <c r="O143" s="2951">
        <f t="shared" si="20"/>
        <v>2.88</v>
      </c>
      <c r="P143" s="735" t="s">
        <v>5256</v>
      </c>
      <c r="Q143" s="2698" t="str">
        <f>'Abs16. NMHP'!Q33</f>
        <v>Approval shifted to FMR 16.1.3.3.13</v>
      </c>
      <c r="R143" s="2971">
        <f>'Abs16. NMHP'!R33</f>
        <v>0</v>
      </c>
      <c r="S143" s="3116">
        <f>O143-R143</f>
        <v>2.88</v>
      </c>
      <c r="BB143" s="3238"/>
      <c r="BC143" s="3238"/>
      <c r="BD143" s="3238"/>
      <c r="BE143" s="3238"/>
      <c r="BF143" s="3238"/>
      <c r="BG143" s="3238"/>
      <c r="BH143" s="3238"/>
      <c r="BI143" s="3238"/>
      <c r="BJ143" s="3238"/>
      <c r="BK143" s="3238"/>
      <c r="BL143" s="3238"/>
      <c r="BM143" s="3238"/>
      <c r="BN143" s="3238"/>
      <c r="BO143" s="3238"/>
      <c r="BP143" s="3238"/>
      <c r="BQ143" s="3238"/>
      <c r="BR143" s="3238"/>
      <c r="BS143" s="3238"/>
      <c r="BT143" s="3238"/>
      <c r="BU143" s="3238"/>
      <c r="BV143" s="3238"/>
      <c r="BW143" s="3238"/>
      <c r="BX143" s="3238"/>
      <c r="BY143" s="3238"/>
      <c r="BZ143" s="3238"/>
      <c r="CA143" s="3238"/>
      <c r="CB143" s="3238"/>
      <c r="CC143" s="3238"/>
      <c r="CD143" s="3238"/>
      <c r="CE143" s="3238"/>
      <c r="CF143" s="3238"/>
      <c r="CG143" s="3238"/>
      <c r="CH143" s="3238"/>
      <c r="CI143" s="3237">
        <f t="shared" si="18"/>
        <v>0</v>
      </c>
    </row>
    <row r="144" spans="1:87" ht="30">
      <c r="A144" s="548" t="s">
        <v>3508</v>
      </c>
      <c r="B144" s="548" t="s">
        <v>3509</v>
      </c>
      <c r="C144" s="551" t="s">
        <v>2235</v>
      </c>
      <c r="D144" s="1549" t="s">
        <v>80</v>
      </c>
      <c r="E144" s="609" t="s">
        <v>3579</v>
      </c>
      <c r="F144" s="2238">
        <v>0</v>
      </c>
      <c r="G144" s="552"/>
      <c r="H144" s="552"/>
      <c r="I144" s="552"/>
      <c r="J144" s="552"/>
      <c r="K144" s="552"/>
      <c r="L144" s="277"/>
      <c r="M144" s="553">
        <f t="shared" si="19"/>
        <v>0</v>
      </c>
      <c r="N144" s="277"/>
      <c r="O144" s="2950">
        <f t="shared" si="20"/>
        <v>0</v>
      </c>
      <c r="P144" s="734"/>
      <c r="Q144" s="1017">
        <f>'Abs18. NTCP'!Q34</f>
        <v>0</v>
      </c>
      <c r="R144" s="2969">
        <f>'Abs18. NTCP'!R34</f>
        <v>0</v>
      </c>
      <c r="BB144" s="3237"/>
      <c r="BC144" s="3237"/>
      <c r="BD144" s="3237"/>
      <c r="BE144" s="3237"/>
      <c r="BF144" s="3237"/>
      <c r="BG144" s="3237"/>
      <c r="BH144" s="3237"/>
      <c r="BI144" s="3237"/>
      <c r="BJ144" s="3237"/>
      <c r="BK144" s="3237"/>
      <c r="BL144" s="3237"/>
      <c r="BM144" s="3237"/>
      <c r="BN144" s="3237"/>
      <c r="BO144" s="3237"/>
      <c r="BP144" s="3237"/>
      <c r="BQ144" s="3237"/>
      <c r="BR144" s="3237"/>
      <c r="BS144" s="3237"/>
      <c r="BT144" s="3237"/>
      <c r="BU144" s="3237"/>
      <c r="BV144" s="3237"/>
      <c r="BW144" s="3237"/>
      <c r="BX144" s="3237"/>
      <c r="BY144" s="3237"/>
      <c r="BZ144" s="3237"/>
      <c r="CA144" s="3237"/>
      <c r="CB144" s="3237"/>
      <c r="CC144" s="3237"/>
      <c r="CD144" s="3237"/>
      <c r="CE144" s="3237"/>
      <c r="CF144" s="3237"/>
      <c r="CG144" s="3237"/>
      <c r="CH144" s="3237"/>
      <c r="CI144" s="3237">
        <f t="shared" si="18"/>
        <v>0</v>
      </c>
    </row>
    <row r="145" spans="1:87">
      <c r="A145" s="548" t="s">
        <v>3510</v>
      </c>
      <c r="B145" s="548" t="s">
        <v>3511</v>
      </c>
      <c r="C145" s="551" t="s">
        <v>2236</v>
      </c>
      <c r="D145" s="1549" t="s">
        <v>80</v>
      </c>
      <c r="E145" s="608" t="s">
        <v>3581</v>
      </c>
      <c r="F145" s="2236">
        <v>0</v>
      </c>
      <c r="G145" s="552"/>
      <c r="H145" s="552"/>
      <c r="I145" s="552"/>
      <c r="J145" s="552"/>
      <c r="K145" s="552"/>
      <c r="L145" s="277"/>
      <c r="M145" s="553">
        <f t="shared" si="19"/>
        <v>0</v>
      </c>
      <c r="N145" s="277"/>
      <c r="O145" s="2950">
        <f t="shared" si="20"/>
        <v>0</v>
      </c>
      <c r="P145" s="734"/>
      <c r="Q145" s="1017">
        <f>'Abs19. NPCDCS'!Q68</f>
        <v>0</v>
      </c>
      <c r="R145" s="2969">
        <f>'Abs19. NPCDCS'!R68</f>
        <v>0</v>
      </c>
      <c r="BB145" s="3237"/>
      <c r="BC145" s="3237"/>
      <c r="BD145" s="3237"/>
      <c r="BE145" s="3237"/>
      <c r="BF145" s="3237"/>
      <c r="BG145" s="3237"/>
      <c r="BH145" s="3237"/>
      <c r="BI145" s="3237"/>
      <c r="BJ145" s="3237"/>
      <c r="BK145" s="3237"/>
      <c r="BL145" s="3237"/>
      <c r="BM145" s="3237"/>
      <c r="BN145" s="3237"/>
      <c r="BO145" s="3237"/>
      <c r="BP145" s="3237"/>
      <c r="BQ145" s="3237"/>
      <c r="BR145" s="3237"/>
      <c r="BS145" s="3237"/>
      <c r="BT145" s="3237"/>
      <c r="BU145" s="3237"/>
      <c r="BV145" s="3237"/>
      <c r="BW145" s="3237"/>
      <c r="BX145" s="3237"/>
      <c r="BY145" s="3237"/>
      <c r="BZ145" s="3237"/>
      <c r="CA145" s="3237"/>
      <c r="CB145" s="3237"/>
      <c r="CC145" s="3237"/>
      <c r="CD145" s="3237"/>
      <c r="CE145" s="3237"/>
      <c r="CF145" s="3237"/>
      <c r="CG145" s="3237"/>
      <c r="CH145" s="3237"/>
      <c r="CI145" s="3237">
        <f t="shared" si="18"/>
        <v>0</v>
      </c>
    </row>
    <row r="146" spans="1:87" ht="12.95" customHeight="1">
      <c r="A146" s="548" t="s">
        <v>3512</v>
      </c>
      <c r="B146" s="548" t="s">
        <v>3513</v>
      </c>
      <c r="C146" s="548" t="s">
        <v>3585</v>
      </c>
      <c r="D146" s="549"/>
      <c r="E146" s="549"/>
      <c r="F146" s="550"/>
      <c r="G146" s="550"/>
      <c r="H146" s="550"/>
      <c r="I146" s="550"/>
      <c r="J146" s="550"/>
      <c r="K146" s="550"/>
      <c r="L146" s="550"/>
      <c r="M146" s="161"/>
      <c r="N146" s="550"/>
      <c r="O146" s="2949">
        <f>O147</f>
        <v>6.6398799999999998</v>
      </c>
      <c r="P146" s="733"/>
      <c r="Q146" s="1511"/>
      <c r="R146" s="2961">
        <f>R147</f>
        <v>6</v>
      </c>
      <c r="S146" s="3116">
        <f>O146-R146</f>
        <v>0.63987999999999978</v>
      </c>
      <c r="BB146" s="3237"/>
      <c r="BC146" s="3237"/>
      <c r="BD146" s="3237"/>
      <c r="BE146" s="3237"/>
      <c r="BF146" s="3237"/>
      <c r="BG146" s="3237"/>
      <c r="BH146" s="3237"/>
      <c r="BI146" s="3237"/>
      <c r="BJ146" s="3237"/>
      <c r="BK146" s="3237"/>
      <c r="BL146" s="3237"/>
      <c r="BM146" s="3237"/>
      <c r="BN146" s="3237"/>
      <c r="BO146" s="3237"/>
      <c r="BP146" s="3237"/>
      <c r="BQ146" s="3237"/>
      <c r="BR146" s="3237"/>
      <c r="BS146" s="3237"/>
      <c r="BT146" s="3237"/>
      <c r="BU146" s="3237"/>
      <c r="BV146" s="3237"/>
      <c r="BW146" s="3237"/>
      <c r="BX146" s="3237"/>
      <c r="BY146" s="3237"/>
      <c r="BZ146" s="3237"/>
      <c r="CA146" s="3237"/>
      <c r="CB146" s="3237"/>
      <c r="CC146" s="3237"/>
      <c r="CD146" s="3237"/>
      <c r="CE146" s="3237"/>
      <c r="CF146" s="3237"/>
      <c r="CG146" s="3237"/>
      <c r="CH146" s="3237"/>
      <c r="CI146" s="3237">
        <f t="shared" si="18"/>
        <v>0</v>
      </c>
    </row>
    <row r="147" spans="1:87" s="1770" customFormat="1" ht="52.5" customHeight="1">
      <c r="A147" s="548" t="s">
        <v>3514</v>
      </c>
      <c r="B147" s="548" t="s">
        <v>3515</v>
      </c>
      <c r="C147" s="558" t="s">
        <v>2237</v>
      </c>
      <c r="D147" s="2604" t="s">
        <v>85</v>
      </c>
      <c r="E147" s="609" t="s">
        <v>3241</v>
      </c>
      <c r="F147" s="2238">
        <v>15</v>
      </c>
      <c r="G147" s="577"/>
      <c r="H147" s="577">
        <v>4.5</v>
      </c>
      <c r="I147" s="2606">
        <v>1.1100000000000001</v>
      </c>
      <c r="J147" s="2606">
        <f>H147-I147</f>
        <v>3.3899999999999997</v>
      </c>
      <c r="K147" s="2606">
        <v>1</v>
      </c>
      <c r="L147" s="2504">
        <v>25538</v>
      </c>
      <c r="M147" s="569">
        <f>L147/100000</f>
        <v>0.25538</v>
      </c>
      <c r="N147" s="283">
        <v>26</v>
      </c>
      <c r="O147" s="2951">
        <f>M147*N147</f>
        <v>6.6398799999999998</v>
      </c>
      <c r="P147" s="2683" t="s">
        <v>5498</v>
      </c>
      <c r="Q147" s="2263" t="str">
        <f>'Ab1. RMNCH+A'!Q474</f>
        <v>Ongoing Activity:Rs. 6 lakh is recommended for approval for SNCU data management for 20 SNCU @ Rs. 0.30 lakh each SNCU.The State to book the expenditure as per actual.New Activity: Data Management of 3 NBSUs to be functional is not recommended for approval. May book under Operational cost, once functional.</v>
      </c>
      <c r="R147" s="2971">
        <f>'Ab1. RMNCH+A'!R474</f>
        <v>6</v>
      </c>
      <c r="S147" s="3116">
        <f>O147-R147</f>
        <v>0.63987999999999978</v>
      </c>
      <c r="BB147" s="3238">
        <v>1.2</v>
      </c>
      <c r="BC147" s="3238"/>
      <c r="BD147" s="3238"/>
      <c r="BE147" s="3238"/>
      <c r="BF147" s="3238"/>
      <c r="BG147" s="3238"/>
      <c r="BH147" s="3238"/>
      <c r="BI147" s="3238"/>
      <c r="BJ147" s="3238">
        <v>0.3</v>
      </c>
      <c r="BK147" s="3238"/>
      <c r="BL147" s="3238">
        <v>0.3</v>
      </c>
      <c r="BM147" s="3238"/>
      <c r="BN147" s="3238"/>
      <c r="BO147" s="3238">
        <v>0.3</v>
      </c>
      <c r="BP147" s="3238">
        <v>0.3</v>
      </c>
      <c r="BQ147" s="3238">
        <v>0.3</v>
      </c>
      <c r="BR147" s="3238">
        <v>0.3</v>
      </c>
      <c r="BS147" s="3238">
        <v>0.3</v>
      </c>
      <c r="BT147" s="3238">
        <v>0.3</v>
      </c>
      <c r="BU147" s="3238">
        <v>0.3</v>
      </c>
      <c r="BV147" s="3238">
        <v>0.3</v>
      </c>
      <c r="BW147" s="3238"/>
      <c r="BX147" s="3238">
        <v>0.3</v>
      </c>
      <c r="BY147" s="3238">
        <v>0.3</v>
      </c>
      <c r="BZ147" s="3238">
        <v>0.3</v>
      </c>
      <c r="CA147" s="3238"/>
      <c r="CB147" s="3238">
        <v>0.3</v>
      </c>
      <c r="CC147" s="3238"/>
      <c r="CD147" s="3238">
        <v>0.3</v>
      </c>
      <c r="CE147" s="3238"/>
      <c r="CF147" s="3238">
        <v>0.3</v>
      </c>
      <c r="CG147" s="3238"/>
      <c r="CH147" s="3238"/>
      <c r="CI147" s="3237">
        <f t="shared" si="18"/>
        <v>5.9999999999999982</v>
      </c>
    </row>
    <row r="148" spans="1:87" ht="12.95" customHeight="1">
      <c r="A148" s="543" t="s">
        <v>3286</v>
      </c>
      <c r="B148" s="543">
        <v>16.7</v>
      </c>
      <c r="C148" s="580" t="s">
        <v>2238</v>
      </c>
      <c r="D148" s="581"/>
      <c r="E148" s="581"/>
      <c r="F148" s="582"/>
      <c r="G148" s="582"/>
      <c r="H148" s="582"/>
      <c r="I148" s="582"/>
      <c r="J148" s="582"/>
      <c r="K148" s="582"/>
      <c r="L148" s="582"/>
      <c r="M148" s="547"/>
      <c r="N148" s="582"/>
      <c r="O148" s="2817">
        <f>O149+O153+O163</f>
        <v>27.999929999999999</v>
      </c>
      <c r="P148" s="732"/>
      <c r="Q148" s="996"/>
      <c r="R148" s="2957">
        <f>R149+R153+R163</f>
        <v>27.999980000000001</v>
      </c>
      <c r="S148" s="3116">
        <f>O148-R148</f>
        <v>-5.0000000001659828E-5</v>
      </c>
      <c r="BB148" s="3237"/>
      <c r="BC148" s="3237"/>
      <c r="BD148" s="3237"/>
      <c r="BE148" s="3237"/>
      <c r="BF148" s="3237"/>
      <c r="BG148" s="3237"/>
      <c r="BH148" s="3237"/>
      <c r="BI148" s="3237"/>
      <c r="BJ148" s="3237"/>
      <c r="BK148" s="3237"/>
      <c r="BL148" s="3237"/>
      <c r="BM148" s="3237"/>
      <c r="BN148" s="3237"/>
      <c r="BO148" s="3237"/>
      <c r="BP148" s="3237"/>
      <c r="BQ148" s="3237"/>
      <c r="BR148" s="3237"/>
      <c r="BS148" s="3237"/>
      <c r="BT148" s="3237"/>
      <c r="BU148" s="3237"/>
      <c r="BV148" s="3237"/>
      <c r="BW148" s="3237"/>
      <c r="BX148" s="3237"/>
      <c r="BY148" s="3237"/>
      <c r="BZ148" s="3237"/>
      <c r="CA148" s="3237"/>
      <c r="CB148" s="3237"/>
      <c r="CC148" s="3237"/>
      <c r="CD148" s="3237"/>
      <c r="CE148" s="3237"/>
      <c r="CF148" s="3237"/>
      <c r="CG148" s="3237"/>
      <c r="CH148" s="3237"/>
      <c r="CI148" s="3237">
        <f t="shared" si="18"/>
        <v>0</v>
      </c>
    </row>
    <row r="149" spans="1:87" ht="12.95" customHeight="1">
      <c r="A149" s="548" t="s">
        <v>3516</v>
      </c>
      <c r="B149" s="548" t="s">
        <v>3517</v>
      </c>
      <c r="C149" s="548" t="s">
        <v>2239</v>
      </c>
      <c r="D149" s="549"/>
      <c r="E149" s="549"/>
      <c r="F149" s="550"/>
      <c r="G149" s="550"/>
      <c r="H149" s="550"/>
      <c r="I149" s="550"/>
      <c r="J149" s="550"/>
      <c r="K149" s="550"/>
      <c r="L149" s="550"/>
      <c r="M149" s="161"/>
      <c r="N149" s="550"/>
      <c r="O149" s="2949">
        <f>SUM(O150:O152)</f>
        <v>0</v>
      </c>
      <c r="P149" s="733"/>
      <c r="Q149" s="1511"/>
      <c r="R149" s="2961">
        <f>SUM(R150:R152)</f>
        <v>0</v>
      </c>
      <c r="BB149" s="3237"/>
      <c r="BC149" s="3237"/>
      <c r="BD149" s="3237"/>
      <c r="BE149" s="3237"/>
      <c r="BF149" s="3237"/>
      <c r="BG149" s="3237"/>
      <c r="BH149" s="3237"/>
      <c r="BI149" s="3237"/>
      <c r="BJ149" s="3237"/>
      <c r="BK149" s="3237"/>
      <c r="BL149" s="3237"/>
      <c r="BM149" s="3237"/>
      <c r="BN149" s="3237"/>
      <c r="BO149" s="3237"/>
      <c r="BP149" s="3237"/>
      <c r="BQ149" s="3237"/>
      <c r="BR149" s="3237"/>
      <c r="BS149" s="3237"/>
      <c r="BT149" s="3237"/>
      <c r="BU149" s="3237"/>
      <c r="BV149" s="3237"/>
      <c r="BW149" s="3237"/>
      <c r="BX149" s="3237"/>
      <c r="BY149" s="3237"/>
      <c r="BZ149" s="3237"/>
      <c r="CA149" s="3237"/>
      <c r="CB149" s="3237"/>
      <c r="CC149" s="3237"/>
      <c r="CD149" s="3237"/>
      <c r="CE149" s="3237"/>
      <c r="CF149" s="3237"/>
      <c r="CG149" s="3237"/>
      <c r="CH149" s="3237"/>
      <c r="CI149" s="3237">
        <f t="shared" si="18"/>
        <v>0</v>
      </c>
    </row>
    <row r="150" spans="1:87" ht="45">
      <c r="A150" s="548" t="s">
        <v>3518</v>
      </c>
      <c r="B150" s="548" t="s">
        <v>3519</v>
      </c>
      <c r="C150" s="551" t="s">
        <v>4520</v>
      </c>
      <c r="D150" s="908" t="s">
        <v>65</v>
      </c>
      <c r="E150" s="608" t="s">
        <v>3586</v>
      </c>
      <c r="F150" s="2236">
        <v>0</v>
      </c>
      <c r="G150" s="579"/>
      <c r="H150" s="579"/>
      <c r="I150" s="579"/>
      <c r="J150" s="579"/>
      <c r="K150" s="579"/>
      <c r="L150" s="277"/>
      <c r="M150" s="553">
        <f>L150/100000</f>
        <v>0</v>
      </c>
      <c r="N150" s="277"/>
      <c r="O150" s="2950">
        <f>M150*N150</f>
        <v>0</v>
      </c>
      <c r="P150" s="734"/>
      <c r="Q150" s="1017">
        <f>'Abs5. Blood services &amp; Disorder'!Q30</f>
        <v>0</v>
      </c>
      <c r="R150" s="2969">
        <f>'Abs5. Blood services &amp; Disorder'!R30</f>
        <v>0</v>
      </c>
      <c r="BB150" s="3237"/>
      <c r="BC150" s="3237"/>
      <c r="BD150" s="3237"/>
      <c r="BE150" s="3237"/>
      <c r="BF150" s="3237"/>
      <c r="BG150" s="3237"/>
      <c r="BH150" s="3237"/>
      <c r="BI150" s="3237"/>
      <c r="BJ150" s="3237"/>
      <c r="BK150" s="3237"/>
      <c r="BL150" s="3237"/>
      <c r="BM150" s="3237"/>
      <c r="BN150" s="3237"/>
      <c r="BO150" s="3237"/>
      <c r="BP150" s="3237"/>
      <c r="BQ150" s="3237"/>
      <c r="BR150" s="3237"/>
      <c r="BS150" s="3237"/>
      <c r="BT150" s="3237"/>
      <c r="BU150" s="3237"/>
      <c r="BV150" s="3237"/>
      <c r="BW150" s="3237"/>
      <c r="BX150" s="3237"/>
      <c r="BY150" s="3237"/>
      <c r="BZ150" s="3237"/>
      <c r="CA150" s="3237"/>
      <c r="CB150" s="3237"/>
      <c r="CC150" s="3237"/>
      <c r="CD150" s="3237"/>
      <c r="CE150" s="3237"/>
      <c r="CF150" s="3237"/>
      <c r="CG150" s="3237"/>
      <c r="CH150" s="3237"/>
      <c r="CI150" s="3237">
        <f t="shared" si="18"/>
        <v>0</v>
      </c>
    </row>
    <row r="151" spans="1:87">
      <c r="A151" s="548" t="s">
        <v>3520</v>
      </c>
      <c r="B151" s="548" t="s">
        <v>3521</v>
      </c>
      <c r="C151" s="551" t="s">
        <v>2241</v>
      </c>
      <c r="D151" s="908" t="s">
        <v>65</v>
      </c>
      <c r="E151" s="608" t="s">
        <v>3238</v>
      </c>
      <c r="F151" s="2236">
        <v>0</v>
      </c>
      <c r="G151" s="579"/>
      <c r="H151" s="579"/>
      <c r="I151" s="556"/>
      <c r="J151" s="556"/>
      <c r="K151" s="579"/>
      <c r="L151" s="277"/>
      <c r="M151" s="553">
        <f>L151/100000</f>
        <v>0</v>
      </c>
      <c r="N151" s="277"/>
      <c r="O151" s="2950">
        <f>M151*N151</f>
        <v>0</v>
      </c>
      <c r="P151" s="734"/>
      <c r="Q151" s="1022"/>
      <c r="R151" s="2973"/>
      <c r="BB151" s="3237"/>
      <c r="BC151" s="3237"/>
      <c r="BD151" s="3237"/>
      <c r="BE151" s="3237"/>
      <c r="BF151" s="3237"/>
      <c r="BG151" s="3237"/>
      <c r="BH151" s="3237"/>
      <c r="BI151" s="3237"/>
      <c r="BJ151" s="3237"/>
      <c r="BK151" s="3237"/>
      <c r="BL151" s="3237"/>
      <c r="BM151" s="3237"/>
      <c r="BN151" s="3237"/>
      <c r="BO151" s="3237"/>
      <c r="BP151" s="3237"/>
      <c r="BQ151" s="3237"/>
      <c r="BR151" s="3237"/>
      <c r="BS151" s="3237"/>
      <c r="BT151" s="3237"/>
      <c r="BU151" s="3237"/>
      <c r="BV151" s="3237"/>
      <c r="BW151" s="3237"/>
      <c r="BX151" s="3237"/>
      <c r="BY151" s="3237"/>
      <c r="BZ151" s="3237"/>
      <c r="CA151" s="3237"/>
      <c r="CB151" s="3237"/>
      <c r="CC151" s="3237"/>
      <c r="CD151" s="3237"/>
      <c r="CE151" s="3237"/>
      <c r="CF151" s="3237"/>
      <c r="CG151" s="3237"/>
      <c r="CH151" s="3237"/>
      <c r="CI151" s="3237">
        <f t="shared" si="18"/>
        <v>0</v>
      </c>
    </row>
    <row r="152" spans="1:87" ht="45">
      <c r="A152" s="548" t="s">
        <v>3522</v>
      </c>
      <c r="B152" s="548" t="s">
        <v>3523</v>
      </c>
      <c r="C152" s="551" t="s">
        <v>2244</v>
      </c>
      <c r="D152" s="1007" t="s">
        <v>4219</v>
      </c>
      <c r="E152" s="608" t="s">
        <v>4715</v>
      </c>
      <c r="F152" s="2236">
        <v>0</v>
      </c>
      <c r="G152" s="579"/>
      <c r="H152" s="579"/>
      <c r="I152" s="579"/>
      <c r="J152" s="579"/>
      <c r="K152" s="579"/>
      <c r="L152" s="277"/>
      <c r="M152" s="553">
        <f>L152/100000</f>
        <v>0</v>
      </c>
      <c r="N152" s="277"/>
      <c r="O152" s="2950">
        <f>M152*N152</f>
        <v>0</v>
      </c>
      <c r="P152" s="734"/>
      <c r="Q152" s="1017">
        <f>'Abs9. NVBDCP'!Q129</f>
        <v>0</v>
      </c>
      <c r="R152" s="2969">
        <f>'Abs9. NVBDCP'!R129</f>
        <v>0</v>
      </c>
      <c r="BB152" s="3237"/>
      <c r="BC152" s="3237"/>
      <c r="BD152" s="3237"/>
      <c r="BE152" s="3237"/>
      <c r="BF152" s="3237"/>
      <c r="BG152" s="3237"/>
      <c r="BH152" s="3237"/>
      <c r="BI152" s="3237"/>
      <c r="BJ152" s="3237"/>
      <c r="BK152" s="3237"/>
      <c r="BL152" s="3237"/>
      <c r="BM152" s="3237"/>
      <c r="BN152" s="3237"/>
      <c r="BO152" s="3237"/>
      <c r="BP152" s="3237"/>
      <c r="BQ152" s="3237"/>
      <c r="BR152" s="3237"/>
      <c r="BS152" s="3237"/>
      <c r="BT152" s="3237"/>
      <c r="BU152" s="3237"/>
      <c r="BV152" s="3237"/>
      <c r="BW152" s="3237"/>
      <c r="BX152" s="3237"/>
      <c r="BY152" s="3237"/>
      <c r="BZ152" s="3237"/>
      <c r="CA152" s="3237"/>
      <c r="CB152" s="3237"/>
      <c r="CC152" s="3237"/>
      <c r="CD152" s="3237"/>
      <c r="CE152" s="3237"/>
      <c r="CF152" s="3237"/>
      <c r="CG152" s="3237"/>
      <c r="CH152" s="3237"/>
      <c r="CI152" s="3237">
        <f t="shared" si="18"/>
        <v>0</v>
      </c>
    </row>
    <row r="153" spans="1:87" ht="26.1" customHeight="1">
      <c r="A153" s="548" t="s">
        <v>3524</v>
      </c>
      <c r="B153" s="548" t="s">
        <v>3525</v>
      </c>
      <c r="C153" s="548" t="s">
        <v>2245</v>
      </c>
      <c r="D153" s="549"/>
      <c r="E153" s="549"/>
      <c r="F153" s="550"/>
      <c r="G153" s="550"/>
      <c r="H153" s="550"/>
      <c r="I153" s="550"/>
      <c r="J153" s="550"/>
      <c r="K153" s="550"/>
      <c r="L153" s="550"/>
      <c r="M153" s="161"/>
      <c r="N153" s="550"/>
      <c r="O153" s="2949">
        <f>SUM(O154:O158)+O161+O162</f>
        <v>0</v>
      </c>
      <c r="P153" s="733"/>
      <c r="Q153" s="1511"/>
      <c r="R153" s="2961">
        <f>SUM(R154:R158)+R161+R162</f>
        <v>0</v>
      </c>
      <c r="BB153" s="3237"/>
      <c r="BC153" s="3237"/>
      <c r="BD153" s="3237"/>
      <c r="BE153" s="3237"/>
      <c r="BF153" s="3237"/>
      <c r="BG153" s="3237"/>
      <c r="BH153" s="3237"/>
      <c r="BI153" s="3237"/>
      <c r="BJ153" s="3237"/>
      <c r="BK153" s="3237"/>
      <c r="BL153" s="3237"/>
      <c r="BM153" s="3237"/>
      <c r="BN153" s="3237"/>
      <c r="BO153" s="3237"/>
      <c r="BP153" s="3237"/>
      <c r="BQ153" s="3237"/>
      <c r="BR153" s="3237"/>
      <c r="BS153" s="3237"/>
      <c r="BT153" s="3237"/>
      <c r="BU153" s="3237"/>
      <c r="BV153" s="3237"/>
      <c r="BW153" s="3237"/>
      <c r="BX153" s="3237"/>
      <c r="BY153" s="3237"/>
      <c r="BZ153" s="3237"/>
      <c r="CA153" s="3237"/>
      <c r="CB153" s="3237"/>
      <c r="CC153" s="3237"/>
      <c r="CD153" s="3237"/>
      <c r="CE153" s="3237"/>
      <c r="CF153" s="3237"/>
      <c r="CG153" s="3237"/>
      <c r="CH153" s="3237"/>
      <c r="CI153" s="3237">
        <f t="shared" si="18"/>
        <v>0</v>
      </c>
    </row>
    <row r="154" spans="1:87" ht="30">
      <c r="A154" s="548" t="s">
        <v>3526</v>
      </c>
      <c r="B154" s="548" t="s">
        <v>3527</v>
      </c>
      <c r="C154" s="551" t="s">
        <v>2246</v>
      </c>
      <c r="D154" s="1007" t="s">
        <v>4219</v>
      </c>
      <c r="E154" s="608" t="s">
        <v>3576</v>
      </c>
      <c r="F154" s="2236">
        <v>0</v>
      </c>
      <c r="G154" s="560"/>
      <c r="H154" s="560"/>
      <c r="I154" s="560"/>
      <c r="J154" s="560"/>
      <c r="K154" s="560"/>
      <c r="L154" s="277"/>
      <c r="M154" s="553">
        <f>L154/100000</f>
        <v>0</v>
      </c>
      <c r="N154" s="277"/>
      <c r="O154" s="2951">
        <f>M154*N154</f>
        <v>0</v>
      </c>
      <c r="P154" s="735"/>
      <c r="Q154" s="1017">
        <f>'Abs8. IDSP'!Q35</f>
        <v>0</v>
      </c>
      <c r="R154" s="2967">
        <f>'Abs8. IDSP'!R35</f>
        <v>0</v>
      </c>
      <c r="BB154" s="3237"/>
      <c r="BC154" s="3237"/>
      <c r="BD154" s="3237"/>
      <c r="BE154" s="3237"/>
      <c r="BF154" s="3237"/>
      <c r="BG154" s="3237"/>
      <c r="BH154" s="3237"/>
      <c r="BI154" s="3237"/>
      <c r="BJ154" s="3237"/>
      <c r="BK154" s="3237"/>
      <c r="BL154" s="3237"/>
      <c r="BM154" s="3237"/>
      <c r="BN154" s="3237"/>
      <c r="BO154" s="3237"/>
      <c r="BP154" s="3237"/>
      <c r="BQ154" s="3237"/>
      <c r="BR154" s="3237"/>
      <c r="BS154" s="3237"/>
      <c r="BT154" s="3237"/>
      <c r="BU154" s="3237"/>
      <c r="BV154" s="3237"/>
      <c r="BW154" s="3237"/>
      <c r="BX154" s="3237"/>
      <c r="BY154" s="3237"/>
      <c r="BZ154" s="3237"/>
      <c r="CA154" s="3237"/>
      <c r="CB154" s="3237"/>
      <c r="CC154" s="3237"/>
      <c r="CD154" s="3237"/>
      <c r="CE154" s="3237"/>
      <c r="CF154" s="3237"/>
      <c r="CG154" s="3237"/>
      <c r="CH154" s="3237"/>
      <c r="CI154" s="3237">
        <f t="shared" si="18"/>
        <v>0</v>
      </c>
    </row>
    <row r="155" spans="1:87" ht="30">
      <c r="A155" s="548" t="s">
        <v>3528</v>
      </c>
      <c r="B155" s="548" t="s">
        <v>3529</v>
      </c>
      <c r="C155" s="558" t="s">
        <v>2247</v>
      </c>
      <c r="D155" s="1007" t="s">
        <v>4219</v>
      </c>
      <c r="E155" s="608" t="s">
        <v>4716</v>
      </c>
      <c r="F155" s="2236">
        <v>0</v>
      </c>
      <c r="G155" s="552"/>
      <c r="H155" s="552"/>
      <c r="I155" s="552"/>
      <c r="J155" s="552"/>
      <c r="K155" s="552"/>
      <c r="L155" s="277"/>
      <c r="M155" s="553">
        <f>L155/100000</f>
        <v>0</v>
      </c>
      <c r="N155" s="277"/>
      <c r="O155" s="2950">
        <f>M155*N155</f>
        <v>0</v>
      </c>
      <c r="P155" s="734"/>
      <c r="Q155" s="1017">
        <f>'Abs9. NVBDCP'!Q130</f>
        <v>0</v>
      </c>
      <c r="R155" s="2969">
        <f>'Abs9. NVBDCP'!R130</f>
        <v>0</v>
      </c>
      <c r="BB155" s="3237"/>
      <c r="BC155" s="3237"/>
      <c r="BD155" s="3237"/>
      <c r="BE155" s="3237"/>
      <c r="BF155" s="3237"/>
      <c r="BG155" s="3237"/>
      <c r="BH155" s="3237"/>
      <c r="BI155" s="3237"/>
      <c r="BJ155" s="3237"/>
      <c r="BK155" s="3237"/>
      <c r="BL155" s="3237"/>
      <c r="BM155" s="3237"/>
      <c r="BN155" s="3237"/>
      <c r="BO155" s="3237"/>
      <c r="BP155" s="3237"/>
      <c r="BQ155" s="3237"/>
      <c r="BR155" s="3237"/>
      <c r="BS155" s="3237"/>
      <c r="BT155" s="3237"/>
      <c r="BU155" s="3237"/>
      <c r="BV155" s="3237"/>
      <c r="BW155" s="3237"/>
      <c r="BX155" s="3237"/>
      <c r="BY155" s="3237"/>
      <c r="BZ155" s="3237"/>
      <c r="CA155" s="3237"/>
      <c r="CB155" s="3237"/>
      <c r="CC155" s="3237"/>
      <c r="CD155" s="3237"/>
      <c r="CE155" s="3237"/>
      <c r="CF155" s="3237"/>
      <c r="CG155" s="3237"/>
      <c r="CH155" s="3237"/>
      <c r="CI155" s="3237">
        <f t="shared" si="18"/>
        <v>0</v>
      </c>
    </row>
    <row r="156" spans="1:87">
      <c r="A156" s="548" t="s">
        <v>3530</v>
      </c>
      <c r="B156" s="548" t="s">
        <v>3531</v>
      </c>
      <c r="C156" s="551" t="s">
        <v>3985</v>
      </c>
      <c r="D156" s="1007" t="s">
        <v>4219</v>
      </c>
      <c r="E156" s="608" t="s">
        <v>3578</v>
      </c>
      <c r="F156" s="2236">
        <v>0</v>
      </c>
      <c r="G156" s="566"/>
      <c r="H156" s="566"/>
      <c r="I156" s="566"/>
      <c r="J156" s="566"/>
      <c r="K156" s="566"/>
      <c r="L156" s="277"/>
      <c r="M156" s="553">
        <f>L156/100000</f>
        <v>0</v>
      </c>
      <c r="N156" s="277"/>
      <c r="O156" s="2952">
        <f>M156*N156</f>
        <v>0</v>
      </c>
      <c r="P156" s="736"/>
      <c r="Q156" s="1017">
        <f>'Abs10. NLEP'!Q47</f>
        <v>0</v>
      </c>
      <c r="R156" s="2969">
        <f>'Abs10. NLEP'!R47</f>
        <v>0</v>
      </c>
      <c r="BB156" s="3237"/>
      <c r="BC156" s="3237"/>
      <c r="BD156" s="3237"/>
      <c r="BE156" s="3237"/>
      <c r="BF156" s="3237"/>
      <c r="BG156" s="3237"/>
      <c r="BH156" s="3237"/>
      <c r="BI156" s="3237"/>
      <c r="BJ156" s="3237"/>
      <c r="BK156" s="3237"/>
      <c r="BL156" s="3237"/>
      <c r="BM156" s="3237"/>
      <c r="BN156" s="3237"/>
      <c r="BO156" s="3237"/>
      <c r="BP156" s="3237"/>
      <c r="BQ156" s="3237"/>
      <c r="BR156" s="3237"/>
      <c r="BS156" s="3237"/>
      <c r="BT156" s="3237"/>
      <c r="BU156" s="3237"/>
      <c r="BV156" s="3237"/>
      <c r="BW156" s="3237"/>
      <c r="BX156" s="3237"/>
      <c r="BY156" s="3237"/>
      <c r="BZ156" s="3237"/>
      <c r="CA156" s="3237"/>
      <c r="CB156" s="3237"/>
      <c r="CC156" s="3237"/>
      <c r="CD156" s="3237"/>
      <c r="CE156" s="3237"/>
      <c r="CF156" s="3237"/>
      <c r="CG156" s="3237"/>
      <c r="CH156" s="3237"/>
      <c r="CI156" s="3237">
        <f t="shared" si="18"/>
        <v>0</v>
      </c>
    </row>
    <row r="157" spans="1:87">
      <c r="A157" s="548" t="s">
        <v>3532</v>
      </c>
      <c r="B157" s="548" t="s">
        <v>3533</v>
      </c>
      <c r="C157" s="551" t="s">
        <v>2248</v>
      </c>
      <c r="D157" s="1007" t="s">
        <v>4219</v>
      </c>
      <c r="E157" s="608" t="s">
        <v>4524</v>
      </c>
      <c r="F157" s="2236">
        <v>0</v>
      </c>
      <c r="G157" s="552"/>
      <c r="H157" s="552"/>
      <c r="I157" s="552"/>
      <c r="J157" s="552"/>
      <c r="K157" s="552"/>
      <c r="L157" s="277"/>
      <c r="M157" s="553">
        <f>L157/100000</f>
        <v>0</v>
      </c>
      <c r="N157" s="277"/>
      <c r="O157" s="2950">
        <f>M157*N157</f>
        <v>0</v>
      </c>
      <c r="P157" s="734"/>
      <c r="Q157" s="1017">
        <f>'Abs11. NTEP'!Q63</f>
        <v>0</v>
      </c>
      <c r="R157" s="2969">
        <f>'Abs11. NTEP'!R63</f>
        <v>0</v>
      </c>
      <c r="BB157" s="3237"/>
      <c r="BC157" s="3237"/>
      <c r="BD157" s="3237"/>
      <c r="BE157" s="3237"/>
      <c r="BF157" s="3237"/>
      <c r="BG157" s="3237"/>
      <c r="BH157" s="3237"/>
      <c r="BI157" s="3237"/>
      <c r="BJ157" s="3237"/>
      <c r="BK157" s="3237"/>
      <c r="BL157" s="3237"/>
      <c r="BM157" s="3237"/>
      <c r="BN157" s="3237"/>
      <c r="BO157" s="3237"/>
      <c r="BP157" s="3237"/>
      <c r="BQ157" s="3237"/>
      <c r="BR157" s="3237"/>
      <c r="BS157" s="3237"/>
      <c r="BT157" s="3237"/>
      <c r="BU157" s="3237"/>
      <c r="BV157" s="3237"/>
      <c r="BW157" s="3237"/>
      <c r="BX157" s="3237"/>
      <c r="BY157" s="3237"/>
      <c r="BZ157" s="3237"/>
      <c r="CA157" s="3237"/>
      <c r="CB157" s="3237"/>
      <c r="CC157" s="3237"/>
      <c r="CD157" s="3237"/>
      <c r="CE157" s="3237"/>
      <c r="CF157" s="3237"/>
      <c r="CG157" s="3237"/>
      <c r="CH157" s="3237"/>
      <c r="CI157" s="3237">
        <f t="shared" si="18"/>
        <v>0</v>
      </c>
    </row>
    <row r="158" spans="1:87" s="1770" customFormat="1" ht="39" customHeight="1">
      <c r="A158" s="548" t="s">
        <v>3534</v>
      </c>
      <c r="B158" s="548" t="s">
        <v>3535</v>
      </c>
      <c r="C158" s="548" t="s">
        <v>2249</v>
      </c>
      <c r="D158" s="549"/>
      <c r="E158" s="549"/>
      <c r="F158" s="550">
        <v>0</v>
      </c>
      <c r="G158" s="550"/>
      <c r="H158" s="550"/>
      <c r="I158" s="550"/>
      <c r="J158" s="550"/>
      <c r="K158" s="550"/>
      <c r="L158" s="550"/>
      <c r="M158" s="161"/>
      <c r="N158" s="550"/>
      <c r="O158" s="2949">
        <f>O159+O160</f>
        <v>0</v>
      </c>
      <c r="P158" s="733"/>
      <c r="Q158" s="1511"/>
      <c r="R158" s="2961">
        <f>R159+R160</f>
        <v>0</v>
      </c>
      <c r="BB158" s="3238"/>
      <c r="BC158" s="3238"/>
      <c r="BD158" s="3238"/>
      <c r="BE158" s="3238"/>
      <c r="BF158" s="3238"/>
      <c r="BG158" s="3238"/>
      <c r="BH158" s="3238"/>
      <c r="BI158" s="3238"/>
      <c r="BJ158" s="3238"/>
      <c r="BK158" s="3238"/>
      <c r="BL158" s="3238"/>
      <c r="BM158" s="3238"/>
      <c r="BN158" s="3238"/>
      <c r="BO158" s="3238"/>
      <c r="BP158" s="3238"/>
      <c r="BQ158" s="3238"/>
      <c r="BR158" s="3238"/>
      <c r="BS158" s="3238"/>
      <c r="BT158" s="3238"/>
      <c r="BU158" s="3238"/>
      <c r="BV158" s="3238"/>
      <c r="BW158" s="3238"/>
      <c r="BX158" s="3238"/>
      <c r="BY158" s="3238"/>
      <c r="BZ158" s="3238"/>
      <c r="CA158" s="3238"/>
      <c r="CB158" s="3238"/>
      <c r="CC158" s="3238"/>
      <c r="CD158" s="3238"/>
      <c r="CE158" s="3238"/>
      <c r="CF158" s="3238"/>
      <c r="CG158" s="3238"/>
      <c r="CH158" s="3238"/>
      <c r="CI158" s="3237">
        <f t="shared" si="18"/>
        <v>0</v>
      </c>
    </row>
    <row r="159" spans="1:87">
      <c r="A159" s="548" t="s">
        <v>4470</v>
      </c>
      <c r="B159" s="548" t="s">
        <v>3537</v>
      </c>
      <c r="C159" s="551" t="s">
        <v>1110</v>
      </c>
      <c r="D159" s="1549" t="s">
        <v>80</v>
      </c>
      <c r="E159" s="608" t="s">
        <v>3581</v>
      </c>
      <c r="F159" s="2236">
        <v>0</v>
      </c>
      <c r="G159" s="552"/>
      <c r="H159" s="552"/>
      <c r="I159" s="552"/>
      <c r="J159" s="552"/>
      <c r="K159" s="552"/>
      <c r="L159" s="277"/>
      <c r="M159" s="553">
        <f>L159/100000</f>
        <v>0</v>
      </c>
      <c r="N159" s="277"/>
      <c r="O159" s="2950">
        <f>M159*N159</f>
        <v>0</v>
      </c>
      <c r="P159" s="734"/>
      <c r="Q159" s="1017">
        <f>'Abs19. NPCDCS'!Q69</f>
        <v>0</v>
      </c>
      <c r="R159" s="2969">
        <f>'Abs19. NPCDCS'!R69</f>
        <v>0</v>
      </c>
      <c r="BB159" s="3237"/>
      <c r="BC159" s="3237"/>
      <c r="BD159" s="3237"/>
      <c r="BE159" s="3237"/>
      <c r="BF159" s="3237"/>
      <c r="BG159" s="3237"/>
      <c r="BH159" s="3237"/>
      <c r="BI159" s="3237"/>
      <c r="BJ159" s="3237"/>
      <c r="BK159" s="3237"/>
      <c r="BL159" s="3237"/>
      <c r="BM159" s="3237"/>
      <c r="BN159" s="3237"/>
      <c r="BO159" s="3237"/>
      <c r="BP159" s="3237"/>
      <c r="BQ159" s="3237"/>
      <c r="BR159" s="3237"/>
      <c r="BS159" s="3237"/>
      <c r="BT159" s="3237"/>
      <c r="BU159" s="3237"/>
      <c r="BV159" s="3237"/>
      <c r="BW159" s="3237"/>
      <c r="BX159" s="3237"/>
      <c r="BY159" s="3237"/>
      <c r="BZ159" s="3237"/>
      <c r="CA159" s="3237"/>
      <c r="CB159" s="3237"/>
      <c r="CC159" s="3237"/>
      <c r="CD159" s="3237"/>
      <c r="CE159" s="3237"/>
      <c r="CF159" s="3237"/>
      <c r="CG159" s="3237"/>
      <c r="CH159" s="3237"/>
      <c r="CI159" s="3237">
        <f t="shared" si="18"/>
        <v>0</v>
      </c>
    </row>
    <row r="160" spans="1:87">
      <c r="A160" s="548" t="s">
        <v>4471</v>
      </c>
      <c r="B160" s="548" t="s">
        <v>3539</v>
      </c>
      <c r="C160" s="551" t="s">
        <v>2250</v>
      </c>
      <c r="D160" s="1549" t="s">
        <v>80</v>
      </c>
      <c r="E160" s="608" t="s">
        <v>3581</v>
      </c>
      <c r="F160" s="2236">
        <v>0</v>
      </c>
      <c r="G160" s="552"/>
      <c r="H160" s="552"/>
      <c r="I160" s="552"/>
      <c r="J160" s="552"/>
      <c r="K160" s="552"/>
      <c r="L160" s="277"/>
      <c r="M160" s="553">
        <f>L160/100000</f>
        <v>0</v>
      </c>
      <c r="N160" s="277"/>
      <c r="O160" s="2950">
        <f>M160*N160</f>
        <v>0</v>
      </c>
      <c r="P160" s="734"/>
      <c r="Q160" s="1017">
        <f>'Abs19. NPCDCS'!Q70</f>
        <v>0</v>
      </c>
      <c r="R160" s="2969">
        <f>'Abs19. NPCDCS'!R70</f>
        <v>0</v>
      </c>
      <c r="BB160" s="3237"/>
      <c r="BC160" s="3237"/>
      <c r="BD160" s="3237"/>
      <c r="BE160" s="3237"/>
      <c r="BF160" s="3237"/>
      <c r="BG160" s="3237"/>
      <c r="BH160" s="3237"/>
      <c r="BI160" s="3237"/>
      <c r="BJ160" s="3237"/>
      <c r="BK160" s="3237"/>
      <c r="BL160" s="3237"/>
      <c r="BM160" s="3237"/>
      <c r="BN160" s="3237"/>
      <c r="BO160" s="3237"/>
      <c r="BP160" s="3237"/>
      <c r="BQ160" s="3237"/>
      <c r="BR160" s="3237"/>
      <c r="BS160" s="3237"/>
      <c r="BT160" s="3237"/>
      <c r="BU160" s="3237"/>
      <c r="BV160" s="3237"/>
      <c r="BW160" s="3237"/>
      <c r="BX160" s="3237"/>
      <c r="BY160" s="3237"/>
      <c r="BZ160" s="3237"/>
      <c r="CA160" s="3237"/>
      <c r="CB160" s="3237"/>
      <c r="CC160" s="3237"/>
      <c r="CD160" s="3237"/>
      <c r="CE160" s="3237"/>
      <c r="CF160" s="3237"/>
      <c r="CG160" s="3237"/>
      <c r="CH160" s="3237"/>
      <c r="CI160" s="3237">
        <f t="shared" si="18"/>
        <v>0</v>
      </c>
    </row>
    <row r="161" spans="1:87" ht="45">
      <c r="A161" s="548" t="s">
        <v>3536</v>
      </c>
      <c r="B161" s="548"/>
      <c r="C161" s="551" t="s">
        <v>3587</v>
      </c>
      <c r="D161" s="1007" t="s">
        <v>4219</v>
      </c>
      <c r="E161" s="608" t="s">
        <v>3245</v>
      </c>
      <c r="F161" s="2236">
        <v>0</v>
      </c>
      <c r="G161" s="552"/>
      <c r="H161" s="552"/>
      <c r="I161" s="552"/>
      <c r="J161" s="552"/>
      <c r="K161" s="552"/>
      <c r="L161" s="277"/>
      <c r="M161" s="553">
        <f>L161/100000</f>
        <v>0</v>
      </c>
      <c r="N161" s="277"/>
      <c r="O161" s="2950">
        <f>M161*N161</f>
        <v>0</v>
      </c>
      <c r="P161" s="734"/>
      <c r="Q161" s="1017">
        <f>'Abs12. NVHCP'!Q44</f>
        <v>0</v>
      </c>
      <c r="R161" s="2969">
        <f>'Abs12. NVHCP'!R44</f>
        <v>0</v>
      </c>
      <c r="BB161" s="3237"/>
      <c r="BC161" s="3237"/>
      <c r="BD161" s="3237"/>
      <c r="BE161" s="3237"/>
      <c r="BF161" s="3237"/>
      <c r="BG161" s="3237"/>
      <c r="BH161" s="3237"/>
      <c r="BI161" s="3237"/>
      <c r="BJ161" s="3237"/>
      <c r="BK161" s="3237"/>
      <c r="BL161" s="3237"/>
      <c r="BM161" s="3237"/>
      <c r="BN161" s="3237"/>
      <c r="BO161" s="3237"/>
      <c r="BP161" s="3237"/>
      <c r="BQ161" s="3237"/>
      <c r="BR161" s="3237"/>
      <c r="BS161" s="3237"/>
      <c r="BT161" s="3237"/>
      <c r="BU161" s="3237"/>
      <c r="BV161" s="3237"/>
      <c r="BW161" s="3237"/>
      <c r="BX161" s="3237"/>
      <c r="BY161" s="3237"/>
      <c r="BZ161" s="3237"/>
      <c r="CA161" s="3237"/>
      <c r="CB161" s="3237"/>
      <c r="CC161" s="3237"/>
      <c r="CD161" s="3237"/>
      <c r="CE161" s="3237"/>
      <c r="CF161" s="3237"/>
      <c r="CG161" s="3237"/>
      <c r="CH161" s="3237"/>
      <c r="CI161" s="3237">
        <f t="shared" si="18"/>
        <v>0</v>
      </c>
    </row>
    <row r="162" spans="1:87" s="1770" customFormat="1">
      <c r="A162" s="548" t="s">
        <v>3538</v>
      </c>
      <c r="B162" s="548"/>
      <c r="C162" s="558" t="s">
        <v>4297</v>
      </c>
      <c r="D162" s="1007" t="s">
        <v>4219</v>
      </c>
      <c r="E162" s="609" t="s">
        <v>3577</v>
      </c>
      <c r="F162" s="2238">
        <v>0</v>
      </c>
      <c r="G162" s="560"/>
      <c r="H162" s="560"/>
      <c r="I162" s="560"/>
      <c r="J162" s="560"/>
      <c r="K162" s="560"/>
      <c r="L162" s="277"/>
      <c r="M162" s="553">
        <f>L162/100000</f>
        <v>0</v>
      </c>
      <c r="N162" s="277"/>
      <c r="O162" s="2951">
        <f>M162*N162</f>
        <v>0</v>
      </c>
      <c r="P162" s="735"/>
      <c r="Q162" s="1017">
        <f>'Abs9. NVBDCP'!Q131</f>
        <v>0</v>
      </c>
      <c r="R162" s="2969">
        <f>'Abs9. NVBDCP'!R131</f>
        <v>0</v>
      </c>
      <c r="BB162" s="3238"/>
      <c r="BC162" s="3238"/>
      <c r="BD162" s="3238"/>
      <c r="BE162" s="3238"/>
      <c r="BF162" s="3238"/>
      <c r="BG162" s="3238"/>
      <c r="BH162" s="3238"/>
      <c r="BI162" s="3238"/>
      <c r="BJ162" s="3238"/>
      <c r="BK162" s="3238"/>
      <c r="BL162" s="3238"/>
      <c r="BM162" s="3238"/>
      <c r="BN162" s="3238"/>
      <c r="BO162" s="3238"/>
      <c r="BP162" s="3238"/>
      <c r="BQ162" s="3238"/>
      <c r="BR162" s="3238"/>
      <c r="BS162" s="3238"/>
      <c r="BT162" s="3238"/>
      <c r="BU162" s="3238"/>
      <c r="BV162" s="3238"/>
      <c r="BW162" s="3238"/>
      <c r="BX162" s="3238"/>
      <c r="BY162" s="3238"/>
      <c r="BZ162" s="3238"/>
      <c r="CA162" s="3238"/>
      <c r="CB162" s="3238"/>
      <c r="CC162" s="3238"/>
      <c r="CD162" s="3238"/>
      <c r="CE162" s="3238"/>
      <c r="CF162" s="3238"/>
      <c r="CG162" s="3238"/>
      <c r="CH162" s="3238"/>
      <c r="CI162" s="3237">
        <f t="shared" si="18"/>
        <v>0</v>
      </c>
    </row>
    <row r="163" spans="1:87" ht="12.95" customHeight="1">
      <c r="A163" s="548" t="s">
        <v>3540</v>
      </c>
      <c r="B163" s="548" t="s">
        <v>3541</v>
      </c>
      <c r="C163" s="548" t="s">
        <v>302</v>
      </c>
      <c r="D163" s="549"/>
      <c r="E163" s="549"/>
      <c r="F163" s="550"/>
      <c r="G163" s="550"/>
      <c r="H163" s="550"/>
      <c r="I163" s="550"/>
      <c r="J163" s="550"/>
      <c r="K163" s="550"/>
      <c r="L163" s="550"/>
      <c r="M163" s="161"/>
      <c r="N163" s="550"/>
      <c r="O163" s="2949">
        <f>SUM(O164:O173)+O175+O178</f>
        <v>27.999929999999999</v>
      </c>
      <c r="P163" s="733"/>
      <c r="Q163" s="1511"/>
      <c r="R163" s="2961">
        <f>SUM(R164:R173)+R175+R178</f>
        <v>27.999980000000001</v>
      </c>
      <c r="S163" s="3116">
        <f>O163-R163</f>
        <v>-5.0000000001659828E-5</v>
      </c>
      <c r="BB163" s="3237"/>
      <c r="BC163" s="3237"/>
      <c r="BD163" s="3237"/>
      <c r="BE163" s="3237"/>
      <c r="BF163" s="3237"/>
      <c r="BG163" s="3237"/>
      <c r="BH163" s="3237"/>
      <c r="BI163" s="3237"/>
      <c r="BJ163" s="3237"/>
      <c r="BK163" s="3237"/>
      <c r="BL163" s="3237"/>
      <c r="BM163" s="3237"/>
      <c r="BN163" s="3237"/>
      <c r="BO163" s="3237"/>
      <c r="BP163" s="3237"/>
      <c r="BQ163" s="3237"/>
      <c r="BR163" s="3237"/>
      <c r="BS163" s="3237"/>
      <c r="BT163" s="3237"/>
      <c r="BU163" s="3237"/>
      <c r="BV163" s="3237"/>
      <c r="BW163" s="3237"/>
      <c r="BX163" s="3237"/>
      <c r="BY163" s="3237"/>
      <c r="BZ163" s="3237"/>
      <c r="CA163" s="3237"/>
      <c r="CB163" s="3237"/>
      <c r="CC163" s="3237"/>
      <c r="CD163" s="3237"/>
      <c r="CE163" s="3237"/>
      <c r="CF163" s="3237"/>
      <c r="CG163" s="3237"/>
      <c r="CH163" s="3237"/>
      <c r="CI163" s="3237">
        <f t="shared" si="18"/>
        <v>0</v>
      </c>
    </row>
    <row r="164" spans="1:87" ht="30">
      <c r="A164" s="548" t="s">
        <v>3542</v>
      </c>
      <c r="B164" s="548" t="s">
        <v>3543</v>
      </c>
      <c r="C164" s="551" t="s">
        <v>2251</v>
      </c>
      <c r="D164" s="585" t="s">
        <v>85</v>
      </c>
      <c r="E164" s="608" t="s">
        <v>3241</v>
      </c>
      <c r="F164" s="2236">
        <v>10</v>
      </c>
      <c r="G164" s="552"/>
      <c r="H164" s="552">
        <v>0.5</v>
      </c>
      <c r="I164" s="552">
        <v>0</v>
      </c>
      <c r="J164" s="552">
        <v>0.5</v>
      </c>
      <c r="K164" s="552"/>
      <c r="L164" s="277"/>
      <c r="M164" s="553">
        <f t="shared" ref="M164:M172" si="21">L164/100000</f>
        <v>0</v>
      </c>
      <c r="N164" s="277"/>
      <c r="O164" s="2950">
        <f t="shared" ref="O164:O172" si="22">M164*N164</f>
        <v>0</v>
      </c>
      <c r="P164" s="734"/>
      <c r="Q164" s="1017" t="str">
        <f>'Ab1. RMNCH+A'!Q475</f>
        <v>--</v>
      </c>
      <c r="R164" s="2967">
        <f>'Ab1. RMNCH+A'!R475</f>
        <v>0</v>
      </c>
      <c r="BB164" s="3237"/>
      <c r="BC164" s="3237"/>
      <c r="BD164" s="3237"/>
      <c r="BE164" s="3237"/>
      <c r="BF164" s="3237"/>
      <c r="BG164" s="3237"/>
      <c r="BH164" s="3237"/>
      <c r="BI164" s="3237"/>
      <c r="BJ164" s="3237"/>
      <c r="BK164" s="3237"/>
      <c r="BL164" s="3237"/>
      <c r="BM164" s="3237"/>
      <c r="BN164" s="3237"/>
      <c r="BO164" s="3237"/>
      <c r="BP164" s="3237"/>
      <c r="BQ164" s="3237"/>
      <c r="BR164" s="3237"/>
      <c r="BS164" s="3237"/>
      <c r="BT164" s="3237"/>
      <c r="BU164" s="3237"/>
      <c r="BV164" s="3237"/>
      <c r="BW164" s="3237"/>
      <c r="BX164" s="3237"/>
      <c r="BY164" s="3237"/>
      <c r="BZ164" s="3237"/>
      <c r="CA164" s="3237"/>
      <c r="CB164" s="3237"/>
      <c r="CC164" s="3237"/>
      <c r="CD164" s="3237"/>
      <c r="CE164" s="3237"/>
      <c r="CF164" s="3237"/>
      <c r="CG164" s="3237"/>
      <c r="CH164" s="3237"/>
      <c r="CI164" s="3237">
        <f t="shared" si="18"/>
        <v>0</v>
      </c>
    </row>
    <row r="165" spans="1:87" ht="38.25">
      <c r="A165" s="548" t="s">
        <v>3544</v>
      </c>
      <c r="B165" s="548" t="s">
        <v>3545</v>
      </c>
      <c r="C165" s="551" t="s">
        <v>2254</v>
      </c>
      <c r="D165" s="908" t="s">
        <v>65</v>
      </c>
      <c r="E165" s="578" t="s">
        <v>3582</v>
      </c>
      <c r="F165" s="2241">
        <v>1</v>
      </c>
      <c r="G165" s="552"/>
      <c r="H165" s="552">
        <v>2</v>
      </c>
      <c r="I165" s="552"/>
      <c r="J165" s="552"/>
      <c r="K165" s="552"/>
      <c r="L165" s="277">
        <v>200000</v>
      </c>
      <c r="M165" s="553">
        <f t="shared" si="21"/>
        <v>2</v>
      </c>
      <c r="N165" s="277">
        <v>1</v>
      </c>
      <c r="O165" s="2950">
        <f t="shared" si="22"/>
        <v>2</v>
      </c>
      <c r="P165" s="734"/>
      <c r="Q165" s="3117" t="s">
        <v>5942</v>
      </c>
      <c r="R165" s="2966">
        <v>2</v>
      </c>
      <c r="S165" s="3116">
        <f>O165-R165</f>
        <v>0</v>
      </c>
      <c r="BB165" s="3237">
        <v>2</v>
      </c>
      <c r="BC165" s="3237"/>
      <c r="BD165" s="3237"/>
      <c r="BE165" s="3237"/>
      <c r="BF165" s="3237"/>
      <c r="BG165" s="3237"/>
      <c r="BH165" s="3237"/>
      <c r="BI165" s="3237"/>
      <c r="BJ165" s="3237"/>
      <c r="BK165" s="3237"/>
      <c r="BL165" s="3237"/>
      <c r="BM165" s="3237"/>
      <c r="BN165" s="3237"/>
      <c r="BO165" s="3237"/>
      <c r="BP165" s="3237"/>
      <c r="BQ165" s="3237"/>
      <c r="BR165" s="3237"/>
      <c r="BS165" s="3237"/>
      <c r="BT165" s="3237"/>
      <c r="BU165" s="3237"/>
      <c r="BV165" s="3237"/>
      <c r="BW165" s="3237"/>
      <c r="BX165" s="3237"/>
      <c r="BY165" s="3237"/>
      <c r="BZ165" s="3237"/>
      <c r="CA165" s="3237"/>
      <c r="CB165" s="3237"/>
      <c r="CC165" s="3237"/>
      <c r="CD165" s="3237"/>
      <c r="CE165" s="3237"/>
      <c r="CF165" s="3237"/>
      <c r="CG165" s="3237"/>
      <c r="CH165" s="3237"/>
      <c r="CI165" s="3237">
        <f t="shared" si="18"/>
        <v>2</v>
      </c>
    </row>
    <row r="166" spans="1:87" ht="38.25">
      <c r="A166" s="548" t="s">
        <v>3546</v>
      </c>
      <c r="B166" s="548" t="s">
        <v>3547</v>
      </c>
      <c r="C166" s="551" t="s">
        <v>2255</v>
      </c>
      <c r="D166" s="908" t="s">
        <v>65</v>
      </c>
      <c r="E166" s="578" t="s">
        <v>3582</v>
      </c>
      <c r="F166" s="2241">
        <v>13</v>
      </c>
      <c r="G166" s="552"/>
      <c r="H166" s="552">
        <v>20</v>
      </c>
      <c r="I166" s="552">
        <v>1.93</v>
      </c>
      <c r="J166" s="552">
        <v>18.07</v>
      </c>
      <c r="K166" s="552"/>
      <c r="L166" s="277">
        <v>153846</v>
      </c>
      <c r="M166" s="553">
        <f t="shared" si="21"/>
        <v>1.5384599999999999</v>
      </c>
      <c r="N166" s="277">
        <v>13</v>
      </c>
      <c r="O166" s="2950">
        <f t="shared" si="22"/>
        <v>19.999980000000001</v>
      </c>
      <c r="P166" s="734"/>
      <c r="Q166" s="3117" t="s">
        <v>5942</v>
      </c>
      <c r="R166" s="2966">
        <v>19.999980000000001</v>
      </c>
      <c r="S166" s="3116">
        <f>O166-R166</f>
        <v>0</v>
      </c>
      <c r="BB166" s="3237">
        <v>20</v>
      </c>
      <c r="BC166" s="3237"/>
      <c r="BD166" s="3237"/>
      <c r="BE166" s="3237"/>
      <c r="BF166" s="3237"/>
      <c r="BG166" s="3237"/>
      <c r="BH166" s="3237"/>
      <c r="BI166" s="3237"/>
      <c r="BJ166" s="3237"/>
      <c r="BK166" s="3237"/>
      <c r="BL166" s="3237"/>
      <c r="BM166" s="3237"/>
      <c r="BN166" s="3237"/>
      <c r="BO166" s="3237"/>
      <c r="BP166" s="3237"/>
      <c r="BQ166" s="3237"/>
      <c r="BR166" s="3237"/>
      <c r="BS166" s="3237"/>
      <c r="BT166" s="3237"/>
      <c r="BU166" s="3237"/>
      <c r="BV166" s="3237"/>
      <c r="BW166" s="3237"/>
      <c r="BX166" s="3237"/>
      <c r="BY166" s="3237"/>
      <c r="BZ166" s="3237"/>
      <c r="CA166" s="3237"/>
      <c r="CB166" s="3237"/>
      <c r="CC166" s="3237"/>
      <c r="CD166" s="3237"/>
      <c r="CE166" s="3237"/>
      <c r="CF166" s="3237"/>
      <c r="CG166" s="3237"/>
      <c r="CH166" s="3237"/>
      <c r="CI166" s="3237">
        <f t="shared" si="18"/>
        <v>20</v>
      </c>
    </row>
    <row r="167" spans="1:87" ht="30">
      <c r="A167" s="548" t="s">
        <v>3548</v>
      </c>
      <c r="B167" s="548" t="s">
        <v>3549</v>
      </c>
      <c r="C167" s="551" t="s">
        <v>4523</v>
      </c>
      <c r="D167" s="908" t="s">
        <v>65</v>
      </c>
      <c r="E167" s="608" t="s">
        <v>3588</v>
      </c>
      <c r="F167" s="2236">
        <v>0</v>
      </c>
      <c r="G167" s="552"/>
      <c r="H167" s="552"/>
      <c r="I167" s="552"/>
      <c r="J167" s="552"/>
      <c r="K167" s="552"/>
      <c r="L167" s="277"/>
      <c r="M167" s="553">
        <f t="shared" si="21"/>
        <v>0</v>
      </c>
      <c r="N167" s="277"/>
      <c r="O167" s="2950">
        <f t="shared" si="22"/>
        <v>0</v>
      </c>
      <c r="P167" s="734"/>
      <c r="Q167" s="1022"/>
      <c r="R167" s="2966"/>
      <c r="BB167" s="3237"/>
      <c r="BC167" s="3237"/>
      <c r="BD167" s="3237"/>
      <c r="BE167" s="3237"/>
      <c r="BF167" s="3237"/>
      <c r="BG167" s="3237"/>
      <c r="BH167" s="3237"/>
      <c r="BI167" s="3237"/>
      <c r="BJ167" s="3237"/>
      <c r="BK167" s="3237"/>
      <c r="BL167" s="3237"/>
      <c r="BM167" s="3237"/>
      <c r="BN167" s="3237"/>
      <c r="BO167" s="3237"/>
      <c r="BP167" s="3237"/>
      <c r="BQ167" s="3237"/>
      <c r="BR167" s="3237"/>
      <c r="BS167" s="3237"/>
      <c r="BT167" s="3237"/>
      <c r="BU167" s="3237"/>
      <c r="BV167" s="3237"/>
      <c r="BW167" s="3237"/>
      <c r="BX167" s="3237"/>
      <c r="BY167" s="3237"/>
      <c r="BZ167" s="3237"/>
      <c r="CA167" s="3237"/>
      <c r="CB167" s="3237"/>
      <c r="CC167" s="3237"/>
      <c r="CD167" s="3237"/>
      <c r="CE167" s="3237"/>
      <c r="CF167" s="3237"/>
      <c r="CG167" s="3237"/>
      <c r="CH167" s="3237"/>
      <c r="CI167" s="3237">
        <f t="shared" si="18"/>
        <v>0</v>
      </c>
    </row>
    <row r="168" spans="1:87" ht="40.5" customHeight="1">
      <c r="A168" s="548" t="s">
        <v>3550</v>
      </c>
      <c r="B168" s="548" t="s">
        <v>3551</v>
      </c>
      <c r="C168" s="2202" t="s">
        <v>5138</v>
      </c>
      <c r="D168" s="1007" t="s">
        <v>4219</v>
      </c>
      <c r="E168" s="702" t="s">
        <v>4717</v>
      </c>
      <c r="F168" s="2238">
        <v>0</v>
      </c>
      <c r="G168" s="560"/>
      <c r="H168" s="560"/>
      <c r="I168" s="560"/>
      <c r="J168" s="560"/>
      <c r="K168" s="560"/>
      <c r="L168" s="277"/>
      <c r="M168" s="553">
        <f t="shared" si="21"/>
        <v>0</v>
      </c>
      <c r="N168" s="277"/>
      <c r="O168" s="2951">
        <f t="shared" si="22"/>
        <v>0</v>
      </c>
      <c r="P168" s="735"/>
      <c r="Q168" s="1017">
        <f>'Abs9. NVBDCP'!Q132</f>
        <v>0</v>
      </c>
      <c r="R168" s="2969">
        <f>'Abs9. NVBDCP'!R132</f>
        <v>0</v>
      </c>
      <c r="BB168" s="3237"/>
      <c r="BC168" s="3237"/>
      <c r="BD168" s="3237"/>
      <c r="BE168" s="3237"/>
      <c r="BF168" s="3237"/>
      <c r="BG168" s="3237"/>
      <c r="BH168" s="3237"/>
      <c r="BI168" s="3237"/>
      <c r="BJ168" s="3237"/>
      <c r="BK168" s="3237"/>
      <c r="BL168" s="3237"/>
      <c r="BM168" s="3237"/>
      <c r="BN168" s="3237"/>
      <c r="BO168" s="3237"/>
      <c r="BP168" s="3237"/>
      <c r="BQ168" s="3237"/>
      <c r="BR168" s="3237"/>
      <c r="BS168" s="3237"/>
      <c r="BT168" s="3237"/>
      <c r="BU168" s="3237"/>
      <c r="BV168" s="3237"/>
      <c r="BW168" s="3237"/>
      <c r="BX168" s="3237"/>
      <c r="BY168" s="3237"/>
      <c r="BZ168" s="3237"/>
      <c r="CA168" s="3237"/>
      <c r="CB168" s="3237"/>
      <c r="CC168" s="3237"/>
      <c r="CD168" s="3237"/>
      <c r="CE168" s="3237"/>
      <c r="CF168" s="3237"/>
      <c r="CG168" s="3237"/>
      <c r="CH168" s="3237"/>
      <c r="CI168" s="3237">
        <f t="shared" si="18"/>
        <v>0</v>
      </c>
    </row>
    <row r="169" spans="1:87" s="1770" customFormat="1" ht="30">
      <c r="A169" s="548" t="s">
        <v>3552</v>
      </c>
      <c r="B169" s="548"/>
      <c r="C169" s="558" t="s">
        <v>4294</v>
      </c>
      <c r="D169" s="1007" t="s">
        <v>4219</v>
      </c>
      <c r="E169" s="609" t="s">
        <v>4722</v>
      </c>
      <c r="F169" s="2238">
        <v>0</v>
      </c>
      <c r="G169" s="560"/>
      <c r="H169" s="560"/>
      <c r="I169" s="560"/>
      <c r="J169" s="560"/>
      <c r="K169" s="560"/>
      <c r="L169" s="277"/>
      <c r="M169" s="553">
        <f t="shared" si="21"/>
        <v>0</v>
      </c>
      <c r="N169" s="277"/>
      <c r="O169" s="2951">
        <f t="shared" si="22"/>
        <v>0</v>
      </c>
      <c r="P169" s="735"/>
      <c r="Q169" s="1017">
        <f>'Abs9. NVBDCP'!Q133</f>
        <v>0</v>
      </c>
      <c r="R169" s="2969">
        <f>'Abs9. NVBDCP'!R133</f>
        <v>0</v>
      </c>
      <c r="BB169" s="3238"/>
      <c r="BC169" s="3238"/>
      <c r="BD169" s="3238"/>
      <c r="BE169" s="3238"/>
      <c r="BF169" s="3238"/>
      <c r="BG169" s="3238"/>
      <c r="BH169" s="3238"/>
      <c r="BI169" s="3238"/>
      <c r="BJ169" s="3238"/>
      <c r="BK169" s="3238"/>
      <c r="BL169" s="3238"/>
      <c r="BM169" s="3238"/>
      <c r="BN169" s="3238"/>
      <c r="BO169" s="3238"/>
      <c r="BP169" s="3238"/>
      <c r="BQ169" s="3238"/>
      <c r="BR169" s="3238"/>
      <c r="BS169" s="3238"/>
      <c r="BT169" s="3238"/>
      <c r="BU169" s="3238"/>
      <c r="BV169" s="3238"/>
      <c r="BW169" s="3238"/>
      <c r="BX169" s="3238"/>
      <c r="BY169" s="3238"/>
      <c r="BZ169" s="3238"/>
      <c r="CA169" s="3238"/>
      <c r="CB169" s="3238"/>
      <c r="CC169" s="3238"/>
      <c r="CD169" s="3238"/>
      <c r="CE169" s="3238"/>
      <c r="CF169" s="3238"/>
      <c r="CG169" s="3238"/>
      <c r="CH169" s="3238"/>
      <c r="CI169" s="3237">
        <f t="shared" si="18"/>
        <v>0</v>
      </c>
    </row>
    <row r="170" spans="1:87" s="1770" customFormat="1" ht="45">
      <c r="A170" s="548" t="s">
        <v>3554</v>
      </c>
      <c r="B170" s="548" t="s">
        <v>3553</v>
      </c>
      <c r="C170" s="586" t="s">
        <v>2244</v>
      </c>
      <c r="D170" s="2254" t="s">
        <v>4219</v>
      </c>
      <c r="E170" s="609" t="s">
        <v>4715</v>
      </c>
      <c r="F170" s="2238">
        <v>11</v>
      </c>
      <c r="G170" s="560"/>
      <c r="H170" s="2605">
        <v>11</v>
      </c>
      <c r="I170" s="2605">
        <v>0.01</v>
      </c>
      <c r="J170" s="560">
        <v>5</v>
      </c>
      <c r="K170" s="560"/>
      <c r="L170" s="2545">
        <v>54545</v>
      </c>
      <c r="M170" s="569">
        <f t="shared" si="21"/>
        <v>0.54544999999999999</v>
      </c>
      <c r="N170" s="2545">
        <v>11</v>
      </c>
      <c r="O170" s="2951">
        <f t="shared" si="22"/>
        <v>5.9999500000000001</v>
      </c>
      <c r="P170" s="735" t="s">
        <v>5292</v>
      </c>
      <c r="Q170" s="2263" t="str">
        <f>'Abs9. NVBDCP'!Q134</f>
        <v>Activity Recommended @ Rs 1  lakh for state HQ &amp; @ Rs 50,000 for 10 districts</v>
      </c>
      <c r="R170" s="2971">
        <f>'Abs9. NVBDCP'!R134</f>
        <v>6</v>
      </c>
      <c r="S170" s="3116">
        <f>O170-R170</f>
        <v>-4.9999999999883471E-5</v>
      </c>
      <c r="BB170" s="3238">
        <v>1</v>
      </c>
      <c r="BC170" s="3238">
        <v>0.5</v>
      </c>
      <c r="BD170" s="3238">
        <v>0.5</v>
      </c>
      <c r="BE170" s="3238">
        <v>0.5</v>
      </c>
      <c r="BF170" s="3238">
        <v>0.5</v>
      </c>
      <c r="BG170" s="3238">
        <v>0</v>
      </c>
      <c r="BH170" s="3238">
        <v>0.5</v>
      </c>
      <c r="BI170" s="3238">
        <v>0</v>
      </c>
      <c r="BJ170" s="3238">
        <v>0.5</v>
      </c>
      <c r="BK170" s="3238">
        <v>0.5</v>
      </c>
      <c r="BL170" s="3238">
        <v>0.5</v>
      </c>
      <c r="BM170" s="3238">
        <v>0.5</v>
      </c>
      <c r="BN170" s="3238">
        <v>0.5</v>
      </c>
      <c r="BO170" s="3238"/>
      <c r="BP170" s="3238"/>
      <c r="BQ170" s="3238"/>
      <c r="BR170" s="3238"/>
      <c r="BS170" s="3238"/>
      <c r="BT170" s="3238"/>
      <c r="BU170" s="3238"/>
      <c r="BV170" s="3238"/>
      <c r="BW170" s="3238"/>
      <c r="BX170" s="3238"/>
      <c r="BY170" s="3238"/>
      <c r="BZ170" s="3238"/>
      <c r="CA170" s="3238"/>
      <c r="CB170" s="3238"/>
      <c r="CC170" s="3238"/>
      <c r="CD170" s="3238"/>
      <c r="CE170" s="3238"/>
      <c r="CF170" s="3238"/>
      <c r="CG170" s="3238"/>
      <c r="CH170" s="3238"/>
      <c r="CI170" s="3237">
        <f t="shared" si="18"/>
        <v>6</v>
      </c>
    </row>
    <row r="171" spans="1:87" ht="45">
      <c r="A171" s="548" t="s">
        <v>3556</v>
      </c>
      <c r="B171" s="548" t="s">
        <v>3555</v>
      </c>
      <c r="C171" s="558" t="s">
        <v>2258</v>
      </c>
      <c r="D171" s="1549" t="s">
        <v>80</v>
      </c>
      <c r="E171" s="609" t="s">
        <v>3589</v>
      </c>
      <c r="F171" s="2238">
        <v>0</v>
      </c>
      <c r="G171" s="560"/>
      <c r="H171" s="560"/>
      <c r="I171" s="560"/>
      <c r="J171" s="560"/>
      <c r="K171" s="560"/>
      <c r="L171" s="277"/>
      <c r="M171" s="553">
        <f t="shared" si="21"/>
        <v>0</v>
      </c>
      <c r="N171" s="277"/>
      <c r="O171" s="2951">
        <f t="shared" si="22"/>
        <v>0</v>
      </c>
      <c r="P171" s="735"/>
      <c r="Q171" s="1017">
        <f>'Abs15. NPCB'!Q41</f>
        <v>0</v>
      </c>
      <c r="R171" s="2967">
        <f>'Abs15. NPCB'!R41</f>
        <v>0</v>
      </c>
      <c r="BB171" s="3237"/>
      <c r="BC171" s="3237"/>
      <c r="BD171" s="3237"/>
      <c r="BE171" s="3237"/>
      <c r="BF171" s="3237"/>
      <c r="BG171" s="3237"/>
      <c r="BH171" s="3237"/>
      <c r="BI171" s="3237"/>
      <c r="BJ171" s="3237"/>
      <c r="BK171" s="3237"/>
      <c r="BL171" s="3237"/>
      <c r="BM171" s="3237"/>
      <c r="BN171" s="3237"/>
      <c r="BO171" s="3237"/>
      <c r="BP171" s="3237"/>
      <c r="BQ171" s="3237"/>
      <c r="BR171" s="3237"/>
      <c r="BS171" s="3237"/>
      <c r="BT171" s="3237"/>
      <c r="BU171" s="3237"/>
      <c r="BV171" s="3237"/>
      <c r="BW171" s="3237"/>
      <c r="BX171" s="3237"/>
      <c r="BY171" s="3237"/>
      <c r="BZ171" s="3237"/>
      <c r="CA171" s="3237"/>
      <c r="CB171" s="3237"/>
      <c r="CC171" s="3237"/>
      <c r="CD171" s="3237"/>
      <c r="CE171" s="3237"/>
      <c r="CF171" s="3237"/>
      <c r="CG171" s="3237"/>
      <c r="CH171" s="3237"/>
      <c r="CI171" s="3237">
        <f t="shared" si="18"/>
        <v>0</v>
      </c>
    </row>
    <row r="172" spans="1:87">
      <c r="A172" s="548" t="s">
        <v>3558</v>
      </c>
      <c r="B172" s="548" t="s">
        <v>3557</v>
      </c>
      <c r="C172" s="551" t="s">
        <v>2259</v>
      </c>
      <c r="D172" s="1549" t="s">
        <v>80</v>
      </c>
      <c r="E172" s="608" t="s">
        <v>3579</v>
      </c>
      <c r="F172" s="2236">
        <v>0</v>
      </c>
      <c r="G172" s="552"/>
      <c r="H172" s="552"/>
      <c r="I172" s="552"/>
      <c r="J172" s="552"/>
      <c r="K172" s="552"/>
      <c r="L172" s="277"/>
      <c r="M172" s="553">
        <f t="shared" si="21"/>
        <v>0</v>
      </c>
      <c r="N172" s="277"/>
      <c r="O172" s="2950">
        <f t="shared" si="22"/>
        <v>0</v>
      </c>
      <c r="P172" s="734"/>
      <c r="Q172" s="1017">
        <f>'Abs18. NTCP'!Q35</f>
        <v>0</v>
      </c>
      <c r="R172" s="2969">
        <f>'Abs18. NTCP'!R35</f>
        <v>0</v>
      </c>
      <c r="BB172" s="3237"/>
      <c r="BC172" s="3237"/>
      <c r="BD172" s="3237"/>
      <c r="BE172" s="3237"/>
      <c r="BF172" s="3237"/>
      <c r="BG172" s="3237"/>
      <c r="BH172" s="3237"/>
      <c r="BI172" s="3237"/>
      <c r="BJ172" s="3237"/>
      <c r="BK172" s="3237"/>
      <c r="BL172" s="3237"/>
      <c r="BM172" s="3237"/>
      <c r="BN172" s="3237"/>
      <c r="BO172" s="3237"/>
      <c r="BP172" s="3237"/>
      <c r="BQ172" s="3237"/>
      <c r="BR172" s="3237"/>
      <c r="BS172" s="3237"/>
      <c r="BT172" s="3237"/>
      <c r="BU172" s="3237"/>
      <c r="BV172" s="3237"/>
      <c r="BW172" s="3237"/>
      <c r="BX172" s="3237"/>
      <c r="BY172" s="3237"/>
      <c r="BZ172" s="3237"/>
      <c r="CA172" s="3237"/>
      <c r="CB172" s="3237"/>
      <c r="CC172" s="3237"/>
      <c r="CD172" s="3237"/>
      <c r="CE172" s="3237"/>
      <c r="CF172" s="3237"/>
      <c r="CG172" s="3237"/>
      <c r="CH172" s="3237"/>
      <c r="CI172" s="3237">
        <f t="shared" si="18"/>
        <v>0</v>
      </c>
    </row>
    <row r="173" spans="1:87" s="1770" customFormat="1" ht="12.95" customHeight="1">
      <c r="A173" s="548" t="s">
        <v>3560</v>
      </c>
      <c r="B173" s="548" t="s">
        <v>3559</v>
      </c>
      <c r="C173" s="548" t="s">
        <v>2260</v>
      </c>
      <c r="D173" s="549"/>
      <c r="E173" s="565"/>
      <c r="F173" s="2238">
        <v>0</v>
      </c>
      <c r="G173" s="550"/>
      <c r="H173" s="550"/>
      <c r="I173" s="550"/>
      <c r="J173" s="550"/>
      <c r="K173" s="550"/>
      <c r="L173" s="550"/>
      <c r="M173" s="161"/>
      <c r="N173" s="550"/>
      <c r="O173" s="2949">
        <f>O174</f>
        <v>0</v>
      </c>
      <c r="P173" s="733"/>
      <c r="Q173" s="1511"/>
      <c r="R173" s="2961">
        <f>R174</f>
        <v>0</v>
      </c>
      <c r="BB173" s="3238"/>
      <c r="BC173" s="3238"/>
      <c r="BD173" s="3238"/>
      <c r="BE173" s="3238"/>
      <c r="BF173" s="3238"/>
      <c r="BG173" s="3238"/>
      <c r="BH173" s="3238"/>
      <c r="BI173" s="3238"/>
      <c r="BJ173" s="3238"/>
      <c r="BK173" s="3238"/>
      <c r="BL173" s="3238"/>
      <c r="BM173" s="3238"/>
      <c r="BN173" s="3238"/>
      <c r="BO173" s="3238"/>
      <c r="BP173" s="3238"/>
      <c r="BQ173" s="3238"/>
      <c r="BR173" s="3238"/>
      <c r="BS173" s="3238"/>
      <c r="BT173" s="3238"/>
      <c r="BU173" s="3238"/>
      <c r="BV173" s="3238"/>
      <c r="BW173" s="3238"/>
      <c r="BX173" s="3238"/>
      <c r="BY173" s="3238"/>
      <c r="BZ173" s="3238"/>
      <c r="CA173" s="3238"/>
      <c r="CB173" s="3238"/>
      <c r="CC173" s="3238"/>
      <c r="CD173" s="3238"/>
      <c r="CE173" s="3238"/>
      <c r="CF173" s="3238"/>
      <c r="CG173" s="3238"/>
      <c r="CH173" s="3238"/>
      <c r="CI173" s="3237">
        <f t="shared" si="18"/>
        <v>0</v>
      </c>
    </row>
    <row r="174" spans="1:87" s="1770" customFormat="1">
      <c r="A174" s="548" t="s">
        <v>3785</v>
      </c>
      <c r="B174" s="548" t="s">
        <v>3561</v>
      </c>
      <c r="C174" s="564" t="s">
        <v>1204</v>
      </c>
      <c r="D174" s="1549" t="s">
        <v>80</v>
      </c>
      <c r="E174" s="609" t="s">
        <v>3581</v>
      </c>
      <c r="F174" s="2238">
        <v>0</v>
      </c>
      <c r="G174" s="560"/>
      <c r="H174" s="560"/>
      <c r="I174" s="560"/>
      <c r="J174" s="560"/>
      <c r="K174" s="560"/>
      <c r="L174" s="277"/>
      <c r="M174" s="553">
        <f>L174/100000</f>
        <v>0</v>
      </c>
      <c r="N174" s="277"/>
      <c r="O174" s="2951">
        <f>M174*N174</f>
        <v>0</v>
      </c>
      <c r="P174" s="735"/>
      <c r="Q174" s="1017">
        <f>'Abs19. NPCDCS'!Q71</f>
        <v>0</v>
      </c>
      <c r="R174" s="2969">
        <f>'Abs19. NPCDCS'!R71</f>
        <v>0</v>
      </c>
      <c r="BB174" s="3238"/>
      <c r="BC174" s="3238"/>
      <c r="BD174" s="3238"/>
      <c r="BE174" s="3238"/>
      <c r="BF174" s="3238"/>
      <c r="BG174" s="3238"/>
      <c r="BH174" s="3238"/>
      <c r="BI174" s="3238"/>
      <c r="BJ174" s="3238"/>
      <c r="BK174" s="3238"/>
      <c r="BL174" s="3238"/>
      <c r="BM174" s="3238"/>
      <c r="BN174" s="3238"/>
      <c r="BO174" s="3238"/>
      <c r="BP174" s="3238"/>
      <c r="BQ174" s="3238"/>
      <c r="BR174" s="3238"/>
      <c r="BS174" s="3238"/>
      <c r="BT174" s="3238"/>
      <c r="BU174" s="3238"/>
      <c r="BV174" s="3238"/>
      <c r="BW174" s="3238"/>
      <c r="BX174" s="3238"/>
      <c r="BY174" s="3238"/>
      <c r="BZ174" s="3238"/>
      <c r="CA174" s="3238"/>
      <c r="CB174" s="3238"/>
      <c r="CC174" s="3238"/>
      <c r="CD174" s="3238"/>
      <c r="CE174" s="3238"/>
      <c r="CF174" s="3238"/>
      <c r="CG174" s="3238"/>
      <c r="CH174" s="3238"/>
      <c r="CI174" s="3237">
        <f t="shared" si="18"/>
        <v>0</v>
      </c>
    </row>
    <row r="175" spans="1:87" s="1770" customFormat="1" ht="12.95" customHeight="1">
      <c r="A175" s="548" t="s">
        <v>3562</v>
      </c>
      <c r="B175" s="548" t="s">
        <v>3563</v>
      </c>
      <c r="C175" s="548" t="s">
        <v>4891</v>
      </c>
      <c r="D175" s="549"/>
      <c r="E175" s="565"/>
      <c r="F175" s="2238">
        <v>0</v>
      </c>
      <c r="G175" s="550"/>
      <c r="H175" s="550"/>
      <c r="I175" s="550"/>
      <c r="J175" s="550"/>
      <c r="K175" s="550"/>
      <c r="L175" s="550"/>
      <c r="M175" s="161"/>
      <c r="N175" s="550"/>
      <c r="O175" s="2949">
        <f>O176+O177</f>
        <v>0</v>
      </c>
      <c r="P175" s="733"/>
      <c r="Q175" s="1511"/>
      <c r="R175" s="2961">
        <f>R176+R177</f>
        <v>0</v>
      </c>
      <c r="BB175" s="3238"/>
      <c r="BC175" s="3238"/>
      <c r="BD175" s="3238"/>
      <c r="BE175" s="3238"/>
      <c r="BF175" s="3238"/>
      <c r="BG175" s="3238"/>
      <c r="BH175" s="3238"/>
      <c r="BI175" s="3238"/>
      <c r="BJ175" s="3238"/>
      <c r="BK175" s="3238"/>
      <c r="BL175" s="3238"/>
      <c r="BM175" s="3238"/>
      <c r="BN175" s="3238"/>
      <c r="BO175" s="3238"/>
      <c r="BP175" s="3238"/>
      <c r="BQ175" s="3238"/>
      <c r="BR175" s="3238"/>
      <c r="BS175" s="3238"/>
      <c r="BT175" s="3238"/>
      <c r="BU175" s="3238"/>
      <c r="BV175" s="3238"/>
      <c r="BW175" s="3238"/>
      <c r="BX175" s="3238"/>
      <c r="BY175" s="3238"/>
      <c r="BZ175" s="3238"/>
      <c r="CA175" s="3238"/>
      <c r="CB175" s="3238"/>
      <c r="CC175" s="3238"/>
      <c r="CD175" s="3238"/>
      <c r="CE175" s="3238"/>
      <c r="CF175" s="3238"/>
      <c r="CG175" s="3238"/>
      <c r="CH175" s="3238"/>
      <c r="CI175" s="3237">
        <f t="shared" si="18"/>
        <v>0</v>
      </c>
    </row>
    <row r="176" spans="1:87">
      <c r="A176" s="548" t="s">
        <v>4291</v>
      </c>
      <c r="B176" s="548" t="s">
        <v>3564</v>
      </c>
      <c r="C176" s="557" t="s">
        <v>1204</v>
      </c>
      <c r="D176" s="1549" t="s">
        <v>80</v>
      </c>
      <c r="E176" s="608" t="s">
        <v>3581</v>
      </c>
      <c r="F176" s="2236">
        <v>0</v>
      </c>
      <c r="G176" s="552"/>
      <c r="H176" s="552"/>
      <c r="I176" s="552"/>
      <c r="J176" s="552"/>
      <c r="K176" s="552"/>
      <c r="L176" s="277"/>
      <c r="M176" s="553">
        <f>L176/100000</f>
        <v>0</v>
      </c>
      <c r="N176" s="277"/>
      <c r="O176" s="2950">
        <f>M176*N176</f>
        <v>0</v>
      </c>
      <c r="P176" s="734"/>
      <c r="Q176" s="1017">
        <f>'Abs19. NPCDCS'!Q72</f>
        <v>0</v>
      </c>
      <c r="R176" s="2969">
        <f>'Abs19. NPCDCS'!R72</f>
        <v>0</v>
      </c>
      <c r="BB176" s="3237"/>
      <c r="BC176" s="3237"/>
      <c r="BD176" s="3237"/>
      <c r="BE176" s="3237"/>
      <c r="BF176" s="3237"/>
      <c r="BG176" s="3237"/>
      <c r="BH176" s="3237"/>
      <c r="BI176" s="3237"/>
      <c r="BJ176" s="3237"/>
      <c r="BK176" s="3237"/>
      <c r="BL176" s="3237"/>
      <c r="BM176" s="3237"/>
      <c r="BN176" s="3237"/>
      <c r="BO176" s="3237"/>
      <c r="BP176" s="3237"/>
      <c r="BQ176" s="3237"/>
      <c r="BR176" s="3237"/>
      <c r="BS176" s="3237"/>
      <c r="BT176" s="3237"/>
      <c r="BU176" s="3237"/>
      <c r="BV176" s="3237"/>
      <c r="BW176" s="3237"/>
      <c r="BX176" s="3237"/>
      <c r="BY176" s="3237"/>
      <c r="BZ176" s="3237"/>
      <c r="CA176" s="3237"/>
      <c r="CB176" s="3237"/>
      <c r="CC176" s="3237"/>
      <c r="CD176" s="3237"/>
      <c r="CE176" s="3237"/>
      <c r="CF176" s="3237"/>
      <c r="CG176" s="3237"/>
      <c r="CH176" s="3237"/>
      <c r="CI176" s="3237">
        <f t="shared" si="18"/>
        <v>0</v>
      </c>
    </row>
    <row r="177" spans="1:87">
      <c r="A177" s="548" t="s">
        <v>4292</v>
      </c>
      <c r="B177" s="548" t="s">
        <v>3565</v>
      </c>
      <c r="C177" s="557" t="s">
        <v>2261</v>
      </c>
      <c r="D177" s="1549" t="s">
        <v>80</v>
      </c>
      <c r="E177" s="608" t="s">
        <v>3581</v>
      </c>
      <c r="F177" s="2236">
        <v>0</v>
      </c>
      <c r="G177" s="552"/>
      <c r="H177" s="552"/>
      <c r="I177" s="552"/>
      <c r="J177" s="552"/>
      <c r="K177" s="552"/>
      <c r="L177" s="277"/>
      <c r="M177" s="553">
        <f>L177/100000</f>
        <v>0</v>
      </c>
      <c r="N177" s="277"/>
      <c r="O177" s="2950">
        <f>M177*N177</f>
        <v>0</v>
      </c>
      <c r="P177" s="734"/>
      <c r="Q177" s="1017">
        <f>'Abs19. NPCDCS'!Q73</f>
        <v>0</v>
      </c>
      <c r="R177" s="2969">
        <f>'Abs19. NPCDCS'!R73</f>
        <v>0</v>
      </c>
      <c r="BB177" s="3237"/>
      <c r="BC177" s="3237"/>
      <c r="BD177" s="3237"/>
      <c r="BE177" s="3237"/>
      <c r="BF177" s="3237"/>
      <c r="BG177" s="3237"/>
      <c r="BH177" s="3237"/>
      <c r="BI177" s="3237"/>
      <c r="BJ177" s="3237"/>
      <c r="BK177" s="3237"/>
      <c r="BL177" s="3237"/>
      <c r="BM177" s="3237"/>
      <c r="BN177" s="3237"/>
      <c r="BO177" s="3237"/>
      <c r="BP177" s="3237"/>
      <c r="BQ177" s="3237"/>
      <c r="BR177" s="3237"/>
      <c r="BS177" s="3237"/>
      <c r="BT177" s="3237"/>
      <c r="BU177" s="3237"/>
      <c r="BV177" s="3237"/>
      <c r="BW177" s="3237"/>
      <c r="BX177" s="3237"/>
      <c r="BY177" s="3237"/>
      <c r="BZ177" s="3237"/>
      <c r="CA177" s="3237"/>
      <c r="CB177" s="3237"/>
      <c r="CC177" s="3237"/>
      <c r="CD177" s="3237"/>
      <c r="CE177" s="3237"/>
      <c r="CF177" s="3237"/>
      <c r="CG177" s="3237"/>
      <c r="CH177" s="3237"/>
      <c r="CI177" s="3237">
        <f t="shared" si="18"/>
        <v>0</v>
      </c>
    </row>
    <row r="178" spans="1:87">
      <c r="A178" s="548" t="s">
        <v>4293</v>
      </c>
      <c r="B178" s="567"/>
      <c r="C178" s="557" t="s">
        <v>3786</v>
      </c>
      <c r="D178" s="908" t="s">
        <v>65</v>
      </c>
      <c r="E178" s="608" t="s">
        <v>3238</v>
      </c>
      <c r="F178" s="2242">
        <v>0</v>
      </c>
      <c r="G178" s="552"/>
      <c r="H178" s="552"/>
      <c r="I178" s="552"/>
      <c r="J178" s="552"/>
      <c r="K178" s="552"/>
      <c r="L178" s="277"/>
      <c r="M178" s="553">
        <f>L178/100000</f>
        <v>0</v>
      </c>
      <c r="N178" s="277"/>
      <c r="O178" s="2950">
        <f>M178*N178</f>
        <v>0</v>
      </c>
      <c r="P178" s="742"/>
      <c r="Q178" s="1022"/>
      <c r="R178" s="2966"/>
      <c r="BB178" s="3237"/>
      <c r="BC178" s="3237"/>
      <c r="BD178" s="3237"/>
      <c r="BE178" s="3237"/>
      <c r="BF178" s="3237"/>
      <c r="BG178" s="3237"/>
      <c r="BH178" s="3237"/>
      <c r="BI178" s="3237"/>
      <c r="BJ178" s="3237"/>
      <c r="BK178" s="3237"/>
      <c r="BL178" s="3237"/>
      <c r="BM178" s="3237"/>
      <c r="BN178" s="3237"/>
      <c r="BO178" s="3237"/>
      <c r="BP178" s="3237"/>
      <c r="BQ178" s="3237"/>
      <c r="BR178" s="3237"/>
      <c r="BS178" s="3237"/>
      <c r="BT178" s="3237"/>
      <c r="BU178" s="3237"/>
      <c r="BV178" s="3237"/>
      <c r="BW178" s="3237"/>
      <c r="BX178" s="3237"/>
      <c r="BY178" s="3237"/>
      <c r="BZ178" s="3237"/>
      <c r="CA178" s="3237"/>
      <c r="CB178" s="3237"/>
      <c r="CC178" s="3237"/>
      <c r="CD178" s="3237"/>
      <c r="CE178" s="3237"/>
      <c r="CF178" s="3237"/>
      <c r="CG178" s="3237"/>
      <c r="CH178" s="3237"/>
      <c r="CI178" s="3237">
        <f t="shared" si="18"/>
        <v>0</v>
      </c>
    </row>
    <row r="179" spans="1:87">
      <c r="R179" s="2955">
        <f>+'16.PM Annex'!R8</f>
        <v>645.93993999999998</v>
      </c>
      <c r="BB179" s="3451">
        <f>SUM(BB6:BB178)</f>
        <v>279.08999999999997</v>
      </c>
      <c r="BC179" s="3451">
        <f t="shared" ref="BC179:CI179" si="23">SUM(BC6:BC178)</f>
        <v>19.112523856000003</v>
      </c>
      <c r="BD179" s="3451">
        <f t="shared" si="23"/>
        <v>31.896872148</v>
      </c>
      <c r="BE179" s="3451">
        <f t="shared" si="23"/>
        <v>23.394199784000001</v>
      </c>
      <c r="BF179" s="3451">
        <f t="shared" si="23"/>
        <v>55.432512532000004</v>
      </c>
      <c r="BG179" s="3451">
        <f t="shared" si="23"/>
        <v>16.262651892000001</v>
      </c>
      <c r="BH179" s="3451">
        <f t="shared" si="23"/>
        <v>26.861803420000001</v>
      </c>
      <c r="BI179" s="3451">
        <f t="shared" si="23"/>
        <v>15.348579328</v>
      </c>
      <c r="BJ179" s="3451">
        <f t="shared" si="23"/>
        <v>48.133913004</v>
      </c>
      <c r="BK179" s="3451">
        <f t="shared" si="23"/>
        <v>43.079958240000003</v>
      </c>
      <c r="BL179" s="3451">
        <f t="shared" si="23"/>
        <v>27.65716862</v>
      </c>
      <c r="BM179" s="3451">
        <f t="shared" si="23"/>
        <v>24.78478222</v>
      </c>
      <c r="BN179" s="3451">
        <f t="shared" si="23"/>
        <v>25.074348020000002</v>
      </c>
      <c r="BO179" s="3451">
        <f t="shared" si="23"/>
        <v>0.3</v>
      </c>
      <c r="BP179" s="3451">
        <f t="shared" si="23"/>
        <v>0.3</v>
      </c>
      <c r="BQ179" s="3451">
        <f t="shared" si="23"/>
        <v>0.3</v>
      </c>
      <c r="BR179" s="3451">
        <f t="shared" si="23"/>
        <v>0.3</v>
      </c>
      <c r="BS179" s="3451">
        <f t="shared" si="23"/>
        <v>0.3</v>
      </c>
      <c r="BT179" s="3451">
        <f t="shared" si="23"/>
        <v>0.3</v>
      </c>
      <c r="BU179" s="3451">
        <f t="shared" si="23"/>
        <v>0.3</v>
      </c>
      <c r="BV179" s="3451">
        <f t="shared" si="23"/>
        <v>0.3</v>
      </c>
      <c r="BW179" s="3451">
        <f t="shared" si="23"/>
        <v>0</v>
      </c>
      <c r="BX179" s="3451">
        <f t="shared" si="23"/>
        <v>0.3</v>
      </c>
      <c r="BY179" s="3451">
        <f t="shared" si="23"/>
        <v>0.3</v>
      </c>
      <c r="BZ179" s="3451">
        <f t="shared" si="23"/>
        <v>0.3</v>
      </c>
      <c r="CA179" s="3451">
        <f t="shared" si="23"/>
        <v>0</v>
      </c>
      <c r="CB179" s="3451">
        <f t="shared" si="23"/>
        <v>0.3</v>
      </c>
      <c r="CC179" s="3451">
        <f t="shared" si="23"/>
        <v>0</v>
      </c>
      <c r="CD179" s="3451">
        <f t="shared" si="23"/>
        <v>0.3</v>
      </c>
      <c r="CE179" s="3451">
        <f t="shared" si="23"/>
        <v>5.61</v>
      </c>
      <c r="CF179" s="3451">
        <f t="shared" si="23"/>
        <v>0.3</v>
      </c>
      <c r="CG179" s="3451">
        <f t="shared" si="23"/>
        <v>0</v>
      </c>
      <c r="CH179" s="3451">
        <f t="shared" si="23"/>
        <v>0</v>
      </c>
      <c r="CI179" s="3451">
        <f t="shared" si="23"/>
        <v>645.93931306400009</v>
      </c>
    </row>
  </sheetData>
  <sheetProtection password="CC49" sheet="1" objects="1" scenarios="1" autoFilter="0"/>
  <protectedRanges>
    <protectedRange password="FD7E" sqref="N9:N15 N18:N19" name="Range2"/>
    <protectedRange password="FD7E" sqref="F9:L13 F15:L15 F14:J14 F18:L19 F16:H17" name="Range1"/>
    <protectedRange password="FD7E" sqref="K14:L14" name="Range1_1"/>
    <protectedRange password="FD7E" sqref="I16:L17" name="Range1_2"/>
    <protectedRange password="FD7E" sqref="N16:N17" name="Range2_1"/>
  </protectedRanges>
  <autoFilter ref="A5:BD178">
    <filterColumn colId="0" showButton="0"/>
    <filterColumn colId="1" showButton="0"/>
  </autoFilter>
  <mergeCells count="8">
    <mergeCell ref="A1:B1"/>
    <mergeCell ref="K4:P4"/>
    <mergeCell ref="Q4:R4"/>
    <mergeCell ref="C4:C5"/>
    <mergeCell ref="D4:D5"/>
    <mergeCell ref="E4:E5"/>
    <mergeCell ref="F4:J4"/>
    <mergeCell ref="A4:B5"/>
  </mergeCells>
  <phoneticPr fontId="68" type="noConversion"/>
  <pageMargins left="0.7" right="0.7" top="0.75" bottom="0.75" header="0.3" footer="0.3"/>
  <pageSetup paperSize="9" orientation="portrait" horizontalDpi="4294967295" verticalDpi="4294967295" r:id="rId1"/>
</worksheet>
</file>

<file path=xl/worksheets/sheet24.xml><?xml version="1.0" encoding="utf-8"?>
<worksheet xmlns="http://schemas.openxmlformats.org/spreadsheetml/2006/main" xmlns:r="http://schemas.openxmlformats.org/officeDocument/2006/relationships">
  <sheetPr codeName="Sheet40">
    <tabColor rgb="FF00B050"/>
  </sheetPr>
  <dimension ref="A1:CI19"/>
  <sheetViews>
    <sheetView zoomScale="70" zoomScaleNormal="70" workbookViewId="0">
      <pane xSplit="5" ySplit="6" topLeftCell="P12" activePane="bottomRight" state="frozen"/>
      <selection activeCell="A2" sqref="A2:A4"/>
      <selection pane="topRight" activeCell="A2" sqref="A2:A4"/>
      <selection pane="bottomLeft" activeCell="A2" sqref="A2:A4"/>
      <selection pane="bottomRight" activeCell="Q15" sqref="Q15"/>
    </sheetView>
  </sheetViews>
  <sheetFormatPr defaultColWidth="8.7109375" defaultRowHeight="15"/>
  <cols>
    <col min="1" max="1" width="9.85546875" style="1223" customWidth="1"/>
    <col min="2" max="2" width="18.140625" style="1223" bestFit="1" customWidth="1"/>
    <col min="3" max="3" width="53.85546875" style="1223" bestFit="1" customWidth="1"/>
    <col min="4" max="4" width="6.7109375" style="1786" customWidth="1"/>
    <col min="5" max="5" width="20.85546875" style="1786" customWidth="1"/>
    <col min="6" max="6" width="16.42578125" style="1223" hidden="1" customWidth="1"/>
    <col min="7" max="7" width="22.7109375" style="1223" hidden="1" customWidth="1"/>
    <col min="8" max="8" width="10.85546875" style="1223" hidden="1" customWidth="1"/>
    <col min="9" max="9" width="14.140625" style="1223" hidden="1" customWidth="1"/>
    <col min="10" max="10" width="14.42578125" style="1223" hidden="1" customWidth="1"/>
    <col min="11" max="11" width="11.85546875" style="1223" hidden="1" customWidth="1"/>
    <col min="12" max="12" width="10.5703125" style="1223" hidden="1" customWidth="1"/>
    <col min="13" max="13" width="11.5703125" style="1787" hidden="1" customWidth="1"/>
    <col min="14" max="14" width="10.85546875" style="1223" hidden="1" customWidth="1"/>
    <col min="15" max="15" width="13.7109375" style="1788" hidden="1" customWidth="1"/>
    <col min="16" max="16" width="38.42578125" style="1789" customWidth="1"/>
    <col min="17" max="17" width="35.42578125" style="1789" customWidth="1"/>
    <col min="18" max="18" width="13.7109375" style="1788" customWidth="1"/>
    <col min="19" max="19" width="10" style="1223" hidden="1" customWidth="1"/>
    <col min="20" max="30" width="0" style="1223" hidden="1" customWidth="1"/>
    <col min="31" max="31" width="11.42578125" style="1223" hidden="1" customWidth="1"/>
    <col min="32" max="33" width="0" style="1223" hidden="1" customWidth="1"/>
    <col min="34" max="34" width="13" style="1223" hidden="1" customWidth="1"/>
    <col min="35" max="53" width="0" style="1223" hidden="1" customWidth="1"/>
    <col min="54" max="54" width="8.7109375" style="1223"/>
    <col min="55" max="55" width="13.5703125" style="1223" bestFit="1" customWidth="1"/>
    <col min="56" max="56" width="11.7109375" style="1223" bestFit="1" customWidth="1"/>
    <col min="57" max="57" width="14.28515625" style="1223" bestFit="1" customWidth="1"/>
    <col min="58" max="58" width="11.7109375" style="1223" bestFit="1" customWidth="1"/>
    <col min="59" max="59" width="12.140625" style="1223" bestFit="1" customWidth="1"/>
    <col min="60" max="60" width="9.5703125" style="1223" bestFit="1" customWidth="1"/>
    <col min="61" max="61" width="11.42578125" style="1223" bestFit="1" customWidth="1"/>
    <col min="62" max="62" width="8.7109375" style="1223"/>
    <col min="63" max="63" width="10.5703125" style="1223" bestFit="1" customWidth="1"/>
    <col min="64" max="64" width="12.5703125" style="1223" bestFit="1" customWidth="1"/>
    <col min="65" max="65" width="10" style="1223" bestFit="1" customWidth="1"/>
    <col min="66" max="67" width="8.7109375" style="1223"/>
    <col min="68" max="68" width="10.28515625" style="1223" bestFit="1" customWidth="1"/>
    <col min="69" max="69" width="13" style="1223" bestFit="1" customWidth="1"/>
    <col min="70" max="70" width="14.28515625" style="1223" bestFit="1" customWidth="1"/>
    <col min="71" max="71" width="16.7109375" style="1223" bestFit="1" customWidth="1"/>
    <col min="72" max="72" width="12" style="1223" bestFit="1" customWidth="1"/>
    <col min="73" max="73" width="10.7109375" style="1223" bestFit="1" customWidth="1"/>
    <col min="74" max="74" width="12" style="1223" bestFit="1" customWidth="1"/>
    <col min="75" max="75" width="11.7109375" style="1223" bestFit="1" customWidth="1"/>
    <col min="76" max="76" width="15" style="1223" bestFit="1" customWidth="1"/>
    <col min="77" max="77" width="9.5703125" style="1223" bestFit="1" customWidth="1"/>
    <col min="78" max="78" width="8.7109375" style="1223"/>
    <col min="79" max="79" width="10.7109375" style="1223" bestFit="1" customWidth="1"/>
    <col min="80" max="80" width="12" style="1223" bestFit="1" customWidth="1"/>
    <col min="81" max="81" width="10.140625" style="1223" bestFit="1" customWidth="1"/>
    <col min="82" max="82" width="10" style="1223" bestFit="1" customWidth="1"/>
    <col min="83" max="83" width="11.7109375" style="1223" bestFit="1" customWidth="1"/>
    <col min="84" max="84" width="8.7109375" style="1223"/>
    <col min="85" max="86" width="11.7109375" style="1223" bestFit="1" customWidth="1"/>
    <col min="87" max="87" width="9.5703125" style="1223" bestFit="1" customWidth="1"/>
    <col min="88" max="16384" width="8.7109375" style="1223"/>
  </cols>
  <sheetData>
    <row r="1" spans="1:87">
      <c r="A1" s="3865" t="s">
        <v>2593</v>
      </c>
      <c r="B1" s="3865"/>
      <c r="C1" s="3865"/>
      <c r="D1" s="980"/>
      <c r="E1" s="3858" t="s">
        <v>4534</v>
      </c>
      <c r="F1" s="3909" t="s">
        <v>4532</v>
      </c>
      <c r="G1" s="3910"/>
      <c r="H1" s="3910"/>
      <c r="I1" s="3910"/>
      <c r="J1" s="3910"/>
      <c r="K1" s="3910"/>
      <c r="L1" s="3910"/>
      <c r="M1" s="3910"/>
      <c r="N1" s="3911"/>
      <c r="O1" s="3793" t="s">
        <v>65</v>
      </c>
      <c r="P1" s="3794"/>
      <c r="Q1" s="3794"/>
      <c r="R1" s="3794"/>
      <c r="S1" s="3794"/>
      <c r="T1" s="3794"/>
      <c r="U1" s="3794"/>
      <c r="V1" s="3794"/>
      <c r="W1" s="3794"/>
      <c r="X1" s="3794"/>
      <c r="Y1" s="3794"/>
      <c r="Z1" s="3794"/>
      <c r="AA1" s="3794"/>
      <c r="AB1" s="3794"/>
      <c r="AC1" s="3794"/>
      <c r="AD1" s="3794"/>
      <c r="AE1" s="3794"/>
      <c r="AF1" s="3794"/>
      <c r="AG1" s="3794"/>
      <c r="AH1" s="3794"/>
      <c r="AI1" s="3900" t="s">
        <v>4219</v>
      </c>
      <c r="AJ1" s="3901"/>
      <c r="AK1" s="3901"/>
      <c r="AL1" s="3901"/>
      <c r="AM1" s="3901"/>
      <c r="AN1" s="3901"/>
      <c r="AO1" s="3902"/>
      <c r="AP1" s="3889" t="s">
        <v>80</v>
      </c>
      <c r="AQ1" s="3890"/>
      <c r="AR1" s="3890"/>
      <c r="AS1" s="3890"/>
      <c r="AT1" s="3890"/>
      <c r="AU1" s="3890"/>
      <c r="AV1" s="3890"/>
      <c r="AW1" s="3890"/>
      <c r="AX1" s="3890"/>
      <c r="AY1" s="3890"/>
      <c r="AZ1" s="3890"/>
      <c r="BA1" s="3891"/>
    </row>
    <row r="2" spans="1:87" s="1779" customFormat="1" ht="30">
      <c r="A2" s="3855" t="str">
        <f>HYPERLINK("#Index!A4", "Index Pg")</f>
        <v>Index Pg</v>
      </c>
      <c r="B2" s="1379" t="str">
        <f>HYPERLINK("#'Summary of Abstracts'!A2", "Summary of Abst.")</f>
        <v>Summary of Abst.</v>
      </c>
      <c r="C2" s="869"/>
      <c r="D2" s="1023"/>
      <c r="E2" s="3858"/>
      <c r="F2" s="906" t="s">
        <v>113</v>
      </c>
      <c r="G2" s="906" t="s">
        <v>126</v>
      </c>
      <c r="H2" s="906" t="s">
        <v>86</v>
      </c>
      <c r="I2" s="906" t="s">
        <v>4530</v>
      </c>
      <c r="J2" s="906" t="s">
        <v>91</v>
      </c>
      <c r="K2" s="1225" t="s">
        <v>3933</v>
      </c>
      <c r="L2" s="907" t="s">
        <v>4531</v>
      </c>
      <c r="M2" s="906" t="s">
        <v>4535</v>
      </c>
      <c r="N2" s="907" t="s">
        <v>203</v>
      </c>
      <c r="O2" s="909" t="s">
        <v>4218</v>
      </c>
      <c r="P2" s="909" t="s">
        <v>3751</v>
      </c>
      <c r="Q2" s="909" t="s">
        <v>4543</v>
      </c>
      <c r="R2" s="909" t="s">
        <v>4540</v>
      </c>
      <c r="S2" s="909" t="s">
        <v>4541</v>
      </c>
      <c r="T2" s="909" t="s">
        <v>4542</v>
      </c>
      <c r="U2" s="909" t="s">
        <v>4544</v>
      </c>
      <c r="V2" s="909" t="s">
        <v>4528</v>
      </c>
      <c r="W2" s="909" t="s">
        <v>4545</v>
      </c>
      <c r="X2" s="909" t="s">
        <v>29</v>
      </c>
      <c r="Y2" s="909" t="s">
        <v>4546</v>
      </c>
      <c r="Z2" s="909" t="s">
        <v>4547</v>
      </c>
      <c r="AA2" s="909" t="s">
        <v>4537</v>
      </c>
      <c r="AB2" s="909" t="s">
        <v>737</v>
      </c>
      <c r="AC2" s="909" t="s">
        <v>4538</v>
      </c>
      <c r="AD2" s="909" t="s">
        <v>4539</v>
      </c>
      <c r="AE2" s="909" t="s">
        <v>2293</v>
      </c>
      <c r="AF2" s="909" t="s">
        <v>4548</v>
      </c>
      <c r="AG2" s="909" t="s">
        <v>3750</v>
      </c>
      <c r="AH2" s="909" t="s">
        <v>302</v>
      </c>
      <c r="AI2" s="910" t="s">
        <v>288</v>
      </c>
      <c r="AJ2" s="910" t="s">
        <v>109</v>
      </c>
      <c r="AK2" s="910" t="s">
        <v>141</v>
      </c>
      <c r="AL2" s="910" t="s">
        <v>4525</v>
      </c>
      <c r="AM2" s="910" t="s">
        <v>3223</v>
      </c>
      <c r="AN2" s="910" t="s">
        <v>3855</v>
      </c>
      <c r="AO2" s="910" t="s">
        <v>4405</v>
      </c>
      <c r="AP2" s="911" t="s">
        <v>81</v>
      </c>
      <c r="AQ2" s="911" t="s">
        <v>145</v>
      </c>
      <c r="AR2" s="911" t="s">
        <v>394</v>
      </c>
      <c r="AS2" s="911" t="s">
        <v>147</v>
      </c>
      <c r="AT2" s="911" t="s">
        <v>410</v>
      </c>
      <c r="AU2" s="911" t="s">
        <v>4459</v>
      </c>
      <c r="AV2" s="911" t="s">
        <v>3989</v>
      </c>
      <c r="AW2" s="911" t="s">
        <v>307</v>
      </c>
      <c r="AX2" s="911" t="s">
        <v>309</v>
      </c>
      <c r="AY2" s="911" t="s">
        <v>1028</v>
      </c>
      <c r="AZ2" s="911" t="s">
        <v>1014</v>
      </c>
      <c r="BA2" s="911" t="s">
        <v>4533</v>
      </c>
    </row>
    <row r="3" spans="1:87" s="1779" customFormat="1">
      <c r="A3" s="3856"/>
      <c r="B3" s="864" t="str">
        <f>HYPERLINK("#'Budget Summary I'!A1:AL1", "Budget Summary I")</f>
        <v>Budget Summary I</v>
      </c>
      <c r="C3" s="865" t="s">
        <v>4460</v>
      </c>
      <c r="D3" s="1023"/>
      <c r="E3" s="1226">
        <f>R7</f>
        <v>527.6</v>
      </c>
      <c r="F3" s="161"/>
      <c r="G3" s="161"/>
      <c r="H3" s="161"/>
      <c r="I3" s="161"/>
      <c r="J3" s="161"/>
      <c r="K3" s="985"/>
      <c r="L3" s="161"/>
      <c r="M3" s="161"/>
      <c r="N3" s="985"/>
      <c r="O3" s="1780">
        <f>R10+R11</f>
        <v>310.77000000000004</v>
      </c>
      <c r="P3" s="985"/>
      <c r="Q3" s="985"/>
      <c r="R3" s="985"/>
      <c r="S3" s="985"/>
      <c r="T3" s="985"/>
      <c r="U3" s="985">
        <f>R14</f>
        <v>0</v>
      </c>
      <c r="V3" s="985"/>
      <c r="W3" s="985"/>
      <c r="X3" s="985"/>
      <c r="Y3" s="985"/>
      <c r="Z3" s="985"/>
      <c r="AA3" s="985">
        <f>R16</f>
        <v>0</v>
      </c>
      <c r="AB3" s="985"/>
      <c r="AC3" s="985"/>
      <c r="AD3" s="985"/>
      <c r="AE3" s="985">
        <f>R12+R17</f>
        <v>181.01</v>
      </c>
      <c r="AF3" s="985">
        <f>R13</f>
        <v>0</v>
      </c>
      <c r="AG3" s="985"/>
      <c r="AH3" s="985">
        <f>R15</f>
        <v>35.82</v>
      </c>
      <c r="AI3" s="985"/>
      <c r="AJ3" s="985"/>
      <c r="AK3" s="985"/>
      <c r="AL3" s="985"/>
      <c r="AM3" s="985"/>
      <c r="AN3" s="985"/>
      <c r="AO3" s="985"/>
      <c r="AP3" s="985">
        <f>R8</f>
        <v>0</v>
      </c>
      <c r="AQ3" s="985"/>
      <c r="AR3" s="985"/>
      <c r="AS3" s="985"/>
      <c r="AT3" s="985"/>
      <c r="AU3" s="985"/>
      <c r="AV3" s="985"/>
      <c r="AW3" s="985"/>
      <c r="AX3" s="985"/>
      <c r="AY3" s="985"/>
      <c r="AZ3" s="985"/>
      <c r="BA3" s="985"/>
    </row>
    <row r="4" spans="1:87" s="1779" customFormat="1">
      <c r="A4" s="3857"/>
      <c r="B4" s="864" t="str">
        <f>HYPERLINK("#'Budget Summary II'!A3:B5", "Budget Summary II")</f>
        <v>Budget Summary II</v>
      </c>
      <c r="C4" s="865" t="s">
        <v>4461</v>
      </c>
      <c r="D4" s="1023"/>
      <c r="E4" s="1226">
        <f>O7</f>
        <v>527.59799999999996</v>
      </c>
      <c r="F4" s="161"/>
      <c r="G4" s="161"/>
      <c r="H4" s="161"/>
      <c r="I4" s="161"/>
      <c r="J4" s="161"/>
      <c r="K4" s="985"/>
      <c r="L4" s="161"/>
      <c r="M4" s="161"/>
      <c r="N4" s="985"/>
      <c r="O4" s="985">
        <f>O10+O11</f>
        <v>310.77000000000004</v>
      </c>
      <c r="P4" s="985"/>
      <c r="Q4" s="985"/>
      <c r="R4" s="985"/>
      <c r="S4" s="985"/>
      <c r="T4" s="985"/>
      <c r="U4" s="985">
        <f>O14</f>
        <v>0</v>
      </c>
      <c r="V4" s="985"/>
      <c r="W4" s="985"/>
      <c r="X4" s="985"/>
      <c r="Y4" s="985"/>
      <c r="Z4" s="985"/>
      <c r="AA4" s="985">
        <f>O16</f>
        <v>0</v>
      </c>
      <c r="AB4" s="985"/>
      <c r="AC4" s="985"/>
      <c r="AD4" s="985"/>
      <c r="AE4" s="985">
        <f>O12+O17</f>
        <v>181.00799999999998</v>
      </c>
      <c r="AF4" s="985">
        <f>O13</f>
        <v>0</v>
      </c>
      <c r="AG4" s="985"/>
      <c r="AH4" s="985">
        <f>O15</f>
        <v>35.82</v>
      </c>
      <c r="AI4" s="985"/>
      <c r="AJ4" s="985"/>
      <c r="AK4" s="985"/>
      <c r="AL4" s="985"/>
      <c r="AM4" s="985"/>
      <c r="AN4" s="985"/>
      <c r="AO4" s="985"/>
      <c r="AP4" s="985">
        <f>O8</f>
        <v>0</v>
      </c>
      <c r="AQ4" s="985"/>
      <c r="AR4" s="985"/>
      <c r="AS4" s="985"/>
      <c r="AT4" s="985"/>
      <c r="AU4" s="985"/>
      <c r="AV4" s="985"/>
      <c r="AW4" s="985"/>
      <c r="AX4" s="985"/>
      <c r="AY4" s="985"/>
      <c r="AZ4" s="985"/>
      <c r="BA4" s="985"/>
    </row>
    <row r="5" spans="1:87" s="1781" customFormat="1">
      <c r="A5" s="3801" t="s">
        <v>48</v>
      </c>
      <c r="B5" s="3801" t="s">
        <v>49</v>
      </c>
      <c r="C5" s="3801" t="s">
        <v>50</v>
      </c>
      <c r="D5" s="3801" t="s">
        <v>51</v>
      </c>
      <c r="E5" s="3801" t="s">
        <v>52</v>
      </c>
      <c r="F5" s="3866" t="s">
        <v>4478</v>
      </c>
      <c r="G5" s="3866"/>
      <c r="H5" s="3866"/>
      <c r="I5" s="3866"/>
      <c r="J5" s="3866"/>
      <c r="K5" s="3866" t="s">
        <v>4484</v>
      </c>
      <c r="L5" s="3866"/>
      <c r="M5" s="3866"/>
      <c r="N5" s="3866"/>
      <c r="O5" s="3866"/>
      <c r="P5" s="3866"/>
      <c r="Q5" s="3801" t="s">
        <v>4514</v>
      </c>
      <c r="R5" s="3801"/>
    </row>
    <row r="6" spans="1:87" s="1782" customFormat="1" ht="60">
      <c r="A6" s="3801"/>
      <c r="B6" s="3801"/>
      <c r="C6" s="3801"/>
      <c r="D6" s="3801"/>
      <c r="E6" s="3801"/>
      <c r="F6" s="918" t="s">
        <v>4479</v>
      </c>
      <c r="G6" s="918" t="s">
        <v>4482</v>
      </c>
      <c r="H6" s="918" t="s">
        <v>4480</v>
      </c>
      <c r="I6" s="918" t="s">
        <v>4483</v>
      </c>
      <c r="J6" s="918" t="s">
        <v>2448</v>
      </c>
      <c r="K6" s="919" t="s">
        <v>53</v>
      </c>
      <c r="L6" s="919" t="s">
        <v>54</v>
      </c>
      <c r="M6" s="1228" t="s">
        <v>55</v>
      </c>
      <c r="N6" s="919" t="s">
        <v>56</v>
      </c>
      <c r="O6" s="920" t="s">
        <v>57</v>
      </c>
      <c r="P6" s="919" t="s">
        <v>5069</v>
      </c>
      <c r="Q6" s="921" t="s">
        <v>2450</v>
      </c>
      <c r="R6" s="922" t="s">
        <v>4515</v>
      </c>
      <c r="S6" s="3118" t="s">
        <v>4538</v>
      </c>
      <c r="BB6" s="3153" t="s">
        <v>5973</v>
      </c>
      <c r="BC6" s="3153" t="s">
        <v>5432</v>
      </c>
      <c r="BD6" s="3153" t="s">
        <v>5433</v>
      </c>
      <c r="BE6" s="3153" t="s">
        <v>5434</v>
      </c>
      <c r="BF6" s="3153" t="s">
        <v>5435</v>
      </c>
      <c r="BG6" s="3153" t="s">
        <v>5436</v>
      </c>
      <c r="BH6" s="3153" t="s">
        <v>5437</v>
      </c>
      <c r="BI6" s="3153" t="s">
        <v>5959</v>
      </c>
      <c r="BJ6" s="3153" t="s">
        <v>5438</v>
      </c>
      <c r="BK6" s="3153" t="s">
        <v>5439</v>
      </c>
      <c r="BL6" s="3153" t="s">
        <v>5960</v>
      </c>
      <c r="BM6" s="3153" t="s">
        <v>5440</v>
      </c>
      <c r="BN6" s="3153" t="s">
        <v>5441</v>
      </c>
      <c r="BO6" s="3153" t="s">
        <v>5961</v>
      </c>
      <c r="BP6" s="3153" t="s">
        <v>5974</v>
      </c>
      <c r="BQ6" s="3153" t="s">
        <v>5975</v>
      </c>
      <c r="BR6" s="3153" t="s">
        <v>5976</v>
      </c>
      <c r="BS6" s="3153" t="s">
        <v>5977</v>
      </c>
      <c r="BT6" s="3153" t="s">
        <v>5978</v>
      </c>
      <c r="BU6" s="3153" t="s">
        <v>5979</v>
      </c>
      <c r="BV6" s="3153" t="s">
        <v>5962</v>
      </c>
      <c r="BW6" s="3153" t="s">
        <v>5963</v>
      </c>
      <c r="BX6" s="3153" t="s">
        <v>5964</v>
      </c>
      <c r="BY6" s="3153" t="s">
        <v>5965</v>
      </c>
      <c r="BZ6" s="3153" t="s">
        <v>5966</v>
      </c>
      <c r="CA6" s="3153" t="s">
        <v>5967</v>
      </c>
      <c r="CB6" s="3153" t="s">
        <v>5968</v>
      </c>
      <c r="CC6" s="3153" t="s">
        <v>5969</v>
      </c>
      <c r="CD6" s="3153" t="s">
        <v>5970</v>
      </c>
      <c r="CE6" s="3153" t="s">
        <v>5980</v>
      </c>
      <c r="CF6" s="3153" t="s">
        <v>5971</v>
      </c>
      <c r="CG6" s="3153" t="s">
        <v>5981</v>
      </c>
      <c r="CH6" s="3153" t="s">
        <v>5982</v>
      </c>
      <c r="CI6" s="3153" t="s">
        <v>5972</v>
      </c>
    </row>
    <row r="7" spans="1:87">
      <c r="A7" s="217">
        <v>17</v>
      </c>
      <c r="B7" s="990"/>
      <c r="C7" s="217" t="s">
        <v>2697</v>
      </c>
      <c r="D7" s="991"/>
      <c r="E7" s="991"/>
      <c r="F7" s="217"/>
      <c r="G7" s="217"/>
      <c r="H7" s="217"/>
      <c r="I7" s="217"/>
      <c r="J7" s="217"/>
      <c r="K7" s="217"/>
      <c r="L7" s="217"/>
      <c r="M7" s="429"/>
      <c r="N7" s="217"/>
      <c r="O7" s="207">
        <f>SUM(O8:O9)+SUM(O12:O17)</f>
        <v>527.59799999999996</v>
      </c>
      <c r="P7" s="217"/>
      <c r="Q7" s="217"/>
      <c r="R7" s="207">
        <f>SUM(R8:R9)+SUM(R12:R17)</f>
        <v>527.6</v>
      </c>
      <c r="S7" s="1223">
        <v>0</v>
      </c>
      <c r="BB7" s="3243"/>
      <c r="BC7" s="3243"/>
      <c r="BD7" s="3243"/>
      <c r="BE7" s="3243"/>
      <c r="BF7" s="3243"/>
      <c r="BG7" s="3243"/>
      <c r="BH7" s="3243"/>
      <c r="BI7" s="3243"/>
      <c r="BJ7" s="3243"/>
      <c r="BK7" s="3243"/>
      <c r="BL7" s="3243"/>
      <c r="BM7" s="3243"/>
      <c r="BN7" s="3243"/>
      <c r="BO7" s="3243"/>
      <c r="BP7" s="3243"/>
      <c r="BQ7" s="3243"/>
      <c r="BR7" s="3243"/>
      <c r="BS7" s="3243"/>
      <c r="BT7" s="3243"/>
      <c r="BU7" s="3243"/>
      <c r="BV7" s="3243"/>
      <c r="BW7" s="3243"/>
      <c r="BX7" s="3243"/>
      <c r="BY7" s="3243"/>
      <c r="BZ7" s="3243"/>
      <c r="CA7" s="3243"/>
      <c r="CB7" s="3243"/>
      <c r="CC7" s="3243"/>
      <c r="CD7" s="3243"/>
      <c r="CE7" s="3243"/>
      <c r="CF7" s="3243"/>
      <c r="CG7" s="3243"/>
      <c r="CH7" s="3243"/>
      <c r="CI7" s="3243">
        <f>SUM(BB7:CH7)</f>
        <v>0</v>
      </c>
    </row>
    <row r="8" spans="1:87" s="860" customFormat="1" ht="30">
      <c r="A8" s="888">
        <v>17.100000000000001</v>
      </c>
      <c r="B8" s="1783" t="s">
        <v>2015</v>
      </c>
      <c r="C8" s="1783" t="s">
        <v>3835</v>
      </c>
      <c r="D8" s="1549" t="s">
        <v>80</v>
      </c>
      <c r="E8" s="1784" t="s">
        <v>81</v>
      </c>
      <c r="F8" s="69">
        <v>0</v>
      </c>
      <c r="G8" s="69"/>
      <c r="H8" s="69">
        <v>0</v>
      </c>
      <c r="I8" s="69"/>
      <c r="J8" s="69"/>
      <c r="K8" s="69"/>
      <c r="L8" s="277"/>
      <c r="M8" s="281">
        <f>L8/100000</f>
        <v>0</v>
      </c>
      <c r="N8" s="277"/>
      <c r="O8" s="210">
        <f>N8*M8</f>
        <v>0</v>
      </c>
      <c r="P8" s="54"/>
      <c r="Q8" s="88">
        <f>'Abs15. NPCB'!Q43</f>
        <v>0</v>
      </c>
      <c r="R8" s="210">
        <f>'Abs15. NPCB'!R43</f>
        <v>0</v>
      </c>
      <c r="BB8" s="3182"/>
      <c r="BC8" s="3182"/>
      <c r="BD8" s="3182"/>
      <c r="BE8" s="3182"/>
      <c r="BF8" s="3182"/>
      <c r="BG8" s="3182"/>
      <c r="BH8" s="3182"/>
      <c r="BI8" s="3182"/>
      <c r="BJ8" s="3182"/>
      <c r="BK8" s="3182"/>
      <c r="BL8" s="3182"/>
      <c r="BM8" s="3182"/>
      <c r="BN8" s="3182"/>
      <c r="BO8" s="3182"/>
      <c r="BP8" s="3182"/>
      <c r="BQ8" s="3182"/>
      <c r="BR8" s="3182"/>
      <c r="BS8" s="3182"/>
      <c r="BT8" s="3182"/>
      <c r="BU8" s="3182"/>
      <c r="BV8" s="3182"/>
      <c r="BW8" s="3182"/>
      <c r="BX8" s="3182"/>
      <c r="BY8" s="3182"/>
      <c r="BZ8" s="3182"/>
      <c r="CA8" s="3182"/>
      <c r="CB8" s="3182"/>
      <c r="CC8" s="3182"/>
      <c r="CD8" s="3182"/>
      <c r="CE8" s="3182"/>
      <c r="CF8" s="3182"/>
      <c r="CG8" s="3182"/>
      <c r="CH8" s="3182"/>
      <c r="CI8" s="3243">
        <f t="shared" ref="CI8:CI19" si="0">SUM(BB8:CH8)</f>
        <v>0</v>
      </c>
    </row>
    <row r="9" spans="1:87" s="860" customFormat="1">
      <c r="A9" s="888">
        <v>17.2</v>
      </c>
      <c r="B9" s="521" t="s">
        <v>2031</v>
      </c>
      <c r="C9" s="536" t="s">
        <v>3860</v>
      </c>
      <c r="D9" s="982"/>
      <c r="E9" s="982"/>
      <c r="F9" s="76"/>
      <c r="G9" s="77"/>
      <c r="H9" s="78"/>
      <c r="I9" s="78"/>
      <c r="J9" s="79"/>
      <c r="K9" s="76"/>
      <c r="L9" s="80"/>
      <c r="M9" s="1785"/>
      <c r="N9" s="80"/>
      <c r="O9" s="1189">
        <f>O10+O11</f>
        <v>310.77000000000004</v>
      </c>
      <c r="P9" s="81"/>
      <c r="Q9" s="888"/>
      <c r="R9" s="1189">
        <f>R10+R11</f>
        <v>310.77000000000004</v>
      </c>
      <c r="BB9" s="3182"/>
      <c r="BC9" s="3182"/>
      <c r="BD9" s="3182"/>
      <c r="BE9" s="3182"/>
      <c r="BF9" s="3182"/>
      <c r="BG9" s="3182"/>
      <c r="BH9" s="3182"/>
      <c r="BI9" s="3182"/>
      <c r="BJ9" s="3182"/>
      <c r="BK9" s="3182"/>
      <c r="BL9" s="3182"/>
      <c r="BM9" s="3182"/>
      <c r="BN9" s="3182"/>
      <c r="BO9" s="3182"/>
      <c r="BP9" s="3182"/>
      <c r="BQ9" s="3182"/>
      <c r="BR9" s="3182"/>
      <c r="BS9" s="3182"/>
      <c r="BT9" s="3182"/>
      <c r="BU9" s="3182"/>
      <c r="BV9" s="3182"/>
      <c r="BW9" s="3182"/>
      <c r="BX9" s="3182"/>
      <c r="BY9" s="3182"/>
      <c r="BZ9" s="3182"/>
      <c r="CA9" s="3182"/>
      <c r="CB9" s="3182"/>
      <c r="CC9" s="3182"/>
      <c r="CD9" s="3182"/>
      <c r="CE9" s="3182"/>
      <c r="CF9" s="3182"/>
      <c r="CG9" s="3182"/>
      <c r="CH9" s="3182"/>
      <c r="CI9" s="3243">
        <f t="shared" si="0"/>
        <v>0</v>
      </c>
    </row>
    <row r="10" spans="1:87" s="861" customFormat="1" ht="135">
      <c r="A10" s="107" t="s">
        <v>3858</v>
      </c>
      <c r="B10" s="521"/>
      <c r="C10" s="521" t="s">
        <v>3862</v>
      </c>
      <c r="D10" s="982" t="s">
        <v>65</v>
      </c>
      <c r="E10" s="2306" t="s">
        <v>4218</v>
      </c>
      <c r="F10" s="2665">
        <v>3</v>
      </c>
      <c r="G10" s="2666"/>
      <c r="H10" s="2667">
        <v>275.39999999999998</v>
      </c>
      <c r="I10" s="2667">
        <v>75.53</v>
      </c>
      <c r="J10" s="2668">
        <v>199.87</v>
      </c>
      <c r="K10" s="2665">
        <v>1</v>
      </c>
      <c r="L10" s="283">
        <v>360000</v>
      </c>
      <c r="M10" s="2261">
        <f t="shared" ref="M10:M17" si="1">L10/100000</f>
        <v>3.6</v>
      </c>
      <c r="N10" s="283">
        <v>3</v>
      </c>
      <c r="O10" s="212">
        <f t="shared" ref="O10:O17" si="2">N10*M10</f>
        <v>10.8</v>
      </c>
      <c r="P10" s="2303" t="s">
        <v>5154</v>
      </c>
      <c r="Q10" s="107" t="str">
        <f>'Abs6. CPHC'!Q35</f>
        <v>Recommended for approvalRs. 10.80 L as advance @ Rs. 30000 per month per hub as per State guidelines (State shall not pay honorarium for Doctors)</v>
      </c>
      <c r="R10" s="212">
        <f>'Abs6. CPHC'!R35</f>
        <v>10.8</v>
      </c>
      <c r="BB10" s="3184">
        <v>2.16</v>
      </c>
      <c r="BC10" s="3184"/>
      <c r="BD10" s="3184"/>
      <c r="BE10" s="3184"/>
      <c r="BF10" s="3184"/>
      <c r="BG10" s="3184"/>
      <c r="BH10" s="3184"/>
      <c r="BI10" s="3184"/>
      <c r="BJ10" s="3184"/>
      <c r="BK10" s="3184"/>
      <c r="BL10" s="3184"/>
      <c r="BM10" s="3184"/>
      <c r="BN10" s="3184"/>
      <c r="BO10" s="3184">
        <v>2.16</v>
      </c>
      <c r="BP10" s="3184">
        <v>2.16</v>
      </c>
      <c r="BQ10" s="3184"/>
      <c r="BR10" s="3184">
        <v>2.16</v>
      </c>
      <c r="BS10" s="3184">
        <v>2.16</v>
      </c>
      <c r="BT10" s="3184"/>
      <c r="BU10" s="3184"/>
      <c r="BV10" s="3184"/>
      <c r="BW10" s="3184"/>
      <c r="BX10" s="3184"/>
      <c r="BY10" s="3184"/>
      <c r="BZ10" s="3184"/>
      <c r="CA10" s="3184"/>
      <c r="CB10" s="3184"/>
      <c r="CC10" s="3184"/>
      <c r="CD10" s="3184"/>
      <c r="CE10" s="3184"/>
      <c r="CF10" s="3184"/>
      <c r="CG10" s="3184"/>
      <c r="CH10" s="3184"/>
      <c r="CI10" s="3243">
        <f t="shared" si="0"/>
        <v>10.8</v>
      </c>
    </row>
    <row r="11" spans="1:87" s="861" customFormat="1" ht="224.25" customHeight="1">
      <c r="A11" s="107" t="s">
        <v>3859</v>
      </c>
      <c r="B11" s="521"/>
      <c r="C11" s="521" t="s">
        <v>3861</v>
      </c>
      <c r="D11" s="982" t="s">
        <v>65</v>
      </c>
      <c r="E11" s="2306" t="s">
        <v>4218</v>
      </c>
      <c r="F11" s="2665">
        <v>75</v>
      </c>
      <c r="G11" s="2666"/>
      <c r="H11" s="2667">
        <v>299.97000000000003</v>
      </c>
      <c r="I11" s="2667">
        <v>65.16</v>
      </c>
      <c r="J11" s="2668">
        <v>234.81</v>
      </c>
      <c r="K11" s="2665" t="s">
        <v>5194</v>
      </c>
      <c r="L11" s="2368">
        <f>33330*12</f>
        <v>399960</v>
      </c>
      <c r="M11" s="2261">
        <f t="shared" si="1"/>
        <v>3.9996</v>
      </c>
      <c r="N11" s="283">
        <v>75</v>
      </c>
      <c r="O11" s="212">
        <f t="shared" si="2"/>
        <v>299.97000000000003</v>
      </c>
      <c r="P11" s="3308" t="s">
        <v>5195</v>
      </c>
      <c r="Q11" s="107" t="str">
        <f>'Abs6. CPHC'!Q36</f>
        <v xml:space="preserve">Recommended for approvalRs. 299.97 L as operational cost of hubs for Teleconsultation.1- Rs. 99.99 lakh @Rs.3.99 lakh/PA/Telemedicine Centre for 25 existing facilities at PHC, CHC &amp; CH level through Piramal Swasthya2- Rs. 199.98 lakh @Rs.3.99 lakh/PA/Telemedicine centre for 50 HSCs through Piramal SwasthyaState to revisit the proposal as and when the contract period is over. State to integrate the existing Piramal model with E -Sanjeevani application. </v>
      </c>
      <c r="R11" s="212">
        <f>'Abs6. CPHC'!R36</f>
        <v>299.97000000000003</v>
      </c>
      <c r="BB11" s="3184">
        <v>299.97000000000003</v>
      </c>
      <c r="BC11" s="3184"/>
      <c r="BD11" s="3184"/>
      <c r="BE11" s="3184"/>
      <c r="BF11" s="3184"/>
      <c r="BG11" s="3184"/>
      <c r="BH11" s="3184"/>
      <c r="BI11" s="3184"/>
      <c r="BJ11" s="3184"/>
      <c r="BK11" s="3184"/>
      <c r="BL11" s="3184"/>
      <c r="BM11" s="3184"/>
      <c r="BN11" s="3184"/>
      <c r="BO11" s="3184"/>
      <c r="BP11" s="3184"/>
      <c r="BQ11" s="3184"/>
      <c r="BR11" s="3184"/>
      <c r="BS11" s="3184"/>
      <c r="BT11" s="3184"/>
      <c r="BU11" s="3184"/>
      <c r="BV11" s="3184"/>
      <c r="BW11" s="3184"/>
      <c r="BX11" s="3184"/>
      <c r="BY11" s="3184"/>
      <c r="BZ11" s="3184"/>
      <c r="CA11" s="3184"/>
      <c r="CB11" s="3184"/>
      <c r="CC11" s="3184"/>
      <c r="CD11" s="3184"/>
      <c r="CE11" s="3184"/>
      <c r="CF11" s="3184"/>
      <c r="CG11" s="3184"/>
      <c r="CH11" s="3184"/>
      <c r="CI11" s="3089">
        <f t="shared" si="0"/>
        <v>299.97000000000003</v>
      </c>
    </row>
    <row r="12" spans="1:87" s="1031" customFormat="1" ht="127.5" customHeight="1">
      <c r="A12" s="888">
        <v>17.3</v>
      </c>
      <c r="B12" s="536"/>
      <c r="C12" s="536" t="s">
        <v>3986</v>
      </c>
      <c r="D12" s="982" t="s">
        <v>65</v>
      </c>
      <c r="E12" s="1356" t="s">
        <v>2293</v>
      </c>
      <c r="F12" s="2228">
        <v>1986</v>
      </c>
      <c r="G12" s="352"/>
      <c r="H12" s="2228">
        <v>35.75</v>
      </c>
      <c r="I12" s="352">
        <v>0.12</v>
      </c>
      <c r="J12" s="352">
        <v>35.630000000000003</v>
      </c>
      <c r="K12" s="2395" t="s">
        <v>5191</v>
      </c>
      <c r="L12" s="2368">
        <f>150*12</f>
        <v>1800</v>
      </c>
      <c r="M12" s="2261">
        <f t="shared" si="1"/>
        <v>1.7999999999999999E-2</v>
      </c>
      <c r="N12" s="2368">
        <v>1990</v>
      </c>
      <c r="O12" s="212">
        <f t="shared" si="2"/>
        <v>35.82</v>
      </c>
      <c r="P12" s="108" t="s">
        <v>5192</v>
      </c>
      <c r="Q12" s="586" t="str">
        <f>'Ab4. HMIS-MCTS'!Q27</f>
        <v xml:space="preserve">Recommended Rs 35.82 lakhs for Internet connection for 1990 Tablets@Rs 150 per month per unit for implementation of ANMOL. These are indicative rates, final rates are to be arrived at as per GeM rate contract or after competitive bidding following Government protocols.This is subject to 100% reporting on RCH Portal and improvement in data quality thereof. </v>
      </c>
      <c r="R12" s="704">
        <f>'Ab4. HMIS-MCTS'!R27</f>
        <v>35.82</v>
      </c>
      <c r="BB12" s="3307">
        <v>0</v>
      </c>
      <c r="BC12" s="3307">
        <v>2.12</v>
      </c>
      <c r="BD12" s="3307">
        <v>2.78</v>
      </c>
      <c r="BE12" s="3307">
        <v>2.48</v>
      </c>
      <c r="BF12" s="3307">
        <v>7.69</v>
      </c>
      <c r="BG12" s="3307">
        <v>0.63</v>
      </c>
      <c r="BH12" s="3307">
        <v>1.91</v>
      </c>
      <c r="BI12" s="3307">
        <v>0.72</v>
      </c>
      <c r="BJ12" s="3307">
        <v>5.62</v>
      </c>
      <c r="BK12" s="3307">
        <v>4.18</v>
      </c>
      <c r="BL12" s="3307">
        <v>2.31</v>
      </c>
      <c r="BM12" s="3307">
        <v>3.05</v>
      </c>
      <c r="BN12" s="3307">
        <v>2.33</v>
      </c>
      <c r="BO12" s="3307"/>
      <c r="BP12" s="3307"/>
      <c r="BQ12" s="3307"/>
      <c r="BR12" s="3307"/>
      <c r="BS12" s="3307"/>
      <c r="BT12" s="3307"/>
      <c r="BU12" s="3307"/>
      <c r="BV12" s="3307"/>
      <c r="BW12" s="3307"/>
      <c r="BX12" s="3307"/>
      <c r="BY12" s="3307"/>
      <c r="BZ12" s="3307"/>
      <c r="CA12" s="3307"/>
      <c r="CB12" s="3307"/>
      <c r="CC12" s="3307"/>
      <c r="CD12" s="3307"/>
      <c r="CE12" s="3307"/>
      <c r="CF12" s="3307"/>
      <c r="CG12" s="3307"/>
      <c r="CH12" s="3307"/>
      <c r="CI12" s="3089">
        <f t="shared" si="0"/>
        <v>35.819999999999993</v>
      </c>
    </row>
    <row r="13" spans="1:87" ht="45">
      <c r="A13" s="888">
        <v>17.399999999999999</v>
      </c>
      <c r="B13" s="536" t="s">
        <v>2240</v>
      </c>
      <c r="C13" s="1666" t="s">
        <v>3987</v>
      </c>
      <c r="D13" s="908" t="s">
        <v>65</v>
      </c>
      <c r="E13" s="1663" t="s">
        <v>2081</v>
      </c>
      <c r="F13" s="2229">
        <v>0</v>
      </c>
      <c r="G13" s="348"/>
      <c r="H13" s="2229">
        <v>0</v>
      </c>
      <c r="I13" s="348"/>
      <c r="J13" s="348"/>
      <c r="K13" s="348"/>
      <c r="L13" s="277"/>
      <c r="M13" s="281">
        <f t="shared" si="1"/>
        <v>0</v>
      </c>
      <c r="N13" s="277"/>
      <c r="O13" s="297">
        <f t="shared" si="2"/>
        <v>0</v>
      </c>
      <c r="P13" s="54"/>
      <c r="Q13" s="508">
        <f>'Abs5. Blood services &amp; Disorder'!Q32</f>
        <v>0</v>
      </c>
      <c r="R13" s="297">
        <f>'Abs5. Blood services &amp; Disorder'!R32</f>
        <v>0</v>
      </c>
      <c r="BB13" s="3243"/>
      <c r="BC13" s="3243"/>
      <c r="BD13" s="3243"/>
      <c r="BE13" s="3243"/>
      <c r="BF13" s="3243"/>
      <c r="BG13" s="3243"/>
      <c r="BH13" s="3243"/>
      <c r="BI13" s="3243"/>
      <c r="BJ13" s="3243"/>
      <c r="BK13" s="3243"/>
      <c r="BL13" s="3243"/>
      <c r="BM13" s="3243"/>
      <c r="BN13" s="3243"/>
      <c r="BO13" s="3243"/>
      <c r="BP13" s="3243"/>
      <c r="BQ13" s="3243"/>
      <c r="BR13" s="3243"/>
      <c r="BS13" s="3243"/>
      <c r="BT13" s="3243"/>
      <c r="BU13" s="3243"/>
      <c r="BV13" s="3243"/>
      <c r="BW13" s="3243"/>
      <c r="BX13" s="3243"/>
      <c r="BY13" s="3243"/>
      <c r="BZ13" s="3243"/>
      <c r="CA13" s="3243"/>
      <c r="CB13" s="3243"/>
      <c r="CC13" s="3243"/>
      <c r="CD13" s="3243"/>
      <c r="CE13" s="3243"/>
      <c r="CF13" s="3243"/>
      <c r="CG13" s="3243"/>
      <c r="CH13" s="3243"/>
      <c r="CI13" s="3243">
        <f t="shared" si="0"/>
        <v>0</v>
      </c>
    </row>
    <row r="14" spans="1:87" s="1779" customFormat="1">
      <c r="A14" s="888">
        <v>17.5</v>
      </c>
      <c r="B14" s="536" t="s">
        <v>1148</v>
      </c>
      <c r="C14" s="536" t="s">
        <v>2241</v>
      </c>
      <c r="D14" s="982" t="s">
        <v>65</v>
      </c>
      <c r="E14" s="1185" t="s">
        <v>4544</v>
      </c>
      <c r="F14" s="2228">
        <v>0</v>
      </c>
      <c r="G14" s="352"/>
      <c r="H14" s="2228">
        <v>0</v>
      </c>
      <c r="I14" s="352"/>
      <c r="J14" s="352"/>
      <c r="K14" s="352"/>
      <c r="L14" s="283"/>
      <c r="M14" s="2261">
        <f t="shared" si="1"/>
        <v>0</v>
      </c>
      <c r="N14" s="283"/>
      <c r="O14" s="298">
        <f t="shared" si="2"/>
        <v>0</v>
      </c>
      <c r="P14" s="108"/>
      <c r="Q14" s="2498"/>
      <c r="R14" s="801"/>
      <c r="BB14" s="3244"/>
      <c r="BC14" s="3244"/>
      <c r="BD14" s="3244"/>
      <c r="BE14" s="3244"/>
      <c r="BF14" s="3244"/>
      <c r="BG14" s="3244"/>
      <c r="BH14" s="3244"/>
      <c r="BI14" s="3244"/>
      <c r="BJ14" s="3244"/>
      <c r="BK14" s="3244"/>
      <c r="BL14" s="3244"/>
      <c r="BM14" s="3244"/>
      <c r="BN14" s="3244"/>
      <c r="BO14" s="3244"/>
      <c r="BP14" s="3244"/>
      <c r="BQ14" s="3244"/>
      <c r="BR14" s="3244"/>
      <c r="BS14" s="3244"/>
      <c r="BT14" s="3244"/>
      <c r="BU14" s="3244"/>
      <c r="BV14" s="3244"/>
      <c r="BW14" s="3244"/>
      <c r="BX14" s="3244"/>
      <c r="BY14" s="3244"/>
      <c r="BZ14" s="3244"/>
      <c r="CA14" s="3244"/>
      <c r="CB14" s="3244"/>
      <c r="CC14" s="3244"/>
      <c r="CD14" s="3244"/>
      <c r="CE14" s="3244"/>
      <c r="CF14" s="3244"/>
      <c r="CG14" s="3244"/>
      <c r="CH14" s="3244"/>
      <c r="CI14" s="3243">
        <f t="shared" si="0"/>
        <v>0</v>
      </c>
    </row>
    <row r="15" spans="1:87" s="1031" customFormat="1" ht="165">
      <c r="A15" s="888">
        <v>17.600000000000001</v>
      </c>
      <c r="B15" s="536" t="s">
        <v>2242</v>
      </c>
      <c r="C15" s="536" t="s">
        <v>2243</v>
      </c>
      <c r="D15" s="982" t="s">
        <v>65</v>
      </c>
      <c r="E15" s="1356" t="s">
        <v>4823</v>
      </c>
      <c r="F15" s="2228">
        <v>1</v>
      </c>
      <c r="G15" s="361"/>
      <c r="H15" s="2424">
        <v>35.4</v>
      </c>
      <c r="I15" s="2425">
        <v>25.33</v>
      </c>
      <c r="J15" s="352">
        <v>10.07</v>
      </c>
      <c r="K15" s="2395">
        <v>1</v>
      </c>
      <c r="L15" s="2368">
        <v>3582000</v>
      </c>
      <c r="M15" s="2261">
        <f t="shared" si="1"/>
        <v>35.82</v>
      </c>
      <c r="N15" s="283">
        <v>1</v>
      </c>
      <c r="O15" s="298">
        <f t="shared" si="2"/>
        <v>35.82</v>
      </c>
      <c r="P15" s="81" t="s">
        <v>5193</v>
      </c>
      <c r="Q15" s="586" t="str">
        <f>'Ab4. HMIS-MCTS'!Q27</f>
        <v xml:space="preserve">Recommended Rs 35.82 lakhs for Internet connection for 1990 Tablets@Rs 150 per month per unit for implementation of ANMOL. These are indicative rates, final rates are to be arrived at as per GeM rate contract or after competitive bidding following Government protocols.This is subject to 100% reporting on RCH Portal and improvement in data quality thereof. </v>
      </c>
      <c r="R15" s="298">
        <f>'Ab4. HMIS-MCTS'!R27</f>
        <v>35.82</v>
      </c>
      <c r="BB15" s="3307">
        <v>35.82</v>
      </c>
      <c r="BC15" s="3307"/>
      <c r="BD15" s="3307"/>
      <c r="BE15" s="3307"/>
      <c r="BF15" s="3307"/>
      <c r="BG15" s="3307"/>
      <c r="BH15" s="3307"/>
      <c r="BI15" s="3307"/>
      <c r="BJ15" s="3307"/>
      <c r="BK15" s="3307"/>
      <c r="BL15" s="3307"/>
      <c r="BM15" s="3307"/>
      <c r="BN15" s="3307"/>
      <c r="BO15" s="3307"/>
      <c r="BP15" s="3307"/>
      <c r="BQ15" s="3307"/>
      <c r="BR15" s="3307"/>
      <c r="BS15" s="3307"/>
      <c r="BT15" s="3307"/>
      <c r="BU15" s="3307"/>
      <c r="BV15" s="3307"/>
      <c r="BW15" s="3307"/>
      <c r="BX15" s="3307"/>
      <c r="BY15" s="3307"/>
      <c r="BZ15" s="3307"/>
      <c r="CA15" s="3307"/>
      <c r="CB15" s="3307"/>
      <c r="CC15" s="3307"/>
      <c r="CD15" s="3307"/>
      <c r="CE15" s="3307"/>
      <c r="CF15" s="3307"/>
      <c r="CG15" s="3307"/>
      <c r="CH15" s="3307"/>
      <c r="CI15" s="3089">
        <f t="shared" si="0"/>
        <v>35.82</v>
      </c>
    </row>
    <row r="16" spans="1:87" ht="30">
      <c r="A16" s="888">
        <v>17.7</v>
      </c>
      <c r="B16" s="536"/>
      <c r="C16" s="1666" t="s">
        <v>3825</v>
      </c>
      <c r="D16" s="908" t="s">
        <v>65</v>
      </c>
      <c r="E16" s="1663" t="s">
        <v>3760</v>
      </c>
      <c r="F16" s="2229">
        <v>7964</v>
      </c>
      <c r="G16" s="481"/>
      <c r="H16" s="2235">
        <v>0</v>
      </c>
      <c r="I16" s="587"/>
      <c r="J16" s="348"/>
      <c r="K16" s="348"/>
      <c r="L16" s="277"/>
      <c r="M16" s="281">
        <f t="shared" si="1"/>
        <v>0</v>
      </c>
      <c r="N16" s="277"/>
      <c r="O16" s="297">
        <f t="shared" si="2"/>
        <v>0</v>
      </c>
      <c r="P16" s="54"/>
      <c r="Q16" s="1790"/>
      <c r="R16" s="1791"/>
      <c r="BB16" s="3243"/>
      <c r="BC16" s="3243"/>
      <c r="BD16" s="3243"/>
      <c r="BE16" s="3243"/>
      <c r="BF16" s="3243"/>
      <c r="BG16" s="3243"/>
      <c r="BH16" s="3243"/>
      <c r="BI16" s="3243"/>
      <c r="BJ16" s="3243"/>
      <c r="BK16" s="3243"/>
      <c r="BL16" s="3243"/>
      <c r="BM16" s="3243"/>
      <c r="BN16" s="3243"/>
      <c r="BO16" s="3243"/>
      <c r="BP16" s="3243"/>
      <c r="BQ16" s="3243"/>
      <c r="BR16" s="3243"/>
      <c r="BS16" s="3243"/>
      <c r="BT16" s="3243"/>
      <c r="BU16" s="3243"/>
      <c r="BV16" s="3243"/>
      <c r="BW16" s="3243"/>
      <c r="BX16" s="3243"/>
      <c r="BY16" s="3243"/>
      <c r="BZ16" s="3243"/>
      <c r="CA16" s="3243"/>
      <c r="CB16" s="3243"/>
      <c r="CC16" s="3243"/>
      <c r="CD16" s="3243"/>
      <c r="CE16" s="3243"/>
      <c r="CF16" s="3243"/>
      <c r="CG16" s="3243"/>
      <c r="CH16" s="3243"/>
      <c r="CI16" s="3243">
        <f t="shared" si="0"/>
        <v>0</v>
      </c>
    </row>
    <row r="17" spans="1:87" s="1779" customFormat="1" ht="45">
      <c r="A17" s="888">
        <v>17.8</v>
      </c>
      <c r="B17" s="536"/>
      <c r="C17" s="536" t="s">
        <v>2781</v>
      </c>
      <c r="D17" s="982" t="s">
        <v>65</v>
      </c>
      <c r="E17" s="1356" t="s">
        <v>2293</v>
      </c>
      <c r="F17" s="2228">
        <v>0</v>
      </c>
      <c r="G17" s="361"/>
      <c r="H17" s="2424">
        <v>0</v>
      </c>
      <c r="I17" s="2425"/>
      <c r="J17" s="352"/>
      <c r="K17" s="2426">
        <v>1</v>
      </c>
      <c r="L17" s="2318">
        <v>1800</v>
      </c>
      <c r="M17" s="2261">
        <f t="shared" si="1"/>
        <v>1.7999999999999999E-2</v>
      </c>
      <c r="N17" s="2318">
        <v>8066</v>
      </c>
      <c r="O17" s="298">
        <f t="shared" si="2"/>
        <v>145.18799999999999</v>
      </c>
      <c r="P17" s="2427" t="s">
        <v>5148</v>
      </c>
      <c r="Q17" s="586" t="str">
        <f>'Ab4. HMIS-MCTS'!Q28</f>
        <v xml:space="preserve">Recommended for approvalRs. 145.19L @ Rs. 150 per month as mobile allowance to 8066 ASHAs. </v>
      </c>
      <c r="R17" s="704">
        <f>'Ab4. HMIS-MCTS'!R28</f>
        <v>145.19</v>
      </c>
      <c r="BB17" s="3244">
        <v>1.85</v>
      </c>
      <c r="BC17" s="3244">
        <v>8.98</v>
      </c>
      <c r="BD17" s="3244">
        <v>10.82</v>
      </c>
      <c r="BE17" s="3244">
        <v>9.61</v>
      </c>
      <c r="BF17" s="3244">
        <v>32.76</v>
      </c>
      <c r="BG17" s="3244">
        <v>1.93</v>
      </c>
      <c r="BH17" s="3244">
        <v>8.91</v>
      </c>
      <c r="BI17" s="3244">
        <v>0.86</v>
      </c>
      <c r="BJ17" s="3244">
        <v>22.5</v>
      </c>
      <c r="BK17" s="3244">
        <v>14</v>
      </c>
      <c r="BL17" s="3244">
        <v>11.03</v>
      </c>
      <c r="BM17" s="3244">
        <v>11.03</v>
      </c>
      <c r="BN17" s="3244">
        <v>10.91</v>
      </c>
      <c r="BO17" s="3244"/>
      <c r="BP17" s="3244"/>
      <c r="BQ17" s="3244"/>
      <c r="BR17" s="3244"/>
      <c r="BS17" s="3244"/>
      <c r="BT17" s="3244"/>
      <c r="BU17" s="3244"/>
      <c r="BV17" s="3244"/>
      <c r="BW17" s="3244"/>
      <c r="BX17" s="3244"/>
      <c r="BY17" s="3244"/>
      <c r="BZ17" s="3244"/>
      <c r="CA17" s="3244"/>
      <c r="CB17" s="3244"/>
      <c r="CC17" s="3244"/>
      <c r="CD17" s="3244"/>
      <c r="CE17" s="3244"/>
      <c r="CF17" s="3244"/>
      <c r="CG17" s="3244"/>
      <c r="CH17" s="3244"/>
      <c r="CI17" s="3243">
        <f t="shared" si="0"/>
        <v>145.19</v>
      </c>
    </row>
    <row r="18" spans="1:87">
      <c r="R18" s="1788">
        <f>+E4</f>
        <v>527.59799999999996</v>
      </c>
      <c r="BB18" s="3243">
        <f>SUM(BB7:BB17)</f>
        <v>339.80000000000007</v>
      </c>
      <c r="BC18" s="3243">
        <f t="shared" ref="BC18:CH18" si="3">SUM(BC7:BC17)</f>
        <v>11.100000000000001</v>
      </c>
      <c r="BD18" s="3243">
        <f t="shared" si="3"/>
        <v>13.6</v>
      </c>
      <c r="BE18" s="3243">
        <f t="shared" si="3"/>
        <v>12.09</v>
      </c>
      <c r="BF18" s="3243">
        <f t="shared" si="3"/>
        <v>40.449999999999996</v>
      </c>
      <c r="BG18" s="3243">
        <f t="shared" si="3"/>
        <v>2.56</v>
      </c>
      <c r="BH18" s="3243">
        <f t="shared" si="3"/>
        <v>10.82</v>
      </c>
      <c r="BI18" s="3243">
        <f t="shared" si="3"/>
        <v>1.58</v>
      </c>
      <c r="BJ18" s="3243">
        <f t="shared" si="3"/>
        <v>28.12</v>
      </c>
      <c r="BK18" s="3243">
        <f t="shared" si="3"/>
        <v>18.18</v>
      </c>
      <c r="BL18" s="3243">
        <f t="shared" si="3"/>
        <v>13.34</v>
      </c>
      <c r="BM18" s="3243">
        <f t="shared" si="3"/>
        <v>14.079999999999998</v>
      </c>
      <c r="BN18" s="3243">
        <f t="shared" si="3"/>
        <v>13.24</v>
      </c>
      <c r="BO18" s="3243">
        <f t="shared" si="3"/>
        <v>2.16</v>
      </c>
      <c r="BP18" s="3243">
        <f t="shared" si="3"/>
        <v>2.16</v>
      </c>
      <c r="BQ18" s="3243">
        <f t="shared" si="3"/>
        <v>0</v>
      </c>
      <c r="BR18" s="3243">
        <f t="shared" si="3"/>
        <v>2.16</v>
      </c>
      <c r="BS18" s="3243">
        <f t="shared" si="3"/>
        <v>2.16</v>
      </c>
      <c r="BT18" s="3243">
        <f t="shared" si="3"/>
        <v>0</v>
      </c>
      <c r="BU18" s="3243">
        <f t="shared" si="3"/>
        <v>0</v>
      </c>
      <c r="BV18" s="3243">
        <f t="shared" si="3"/>
        <v>0</v>
      </c>
      <c r="BW18" s="3243">
        <f t="shared" si="3"/>
        <v>0</v>
      </c>
      <c r="BX18" s="3243">
        <f t="shared" si="3"/>
        <v>0</v>
      </c>
      <c r="BY18" s="3243">
        <f t="shared" si="3"/>
        <v>0</v>
      </c>
      <c r="BZ18" s="3243">
        <f t="shared" si="3"/>
        <v>0</v>
      </c>
      <c r="CA18" s="3243">
        <f t="shared" si="3"/>
        <v>0</v>
      </c>
      <c r="CB18" s="3243">
        <f t="shared" si="3"/>
        <v>0</v>
      </c>
      <c r="CC18" s="3243">
        <f t="shared" si="3"/>
        <v>0</v>
      </c>
      <c r="CD18" s="3243">
        <f t="shared" si="3"/>
        <v>0</v>
      </c>
      <c r="CE18" s="3243">
        <f t="shared" si="3"/>
        <v>0</v>
      </c>
      <c r="CF18" s="3243">
        <f t="shared" si="3"/>
        <v>0</v>
      </c>
      <c r="CG18" s="3243">
        <f t="shared" si="3"/>
        <v>0</v>
      </c>
      <c r="CH18" s="3243">
        <f t="shared" si="3"/>
        <v>0</v>
      </c>
      <c r="CI18" s="3243">
        <f t="shared" si="0"/>
        <v>527.59999999999991</v>
      </c>
    </row>
    <row r="19" spans="1:87">
      <c r="BB19" s="1266"/>
      <c r="BC19" s="1266"/>
      <c r="BD19" s="1266"/>
      <c r="BE19" s="1266"/>
      <c r="BF19" s="1266"/>
      <c r="BG19" s="1266"/>
      <c r="BH19" s="1266"/>
      <c r="BI19" s="1266"/>
      <c r="BJ19" s="1266"/>
      <c r="BK19" s="1266"/>
      <c r="BL19" s="1266"/>
      <c r="BM19" s="1266"/>
      <c r="BN19" s="1266"/>
      <c r="BO19" s="1266"/>
      <c r="BP19" s="1266"/>
      <c r="BQ19" s="1266"/>
      <c r="BR19" s="1266"/>
      <c r="BS19" s="1266"/>
      <c r="BT19" s="1266"/>
      <c r="BU19" s="1266"/>
      <c r="BV19" s="1266"/>
      <c r="BW19" s="1266"/>
      <c r="BX19" s="1266"/>
      <c r="BY19" s="1266"/>
      <c r="BZ19" s="1266"/>
      <c r="CA19" s="1266"/>
      <c r="CB19" s="1266"/>
      <c r="CC19" s="1266"/>
      <c r="CD19" s="1266"/>
      <c r="CE19" s="1266"/>
      <c r="CF19" s="1266"/>
      <c r="CG19" s="1266"/>
      <c r="CH19" s="1266"/>
      <c r="CI19" s="1266">
        <f t="shared" si="0"/>
        <v>0</v>
      </c>
    </row>
  </sheetData>
  <sheetProtection password="CC49" sheet="1" objects="1" scenarios="1" autoFilter="0"/>
  <autoFilter ref="A6:R17"/>
  <mergeCells count="15">
    <mergeCell ref="AI1:AO1"/>
    <mergeCell ref="AP1:BA1"/>
    <mergeCell ref="K5:P5"/>
    <mergeCell ref="Q5:R5"/>
    <mergeCell ref="A1:C1"/>
    <mergeCell ref="F5:J5"/>
    <mergeCell ref="A5:A6"/>
    <mergeCell ref="B5:B6"/>
    <mergeCell ref="C5:C6"/>
    <mergeCell ref="D5:D6"/>
    <mergeCell ref="E5:E6"/>
    <mergeCell ref="E1:E2"/>
    <mergeCell ref="F1:N1"/>
    <mergeCell ref="A2:A4"/>
    <mergeCell ref="O1:AH1"/>
  </mergeCell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sheetPr codeName="Sheet51">
    <tabColor rgb="FF00B050"/>
  </sheetPr>
  <dimension ref="A1:CJ33"/>
  <sheetViews>
    <sheetView zoomScale="80" zoomScaleNormal="80" workbookViewId="0">
      <pane xSplit="5" ySplit="7" topLeftCell="P8" activePane="bottomRight" state="frozen"/>
      <selection activeCell="A2" sqref="A2:A4"/>
      <selection pane="topRight" activeCell="A2" sqref="A2:A4"/>
      <selection pane="bottomLeft" activeCell="A2" sqref="A2:A4"/>
      <selection pane="bottomRight" activeCell="R15" sqref="R15"/>
    </sheetView>
  </sheetViews>
  <sheetFormatPr defaultColWidth="8.85546875" defaultRowHeight="15"/>
  <cols>
    <col min="1" max="1" width="8.85546875" style="60"/>
    <col min="2" max="2" width="8.5703125" style="60" bestFit="1" customWidth="1"/>
    <col min="3" max="3" width="33.140625" style="60" bestFit="1" customWidth="1"/>
    <col min="4" max="4" width="9.5703125" style="63" customWidth="1"/>
    <col min="5" max="5" width="12.7109375" style="60" customWidth="1"/>
    <col min="6" max="6" width="12.85546875" style="60" hidden="1" customWidth="1"/>
    <col min="7" max="7" width="14" style="60" hidden="1" customWidth="1"/>
    <col min="8" max="8" width="14.85546875" style="60" hidden="1" customWidth="1"/>
    <col min="9" max="9" width="12.28515625" style="60" hidden="1" customWidth="1"/>
    <col min="10" max="10" width="13.85546875" style="60" hidden="1" customWidth="1"/>
    <col min="11" max="11" width="11.28515625" style="60" hidden="1" customWidth="1"/>
    <col min="12" max="12" width="10.140625" style="60" hidden="1" customWidth="1"/>
    <col min="13" max="13" width="12.140625" style="721" hidden="1" customWidth="1"/>
    <col min="14" max="14" width="10.140625" style="60" hidden="1" customWidth="1"/>
    <col min="15" max="15" width="15.85546875" style="721" hidden="1" customWidth="1"/>
    <col min="16" max="16" width="33.7109375" style="59" customWidth="1"/>
    <col min="17" max="17" width="28.85546875" style="59" customWidth="1"/>
    <col min="18" max="18" width="14.5703125" style="721" customWidth="1"/>
    <col min="19" max="53" width="0" style="60" hidden="1" customWidth="1"/>
    <col min="54" max="54" width="8.85546875" style="60"/>
    <col min="55" max="55" width="10.5703125" style="60" bestFit="1" customWidth="1"/>
    <col min="56" max="56" width="8.85546875" style="60"/>
    <col min="57" max="57" width="11.28515625" style="60" bestFit="1" customWidth="1"/>
    <col min="58" max="58" width="8.85546875" style="60"/>
    <col min="59" max="59" width="9.85546875" style="60" bestFit="1" customWidth="1"/>
    <col min="60" max="63" width="8.85546875" style="60"/>
    <col min="64" max="64" width="10" style="60" bestFit="1" customWidth="1"/>
    <col min="65" max="68" width="8.85546875" style="60"/>
    <col min="69" max="69" width="9.5703125" style="60" bestFit="1" customWidth="1"/>
    <col min="70" max="70" width="11.28515625" style="60" bestFit="1" customWidth="1"/>
    <col min="71" max="71" width="12.28515625" style="60" bestFit="1" customWidth="1"/>
    <col min="72" max="72" width="8.7109375" style="60" bestFit="1" customWidth="1"/>
    <col min="73" max="75" width="8.85546875" style="60"/>
    <col min="76" max="76" width="11.28515625" style="60" bestFit="1" customWidth="1"/>
    <col min="77" max="79" width="8.85546875" style="60"/>
    <col min="80" max="80" width="9.42578125" style="60" bestFit="1" customWidth="1"/>
    <col min="81" max="16384" width="8.85546875" style="60"/>
  </cols>
  <sheetData>
    <row r="1" spans="1:88" ht="14.45" customHeight="1">
      <c r="A1" s="4048" t="s">
        <v>2466</v>
      </c>
      <c r="B1" s="4048"/>
      <c r="C1" s="4048"/>
      <c r="D1" s="74"/>
      <c r="E1" s="4049" t="s">
        <v>4534</v>
      </c>
      <c r="F1" s="4050" t="s">
        <v>4532</v>
      </c>
      <c r="G1" s="4051"/>
      <c r="H1" s="4051"/>
      <c r="I1" s="4051"/>
      <c r="J1" s="4051"/>
      <c r="K1" s="4051"/>
      <c r="L1" s="4051"/>
      <c r="M1" s="4051"/>
      <c r="N1" s="4052"/>
      <c r="O1" s="4056" t="s">
        <v>65</v>
      </c>
      <c r="P1" s="4057"/>
      <c r="Q1" s="4057"/>
      <c r="R1" s="4057"/>
      <c r="S1" s="4057"/>
      <c r="T1" s="4057"/>
      <c r="U1" s="4057"/>
      <c r="V1" s="4057"/>
      <c r="W1" s="4057"/>
      <c r="X1" s="4057"/>
      <c r="Y1" s="4057"/>
      <c r="Z1" s="4057"/>
      <c r="AA1" s="4057"/>
      <c r="AB1" s="4057"/>
      <c r="AC1" s="4057"/>
      <c r="AD1" s="4057"/>
      <c r="AE1" s="4057"/>
      <c r="AF1" s="4057"/>
      <c r="AG1" s="4057"/>
      <c r="AH1" s="4057"/>
      <c r="AI1" s="4058" t="s">
        <v>4219</v>
      </c>
      <c r="AJ1" s="4059"/>
      <c r="AK1" s="4059"/>
      <c r="AL1" s="4059"/>
      <c r="AM1" s="4059"/>
      <c r="AN1" s="4059"/>
      <c r="AO1" s="4060"/>
      <c r="AP1" s="4061" t="s">
        <v>80</v>
      </c>
      <c r="AQ1" s="4062"/>
      <c r="AR1" s="4062"/>
      <c r="AS1" s="4062"/>
      <c r="AT1" s="4062"/>
      <c r="AU1" s="4062"/>
      <c r="AV1" s="4062"/>
      <c r="AW1" s="4062"/>
      <c r="AX1" s="4062"/>
      <c r="AY1" s="4062"/>
      <c r="AZ1" s="4062"/>
      <c r="BA1" s="4063"/>
      <c r="BB1" s="4064" t="s">
        <v>4821</v>
      </c>
      <c r="BC1" s="4065" t="s">
        <v>4822</v>
      </c>
      <c r="BD1" s="4066" t="s">
        <v>4884</v>
      </c>
    </row>
    <row r="2" spans="1:88" s="61" customFormat="1" ht="30">
      <c r="A2" s="4053" t="str">
        <f>HYPERLINK("#Index!A4", "Index Pg")</f>
        <v>Index Pg</v>
      </c>
      <c r="B2" s="261"/>
      <c r="C2" s="92"/>
      <c r="D2" s="70"/>
      <c r="E2" s="4049"/>
      <c r="F2" s="262" t="s">
        <v>113</v>
      </c>
      <c r="G2" s="262" t="s">
        <v>126</v>
      </c>
      <c r="H2" s="262" t="s">
        <v>86</v>
      </c>
      <c r="I2" s="262" t="s">
        <v>4530</v>
      </c>
      <c r="J2" s="262" t="s">
        <v>91</v>
      </c>
      <c r="K2" s="266" t="s">
        <v>3933</v>
      </c>
      <c r="L2" s="188" t="s">
        <v>4531</v>
      </c>
      <c r="M2" s="188" t="s">
        <v>4535</v>
      </c>
      <c r="N2" s="188" t="s">
        <v>203</v>
      </c>
      <c r="O2" s="189" t="s">
        <v>4218</v>
      </c>
      <c r="P2" s="189" t="s">
        <v>3751</v>
      </c>
      <c r="Q2" s="189" t="s">
        <v>4543</v>
      </c>
      <c r="R2" s="189" t="s">
        <v>4540</v>
      </c>
      <c r="S2" s="189" t="s">
        <v>4541</v>
      </c>
      <c r="T2" s="189" t="s">
        <v>4542</v>
      </c>
      <c r="U2" s="189" t="s">
        <v>4544</v>
      </c>
      <c r="V2" s="189" t="s">
        <v>4528</v>
      </c>
      <c r="W2" s="189" t="s">
        <v>4545</v>
      </c>
      <c r="X2" s="189" t="s">
        <v>29</v>
      </c>
      <c r="Y2" s="189" t="s">
        <v>4546</v>
      </c>
      <c r="Z2" s="189" t="s">
        <v>4547</v>
      </c>
      <c r="AA2" s="189" t="s">
        <v>4537</v>
      </c>
      <c r="AB2" s="189" t="s">
        <v>737</v>
      </c>
      <c r="AC2" s="189" t="s">
        <v>4538</v>
      </c>
      <c r="AD2" s="189" t="s">
        <v>4539</v>
      </c>
      <c r="AE2" s="189" t="s">
        <v>2293</v>
      </c>
      <c r="AF2" s="189" t="s">
        <v>4548</v>
      </c>
      <c r="AG2" s="189" t="s">
        <v>3750</v>
      </c>
      <c r="AH2" s="189" t="s">
        <v>302</v>
      </c>
      <c r="AI2" s="263" t="s">
        <v>288</v>
      </c>
      <c r="AJ2" s="263" t="s">
        <v>109</v>
      </c>
      <c r="AK2" s="263" t="s">
        <v>141</v>
      </c>
      <c r="AL2" s="263" t="s">
        <v>4525</v>
      </c>
      <c r="AM2" s="263" t="s">
        <v>3223</v>
      </c>
      <c r="AN2" s="263" t="s">
        <v>3855</v>
      </c>
      <c r="AO2" s="263" t="s">
        <v>4405</v>
      </c>
      <c r="AP2" s="264" t="s">
        <v>81</v>
      </c>
      <c r="AQ2" s="264" t="s">
        <v>145</v>
      </c>
      <c r="AR2" s="264" t="s">
        <v>394</v>
      </c>
      <c r="AS2" s="264" t="s">
        <v>147</v>
      </c>
      <c r="AT2" s="264" t="s">
        <v>410</v>
      </c>
      <c r="AU2" s="264" t="s">
        <v>4459</v>
      </c>
      <c r="AV2" s="264" t="s">
        <v>3989</v>
      </c>
      <c r="AW2" s="264" t="s">
        <v>307</v>
      </c>
      <c r="AX2" s="264" t="s">
        <v>309</v>
      </c>
      <c r="AY2" s="264" t="s">
        <v>1028</v>
      </c>
      <c r="AZ2" s="264" t="s">
        <v>1014</v>
      </c>
      <c r="BA2" s="264" t="s">
        <v>4533</v>
      </c>
      <c r="BB2" s="4064"/>
      <c r="BC2" s="4065"/>
      <c r="BD2" s="4066"/>
    </row>
    <row r="3" spans="1:88" s="61" customFormat="1">
      <c r="A3" s="4054"/>
      <c r="B3" s="260" t="str">
        <f>HYPERLINK("#'Budget Summary I'!A1:AL1", "Budget Summary I")</f>
        <v>Budget Summary I</v>
      </c>
      <c r="C3" s="259" t="s">
        <v>4460</v>
      </c>
      <c r="D3" s="70"/>
      <c r="E3" s="317">
        <f>R7</f>
        <v>61.589999999999996</v>
      </c>
      <c r="F3" s="120"/>
      <c r="G3" s="120"/>
      <c r="H3" s="120"/>
      <c r="I3" s="120"/>
      <c r="J3" s="120"/>
      <c r="K3" s="131"/>
      <c r="L3" s="120"/>
      <c r="M3" s="120"/>
      <c r="N3" s="131"/>
      <c r="O3" s="131"/>
      <c r="P3" s="131"/>
      <c r="Q3" s="131"/>
      <c r="R3" s="131"/>
      <c r="S3" s="131"/>
      <c r="T3" s="131"/>
      <c r="U3" s="131"/>
      <c r="V3" s="131"/>
      <c r="W3" s="131"/>
      <c r="X3" s="131"/>
      <c r="Y3" s="131"/>
      <c r="Z3" s="131"/>
      <c r="AA3" s="131"/>
      <c r="AB3" s="131"/>
      <c r="AC3" s="131"/>
      <c r="AD3" s="131">
        <f>R14</f>
        <v>50.05</v>
      </c>
      <c r="AE3" s="131"/>
      <c r="AF3" s="131"/>
      <c r="AG3" s="131"/>
      <c r="AH3" s="607"/>
      <c r="AI3" s="131"/>
      <c r="AJ3" s="131"/>
      <c r="AK3" s="131"/>
      <c r="AL3" s="131"/>
      <c r="AM3" s="131"/>
      <c r="AN3" s="131"/>
      <c r="AO3" s="131"/>
      <c r="AP3" s="131"/>
      <c r="AQ3" s="131"/>
      <c r="AR3" s="131"/>
      <c r="AS3" s="131"/>
      <c r="AT3" s="131"/>
      <c r="AU3" s="131"/>
      <c r="AV3" s="131"/>
      <c r="AW3" s="131"/>
      <c r="AX3" s="131"/>
      <c r="AY3" s="131"/>
      <c r="AZ3" s="131"/>
      <c r="BA3" s="131"/>
      <c r="BB3" s="656">
        <f>R8</f>
        <v>0</v>
      </c>
      <c r="BC3" s="656">
        <f>R20</f>
        <v>5</v>
      </c>
      <c r="BD3" s="656">
        <f>R26</f>
        <v>6.54</v>
      </c>
    </row>
    <row r="4" spans="1:88" s="61" customFormat="1">
      <c r="A4" s="4055"/>
      <c r="B4" s="260" t="str">
        <f>HYPERLINK("#'Budget Summary II'!A3:B5", "Budget Summary II")</f>
        <v>Budget Summary II</v>
      </c>
      <c r="C4" s="259" t="s">
        <v>4461</v>
      </c>
      <c r="D4" s="70"/>
      <c r="E4" s="317">
        <f>O7</f>
        <v>81.449990000000014</v>
      </c>
      <c r="F4" s="120"/>
      <c r="G4" s="120"/>
      <c r="H4" s="120"/>
      <c r="I4" s="120"/>
      <c r="J4" s="120"/>
      <c r="K4" s="131"/>
      <c r="L4" s="120"/>
      <c r="M4" s="120"/>
      <c r="N4" s="131"/>
      <c r="O4" s="131"/>
      <c r="P4" s="131"/>
      <c r="Q4" s="131"/>
      <c r="R4" s="131"/>
      <c r="S4" s="131"/>
      <c r="T4" s="131"/>
      <c r="U4" s="131"/>
      <c r="V4" s="131"/>
      <c r="W4" s="131"/>
      <c r="X4" s="131"/>
      <c r="Y4" s="131"/>
      <c r="Z4" s="131"/>
      <c r="AA4" s="131"/>
      <c r="AB4" s="131"/>
      <c r="AC4" s="131"/>
      <c r="AD4" s="131">
        <f>O14</f>
        <v>50.049990000000008</v>
      </c>
      <c r="AE4" s="131"/>
      <c r="AF4" s="131"/>
      <c r="AG4" s="131"/>
      <c r="AH4" s="607"/>
      <c r="AI4" s="131"/>
      <c r="AJ4" s="131"/>
      <c r="AK4" s="131"/>
      <c r="AL4" s="131"/>
      <c r="AM4" s="131"/>
      <c r="AN4" s="131"/>
      <c r="AO4" s="131"/>
      <c r="AP4" s="131"/>
      <c r="AQ4" s="131"/>
      <c r="AR4" s="131"/>
      <c r="AS4" s="131"/>
      <c r="AT4" s="131"/>
      <c r="AU4" s="131"/>
      <c r="AV4" s="131"/>
      <c r="AW4" s="131"/>
      <c r="AX4" s="131"/>
      <c r="AY4" s="131"/>
      <c r="AZ4" s="131"/>
      <c r="BA4" s="131"/>
      <c r="BB4" s="656">
        <f>O8</f>
        <v>0</v>
      </c>
      <c r="BC4" s="656">
        <f>O20</f>
        <v>5</v>
      </c>
      <c r="BD4" s="656">
        <f>O26</f>
        <v>26.400000000000002</v>
      </c>
    </row>
    <row r="5" spans="1:88" s="62" customFormat="1" ht="14.25" customHeight="1">
      <c r="A5" s="4047" t="s">
        <v>48</v>
      </c>
      <c r="B5" s="4047" t="s">
        <v>49</v>
      </c>
      <c r="C5" s="4047" t="s">
        <v>50</v>
      </c>
      <c r="D5" s="4047" t="s">
        <v>51</v>
      </c>
      <c r="E5" s="4047" t="s">
        <v>52</v>
      </c>
      <c r="F5" s="4046" t="s">
        <v>4478</v>
      </c>
      <c r="G5" s="4046"/>
      <c r="H5" s="4046"/>
      <c r="I5" s="4046"/>
      <c r="J5" s="4046"/>
      <c r="K5" s="4046" t="s">
        <v>4484</v>
      </c>
      <c r="L5" s="4046"/>
      <c r="M5" s="4046"/>
      <c r="N5" s="4046"/>
      <c r="O5" s="4046"/>
      <c r="P5" s="4046"/>
      <c r="Q5" s="4047" t="s">
        <v>4514</v>
      </c>
      <c r="R5" s="4047"/>
    </row>
    <row r="6" spans="1:88" s="63" customFormat="1" ht="60">
      <c r="A6" s="4047"/>
      <c r="B6" s="4047"/>
      <c r="C6" s="4047"/>
      <c r="D6" s="4047"/>
      <c r="E6" s="4047"/>
      <c r="F6" s="44" t="s">
        <v>4479</v>
      </c>
      <c r="G6" s="44" t="s">
        <v>4482</v>
      </c>
      <c r="H6" s="44" t="s">
        <v>4480</v>
      </c>
      <c r="I6" s="44" t="s">
        <v>4483</v>
      </c>
      <c r="J6" s="45" t="s">
        <v>2448</v>
      </c>
      <c r="K6" s="46" t="s">
        <v>53</v>
      </c>
      <c r="L6" s="46" t="s">
        <v>54</v>
      </c>
      <c r="M6" s="113" t="s">
        <v>55</v>
      </c>
      <c r="N6" s="46" t="s">
        <v>56</v>
      </c>
      <c r="O6" s="113" t="s">
        <v>57</v>
      </c>
      <c r="P6" s="46" t="s">
        <v>5069</v>
      </c>
      <c r="Q6" s="47" t="s">
        <v>2450</v>
      </c>
      <c r="R6" s="118" t="s">
        <v>4515</v>
      </c>
      <c r="S6" s="63" t="s">
        <v>4538</v>
      </c>
      <c r="BB6" s="3153" t="s">
        <v>5973</v>
      </c>
      <c r="BC6" s="3153" t="s">
        <v>5432</v>
      </c>
      <c r="BD6" s="3153" t="s">
        <v>5433</v>
      </c>
      <c r="BE6" s="3153" t="s">
        <v>5434</v>
      </c>
      <c r="BF6" s="3153" t="s">
        <v>5435</v>
      </c>
      <c r="BG6" s="3153" t="s">
        <v>5436</v>
      </c>
      <c r="BH6" s="3153" t="s">
        <v>5437</v>
      </c>
      <c r="BI6" s="3153" t="s">
        <v>5959</v>
      </c>
      <c r="BJ6" s="3153" t="s">
        <v>5438</v>
      </c>
      <c r="BK6" s="3153" t="s">
        <v>5439</v>
      </c>
      <c r="BL6" s="3153" t="s">
        <v>5960</v>
      </c>
      <c r="BM6" s="3153" t="s">
        <v>5440</v>
      </c>
      <c r="BN6" s="3153" t="s">
        <v>5441</v>
      </c>
      <c r="BO6" s="3153" t="s">
        <v>5961</v>
      </c>
      <c r="BP6" s="3153" t="s">
        <v>5974</v>
      </c>
      <c r="BQ6" s="3153" t="s">
        <v>5975</v>
      </c>
      <c r="BR6" s="3153" t="s">
        <v>5976</v>
      </c>
      <c r="BS6" s="3153" t="s">
        <v>5977</v>
      </c>
      <c r="BT6" s="3153" t="s">
        <v>5978</v>
      </c>
      <c r="BU6" s="3153" t="s">
        <v>5979</v>
      </c>
      <c r="BV6" s="3153" t="s">
        <v>5962</v>
      </c>
      <c r="BW6" s="3153" t="s">
        <v>5963</v>
      </c>
      <c r="BX6" s="3153" t="s">
        <v>5964</v>
      </c>
      <c r="BY6" s="3153" t="s">
        <v>5965</v>
      </c>
      <c r="BZ6" s="3153" t="s">
        <v>5966</v>
      </c>
      <c r="CA6" s="3153" t="s">
        <v>5967</v>
      </c>
      <c r="CB6" s="3153" t="s">
        <v>5968</v>
      </c>
      <c r="CC6" s="3153" t="s">
        <v>5969</v>
      </c>
      <c r="CD6" s="3153" t="s">
        <v>5970</v>
      </c>
      <c r="CE6" s="3153" t="s">
        <v>5980</v>
      </c>
      <c r="CF6" s="3153" t="s">
        <v>5971</v>
      </c>
      <c r="CG6" s="3153" t="s">
        <v>5981</v>
      </c>
      <c r="CH6" s="3153" t="s">
        <v>5982</v>
      </c>
      <c r="CI6" s="3153" t="s">
        <v>5972</v>
      </c>
    </row>
    <row r="7" spans="1:88" s="64" customFormat="1">
      <c r="A7" s="49">
        <v>18</v>
      </c>
      <c r="B7" s="49" t="s">
        <v>2696</v>
      </c>
      <c r="C7" s="49" t="s">
        <v>2695</v>
      </c>
      <c r="D7" s="71"/>
      <c r="E7" s="50"/>
      <c r="F7" s="50"/>
      <c r="G7" s="50"/>
      <c r="H7" s="50"/>
      <c r="I7" s="50"/>
      <c r="J7" s="50"/>
      <c r="K7" s="50"/>
      <c r="L7" s="50"/>
      <c r="M7" s="117"/>
      <c r="N7" s="50"/>
      <c r="O7" s="806">
        <f>O8+O14+O20+O26</f>
        <v>81.449990000000014</v>
      </c>
      <c r="P7" s="50"/>
      <c r="Q7" s="50"/>
      <c r="R7" s="806">
        <f>R8+R14+R20+R26</f>
        <v>61.589999999999996</v>
      </c>
      <c r="S7" s="64">
        <v>0</v>
      </c>
      <c r="BB7" s="3241"/>
      <c r="BC7" s="3241"/>
      <c r="BD7" s="3241"/>
      <c r="BE7" s="3241"/>
      <c r="BF7" s="3241"/>
      <c r="BG7" s="3241"/>
      <c r="BH7" s="3241"/>
      <c r="BI7" s="3241"/>
      <c r="BJ7" s="3241"/>
      <c r="BK7" s="3241"/>
      <c r="BL7" s="3241"/>
      <c r="BM7" s="3241"/>
      <c r="BN7" s="3241"/>
      <c r="BO7" s="3241"/>
      <c r="BP7" s="3241"/>
      <c r="BQ7" s="3241"/>
      <c r="BR7" s="3241"/>
      <c r="BS7" s="3241"/>
      <c r="BT7" s="3241"/>
      <c r="BU7" s="3241"/>
      <c r="BV7" s="3241"/>
      <c r="BW7" s="3241"/>
      <c r="BX7" s="3241"/>
      <c r="BY7" s="3241"/>
      <c r="BZ7" s="3241"/>
      <c r="CA7" s="3241"/>
      <c r="CB7" s="3241"/>
      <c r="CC7" s="3241"/>
      <c r="CD7" s="3241"/>
      <c r="CE7" s="3241"/>
      <c r="CF7" s="3241"/>
      <c r="CG7" s="3241"/>
      <c r="CH7" s="3241"/>
      <c r="CI7" s="3241">
        <f>SUM(BB7:CH7)</f>
        <v>0</v>
      </c>
      <c r="CJ7" s="3240"/>
    </row>
    <row r="8" spans="1:88">
      <c r="A8" s="65">
        <v>18.100000000000001</v>
      </c>
      <c r="B8" s="66"/>
      <c r="C8" s="66" t="s">
        <v>4495</v>
      </c>
      <c r="D8" s="72"/>
      <c r="E8" s="66"/>
      <c r="F8" s="66"/>
      <c r="G8" s="66"/>
      <c r="H8" s="66"/>
      <c r="I8" s="66"/>
      <c r="J8" s="66"/>
      <c r="K8" s="66"/>
      <c r="L8" s="51"/>
      <c r="M8" s="216"/>
      <c r="N8" s="51"/>
      <c r="O8" s="814">
        <f>SUM(O9:O13)</f>
        <v>0</v>
      </c>
      <c r="P8" s="53"/>
      <c r="Q8" s="53"/>
      <c r="R8" s="814">
        <f>SUM(R9:R13)</f>
        <v>0</v>
      </c>
      <c r="BB8" s="3242"/>
      <c r="BC8" s="3242"/>
      <c r="BD8" s="3242"/>
      <c r="BE8" s="3242"/>
      <c r="BF8" s="3242"/>
      <c r="BG8" s="3242"/>
      <c r="BH8" s="3242"/>
      <c r="BI8" s="3242"/>
      <c r="BJ8" s="3242"/>
      <c r="BK8" s="3242"/>
      <c r="BL8" s="3242"/>
      <c r="BM8" s="3242"/>
      <c r="BN8" s="3242"/>
      <c r="BO8" s="3242"/>
      <c r="BP8" s="3242"/>
      <c r="BQ8" s="3242"/>
      <c r="BR8" s="3242"/>
      <c r="BS8" s="3242"/>
      <c r="BT8" s="3242"/>
      <c r="BU8" s="3242"/>
      <c r="BV8" s="3242"/>
      <c r="BW8" s="3242"/>
      <c r="BX8" s="3242"/>
      <c r="BY8" s="3242"/>
      <c r="BZ8" s="3242"/>
      <c r="CA8" s="3242"/>
      <c r="CB8" s="3242"/>
      <c r="CC8" s="3242"/>
      <c r="CD8" s="3242"/>
      <c r="CE8" s="3242"/>
      <c r="CF8" s="3242"/>
      <c r="CG8" s="3242"/>
      <c r="CH8" s="3242"/>
      <c r="CI8" s="3241">
        <f t="shared" ref="CI8:CI33" si="0">SUM(BB8:CH8)</f>
        <v>0</v>
      </c>
      <c r="CJ8" s="3240"/>
    </row>
    <row r="9" spans="1:88">
      <c r="A9" s="67" t="s">
        <v>4490</v>
      </c>
      <c r="B9" s="68"/>
      <c r="C9" s="69"/>
      <c r="D9" s="73" t="s">
        <v>85</v>
      </c>
      <c r="E9" s="68"/>
      <c r="F9" s="68"/>
      <c r="G9" s="68"/>
      <c r="H9" s="68"/>
      <c r="I9" s="68"/>
      <c r="J9" s="68"/>
      <c r="K9" s="68"/>
      <c r="L9" s="277"/>
      <c r="M9" s="297">
        <f t="shared" ref="M9:M25" si="1">L9/100000</f>
        <v>0</v>
      </c>
      <c r="N9" s="277"/>
      <c r="O9" s="805">
        <f>M9*N9</f>
        <v>0</v>
      </c>
      <c r="P9" s="54"/>
      <c r="Q9" s="55" t="str">
        <f>'Ab1. RMNCH+A'!Q477</f>
        <v>--</v>
      </c>
      <c r="R9" s="1792">
        <f>'Ab1. RMNCH+A'!R477</f>
        <v>0</v>
      </c>
      <c r="BB9" s="3242"/>
      <c r="BC9" s="3242"/>
      <c r="BD9" s="3242"/>
      <c r="BE9" s="3242"/>
      <c r="BF9" s="3242"/>
      <c r="BG9" s="3242"/>
      <c r="BH9" s="3242"/>
      <c r="BI9" s="3242"/>
      <c r="BJ9" s="3242"/>
      <c r="BK9" s="3242"/>
      <c r="BL9" s="3242"/>
      <c r="BM9" s="3242"/>
      <c r="BN9" s="3242"/>
      <c r="BO9" s="3242"/>
      <c r="BP9" s="3242"/>
      <c r="BQ9" s="3242"/>
      <c r="BR9" s="3242"/>
      <c r="BS9" s="3242"/>
      <c r="BT9" s="3242"/>
      <c r="BU9" s="3242"/>
      <c r="BV9" s="3242"/>
      <c r="BW9" s="3242"/>
      <c r="BX9" s="3242"/>
      <c r="BY9" s="3242"/>
      <c r="BZ9" s="3242"/>
      <c r="CA9" s="3242"/>
      <c r="CB9" s="3242"/>
      <c r="CC9" s="3242"/>
      <c r="CD9" s="3242"/>
      <c r="CE9" s="3242"/>
      <c r="CF9" s="3242"/>
      <c r="CG9" s="3242"/>
      <c r="CH9" s="3242"/>
      <c r="CI9" s="3241">
        <f t="shared" si="0"/>
        <v>0</v>
      </c>
      <c r="CJ9" s="3240"/>
    </row>
    <row r="10" spans="1:88" s="61" customFormat="1" ht="15.75">
      <c r="A10" s="2428" t="s">
        <v>4491</v>
      </c>
      <c r="B10" s="1992"/>
      <c r="C10" s="1992"/>
      <c r="D10" s="2499" t="s">
        <v>85</v>
      </c>
      <c r="E10" s="1992"/>
      <c r="F10" s="2440">
        <v>131.44</v>
      </c>
      <c r="G10" s="1992"/>
      <c r="H10" s="1992"/>
      <c r="I10" s="1992"/>
      <c r="J10" s="1992"/>
      <c r="K10" s="1992"/>
      <c r="L10" s="2440"/>
      <c r="M10" s="298">
        <f t="shared" si="1"/>
        <v>0</v>
      </c>
      <c r="N10" s="283"/>
      <c r="O10" s="2430">
        <f>M10*N10</f>
        <v>0</v>
      </c>
      <c r="P10" s="2500"/>
      <c r="Q10" s="2431" t="str">
        <f>'Ab1. RMNCH+A'!Q478</f>
        <v>--</v>
      </c>
      <c r="R10" s="2501">
        <f>'Ab1. RMNCH+A'!R478</f>
        <v>0</v>
      </c>
      <c r="BB10" s="656"/>
      <c r="BC10" s="656"/>
      <c r="BD10" s="656"/>
      <c r="BE10" s="656"/>
      <c r="BF10" s="656"/>
      <c r="BG10" s="656"/>
      <c r="BH10" s="656"/>
      <c r="BI10" s="656"/>
      <c r="BJ10" s="656"/>
      <c r="BK10" s="656"/>
      <c r="BL10" s="656"/>
      <c r="BM10" s="656"/>
      <c r="BN10" s="656"/>
      <c r="BO10" s="656"/>
      <c r="BP10" s="656"/>
      <c r="BQ10" s="656"/>
      <c r="BR10" s="656"/>
      <c r="BS10" s="656"/>
      <c r="BT10" s="656"/>
      <c r="BU10" s="656"/>
      <c r="BV10" s="656"/>
      <c r="BW10" s="656"/>
      <c r="BX10" s="656"/>
      <c r="BY10" s="656"/>
      <c r="BZ10" s="656"/>
      <c r="CA10" s="656"/>
      <c r="CB10" s="656"/>
      <c r="CC10" s="656"/>
      <c r="CD10" s="656"/>
      <c r="CE10" s="656"/>
      <c r="CF10" s="656"/>
      <c r="CG10" s="656"/>
      <c r="CH10" s="656"/>
      <c r="CI10" s="3241">
        <f t="shared" si="0"/>
        <v>0</v>
      </c>
      <c r="CJ10" s="3240"/>
    </row>
    <row r="11" spans="1:88">
      <c r="A11" s="67" t="s">
        <v>4492</v>
      </c>
      <c r="B11" s="68"/>
      <c r="C11" s="68"/>
      <c r="D11" s="73" t="s">
        <v>85</v>
      </c>
      <c r="E11" s="68"/>
      <c r="F11" s="68"/>
      <c r="G11" s="68"/>
      <c r="H11" s="68"/>
      <c r="I11" s="68"/>
      <c r="J11" s="68"/>
      <c r="K11" s="68"/>
      <c r="L11" s="277"/>
      <c r="M11" s="297">
        <f t="shared" si="1"/>
        <v>0</v>
      </c>
      <c r="N11" s="277"/>
      <c r="O11" s="805">
        <f>M11*N11</f>
        <v>0</v>
      </c>
      <c r="P11" s="54"/>
      <c r="Q11" s="55" t="str">
        <f>'Ab1. RMNCH+A'!Q479</f>
        <v>--</v>
      </c>
      <c r="R11" s="1792">
        <f>'Ab1. RMNCH+A'!R479</f>
        <v>0</v>
      </c>
      <c r="BB11" s="3242"/>
      <c r="BC11" s="3242"/>
      <c r="BD11" s="3242"/>
      <c r="BE11" s="3242"/>
      <c r="BF11" s="3242"/>
      <c r="BG11" s="3242"/>
      <c r="BH11" s="3242"/>
      <c r="BI11" s="3242"/>
      <c r="BJ11" s="3242"/>
      <c r="BK11" s="3242"/>
      <c r="BL11" s="3242"/>
      <c r="BM11" s="3242"/>
      <c r="BN11" s="3242"/>
      <c r="BO11" s="3242"/>
      <c r="BP11" s="3242"/>
      <c r="BQ11" s="3242"/>
      <c r="BR11" s="3242"/>
      <c r="BS11" s="3242"/>
      <c r="BT11" s="3242"/>
      <c r="BU11" s="3242"/>
      <c r="BV11" s="3242"/>
      <c r="BW11" s="3242"/>
      <c r="BX11" s="3242"/>
      <c r="BY11" s="3242"/>
      <c r="BZ11" s="3242"/>
      <c r="CA11" s="3242"/>
      <c r="CB11" s="3242"/>
      <c r="CC11" s="3242"/>
      <c r="CD11" s="3242"/>
      <c r="CE11" s="3242"/>
      <c r="CF11" s="3242"/>
      <c r="CG11" s="3242"/>
      <c r="CH11" s="3242"/>
      <c r="CI11" s="3241">
        <f t="shared" si="0"/>
        <v>0</v>
      </c>
      <c r="CJ11" s="3240"/>
    </row>
    <row r="12" spans="1:88">
      <c r="A12" s="67" t="s">
        <v>4493</v>
      </c>
      <c r="B12" s="68"/>
      <c r="C12" s="69"/>
      <c r="D12" s="73" t="s">
        <v>85</v>
      </c>
      <c r="E12" s="68"/>
      <c r="F12" s="68"/>
      <c r="G12" s="68"/>
      <c r="H12" s="68"/>
      <c r="I12" s="68"/>
      <c r="J12" s="68"/>
      <c r="K12" s="69"/>
      <c r="L12" s="277"/>
      <c r="M12" s="297">
        <f t="shared" si="1"/>
        <v>0</v>
      </c>
      <c r="N12" s="277"/>
      <c r="O12" s="805">
        <f>M12*N12</f>
        <v>0</v>
      </c>
      <c r="P12" s="54"/>
      <c r="Q12" s="55" t="str">
        <f>'Ab1. RMNCH+A'!Q480</f>
        <v>--</v>
      </c>
      <c r="R12" s="1792">
        <f>'Ab1. RMNCH+A'!R480</f>
        <v>0</v>
      </c>
      <c r="BB12" s="3242"/>
      <c r="BC12" s="3242"/>
      <c r="BD12" s="3242"/>
      <c r="BE12" s="3242"/>
      <c r="BF12" s="3242"/>
      <c r="BG12" s="3242"/>
      <c r="BH12" s="3242"/>
      <c r="BI12" s="3242"/>
      <c r="BJ12" s="3242"/>
      <c r="BK12" s="3242"/>
      <c r="BL12" s="3242"/>
      <c r="BM12" s="3242"/>
      <c r="BN12" s="3242"/>
      <c r="BO12" s="3242"/>
      <c r="BP12" s="3242"/>
      <c r="BQ12" s="3242"/>
      <c r="BR12" s="3242"/>
      <c r="BS12" s="3242"/>
      <c r="BT12" s="3242"/>
      <c r="BU12" s="3242"/>
      <c r="BV12" s="3242"/>
      <c r="BW12" s="3242"/>
      <c r="BX12" s="3242"/>
      <c r="BY12" s="3242"/>
      <c r="BZ12" s="3242"/>
      <c r="CA12" s="3242"/>
      <c r="CB12" s="3242"/>
      <c r="CC12" s="3242"/>
      <c r="CD12" s="3242"/>
      <c r="CE12" s="3242"/>
      <c r="CF12" s="3242"/>
      <c r="CG12" s="3242"/>
      <c r="CH12" s="3242"/>
      <c r="CI12" s="3241">
        <f t="shared" si="0"/>
        <v>0</v>
      </c>
      <c r="CJ12" s="3240"/>
    </row>
    <row r="13" spans="1:88">
      <c r="A13" s="67" t="s">
        <v>4494</v>
      </c>
      <c r="B13" s="68"/>
      <c r="C13" s="69"/>
      <c r="D13" s="73" t="s">
        <v>85</v>
      </c>
      <c r="E13" s="68"/>
      <c r="F13" s="68"/>
      <c r="G13" s="68"/>
      <c r="H13" s="68"/>
      <c r="I13" s="68"/>
      <c r="J13" s="68"/>
      <c r="K13" s="69"/>
      <c r="L13" s="277"/>
      <c r="M13" s="297">
        <f t="shared" si="1"/>
        <v>0</v>
      </c>
      <c r="N13" s="277"/>
      <c r="O13" s="805">
        <f>M13*N13</f>
        <v>0</v>
      </c>
      <c r="P13" s="54"/>
      <c r="Q13" s="55" t="str">
        <f>'Ab1. RMNCH+A'!Q481</f>
        <v>--</v>
      </c>
      <c r="R13" s="1792">
        <f>'Ab1. RMNCH+A'!R481</f>
        <v>0</v>
      </c>
      <c r="BB13" s="3242"/>
      <c r="BC13" s="3242"/>
      <c r="BD13" s="3242"/>
      <c r="BE13" s="3242"/>
      <c r="BF13" s="3242"/>
      <c r="BG13" s="3242"/>
      <c r="BH13" s="3242"/>
      <c r="BI13" s="3242"/>
      <c r="BJ13" s="3242"/>
      <c r="BK13" s="3242"/>
      <c r="BL13" s="3242"/>
      <c r="BM13" s="3242"/>
      <c r="BN13" s="3242"/>
      <c r="BO13" s="3242"/>
      <c r="BP13" s="3242"/>
      <c r="BQ13" s="3242"/>
      <c r="BR13" s="3242"/>
      <c r="BS13" s="3242"/>
      <c r="BT13" s="3242"/>
      <c r="BU13" s="3242"/>
      <c r="BV13" s="3242"/>
      <c r="BW13" s="3242"/>
      <c r="BX13" s="3242"/>
      <c r="BY13" s="3242"/>
      <c r="BZ13" s="3242"/>
      <c r="CA13" s="3242"/>
      <c r="CB13" s="3242"/>
      <c r="CC13" s="3242"/>
      <c r="CD13" s="3242"/>
      <c r="CE13" s="3242"/>
      <c r="CF13" s="3242"/>
      <c r="CG13" s="3242"/>
      <c r="CH13" s="3242"/>
      <c r="CI13" s="3241">
        <f t="shared" si="0"/>
        <v>0</v>
      </c>
      <c r="CJ13" s="3240"/>
    </row>
    <row r="14" spans="1:88">
      <c r="A14" s="65">
        <v>18.2</v>
      </c>
      <c r="B14" s="66"/>
      <c r="C14" s="66" t="s">
        <v>4496</v>
      </c>
      <c r="D14" s="72"/>
      <c r="E14" s="66"/>
      <c r="F14" s="66"/>
      <c r="G14" s="66"/>
      <c r="H14" s="66"/>
      <c r="I14" s="66"/>
      <c r="J14" s="66"/>
      <c r="K14" s="66"/>
      <c r="L14" s="51"/>
      <c r="M14" s="216"/>
      <c r="N14" s="51"/>
      <c r="O14" s="814">
        <f>SUM(O15:O19)</f>
        <v>50.049990000000008</v>
      </c>
      <c r="P14" s="53"/>
      <c r="Q14" s="53"/>
      <c r="R14" s="814">
        <f>SUM(R15:R19)</f>
        <v>50.05</v>
      </c>
      <c r="BB14" s="3242"/>
      <c r="BC14" s="3242"/>
      <c r="BD14" s="3242"/>
      <c r="BE14" s="3242"/>
      <c r="BF14" s="3242"/>
      <c r="BG14" s="3242"/>
      <c r="BH14" s="3242"/>
      <c r="BI14" s="3242"/>
      <c r="BJ14" s="3242"/>
      <c r="BK14" s="3242"/>
      <c r="BL14" s="3242"/>
      <c r="BM14" s="3242"/>
      <c r="BN14" s="3242"/>
      <c r="BO14" s="3242"/>
      <c r="BP14" s="3242"/>
      <c r="BQ14" s="3242"/>
      <c r="BR14" s="3242"/>
      <c r="BS14" s="3242"/>
      <c r="BT14" s="3242"/>
      <c r="BU14" s="3242"/>
      <c r="BV14" s="3242"/>
      <c r="BW14" s="3242"/>
      <c r="BX14" s="3242"/>
      <c r="BY14" s="3242"/>
      <c r="BZ14" s="3242"/>
      <c r="CA14" s="3242"/>
      <c r="CB14" s="3242"/>
      <c r="CC14" s="3242"/>
      <c r="CD14" s="3242"/>
      <c r="CE14" s="3242"/>
      <c r="CF14" s="3242"/>
      <c r="CG14" s="3242"/>
      <c r="CH14" s="3242"/>
      <c r="CI14" s="3241">
        <f t="shared" si="0"/>
        <v>0</v>
      </c>
      <c r="CJ14" s="3240"/>
    </row>
    <row r="15" spans="1:88" s="61" customFormat="1" ht="150">
      <c r="A15" s="2428" t="s">
        <v>4497</v>
      </c>
      <c r="B15" s="1992"/>
      <c r="C15" s="353" t="s">
        <v>5486</v>
      </c>
      <c r="D15" s="2654" t="s">
        <v>65</v>
      </c>
      <c r="E15" s="1992"/>
      <c r="F15" s="1992"/>
      <c r="G15" s="1992"/>
      <c r="H15" s="1992"/>
      <c r="I15" s="1992"/>
      <c r="J15" s="1992"/>
      <c r="K15" s="353">
        <v>1</v>
      </c>
      <c r="L15" s="283">
        <v>1668333</v>
      </c>
      <c r="M15" s="298">
        <f t="shared" si="1"/>
        <v>16.683330000000002</v>
      </c>
      <c r="N15" s="283">
        <v>3</v>
      </c>
      <c r="O15" s="2430">
        <f>M15*N15</f>
        <v>50.049990000000008</v>
      </c>
      <c r="P15" s="108" t="s">
        <v>5487</v>
      </c>
      <c r="Q15" s="108" t="s">
        <v>5879</v>
      </c>
      <c r="R15" s="2343">
        <v>50.05</v>
      </c>
      <c r="BB15" s="656">
        <v>50.05</v>
      </c>
      <c r="BC15" s="656"/>
      <c r="BD15" s="656"/>
      <c r="BE15" s="656"/>
      <c r="BF15" s="656"/>
      <c r="BG15" s="656"/>
      <c r="BH15" s="656"/>
      <c r="BI15" s="656"/>
      <c r="BJ15" s="656"/>
      <c r="BK15" s="656"/>
      <c r="BL15" s="656"/>
      <c r="BM15" s="656"/>
      <c r="BN15" s="656"/>
      <c r="BO15" s="656"/>
      <c r="BP15" s="656"/>
      <c r="BQ15" s="656"/>
      <c r="BR15" s="656"/>
      <c r="BS15" s="656"/>
      <c r="BT15" s="656"/>
      <c r="BU15" s="656"/>
      <c r="BV15" s="656"/>
      <c r="BW15" s="656"/>
      <c r="BX15" s="656"/>
      <c r="BY15" s="656"/>
      <c r="BZ15" s="656"/>
      <c r="CA15" s="656"/>
      <c r="CB15" s="656"/>
      <c r="CC15" s="656"/>
      <c r="CD15" s="656"/>
      <c r="CE15" s="656"/>
      <c r="CF15" s="656"/>
      <c r="CG15" s="656"/>
      <c r="CH15" s="656"/>
      <c r="CI15" s="3241">
        <f t="shared" si="0"/>
        <v>50.05</v>
      </c>
      <c r="CJ15" s="3240"/>
    </row>
    <row r="16" spans="1:88">
      <c r="A16" s="67" t="s">
        <v>4498</v>
      </c>
      <c r="B16" s="68"/>
      <c r="C16" s="69"/>
      <c r="D16" s="56" t="s">
        <v>65</v>
      </c>
      <c r="E16" s="68"/>
      <c r="F16" s="68"/>
      <c r="G16" s="68"/>
      <c r="H16" s="68"/>
      <c r="I16" s="68"/>
      <c r="J16" s="68"/>
      <c r="K16" s="69"/>
      <c r="L16" s="277"/>
      <c r="M16" s="297">
        <f t="shared" si="1"/>
        <v>0</v>
      </c>
      <c r="N16" s="277"/>
      <c r="O16" s="805">
        <f>M16*N16</f>
        <v>0</v>
      </c>
      <c r="P16" s="54"/>
      <c r="Q16" s="55"/>
      <c r="R16" s="815"/>
      <c r="BB16" s="3242"/>
      <c r="BC16" s="3242"/>
      <c r="BD16" s="3242"/>
      <c r="BE16" s="3242"/>
      <c r="BF16" s="3242"/>
      <c r="BG16" s="3242"/>
      <c r="BH16" s="3242"/>
      <c r="BI16" s="3242"/>
      <c r="BJ16" s="3242"/>
      <c r="BK16" s="3242"/>
      <c r="BL16" s="3242"/>
      <c r="BM16" s="3242"/>
      <c r="BN16" s="3242"/>
      <c r="BO16" s="3242"/>
      <c r="BP16" s="3242"/>
      <c r="BQ16" s="3242"/>
      <c r="BR16" s="3242"/>
      <c r="BS16" s="3242"/>
      <c r="BT16" s="3242"/>
      <c r="BU16" s="3242"/>
      <c r="BV16" s="3242"/>
      <c r="BW16" s="3242"/>
      <c r="BX16" s="3242"/>
      <c r="BY16" s="3242"/>
      <c r="BZ16" s="3242"/>
      <c r="CA16" s="3242"/>
      <c r="CB16" s="3242"/>
      <c r="CC16" s="3242"/>
      <c r="CD16" s="3242"/>
      <c r="CE16" s="3242"/>
      <c r="CF16" s="3242"/>
      <c r="CG16" s="3242"/>
      <c r="CH16" s="3242"/>
      <c r="CI16" s="3241">
        <f t="shared" si="0"/>
        <v>0</v>
      </c>
      <c r="CJ16" s="3240"/>
    </row>
    <row r="17" spans="1:88">
      <c r="A17" s="67" t="s">
        <v>4499</v>
      </c>
      <c r="B17" s="68"/>
      <c r="C17" s="69"/>
      <c r="D17" s="56" t="s">
        <v>65</v>
      </c>
      <c r="E17" s="68"/>
      <c r="F17" s="68"/>
      <c r="G17" s="68"/>
      <c r="H17" s="68"/>
      <c r="I17" s="68"/>
      <c r="J17" s="68"/>
      <c r="K17" s="69"/>
      <c r="L17" s="277"/>
      <c r="M17" s="297">
        <f t="shared" si="1"/>
        <v>0</v>
      </c>
      <c r="N17" s="277"/>
      <c r="O17" s="805">
        <f>M17*N17</f>
        <v>0</v>
      </c>
      <c r="P17" s="54"/>
      <c r="Q17" s="55"/>
      <c r="R17" s="815"/>
      <c r="BB17" s="3242"/>
      <c r="BC17" s="3242"/>
      <c r="BD17" s="3242"/>
      <c r="BE17" s="3242"/>
      <c r="BF17" s="3242"/>
      <c r="BG17" s="3242"/>
      <c r="BH17" s="3242"/>
      <c r="BI17" s="3242"/>
      <c r="BJ17" s="3242"/>
      <c r="BK17" s="3242"/>
      <c r="BL17" s="3242"/>
      <c r="BM17" s="3242"/>
      <c r="BN17" s="3242"/>
      <c r="BO17" s="3242"/>
      <c r="BP17" s="3242"/>
      <c r="BQ17" s="3242"/>
      <c r="BR17" s="3242"/>
      <c r="BS17" s="3242"/>
      <c r="BT17" s="3242"/>
      <c r="BU17" s="3242"/>
      <c r="BV17" s="3242"/>
      <c r="BW17" s="3242"/>
      <c r="BX17" s="3242"/>
      <c r="BY17" s="3242"/>
      <c r="BZ17" s="3242"/>
      <c r="CA17" s="3242"/>
      <c r="CB17" s="3242"/>
      <c r="CC17" s="3242"/>
      <c r="CD17" s="3242"/>
      <c r="CE17" s="3242"/>
      <c r="CF17" s="3242"/>
      <c r="CG17" s="3242"/>
      <c r="CH17" s="3242"/>
      <c r="CI17" s="3241">
        <f t="shared" si="0"/>
        <v>0</v>
      </c>
      <c r="CJ17" s="3240"/>
    </row>
    <row r="18" spans="1:88">
      <c r="A18" s="67" t="s">
        <v>4500</v>
      </c>
      <c r="B18" s="68"/>
      <c r="C18" s="69"/>
      <c r="D18" s="56" t="s">
        <v>65</v>
      </c>
      <c r="E18" s="68"/>
      <c r="F18" s="68"/>
      <c r="G18" s="68"/>
      <c r="H18" s="68"/>
      <c r="I18" s="68"/>
      <c r="J18" s="68"/>
      <c r="K18" s="69"/>
      <c r="L18" s="277"/>
      <c r="M18" s="297">
        <f t="shared" si="1"/>
        <v>0</v>
      </c>
      <c r="N18" s="277"/>
      <c r="O18" s="805">
        <f>M18*N18</f>
        <v>0</v>
      </c>
      <c r="P18" s="54"/>
      <c r="Q18" s="55"/>
      <c r="R18" s="815"/>
      <c r="BB18" s="3242"/>
      <c r="BC18" s="3242"/>
      <c r="BD18" s="3242"/>
      <c r="BE18" s="3242"/>
      <c r="BF18" s="3242"/>
      <c r="BG18" s="3242"/>
      <c r="BH18" s="3242"/>
      <c r="BI18" s="3242"/>
      <c r="BJ18" s="3242"/>
      <c r="BK18" s="3242"/>
      <c r="BL18" s="3242"/>
      <c r="BM18" s="3242"/>
      <c r="BN18" s="3242"/>
      <c r="BO18" s="3242"/>
      <c r="BP18" s="3242"/>
      <c r="BQ18" s="3242"/>
      <c r="BR18" s="3242"/>
      <c r="BS18" s="3242"/>
      <c r="BT18" s="3242"/>
      <c r="BU18" s="3242"/>
      <c r="BV18" s="3242"/>
      <c r="BW18" s="3242"/>
      <c r="BX18" s="3242"/>
      <c r="BY18" s="3242"/>
      <c r="BZ18" s="3242"/>
      <c r="CA18" s="3242"/>
      <c r="CB18" s="3242"/>
      <c r="CC18" s="3242"/>
      <c r="CD18" s="3242"/>
      <c r="CE18" s="3242"/>
      <c r="CF18" s="3242"/>
      <c r="CG18" s="3242"/>
      <c r="CH18" s="3242"/>
      <c r="CI18" s="3241">
        <f t="shared" si="0"/>
        <v>0</v>
      </c>
      <c r="CJ18" s="3240"/>
    </row>
    <row r="19" spans="1:88">
      <c r="A19" s="67" t="s">
        <v>4501</v>
      </c>
      <c r="B19" s="68"/>
      <c r="C19" s="69"/>
      <c r="D19" s="56" t="s">
        <v>65</v>
      </c>
      <c r="E19" s="68"/>
      <c r="F19" s="68"/>
      <c r="G19" s="68"/>
      <c r="H19" s="68"/>
      <c r="I19" s="68"/>
      <c r="J19" s="68"/>
      <c r="K19" s="69"/>
      <c r="L19" s="277"/>
      <c r="M19" s="297">
        <f t="shared" si="1"/>
        <v>0</v>
      </c>
      <c r="N19" s="277"/>
      <c r="O19" s="805">
        <f>M19*N19</f>
        <v>0</v>
      </c>
      <c r="P19" s="54"/>
      <c r="Q19" s="55"/>
      <c r="R19" s="815"/>
      <c r="BB19" s="3242"/>
      <c r="BC19" s="3242"/>
      <c r="BD19" s="3242"/>
      <c r="BE19" s="3242"/>
      <c r="BF19" s="3242"/>
      <c r="BG19" s="3242"/>
      <c r="BH19" s="3242"/>
      <c r="BI19" s="3242"/>
      <c r="BJ19" s="3242"/>
      <c r="BK19" s="3242"/>
      <c r="BL19" s="3242"/>
      <c r="BM19" s="3242"/>
      <c r="BN19" s="3242"/>
      <c r="BO19" s="3242"/>
      <c r="BP19" s="3242"/>
      <c r="BQ19" s="3242"/>
      <c r="BR19" s="3242"/>
      <c r="BS19" s="3242"/>
      <c r="BT19" s="3242"/>
      <c r="BU19" s="3242"/>
      <c r="BV19" s="3242"/>
      <c r="BW19" s="3242"/>
      <c r="BX19" s="3242"/>
      <c r="BY19" s="3242"/>
      <c r="BZ19" s="3242"/>
      <c r="CA19" s="3242"/>
      <c r="CB19" s="3242"/>
      <c r="CC19" s="3242"/>
      <c r="CD19" s="3242"/>
      <c r="CE19" s="3242"/>
      <c r="CF19" s="3242"/>
      <c r="CG19" s="3242"/>
      <c r="CH19" s="3242"/>
      <c r="CI19" s="3241">
        <f t="shared" si="0"/>
        <v>0</v>
      </c>
      <c r="CJ19" s="3240"/>
    </row>
    <row r="20" spans="1:88">
      <c r="A20" s="65">
        <v>18.3</v>
      </c>
      <c r="B20" s="66"/>
      <c r="C20" s="66" t="s">
        <v>4502</v>
      </c>
      <c r="D20" s="72"/>
      <c r="E20" s="66"/>
      <c r="F20" s="66"/>
      <c r="G20" s="66"/>
      <c r="H20" s="66"/>
      <c r="I20" s="66"/>
      <c r="J20" s="66"/>
      <c r="K20" s="66"/>
      <c r="L20" s="51"/>
      <c r="M20" s="216"/>
      <c r="N20" s="51"/>
      <c r="O20" s="814">
        <f>SUM(O21:O25)</f>
        <v>5</v>
      </c>
      <c r="P20" s="53"/>
      <c r="Q20" s="53"/>
      <c r="R20" s="814">
        <f>SUM(R21:R25)</f>
        <v>5</v>
      </c>
      <c r="BB20" s="3242"/>
      <c r="BC20" s="3242"/>
      <c r="BD20" s="3242"/>
      <c r="BE20" s="3242"/>
      <c r="BF20" s="3242"/>
      <c r="BG20" s="3242"/>
      <c r="BH20" s="3242"/>
      <c r="BI20" s="3242"/>
      <c r="BJ20" s="3242"/>
      <c r="BK20" s="3242"/>
      <c r="BL20" s="3242"/>
      <c r="BM20" s="3242"/>
      <c r="BN20" s="3242"/>
      <c r="BO20" s="3242"/>
      <c r="BP20" s="3242"/>
      <c r="BQ20" s="3242"/>
      <c r="BR20" s="3242"/>
      <c r="BS20" s="3242"/>
      <c r="BT20" s="3242"/>
      <c r="BU20" s="3242"/>
      <c r="BV20" s="3242"/>
      <c r="BW20" s="3242"/>
      <c r="BX20" s="3242"/>
      <c r="BY20" s="3242"/>
      <c r="BZ20" s="3242"/>
      <c r="CA20" s="3242"/>
      <c r="CB20" s="3242"/>
      <c r="CC20" s="3242"/>
      <c r="CD20" s="3242"/>
      <c r="CE20" s="3242"/>
      <c r="CF20" s="3242"/>
      <c r="CG20" s="3242"/>
      <c r="CH20" s="3242"/>
      <c r="CI20" s="3241">
        <f t="shared" si="0"/>
        <v>0</v>
      </c>
      <c r="CJ20" s="3240"/>
    </row>
    <row r="21" spans="1:88">
      <c r="A21" s="67" t="s">
        <v>4503</v>
      </c>
      <c r="B21" s="68"/>
      <c r="C21" s="68"/>
      <c r="D21" s="57" t="s">
        <v>4219</v>
      </c>
      <c r="E21" s="68"/>
      <c r="F21" s="68"/>
      <c r="G21" s="68"/>
      <c r="H21" s="68"/>
      <c r="I21" s="68"/>
      <c r="J21" s="68"/>
      <c r="K21" s="68"/>
      <c r="L21" s="277"/>
      <c r="M21" s="297">
        <f t="shared" si="1"/>
        <v>0</v>
      </c>
      <c r="N21" s="277"/>
      <c r="O21" s="805">
        <f>M21*N21</f>
        <v>0</v>
      </c>
      <c r="P21" s="55"/>
      <c r="Q21" s="55"/>
      <c r="R21" s="815"/>
      <c r="BB21" s="3242"/>
      <c r="BC21" s="3242"/>
      <c r="BD21" s="3242"/>
      <c r="BE21" s="3242"/>
      <c r="BF21" s="3242"/>
      <c r="BG21" s="3242"/>
      <c r="BH21" s="3242"/>
      <c r="BI21" s="3242"/>
      <c r="BJ21" s="3242"/>
      <c r="BK21" s="3242"/>
      <c r="BL21" s="3242"/>
      <c r="BM21" s="3242"/>
      <c r="BN21" s="3242"/>
      <c r="BO21" s="3242"/>
      <c r="BP21" s="3242"/>
      <c r="BQ21" s="3242"/>
      <c r="BR21" s="3242"/>
      <c r="BS21" s="3242"/>
      <c r="BT21" s="3242"/>
      <c r="BU21" s="3242"/>
      <c r="BV21" s="3242"/>
      <c r="BW21" s="3242"/>
      <c r="BX21" s="3242"/>
      <c r="BY21" s="3242"/>
      <c r="BZ21" s="3242"/>
      <c r="CA21" s="3242"/>
      <c r="CB21" s="3242"/>
      <c r="CC21" s="3242"/>
      <c r="CD21" s="3242"/>
      <c r="CE21" s="3242"/>
      <c r="CF21" s="3242"/>
      <c r="CG21" s="3242"/>
      <c r="CH21" s="3242"/>
      <c r="CI21" s="3241">
        <f t="shared" si="0"/>
        <v>0</v>
      </c>
      <c r="CJ21" s="3240"/>
    </row>
    <row r="22" spans="1:88">
      <c r="A22" s="67" t="s">
        <v>4504</v>
      </c>
      <c r="B22" s="68"/>
      <c r="C22" s="68"/>
      <c r="D22" s="57" t="s">
        <v>4219</v>
      </c>
      <c r="E22" s="68"/>
      <c r="F22" s="68"/>
      <c r="G22" s="68"/>
      <c r="H22" s="68"/>
      <c r="I22" s="68"/>
      <c r="J22" s="68"/>
      <c r="K22" s="68"/>
      <c r="L22" s="277"/>
      <c r="M22" s="297">
        <f t="shared" si="1"/>
        <v>0</v>
      </c>
      <c r="N22" s="277"/>
      <c r="O22" s="805">
        <f>M22*N22</f>
        <v>0</v>
      </c>
      <c r="P22" s="55"/>
      <c r="Q22" s="55"/>
      <c r="R22" s="815"/>
      <c r="BB22" s="3242"/>
      <c r="BC22" s="3242"/>
      <c r="BD22" s="3242"/>
      <c r="BE22" s="3242"/>
      <c r="BF22" s="3242"/>
      <c r="BG22" s="3242"/>
      <c r="BH22" s="3242"/>
      <c r="BI22" s="3242"/>
      <c r="BJ22" s="3242"/>
      <c r="BK22" s="3242"/>
      <c r="BL22" s="3242"/>
      <c r="BM22" s="3242"/>
      <c r="BN22" s="3242"/>
      <c r="BO22" s="3242"/>
      <c r="BP22" s="3242"/>
      <c r="BQ22" s="3242"/>
      <c r="BR22" s="3242"/>
      <c r="BS22" s="3242"/>
      <c r="BT22" s="3242"/>
      <c r="BU22" s="3242"/>
      <c r="BV22" s="3242"/>
      <c r="BW22" s="3242"/>
      <c r="BX22" s="3242"/>
      <c r="BY22" s="3242"/>
      <c r="BZ22" s="3242"/>
      <c r="CA22" s="3242"/>
      <c r="CB22" s="3242"/>
      <c r="CC22" s="3242"/>
      <c r="CD22" s="3242"/>
      <c r="CE22" s="3242"/>
      <c r="CF22" s="3242"/>
      <c r="CG22" s="3242"/>
      <c r="CH22" s="3242"/>
      <c r="CI22" s="3241">
        <f t="shared" si="0"/>
        <v>0</v>
      </c>
      <c r="CJ22" s="3240"/>
    </row>
    <row r="23" spans="1:88">
      <c r="A23" s="67" t="s">
        <v>4505</v>
      </c>
      <c r="B23" s="68"/>
      <c r="C23" s="68"/>
      <c r="D23" s="57" t="s">
        <v>4219</v>
      </c>
      <c r="E23" s="68"/>
      <c r="F23" s="68"/>
      <c r="G23" s="68"/>
      <c r="H23" s="68"/>
      <c r="I23" s="68"/>
      <c r="J23" s="68"/>
      <c r="K23" s="68"/>
      <c r="L23" s="277"/>
      <c r="M23" s="297">
        <f t="shared" si="1"/>
        <v>0</v>
      </c>
      <c r="N23" s="277"/>
      <c r="O23" s="805">
        <f>M23*N23</f>
        <v>0</v>
      </c>
      <c r="P23" s="55"/>
      <c r="Q23" s="55"/>
      <c r="R23" s="815"/>
      <c r="BB23" s="3242"/>
      <c r="BC23" s="3242"/>
      <c r="BD23" s="3242"/>
      <c r="BE23" s="3242"/>
      <c r="BF23" s="3242"/>
      <c r="BG23" s="3242"/>
      <c r="BH23" s="3242"/>
      <c r="BI23" s="3242"/>
      <c r="BJ23" s="3242"/>
      <c r="BK23" s="3242"/>
      <c r="BL23" s="3242"/>
      <c r="BM23" s="3242"/>
      <c r="BN23" s="3242"/>
      <c r="BO23" s="3242"/>
      <c r="BP23" s="3242"/>
      <c r="BQ23" s="3242"/>
      <c r="BR23" s="3242"/>
      <c r="BS23" s="3242"/>
      <c r="BT23" s="3242"/>
      <c r="BU23" s="3242"/>
      <c r="BV23" s="3242"/>
      <c r="BW23" s="3242"/>
      <c r="BX23" s="3242"/>
      <c r="BY23" s="3242"/>
      <c r="BZ23" s="3242"/>
      <c r="CA23" s="3242"/>
      <c r="CB23" s="3242"/>
      <c r="CC23" s="3242"/>
      <c r="CD23" s="3242"/>
      <c r="CE23" s="3242"/>
      <c r="CF23" s="3242"/>
      <c r="CG23" s="3242"/>
      <c r="CH23" s="3242"/>
      <c r="CI23" s="3241">
        <f t="shared" si="0"/>
        <v>0</v>
      </c>
      <c r="CJ23" s="3240"/>
    </row>
    <row r="24" spans="1:88" s="61" customFormat="1" ht="60">
      <c r="A24" s="2428" t="s">
        <v>4506</v>
      </c>
      <c r="B24" s="1992"/>
      <c r="C24" s="1992" t="s">
        <v>5183</v>
      </c>
      <c r="D24" s="2429" t="s">
        <v>4219</v>
      </c>
      <c r="E24" s="1992"/>
      <c r="F24" s="1992">
        <v>1</v>
      </c>
      <c r="G24" s="1992">
        <v>1</v>
      </c>
      <c r="H24" s="1992">
        <v>10</v>
      </c>
      <c r="I24" s="1992">
        <v>3</v>
      </c>
      <c r="J24" s="1992">
        <v>1</v>
      </c>
      <c r="K24" s="1992"/>
      <c r="L24" s="2368">
        <v>500000</v>
      </c>
      <c r="M24" s="298">
        <f t="shared" si="1"/>
        <v>5</v>
      </c>
      <c r="N24" s="283">
        <v>1</v>
      </c>
      <c r="O24" s="2430">
        <f>M24*N24</f>
        <v>5</v>
      </c>
      <c r="P24" s="108" t="s">
        <v>5184</v>
      </c>
      <c r="Q24" s="108" t="s">
        <v>5880</v>
      </c>
      <c r="R24" s="2275">
        <v>5</v>
      </c>
      <c r="BB24" s="656">
        <v>5</v>
      </c>
      <c r="BC24" s="656"/>
      <c r="BD24" s="656"/>
      <c r="BE24" s="656"/>
      <c r="BF24" s="656"/>
      <c r="BG24" s="656"/>
      <c r="BH24" s="656"/>
      <c r="BI24" s="656"/>
      <c r="BJ24" s="656"/>
      <c r="BK24" s="656"/>
      <c r="BL24" s="656"/>
      <c r="BM24" s="656"/>
      <c r="BN24" s="656"/>
      <c r="BO24" s="656"/>
      <c r="BP24" s="656"/>
      <c r="BQ24" s="656"/>
      <c r="BR24" s="656"/>
      <c r="BS24" s="656"/>
      <c r="BT24" s="656"/>
      <c r="BU24" s="656"/>
      <c r="BV24" s="656"/>
      <c r="BW24" s="656"/>
      <c r="BX24" s="656"/>
      <c r="BY24" s="656"/>
      <c r="BZ24" s="656"/>
      <c r="CA24" s="656"/>
      <c r="CB24" s="656"/>
      <c r="CC24" s="656"/>
      <c r="CD24" s="656"/>
      <c r="CE24" s="656"/>
      <c r="CF24" s="656"/>
      <c r="CG24" s="656"/>
      <c r="CH24" s="656"/>
      <c r="CI24" s="3241">
        <f t="shared" si="0"/>
        <v>5</v>
      </c>
      <c r="CJ24" s="3240"/>
    </row>
    <row r="25" spans="1:88">
      <c r="A25" s="67" t="s">
        <v>4507</v>
      </c>
      <c r="B25" s="68"/>
      <c r="C25" s="68"/>
      <c r="D25" s="57" t="s">
        <v>4219</v>
      </c>
      <c r="E25" s="68"/>
      <c r="F25" s="68"/>
      <c r="G25" s="68"/>
      <c r="H25" s="68"/>
      <c r="I25" s="68"/>
      <c r="J25" s="68"/>
      <c r="K25" s="68"/>
      <c r="L25" s="277"/>
      <c r="M25" s="297">
        <f t="shared" si="1"/>
        <v>0</v>
      </c>
      <c r="N25" s="277"/>
      <c r="O25" s="805">
        <f>M25*N25</f>
        <v>0</v>
      </c>
      <c r="P25" s="55"/>
      <c r="Q25" s="55"/>
      <c r="R25" s="815"/>
      <c r="BB25" s="3242"/>
      <c r="BC25" s="3242"/>
      <c r="BD25" s="3242"/>
      <c r="BE25" s="3242"/>
      <c r="BF25" s="3242"/>
      <c r="BG25" s="3242"/>
      <c r="BH25" s="3242"/>
      <c r="BI25" s="3242"/>
      <c r="BJ25" s="3242"/>
      <c r="BK25" s="3242"/>
      <c r="BL25" s="3242"/>
      <c r="BM25" s="3242"/>
      <c r="BN25" s="3242"/>
      <c r="BO25" s="3242"/>
      <c r="BP25" s="3242"/>
      <c r="BQ25" s="3242"/>
      <c r="BR25" s="3242"/>
      <c r="BS25" s="3242"/>
      <c r="BT25" s="3242"/>
      <c r="BU25" s="3242"/>
      <c r="BV25" s="3242"/>
      <c r="BW25" s="3242"/>
      <c r="BX25" s="3242"/>
      <c r="BY25" s="3242"/>
      <c r="BZ25" s="3242"/>
      <c r="CA25" s="3242"/>
      <c r="CB25" s="3242"/>
      <c r="CC25" s="3242"/>
      <c r="CD25" s="3242"/>
      <c r="CE25" s="3242"/>
      <c r="CF25" s="3242"/>
      <c r="CG25" s="3242"/>
      <c r="CH25" s="3242"/>
      <c r="CI25" s="3241">
        <f t="shared" si="0"/>
        <v>0</v>
      </c>
      <c r="CJ25" s="3240"/>
    </row>
    <row r="26" spans="1:88">
      <c r="A26" s="65">
        <v>18.399999999999999</v>
      </c>
      <c r="B26" s="66"/>
      <c r="C26" s="66" t="s">
        <v>4508</v>
      </c>
      <c r="D26" s="72"/>
      <c r="E26" s="66"/>
      <c r="F26" s="66"/>
      <c r="G26" s="66"/>
      <c r="H26" s="66"/>
      <c r="I26" s="66"/>
      <c r="J26" s="66"/>
      <c r="K26" s="66"/>
      <c r="L26" s="51"/>
      <c r="M26" s="216"/>
      <c r="N26" s="51"/>
      <c r="O26" s="814">
        <f>SUM(O27:O31)</f>
        <v>26.400000000000002</v>
      </c>
      <c r="P26" s="53"/>
      <c r="Q26" s="53"/>
      <c r="R26" s="814">
        <f>SUM(R27:R31)</f>
        <v>6.54</v>
      </c>
      <c r="BB26" s="3242"/>
      <c r="BC26" s="3242"/>
      <c r="BD26" s="3242"/>
      <c r="BE26" s="3242"/>
      <c r="BF26" s="3242"/>
      <c r="BG26" s="3242"/>
      <c r="BH26" s="3242"/>
      <c r="BI26" s="3242"/>
      <c r="BJ26" s="3242"/>
      <c r="BK26" s="3242"/>
      <c r="BL26" s="3242"/>
      <c r="BM26" s="3242"/>
      <c r="BN26" s="3242"/>
      <c r="BO26" s="3242"/>
      <c r="BP26" s="3242"/>
      <c r="BQ26" s="3242"/>
      <c r="BR26" s="3242"/>
      <c r="BS26" s="3242"/>
      <c r="BT26" s="3242"/>
      <c r="BU26" s="3242"/>
      <c r="BV26" s="3242"/>
      <c r="BW26" s="3242"/>
      <c r="BX26" s="3242"/>
      <c r="BY26" s="3242"/>
      <c r="BZ26" s="3242"/>
      <c r="CA26" s="3242"/>
      <c r="CB26" s="3242"/>
      <c r="CC26" s="3242"/>
      <c r="CD26" s="3242"/>
      <c r="CE26" s="3242"/>
      <c r="CF26" s="3242"/>
      <c r="CG26" s="3242"/>
      <c r="CH26" s="3242"/>
      <c r="CI26" s="3241">
        <f t="shared" si="0"/>
        <v>0</v>
      </c>
      <c r="CJ26" s="3240"/>
    </row>
    <row r="27" spans="1:88" s="61" customFormat="1" ht="135">
      <c r="A27" s="2428" t="s">
        <v>4509</v>
      </c>
      <c r="B27" s="1992"/>
      <c r="C27" s="1992" t="s">
        <v>5464</v>
      </c>
      <c r="D27" s="2499" t="s">
        <v>80</v>
      </c>
      <c r="E27" s="1992"/>
      <c r="F27" s="1992"/>
      <c r="G27" s="1992"/>
      <c r="H27" s="1992"/>
      <c r="I27" s="1992"/>
      <c r="J27" s="1992">
        <v>3</v>
      </c>
      <c r="K27" s="1992">
        <v>1</v>
      </c>
      <c r="L27" s="2650">
        <v>880000</v>
      </c>
      <c r="M27" s="298">
        <f>L27/100000</f>
        <v>8.8000000000000007</v>
      </c>
      <c r="N27" s="283">
        <v>3</v>
      </c>
      <c r="O27" s="2430">
        <f>M27*N27</f>
        <v>26.400000000000002</v>
      </c>
      <c r="P27" s="2653" t="s">
        <v>5305</v>
      </c>
      <c r="Q27" s="2807"/>
      <c r="R27" s="3047">
        <v>6.54</v>
      </c>
      <c r="BB27" s="656">
        <v>6.54</v>
      </c>
      <c r="BC27" s="656"/>
      <c r="BD27" s="656"/>
      <c r="BE27" s="656"/>
      <c r="BF27" s="656"/>
      <c r="BG27" s="656"/>
      <c r="BH27" s="656"/>
      <c r="BI27" s="656"/>
      <c r="BJ27" s="656"/>
      <c r="BK27" s="656"/>
      <c r="BL27" s="656"/>
      <c r="BM27" s="656"/>
      <c r="BN27" s="656"/>
      <c r="BO27" s="656"/>
      <c r="BP27" s="656"/>
      <c r="BQ27" s="656"/>
      <c r="BR27" s="656"/>
      <c r="BS27" s="656"/>
      <c r="BT27" s="656"/>
      <c r="BU27" s="656"/>
      <c r="BV27" s="656"/>
      <c r="BW27" s="656"/>
      <c r="BX27" s="656"/>
      <c r="BY27" s="656"/>
      <c r="BZ27" s="656"/>
      <c r="CA27" s="656"/>
      <c r="CB27" s="656"/>
      <c r="CC27" s="656"/>
      <c r="CD27" s="656"/>
      <c r="CE27" s="656"/>
      <c r="CF27" s="656"/>
      <c r="CG27" s="656"/>
      <c r="CH27" s="656"/>
      <c r="CI27" s="3241">
        <f t="shared" si="0"/>
        <v>6.54</v>
      </c>
      <c r="CJ27" s="3240"/>
    </row>
    <row r="28" spans="1:88">
      <c r="A28" s="67" t="s">
        <v>4510</v>
      </c>
      <c r="B28" s="68"/>
      <c r="C28" s="68"/>
      <c r="D28" s="58" t="s">
        <v>80</v>
      </c>
      <c r="E28" s="68"/>
      <c r="F28" s="68"/>
      <c r="G28" s="68"/>
      <c r="H28" s="68"/>
      <c r="I28" s="68"/>
      <c r="J28" s="68"/>
      <c r="K28" s="68"/>
      <c r="L28" s="277"/>
      <c r="M28" s="297">
        <f>L28/100000</f>
        <v>0</v>
      </c>
      <c r="N28" s="277"/>
      <c r="O28" s="805">
        <f>M28*N28</f>
        <v>0</v>
      </c>
      <c r="P28" s="55"/>
      <c r="Q28" s="55"/>
      <c r="R28" s="815"/>
      <c r="BB28" s="3242"/>
      <c r="BC28" s="3242"/>
      <c r="BD28" s="3242"/>
      <c r="BE28" s="3242"/>
      <c r="BF28" s="3242"/>
      <c r="BG28" s="3242"/>
      <c r="BH28" s="3242"/>
      <c r="BI28" s="3242"/>
      <c r="BJ28" s="3242"/>
      <c r="BK28" s="3242"/>
      <c r="BL28" s="3242"/>
      <c r="BM28" s="3242"/>
      <c r="BN28" s="3242"/>
      <c r="BO28" s="3242"/>
      <c r="BP28" s="3242"/>
      <c r="BQ28" s="3242"/>
      <c r="BR28" s="3242"/>
      <c r="BS28" s="3242"/>
      <c r="BT28" s="3242"/>
      <c r="BU28" s="3242"/>
      <c r="BV28" s="3242"/>
      <c r="BW28" s="3242"/>
      <c r="BX28" s="3242"/>
      <c r="BY28" s="3242"/>
      <c r="BZ28" s="3242"/>
      <c r="CA28" s="3242"/>
      <c r="CB28" s="3242"/>
      <c r="CC28" s="3242"/>
      <c r="CD28" s="3242"/>
      <c r="CE28" s="3242"/>
      <c r="CF28" s="3242"/>
      <c r="CG28" s="3242"/>
      <c r="CH28" s="3242"/>
      <c r="CI28" s="3241">
        <f t="shared" si="0"/>
        <v>0</v>
      </c>
      <c r="CJ28" s="3240"/>
    </row>
    <row r="29" spans="1:88">
      <c r="A29" s="67" t="s">
        <v>4511</v>
      </c>
      <c r="B29" s="68"/>
      <c r="C29" s="68"/>
      <c r="D29" s="58" t="s">
        <v>80</v>
      </c>
      <c r="E29" s="68"/>
      <c r="F29" s="68"/>
      <c r="G29" s="68"/>
      <c r="H29" s="68"/>
      <c r="I29" s="68"/>
      <c r="J29" s="68"/>
      <c r="K29" s="68"/>
      <c r="L29" s="277"/>
      <c r="M29" s="297">
        <f>L29/100000</f>
        <v>0</v>
      </c>
      <c r="N29" s="277"/>
      <c r="O29" s="805">
        <f>M29*N29</f>
        <v>0</v>
      </c>
      <c r="P29" s="55"/>
      <c r="Q29" s="55"/>
      <c r="R29" s="815"/>
      <c r="BB29" s="3242"/>
      <c r="BC29" s="3242"/>
      <c r="BD29" s="3242"/>
      <c r="BE29" s="3242"/>
      <c r="BF29" s="3242"/>
      <c r="BG29" s="3242"/>
      <c r="BH29" s="3242"/>
      <c r="BI29" s="3242"/>
      <c r="BJ29" s="3242"/>
      <c r="BK29" s="3242"/>
      <c r="BL29" s="3242"/>
      <c r="BM29" s="3242"/>
      <c r="BN29" s="3242"/>
      <c r="BO29" s="3242"/>
      <c r="BP29" s="3242"/>
      <c r="BQ29" s="3242"/>
      <c r="BR29" s="3242"/>
      <c r="BS29" s="3242"/>
      <c r="BT29" s="3242"/>
      <c r="BU29" s="3242"/>
      <c r="BV29" s="3242"/>
      <c r="BW29" s="3242"/>
      <c r="BX29" s="3242"/>
      <c r="BY29" s="3242"/>
      <c r="BZ29" s="3242"/>
      <c r="CA29" s="3242"/>
      <c r="CB29" s="3242"/>
      <c r="CC29" s="3242"/>
      <c r="CD29" s="3242"/>
      <c r="CE29" s="3242"/>
      <c r="CF29" s="3242"/>
      <c r="CG29" s="3242"/>
      <c r="CH29" s="3242"/>
      <c r="CI29" s="3241">
        <f t="shared" si="0"/>
        <v>0</v>
      </c>
      <c r="CJ29" s="3240"/>
    </row>
    <row r="30" spans="1:88">
      <c r="A30" s="67" t="s">
        <v>4512</v>
      </c>
      <c r="B30" s="68"/>
      <c r="C30" s="68"/>
      <c r="D30" s="58" t="s">
        <v>80</v>
      </c>
      <c r="E30" s="68"/>
      <c r="F30" s="68"/>
      <c r="G30" s="68"/>
      <c r="H30" s="68"/>
      <c r="I30" s="68"/>
      <c r="J30" s="68"/>
      <c r="K30" s="68"/>
      <c r="L30" s="277"/>
      <c r="M30" s="297">
        <f>L30/100000</f>
        <v>0</v>
      </c>
      <c r="N30" s="277"/>
      <c r="O30" s="805">
        <f>M30*N30</f>
        <v>0</v>
      </c>
      <c r="P30" s="55"/>
      <c r="Q30" s="55"/>
      <c r="R30" s="815"/>
      <c r="BB30" s="3242"/>
      <c r="BC30" s="3242"/>
      <c r="BD30" s="3242"/>
      <c r="BE30" s="3242"/>
      <c r="BF30" s="3242"/>
      <c r="BG30" s="3242"/>
      <c r="BH30" s="3242"/>
      <c r="BI30" s="3242"/>
      <c r="BJ30" s="3242"/>
      <c r="BK30" s="3242"/>
      <c r="BL30" s="3242"/>
      <c r="BM30" s="3242"/>
      <c r="BN30" s="3242"/>
      <c r="BO30" s="3242"/>
      <c r="BP30" s="3242"/>
      <c r="BQ30" s="3242"/>
      <c r="BR30" s="3242"/>
      <c r="BS30" s="3242"/>
      <c r="BT30" s="3242"/>
      <c r="BU30" s="3242"/>
      <c r="BV30" s="3242"/>
      <c r="BW30" s="3242"/>
      <c r="BX30" s="3242"/>
      <c r="BY30" s="3242"/>
      <c r="BZ30" s="3242"/>
      <c r="CA30" s="3242"/>
      <c r="CB30" s="3242"/>
      <c r="CC30" s="3242"/>
      <c r="CD30" s="3242"/>
      <c r="CE30" s="3242"/>
      <c r="CF30" s="3242"/>
      <c r="CG30" s="3242"/>
      <c r="CH30" s="3242"/>
      <c r="CI30" s="3241">
        <f t="shared" si="0"/>
        <v>0</v>
      </c>
      <c r="CJ30" s="3240"/>
    </row>
    <row r="31" spans="1:88">
      <c r="A31" s="67" t="s">
        <v>4513</v>
      </c>
      <c r="B31" s="68"/>
      <c r="C31" s="68"/>
      <c r="D31" s="58" t="s">
        <v>80</v>
      </c>
      <c r="E31" s="68"/>
      <c r="F31" s="68"/>
      <c r="G31" s="68"/>
      <c r="H31" s="68"/>
      <c r="I31" s="68"/>
      <c r="J31" s="68"/>
      <c r="K31" s="68"/>
      <c r="L31" s="277"/>
      <c r="M31" s="297">
        <f>L31/100000</f>
        <v>0</v>
      </c>
      <c r="N31" s="277"/>
      <c r="O31" s="805">
        <f>M31*N31</f>
        <v>0</v>
      </c>
      <c r="P31" s="55"/>
      <c r="Q31" s="55"/>
      <c r="R31" s="815"/>
      <c r="BB31" s="3242"/>
      <c r="BC31" s="3242"/>
      <c r="BD31" s="3242"/>
      <c r="BE31" s="3242"/>
      <c r="BF31" s="3242"/>
      <c r="BG31" s="3242"/>
      <c r="BH31" s="3242"/>
      <c r="BI31" s="3242"/>
      <c r="BJ31" s="3242"/>
      <c r="BK31" s="3242"/>
      <c r="BL31" s="3242"/>
      <c r="BM31" s="3242"/>
      <c r="BN31" s="3242"/>
      <c r="BO31" s="3242"/>
      <c r="BP31" s="3242"/>
      <c r="BQ31" s="3242"/>
      <c r="BR31" s="3242"/>
      <c r="BS31" s="3242"/>
      <c r="BT31" s="3242"/>
      <c r="BU31" s="3242"/>
      <c r="BV31" s="3242"/>
      <c r="BW31" s="3242"/>
      <c r="BX31" s="3242"/>
      <c r="BY31" s="3242"/>
      <c r="BZ31" s="3242"/>
      <c r="CA31" s="3242"/>
      <c r="CB31" s="3242"/>
      <c r="CC31" s="3242"/>
      <c r="CD31" s="3242"/>
      <c r="CE31" s="3242"/>
      <c r="CF31" s="3242"/>
      <c r="CG31" s="3242"/>
      <c r="CH31" s="3242"/>
      <c r="CI31" s="3241">
        <f t="shared" si="0"/>
        <v>0</v>
      </c>
      <c r="CJ31" s="3240"/>
    </row>
    <row r="32" spans="1:88">
      <c r="R32" s="721">
        <f>+E3</f>
        <v>61.589999999999996</v>
      </c>
      <c r="BB32" s="3242">
        <f>SUM(BB7:BB31)</f>
        <v>61.589999999999996</v>
      </c>
      <c r="BC32" s="3242">
        <f t="shared" ref="BC32:CH32" si="2">SUM(BC7:BC31)</f>
        <v>0</v>
      </c>
      <c r="BD32" s="3242">
        <f t="shared" si="2"/>
        <v>0</v>
      </c>
      <c r="BE32" s="3242">
        <f t="shared" si="2"/>
        <v>0</v>
      </c>
      <c r="BF32" s="3242">
        <f t="shared" si="2"/>
        <v>0</v>
      </c>
      <c r="BG32" s="3242">
        <f t="shared" si="2"/>
        <v>0</v>
      </c>
      <c r="BH32" s="3242">
        <f t="shared" si="2"/>
        <v>0</v>
      </c>
      <c r="BI32" s="3242">
        <f t="shared" si="2"/>
        <v>0</v>
      </c>
      <c r="BJ32" s="3242">
        <f t="shared" si="2"/>
        <v>0</v>
      </c>
      <c r="BK32" s="3242">
        <f t="shared" si="2"/>
        <v>0</v>
      </c>
      <c r="BL32" s="3242">
        <f t="shared" si="2"/>
        <v>0</v>
      </c>
      <c r="BM32" s="3242">
        <f t="shared" si="2"/>
        <v>0</v>
      </c>
      <c r="BN32" s="3242">
        <f t="shared" si="2"/>
        <v>0</v>
      </c>
      <c r="BO32" s="3242">
        <f t="shared" si="2"/>
        <v>0</v>
      </c>
      <c r="BP32" s="3242">
        <f t="shared" si="2"/>
        <v>0</v>
      </c>
      <c r="BQ32" s="3242">
        <f t="shared" si="2"/>
        <v>0</v>
      </c>
      <c r="BR32" s="3242">
        <f t="shared" si="2"/>
        <v>0</v>
      </c>
      <c r="BS32" s="3242">
        <f t="shared" si="2"/>
        <v>0</v>
      </c>
      <c r="BT32" s="3242">
        <f t="shared" si="2"/>
        <v>0</v>
      </c>
      <c r="BU32" s="3242">
        <f t="shared" si="2"/>
        <v>0</v>
      </c>
      <c r="BV32" s="3242">
        <f t="shared" si="2"/>
        <v>0</v>
      </c>
      <c r="BW32" s="3242">
        <f t="shared" si="2"/>
        <v>0</v>
      </c>
      <c r="BX32" s="3242">
        <f t="shared" si="2"/>
        <v>0</v>
      </c>
      <c r="BY32" s="3242">
        <f t="shared" si="2"/>
        <v>0</v>
      </c>
      <c r="BZ32" s="3242">
        <f t="shared" si="2"/>
        <v>0</v>
      </c>
      <c r="CA32" s="3242">
        <f t="shared" si="2"/>
        <v>0</v>
      </c>
      <c r="CB32" s="3242">
        <f t="shared" si="2"/>
        <v>0</v>
      </c>
      <c r="CC32" s="3242">
        <f t="shared" si="2"/>
        <v>0</v>
      </c>
      <c r="CD32" s="3242">
        <f t="shared" si="2"/>
        <v>0</v>
      </c>
      <c r="CE32" s="3242">
        <f t="shared" si="2"/>
        <v>0</v>
      </c>
      <c r="CF32" s="3242">
        <f t="shared" si="2"/>
        <v>0</v>
      </c>
      <c r="CG32" s="3242">
        <f t="shared" si="2"/>
        <v>0</v>
      </c>
      <c r="CH32" s="3242">
        <f t="shared" si="2"/>
        <v>0</v>
      </c>
      <c r="CI32" s="3241">
        <f t="shared" si="0"/>
        <v>61.589999999999996</v>
      </c>
      <c r="CJ32" s="3240"/>
    </row>
    <row r="33" spans="54:88">
      <c r="BB33" s="3242"/>
      <c r="BC33" s="3242"/>
      <c r="BD33" s="3242"/>
      <c r="BE33" s="3242"/>
      <c r="BF33" s="3242"/>
      <c r="BG33" s="3242"/>
      <c r="BH33" s="3242"/>
      <c r="BI33" s="3242"/>
      <c r="BJ33" s="3242"/>
      <c r="BK33" s="3242"/>
      <c r="BL33" s="3242"/>
      <c r="BM33" s="3242"/>
      <c r="BN33" s="3242"/>
      <c r="BO33" s="3242"/>
      <c r="BP33" s="3242"/>
      <c r="BQ33" s="3242"/>
      <c r="BR33" s="3242"/>
      <c r="BS33" s="3242"/>
      <c r="BT33" s="3242"/>
      <c r="BU33" s="3242"/>
      <c r="BV33" s="3242"/>
      <c r="BW33" s="3242"/>
      <c r="BX33" s="3242"/>
      <c r="BY33" s="3242"/>
      <c r="BZ33" s="3242"/>
      <c r="CA33" s="3242"/>
      <c r="CB33" s="3242"/>
      <c r="CC33" s="3242"/>
      <c r="CD33" s="3242"/>
      <c r="CE33" s="3242"/>
      <c r="CF33" s="3242"/>
      <c r="CG33" s="3242"/>
      <c r="CH33" s="3242"/>
      <c r="CI33" s="3241">
        <f t="shared" si="0"/>
        <v>0</v>
      </c>
      <c r="CJ33" s="3240"/>
    </row>
  </sheetData>
  <sheetProtection password="CC49" sheet="1" objects="1" scenarios="1" autoFilter="0"/>
  <autoFilter ref="A6:R31"/>
  <mergeCells count="18">
    <mergeCell ref="AI1:AO1"/>
    <mergeCell ref="AP1:BA1"/>
    <mergeCell ref="BB1:BB2"/>
    <mergeCell ref="BC1:BC2"/>
    <mergeCell ref="BD1:BD2"/>
    <mergeCell ref="K5:P5"/>
    <mergeCell ref="Q5:R5"/>
    <mergeCell ref="A1:C1"/>
    <mergeCell ref="F5:J5"/>
    <mergeCell ref="A5:A6"/>
    <mergeCell ref="B5:B6"/>
    <mergeCell ref="C5:C6"/>
    <mergeCell ref="D5:D6"/>
    <mergeCell ref="E5:E6"/>
    <mergeCell ref="E1:E2"/>
    <mergeCell ref="F1:N1"/>
    <mergeCell ref="A2:A4"/>
    <mergeCell ref="O1:AH1"/>
  </mergeCells>
  <phoneticPr fontId="68" type="noConversion"/>
  <pageMargins left="0.7" right="0.7" top="0.75" bottom="0.75" header="0.3" footer="0.3"/>
  <pageSetup orientation="portrait" horizontalDpi="300" verticalDpi="300" r:id="rId1"/>
</worksheet>
</file>

<file path=xl/worksheets/sheet26.xml><?xml version="1.0" encoding="utf-8"?>
<worksheet xmlns="http://schemas.openxmlformats.org/spreadsheetml/2006/main" xmlns:r="http://schemas.openxmlformats.org/officeDocument/2006/relationships">
  <sheetPr codeName="Sheet20">
    <tabColor rgb="FF00B050"/>
  </sheetPr>
  <dimension ref="A1:X276"/>
  <sheetViews>
    <sheetView zoomScale="70" zoomScaleNormal="70" workbookViewId="0">
      <pane xSplit="4" ySplit="7" topLeftCell="E269" activePane="bottomRight" state="frozen"/>
      <selection activeCell="Q14" sqref="Q14"/>
      <selection pane="topRight" activeCell="Q14" sqref="Q14"/>
      <selection pane="bottomLeft" activeCell="Q14" sqref="Q14"/>
      <selection pane="bottomRight" activeCell="M285" sqref="M285"/>
    </sheetView>
  </sheetViews>
  <sheetFormatPr defaultColWidth="8.7109375" defaultRowHeight="15"/>
  <cols>
    <col min="1" max="1" width="12.42578125" style="860" customWidth="1"/>
    <col min="2" max="2" width="20.42578125" style="860" customWidth="1"/>
    <col min="3" max="3" width="51.85546875" style="860" customWidth="1"/>
    <col min="4" max="4" width="14.140625" style="860" bestFit="1" customWidth="1"/>
    <col min="5" max="5" width="19" style="860" customWidth="1"/>
    <col min="6" max="6" width="12.85546875" style="860" customWidth="1"/>
    <col min="7" max="7" width="14.85546875" style="860" customWidth="1"/>
    <col min="8" max="8" width="8.7109375" style="860"/>
    <col min="9" max="9" width="15.140625" style="860" customWidth="1"/>
    <col min="10" max="10" width="8.7109375" style="860"/>
    <col min="11" max="11" width="13.42578125" style="860" bestFit="1" customWidth="1"/>
    <col min="12" max="12" width="10.85546875" style="860" customWidth="1"/>
    <col min="13" max="13" width="8.7109375" style="860"/>
    <col min="14" max="14" width="8.85546875" style="903" customWidth="1"/>
    <col min="15" max="15" width="41.140625" style="904" customWidth="1"/>
    <col min="16" max="16" width="34.140625" style="904" customWidth="1"/>
    <col min="17" max="17" width="11.42578125" style="860" customWidth="1"/>
    <col min="18" max="16384" width="8.7109375" style="860"/>
  </cols>
  <sheetData>
    <row r="1" spans="1:23" ht="12.95" customHeight="1">
      <c r="A1" s="4067" t="s">
        <v>3033</v>
      </c>
      <c r="B1" s="4067"/>
      <c r="C1" s="4067"/>
      <c r="D1" s="4067"/>
      <c r="E1" s="4067"/>
      <c r="F1" s="4067"/>
      <c r="G1" s="4067"/>
      <c r="H1" s="4067"/>
      <c r="I1" s="4067"/>
      <c r="J1" s="4067"/>
      <c r="K1" s="4067"/>
      <c r="L1" s="4067"/>
      <c r="M1" s="4067"/>
      <c r="N1" s="4067"/>
      <c r="O1" s="4067"/>
      <c r="P1" s="4067"/>
      <c r="Q1" s="4067"/>
    </row>
    <row r="2" spans="1:23" s="861" customFormat="1">
      <c r="A2" s="3855" t="str">
        <f>HYPERLINK("#Index!A4", "Index Pg")</f>
        <v>Index Pg</v>
      </c>
      <c r="B2" s="1379" t="str">
        <f>HYPERLINK("#'Summary of Abstracts'!A2", "Summary of Abst.")</f>
        <v>Summary of Abst.</v>
      </c>
      <c r="C2" s="1379" t="str">
        <f>HYPERLINK("#'NUHM Summary'!A4:A5", "NUHM Summary Sheet.")</f>
        <v>NUHM Summary Sheet.</v>
      </c>
      <c r="D2" s="862"/>
      <c r="E2" s="863" t="s">
        <v>5044</v>
      </c>
      <c r="F2" s="863" t="s">
        <v>5045</v>
      </c>
      <c r="G2" s="863" t="s">
        <v>5046</v>
      </c>
      <c r="H2" s="863" t="s">
        <v>5047</v>
      </c>
      <c r="I2" s="863" t="s">
        <v>5048</v>
      </c>
      <c r="J2" s="863" t="s">
        <v>5049</v>
      </c>
      <c r="K2" s="863" t="s">
        <v>5050</v>
      </c>
      <c r="L2" s="863" t="s">
        <v>5051</v>
      </c>
      <c r="M2" s="863" t="s">
        <v>5052</v>
      </c>
      <c r="N2" s="863" t="s">
        <v>5053</v>
      </c>
      <c r="O2" s="1793"/>
      <c r="P2" s="1793"/>
      <c r="Q2" s="1793"/>
      <c r="R2" s="860"/>
      <c r="S2" s="860"/>
    </row>
    <row r="3" spans="1:23" s="1799" customFormat="1">
      <c r="A3" s="3856"/>
      <c r="B3" s="864" t="str">
        <f>HYPERLINK("#'Budget Summary I'!A1:AL1", "Budget Summary I")</f>
        <v>Budget Summary I</v>
      </c>
      <c r="C3" s="865" t="s">
        <v>4460</v>
      </c>
      <c r="D3" s="866">
        <f>Q7</f>
        <v>147.75</v>
      </c>
      <c r="E3" s="867">
        <f>Q49</f>
        <v>0</v>
      </c>
      <c r="F3" s="867">
        <f>Q89</f>
        <v>0</v>
      </c>
      <c r="G3" s="867">
        <f>Q93+Q100+Q105+Q106+Q113+Q114+Q116</f>
        <v>68.25</v>
      </c>
      <c r="H3" s="867">
        <f>Q172</f>
        <v>2.34</v>
      </c>
      <c r="I3" s="867">
        <f>Q186+Q187+Q189+Q188</f>
        <v>9.75</v>
      </c>
      <c r="J3" s="1794">
        <f>Q206</f>
        <v>0</v>
      </c>
      <c r="K3" s="1795">
        <f>Q209</f>
        <v>0</v>
      </c>
      <c r="L3" s="1795">
        <f>Q228</f>
        <v>0</v>
      </c>
      <c r="M3" s="1795">
        <f>Q237</f>
        <v>0</v>
      </c>
      <c r="N3" s="1796">
        <f>Q271</f>
        <v>0</v>
      </c>
      <c r="O3" s="1797"/>
      <c r="P3" s="1798"/>
      <c r="Q3" s="1797"/>
      <c r="R3" s="892"/>
      <c r="S3" s="892"/>
    </row>
    <row r="4" spans="1:23" s="1799" customFormat="1">
      <c r="A4" s="3857"/>
      <c r="B4" s="864" t="str">
        <f>HYPERLINK("#'Budget Summary II'!A3:B5", "Budget Summary II")</f>
        <v>Budget Summary II</v>
      </c>
      <c r="C4" s="865" t="s">
        <v>4461</v>
      </c>
      <c r="D4" s="866">
        <f>N7</f>
        <v>178.21600000000001</v>
      </c>
      <c r="E4" s="867">
        <f>N49</f>
        <v>0</v>
      </c>
      <c r="F4" s="867">
        <f>N89</f>
        <v>0</v>
      </c>
      <c r="G4" s="867">
        <f>N93+N100+N105+N106+N113+N114+N116</f>
        <v>77</v>
      </c>
      <c r="H4" s="867">
        <f>N172</f>
        <v>2.34</v>
      </c>
      <c r="I4" s="867">
        <f>N186+N187+N189+N188</f>
        <v>9.75</v>
      </c>
      <c r="J4" s="1794">
        <f>N206</f>
        <v>0</v>
      </c>
      <c r="K4" s="1795">
        <f>N209</f>
        <v>0</v>
      </c>
      <c r="L4" s="1795">
        <f>N228</f>
        <v>0</v>
      </c>
      <c r="M4" s="1795">
        <f>N237</f>
        <v>0</v>
      </c>
      <c r="N4" s="1796">
        <f>N271</f>
        <v>0</v>
      </c>
      <c r="O4" s="1797"/>
      <c r="P4" s="1798"/>
      <c r="Q4" s="1797"/>
      <c r="R4" s="892"/>
      <c r="S4" s="892"/>
    </row>
    <row r="5" spans="1:23" s="869" customFormat="1" ht="12.75" customHeight="1">
      <c r="A5" s="4040" t="s">
        <v>48</v>
      </c>
      <c r="B5" s="4040" t="s">
        <v>49</v>
      </c>
      <c r="C5" s="4040" t="s">
        <v>50</v>
      </c>
      <c r="D5" s="4040" t="s">
        <v>4516</v>
      </c>
      <c r="E5" s="3866" t="s">
        <v>4478</v>
      </c>
      <c r="F5" s="3866"/>
      <c r="G5" s="3866"/>
      <c r="H5" s="3866"/>
      <c r="I5" s="3866"/>
      <c r="J5" s="3894" t="s">
        <v>4484</v>
      </c>
      <c r="K5" s="3903"/>
      <c r="L5" s="3903"/>
      <c r="M5" s="3903"/>
      <c r="N5" s="3903"/>
      <c r="O5" s="3904"/>
      <c r="P5" s="3905" t="s">
        <v>4514</v>
      </c>
      <c r="Q5" s="3906"/>
      <c r="R5" s="868"/>
      <c r="S5" s="868"/>
    </row>
    <row r="6" spans="1:23" s="868" customFormat="1" ht="60">
      <c r="A6" s="4041"/>
      <c r="B6" s="4041"/>
      <c r="C6" s="4041"/>
      <c r="D6" s="4041"/>
      <c r="E6" s="918" t="s">
        <v>4479</v>
      </c>
      <c r="F6" s="918" t="s">
        <v>4482</v>
      </c>
      <c r="G6" s="918" t="s">
        <v>4480</v>
      </c>
      <c r="H6" s="918" t="s">
        <v>4483</v>
      </c>
      <c r="I6" s="918" t="s">
        <v>2448</v>
      </c>
      <c r="J6" s="919" t="s">
        <v>53</v>
      </c>
      <c r="K6" s="919" t="s">
        <v>54</v>
      </c>
      <c r="L6" s="1228" t="s">
        <v>55</v>
      </c>
      <c r="M6" s="919" t="s">
        <v>56</v>
      </c>
      <c r="N6" s="1228" t="s">
        <v>57</v>
      </c>
      <c r="O6" s="919" t="s">
        <v>58</v>
      </c>
      <c r="P6" s="921" t="s">
        <v>2450</v>
      </c>
      <c r="Q6" s="3158" t="s">
        <v>4515</v>
      </c>
      <c r="R6" s="3128" t="s">
        <v>5973</v>
      </c>
      <c r="S6" s="3128" t="s">
        <v>5983</v>
      </c>
      <c r="T6" s="3128" t="s">
        <v>5984</v>
      </c>
      <c r="U6" s="3128" t="s">
        <v>5985</v>
      </c>
      <c r="V6" s="3128" t="s">
        <v>4534</v>
      </c>
    </row>
    <row r="7" spans="1:23" s="871" customFormat="1">
      <c r="A7" s="165"/>
      <c r="B7" s="165"/>
      <c r="C7" s="165" t="s">
        <v>3818</v>
      </c>
      <c r="D7" s="165"/>
      <c r="E7" s="165"/>
      <c r="F7" s="165"/>
      <c r="G7" s="165"/>
      <c r="H7" s="165"/>
      <c r="I7" s="165"/>
      <c r="J7" s="165"/>
      <c r="K7" s="165"/>
      <c r="L7" s="165"/>
      <c r="M7" s="165"/>
      <c r="N7" s="1800">
        <f>N8+N38+N51+N70+N77+N91+N118+N120+N174+N195+N204+N207+N210+N223+N227+N230+N270+N273</f>
        <v>178.21600000000001</v>
      </c>
      <c r="O7" s="165"/>
      <c r="P7" s="165"/>
      <c r="Q7" s="3159">
        <f>Q8+Q38+Q51+Q70+Q77+Q91+Q118+Q120+Q174+Q195+Q204+Q207+Q210+Q223+Q227+Q230+Q270+Q273</f>
        <v>147.75</v>
      </c>
      <c r="R7" s="3333"/>
      <c r="S7" s="3333"/>
      <c r="T7" s="3333"/>
      <c r="U7" s="3333"/>
      <c r="V7" s="3333">
        <f>SUM(R7:U7)</f>
        <v>0</v>
      </c>
      <c r="W7" s="3258">
        <f>+Q7-V7</f>
        <v>147.75</v>
      </c>
    </row>
    <row r="8" spans="1:23">
      <c r="A8" s="165" t="s">
        <v>3034</v>
      </c>
      <c r="B8" s="165"/>
      <c r="C8" s="165" t="s">
        <v>0</v>
      </c>
      <c r="D8" s="165"/>
      <c r="E8" s="165"/>
      <c r="F8" s="165"/>
      <c r="G8" s="165"/>
      <c r="H8" s="165"/>
      <c r="I8" s="165"/>
      <c r="J8" s="165"/>
      <c r="K8" s="165"/>
      <c r="L8" s="165"/>
      <c r="M8" s="165"/>
      <c r="N8" s="1800">
        <f>N9+N33+N30</f>
        <v>0</v>
      </c>
      <c r="O8" s="165"/>
      <c r="P8" s="165"/>
      <c r="Q8" s="3159">
        <f>Q9+Q33+Q30</f>
        <v>0</v>
      </c>
      <c r="R8" s="3182"/>
      <c r="S8" s="3182"/>
      <c r="T8" s="3182"/>
      <c r="U8" s="3182"/>
      <c r="V8" s="3333">
        <f t="shared" ref="V8:V71" si="0">SUM(R8:U8)</f>
        <v>0</v>
      </c>
      <c r="W8" s="3258">
        <f t="shared" ref="W8:W69" si="1">+Q8-V8</f>
        <v>0</v>
      </c>
    </row>
    <row r="9" spans="1:23">
      <c r="A9" s="872" t="s">
        <v>3035</v>
      </c>
      <c r="B9" s="872"/>
      <c r="C9" s="872" t="s">
        <v>1</v>
      </c>
      <c r="D9" s="872"/>
      <c r="E9" s="872"/>
      <c r="F9" s="872"/>
      <c r="G9" s="872"/>
      <c r="H9" s="872"/>
      <c r="I9" s="872"/>
      <c r="J9" s="872"/>
      <c r="K9" s="872"/>
      <c r="L9" s="872"/>
      <c r="M9" s="872"/>
      <c r="N9" s="1801">
        <f>N10+N18</f>
        <v>0</v>
      </c>
      <c r="O9" s="872"/>
      <c r="P9" s="872"/>
      <c r="Q9" s="3160">
        <f>Q10+Q18</f>
        <v>0</v>
      </c>
      <c r="R9" s="3182"/>
      <c r="S9" s="3182"/>
      <c r="T9" s="3182"/>
      <c r="U9" s="3182"/>
      <c r="V9" s="3333">
        <f t="shared" si="0"/>
        <v>0</v>
      </c>
      <c r="W9" s="3258">
        <f t="shared" si="1"/>
        <v>0</v>
      </c>
    </row>
    <row r="10" spans="1:23">
      <c r="A10" s="88" t="s">
        <v>3036</v>
      </c>
      <c r="B10" s="874" t="s">
        <v>2850</v>
      </c>
      <c r="C10" s="874" t="s">
        <v>2851</v>
      </c>
      <c r="D10" s="874"/>
      <c r="E10" s="589"/>
      <c r="F10" s="589"/>
      <c r="G10" s="589"/>
      <c r="H10" s="589"/>
      <c r="I10" s="589"/>
      <c r="J10" s="589"/>
      <c r="K10" s="277"/>
      <c r="L10" s="297">
        <f t="shared" ref="L10:L50" si="2">K10/100000</f>
        <v>0</v>
      </c>
      <c r="M10" s="277"/>
      <c r="N10" s="1802">
        <f>SUM(N11:N17)</f>
        <v>0</v>
      </c>
      <c r="O10" s="590"/>
      <c r="P10" s="1133"/>
      <c r="Q10" s="3161">
        <f>SUM(Q11:Q17)</f>
        <v>0</v>
      </c>
      <c r="R10" s="3182"/>
      <c r="S10" s="3182"/>
      <c r="T10" s="3182"/>
      <c r="U10" s="3182"/>
      <c r="V10" s="3333">
        <f t="shared" si="0"/>
        <v>0</v>
      </c>
      <c r="W10" s="3258">
        <f t="shared" si="1"/>
        <v>0</v>
      </c>
    </row>
    <row r="11" spans="1:23">
      <c r="A11" s="88" t="s">
        <v>4575</v>
      </c>
      <c r="B11" s="874"/>
      <c r="C11" s="875" t="s">
        <v>5076</v>
      </c>
      <c r="D11" s="874" t="s">
        <v>288</v>
      </c>
      <c r="E11" s="589"/>
      <c r="F11" s="589"/>
      <c r="G11" s="589"/>
      <c r="H11" s="589"/>
      <c r="I11" s="589"/>
      <c r="J11" s="589"/>
      <c r="K11" s="277"/>
      <c r="L11" s="297">
        <f t="shared" si="2"/>
        <v>0</v>
      </c>
      <c r="M11" s="277"/>
      <c r="N11" s="1802">
        <f t="shared" ref="N11:N17" si="3">L11*M11</f>
        <v>0</v>
      </c>
      <c r="O11" s="590"/>
      <c r="P11" s="1133">
        <f>'Abs8. IDSP'!Q38</f>
        <v>0</v>
      </c>
      <c r="Q11" s="3162">
        <f>'Abs8. IDSP'!R38</f>
        <v>0</v>
      </c>
      <c r="R11" s="3182"/>
      <c r="S11" s="3182"/>
      <c r="T11" s="3182"/>
      <c r="U11" s="3182"/>
      <c r="V11" s="3333">
        <f t="shared" si="0"/>
        <v>0</v>
      </c>
      <c r="W11" s="3258">
        <f t="shared" si="1"/>
        <v>0</v>
      </c>
    </row>
    <row r="12" spans="1:23">
      <c r="A12" s="88" t="s">
        <v>4576</v>
      </c>
      <c r="B12" s="874"/>
      <c r="C12" s="875" t="s">
        <v>4973</v>
      </c>
      <c r="D12" s="874" t="s">
        <v>109</v>
      </c>
      <c r="E12" s="589"/>
      <c r="F12" s="589"/>
      <c r="G12" s="589"/>
      <c r="H12" s="589"/>
      <c r="I12" s="589"/>
      <c r="J12" s="589"/>
      <c r="K12" s="277"/>
      <c r="L12" s="297">
        <f t="shared" si="2"/>
        <v>0</v>
      </c>
      <c r="M12" s="277"/>
      <c r="N12" s="1802">
        <f t="shared" si="3"/>
        <v>0</v>
      </c>
      <c r="O12" s="590"/>
      <c r="P12" s="1133">
        <f>'Abs9. NVBDCP'!Q138</f>
        <v>0</v>
      </c>
      <c r="Q12" s="3162">
        <f>'Abs9. NVBDCP'!R138</f>
        <v>0</v>
      </c>
      <c r="R12" s="3182"/>
      <c r="S12" s="3182"/>
      <c r="T12" s="3182"/>
      <c r="U12" s="3182"/>
      <c r="V12" s="3333">
        <f t="shared" si="0"/>
        <v>0</v>
      </c>
      <c r="W12" s="3258">
        <f t="shared" si="1"/>
        <v>0</v>
      </c>
    </row>
    <row r="13" spans="1:23">
      <c r="A13" s="88" t="s">
        <v>4577</v>
      </c>
      <c r="B13" s="874"/>
      <c r="C13" s="875" t="s">
        <v>4975</v>
      </c>
      <c r="D13" s="874" t="s">
        <v>141</v>
      </c>
      <c r="E13" s="589"/>
      <c r="F13" s="589"/>
      <c r="G13" s="589"/>
      <c r="H13" s="589"/>
      <c r="I13" s="589"/>
      <c r="J13" s="589"/>
      <c r="K13" s="277"/>
      <c r="L13" s="297">
        <f t="shared" si="2"/>
        <v>0</v>
      </c>
      <c r="M13" s="277"/>
      <c r="N13" s="1802">
        <f t="shared" si="3"/>
        <v>0</v>
      </c>
      <c r="O13" s="590"/>
      <c r="P13" s="1133">
        <f>'Abs10. NLEP'!Q50</f>
        <v>0</v>
      </c>
      <c r="Q13" s="3162">
        <f>'Abs10. NLEP'!R50</f>
        <v>0</v>
      </c>
      <c r="R13" s="3182"/>
      <c r="S13" s="3182"/>
      <c r="T13" s="3182"/>
      <c r="U13" s="3182"/>
      <c r="V13" s="3333">
        <f t="shared" si="0"/>
        <v>0</v>
      </c>
      <c r="W13" s="3258">
        <f t="shared" si="1"/>
        <v>0</v>
      </c>
    </row>
    <row r="14" spans="1:23">
      <c r="A14" s="88" t="s">
        <v>4578</v>
      </c>
      <c r="B14" s="874"/>
      <c r="C14" s="875" t="s">
        <v>4974</v>
      </c>
      <c r="D14" s="874" t="s">
        <v>4525</v>
      </c>
      <c r="E14" s="589"/>
      <c r="F14" s="589"/>
      <c r="G14" s="589">
        <v>5</v>
      </c>
      <c r="H14" s="589">
        <v>0</v>
      </c>
      <c r="I14" s="589">
        <v>5</v>
      </c>
      <c r="J14" s="589"/>
      <c r="K14" s="277"/>
      <c r="L14" s="297">
        <f t="shared" si="2"/>
        <v>0</v>
      </c>
      <c r="M14" s="277"/>
      <c r="N14" s="1802">
        <f t="shared" si="3"/>
        <v>0</v>
      </c>
      <c r="O14" s="590"/>
      <c r="P14" s="1133">
        <f>'Abs11. NTEP'!Q67</f>
        <v>0</v>
      </c>
      <c r="Q14" s="3162">
        <f>'Abs11. NTEP'!R67</f>
        <v>0</v>
      </c>
      <c r="R14" s="3182"/>
      <c r="S14" s="3182"/>
      <c r="T14" s="3182"/>
      <c r="U14" s="3182"/>
      <c r="V14" s="3333">
        <f t="shared" si="0"/>
        <v>0</v>
      </c>
      <c r="W14" s="3258">
        <f t="shared" si="1"/>
        <v>0</v>
      </c>
    </row>
    <row r="15" spans="1:23">
      <c r="A15" s="88" t="s">
        <v>5088</v>
      </c>
      <c r="B15" s="874"/>
      <c r="C15" s="875" t="s">
        <v>4978</v>
      </c>
      <c r="D15" s="874" t="s">
        <v>3223</v>
      </c>
      <c r="E15" s="589"/>
      <c r="F15" s="589"/>
      <c r="G15" s="589"/>
      <c r="H15" s="589"/>
      <c r="I15" s="589"/>
      <c r="J15" s="589"/>
      <c r="K15" s="277"/>
      <c r="L15" s="297">
        <f t="shared" si="2"/>
        <v>0</v>
      </c>
      <c r="M15" s="277"/>
      <c r="N15" s="1802">
        <f t="shared" si="3"/>
        <v>0</v>
      </c>
      <c r="O15" s="590"/>
      <c r="P15" s="1133">
        <f>'Abs12. NVHCP'!Q48</f>
        <v>0</v>
      </c>
      <c r="Q15" s="3162">
        <f>'Abs12. NVHCP'!R48</f>
        <v>0</v>
      </c>
      <c r="R15" s="3182"/>
      <c r="S15" s="3182"/>
      <c r="T15" s="3182"/>
      <c r="U15" s="3182"/>
      <c r="V15" s="3333">
        <f t="shared" si="0"/>
        <v>0</v>
      </c>
      <c r="W15" s="3258">
        <f t="shared" si="1"/>
        <v>0</v>
      </c>
    </row>
    <row r="16" spans="1:23">
      <c r="A16" s="88" t="s">
        <v>5089</v>
      </c>
      <c r="B16" s="874"/>
      <c r="C16" s="875" t="s">
        <v>4976</v>
      </c>
      <c r="D16" s="874" t="s">
        <v>3855</v>
      </c>
      <c r="E16" s="589"/>
      <c r="F16" s="589"/>
      <c r="G16" s="589"/>
      <c r="H16" s="589"/>
      <c r="I16" s="589"/>
      <c r="J16" s="589"/>
      <c r="K16" s="277"/>
      <c r="L16" s="297">
        <f t="shared" si="2"/>
        <v>0</v>
      </c>
      <c r="M16" s="277"/>
      <c r="N16" s="1802">
        <f t="shared" si="3"/>
        <v>0</v>
      </c>
      <c r="O16" s="590"/>
      <c r="P16" s="1133">
        <f>'Abs13. NRCP'!Q20</f>
        <v>0</v>
      </c>
      <c r="Q16" s="3162">
        <f>'Abs13. NRCP'!R20</f>
        <v>0</v>
      </c>
      <c r="R16" s="3182"/>
      <c r="S16" s="3182"/>
      <c r="T16" s="3182"/>
      <c r="U16" s="3182"/>
      <c r="V16" s="3333">
        <f t="shared" si="0"/>
        <v>0</v>
      </c>
      <c r="W16" s="3258">
        <f t="shared" si="1"/>
        <v>0</v>
      </c>
    </row>
    <row r="17" spans="1:23">
      <c r="A17" s="88" t="s">
        <v>5090</v>
      </c>
      <c r="B17" s="874"/>
      <c r="C17" s="875" t="s">
        <v>5077</v>
      </c>
      <c r="D17" s="874" t="s">
        <v>4405</v>
      </c>
      <c r="E17" s="589"/>
      <c r="F17" s="589"/>
      <c r="G17" s="589"/>
      <c r="H17" s="589"/>
      <c r="I17" s="589"/>
      <c r="J17" s="589"/>
      <c r="K17" s="277"/>
      <c r="L17" s="297">
        <f t="shared" si="2"/>
        <v>0</v>
      </c>
      <c r="M17" s="277"/>
      <c r="N17" s="1802">
        <f t="shared" si="3"/>
        <v>0</v>
      </c>
      <c r="O17" s="590"/>
      <c r="P17" s="1133">
        <f>'Abs14. PPCL'!Q21</f>
        <v>0</v>
      </c>
      <c r="Q17" s="3162">
        <f>'Abs14. PPCL'!R21</f>
        <v>0</v>
      </c>
      <c r="R17" s="3182"/>
      <c r="S17" s="3182"/>
      <c r="T17" s="3182"/>
      <c r="U17" s="3182"/>
      <c r="V17" s="3333">
        <f t="shared" si="0"/>
        <v>0</v>
      </c>
      <c r="W17" s="3258">
        <f t="shared" si="1"/>
        <v>0</v>
      </c>
    </row>
    <row r="18" spans="1:23" ht="30">
      <c r="A18" s="88" t="s">
        <v>3037</v>
      </c>
      <c r="B18" s="874"/>
      <c r="C18" s="874" t="s">
        <v>2852</v>
      </c>
      <c r="D18" s="874"/>
      <c r="E18" s="589"/>
      <c r="F18" s="589"/>
      <c r="G18" s="589"/>
      <c r="H18" s="589"/>
      <c r="I18" s="589"/>
      <c r="J18" s="589"/>
      <c r="K18" s="277"/>
      <c r="L18" s="297">
        <f t="shared" si="2"/>
        <v>0</v>
      </c>
      <c r="M18" s="277"/>
      <c r="N18" s="1802">
        <f>SUM(N19:N29)</f>
        <v>0</v>
      </c>
      <c r="O18" s="590"/>
      <c r="P18" s="1133"/>
      <c r="Q18" s="3161">
        <f>SUM(Q19:Q29)</f>
        <v>0</v>
      </c>
      <c r="R18" s="3182"/>
      <c r="S18" s="3182"/>
      <c r="T18" s="3182"/>
      <c r="U18" s="3182"/>
      <c r="V18" s="3333">
        <f t="shared" si="0"/>
        <v>0</v>
      </c>
      <c r="W18" s="3258">
        <f t="shared" si="1"/>
        <v>0</v>
      </c>
    </row>
    <row r="19" spans="1:23">
      <c r="A19" s="88" t="s">
        <v>4983</v>
      </c>
      <c r="B19" s="874"/>
      <c r="C19" s="874" t="s">
        <v>5078</v>
      </c>
      <c r="D19" s="874" t="s">
        <v>81</v>
      </c>
      <c r="E19" s="589"/>
      <c r="F19" s="589"/>
      <c r="G19" s="589"/>
      <c r="H19" s="589"/>
      <c r="I19" s="589"/>
      <c r="J19" s="589"/>
      <c r="K19" s="277"/>
      <c r="L19" s="297">
        <f t="shared" si="2"/>
        <v>0</v>
      </c>
      <c r="M19" s="277"/>
      <c r="N19" s="1802">
        <f t="shared" ref="N19:N29" si="4">L19*M19</f>
        <v>0</v>
      </c>
      <c r="O19" s="590"/>
      <c r="P19" s="590"/>
      <c r="Q19" s="3163"/>
      <c r="R19" s="3182"/>
      <c r="S19" s="3182"/>
      <c r="T19" s="3182"/>
      <c r="U19" s="3182"/>
      <c r="V19" s="3333">
        <f t="shared" si="0"/>
        <v>0</v>
      </c>
      <c r="W19" s="3258">
        <f t="shared" si="1"/>
        <v>0</v>
      </c>
    </row>
    <row r="20" spans="1:23">
      <c r="A20" s="88" t="s">
        <v>4984</v>
      </c>
      <c r="B20" s="874"/>
      <c r="C20" s="874" t="s">
        <v>4979</v>
      </c>
      <c r="D20" s="874" t="s">
        <v>145</v>
      </c>
      <c r="E20" s="589"/>
      <c r="F20" s="589"/>
      <c r="G20" s="589"/>
      <c r="H20" s="589"/>
      <c r="I20" s="589"/>
      <c r="J20" s="589"/>
      <c r="K20" s="277"/>
      <c r="L20" s="297">
        <f t="shared" si="2"/>
        <v>0</v>
      </c>
      <c r="M20" s="277"/>
      <c r="N20" s="1802">
        <f t="shared" si="4"/>
        <v>0</v>
      </c>
      <c r="O20" s="590"/>
      <c r="P20" s="590"/>
      <c r="Q20" s="3163"/>
      <c r="R20" s="3182"/>
      <c r="S20" s="3182"/>
      <c r="T20" s="3182"/>
      <c r="U20" s="3182"/>
      <c r="V20" s="3333">
        <f t="shared" si="0"/>
        <v>0</v>
      </c>
      <c r="W20" s="3258">
        <f t="shared" si="1"/>
        <v>0</v>
      </c>
    </row>
    <row r="21" spans="1:23">
      <c r="A21" s="88" t="s">
        <v>4985</v>
      </c>
      <c r="B21" s="874"/>
      <c r="C21" s="874" t="s">
        <v>4981</v>
      </c>
      <c r="D21" s="874" t="s">
        <v>394</v>
      </c>
      <c r="E21" s="589"/>
      <c r="F21" s="589"/>
      <c r="G21" s="589"/>
      <c r="H21" s="589"/>
      <c r="I21" s="589"/>
      <c r="J21" s="589"/>
      <c r="K21" s="277"/>
      <c r="L21" s="297">
        <f t="shared" si="2"/>
        <v>0</v>
      </c>
      <c r="M21" s="277"/>
      <c r="N21" s="1802">
        <f t="shared" si="4"/>
        <v>0</v>
      </c>
      <c r="O21" s="590"/>
      <c r="P21" s="590"/>
      <c r="Q21" s="3163"/>
      <c r="R21" s="3182"/>
      <c r="S21" s="3182"/>
      <c r="T21" s="3182"/>
      <c r="U21" s="3182"/>
      <c r="V21" s="3333">
        <f t="shared" si="0"/>
        <v>0</v>
      </c>
      <c r="W21" s="3258">
        <f t="shared" si="1"/>
        <v>0</v>
      </c>
    </row>
    <row r="22" spans="1:23">
      <c r="A22" s="88" t="s">
        <v>4986</v>
      </c>
      <c r="B22" s="874"/>
      <c r="C22" s="874" t="s">
        <v>4980</v>
      </c>
      <c r="D22" s="874" t="s">
        <v>147</v>
      </c>
      <c r="E22" s="589"/>
      <c r="F22" s="589"/>
      <c r="G22" s="589"/>
      <c r="H22" s="589"/>
      <c r="I22" s="589"/>
      <c r="J22" s="589"/>
      <c r="K22" s="277"/>
      <c r="L22" s="297">
        <f t="shared" si="2"/>
        <v>0</v>
      </c>
      <c r="M22" s="277"/>
      <c r="N22" s="1802">
        <f t="shared" si="4"/>
        <v>0</v>
      </c>
      <c r="O22" s="590"/>
      <c r="P22" s="590"/>
      <c r="Q22" s="3163"/>
      <c r="R22" s="3182"/>
      <c r="S22" s="3182"/>
      <c r="T22" s="3182"/>
      <c r="U22" s="3182"/>
      <c r="V22" s="3333">
        <f t="shared" si="0"/>
        <v>0</v>
      </c>
      <c r="W22" s="3258">
        <f t="shared" si="1"/>
        <v>0</v>
      </c>
    </row>
    <row r="23" spans="1:23">
      <c r="A23" s="88" t="s">
        <v>4987</v>
      </c>
      <c r="B23" s="874"/>
      <c r="C23" s="874" t="s">
        <v>4982</v>
      </c>
      <c r="D23" s="874" t="s">
        <v>410</v>
      </c>
      <c r="E23" s="589"/>
      <c r="F23" s="589"/>
      <c r="G23" s="589"/>
      <c r="H23" s="589"/>
      <c r="I23" s="589"/>
      <c r="J23" s="589"/>
      <c r="K23" s="277"/>
      <c r="L23" s="297">
        <f t="shared" si="2"/>
        <v>0</v>
      </c>
      <c r="M23" s="277"/>
      <c r="N23" s="1802">
        <f t="shared" si="4"/>
        <v>0</v>
      </c>
      <c r="O23" s="590"/>
      <c r="P23" s="590"/>
      <c r="Q23" s="3163"/>
      <c r="R23" s="3182"/>
      <c r="S23" s="3182"/>
      <c r="T23" s="3182"/>
      <c r="U23" s="3182"/>
      <c r="V23" s="3333">
        <f t="shared" si="0"/>
        <v>0</v>
      </c>
      <c r="W23" s="3258">
        <f t="shared" si="1"/>
        <v>0</v>
      </c>
    </row>
    <row r="24" spans="1:23">
      <c r="A24" s="88" t="s">
        <v>4988</v>
      </c>
      <c r="B24" s="874"/>
      <c r="C24" s="874" t="s">
        <v>5079</v>
      </c>
      <c r="D24" s="874" t="s">
        <v>4668</v>
      </c>
      <c r="E24" s="589"/>
      <c r="F24" s="589"/>
      <c r="G24" s="589"/>
      <c r="H24" s="589"/>
      <c r="I24" s="589"/>
      <c r="J24" s="589"/>
      <c r="K24" s="277"/>
      <c r="L24" s="297">
        <f t="shared" si="2"/>
        <v>0</v>
      </c>
      <c r="M24" s="277"/>
      <c r="N24" s="1802">
        <f t="shared" si="4"/>
        <v>0</v>
      </c>
      <c r="O24" s="590"/>
      <c r="P24" s="590"/>
      <c r="Q24" s="3163"/>
      <c r="R24" s="3182"/>
      <c r="S24" s="3182"/>
      <c r="T24" s="3182"/>
      <c r="U24" s="3182"/>
      <c r="V24" s="3333">
        <f t="shared" si="0"/>
        <v>0</v>
      </c>
      <c r="W24" s="3258">
        <f t="shared" si="1"/>
        <v>0</v>
      </c>
    </row>
    <row r="25" spans="1:23">
      <c r="A25" s="88" t="s">
        <v>4989</v>
      </c>
      <c r="B25" s="874"/>
      <c r="C25" s="874" t="s">
        <v>5080</v>
      </c>
      <c r="D25" s="874" t="s">
        <v>3989</v>
      </c>
      <c r="E25" s="589"/>
      <c r="F25" s="589"/>
      <c r="G25" s="589"/>
      <c r="H25" s="589"/>
      <c r="I25" s="589"/>
      <c r="J25" s="589"/>
      <c r="K25" s="277"/>
      <c r="L25" s="297">
        <f t="shared" si="2"/>
        <v>0</v>
      </c>
      <c r="M25" s="277"/>
      <c r="N25" s="1802">
        <f t="shared" si="4"/>
        <v>0</v>
      </c>
      <c r="O25" s="590"/>
      <c r="P25" s="590"/>
      <c r="Q25" s="3163"/>
      <c r="R25" s="3182"/>
      <c r="S25" s="3182"/>
      <c r="T25" s="3182"/>
      <c r="U25" s="3182"/>
      <c r="V25" s="3333">
        <f t="shared" si="0"/>
        <v>0</v>
      </c>
      <c r="W25" s="3258">
        <f t="shared" si="1"/>
        <v>0</v>
      </c>
    </row>
    <row r="26" spans="1:23">
      <c r="A26" s="88" t="s">
        <v>5084</v>
      </c>
      <c r="B26" s="874"/>
      <c r="C26" s="874" t="s">
        <v>5081</v>
      </c>
      <c r="D26" s="874" t="s">
        <v>1014</v>
      </c>
      <c r="E26" s="589"/>
      <c r="F26" s="589"/>
      <c r="G26" s="589"/>
      <c r="H26" s="589"/>
      <c r="I26" s="589"/>
      <c r="J26" s="589"/>
      <c r="K26" s="277"/>
      <c r="L26" s="297">
        <f t="shared" si="2"/>
        <v>0</v>
      </c>
      <c r="M26" s="277"/>
      <c r="N26" s="1802">
        <f t="shared" si="4"/>
        <v>0</v>
      </c>
      <c r="O26" s="590"/>
      <c r="P26" s="590"/>
      <c r="Q26" s="3163"/>
      <c r="R26" s="3182"/>
      <c r="S26" s="3182"/>
      <c r="T26" s="3182"/>
      <c r="U26" s="3182"/>
      <c r="V26" s="3333">
        <f t="shared" si="0"/>
        <v>0</v>
      </c>
      <c r="W26" s="3258">
        <f t="shared" si="1"/>
        <v>0</v>
      </c>
    </row>
    <row r="27" spans="1:23">
      <c r="A27" s="88" t="s">
        <v>5085</v>
      </c>
      <c r="B27" s="874"/>
      <c r="C27" s="874" t="s">
        <v>5082</v>
      </c>
      <c r="D27" s="874" t="s">
        <v>1028</v>
      </c>
      <c r="E27" s="589"/>
      <c r="F27" s="589"/>
      <c r="G27" s="589"/>
      <c r="H27" s="589"/>
      <c r="I27" s="589"/>
      <c r="J27" s="589"/>
      <c r="K27" s="277"/>
      <c r="L27" s="297">
        <f t="shared" si="2"/>
        <v>0</v>
      </c>
      <c r="M27" s="277"/>
      <c r="N27" s="1802">
        <f t="shared" si="4"/>
        <v>0</v>
      </c>
      <c r="O27" s="590"/>
      <c r="P27" s="590"/>
      <c r="Q27" s="3163"/>
      <c r="R27" s="3182"/>
      <c r="S27" s="3182"/>
      <c r="T27" s="3182"/>
      <c r="U27" s="3182"/>
      <c r="V27" s="3333">
        <f t="shared" si="0"/>
        <v>0</v>
      </c>
      <c r="W27" s="3258">
        <f t="shared" si="1"/>
        <v>0</v>
      </c>
    </row>
    <row r="28" spans="1:23">
      <c r="A28" s="88" t="s">
        <v>5086</v>
      </c>
      <c r="B28" s="874"/>
      <c r="C28" s="874" t="s">
        <v>5083</v>
      </c>
      <c r="D28" s="874" t="s">
        <v>307</v>
      </c>
      <c r="E28" s="589"/>
      <c r="F28" s="589"/>
      <c r="G28" s="589"/>
      <c r="H28" s="589"/>
      <c r="I28" s="589"/>
      <c r="J28" s="589"/>
      <c r="K28" s="277"/>
      <c r="L28" s="297">
        <f t="shared" si="2"/>
        <v>0</v>
      </c>
      <c r="M28" s="277"/>
      <c r="N28" s="1802">
        <f t="shared" si="4"/>
        <v>0</v>
      </c>
      <c r="O28" s="590"/>
      <c r="P28" s="590"/>
      <c r="Q28" s="3163"/>
      <c r="R28" s="3182"/>
      <c r="S28" s="3182"/>
      <c r="T28" s="3182"/>
      <c r="U28" s="3182"/>
      <c r="V28" s="3333">
        <f t="shared" si="0"/>
        <v>0</v>
      </c>
      <c r="W28" s="3258">
        <f t="shared" si="1"/>
        <v>0</v>
      </c>
    </row>
    <row r="29" spans="1:23">
      <c r="A29" s="88" t="s">
        <v>5087</v>
      </c>
      <c r="B29" s="874"/>
      <c r="C29" s="874" t="s">
        <v>4977</v>
      </c>
      <c r="D29" s="874" t="s">
        <v>309</v>
      </c>
      <c r="E29" s="589"/>
      <c r="F29" s="589"/>
      <c r="G29" s="589"/>
      <c r="H29" s="589"/>
      <c r="I29" s="589"/>
      <c r="J29" s="589"/>
      <c r="K29" s="277"/>
      <c r="L29" s="297">
        <f t="shared" si="2"/>
        <v>0</v>
      </c>
      <c r="M29" s="277"/>
      <c r="N29" s="1802">
        <f t="shared" si="4"/>
        <v>0</v>
      </c>
      <c r="O29" s="590"/>
      <c r="P29" s="590"/>
      <c r="Q29" s="3163"/>
      <c r="R29" s="3182"/>
      <c r="S29" s="3182"/>
      <c r="T29" s="3182"/>
      <c r="U29" s="3182"/>
      <c r="V29" s="3333">
        <f t="shared" si="0"/>
        <v>0</v>
      </c>
      <c r="W29" s="3258">
        <f t="shared" si="1"/>
        <v>0</v>
      </c>
    </row>
    <row r="30" spans="1:23">
      <c r="A30" s="876" t="s">
        <v>3038</v>
      </c>
      <c r="B30" s="877"/>
      <c r="C30" s="878" t="s">
        <v>37</v>
      </c>
      <c r="D30" s="878"/>
      <c r="E30" s="1817"/>
      <c r="F30" s="1817"/>
      <c r="G30" s="1817"/>
      <c r="H30" s="1817"/>
      <c r="I30" s="1817"/>
      <c r="J30" s="1817"/>
      <c r="K30" s="1817"/>
      <c r="L30" s="689"/>
      <c r="M30" s="1818"/>
      <c r="N30" s="689">
        <f>N31+N32</f>
        <v>0</v>
      </c>
      <c r="O30" s="596"/>
      <c r="P30" s="596"/>
      <c r="Q30" s="3164">
        <f>Q31+Q32</f>
        <v>0</v>
      </c>
      <c r="R30" s="3182"/>
      <c r="S30" s="3182"/>
      <c r="T30" s="3182"/>
      <c r="U30" s="3182"/>
      <c r="V30" s="3333">
        <f t="shared" si="0"/>
        <v>0</v>
      </c>
      <c r="W30" s="3258">
        <f t="shared" si="1"/>
        <v>0</v>
      </c>
    </row>
    <row r="31" spans="1:23">
      <c r="A31" s="575" t="s">
        <v>3039</v>
      </c>
      <c r="B31" s="879"/>
      <c r="C31" s="501" t="s">
        <v>2853</v>
      </c>
      <c r="D31" s="501" t="s">
        <v>113</v>
      </c>
      <c r="E31" s="291"/>
      <c r="F31" s="291"/>
      <c r="G31" s="291"/>
      <c r="H31" s="291"/>
      <c r="I31" s="291"/>
      <c r="J31" s="291"/>
      <c r="K31" s="277"/>
      <c r="L31" s="297">
        <f t="shared" si="2"/>
        <v>0</v>
      </c>
      <c r="M31" s="277"/>
      <c r="N31" s="1802">
        <f>L31*M31</f>
        <v>0</v>
      </c>
      <c r="O31" s="179"/>
      <c r="P31" s="179"/>
      <c r="Q31" s="3165"/>
      <c r="R31" s="3182"/>
      <c r="S31" s="3182"/>
      <c r="T31" s="3182"/>
      <c r="U31" s="3182"/>
      <c r="V31" s="3333">
        <f t="shared" si="0"/>
        <v>0</v>
      </c>
      <c r="W31" s="3258">
        <f t="shared" si="1"/>
        <v>0</v>
      </c>
    </row>
    <row r="32" spans="1:23">
      <c r="A32" s="575" t="s">
        <v>3040</v>
      </c>
      <c r="B32" s="879"/>
      <c r="C32" s="501" t="s">
        <v>2854</v>
      </c>
      <c r="D32" s="501" t="s">
        <v>86</v>
      </c>
      <c r="E32" s="291"/>
      <c r="F32" s="291"/>
      <c r="G32" s="291"/>
      <c r="H32" s="291"/>
      <c r="I32" s="291"/>
      <c r="J32" s="291"/>
      <c r="K32" s="277"/>
      <c r="L32" s="297">
        <f t="shared" si="2"/>
        <v>0</v>
      </c>
      <c r="M32" s="277"/>
      <c r="N32" s="1802">
        <f>L32*M32</f>
        <v>0</v>
      </c>
      <c r="O32" s="179"/>
      <c r="P32" s="179"/>
      <c r="Q32" s="3165"/>
      <c r="R32" s="3182"/>
      <c r="S32" s="3182"/>
      <c r="T32" s="3182"/>
      <c r="U32" s="3182"/>
      <c r="V32" s="3333">
        <f t="shared" si="0"/>
        <v>0</v>
      </c>
      <c r="W32" s="3258">
        <f t="shared" si="1"/>
        <v>0</v>
      </c>
    </row>
    <row r="33" spans="1:23">
      <c r="A33" s="872" t="s">
        <v>3041</v>
      </c>
      <c r="B33" s="872"/>
      <c r="C33" s="872" t="s">
        <v>40</v>
      </c>
      <c r="D33" s="872"/>
      <c r="E33" s="164"/>
      <c r="F33" s="164"/>
      <c r="G33" s="164"/>
      <c r="H33" s="164"/>
      <c r="I33" s="164"/>
      <c r="J33" s="164"/>
      <c r="K33" s="164"/>
      <c r="L33" s="872"/>
      <c r="M33" s="164"/>
      <c r="N33" s="1801">
        <f>SUM(N34:N37)</f>
        <v>0</v>
      </c>
      <c r="O33" s="164"/>
      <c r="P33" s="164"/>
      <c r="Q33" s="3160">
        <f>SUM(Q34:Q37)</f>
        <v>0</v>
      </c>
      <c r="R33" s="3182"/>
      <c r="S33" s="3182"/>
      <c r="T33" s="3182"/>
      <c r="U33" s="3182"/>
      <c r="V33" s="3333">
        <f t="shared" si="0"/>
        <v>0</v>
      </c>
      <c r="W33" s="3258">
        <f t="shared" si="1"/>
        <v>0</v>
      </c>
    </row>
    <row r="34" spans="1:23">
      <c r="A34" s="88" t="s">
        <v>3042</v>
      </c>
      <c r="B34" s="88" t="s">
        <v>2855</v>
      </c>
      <c r="C34" s="88" t="s">
        <v>2856</v>
      </c>
      <c r="D34" s="88" t="s">
        <v>5036</v>
      </c>
      <c r="E34" s="54"/>
      <c r="F34" s="54"/>
      <c r="G34" s="54"/>
      <c r="H34" s="54"/>
      <c r="I34" s="54"/>
      <c r="J34" s="54"/>
      <c r="K34" s="277"/>
      <c r="L34" s="297">
        <f t="shared" si="2"/>
        <v>0</v>
      </c>
      <c r="M34" s="277"/>
      <c r="N34" s="1802">
        <f>L34*M34</f>
        <v>0</v>
      </c>
      <c r="O34" s="54"/>
      <c r="P34" s="54"/>
      <c r="Q34" s="3163"/>
      <c r="R34" s="3182"/>
      <c r="S34" s="3182"/>
      <c r="T34" s="3182"/>
      <c r="U34" s="3182"/>
      <c r="V34" s="3333">
        <f t="shared" si="0"/>
        <v>0</v>
      </c>
      <c r="W34" s="3258">
        <f t="shared" si="1"/>
        <v>0</v>
      </c>
    </row>
    <row r="35" spans="1:23" ht="30">
      <c r="A35" s="88" t="s">
        <v>3043</v>
      </c>
      <c r="B35" s="88" t="s">
        <v>2857</v>
      </c>
      <c r="C35" s="88" t="s">
        <v>2858</v>
      </c>
      <c r="D35" s="88" t="s">
        <v>5036</v>
      </c>
      <c r="E35" s="54"/>
      <c r="F35" s="54"/>
      <c r="G35" s="54"/>
      <c r="H35" s="54"/>
      <c r="I35" s="54"/>
      <c r="J35" s="54"/>
      <c r="K35" s="277"/>
      <c r="L35" s="297">
        <f t="shared" si="2"/>
        <v>0</v>
      </c>
      <c r="M35" s="277"/>
      <c r="N35" s="1802">
        <f>L35*M35</f>
        <v>0</v>
      </c>
      <c r="O35" s="54"/>
      <c r="P35" s="54"/>
      <c r="Q35" s="3163"/>
      <c r="R35" s="3182"/>
      <c r="S35" s="3182"/>
      <c r="T35" s="3182"/>
      <c r="U35" s="3182"/>
      <c r="V35" s="3333">
        <f t="shared" si="0"/>
        <v>0</v>
      </c>
      <c r="W35" s="3258">
        <f t="shared" si="1"/>
        <v>0</v>
      </c>
    </row>
    <row r="36" spans="1:23">
      <c r="A36" s="88" t="s">
        <v>3044</v>
      </c>
      <c r="B36" s="88" t="s">
        <v>2859</v>
      </c>
      <c r="C36" s="88" t="s">
        <v>2860</v>
      </c>
      <c r="D36" s="88" t="s">
        <v>5036</v>
      </c>
      <c r="E36" s="54"/>
      <c r="F36" s="54"/>
      <c r="G36" s="54"/>
      <c r="H36" s="54"/>
      <c r="I36" s="54"/>
      <c r="J36" s="54"/>
      <c r="K36" s="277"/>
      <c r="L36" s="297">
        <f t="shared" si="2"/>
        <v>0</v>
      </c>
      <c r="M36" s="277"/>
      <c r="N36" s="1802">
        <f>L36*M36</f>
        <v>0</v>
      </c>
      <c r="O36" s="54"/>
      <c r="P36" s="54"/>
      <c r="Q36" s="3163"/>
      <c r="R36" s="3182"/>
      <c r="S36" s="3182"/>
      <c r="T36" s="3182"/>
      <c r="U36" s="3182"/>
      <c r="V36" s="3333">
        <f t="shared" si="0"/>
        <v>0</v>
      </c>
      <c r="W36" s="3258">
        <f t="shared" si="1"/>
        <v>0</v>
      </c>
    </row>
    <row r="37" spans="1:23">
      <c r="A37" s="88" t="s">
        <v>3045</v>
      </c>
      <c r="B37" s="158"/>
      <c r="C37" s="874" t="s">
        <v>302</v>
      </c>
      <c r="D37" s="88" t="s">
        <v>5036</v>
      </c>
      <c r="E37" s="155"/>
      <c r="F37" s="155"/>
      <c r="G37" s="155"/>
      <c r="H37" s="155"/>
      <c r="I37" s="155"/>
      <c r="J37" s="155"/>
      <c r="K37" s="277"/>
      <c r="L37" s="297">
        <f t="shared" si="2"/>
        <v>0</v>
      </c>
      <c r="M37" s="277"/>
      <c r="N37" s="1802">
        <f>L37*M37</f>
        <v>0</v>
      </c>
      <c r="O37" s="54"/>
      <c r="P37" s="54"/>
      <c r="Q37" s="3163"/>
      <c r="R37" s="3182"/>
      <c r="S37" s="3182"/>
      <c r="T37" s="3182"/>
      <c r="U37" s="3182"/>
      <c r="V37" s="3333">
        <f t="shared" si="0"/>
        <v>0</v>
      </c>
      <c r="W37" s="3258">
        <f t="shared" si="1"/>
        <v>0</v>
      </c>
    </row>
    <row r="38" spans="1:23">
      <c r="A38" s="165" t="s">
        <v>3046</v>
      </c>
      <c r="B38" s="165"/>
      <c r="C38" s="165" t="s">
        <v>2</v>
      </c>
      <c r="D38" s="165"/>
      <c r="E38" s="101"/>
      <c r="F38" s="101"/>
      <c r="G38" s="101"/>
      <c r="H38" s="101"/>
      <c r="I38" s="101"/>
      <c r="J38" s="101"/>
      <c r="K38" s="101"/>
      <c r="L38" s="165"/>
      <c r="M38" s="101"/>
      <c r="N38" s="1800">
        <f>N39+N42+N45</f>
        <v>3.456</v>
      </c>
      <c r="O38" s="101"/>
      <c r="P38" s="101"/>
      <c r="Q38" s="3159">
        <f>Q39+Q42+Q45</f>
        <v>2.04</v>
      </c>
      <c r="R38" s="3182"/>
      <c r="S38" s="3182"/>
      <c r="T38" s="3182"/>
      <c r="U38" s="3182"/>
      <c r="V38" s="3333">
        <f t="shared" si="0"/>
        <v>0</v>
      </c>
      <c r="W38" s="3258">
        <f t="shared" si="1"/>
        <v>2.04</v>
      </c>
    </row>
    <row r="39" spans="1:23">
      <c r="A39" s="872" t="s">
        <v>3047</v>
      </c>
      <c r="B39" s="872"/>
      <c r="C39" s="872" t="s">
        <v>3</v>
      </c>
      <c r="D39" s="872"/>
      <c r="E39" s="164"/>
      <c r="F39" s="164"/>
      <c r="G39" s="164"/>
      <c r="H39" s="164"/>
      <c r="I39" s="164"/>
      <c r="J39" s="164"/>
      <c r="K39" s="164"/>
      <c r="L39" s="872"/>
      <c r="M39" s="164"/>
      <c r="N39" s="1801">
        <f>SUM(N40:N41)</f>
        <v>0</v>
      </c>
      <c r="O39" s="164"/>
      <c r="P39" s="164"/>
      <c r="Q39" s="3160">
        <f>SUM(Q40:Q41)</f>
        <v>0</v>
      </c>
      <c r="R39" s="3182"/>
      <c r="S39" s="3182"/>
      <c r="T39" s="3182"/>
      <c r="U39" s="3182"/>
      <c r="V39" s="3333">
        <f t="shared" si="0"/>
        <v>0</v>
      </c>
      <c r="W39" s="3258">
        <f t="shared" si="1"/>
        <v>0</v>
      </c>
    </row>
    <row r="40" spans="1:23" ht="30">
      <c r="A40" s="88" t="s">
        <v>3048</v>
      </c>
      <c r="B40" s="88" t="s">
        <v>2861</v>
      </c>
      <c r="C40" s="88" t="s">
        <v>2862</v>
      </c>
      <c r="D40" s="88" t="s">
        <v>5036</v>
      </c>
      <c r="E40" s="54"/>
      <c r="F40" s="54"/>
      <c r="G40" s="54"/>
      <c r="H40" s="54"/>
      <c r="I40" s="54"/>
      <c r="J40" s="54"/>
      <c r="K40" s="277"/>
      <c r="L40" s="297">
        <f t="shared" si="2"/>
        <v>0</v>
      </c>
      <c r="M40" s="277"/>
      <c r="N40" s="1802">
        <f>L40*M40</f>
        <v>0</v>
      </c>
      <c r="O40" s="54"/>
      <c r="P40" s="54"/>
      <c r="Q40" s="3163"/>
      <c r="R40" s="3182"/>
      <c r="S40" s="3182"/>
      <c r="T40" s="3182"/>
      <c r="U40" s="3182"/>
      <c r="V40" s="3333">
        <f t="shared" si="0"/>
        <v>0</v>
      </c>
      <c r="W40" s="3258">
        <f t="shared" si="1"/>
        <v>0</v>
      </c>
    </row>
    <row r="41" spans="1:23">
      <c r="A41" s="88" t="s">
        <v>3049</v>
      </c>
      <c r="B41" s="158"/>
      <c r="C41" s="874" t="s">
        <v>302</v>
      </c>
      <c r="D41" s="88" t="s">
        <v>5036</v>
      </c>
      <c r="E41" s="155"/>
      <c r="F41" s="155"/>
      <c r="G41" s="155"/>
      <c r="H41" s="155"/>
      <c r="I41" s="155"/>
      <c r="J41" s="155"/>
      <c r="K41" s="277"/>
      <c r="L41" s="297">
        <f t="shared" si="2"/>
        <v>0</v>
      </c>
      <c r="M41" s="277"/>
      <c r="N41" s="1802">
        <f>L41*M41</f>
        <v>0</v>
      </c>
      <c r="O41" s="54"/>
      <c r="P41" s="54"/>
      <c r="Q41" s="3163"/>
      <c r="R41" s="3182"/>
      <c r="S41" s="3182"/>
      <c r="T41" s="3182"/>
      <c r="U41" s="3182"/>
      <c r="V41" s="3333">
        <f t="shared" si="0"/>
        <v>0</v>
      </c>
      <c r="W41" s="3258">
        <f t="shared" si="1"/>
        <v>0</v>
      </c>
    </row>
    <row r="42" spans="1:23">
      <c r="A42" s="872" t="s">
        <v>3050</v>
      </c>
      <c r="B42" s="872"/>
      <c r="C42" s="872" t="s">
        <v>4</v>
      </c>
      <c r="D42" s="872"/>
      <c r="E42" s="164"/>
      <c r="F42" s="164"/>
      <c r="G42" s="164"/>
      <c r="H42" s="164"/>
      <c r="I42" s="164"/>
      <c r="J42" s="164"/>
      <c r="K42" s="164"/>
      <c r="L42" s="872"/>
      <c r="M42" s="164"/>
      <c r="N42" s="1801">
        <f>SUM(N43:N44)</f>
        <v>2.04</v>
      </c>
      <c r="O42" s="164"/>
      <c r="P42" s="164"/>
      <c r="Q42" s="3160">
        <f>SUM(Q43:Q44)</f>
        <v>2.04</v>
      </c>
      <c r="R42" s="3182"/>
      <c r="S42" s="3182"/>
      <c r="T42" s="3182"/>
      <c r="U42" s="3182"/>
      <c r="V42" s="3333">
        <f t="shared" si="0"/>
        <v>0</v>
      </c>
      <c r="W42" s="3258">
        <f>+Q42-V42-Q42</f>
        <v>0</v>
      </c>
    </row>
    <row r="43" spans="1:23" s="861" customFormat="1" ht="120">
      <c r="A43" s="107" t="s">
        <v>3051</v>
      </c>
      <c r="B43" s="107" t="s">
        <v>2863</v>
      </c>
      <c r="C43" s="107" t="s">
        <v>2864</v>
      </c>
      <c r="D43" s="107" t="s">
        <v>5036</v>
      </c>
      <c r="E43" s="108">
        <v>17</v>
      </c>
      <c r="F43" s="108">
        <v>17</v>
      </c>
      <c r="G43" s="108">
        <v>1.19</v>
      </c>
      <c r="H43" s="108">
        <v>0.16</v>
      </c>
      <c r="I43" s="108">
        <v>1.03</v>
      </c>
      <c r="J43" s="108"/>
      <c r="K43" s="2317">
        <v>12000</v>
      </c>
      <c r="L43" s="298">
        <f t="shared" si="2"/>
        <v>0.12</v>
      </c>
      <c r="M43" s="2317">
        <v>17</v>
      </c>
      <c r="N43" s="234">
        <f>L43*M43</f>
        <v>2.04</v>
      </c>
      <c r="O43" s="108" t="s">
        <v>5139</v>
      </c>
      <c r="P43" s="108" t="s">
        <v>5836</v>
      </c>
      <c r="Q43" s="3165">
        <v>2.04</v>
      </c>
      <c r="R43" s="3184">
        <v>0</v>
      </c>
      <c r="S43" s="3184">
        <v>0.36</v>
      </c>
      <c r="T43" s="3184">
        <v>0.6</v>
      </c>
      <c r="U43" s="3184">
        <v>1.08</v>
      </c>
      <c r="V43" s="3333">
        <f t="shared" si="0"/>
        <v>2.04</v>
      </c>
      <c r="W43" s="3258">
        <f t="shared" si="1"/>
        <v>0</v>
      </c>
    </row>
    <row r="44" spans="1:23">
      <c r="A44" s="88" t="s">
        <v>3052</v>
      </c>
      <c r="B44" s="88"/>
      <c r="C44" s="88" t="s">
        <v>302</v>
      </c>
      <c r="D44" s="88" t="s">
        <v>5036</v>
      </c>
      <c r="E44" s="54"/>
      <c r="F44" s="54"/>
      <c r="G44" s="54"/>
      <c r="H44" s="54"/>
      <c r="I44" s="54"/>
      <c r="J44" s="54"/>
      <c r="K44" s="277"/>
      <c r="L44" s="297">
        <f t="shared" si="2"/>
        <v>0</v>
      </c>
      <c r="M44" s="277"/>
      <c r="N44" s="1802">
        <f>L44*M44</f>
        <v>0</v>
      </c>
      <c r="O44" s="54"/>
      <c r="P44" s="54"/>
      <c r="Q44" s="3163"/>
      <c r="R44" s="3182"/>
      <c r="S44" s="3182"/>
      <c r="T44" s="3182"/>
      <c r="U44" s="3182"/>
      <c r="V44" s="3333">
        <f t="shared" si="0"/>
        <v>0</v>
      </c>
      <c r="W44" s="3258">
        <f t="shared" si="1"/>
        <v>0</v>
      </c>
    </row>
    <row r="45" spans="1:23">
      <c r="A45" s="872" t="s">
        <v>3053</v>
      </c>
      <c r="B45" s="872"/>
      <c r="C45" s="872" t="s">
        <v>5</v>
      </c>
      <c r="D45" s="872"/>
      <c r="E45" s="164"/>
      <c r="F45" s="164"/>
      <c r="G45" s="164"/>
      <c r="H45" s="164"/>
      <c r="I45" s="164"/>
      <c r="J45" s="164"/>
      <c r="K45" s="164"/>
      <c r="L45" s="872"/>
      <c r="M45" s="164"/>
      <c r="N45" s="1801">
        <f>SUM(N46:N50)</f>
        <v>1.4159999999999999</v>
      </c>
      <c r="O45" s="164"/>
      <c r="P45" s="164"/>
      <c r="Q45" s="3160">
        <f>SUM(Q46:Q50)</f>
        <v>0</v>
      </c>
      <c r="R45" s="3182"/>
      <c r="S45" s="3182"/>
      <c r="T45" s="3182"/>
      <c r="U45" s="3182"/>
      <c r="V45" s="3333">
        <f t="shared" si="0"/>
        <v>0</v>
      </c>
      <c r="W45" s="3258">
        <f t="shared" si="1"/>
        <v>0</v>
      </c>
    </row>
    <row r="46" spans="1:23" s="861" customFormat="1" ht="75">
      <c r="A46" s="107" t="s">
        <v>3054</v>
      </c>
      <c r="B46" s="107" t="s">
        <v>2865</v>
      </c>
      <c r="C46" s="107" t="s">
        <v>2866</v>
      </c>
      <c r="D46" s="107" t="s">
        <v>5036</v>
      </c>
      <c r="E46" s="108">
        <v>10</v>
      </c>
      <c r="F46" s="108"/>
      <c r="G46" s="108">
        <v>1</v>
      </c>
      <c r="H46" s="108">
        <v>0.46</v>
      </c>
      <c r="I46" s="108">
        <v>0.54</v>
      </c>
      <c r="J46" s="108"/>
      <c r="K46" s="2317">
        <v>1200</v>
      </c>
      <c r="L46" s="298">
        <f t="shared" si="2"/>
        <v>1.2E-2</v>
      </c>
      <c r="M46" s="2317">
        <v>118</v>
      </c>
      <c r="N46" s="234">
        <f>L46*M46</f>
        <v>1.4159999999999999</v>
      </c>
      <c r="O46" s="108" t="s">
        <v>5140</v>
      </c>
      <c r="P46" s="108" t="s">
        <v>5837</v>
      </c>
      <c r="Q46" s="3165">
        <v>0</v>
      </c>
      <c r="R46" s="3184"/>
      <c r="S46" s="3184"/>
      <c r="T46" s="3184"/>
      <c r="U46" s="3184"/>
      <c r="V46" s="3333">
        <f t="shared" si="0"/>
        <v>0</v>
      </c>
      <c r="W46" s="3258">
        <f t="shared" si="1"/>
        <v>0</v>
      </c>
    </row>
    <row r="47" spans="1:23" ht="45">
      <c r="A47" s="88" t="s">
        <v>3055</v>
      </c>
      <c r="B47" s="88" t="s">
        <v>2867</v>
      </c>
      <c r="C47" s="88" t="s">
        <v>4990</v>
      </c>
      <c r="D47" s="88" t="s">
        <v>5036</v>
      </c>
      <c r="E47" s="54">
        <v>3</v>
      </c>
      <c r="F47" s="54"/>
      <c r="G47" s="54"/>
      <c r="H47" s="54"/>
      <c r="I47" s="54"/>
      <c r="J47" s="54"/>
      <c r="K47" s="277"/>
      <c r="L47" s="297">
        <f t="shared" si="2"/>
        <v>0</v>
      </c>
      <c r="M47" s="277"/>
      <c r="N47" s="1802">
        <f>L47*M47</f>
        <v>0</v>
      </c>
      <c r="O47" s="54"/>
      <c r="P47" s="54"/>
      <c r="Q47" s="3163"/>
      <c r="R47" s="3182"/>
      <c r="S47" s="3182"/>
      <c r="T47" s="3182"/>
      <c r="U47" s="3182"/>
      <c r="V47" s="3333">
        <f t="shared" si="0"/>
        <v>0</v>
      </c>
      <c r="W47" s="3258">
        <f t="shared" si="1"/>
        <v>0</v>
      </c>
    </row>
    <row r="48" spans="1:23" s="861" customFormat="1" ht="30">
      <c r="A48" s="107" t="s">
        <v>3056</v>
      </c>
      <c r="B48" s="107" t="s">
        <v>2990</v>
      </c>
      <c r="C48" s="107" t="s">
        <v>2991</v>
      </c>
      <c r="D48" s="88" t="s">
        <v>5036</v>
      </c>
      <c r="E48" s="178"/>
      <c r="F48" s="178"/>
      <c r="G48" s="178"/>
      <c r="H48" s="178"/>
      <c r="I48" s="178"/>
      <c r="J48" s="178"/>
      <c r="K48" s="277"/>
      <c r="L48" s="297">
        <f t="shared" si="2"/>
        <v>0</v>
      </c>
      <c r="M48" s="277"/>
      <c r="N48" s="234">
        <f>L48*M48</f>
        <v>0</v>
      </c>
      <c r="O48" s="108"/>
      <c r="P48" s="108"/>
      <c r="Q48" s="3165"/>
      <c r="R48" s="3184"/>
      <c r="S48" s="3184"/>
      <c r="T48" s="3184"/>
      <c r="U48" s="3184"/>
      <c r="V48" s="3333">
        <f t="shared" si="0"/>
        <v>0</v>
      </c>
      <c r="W48" s="3258">
        <f t="shared" si="1"/>
        <v>0</v>
      </c>
    </row>
    <row r="49" spans="1:23" s="861" customFormat="1">
      <c r="A49" s="107" t="s">
        <v>4417</v>
      </c>
      <c r="B49" s="107"/>
      <c r="C49" s="107" t="s">
        <v>4422</v>
      </c>
      <c r="D49" s="107" t="s">
        <v>5037</v>
      </c>
      <c r="E49" s="178"/>
      <c r="F49" s="178"/>
      <c r="G49" s="178"/>
      <c r="H49" s="178"/>
      <c r="I49" s="178"/>
      <c r="J49" s="178"/>
      <c r="K49" s="277"/>
      <c r="L49" s="297">
        <f t="shared" si="2"/>
        <v>0</v>
      </c>
      <c r="M49" s="277"/>
      <c r="N49" s="234">
        <f>L49*M49</f>
        <v>0</v>
      </c>
      <c r="O49" s="108"/>
      <c r="P49" s="108"/>
      <c r="Q49" s="3165"/>
      <c r="R49" s="3184"/>
      <c r="S49" s="3184"/>
      <c r="T49" s="3184"/>
      <c r="U49" s="3184"/>
      <c r="V49" s="3333">
        <f t="shared" si="0"/>
        <v>0</v>
      </c>
      <c r="W49" s="3258">
        <f t="shared" si="1"/>
        <v>0</v>
      </c>
    </row>
    <row r="50" spans="1:23">
      <c r="A50" s="860" t="s">
        <v>4421</v>
      </c>
      <c r="B50" s="158"/>
      <c r="C50" s="874" t="s">
        <v>302</v>
      </c>
      <c r="D50" s="874"/>
      <c r="E50" s="155"/>
      <c r="F50" s="155"/>
      <c r="G50" s="155"/>
      <c r="H50" s="155"/>
      <c r="I50" s="155"/>
      <c r="J50" s="155"/>
      <c r="K50" s="277"/>
      <c r="L50" s="297">
        <f t="shared" si="2"/>
        <v>0</v>
      </c>
      <c r="M50" s="277"/>
      <c r="N50" s="234">
        <f>L50*M50</f>
        <v>0</v>
      </c>
      <c r="O50" s="54"/>
      <c r="P50" s="54"/>
      <c r="Q50" s="3163"/>
      <c r="R50" s="3182"/>
      <c r="S50" s="3182"/>
      <c r="T50" s="3182"/>
      <c r="U50" s="3182"/>
      <c r="V50" s="3333">
        <f t="shared" si="0"/>
        <v>0</v>
      </c>
      <c r="W50" s="3258">
        <f t="shared" si="1"/>
        <v>0</v>
      </c>
    </row>
    <row r="51" spans="1:23">
      <c r="A51" s="165" t="s">
        <v>3057</v>
      </c>
      <c r="B51" s="165"/>
      <c r="C51" s="165" t="s">
        <v>6</v>
      </c>
      <c r="D51" s="165"/>
      <c r="E51" s="101"/>
      <c r="F51" s="101"/>
      <c r="G51" s="101"/>
      <c r="H51" s="101"/>
      <c r="I51" s="101"/>
      <c r="J51" s="101"/>
      <c r="K51" s="101"/>
      <c r="L51" s="165"/>
      <c r="M51" s="101"/>
      <c r="N51" s="1800">
        <f>N52+N64</f>
        <v>28.32</v>
      </c>
      <c r="O51" s="101"/>
      <c r="P51" s="101"/>
      <c r="Q51" s="3159">
        <f>Q52+Q64</f>
        <v>8.16</v>
      </c>
      <c r="R51" s="3182"/>
      <c r="S51" s="3182"/>
      <c r="T51" s="3182"/>
      <c r="U51" s="3182"/>
      <c r="V51" s="3333">
        <f t="shared" si="0"/>
        <v>0</v>
      </c>
      <c r="W51" s="3258">
        <f t="shared" ref="W51:W53" si="5">+Q51-V51-Q51</f>
        <v>0</v>
      </c>
    </row>
    <row r="52" spans="1:23">
      <c r="A52" s="872" t="s">
        <v>3058</v>
      </c>
      <c r="B52" s="872"/>
      <c r="C52" s="872" t="s">
        <v>7</v>
      </c>
      <c r="D52" s="872"/>
      <c r="E52" s="164"/>
      <c r="F52" s="164"/>
      <c r="G52" s="164"/>
      <c r="H52" s="164"/>
      <c r="I52" s="164"/>
      <c r="J52" s="164"/>
      <c r="K52" s="164"/>
      <c r="L52" s="872"/>
      <c r="M52" s="164"/>
      <c r="N52" s="1801">
        <f>N53+N57+N60</f>
        <v>28.32</v>
      </c>
      <c r="O52" s="164"/>
      <c r="P52" s="164"/>
      <c r="Q52" s="3160">
        <f>Q53+Q57+Q60</f>
        <v>8.16</v>
      </c>
      <c r="R52" s="3182"/>
      <c r="S52" s="3182"/>
      <c r="T52" s="3182"/>
      <c r="U52" s="3182"/>
      <c r="V52" s="3333">
        <f t="shared" si="0"/>
        <v>0</v>
      </c>
      <c r="W52" s="3258">
        <f t="shared" si="5"/>
        <v>0</v>
      </c>
    </row>
    <row r="53" spans="1:23">
      <c r="A53" s="880" t="s">
        <v>3059</v>
      </c>
      <c r="B53" s="880" t="s">
        <v>2868</v>
      </c>
      <c r="C53" s="880" t="s">
        <v>2869</v>
      </c>
      <c r="D53" s="880"/>
      <c r="E53" s="102"/>
      <c r="F53" s="102"/>
      <c r="G53" s="102"/>
      <c r="H53" s="102"/>
      <c r="I53" s="102"/>
      <c r="J53" s="102"/>
      <c r="K53" s="102"/>
      <c r="L53" s="880"/>
      <c r="M53" s="102"/>
      <c r="N53" s="1154">
        <f>SUM(N54:N56)</f>
        <v>28.32</v>
      </c>
      <c r="O53" s="102"/>
      <c r="P53" s="102"/>
      <c r="Q53" s="3166">
        <f>SUM(Q54:Q56)</f>
        <v>8.16</v>
      </c>
      <c r="R53" s="3182"/>
      <c r="S53" s="3182"/>
      <c r="T53" s="3182"/>
      <c r="U53" s="3182"/>
      <c r="V53" s="3333">
        <f t="shared" si="0"/>
        <v>0</v>
      </c>
      <c r="W53" s="3258">
        <f t="shared" si="5"/>
        <v>0</v>
      </c>
    </row>
    <row r="54" spans="1:23" s="861" customFormat="1" ht="135">
      <c r="A54" s="107" t="s">
        <v>3060</v>
      </c>
      <c r="B54" s="107" t="s">
        <v>2870</v>
      </c>
      <c r="C54" s="107" t="s">
        <v>2871</v>
      </c>
      <c r="D54" s="107" t="s">
        <v>5038</v>
      </c>
      <c r="E54" s="108">
        <v>34</v>
      </c>
      <c r="F54" s="108">
        <v>34</v>
      </c>
      <c r="G54" s="108">
        <v>8.16</v>
      </c>
      <c r="H54" s="108">
        <v>3.17</v>
      </c>
      <c r="I54" s="108">
        <v>4.99</v>
      </c>
      <c r="J54" s="2317"/>
      <c r="K54" s="2317">
        <v>24000</v>
      </c>
      <c r="L54" s="298">
        <f t="shared" ref="L54:L56" si="6">K54/100000</f>
        <v>0.24</v>
      </c>
      <c r="M54" s="2317">
        <v>118</v>
      </c>
      <c r="N54" s="234">
        <f>L54*M54</f>
        <v>28.32</v>
      </c>
      <c r="O54" s="2646"/>
      <c r="P54" s="108" t="s">
        <v>5838</v>
      </c>
      <c r="Q54" s="3165">
        <v>8.16</v>
      </c>
      <c r="R54" s="3184"/>
      <c r="S54" s="3184">
        <v>0.96</v>
      </c>
      <c r="T54" s="3184">
        <v>5.04</v>
      </c>
      <c r="U54" s="3184">
        <v>2.16</v>
      </c>
      <c r="V54" s="3333">
        <f t="shared" si="0"/>
        <v>8.16</v>
      </c>
      <c r="W54" s="3258">
        <f t="shared" si="1"/>
        <v>0</v>
      </c>
    </row>
    <row r="55" spans="1:23" ht="30">
      <c r="A55" s="88" t="s">
        <v>3061</v>
      </c>
      <c r="B55" s="88"/>
      <c r="C55" s="88" t="s">
        <v>3756</v>
      </c>
      <c r="D55" s="88" t="s">
        <v>5038</v>
      </c>
      <c r="E55" s="54">
        <v>25</v>
      </c>
      <c r="F55" s="54"/>
      <c r="G55" s="54">
        <v>1.5</v>
      </c>
      <c r="H55" s="54">
        <v>3.97</v>
      </c>
      <c r="I55" s="54"/>
      <c r="J55" s="54"/>
      <c r="K55" s="277"/>
      <c r="L55" s="297">
        <f t="shared" si="6"/>
        <v>0</v>
      </c>
      <c r="M55" s="277"/>
      <c r="N55" s="1802">
        <f>L55*M55</f>
        <v>0</v>
      </c>
      <c r="O55" s="54"/>
      <c r="P55" s="54"/>
      <c r="Q55" s="3163"/>
      <c r="R55" s="3182"/>
      <c r="S55" s="3182"/>
      <c r="T55" s="3182"/>
      <c r="U55" s="3182"/>
      <c r="V55" s="3333">
        <f t="shared" si="0"/>
        <v>0</v>
      </c>
      <c r="W55" s="3258">
        <f t="shared" si="1"/>
        <v>0</v>
      </c>
    </row>
    <row r="56" spans="1:23">
      <c r="A56" s="88" t="s">
        <v>3062</v>
      </c>
      <c r="B56" s="88" t="s">
        <v>2872</v>
      </c>
      <c r="C56" s="88" t="s">
        <v>2873</v>
      </c>
      <c r="D56" s="88" t="s">
        <v>5038</v>
      </c>
      <c r="E56" s="54"/>
      <c r="F56" s="54"/>
      <c r="G56" s="54"/>
      <c r="H56" s="54"/>
      <c r="I56" s="54"/>
      <c r="J56" s="54"/>
      <c r="K56" s="277"/>
      <c r="L56" s="297">
        <f t="shared" si="6"/>
        <v>0</v>
      </c>
      <c r="M56" s="277"/>
      <c r="N56" s="1802">
        <f>L56*M56</f>
        <v>0</v>
      </c>
      <c r="O56" s="54"/>
      <c r="P56" s="54"/>
      <c r="Q56" s="3163"/>
      <c r="R56" s="3182"/>
      <c r="S56" s="3182"/>
      <c r="T56" s="3182"/>
      <c r="U56" s="3182"/>
      <c r="V56" s="3333">
        <f t="shared" si="0"/>
        <v>0</v>
      </c>
      <c r="W56" s="3258">
        <f t="shared" si="1"/>
        <v>0</v>
      </c>
    </row>
    <row r="57" spans="1:23">
      <c r="A57" s="880" t="s">
        <v>3063</v>
      </c>
      <c r="B57" s="880" t="s">
        <v>2874</v>
      </c>
      <c r="C57" s="880" t="s">
        <v>2875</v>
      </c>
      <c r="D57" s="880"/>
      <c r="E57" s="102"/>
      <c r="F57" s="102"/>
      <c r="G57" s="102"/>
      <c r="H57" s="102"/>
      <c r="I57" s="102"/>
      <c r="J57" s="102"/>
      <c r="K57" s="152"/>
      <c r="L57" s="1154"/>
      <c r="M57" s="152"/>
      <c r="N57" s="1154">
        <f>SUM(N58:N59)</f>
        <v>0</v>
      </c>
      <c r="O57" s="102"/>
      <c r="P57" s="102"/>
      <c r="Q57" s="3166">
        <f>SUM(Q58:Q59)</f>
        <v>0</v>
      </c>
      <c r="R57" s="3182"/>
      <c r="S57" s="3182"/>
      <c r="T57" s="3182"/>
      <c r="U57" s="3182"/>
      <c r="V57" s="3333">
        <f t="shared" si="0"/>
        <v>0</v>
      </c>
      <c r="W57" s="3258">
        <f t="shared" si="1"/>
        <v>0</v>
      </c>
    </row>
    <row r="58" spans="1:23" s="861" customFormat="1">
      <c r="A58" s="881" t="s">
        <v>4557</v>
      </c>
      <c r="B58" s="881"/>
      <c r="C58" s="233" t="s">
        <v>4991</v>
      </c>
      <c r="D58" s="88" t="s">
        <v>5038</v>
      </c>
      <c r="E58" s="236"/>
      <c r="F58" s="236"/>
      <c r="G58" s="236"/>
      <c r="H58" s="236"/>
      <c r="I58" s="236"/>
      <c r="J58" s="236"/>
      <c r="K58" s="277"/>
      <c r="L58" s="297">
        <f t="shared" ref="L58:L59" si="7">K58/100000</f>
        <v>0</v>
      </c>
      <c r="M58" s="277"/>
      <c r="N58" s="1802">
        <f>L58*M58</f>
        <v>0</v>
      </c>
      <c r="O58" s="236"/>
      <c r="P58" s="236"/>
      <c r="Q58" s="3165"/>
      <c r="R58" s="3184"/>
      <c r="S58" s="3184"/>
      <c r="T58" s="3184"/>
      <c r="U58" s="3184"/>
      <c r="V58" s="3333">
        <f t="shared" si="0"/>
        <v>0</v>
      </c>
      <c r="W58" s="3258">
        <f t="shared" si="1"/>
        <v>0</v>
      </c>
    </row>
    <row r="59" spans="1:23" s="861" customFormat="1">
      <c r="A59" s="881" t="s">
        <v>4558</v>
      </c>
      <c r="B59" s="881"/>
      <c r="C59" s="233" t="s">
        <v>3226</v>
      </c>
      <c r="D59" s="88" t="s">
        <v>5038</v>
      </c>
      <c r="E59" s="236"/>
      <c r="F59" s="236"/>
      <c r="G59" s="236"/>
      <c r="H59" s="236"/>
      <c r="I59" s="236"/>
      <c r="J59" s="236"/>
      <c r="K59" s="277"/>
      <c r="L59" s="297">
        <f t="shared" si="7"/>
        <v>0</v>
      </c>
      <c r="M59" s="277"/>
      <c r="N59" s="1802">
        <f>L59*M59</f>
        <v>0</v>
      </c>
      <c r="O59" s="236"/>
      <c r="P59" s="236"/>
      <c r="Q59" s="3165"/>
      <c r="R59" s="3184"/>
      <c r="S59" s="3184"/>
      <c r="T59" s="3184"/>
      <c r="U59" s="3184"/>
      <c r="V59" s="3333">
        <f t="shared" si="0"/>
        <v>0</v>
      </c>
      <c r="W59" s="3258">
        <f t="shared" si="1"/>
        <v>0</v>
      </c>
    </row>
    <row r="60" spans="1:23">
      <c r="A60" s="880" t="s">
        <v>3064</v>
      </c>
      <c r="B60" s="880"/>
      <c r="C60" s="880" t="s">
        <v>4592</v>
      </c>
      <c r="D60" s="880"/>
      <c r="E60" s="102"/>
      <c r="F60" s="102"/>
      <c r="G60" s="102"/>
      <c r="H60" s="102"/>
      <c r="I60" s="102"/>
      <c r="J60" s="102"/>
      <c r="K60" s="102"/>
      <c r="L60" s="880"/>
      <c r="M60" s="102"/>
      <c r="N60" s="1154">
        <f>SUM(N61:N63)</f>
        <v>0</v>
      </c>
      <c r="O60" s="102"/>
      <c r="P60" s="102"/>
      <c r="Q60" s="3166">
        <f>SUM(Q61:Q63)</f>
        <v>0</v>
      </c>
      <c r="R60" s="3182"/>
      <c r="S60" s="3182"/>
      <c r="T60" s="3182"/>
      <c r="U60" s="3182"/>
      <c r="V60" s="3333">
        <f t="shared" si="0"/>
        <v>0</v>
      </c>
      <c r="W60" s="3258">
        <f t="shared" si="1"/>
        <v>0</v>
      </c>
    </row>
    <row r="61" spans="1:23">
      <c r="A61" s="225" t="s">
        <v>3065</v>
      </c>
      <c r="B61" s="882" t="s">
        <v>2876</v>
      </c>
      <c r="C61" s="882" t="s">
        <v>4593</v>
      </c>
      <c r="D61" s="88" t="s">
        <v>5038</v>
      </c>
      <c r="E61" s="180"/>
      <c r="F61" s="180"/>
      <c r="G61" s="180"/>
      <c r="H61" s="180"/>
      <c r="I61" s="180"/>
      <c r="J61" s="180"/>
      <c r="K61" s="277"/>
      <c r="L61" s="297">
        <f t="shared" ref="L61:L63" si="8">K61/100000</f>
        <v>0</v>
      </c>
      <c r="M61" s="277"/>
      <c r="N61" s="1802">
        <f>L61*M61</f>
        <v>0</v>
      </c>
      <c r="O61" s="99"/>
      <c r="P61" s="99"/>
      <c r="Q61" s="3163"/>
      <c r="R61" s="3182"/>
      <c r="S61" s="3182"/>
      <c r="T61" s="3182"/>
      <c r="U61" s="3182"/>
      <c r="V61" s="3333">
        <f t="shared" si="0"/>
        <v>0</v>
      </c>
      <c r="W61" s="3258">
        <f t="shared" si="1"/>
        <v>0</v>
      </c>
    </row>
    <row r="62" spans="1:23">
      <c r="A62" s="225" t="s">
        <v>4992</v>
      </c>
      <c r="B62" s="882"/>
      <c r="C62" s="882" t="s">
        <v>362</v>
      </c>
      <c r="D62" s="88" t="s">
        <v>5038</v>
      </c>
      <c r="E62" s="180"/>
      <c r="F62" s="180"/>
      <c r="G62" s="180"/>
      <c r="H62" s="180"/>
      <c r="I62" s="180"/>
      <c r="J62" s="180"/>
      <c r="K62" s="277"/>
      <c r="L62" s="297">
        <f t="shared" si="8"/>
        <v>0</v>
      </c>
      <c r="M62" s="277"/>
      <c r="N62" s="1802">
        <f>L62*M62</f>
        <v>0</v>
      </c>
      <c r="O62" s="99"/>
      <c r="P62" s="99"/>
      <c r="Q62" s="3163"/>
      <c r="R62" s="3182"/>
      <c r="S62" s="3182"/>
      <c r="T62" s="3182"/>
      <c r="U62" s="3182"/>
      <c r="V62" s="3333">
        <f t="shared" si="0"/>
        <v>0</v>
      </c>
      <c r="W62" s="3258">
        <f t="shared" si="1"/>
        <v>0</v>
      </c>
    </row>
    <row r="63" spans="1:23">
      <c r="A63" s="225" t="s">
        <v>4993</v>
      </c>
      <c r="B63" s="882"/>
      <c r="C63" s="882" t="s">
        <v>4375</v>
      </c>
      <c r="D63" s="88" t="s">
        <v>5038</v>
      </c>
      <c r="E63" s="180"/>
      <c r="F63" s="180"/>
      <c r="G63" s="180"/>
      <c r="H63" s="180"/>
      <c r="I63" s="180"/>
      <c r="J63" s="180"/>
      <c r="K63" s="277"/>
      <c r="L63" s="297">
        <f t="shared" si="8"/>
        <v>0</v>
      </c>
      <c r="M63" s="277"/>
      <c r="N63" s="1802">
        <f>L63*M63</f>
        <v>0</v>
      </c>
      <c r="O63" s="99"/>
      <c r="P63" s="99"/>
      <c r="Q63" s="3163"/>
      <c r="R63" s="3182"/>
      <c r="S63" s="3182"/>
      <c r="T63" s="3182"/>
      <c r="U63" s="3182"/>
      <c r="V63" s="3333">
        <f t="shared" si="0"/>
        <v>0</v>
      </c>
      <c r="W63" s="3258">
        <f t="shared" si="1"/>
        <v>0</v>
      </c>
    </row>
    <row r="64" spans="1:23">
      <c r="A64" s="872" t="s">
        <v>3066</v>
      </c>
      <c r="B64" s="872"/>
      <c r="C64" s="872" t="s">
        <v>8</v>
      </c>
      <c r="D64" s="872"/>
      <c r="E64" s="164"/>
      <c r="F64" s="164"/>
      <c r="G64" s="164"/>
      <c r="H64" s="164"/>
      <c r="I64" s="164"/>
      <c r="J64" s="164"/>
      <c r="K64" s="164"/>
      <c r="L64" s="872"/>
      <c r="M64" s="164"/>
      <c r="N64" s="1801">
        <f>N65</f>
        <v>0</v>
      </c>
      <c r="O64" s="164"/>
      <c r="P64" s="164"/>
      <c r="Q64" s="3160">
        <f>Q65</f>
        <v>0</v>
      </c>
      <c r="R64" s="3182"/>
      <c r="S64" s="3182"/>
      <c r="T64" s="3182"/>
      <c r="U64" s="3182"/>
      <c r="V64" s="3333">
        <f t="shared" si="0"/>
        <v>0</v>
      </c>
      <c r="W64" s="3258">
        <f t="shared" si="1"/>
        <v>0</v>
      </c>
    </row>
    <row r="65" spans="1:23">
      <c r="A65" s="880" t="s">
        <v>3067</v>
      </c>
      <c r="B65" s="880" t="s">
        <v>2877</v>
      </c>
      <c r="C65" s="880" t="s">
        <v>2878</v>
      </c>
      <c r="D65" s="880"/>
      <c r="E65" s="102"/>
      <c r="F65" s="102"/>
      <c r="G65" s="102"/>
      <c r="H65" s="102"/>
      <c r="I65" s="102"/>
      <c r="J65" s="102"/>
      <c r="K65" s="102"/>
      <c r="L65" s="880"/>
      <c r="M65" s="102"/>
      <c r="N65" s="1154">
        <f>SUM(N66:N69)</f>
        <v>0</v>
      </c>
      <c r="O65" s="102"/>
      <c r="P65" s="102"/>
      <c r="Q65" s="3166">
        <f>SUM(Q66:Q69)</f>
        <v>0</v>
      </c>
      <c r="R65" s="3182"/>
      <c r="S65" s="3182"/>
      <c r="T65" s="3182"/>
      <c r="U65" s="3182"/>
      <c r="V65" s="3333">
        <f t="shared" si="0"/>
        <v>0</v>
      </c>
      <c r="W65" s="3258">
        <f t="shared" si="1"/>
        <v>0</v>
      </c>
    </row>
    <row r="66" spans="1:23">
      <c r="A66" s="88" t="s">
        <v>3068</v>
      </c>
      <c r="B66" s="88" t="s">
        <v>2879</v>
      </c>
      <c r="C66" s="88" t="s">
        <v>2880</v>
      </c>
      <c r="D66" s="88" t="s">
        <v>5038</v>
      </c>
      <c r="E66" s="54"/>
      <c r="F66" s="54"/>
      <c r="G66" s="54"/>
      <c r="H66" s="54"/>
      <c r="I66" s="54"/>
      <c r="J66" s="54"/>
      <c r="K66" s="277"/>
      <c r="L66" s="297">
        <f t="shared" ref="L66:L69" si="9">K66/100000</f>
        <v>0</v>
      </c>
      <c r="M66" s="277"/>
      <c r="N66" s="1802">
        <f>L66*M66</f>
        <v>0</v>
      </c>
      <c r="O66" s="54"/>
      <c r="P66" s="54"/>
      <c r="Q66" s="3163"/>
      <c r="R66" s="3182"/>
      <c r="S66" s="3182"/>
      <c r="T66" s="3182"/>
      <c r="U66" s="3182"/>
      <c r="V66" s="3333">
        <f t="shared" si="0"/>
        <v>0</v>
      </c>
      <c r="W66" s="3258">
        <f t="shared" si="1"/>
        <v>0</v>
      </c>
    </row>
    <row r="67" spans="1:23" ht="30">
      <c r="A67" s="88" t="s">
        <v>3069</v>
      </c>
      <c r="B67" s="88" t="s">
        <v>2881</v>
      </c>
      <c r="C67" s="88" t="s">
        <v>2882</v>
      </c>
      <c r="D67" s="88" t="s">
        <v>5038</v>
      </c>
      <c r="E67" s="54"/>
      <c r="F67" s="54"/>
      <c r="G67" s="54"/>
      <c r="H67" s="54"/>
      <c r="I67" s="54"/>
      <c r="J67" s="54"/>
      <c r="K67" s="277"/>
      <c r="L67" s="297">
        <f t="shared" si="9"/>
        <v>0</v>
      </c>
      <c r="M67" s="277"/>
      <c r="N67" s="1802">
        <f>L67*M67</f>
        <v>0</v>
      </c>
      <c r="O67" s="54"/>
      <c r="P67" s="54"/>
      <c r="Q67" s="3163"/>
      <c r="R67" s="3182"/>
      <c r="S67" s="3182"/>
      <c r="T67" s="3182"/>
      <c r="U67" s="3182"/>
      <c r="V67" s="3333">
        <f t="shared" si="0"/>
        <v>0</v>
      </c>
      <c r="W67" s="3258">
        <f t="shared" si="1"/>
        <v>0</v>
      </c>
    </row>
    <row r="68" spans="1:23">
      <c r="A68" s="88" t="s">
        <v>3877</v>
      </c>
      <c r="B68" s="88"/>
      <c r="C68" s="883" t="s">
        <v>601</v>
      </c>
      <c r="D68" s="88" t="s">
        <v>5038</v>
      </c>
      <c r="E68" s="54"/>
      <c r="F68" s="54"/>
      <c r="G68" s="54"/>
      <c r="H68" s="54"/>
      <c r="I68" s="54"/>
      <c r="J68" s="54"/>
      <c r="K68" s="277"/>
      <c r="L68" s="297">
        <f t="shared" si="9"/>
        <v>0</v>
      </c>
      <c r="M68" s="277"/>
      <c r="N68" s="1802">
        <f>L68*M68</f>
        <v>0</v>
      </c>
      <c r="O68" s="54"/>
      <c r="P68" s="54"/>
      <c r="Q68" s="3163"/>
      <c r="R68" s="3182"/>
      <c r="S68" s="3182"/>
      <c r="T68" s="3182"/>
      <c r="U68" s="3182"/>
      <c r="V68" s="3333">
        <f t="shared" si="0"/>
        <v>0</v>
      </c>
      <c r="W68" s="3258">
        <f t="shared" si="1"/>
        <v>0</v>
      </c>
    </row>
    <row r="69" spans="1:23">
      <c r="A69" s="575" t="s">
        <v>3070</v>
      </c>
      <c r="B69" s="879"/>
      <c r="C69" s="884" t="s">
        <v>5091</v>
      </c>
      <c r="D69" s="88" t="s">
        <v>5038</v>
      </c>
      <c r="E69" s="291"/>
      <c r="F69" s="291"/>
      <c r="G69" s="291"/>
      <c r="H69" s="291"/>
      <c r="I69" s="291"/>
      <c r="J69" s="291"/>
      <c r="K69" s="277"/>
      <c r="L69" s="297">
        <f t="shared" si="9"/>
        <v>0</v>
      </c>
      <c r="M69" s="277"/>
      <c r="N69" s="1802">
        <f>L69*M69</f>
        <v>0</v>
      </c>
      <c r="O69" s="179"/>
      <c r="P69" s="1820" t="s">
        <v>4994</v>
      </c>
      <c r="Q69" s="3165"/>
      <c r="R69" s="3182"/>
      <c r="S69" s="3182"/>
      <c r="T69" s="3182"/>
      <c r="U69" s="3182"/>
      <c r="V69" s="3333">
        <f t="shared" si="0"/>
        <v>0</v>
      </c>
      <c r="W69" s="3258">
        <f t="shared" si="1"/>
        <v>0</v>
      </c>
    </row>
    <row r="70" spans="1:23">
      <c r="A70" s="165" t="s">
        <v>3071</v>
      </c>
      <c r="B70" s="165"/>
      <c r="C70" s="165" t="s">
        <v>2884</v>
      </c>
      <c r="D70" s="165"/>
      <c r="E70" s="101"/>
      <c r="F70" s="101"/>
      <c r="G70" s="101"/>
      <c r="H70" s="101"/>
      <c r="I70" s="101"/>
      <c r="J70" s="101"/>
      <c r="K70" s="101"/>
      <c r="L70" s="165"/>
      <c r="M70" s="101"/>
      <c r="N70" s="1800">
        <f>N71+N74+N75+N76</f>
        <v>16</v>
      </c>
      <c r="O70" s="101"/>
      <c r="P70" s="101"/>
      <c r="Q70" s="3159">
        <f>Q71+Q74+Q75+Q76</f>
        <v>16</v>
      </c>
      <c r="R70" s="3182"/>
      <c r="S70" s="3182"/>
      <c r="T70" s="3182"/>
      <c r="U70" s="3182"/>
      <c r="V70" s="3333">
        <f t="shared" si="0"/>
        <v>0</v>
      </c>
      <c r="W70" s="3258">
        <f t="shared" ref="W70:W71" si="10">+Q70-V70-Q70</f>
        <v>0</v>
      </c>
    </row>
    <row r="71" spans="1:23">
      <c r="A71" s="872" t="s">
        <v>3072</v>
      </c>
      <c r="B71" s="872" t="s">
        <v>2885</v>
      </c>
      <c r="C71" s="872" t="s">
        <v>2886</v>
      </c>
      <c r="D71" s="872"/>
      <c r="E71" s="164"/>
      <c r="F71" s="164"/>
      <c r="G71" s="164"/>
      <c r="H71" s="164"/>
      <c r="I71" s="164"/>
      <c r="J71" s="164"/>
      <c r="K71" s="164"/>
      <c r="L71" s="872"/>
      <c r="M71" s="164"/>
      <c r="N71" s="1801">
        <f>SUM(N72:N73)</f>
        <v>14</v>
      </c>
      <c r="O71" s="164"/>
      <c r="P71" s="164"/>
      <c r="Q71" s="3160">
        <f>SUM(Q72:Q73)</f>
        <v>14</v>
      </c>
      <c r="R71" s="3182"/>
      <c r="S71" s="3182"/>
      <c r="T71" s="3182"/>
      <c r="U71" s="3182"/>
      <c r="V71" s="3333">
        <f t="shared" si="0"/>
        <v>0</v>
      </c>
      <c r="W71" s="3258">
        <f t="shared" si="10"/>
        <v>0</v>
      </c>
    </row>
    <row r="72" spans="1:23" s="861" customFormat="1" ht="75">
      <c r="A72" s="883" t="s">
        <v>3073</v>
      </c>
      <c r="B72" s="107" t="s">
        <v>2887</v>
      </c>
      <c r="C72" s="107" t="s">
        <v>2888</v>
      </c>
      <c r="D72" s="107" t="s">
        <v>5036</v>
      </c>
      <c r="E72" s="108">
        <v>13</v>
      </c>
      <c r="F72" s="108">
        <v>8</v>
      </c>
      <c r="G72" s="108">
        <v>14</v>
      </c>
      <c r="H72" s="108"/>
      <c r="I72" s="108">
        <v>14</v>
      </c>
      <c r="J72" s="108"/>
      <c r="K72" s="2318">
        <v>175000</v>
      </c>
      <c r="L72" s="298">
        <f t="shared" ref="L72:L76" si="11">K72/100000</f>
        <v>1.75</v>
      </c>
      <c r="M72" s="2318">
        <v>8</v>
      </c>
      <c r="N72" s="234">
        <f>L72*M72</f>
        <v>14</v>
      </c>
      <c r="O72" s="108"/>
      <c r="P72" s="108" t="s">
        <v>5839</v>
      </c>
      <c r="Q72" s="3165">
        <v>14</v>
      </c>
      <c r="R72" s="3184"/>
      <c r="S72" s="3184">
        <v>3.5</v>
      </c>
      <c r="T72" s="3184">
        <v>10.5</v>
      </c>
      <c r="U72" s="3184"/>
      <c r="V72" s="3333">
        <f t="shared" ref="V72:V135" si="12">SUM(R72:U72)</f>
        <v>14</v>
      </c>
      <c r="W72" s="3258">
        <f t="shared" ref="W72:W135" si="13">+Q72-V72</f>
        <v>0</v>
      </c>
    </row>
    <row r="73" spans="1:23">
      <c r="A73" s="885" t="s">
        <v>3074</v>
      </c>
      <c r="B73" s="88" t="s">
        <v>2889</v>
      </c>
      <c r="C73" s="88" t="s">
        <v>2890</v>
      </c>
      <c r="D73" s="88" t="s">
        <v>5036</v>
      </c>
      <c r="E73" s="54"/>
      <c r="F73" s="54"/>
      <c r="G73" s="54"/>
      <c r="H73" s="54"/>
      <c r="I73" s="54"/>
      <c r="J73" s="54"/>
      <c r="K73" s="54"/>
      <c r="L73" s="297">
        <f t="shared" si="11"/>
        <v>0</v>
      </c>
      <c r="M73" s="277"/>
      <c r="N73" s="1802">
        <f>L73*M73</f>
        <v>0</v>
      </c>
      <c r="O73" s="54"/>
      <c r="P73" s="54"/>
      <c r="Q73" s="3163"/>
      <c r="R73" s="3182"/>
      <c r="S73" s="3182"/>
      <c r="T73" s="3182"/>
      <c r="U73" s="3182"/>
      <c r="V73" s="3333">
        <f t="shared" si="12"/>
        <v>0</v>
      </c>
      <c r="W73" s="3258">
        <f t="shared" si="13"/>
        <v>0</v>
      </c>
    </row>
    <row r="74" spans="1:23">
      <c r="A74" s="872" t="s">
        <v>3075</v>
      </c>
      <c r="B74" s="872" t="s">
        <v>2891</v>
      </c>
      <c r="C74" s="872" t="s">
        <v>2892</v>
      </c>
      <c r="D74" s="1803" t="s">
        <v>5036</v>
      </c>
      <c r="E74" s="164"/>
      <c r="F74" s="164"/>
      <c r="G74" s="164"/>
      <c r="H74" s="164"/>
      <c r="I74" s="164"/>
      <c r="J74" s="164"/>
      <c r="K74" s="164"/>
      <c r="L74" s="1801">
        <f t="shared" si="11"/>
        <v>0</v>
      </c>
      <c r="M74" s="164"/>
      <c r="N74" s="1801">
        <f>L74*M74</f>
        <v>0</v>
      </c>
      <c r="O74" s="54"/>
      <c r="P74" s="164"/>
      <c r="Q74" s="3167"/>
      <c r="R74" s="3182"/>
      <c r="S74" s="3182"/>
      <c r="T74" s="3182"/>
      <c r="U74" s="3182"/>
      <c r="V74" s="3333">
        <f t="shared" si="12"/>
        <v>0</v>
      </c>
      <c r="W74" s="3258">
        <f t="shared" si="13"/>
        <v>0</v>
      </c>
    </row>
    <row r="75" spans="1:23">
      <c r="A75" s="872" t="s">
        <v>3076</v>
      </c>
      <c r="B75" s="872" t="s">
        <v>2893</v>
      </c>
      <c r="C75" s="872" t="s">
        <v>2894</v>
      </c>
      <c r="D75" s="1803" t="s">
        <v>5036</v>
      </c>
      <c r="E75" s="164"/>
      <c r="F75" s="164"/>
      <c r="G75" s="164"/>
      <c r="H75" s="164"/>
      <c r="I75" s="164"/>
      <c r="J75" s="164"/>
      <c r="K75" s="164"/>
      <c r="L75" s="1801">
        <f t="shared" si="11"/>
        <v>0</v>
      </c>
      <c r="M75" s="164"/>
      <c r="N75" s="1801">
        <f>L75*M75</f>
        <v>0</v>
      </c>
      <c r="O75" s="54"/>
      <c r="P75" s="164"/>
      <c r="Q75" s="3167"/>
      <c r="R75" s="3182"/>
      <c r="S75" s="3182"/>
      <c r="T75" s="3182"/>
      <c r="U75" s="3182"/>
      <c r="V75" s="3333">
        <f t="shared" si="12"/>
        <v>0</v>
      </c>
      <c r="W75" s="3258">
        <f t="shared" si="13"/>
        <v>0</v>
      </c>
    </row>
    <row r="76" spans="1:23" s="861" customFormat="1" ht="60">
      <c r="A76" s="89" t="s">
        <v>3077</v>
      </c>
      <c r="B76" s="89" t="s">
        <v>2895</v>
      </c>
      <c r="C76" s="89" t="s">
        <v>2896</v>
      </c>
      <c r="D76" s="2319" t="s">
        <v>5038</v>
      </c>
      <c r="E76" s="87">
        <v>40</v>
      </c>
      <c r="F76" s="87">
        <v>12</v>
      </c>
      <c r="G76" s="87">
        <v>2</v>
      </c>
      <c r="H76" s="87"/>
      <c r="I76" s="87">
        <v>2</v>
      </c>
      <c r="J76" s="87"/>
      <c r="K76" s="87">
        <v>5000</v>
      </c>
      <c r="L76" s="2320">
        <f t="shared" si="11"/>
        <v>0.05</v>
      </c>
      <c r="M76" s="87">
        <v>40</v>
      </c>
      <c r="N76" s="2320">
        <f>L76*M76</f>
        <v>2</v>
      </c>
      <c r="O76" s="108"/>
      <c r="P76" s="3041" t="s">
        <v>5840</v>
      </c>
      <c r="Q76" s="3168">
        <v>2</v>
      </c>
      <c r="R76" s="3184">
        <v>2</v>
      </c>
      <c r="S76" s="3184"/>
      <c r="T76" s="3184"/>
      <c r="U76" s="3184"/>
      <c r="V76" s="3333">
        <f t="shared" si="12"/>
        <v>2</v>
      </c>
      <c r="W76" s="3258">
        <f t="shared" si="13"/>
        <v>0</v>
      </c>
    </row>
    <row r="77" spans="1:23">
      <c r="A77" s="165" t="s">
        <v>3078</v>
      </c>
      <c r="B77" s="165"/>
      <c r="C77" s="165" t="s">
        <v>10</v>
      </c>
      <c r="D77" s="165"/>
      <c r="E77" s="101"/>
      <c r="F77" s="101"/>
      <c r="G77" s="101"/>
      <c r="H77" s="101"/>
      <c r="I77" s="101"/>
      <c r="J77" s="101"/>
      <c r="K77" s="101"/>
      <c r="L77" s="165"/>
      <c r="M77" s="101"/>
      <c r="N77" s="1800">
        <f>N78+N84+N88</f>
        <v>0</v>
      </c>
      <c r="O77" s="101"/>
      <c r="P77" s="101"/>
      <c r="Q77" s="3159">
        <f>Q78+Q84+Q88</f>
        <v>0</v>
      </c>
      <c r="R77" s="3182"/>
      <c r="S77" s="3182"/>
      <c r="T77" s="3182"/>
      <c r="U77" s="3182"/>
      <c r="V77" s="3333">
        <f t="shared" si="12"/>
        <v>0</v>
      </c>
      <c r="W77" s="3258">
        <f t="shared" si="13"/>
        <v>0</v>
      </c>
    </row>
    <row r="78" spans="1:23">
      <c r="A78" s="872" t="s">
        <v>3079</v>
      </c>
      <c r="B78" s="872"/>
      <c r="C78" s="872" t="s">
        <v>11</v>
      </c>
      <c r="D78" s="872"/>
      <c r="E78" s="164"/>
      <c r="F78" s="164"/>
      <c r="G78" s="164"/>
      <c r="H78" s="164"/>
      <c r="I78" s="164"/>
      <c r="J78" s="164"/>
      <c r="K78" s="164"/>
      <c r="L78" s="872"/>
      <c r="M78" s="164"/>
      <c r="N78" s="1801">
        <f>SUM(N79:N83)</f>
        <v>0</v>
      </c>
      <c r="O78" s="164"/>
      <c r="P78" s="164"/>
      <c r="Q78" s="3160">
        <f>SUM(Q79:Q83)</f>
        <v>0</v>
      </c>
      <c r="R78" s="3182"/>
      <c r="S78" s="3182"/>
      <c r="T78" s="3182"/>
      <c r="U78" s="3182"/>
      <c r="V78" s="3333">
        <f t="shared" si="12"/>
        <v>0</v>
      </c>
      <c r="W78" s="3258">
        <f t="shared" si="13"/>
        <v>0</v>
      </c>
    </row>
    <row r="79" spans="1:23">
      <c r="A79" s="88" t="s">
        <v>3080</v>
      </c>
      <c r="B79" s="158" t="s">
        <v>2897</v>
      </c>
      <c r="C79" s="874" t="s">
        <v>2898</v>
      </c>
      <c r="D79" s="88" t="s">
        <v>5036</v>
      </c>
      <c r="E79" s="155"/>
      <c r="F79" s="155"/>
      <c r="G79" s="155"/>
      <c r="H79" s="155"/>
      <c r="I79" s="155"/>
      <c r="J79" s="155"/>
      <c r="K79" s="277"/>
      <c r="L79" s="297">
        <f t="shared" ref="L79:L83" si="14">K79/100000</f>
        <v>0</v>
      </c>
      <c r="M79" s="277"/>
      <c r="N79" s="1802">
        <f>L79*M79</f>
        <v>0</v>
      </c>
      <c r="O79" s="54"/>
      <c r="P79" s="54"/>
      <c r="Q79" s="3163"/>
      <c r="R79" s="3182"/>
      <c r="S79" s="3182"/>
      <c r="T79" s="3182"/>
      <c r="U79" s="3182"/>
      <c r="V79" s="3333">
        <f t="shared" si="12"/>
        <v>0</v>
      </c>
      <c r="W79" s="3258">
        <f t="shared" si="13"/>
        <v>0</v>
      </c>
    </row>
    <row r="80" spans="1:23">
      <c r="A80" s="88" t="s">
        <v>3081</v>
      </c>
      <c r="B80" s="158" t="s">
        <v>2899</v>
      </c>
      <c r="C80" s="874" t="s">
        <v>2900</v>
      </c>
      <c r="D80" s="88" t="s">
        <v>5036</v>
      </c>
      <c r="E80" s="155"/>
      <c r="F80" s="155"/>
      <c r="G80" s="155"/>
      <c r="H80" s="155"/>
      <c r="I80" s="155"/>
      <c r="J80" s="155"/>
      <c r="K80" s="277"/>
      <c r="L80" s="297">
        <f t="shared" si="14"/>
        <v>0</v>
      </c>
      <c r="M80" s="277"/>
      <c r="N80" s="1802">
        <f>L80*M80</f>
        <v>0</v>
      </c>
      <c r="O80" s="54"/>
      <c r="P80" s="54"/>
      <c r="Q80" s="3163"/>
      <c r="R80" s="3182"/>
      <c r="S80" s="3182"/>
      <c r="T80" s="3182"/>
      <c r="U80" s="3182"/>
      <c r="V80" s="3333">
        <f t="shared" si="12"/>
        <v>0</v>
      </c>
      <c r="W80" s="3258">
        <f t="shared" si="13"/>
        <v>0</v>
      </c>
    </row>
    <row r="81" spans="1:23">
      <c r="A81" s="88" t="s">
        <v>3082</v>
      </c>
      <c r="B81" s="158" t="s">
        <v>2899</v>
      </c>
      <c r="C81" s="874" t="s">
        <v>2901</v>
      </c>
      <c r="D81" s="88" t="s">
        <v>5036</v>
      </c>
      <c r="E81" s="155"/>
      <c r="F81" s="155"/>
      <c r="G81" s="155"/>
      <c r="H81" s="155"/>
      <c r="I81" s="155"/>
      <c r="J81" s="155"/>
      <c r="K81" s="277"/>
      <c r="L81" s="297">
        <f t="shared" si="14"/>
        <v>0</v>
      </c>
      <c r="M81" s="277"/>
      <c r="N81" s="1802">
        <f>L81*M81</f>
        <v>0</v>
      </c>
      <c r="O81" s="54"/>
      <c r="P81" s="54"/>
      <c r="Q81" s="3163"/>
      <c r="R81" s="3182"/>
      <c r="S81" s="3182"/>
      <c r="T81" s="3182"/>
      <c r="U81" s="3182"/>
      <c r="V81" s="3333">
        <f t="shared" si="12"/>
        <v>0</v>
      </c>
      <c r="W81" s="3258">
        <f t="shared" si="13"/>
        <v>0</v>
      </c>
    </row>
    <row r="82" spans="1:23">
      <c r="A82" s="88" t="s">
        <v>3083</v>
      </c>
      <c r="B82" s="88" t="s">
        <v>2902</v>
      </c>
      <c r="C82" s="88" t="s">
        <v>2903</v>
      </c>
      <c r="D82" s="88" t="s">
        <v>5036</v>
      </c>
      <c r="E82" s="54"/>
      <c r="F82" s="54"/>
      <c r="G82" s="54"/>
      <c r="H82" s="54"/>
      <c r="I82" s="54"/>
      <c r="J82" s="54"/>
      <c r="K82" s="277"/>
      <c r="L82" s="297">
        <f t="shared" si="14"/>
        <v>0</v>
      </c>
      <c r="M82" s="277"/>
      <c r="N82" s="1802">
        <f>L82*M82</f>
        <v>0</v>
      </c>
      <c r="O82" s="54"/>
      <c r="P82" s="54"/>
      <c r="Q82" s="3163"/>
      <c r="R82" s="3182"/>
      <c r="S82" s="3182"/>
      <c r="T82" s="3182"/>
      <c r="U82" s="3182"/>
      <c r="V82" s="3333">
        <f t="shared" si="12"/>
        <v>0</v>
      </c>
      <c r="W82" s="3258">
        <f t="shared" si="13"/>
        <v>0</v>
      </c>
    </row>
    <row r="83" spans="1:23">
      <c r="A83" s="88" t="s">
        <v>4995</v>
      </c>
      <c r="B83" s="88"/>
      <c r="C83" s="88" t="s">
        <v>1304</v>
      </c>
      <c r="D83" s="88" t="s">
        <v>5036</v>
      </c>
      <c r="E83" s="54"/>
      <c r="F83" s="54"/>
      <c r="G83" s="54"/>
      <c r="H83" s="54"/>
      <c r="I83" s="54"/>
      <c r="J83" s="54"/>
      <c r="K83" s="277"/>
      <c r="L83" s="297">
        <f t="shared" si="14"/>
        <v>0</v>
      </c>
      <c r="M83" s="277"/>
      <c r="N83" s="1802">
        <f>L83*M83</f>
        <v>0</v>
      </c>
      <c r="O83" s="54"/>
      <c r="P83" s="54"/>
      <c r="Q83" s="3163"/>
      <c r="R83" s="3182"/>
      <c r="S83" s="3182"/>
      <c r="T83" s="3182"/>
      <c r="U83" s="3182"/>
      <c r="V83" s="3333">
        <f t="shared" si="12"/>
        <v>0</v>
      </c>
      <c r="W83" s="3258">
        <f t="shared" si="13"/>
        <v>0</v>
      </c>
    </row>
    <row r="84" spans="1:23">
      <c r="A84" s="872" t="s">
        <v>3084</v>
      </c>
      <c r="B84" s="872"/>
      <c r="C84" s="872" t="s">
        <v>12</v>
      </c>
      <c r="D84" s="872"/>
      <c r="E84" s="164"/>
      <c r="F84" s="164"/>
      <c r="G84" s="164"/>
      <c r="H84" s="164"/>
      <c r="I84" s="164"/>
      <c r="J84" s="164"/>
      <c r="K84" s="164"/>
      <c r="L84" s="872"/>
      <c r="M84" s="164"/>
      <c r="N84" s="1801">
        <f>SUM(N85:N87)</f>
        <v>0</v>
      </c>
      <c r="O84" s="164"/>
      <c r="P84" s="164"/>
      <c r="Q84" s="3160">
        <f>SUM(Q85:Q87)</f>
        <v>0</v>
      </c>
      <c r="R84" s="3182"/>
      <c r="S84" s="3182"/>
      <c r="T84" s="3182"/>
      <c r="U84" s="3182"/>
      <c r="V84" s="3333">
        <f t="shared" si="12"/>
        <v>0</v>
      </c>
      <c r="W84" s="3258">
        <f t="shared" si="13"/>
        <v>0</v>
      </c>
    </row>
    <row r="85" spans="1:23">
      <c r="A85" s="88" t="s">
        <v>3085</v>
      </c>
      <c r="B85" s="88" t="s">
        <v>2904</v>
      </c>
      <c r="C85" s="88" t="s">
        <v>2898</v>
      </c>
      <c r="D85" s="88" t="s">
        <v>5036</v>
      </c>
      <c r="E85" s="54"/>
      <c r="F85" s="54"/>
      <c r="G85" s="54"/>
      <c r="H85" s="54"/>
      <c r="I85" s="54"/>
      <c r="J85" s="54"/>
      <c r="K85" s="277"/>
      <c r="L85" s="297">
        <f t="shared" ref="L85:L87" si="15">K85/100000</f>
        <v>0</v>
      </c>
      <c r="M85" s="277"/>
      <c r="N85" s="1802">
        <f>L85*M85</f>
        <v>0</v>
      </c>
      <c r="O85" s="54"/>
      <c r="P85" s="54"/>
      <c r="Q85" s="3163"/>
      <c r="R85" s="3182"/>
      <c r="S85" s="3182"/>
      <c r="T85" s="3182"/>
      <c r="U85" s="3182"/>
      <c r="V85" s="3333">
        <f t="shared" si="12"/>
        <v>0</v>
      </c>
      <c r="W85" s="3258">
        <f t="shared" si="13"/>
        <v>0</v>
      </c>
    </row>
    <row r="86" spans="1:23">
      <c r="A86" s="88" t="s">
        <v>3086</v>
      </c>
      <c r="B86" s="88" t="s">
        <v>2905</v>
      </c>
      <c r="C86" s="88" t="s">
        <v>2900</v>
      </c>
      <c r="D86" s="88" t="s">
        <v>5036</v>
      </c>
      <c r="E86" s="54"/>
      <c r="F86" s="54"/>
      <c r="G86" s="54"/>
      <c r="H86" s="54"/>
      <c r="I86" s="54"/>
      <c r="J86" s="54"/>
      <c r="K86" s="277"/>
      <c r="L86" s="297">
        <f t="shared" si="15"/>
        <v>0</v>
      </c>
      <c r="M86" s="277"/>
      <c r="N86" s="1802">
        <f>L86*M86</f>
        <v>0</v>
      </c>
      <c r="O86" s="54"/>
      <c r="P86" s="54"/>
      <c r="Q86" s="3163"/>
      <c r="R86" s="3182"/>
      <c r="S86" s="3182"/>
      <c r="T86" s="3182"/>
      <c r="U86" s="3182"/>
      <c r="V86" s="3333">
        <f t="shared" si="12"/>
        <v>0</v>
      </c>
      <c r="W86" s="3258">
        <f t="shared" si="13"/>
        <v>0</v>
      </c>
    </row>
    <row r="87" spans="1:23">
      <c r="A87" s="88" t="s">
        <v>3087</v>
      </c>
      <c r="B87" s="88" t="s">
        <v>2906</v>
      </c>
      <c r="C87" s="88" t="s">
        <v>2907</v>
      </c>
      <c r="D87" s="88" t="s">
        <v>5036</v>
      </c>
      <c r="E87" s="54"/>
      <c r="F87" s="54"/>
      <c r="G87" s="54"/>
      <c r="H87" s="54"/>
      <c r="I87" s="54"/>
      <c r="J87" s="54"/>
      <c r="K87" s="277"/>
      <c r="L87" s="297">
        <f t="shared" si="15"/>
        <v>0</v>
      </c>
      <c r="M87" s="277"/>
      <c r="N87" s="1802">
        <f>L87*M87</f>
        <v>0</v>
      </c>
      <c r="O87" s="54"/>
      <c r="P87" s="54"/>
      <c r="Q87" s="3163"/>
      <c r="R87" s="3182"/>
      <c r="S87" s="3182"/>
      <c r="T87" s="3182"/>
      <c r="U87" s="3182"/>
      <c r="V87" s="3333">
        <f t="shared" si="12"/>
        <v>0</v>
      </c>
      <c r="W87" s="3258">
        <f t="shared" si="13"/>
        <v>0</v>
      </c>
    </row>
    <row r="88" spans="1:23">
      <c r="A88" s="872" t="s">
        <v>3088</v>
      </c>
      <c r="B88" s="872"/>
      <c r="C88" s="872" t="s">
        <v>13</v>
      </c>
      <c r="D88" s="872"/>
      <c r="E88" s="164"/>
      <c r="F88" s="164"/>
      <c r="G88" s="164"/>
      <c r="H88" s="164"/>
      <c r="I88" s="164"/>
      <c r="J88" s="164"/>
      <c r="K88" s="164"/>
      <c r="L88" s="872"/>
      <c r="M88" s="164"/>
      <c r="N88" s="1801">
        <f>N89+N90</f>
        <v>0</v>
      </c>
      <c r="O88" s="164"/>
      <c r="P88" s="164"/>
      <c r="Q88" s="3160">
        <f>Q89+Q90</f>
        <v>0</v>
      </c>
      <c r="R88" s="3182"/>
      <c r="S88" s="3182"/>
      <c r="T88" s="3182"/>
      <c r="U88" s="3182"/>
      <c r="V88" s="3333">
        <f t="shared" si="12"/>
        <v>0</v>
      </c>
      <c r="W88" s="3258">
        <f t="shared" si="13"/>
        <v>0</v>
      </c>
    </row>
    <row r="89" spans="1:23">
      <c r="A89" s="107" t="s">
        <v>3089</v>
      </c>
      <c r="B89" s="158"/>
      <c r="C89" s="874" t="s">
        <v>3791</v>
      </c>
      <c r="D89" s="88" t="s">
        <v>5037</v>
      </c>
      <c r="E89" s="155"/>
      <c r="F89" s="155"/>
      <c r="G89" s="155"/>
      <c r="H89" s="155"/>
      <c r="I89" s="155"/>
      <c r="J89" s="155"/>
      <c r="K89" s="277"/>
      <c r="L89" s="297">
        <f t="shared" ref="L89:L90" si="16">K89/100000</f>
        <v>0</v>
      </c>
      <c r="M89" s="277"/>
      <c r="N89" s="1802">
        <f>L89*M89</f>
        <v>0</v>
      </c>
      <c r="O89" s="54"/>
      <c r="P89" s="54"/>
      <c r="Q89" s="3163"/>
      <c r="R89" s="3182"/>
      <c r="S89" s="3182"/>
      <c r="T89" s="3182"/>
      <c r="U89" s="3182"/>
      <c r="V89" s="3333">
        <f t="shared" si="12"/>
        <v>0</v>
      </c>
      <c r="W89" s="3258">
        <f t="shared" si="13"/>
        <v>0</v>
      </c>
    </row>
    <row r="90" spans="1:23">
      <c r="A90" s="88" t="s">
        <v>3878</v>
      </c>
      <c r="B90" s="886"/>
      <c r="C90" s="874" t="s">
        <v>3753</v>
      </c>
      <c r="D90" s="88" t="s">
        <v>5036</v>
      </c>
      <c r="E90" s="155"/>
      <c r="F90" s="155"/>
      <c r="G90" s="155"/>
      <c r="H90" s="155"/>
      <c r="I90" s="155"/>
      <c r="J90" s="155"/>
      <c r="K90" s="277"/>
      <c r="L90" s="297">
        <f t="shared" si="16"/>
        <v>0</v>
      </c>
      <c r="M90" s="277"/>
      <c r="N90" s="1802">
        <f>L90*M90</f>
        <v>0</v>
      </c>
      <c r="O90" s="54"/>
      <c r="P90" s="54"/>
      <c r="Q90" s="3163"/>
      <c r="R90" s="3182"/>
      <c r="S90" s="3182"/>
      <c r="T90" s="3182"/>
      <c r="U90" s="3182"/>
      <c r="V90" s="3333">
        <f t="shared" si="12"/>
        <v>0</v>
      </c>
      <c r="W90" s="3258">
        <f t="shared" si="13"/>
        <v>0</v>
      </c>
    </row>
    <row r="91" spans="1:23">
      <c r="A91" s="165" t="s">
        <v>3090</v>
      </c>
      <c r="B91" s="165"/>
      <c r="C91" s="165" t="s">
        <v>14</v>
      </c>
      <c r="D91" s="165"/>
      <c r="E91" s="101"/>
      <c r="F91" s="101"/>
      <c r="G91" s="101"/>
      <c r="H91" s="101"/>
      <c r="I91" s="101"/>
      <c r="J91" s="101"/>
      <c r="K91" s="101"/>
      <c r="L91" s="165"/>
      <c r="M91" s="101"/>
      <c r="N91" s="1800">
        <f>N92+N103+N115</f>
        <v>77</v>
      </c>
      <c r="O91" s="101"/>
      <c r="P91" s="101"/>
      <c r="Q91" s="3159">
        <f>Q92+Q103+Q115</f>
        <v>68.25</v>
      </c>
      <c r="R91" s="3182"/>
      <c r="S91" s="3182"/>
      <c r="T91" s="3182"/>
      <c r="U91" s="3182"/>
      <c r="V91" s="3333">
        <f t="shared" si="12"/>
        <v>0</v>
      </c>
      <c r="W91" s="3258">
        <f t="shared" ref="W91:W92" si="17">+Q91-V91-Q91</f>
        <v>0</v>
      </c>
    </row>
    <row r="92" spans="1:23">
      <c r="A92" s="872" t="s">
        <v>3091</v>
      </c>
      <c r="B92" s="872"/>
      <c r="C92" s="872" t="s">
        <v>1579</v>
      </c>
      <c r="D92" s="872"/>
      <c r="E92" s="164"/>
      <c r="F92" s="164"/>
      <c r="G92" s="164"/>
      <c r="H92" s="164"/>
      <c r="I92" s="164"/>
      <c r="J92" s="164"/>
      <c r="K92" s="164"/>
      <c r="L92" s="872"/>
      <c r="M92" s="164"/>
      <c r="N92" s="1801">
        <f>SUM(N93:N99)</f>
        <v>25</v>
      </c>
      <c r="O92" s="164"/>
      <c r="P92" s="164"/>
      <c r="Q92" s="3160">
        <f>SUM(Q93:Q99)</f>
        <v>16.25</v>
      </c>
      <c r="R92" s="3182"/>
      <c r="S92" s="3182"/>
      <c r="T92" s="3182"/>
      <c r="U92" s="3182"/>
      <c r="V92" s="3333">
        <f t="shared" si="12"/>
        <v>0</v>
      </c>
      <c r="W92" s="3258">
        <f t="shared" si="17"/>
        <v>0</v>
      </c>
    </row>
    <row r="93" spans="1:23" s="861" customFormat="1">
      <c r="A93" s="107" t="s">
        <v>3092</v>
      </c>
      <c r="B93" s="89"/>
      <c r="C93" s="883" t="s">
        <v>4419</v>
      </c>
      <c r="D93" s="88" t="s">
        <v>5037</v>
      </c>
      <c r="E93" s="87"/>
      <c r="F93" s="87"/>
      <c r="G93" s="87"/>
      <c r="H93" s="87"/>
      <c r="I93" s="87"/>
      <c r="J93" s="87"/>
      <c r="K93" s="277"/>
      <c r="L93" s="297">
        <f t="shared" ref="L93:L102" si="18">K93/100000</f>
        <v>0</v>
      </c>
      <c r="M93" s="277"/>
      <c r="N93" s="234">
        <f t="shared" ref="N93:N98" si="19">L93*M93</f>
        <v>0</v>
      </c>
      <c r="O93" s="87"/>
      <c r="P93" s="87"/>
      <c r="Q93" s="3168"/>
      <c r="R93" s="3184"/>
      <c r="S93" s="3184"/>
      <c r="T93" s="3184"/>
      <c r="U93" s="3184"/>
      <c r="V93" s="3333">
        <f t="shared" si="12"/>
        <v>0</v>
      </c>
      <c r="W93" s="3258">
        <f t="shared" si="13"/>
        <v>0</v>
      </c>
    </row>
    <row r="94" spans="1:23">
      <c r="A94" s="88" t="s">
        <v>3093</v>
      </c>
      <c r="B94" s="88" t="s">
        <v>2908</v>
      </c>
      <c r="C94" s="88" t="s">
        <v>2909</v>
      </c>
      <c r="D94" s="88" t="s">
        <v>5039</v>
      </c>
      <c r="E94" s="54"/>
      <c r="F94" s="54"/>
      <c r="G94" s="54"/>
      <c r="H94" s="54"/>
      <c r="I94" s="54"/>
      <c r="J94" s="54"/>
      <c r="K94" s="277"/>
      <c r="L94" s="297">
        <f t="shared" si="18"/>
        <v>0</v>
      </c>
      <c r="M94" s="277"/>
      <c r="N94" s="1802">
        <f t="shared" si="19"/>
        <v>0</v>
      </c>
      <c r="O94" s="54"/>
      <c r="P94" s="54"/>
      <c r="Q94" s="3163"/>
      <c r="R94" s="3182"/>
      <c r="S94" s="3182"/>
      <c r="T94" s="3182"/>
      <c r="U94" s="3182"/>
      <c r="V94" s="3333">
        <f t="shared" si="12"/>
        <v>0</v>
      </c>
      <c r="W94" s="3258">
        <f t="shared" si="13"/>
        <v>0</v>
      </c>
    </row>
    <row r="95" spans="1:23">
      <c r="A95" s="88" t="s">
        <v>3094</v>
      </c>
      <c r="B95" s="88" t="s">
        <v>2910</v>
      </c>
      <c r="C95" s="88" t="s">
        <v>2911</v>
      </c>
      <c r="D95" s="88" t="s">
        <v>5039</v>
      </c>
      <c r="E95" s="54"/>
      <c r="F95" s="54"/>
      <c r="G95" s="54"/>
      <c r="H95" s="54"/>
      <c r="I95" s="54"/>
      <c r="J95" s="54"/>
      <c r="K95" s="277"/>
      <c r="L95" s="297">
        <f t="shared" si="18"/>
        <v>0</v>
      </c>
      <c r="M95" s="277"/>
      <c r="N95" s="1802">
        <f t="shared" si="19"/>
        <v>0</v>
      </c>
      <c r="O95" s="54"/>
      <c r="P95" s="54"/>
      <c r="Q95" s="3163"/>
      <c r="R95" s="3182"/>
      <c r="S95" s="3182"/>
      <c r="T95" s="3182"/>
      <c r="U95" s="3182"/>
      <c r="V95" s="3333">
        <f t="shared" si="12"/>
        <v>0</v>
      </c>
      <c r="W95" s="3258">
        <f t="shared" si="13"/>
        <v>0</v>
      </c>
    </row>
    <row r="96" spans="1:23">
      <c r="A96" s="88" t="s">
        <v>3215</v>
      </c>
      <c r="B96" s="88" t="s">
        <v>2912</v>
      </c>
      <c r="C96" s="88" t="s">
        <v>2913</v>
      </c>
      <c r="D96" s="88" t="s">
        <v>5039</v>
      </c>
      <c r="E96" s="54"/>
      <c r="F96" s="54"/>
      <c r="G96" s="54"/>
      <c r="H96" s="54"/>
      <c r="I96" s="54"/>
      <c r="J96" s="54"/>
      <c r="K96" s="277"/>
      <c r="L96" s="297">
        <f t="shared" si="18"/>
        <v>0</v>
      </c>
      <c r="M96" s="277"/>
      <c r="N96" s="1802">
        <f t="shared" si="19"/>
        <v>0</v>
      </c>
      <c r="O96" s="54"/>
      <c r="P96" s="54"/>
      <c r="Q96" s="3163"/>
      <c r="R96" s="3182"/>
      <c r="S96" s="3182"/>
      <c r="T96" s="3182"/>
      <c r="U96" s="3182"/>
      <c r="V96" s="3333">
        <f t="shared" si="12"/>
        <v>0</v>
      </c>
      <c r="W96" s="3258">
        <f t="shared" si="13"/>
        <v>0</v>
      </c>
    </row>
    <row r="97" spans="1:23">
      <c r="A97" s="88" t="s">
        <v>4418</v>
      </c>
      <c r="B97" s="88"/>
      <c r="C97" s="88" t="s">
        <v>4997</v>
      </c>
      <c r="D97" s="88" t="s">
        <v>5039</v>
      </c>
      <c r="E97" s="54"/>
      <c r="F97" s="54"/>
      <c r="G97" s="54"/>
      <c r="H97" s="54"/>
      <c r="I97" s="54"/>
      <c r="J97" s="54"/>
      <c r="K97" s="277"/>
      <c r="L97" s="297">
        <f t="shared" si="18"/>
        <v>0</v>
      </c>
      <c r="M97" s="277"/>
      <c r="N97" s="1802">
        <f t="shared" si="19"/>
        <v>0</v>
      </c>
      <c r="O97" s="54"/>
      <c r="P97" s="54"/>
      <c r="Q97" s="3163"/>
      <c r="R97" s="3182"/>
      <c r="S97" s="3182"/>
      <c r="T97" s="3182"/>
      <c r="U97" s="3182"/>
      <c r="V97" s="3333">
        <f t="shared" si="12"/>
        <v>0</v>
      </c>
      <c r="W97" s="3258">
        <f t="shared" si="13"/>
        <v>0</v>
      </c>
    </row>
    <row r="98" spans="1:23">
      <c r="A98" s="88" t="s">
        <v>4996</v>
      </c>
      <c r="B98" s="88"/>
      <c r="C98" s="88" t="s">
        <v>1304</v>
      </c>
      <c r="D98" s="88" t="s">
        <v>5039</v>
      </c>
      <c r="E98" s="54"/>
      <c r="F98" s="54"/>
      <c r="G98" s="54"/>
      <c r="H98" s="54"/>
      <c r="I98" s="54"/>
      <c r="J98" s="54"/>
      <c r="K98" s="277"/>
      <c r="L98" s="297">
        <f t="shared" si="18"/>
        <v>0</v>
      </c>
      <c r="M98" s="277"/>
      <c r="N98" s="1802">
        <f t="shared" si="19"/>
        <v>0</v>
      </c>
      <c r="O98" s="54"/>
      <c r="P98" s="54"/>
      <c r="Q98" s="3163"/>
      <c r="R98" s="3182"/>
      <c r="S98" s="3182"/>
      <c r="T98" s="3182"/>
      <c r="U98" s="3182"/>
      <c r="V98" s="3333">
        <f t="shared" si="12"/>
        <v>0</v>
      </c>
      <c r="W98" s="3258">
        <f t="shared" si="13"/>
        <v>0</v>
      </c>
    </row>
    <row r="99" spans="1:23" s="887" customFormat="1">
      <c r="A99" s="89" t="s">
        <v>5000</v>
      </c>
      <c r="B99" s="89" t="s">
        <v>3103</v>
      </c>
      <c r="C99" s="89" t="s">
        <v>4687</v>
      </c>
      <c r="D99" s="89"/>
      <c r="E99" s="77"/>
      <c r="F99" s="77"/>
      <c r="G99" s="77"/>
      <c r="H99" s="77"/>
      <c r="I99" s="77"/>
      <c r="J99" s="77"/>
      <c r="K99" s="77"/>
      <c r="L99" s="297">
        <f t="shared" si="18"/>
        <v>0</v>
      </c>
      <c r="M99" s="282"/>
      <c r="N99" s="1804">
        <f>N100+N101+N102</f>
        <v>25</v>
      </c>
      <c r="O99" s="643"/>
      <c r="P99" s="643"/>
      <c r="Q99" s="3169">
        <f>Q100+Q101+Q102</f>
        <v>16.25</v>
      </c>
      <c r="R99" s="3262"/>
      <c r="S99" s="3262"/>
      <c r="T99" s="3262"/>
      <c r="U99" s="3262"/>
      <c r="V99" s="3333">
        <f t="shared" si="12"/>
        <v>0</v>
      </c>
      <c r="W99" s="3258">
        <f>+Q99-V99-Q99</f>
        <v>0</v>
      </c>
    </row>
    <row r="100" spans="1:23" ht="120">
      <c r="A100" s="107" t="s">
        <v>5001</v>
      </c>
      <c r="B100" s="88" t="s">
        <v>4438</v>
      </c>
      <c r="C100" s="107" t="s">
        <v>4436</v>
      </c>
      <c r="D100" s="107" t="s">
        <v>5037</v>
      </c>
      <c r="E100" s="69"/>
      <c r="F100" s="69"/>
      <c r="G100" s="69"/>
      <c r="H100" s="69"/>
      <c r="I100" s="69"/>
      <c r="J100" s="69"/>
      <c r="K100" s="277">
        <v>2500000</v>
      </c>
      <c r="L100" s="297">
        <f t="shared" si="18"/>
        <v>25</v>
      </c>
      <c r="M100" s="277">
        <v>1</v>
      </c>
      <c r="N100" s="1802">
        <f>L100*M100</f>
        <v>25</v>
      </c>
      <c r="O100" s="54" t="s">
        <v>5485</v>
      </c>
      <c r="P100" s="2018" t="s">
        <v>5841</v>
      </c>
      <c r="Q100" s="3163">
        <v>16.25</v>
      </c>
      <c r="R100" s="3182">
        <v>16.25</v>
      </c>
      <c r="S100" s="3182"/>
      <c r="T100" s="3182"/>
      <c r="U100" s="3182"/>
      <c r="V100" s="3333">
        <f t="shared" si="12"/>
        <v>16.25</v>
      </c>
      <c r="W100" s="3258">
        <f t="shared" si="13"/>
        <v>0</v>
      </c>
    </row>
    <row r="101" spans="1:23" ht="30">
      <c r="A101" s="88" t="s">
        <v>5002</v>
      </c>
      <c r="B101" s="88" t="s">
        <v>4439</v>
      </c>
      <c r="C101" s="107" t="s">
        <v>4437</v>
      </c>
      <c r="D101" s="107" t="s">
        <v>5036</v>
      </c>
      <c r="E101" s="69"/>
      <c r="F101" s="69"/>
      <c r="G101" s="69"/>
      <c r="H101" s="69"/>
      <c r="I101" s="69"/>
      <c r="J101" s="69"/>
      <c r="K101" s="277"/>
      <c r="L101" s="297">
        <f t="shared" si="18"/>
        <v>0</v>
      </c>
      <c r="M101" s="277"/>
      <c r="N101" s="1802">
        <f>L101*M101</f>
        <v>0</v>
      </c>
      <c r="O101" s="54"/>
      <c r="P101" s="54"/>
      <c r="Q101" s="3163"/>
      <c r="R101" s="3182"/>
      <c r="S101" s="3182"/>
      <c r="T101" s="3182"/>
      <c r="U101" s="3182"/>
      <c r="V101" s="3333">
        <f t="shared" si="12"/>
        <v>0</v>
      </c>
      <c r="W101" s="3258">
        <f t="shared" si="13"/>
        <v>0</v>
      </c>
    </row>
    <row r="102" spans="1:23">
      <c r="A102" s="88" t="s">
        <v>5003</v>
      </c>
      <c r="B102" s="88" t="s">
        <v>4440</v>
      </c>
      <c r="C102" s="107" t="s">
        <v>2883</v>
      </c>
      <c r="D102" s="107" t="s">
        <v>5036</v>
      </c>
      <c r="E102" s="69"/>
      <c r="F102" s="69"/>
      <c r="G102" s="69"/>
      <c r="H102" s="69"/>
      <c r="I102" s="69"/>
      <c r="J102" s="69"/>
      <c r="K102" s="277"/>
      <c r="L102" s="297">
        <f t="shared" si="18"/>
        <v>0</v>
      </c>
      <c r="M102" s="277"/>
      <c r="N102" s="1802">
        <f>L102*M102</f>
        <v>0</v>
      </c>
      <c r="O102" s="54"/>
      <c r="P102" s="54"/>
      <c r="Q102" s="3163"/>
      <c r="R102" s="3182"/>
      <c r="S102" s="3182"/>
      <c r="T102" s="3182"/>
      <c r="U102" s="3182"/>
      <c r="V102" s="3333">
        <f t="shared" si="12"/>
        <v>0</v>
      </c>
      <c r="W102" s="3258">
        <f t="shared" si="13"/>
        <v>0</v>
      </c>
    </row>
    <row r="103" spans="1:23">
      <c r="A103" s="872" t="s">
        <v>3095</v>
      </c>
      <c r="B103" s="872"/>
      <c r="C103" s="872" t="s">
        <v>4423</v>
      </c>
      <c r="D103" s="872"/>
      <c r="E103" s="164"/>
      <c r="F103" s="164"/>
      <c r="G103" s="164"/>
      <c r="H103" s="164"/>
      <c r="I103" s="164"/>
      <c r="J103" s="164"/>
      <c r="K103" s="164"/>
      <c r="L103" s="872"/>
      <c r="M103" s="164"/>
      <c r="N103" s="1801">
        <f>N104+N108+N111+N112</f>
        <v>52</v>
      </c>
      <c r="O103" s="164"/>
      <c r="P103" s="164"/>
      <c r="Q103" s="3160">
        <f>Q104+Q108+Q111+Q112</f>
        <v>52</v>
      </c>
      <c r="R103" s="3182"/>
      <c r="S103" s="3182"/>
      <c r="T103" s="3182"/>
      <c r="U103" s="3182"/>
      <c r="V103" s="3333">
        <f t="shared" si="12"/>
        <v>0</v>
      </c>
      <c r="W103" s="3258">
        <f t="shared" ref="W103:W104" si="20">+Q103-V103-Q103</f>
        <v>0</v>
      </c>
    </row>
    <row r="104" spans="1:23" s="889" customFormat="1">
      <c r="A104" s="888" t="s">
        <v>3096</v>
      </c>
      <c r="B104" s="888"/>
      <c r="C104" s="888" t="s">
        <v>4420</v>
      </c>
      <c r="D104" s="888"/>
      <c r="E104" s="81"/>
      <c r="F104" s="81"/>
      <c r="G104" s="81"/>
      <c r="H104" s="81"/>
      <c r="I104" s="81"/>
      <c r="J104" s="81"/>
      <c r="K104" s="81"/>
      <c r="L104" s="297">
        <f t="shared" ref="L104:L107" si="21">K104/100000</f>
        <v>0</v>
      </c>
      <c r="M104" s="282"/>
      <c r="N104" s="1804">
        <f>SUM(N105:N107)</f>
        <v>52</v>
      </c>
      <c r="O104" s="81"/>
      <c r="P104" s="81"/>
      <c r="Q104" s="3169">
        <f>SUM(Q105:Q107)</f>
        <v>52</v>
      </c>
      <c r="R104" s="3261"/>
      <c r="S104" s="3261"/>
      <c r="T104" s="3261"/>
      <c r="U104" s="3261"/>
      <c r="V104" s="3333">
        <f t="shared" si="12"/>
        <v>0</v>
      </c>
      <c r="W104" s="3258">
        <f t="shared" si="20"/>
        <v>0</v>
      </c>
    </row>
    <row r="105" spans="1:23" s="861" customFormat="1" ht="135">
      <c r="A105" s="107" t="s">
        <v>4428</v>
      </c>
      <c r="B105" s="107" t="s">
        <v>2914</v>
      </c>
      <c r="C105" s="107" t="s">
        <v>4433</v>
      </c>
      <c r="D105" s="107" t="s">
        <v>5037</v>
      </c>
      <c r="E105" s="108">
        <v>8</v>
      </c>
      <c r="F105" s="108"/>
      <c r="G105" s="108">
        <v>10</v>
      </c>
      <c r="H105" s="108"/>
      <c r="I105" s="108"/>
      <c r="J105" s="108">
        <v>1</v>
      </c>
      <c r="K105" s="277">
        <v>400000</v>
      </c>
      <c r="L105" s="297">
        <f>K105/100000</f>
        <v>4</v>
      </c>
      <c r="M105" s="277">
        <v>13</v>
      </c>
      <c r="N105" s="234">
        <f>L105*M105</f>
        <v>52</v>
      </c>
      <c r="O105" s="81" t="s">
        <v>5442</v>
      </c>
      <c r="P105" s="2018" t="s">
        <v>5842</v>
      </c>
      <c r="Q105" s="3170">
        <v>16</v>
      </c>
      <c r="R105" s="3184">
        <v>16</v>
      </c>
      <c r="S105" s="3184"/>
      <c r="T105" s="3184"/>
      <c r="U105" s="3184"/>
      <c r="V105" s="3333">
        <f t="shared" si="12"/>
        <v>16</v>
      </c>
      <c r="W105" s="3258">
        <f t="shared" si="13"/>
        <v>0</v>
      </c>
    </row>
    <row r="106" spans="1:23" s="861" customFormat="1" ht="105">
      <c r="A106" s="107" t="s">
        <v>4429</v>
      </c>
      <c r="B106" s="107" t="s">
        <v>4426</v>
      </c>
      <c r="C106" s="107" t="s">
        <v>4427</v>
      </c>
      <c r="D106" s="107" t="s">
        <v>5037</v>
      </c>
      <c r="E106" s="108"/>
      <c r="F106" s="108"/>
      <c r="G106" s="108"/>
      <c r="H106" s="108"/>
      <c r="I106" s="108"/>
      <c r="J106" s="108"/>
      <c r="K106" s="283"/>
      <c r="L106" s="298">
        <f>K106/100000</f>
        <v>0</v>
      </c>
      <c r="M106" s="283"/>
      <c r="N106" s="234">
        <f>L106*M106</f>
        <v>0</v>
      </c>
      <c r="O106" s="2681"/>
      <c r="P106" s="2814" t="s">
        <v>5843</v>
      </c>
      <c r="Q106" s="3171">
        <v>36</v>
      </c>
      <c r="R106" s="3184">
        <v>36</v>
      </c>
      <c r="S106" s="3184"/>
      <c r="T106" s="3184"/>
      <c r="U106" s="3184"/>
      <c r="V106" s="3333">
        <f t="shared" si="12"/>
        <v>36</v>
      </c>
      <c r="W106" s="3258">
        <f t="shared" si="13"/>
        <v>0</v>
      </c>
    </row>
    <row r="107" spans="1:23" s="861" customFormat="1">
      <c r="A107" s="107" t="s">
        <v>4998</v>
      </c>
      <c r="B107" s="107"/>
      <c r="C107" s="107" t="s">
        <v>3753</v>
      </c>
      <c r="D107" s="107" t="s">
        <v>5036</v>
      </c>
      <c r="E107" s="108"/>
      <c r="F107" s="108"/>
      <c r="G107" s="108"/>
      <c r="H107" s="108"/>
      <c r="I107" s="108"/>
      <c r="J107" s="108"/>
      <c r="K107" s="277"/>
      <c r="L107" s="297">
        <f t="shared" si="21"/>
        <v>0</v>
      </c>
      <c r="M107" s="277"/>
      <c r="N107" s="234">
        <f>L107*M107</f>
        <v>0</v>
      </c>
      <c r="O107" s="108"/>
      <c r="P107" s="108"/>
      <c r="Q107" s="3165"/>
      <c r="R107" s="3184"/>
      <c r="S107" s="3184"/>
      <c r="T107" s="3184"/>
      <c r="U107" s="3184"/>
      <c r="V107" s="3333">
        <f t="shared" si="12"/>
        <v>0</v>
      </c>
      <c r="W107" s="3258">
        <f t="shared" si="13"/>
        <v>0</v>
      </c>
    </row>
    <row r="108" spans="1:23" s="887" customFormat="1">
      <c r="A108" s="1805" t="s">
        <v>3097</v>
      </c>
      <c r="B108" s="1805"/>
      <c r="C108" s="1806" t="s">
        <v>1784</v>
      </c>
      <c r="D108" s="1806"/>
      <c r="E108" s="594"/>
      <c r="F108" s="594"/>
      <c r="G108" s="594"/>
      <c r="H108" s="594"/>
      <c r="I108" s="594"/>
      <c r="J108" s="594"/>
      <c r="K108" s="594"/>
      <c r="L108" s="1807"/>
      <c r="M108" s="595"/>
      <c r="N108" s="1807">
        <f>SUM(N109:N110)</f>
        <v>0</v>
      </c>
      <c r="O108" s="594"/>
      <c r="P108" s="594"/>
      <c r="Q108" s="3172">
        <f>SUM(Q109:Q110)</f>
        <v>0</v>
      </c>
      <c r="R108" s="3262"/>
      <c r="S108" s="3262"/>
      <c r="T108" s="3262"/>
      <c r="U108" s="3262"/>
      <c r="V108" s="3333">
        <f t="shared" si="12"/>
        <v>0</v>
      </c>
      <c r="W108" s="3258">
        <f t="shared" si="13"/>
        <v>0</v>
      </c>
    </row>
    <row r="109" spans="1:23">
      <c r="A109" s="88" t="s">
        <v>4430</v>
      </c>
      <c r="B109" s="88" t="s">
        <v>2915</v>
      </c>
      <c r="C109" s="88" t="s">
        <v>2916</v>
      </c>
      <c r="D109" s="88" t="s">
        <v>5038</v>
      </c>
      <c r="E109" s="54"/>
      <c r="F109" s="54"/>
      <c r="G109" s="54"/>
      <c r="H109" s="54"/>
      <c r="I109" s="54"/>
      <c r="J109" s="54"/>
      <c r="K109" s="277"/>
      <c r="L109" s="297">
        <f t="shared" ref="L109:L111" si="22">K109/100000</f>
        <v>0</v>
      </c>
      <c r="M109" s="277"/>
      <c r="N109" s="1802">
        <f>L109*M109</f>
        <v>0</v>
      </c>
      <c r="O109" s="54"/>
      <c r="P109" s="54"/>
      <c r="Q109" s="3163"/>
      <c r="R109" s="3182"/>
      <c r="S109" s="3182"/>
      <c r="T109" s="3182"/>
      <c r="U109" s="3182"/>
      <c r="V109" s="3333">
        <f t="shared" si="12"/>
        <v>0</v>
      </c>
      <c r="W109" s="3258">
        <f t="shared" si="13"/>
        <v>0</v>
      </c>
    </row>
    <row r="110" spans="1:23">
      <c r="A110" s="88" t="s">
        <v>4431</v>
      </c>
      <c r="B110" s="88" t="s">
        <v>2917</v>
      </c>
      <c r="C110" s="88" t="s">
        <v>4999</v>
      </c>
      <c r="D110" s="88" t="s">
        <v>5038</v>
      </c>
      <c r="E110" s="54"/>
      <c r="F110" s="54"/>
      <c r="G110" s="54"/>
      <c r="H110" s="54"/>
      <c r="I110" s="54"/>
      <c r="J110" s="54"/>
      <c r="K110" s="277"/>
      <c r="L110" s="297">
        <f t="shared" si="22"/>
        <v>0</v>
      </c>
      <c r="M110" s="277"/>
      <c r="N110" s="1802">
        <f>L110*M110</f>
        <v>0</v>
      </c>
      <c r="O110" s="54"/>
      <c r="P110" s="54"/>
      <c r="Q110" s="3163"/>
      <c r="R110" s="3182"/>
      <c r="S110" s="3182"/>
      <c r="T110" s="3182"/>
      <c r="U110" s="3182"/>
      <c r="V110" s="3333">
        <f t="shared" si="12"/>
        <v>0</v>
      </c>
      <c r="W110" s="3258">
        <f t="shared" si="13"/>
        <v>0</v>
      </c>
    </row>
    <row r="111" spans="1:23" s="887" customFormat="1">
      <c r="A111" s="888" t="s">
        <v>3098</v>
      </c>
      <c r="B111" s="890" t="s">
        <v>2918</v>
      </c>
      <c r="C111" s="890" t="s">
        <v>1871</v>
      </c>
      <c r="D111" s="890" t="s">
        <v>5036</v>
      </c>
      <c r="E111" s="103"/>
      <c r="F111" s="103"/>
      <c r="G111" s="103"/>
      <c r="H111" s="103"/>
      <c r="I111" s="103"/>
      <c r="J111" s="103"/>
      <c r="K111" s="277"/>
      <c r="L111" s="297">
        <f t="shared" si="22"/>
        <v>0</v>
      </c>
      <c r="M111" s="277"/>
      <c r="N111" s="1808">
        <f>L111*M111</f>
        <v>0</v>
      </c>
      <c r="O111" s="103"/>
      <c r="P111" s="103"/>
      <c r="Q111" s="3173"/>
      <c r="R111" s="3262"/>
      <c r="S111" s="3262"/>
      <c r="T111" s="3262"/>
      <c r="U111" s="3262"/>
      <c r="V111" s="3333">
        <f t="shared" si="12"/>
        <v>0</v>
      </c>
      <c r="W111" s="3258">
        <f t="shared" si="13"/>
        <v>0</v>
      </c>
    </row>
    <row r="112" spans="1:23" s="861" customFormat="1">
      <c r="A112" s="1809" t="s">
        <v>3099</v>
      </c>
      <c r="B112" s="1810"/>
      <c r="C112" s="1257" t="s">
        <v>4434</v>
      </c>
      <c r="D112" s="1257"/>
      <c r="E112" s="141"/>
      <c r="F112" s="141"/>
      <c r="G112" s="141"/>
      <c r="H112" s="141"/>
      <c r="I112" s="141"/>
      <c r="J112" s="141"/>
      <c r="K112" s="141"/>
      <c r="L112" s="1811"/>
      <c r="M112" s="386"/>
      <c r="N112" s="1811">
        <f>SUM(N113:N114)</f>
        <v>0</v>
      </c>
      <c r="O112" s="141"/>
      <c r="P112" s="141"/>
      <c r="Q112" s="3174">
        <f>SUM(Q113:Q114)</f>
        <v>0</v>
      </c>
      <c r="R112" s="3184"/>
      <c r="S112" s="3184"/>
      <c r="T112" s="3184"/>
      <c r="U112" s="3184"/>
      <c r="V112" s="3333">
        <f t="shared" si="12"/>
        <v>0</v>
      </c>
      <c r="W112" s="3258">
        <f t="shared" si="13"/>
        <v>0</v>
      </c>
    </row>
    <row r="113" spans="1:23" s="861" customFormat="1" ht="30">
      <c r="A113" s="888" t="s">
        <v>3100</v>
      </c>
      <c r="B113" s="107"/>
      <c r="C113" s="107" t="s">
        <v>4432</v>
      </c>
      <c r="D113" s="107" t="s">
        <v>5037</v>
      </c>
      <c r="E113" s="108">
        <v>8</v>
      </c>
      <c r="F113" s="108"/>
      <c r="G113" s="108">
        <v>10</v>
      </c>
      <c r="H113" s="108"/>
      <c r="I113" s="108"/>
      <c r="J113" s="108"/>
      <c r="K113" s="277"/>
      <c r="L113" s="297">
        <f t="shared" ref="L113:L114" si="23">K113/100000</f>
        <v>0</v>
      </c>
      <c r="M113" s="277"/>
      <c r="N113" s="234">
        <f>L113*M113</f>
        <v>0</v>
      </c>
      <c r="O113" s="108"/>
      <c r="P113" s="108"/>
      <c r="Q113" s="3165"/>
      <c r="R113" s="3184"/>
      <c r="S113" s="3184"/>
      <c r="T113" s="3184"/>
      <c r="U113" s="3184"/>
      <c r="V113" s="3333">
        <f t="shared" si="12"/>
        <v>0</v>
      </c>
      <c r="W113" s="3258">
        <f t="shared" si="13"/>
        <v>0</v>
      </c>
    </row>
    <row r="114" spans="1:23" s="861" customFormat="1" ht="30">
      <c r="A114" s="888" t="s">
        <v>3101</v>
      </c>
      <c r="B114" s="107"/>
      <c r="C114" s="107" t="s">
        <v>4435</v>
      </c>
      <c r="D114" s="107" t="s">
        <v>5037</v>
      </c>
      <c r="E114" s="108"/>
      <c r="F114" s="108"/>
      <c r="G114" s="108"/>
      <c r="H114" s="108"/>
      <c r="I114" s="108"/>
      <c r="J114" s="108"/>
      <c r="K114" s="277"/>
      <c r="L114" s="297">
        <f t="shared" si="23"/>
        <v>0</v>
      </c>
      <c r="M114" s="277"/>
      <c r="N114" s="234">
        <f>L114*M114</f>
        <v>0</v>
      </c>
      <c r="O114" s="108"/>
      <c r="P114" s="108"/>
      <c r="Q114" s="3165"/>
      <c r="R114" s="3184"/>
      <c r="S114" s="3184"/>
      <c r="T114" s="3184"/>
      <c r="U114" s="3184"/>
      <c r="V114" s="3333">
        <f t="shared" si="12"/>
        <v>0</v>
      </c>
      <c r="W114" s="3258">
        <f t="shared" si="13"/>
        <v>0</v>
      </c>
    </row>
    <row r="115" spans="1:23" s="891" customFormat="1">
      <c r="A115" s="872" t="s">
        <v>3102</v>
      </c>
      <c r="B115" s="872" t="s">
        <v>3205</v>
      </c>
      <c r="C115" s="872" t="s">
        <v>4672</v>
      </c>
      <c r="D115" s="872"/>
      <c r="E115" s="164"/>
      <c r="F115" s="164"/>
      <c r="G115" s="164"/>
      <c r="H115" s="164"/>
      <c r="I115" s="164"/>
      <c r="J115" s="164"/>
      <c r="K115" s="164"/>
      <c r="L115" s="872"/>
      <c r="M115" s="164"/>
      <c r="N115" s="1801">
        <f>SUM(N116:N117)</f>
        <v>0</v>
      </c>
      <c r="O115" s="164"/>
      <c r="P115" s="164"/>
      <c r="Q115" s="3160">
        <f>SUM(Q116:Q117)</f>
        <v>0</v>
      </c>
      <c r="R115" s="3334"/>
      <c r="S115" s="3334"/>
      <c r="T115" s="3334"/>
      <c r="U115" s="3334"/>
      <c r="V115" s="3333">
        <f t="shared" si="12"/>
        <v>0</v>
      </c>
      <c r="W115" s="3258">
        <f t="shared" si="13"/>
        <v>0</v>
      </c>
    </row>
    <row r="116" spans="1:23" s="1799" customFormat="1" ht="30">
      <c r="A116" s="583" t="s">
        <v>4457</v>
      </c>
      <c r="B116" s="2381" t="s">
        <v>3792</v>
      </c>
      <c r="C116" s="1347" t="s">
        <v>3794</v>
      </c>
      <c r="D116" s="1347" t="s">
        <v>5035</v>
      </c>
      <c r="E116" s="2647"/>
      <c r="F116" s="2647"/>
      <c r="G116" s="2647"/>
      <c r="H116" s="2647"/>
      <c r="I116" s="2647"/>
      <c r="J116" s="2647"/>
      <c r="K116" s="2626"/>
      <c r="L116" s="298">
        <f t="shared" ref="L116:L117" si="24">K116/100000</f>
        <v>0</v>
      </c>
      <c r="M116" s="283"/>
      <c r="N116" s="1804">
        <f>L116*M116</f>
        <v>0</v>
      </c>
      <c r="O116" s="2441"/>
      <c r="P116" s="2433"/>
      <c r="Q116" s="3165"/>
      <c r="R116" s="3335"/>
      <c r="S116" s="3335"/>
      <c r="T116" s="3335"/>
      <c r="U116" s="3335"/>
      <c r="V116" s="3333">
        <f t="shared" si="12"/>
        <v>0</v>
      </c>
      <c r="W116" s="3258">
        <f t="shared" si="13"/>
        <v>0</v>
      </c>
    </row>
    <row r="117" spans="1:23" s="1799" customFormat="1">
      <c r="A117" s="583" t="s">
        <v>5004</v>
      </c>
      <c r="B117" s="2381" t="s">
        <v>3793</v>
      </c>
      <c r="C117" s="107" t="s">
        <v>1304</v>
      </c>
      <c r="D117" s="107" t="s">
        <v>3204</v>
      </c>
      <c r="E117" s="2647"/>
      <c r="F117" s="2647"/>
      <c r="G117" s="2647"/>
      <c r="H117" s="2647"/>
      <c r="I117" s="2647"/>
      <c r="J117" s="2647"/>
      <c r="K117" s="283"/>
      <c r="L117" s="298">
        <f t="shared" si="24"/>
        <v>0</v>
      </c>
      <c r="M117" s="283"/>
      <c r="N117" s="1804">
        <f>L117*M117</f>
        <v>0</v>
      </c>
      <c r="O117" s="2441"/>
      <c r="P117" s="2433"/>
      <c r="Q117" s="3165"/>
      <c r="R117" s="3335"/>
      <c r="S117" s="3335"/>
      <c r="T117" s="3335"/>
      <c r="U117" s="3335"/>
      <c r="V117" s="3333">
        <f t="shared" si="12"/>
        <v>0</v>
      </c>
      <c r="W117" s="3258">
        <f t="shared" si="13"/>
        <v>0</v>
      </c>
    </row>
    <row r="118" spans="1:23">
      <c r="A118" s="165" t="s">
        <v>3104</v>
      </c>
      <c r="B118" s="165"/>
      <c r="C118" s="165" t="s">
        <v>16</v>
      </c>
      <c r="D118" s="165"/>
      <c r="E118" s="101"/>
      <c r="F118" s="101"/>
      <c r="G118" s="101"/>
      <c r="H118" s="101"/>
      <c r="I118" s="101"/>
      <c r="J118" s="101"/>
      <c r="K118" s="101"/>
      <c r="L118" s="165"/>
      <c r="M118" s="101"/>
      <c r="N118" s="1800">
        <f>N119</f>
        <v>0</v>
      </c>
      <c r="O118" s="101"/>
      <c r="P118" s="101"/>
      <c r="Q118" s="3159">
        <f>Q119</f>
        <v>0</v>
      </c>
      <c r="R118" s="3182"/>
      <c r="S118" s="3182"/>
      <c r="T118" s="3182"/>
      <c r="U118" s="3182"/>
      <c r="V118" s="3333">
        <f t="shared" si="12"/>
        <v>0</v>
      </c>
      <c r="W118" s="3258">
        <f t="shared" si="13"/>
        <v>0</v>
      </c>
    </row>
    <row r="119" spans="1:23">
      <c r="A119" s="88" t="s">
        <v>3105</v>
      </c>
      <c r="B119" s="88"/>
      <c r="C119" s="88" t="s">
        <v>4307</v>
      </c>
      <c r="D119" s="88" t="s">
        <v>5036</v>
      </c>
      <c r="E119" s="54"/>
      <c r="F119" s="54"/>
      <c r="G119" s="54"/>
      <c r="H119" s="54"/>
      <c r="I119" s="54"/>
      <c r="J119" s="54"/>
      <c r="K119" s="277"/>
      <c r="L119" s="297">
        <f t="shared" ref="L119" si="25">K119/100000</f>
        <v>0</v>
      </c>
      <c r="M119" s="277"/>
      <c r="N119" s="1802">
        <f>L119*M119</f>
        <v>0</v>
      </c>
      <c r="O119" s="54"/>
      <c r="P119" s="54"/>
      <c r="Q119" s="3163"/>
      <c r="R119" s="3182"/>
      <c r="S119" s="3182"/>
      <c r="T119" s="3182"/>
      <c r="U119" s="3182"/>
      <c r="V119" s="3333">
        <f t="shared" si="12"/>
        <v>0</v>
      </c>
      <c r="W119" s="3258">
        <f t="shared" si="13"/>
        <v>0</v>
      </c>
    </row>
    <row r="120" spans="1:23">
      <c r="A120" s="165" t="s">
        <v>3106</v>
      </c>
      <c r="B120" s="165"/>
      <c r="C120" s="165" t="s">
        <v>17</v>
      </c>
      <c r="D120" s="165"/>
      <c r="E120" s="101"/>
      <c r="F120" s="101"/>
      <c r="G120" s="101"/>
      <c r="H120" s="101"/>
      <c r="I120" s="101"/>
      <c r="J120" s="101"/>
      <c r="K120" s="101"/>
      <c r="L120" s="165"/>
      <c r="M120" s="101"/>
      <c r="N120" s="1800">
        <f>N121+N169+N170+N171</f>
        <v>33.130000000000003</v>
      </c>
      <c r="O120" s="101"/>
      <c r="P120" s="101"/>
      <c r="Q120" s="3159">
        <f>Q121+Q169+Q170+Q171</f>
        <v>33.130000000000003</v>
      </c>
      <c r="R120" s="3182"/>
      <c r="S120" s="3182"/>
      <c r="T120" s="3182"/>
      <c r="U120" s="3182"/>
      <c r="V120" s="3333">
        <f t="shared" si="12"/>
        <v>0</v>
      </c>
      <c r="W120" s="3258">
        <f t="shared" ref="W120:W122" si="26">+Q120-V120-Q120</f>
        <v>0</v>
      </c>
    </row>
    <row r="121" spans="1:23">
      <c r="A121" s="872" t="s">
        <v>3107</v>
      </c>
      <c r="B121" s="872"/>
      <c r="C121" s="872" t="s">
        <v>36</v>
      </c>
      <c r="D121" s="872"/>
      <c r="E121" s="164"/>
      <c r="F121" s="164"/>
      <c r="G121" s="164"/>
      <c r="H121" s="164"/>
      <c r="I121" s="164"/>
      <c r="J121" s="164"/>
      <c r="K121" s="164"/>
      <c r="L121" s="872"/>
      <c r="M121" s="164"/>
      <c r="N121" s="1801">
        <f>N122+N126+N130+N134+N138+N142+N150+N152+N162+N166</f>
        <v>29.67</v>
      </c>
      <c r="O121" s="164"/>
      <c r="P121" s="164"/>
      <c r="Q121" s="3160">
        <f>Q122+Q126+Q130+Q134+Q138+Q142+Q150+Q152+Q162+Q166</f>
        <v>29.67</v>
      </c>
      <c r="R121" s="3182"/>
      <c r="S121" s="3182"/>
      <c r="T121" s="3182"/>
      <c r="U121" s="3182"/>
      <c r="V121" s="3333">
        <f t="shared" si="12"/>
        <v>0</v>
      </c>
      <c r="W121" s="3258">
        <f t="shared" si="26"/>
        <v>0</v>
      </c>
    </row>
    <row r="122" spans="1:23">
      <c r="A122" s="880" t="s">
        <v>3108</v>
      </c>
      <c r="B122" s="880" t="s">
        <v>2919</v>
      </c>
      <c r="C122" s="880" t="s">
        <v>2920</v>
      </c>
      <c r="D122" s="880"/>
      <c r="E122" s="102"/>
      <c r="F122" s="102"/>
      <c r="G122" s="102"/>
      <c r="H122" s="102"/>
      <c r="I122" s="102"/>
      <c r="J122" s="102"/>
      <c r="K122" s="102"/>
      <c r="L122" s="880"/>
      <c r="M122" s="102"/>
      <c r="N122" s="1154">
        <f>SUM(N123:N125)</f>
        <v>18.87</v>
      </c>
      <c r="O122" s="102"/>
      <c r="P122" s="102"/>
      <c r="Q122" s="3166">
        <f>SUM(Q123:Q125)</f>
        <v>18.87</v>
      </c>
      <c r="R122" s="3182"/>
      <c r="S122" s="3182"/>
      <c r="T122" s="3182"/>
      <c r="U122" s="3182"/>
      <c r="V122" s="3333">
        <f t="shared" si="12"/>
        <v>0</v>
      </c>
      <c r="W122" s="3258">
        <f t="shared" si="26"/>
        <v>0</v>
      </c>
    </row>
    <row r="123" spans="1:23" s="861" customFormat="1" ht="120">
      <c r="A123" s="107" t="s">
        <v>3109</v>
      </c>
      <c r="B123" s="107" t="s">
        <v>2921</v>
      </c>
      <c r="C123" s="107" t="s">
        <v>2898</v>
      </c>
      <c r="D123" s="107" t="s">
        <v>5040</v>
      </c>
      <c r="E123" s="108">
        <v>17</v>
      </c>
      <c r="F123" s="108">
        <v>17</v>
      </c>
      <c r="G123" s="108">
        <v>22.49</v>
      </c>
      <c r="H123" s="108">
        <v>12.96</v>
      </c>
      <c r="I123" s="108">
        <v>9.5299999999999994</v>
      </c>
      <c r="J123" s="108">
        <v>17</v>
      </c>
      <c r="K123" s="2318">
        <v>111000</v>
      </c>
      <c r="L123" s="298">
        <f t="shared" ref="L123:L125" si="27">K123/100000</f>
        <v>1.1100000000000001</v>
      </c>
      <c r="M123" s="2318">
        <v>17</v>
      </c>
      <c r="N123" s="234">
        <f>L123*M123</f>
        <v>18.87</v>
      </c>
      <c r="O123" s="108"/>
      <c r="P123" s="54" t="s">
        <v>5844</v>
      </c>
      <c r="Q123" s="3165">
        <v>18.87</v>
      </c>
      <c r="R123" s="3184"/>
      <c r="S123" s="3184">
        <v>3.33</v>
      </c>
      <c r="T123" s="3184">
        <v>5.55</v>
      </c>
      <c r="U123" s="3184">
        <v>9.99</v>
      </c>
      <c r="V123" s="3333">
        <f t="shared" si="12"/>
        <v>18.869999999999997</v>
      </c>
      <c r="W123" s="3258">
        <f t="shared" si="13"/>
        <v>0</v>
      </c>
    </row>
    <row r="124" spans="1:23">
      <c r="A124" s="88" t="s">
        <v>3110</v>
      </c>
      <c r="B124" s="88" t="s">
        <v>2922</v>
      </c>
      <c r="C124" s="88" t="s">
        <v>2900</v>
      </c>
      <c r="D124" s="88" t="s">
        <v>5040</v>
      </c>
      <c r="E124" s="54"/>
      <c r="F124" s="54"/>
      <c r="G124" s="54"/>
      <c r="H124" s="54"/>
      <c r="I124" s="54"/>
      <c r="J124" s="54"/>
      <c r="K124" s="277"/>
      <c r="L124" s="297">
        <f t="shared" si="27"/>
        <v>0</v>
      </c>
      <c r="M124" s="277"/>
      <c r="N124" s="1802">
        <f>L124*M124</f>
        <v>0</v>
      </c>
      <c r="O124" s="54"/>
      <c r="P124" s="54"/>
      <c r="Q124" s="3163"/>
      <c r="R124" s="3182"/>
      <c r="S124" s="3182"/>
      <c r="T124" s="3182"/>
      <c r="U124" s="3182"/>
      <c r="V124" s="3333">
        <f t="shared" si="12"/>
        <v>0</v>
      </c>
      <c r="W124" s="3258">
        <f t="shared" si="13"/>
        <v>0</v>
      </c>
    </row>
    <row r="125" spans="1:23">
      <c r="A125" s="88" t="s">
        <v>3111</v>
      </c>
      <c r="B125" s="88" t="s">
        <v>2923</v>
      </c>
      <c r="C125" s="88" t="s">
        <v>2901</v>
      </c>
      <c r="D125" s="88" t="s">
        <v>5040</v>
      </c>
      <c r="E125" s="54"/>
      <c r="F125" s="54"/>
      <c r="G125" s="54"/>
      <c r="H125" s="54"/>
      <c r="I125" s="54"/>
      <c r="J125" s="54"/>
      <c r="K125" s="277"/>
      <c r="L125" s="297">
        <f t="shared" si="27"/>
        <v>0</v>
      </c>
      <c r="M125" s="277"/>
      <c r="N125" s="1802">
        <f>L125*M125</f>
        <v>0</v>
      </c>
      <c r="O125" s="54"/>
      <c r="P125" s="54"/>
      <c r="Q125" s="3163"/>
      <c r="R125" s="3182"/>
      <c r="S125" s="3182"/>
      <c r="T125" s="3182"/>
      <c r="U125" s="3182"/>
      <c r="V125" s="3333">
        <f t="shared" si="12"/>
        <v>0</v>
      </c>
      <c r="W125" s="3258">
        <f t="shared" si="13"/>
        <v>0</v>
      </c>
    </row>
    <row r="126" spans="1:23">
      <c r="A126" s="880" t="s">
        <v>3112</v>
      </c>
      <c r="B126" s="880" t="s">
        <v>2924</v>
      </c>
      <c r="C126" s="880" t="s">
        <v>2925</v>
      </c>
      <c r="D126" s="880"/>
      <c r="E126" s="102"/>
      <c r="F126" s="102"/>
      <c r="G126" s="102"/>
      <c r="H126" s="102"/>
      <c r="I126" s="102"/>
      <c r="J126" s="102"/>
      <c r="K126" s="102"/>
      <c r="L126" s="880"/>
      <c r="M126" s="102"/>
      <c r="N126" s="1154">
        <f>SUM(N127:N129)</f>
        <v>0</v>
      </c>
      <c r="O126" s="102"/>
      <c r="P126" s="102"/>
      <c r="Q126" s="3166">
        <f>SUM(Q127:Q129)</f>
        <v>0</v>
      </c>
      <c r="R126" s="3182"/>
      <c r="S126" s="3182"/>
      <c r="T126" s="3182"/>
      <c r="U126" s="3182"/>
      <c r="V126" s="3333">
        <f t="shared" si="12"/>
        <v>0</v>
      </c>
      <c r="W126" s="3258">
        <f t="shared" si="13"/>
        <v>0</v>
      </c>
    </row>
    <row r="127" spans="1:23">
      <c r="A127" s="88" t="s">
        <v>3113</v>
      </c>
      <c r="B127" s="88" t="s">
        <v>2926</v>
      </c>
      <c r="C127" s="88" t="s">
        <v>2898</v>
      </c>
      <c r="D127" s="88" t="s">
        <v>5040</v>
      </c>
      <c r="E127" s="54"/>
      <c r="F127" s="54"/>
      <c r="G127" s="54"/>
      <c r="H127" s="54"/>
      <c r="I127" s="54"/>
      <c r="J127" s="54"/>
      <c r="K127" s="277"/>
      <c r="L127" s="297">
        <f t="shared" ref="L127:L129" si="28">K127/100000</f>
        <v>0</v>
      </c>
      <c r="M127" s="277"/>
      <c r="N127" s="1802">
        <f>L127*M127</f>
        <v>0</v>
      </c>
      <c r="O127" s="54"/>
      <c r="P127" s="54"/>
      <c r="Q127" s="3163"/>
      <c r="R127" s="3182"/>
      <c r="S127" s="3182"/>
      <c r="T127" s="3182"/>
      <c r="U127" s="3182"/>
      <c r="V127" s="3333">
        <f t="shared" si="12"/>
        <v>0</v>
      </c>
      <c r="W127" s="3258">
        <f t="shared" si="13"/>
        <v>0</v>
      </c>
    </row>
    <row r="128" spans="1:23">
      <c r="A128" s="88" t="s">
        <v>3114</v>
      </c>
      <c r="B128" s="88" t="s">
        <v>2927</v>
      </c>
      <c r="C128" s="88" t="s">
        <v>2900</v>
      </c>
      <c r="D128" s="88" t="s">
        <v>5040</v>
      </c>
      <c r="E128" s="54"/>
      <c r="F128" s="54"/>
      <c r="G128" s="54"/>
      <c r="H128" s="54"/>
      <c r="I128" s="54"/>
      <c r="J128" s="54"/>
      <c r="K128" s="277"/>
      <c r="L128" s="297">
        <f t="shared" si="28"/>
        <v>0</v>
      </c>
      <c r="M128" s="277"/>
      <c r="N128" s="1802">
        <f>L128*M128</f>
        <v>0</v>
      </c>
      <c r="O128" s="54"/>
      <c r="P128" s="54"/>
      <c r="Q128" s="3163"/>
      <c r="R128" s="3182"/>
      <c r="S128" s="3182"/>
      <c r="T128" s="3182"/>
      <c r="U128" s="3182"/>
      <c r="V128" s="3333">
        <f t="shared" si="12"/>
        <v>0</v>
      </c>
      <c r="W128" s="3258">
        <f t="shared" si="13"/>
        <v>0</v>
      </c>
    </row>
    <row r="129" spans="1:23">
      <c r="A129" s="88" t="s">
        <v>3115</v>
      </c>
      <c r="B129" s="88" t="s">
        <v>2928</v>
      </c>
      <c r="C129" s="88" t="s">
        <v>2901</v>
      </c>
      <c r="D129" s="88" t="s">
        <v>5040</v>
      </c>
      <c r="E129" s="54"/>
      <c r="F129" s="54"/>
      <c r="G129" s="54"/>
      <c r="H129" s="54"/>
      <c r="I129" s="54"/>
      <c r="J129" s="54"/>
      <c r="K129" s="277"/>
      <c r="L129" s="297">
        <f t="shared" si="28"/>
        <v>0</v>
      </c>
      <c r="M129" s="277"/>
      <c r="N129" s="1802">
        <f>L129*M129</f>
        <v>0</v>
      </c>
      <c r="O129" s="54"/>
      <c r="P129" s="54"/>
      <c r="Q129" s="3163"/>
      <c r="R129" s="3182"/>
      <c r="S129" s="3182"/>
      <c r="T129" s="3182"/>
      <c r="U129" s="3182"/>
      <c r="V129" s="3333">
        <f t="shared" si="12"/>
        <v>0</v>
      </c>
      <c r="W129" s="3258">
        <f t="shared" si="13"/>
        <v>0</v>
      </c>
    </row>
    <row r="130" spans="1:23">
      <c r="A130" s="880" t="s">
        <v>3116</v>
      </c>
      <c r="B130" s="880" t="s">
        <v>2929</v>
      </c>
      <c r="C130" s="880" t="s">
        <v>2930</v>
      </c>
      <c r="D130" s="880"/>
      <c r="E130" s="102"/>
      <c r="F130" s="102"/>
      <c r="G130" s="102"/>
      <c r="H130" s="102"/>
      <c r="I130" s="102"/>
      <c r="J130" s="102"/>
      <c r="K130" s="102"/>
      <c r="L130" s="880"/>
      <c r="M130" s="102"/>
      <c r="N130" s="1154">
        <f>SUM(N131:N133)</f>
        <v>10.799999999999999</v>
      </c>
      <c r="O130" s="102"/>
      <c r="P130" s="102"/>
      <c r="Q130" s="3166">
        <f>SUM(Q131:Q133)</f>
        <v>10.8</v>
      </c>
      <c r="R130" s="3182"/>
      <c r="S130" s="3182"/>
      <c r="T130" s="3182"/>
      <c r="U130" s="3182"/>
      <c r="V130" s="3333">
        <f t="shared" si="12"/>
        <v>0</v>
      </c>
      <c r="W130" s="3258">
        <f>+Q130-V130-Q130</f>
        <v>0</v>
      </c>
    </row>
    <row r="131" spans="1:23" s="861" customFormat="1" ht="120">
      <c r="A131" s="107" t="s">
        <v>3117</v>
      </c>
      <c r="B131" s="107" t="s">
        <v>2931</v>
      </c>
      <c r="C131" s="107" t="s">
        <v>2898</v>
      </c>
      <c r="D131" s="107" t="s">
        <v>5040</v>
      </c>
      <c r="E131" s="108">
        <v>10</v>
      </c>
      <c r="F131" s="108">
        <v>0</v>
      </c>
      <c r="G131" s="108">
        <v>10.8</v>
      </c>
      <c r="H131" s="108"/>
      <c r="I131" s="108">
        <v>0</v>
      </c>
      <c r="J131" s="108"/>
      <c r="K131" s="2318">
        <v>120000</v>
      </c>
      <c r="L131" s="298">
        <f t="shared" ref="L131:L133" si="29">K131/100000</f>
        <v>1.2</v>
      </c>
      <c r="M131" s="2318">
        <v>9</v>
      </c>
      <c r="N131" s="234">
        <f>L131*M131</f>
        <v>10.799999999999999</v>
      </c>
      <c r="O131" s="108"/>
      <c r="P131" s="54" t="s">
        <v>5845</v>
      </c>
      <c r="Q131" s="3165">
        <v>10.8</v>
      </c>
      <c r="R131" s="3184">
        <v>10.8</v>
      </c>
      <c r="S131" s="3184"/>
      <c r="T131" s="3184"/>
      <c r="U131" s="3184"/>
      <c r="V131" s="3333">
        <f t="shared" si="12"/>
        <v>10.8</v>
      </c>
      <c r="W131" s="3258">
        <f t="shared" si="13"/>
        <v>0</v>
      </c>
    </row>
    <row r="132" spans="1:23">
      <c r="A132" s="88" t="s">
        <v>3118</v>
      </c>
      <c r="B132" s="88" t="s">
        <v>2932</v>
      </c>
      <c r="C132" s="88" t="s">
        <v>2900</v>
      </c>
      <c r="D132" s="88" t="s">
        <v>5040</v>
      </c>
      <c r="E132" s="54"/>
      <c r="F132" s="54"/>
      <c r="G132" s="54"/>
      <c r="H132" s="54"/>
      <c r="I132" s="54"/>
      <c r="J132" s="54"/>
      <c r="K132" s="277"/>
      <c r="L132" s="297">
        <f t="shared" si="29"/>
        <v>0</v>
      </c>
      <c r="M132" s="277"/>
      <c r="N132" s="1802">
        <f>L132*M132</f>
        <v>0</v>
      </c>
      <c r="O132" s="54"/>
      <c r="P132" s="54"/>
      <c r="Q132" s="3163"/>
      <c r="R132" s="3182"/>
      <c r="S132" s="3182"/>
      <c r="T132" s="3182"/>
      <c r="U132" s="3182"/>
      <c r="V132" s="3333">
        <f t="shared" si="12"/>
        <v>0</v>
      </c>
      <c r="W132" s="3258">
        <f t="shared" si="13"/>
        <v>0</v>
      </c>
    </row>
    <row r="133" spans="1:23">
      <c r="A133" s="88" t="s">
        <v>3119</v>
      </c>
      <c r="B133" s="88" t="s">
        <v>2933</v>
      </c>
      <c r="C133" s="88" t="s">
        <v>2901</v>
      </c>
      <c r="D133" s="88" t="s">
        <v>5040</v>
      </c>
      <c r="E133" s="54"/>
      <c r="F133" s="54"/>
      <c r="G133" s="54"/>
      <c r="H133" s="54"/>
      <c r="I133" s="54"/>
      <c r="J133" s="54"/>
      <c r="K133" s="277"/>
      <c r="L133" s="297">
        <f t="shared" si="29"/>
        <v>0</v>
      </c>
      <c r="M133" s="277"/>
      <c r="N133" s="1802">
        <f>L133*M133</f>
        <v>0</v>
      </c>
      <c r="O133" s="54"/>
      <c r="P133" s="54"/>
      <c r="Q133" s="3163"/>
      <c r="R133" s="3182"/>
      <c r="S133" s="3182"/>
      <c r="T133" s="3182"/>
      <c r="U133" s="3182"/>
      <c r="V133" s="3333">
        <f t="shared" si="12"/>
        <v>0</v>
      </c>
      <c r="W133" s="3258">
        <f t="shared" si="13"/>
        <v>0</v>
      </c>
    </row>
    <row r="134" spans="1:23">
      <c r="A134" s="880" t="s">
        <v>3120</v>
      </c>
      <c r="B134" s="880" t="s">
        <v>2934</v>
      </c>
      <c r="C134" s="880" t="s">
        <v>547</v>
      </c>
      <c r="D134" s="880"/>
      <c r="E134" s="102"/>
      <c r="F134" s="102"/>
      <c r="G134" s="102"/>
      <c r="H134" s="102"/>
      <c r="I134" s="102"/>
      <c r="J134" s="102"/>
      <c r="K134" s="102"/>
      <c r="L134" s="880"/>
      <c r="M134" s="102"/>
      <c r="N134" s="1154">
        <f>SUM(N135:N137)</f>
        <v>0</v>
      </c>
      <c r="O134" s="102"/>
      <c r="P134" s="102"/>
      <c r="Q134" s="3166">
        <f>SUM(Q135:Q137)</f>
        <v>0</v>
      </c>
      <c r="R134" s="3182"/>
      <c r="S134" s="3182"/>
      <c r="T134" s="3182"/>
      <c r="U134" s="3182"/>
      <c r="V134" s="3333">
        <f t="shared" si="12"/>
        <v>0</v>
      </c>
      <c r="W134" s="3258">
        <f t="shared" si="13"/>
        <v>0</v>
      </c>
    </row>
    <row r="135" spans="1:23">
      <c r="A135" s="88" t="s">
        <v>3121</v>
      </c>
      <c r="B135" s="88" t="s">
        <v>2935</v>
      </c>
      <c r="C135" s="88" t="s">
        <v>2898</v>
      </c>
      <c r="D135" s="88" t="s">
        <v>5040</v>
      </c>
      <c r="E135" s="54"/>
      <c r="F135" s="54"/>
      <c r="G135" s="54"/>
      <c r="H135" s="54"/>
      <c r="I135" s="54"/>
      <c r="J135" s="54"/>
      <c r="K135" s="277"/>
      <c r="L135" s="297">
        <f t="shared" ref="L135:L137" si="30">K135/100000</f>
        <v>0</v>
      </c>
      <c r="M135" s="277"/>
      <c r="N135" s="1802">
        <f>L135*M135</f>
        <v>0</v>
      </c>
      <c r="O135" s="54"/>
      <c r="P135" s="54"/>
      <c r="Q135" s="3163"/>
      <c r="R135" s="3182"/>
      <c r="S135" s="3182"/>
      <c r="T135" s="3182"/>
      <c r="U135" s="3182"/>
      <c r="V135" s="3333">
        <f t="shared" si="12"/>
        <v>0</v>
      </c>
      <c r="W135" s="3258">
        <f t="shared" si="13"/>
        <v>0</v>
      </c>
    </row>
    <row r="136" spans="1:23">
      <c r="A136" s="88" t="s">
        <v>3122</v>
      </c>
      <c r="B136" s="88" t="s">
        <v>2936</v>
      </c>
      <c r="C136" s="88" t="s">
        <v>2900</v>
      </c>
      <c r="D136" s="88" t="s">
        <v>5040</v>
      </c>
      <c r="E136" s="54"/>
      <c r="F136" s="54"/>
      <c r="G136" s="54"/>
      <c r="H136" s="54"/>
      <c r="I136" s="54"/>
      <c r="J136" s="54"/>
      <c r="K136" s="277"/>
      <c r="L136" s="297">
        <f t="shared" si="30"/>
        <v>0</v>
      </c>
      <c r="M136" s="277"/>
      <c r="N136" s="1802">
        <f>L136*M136</f>
        <v>0</v>
      </c>
      <c r="O136" s="54"/>
      <c r="P136" s="54"/>
      <c r="Q136" s="3163"/>
      <c r="R136" s="3182"/>
      <c r="S136" s="3182"/>
      <c r="T136" s="3182"/>
      <c r="U136" s="3182"/>
      <c r="V136" s="3333">
        <f t="shared" ref="V136:V199" si="31">SUM(R136:U136)</f>
        <v>0</v>
      </c>
      <c r="W136" s="3258">
        <f t="shared" ref="W136:W199" si="32">+Q136-V136</f>
        <v>0</v>
      </c>
    </row>
    <row r="137" spans="1:23">
      <c r="A137" s="88" t="s">
        <v>3123</v>
      </c>
      <c r="B137" s="88" t="s">
        <v>2937</v>
      </c>
      <c r="C137" s="88" t="s">
        <v>2901</v>
      </c>
      <c r="D137" s="88" t="s">
        <v>5040</v>
      </c>
      <c r="E137" s="54"/>
      <c r="F137" s="54"/>
      <c r="G137" s="54"/>
      <c r="H137" s="54"/>
      <c r="I137" s="54"/>
      <c r="J137" s="54"/>
      <c r="K137" s="277"/>
      <c r="L137" s="297">
        <f t="shared" si="30"/>
        <v>0</v>
      </c>
      <c r="M137" s="277"/>
      <c r="N137" s="1802">
        <f>L137*M137</f>
        <v>0</v>
      </c>
      <c r="O137" s="54"/>
      <c r="P137" s="54"/>
      <c r="Q137" s="3163"/>
      <c r="R137" s="3182"/>
      <c r="S137" s="3182"/>
      <c r="T137" s="3182"/>
      <c r="U137" s="3182"/>
      <c r="V137" s="3333">
        <f t="shared" si="31"/>
        <v>0</v>
      </c>
      <c r="W137" s="3258">
        <f t="shared" si="32"/>
        <v>0</v>
      </c>
    </row>
    <row r="138" spans="1:23">
      <c r="A138" s="880" t="s">
        <v>3124</v>
      </c>
      <c r="B138" s="880" t="s">
        <v>2938</v>
      </c>
      <c r="C138" s="880" t="s">
        <v>2939</v>
      </c>
      <c r="D138" s="880"/>
      <c r="E138" s="102"/>
      <c r="F138" s="102"/>
      <c r="G138" s="102"/>
      <c r="H138" s="102"/>
      <c r="I138" s="102"/>
      <c r="J138" s="102"/>
      <c r="K138" s="102"/>
      <c r="L138" s="880"/>
      <c r="M138" s="102"/>
      <c r="N138" s="1154">
        <f>SUM(N139:N141)</f>
        <v>0</v>
      </c>
      <c r="O138" s="102"/>
      <c r="P138" s="102"/>
      <c r="Q138" s="3166">
        <f>SUM(Q139:Q141)</f>
        <v>0</v>
      </c>
      <c r="R138" s="3182"/>
      <c r="S138" s="3182"/>
      <c r="T138" s="3182"/>
      <c r="U138" s="3182"/>
      <c r="V138" s="3333">
        <f t="shared" si="31"/>
        <v>0</v>
      </c>
      <c r="W138" s="3258">
        <f t="shared" si="32"/>
        <v>0</v>
      </c>
    </row>
    <row r="139" spans="1:23">
      <c r="A139" s="88" t="s">
        <v>3125</v>
      </c>
      <c r="B139" s="88" t="s">
        <v>2940</v>
      </c>
      <c r="C139" s="88" t="s">
        <v>2941</v>
      </c>
      <c r="D139" s="88" t="s">
        <v>5040</v>
      </c>
      <c r="E139" s="54"/>
      <c r="F139" s="54"/>
      <c r="G139" s="54"/>
      <c r="H139" s="54"/>
      <c r="I139" s="54"/>
      <c r="J139" s="54"/>
      <c r="K139" s="277"/>
      <c r="L139" s="297">
        <f t="shared" ref="L139:L141" si="33">K139/100000</f>
        <v>0</v>
      </c>
      <c r="M139" s="277"/>
      <c r="N139" s="1802">
        <f>L139*M139</f>
        <v>0</v>
      </c>
      <c r="O139" s="54"/>
      <c r="P139" s="54"/>
      <c r="Q139" s="3163"/>
      <c r="R139" s="3182"/>
      <c r="S139" s="3182"/>
      <c r="T139" s="3182"/>
      <c r="U139" s="3182"/>
      <c r="V139" s="3333">
        <f t="shared" si="31"/>
        <v>0</v>
      </c>
      <c r="W139" s="3258">
        <f t="shared" si="32"/>
        <v>0</v>
      </c>
    </row>
    <row r="140" spans="1:23">
      <c r="A140" s="88" t="s">
        <v>3126</v>
      </c>
      <c r="B140" s="88" t="s">
        <v>2942</v>
      </c>
      <c r="C140" s="88" t="s">
        <v>634</v>
      </c>
      <c r="D140" s="88" t="s">
        <v>5040</v>
      </c>
      <c r="E140" s="54"/>
      <c r="F140" s="54"/>
      <c r="G140" s="54"/>
      <c r="H140" s="54"/>
      <c r="I140" s="54"/>
      <c r="J140" s="54"/>
      <c r="K140" s="277"/>
      <c r="L140" s="297">
        <f t="shared" si="33"/>
        <v>0</v>
      </c>
      <c r="M140" s="277"/>
      <c r="N140" s="1802">
        <f>L140*M140</f>
        <v>0</v>
      </c>
      <c r="O140" s="54"/>
      <c r="P140" s="54"/>
      <c r="Q140" s="3163"/>
      <c r="R140" s="3182"/>
      <c r="S140" s="3182"/>
      <c r="T140" s="3182"/>
      <c r="U140" s="3182"/>
      <c r="V140" s="3333">
        <f t="shared" si="31"/>
        <v>0</v>
      </c>
      <c r="W140" s="3258">
        <f t="shared" si="32"/>
        <v>0</v>
      </c>
    </row>
    <row r="141" spans="1:23">
      <c r="A141" s="88" t="s">
        <v>3127</v>
      </c>
      <c r="B141" s="88" t="s">
        <v>2943</v>
      </c>
      <c r="C141" s="88" t="s">
        <v>1304</v>
      </c>
      <c r="D141" s="88" t="s">
        <v>5040</v>
      </c>
      <c r="E141" s="54"/>
      <c r="F141" s="54"/>
      <c r="G141" s="54"/>
      <c r="H141" s="54"/>
      <c r="I141" s="54"/>
      <c r="J141" s="54"/>
      <c r="K141" s="277"/>
      <c r="L141" s="297">
        <f t="shared" si="33"/>
        <v>0</v>
      </c>
      <c r="M141" s="277"/>
      <c r="N141" s="1802">
        <f>L141*M141</f>
        <v>0</v>
      </c>
      <c r="O141" s="54"/>
      <c r="P141" s="54"/>
      <c r="Q141" s="3163"/>
      <c r="R141" s="3182"/>
      <c r="S141" s="3182"/>
      <c r="T141" s="3182"/>
      <c r="U141" s="3182"/>
      <c r="V141" s="3333">
        <f t="shared" si="31"/>
        <v>0</v>
      </c>
      <c r="W141" s="3258">
        <f t="shared" si="32"/>
        <v>0</v>
      </c>
    </row>
    <row r="142" spans="1:23">
      <c r="A142" s="880" t="s">
        <v>3128</v>
      </c>
      <c r="B142" s="880" t="s">
        <v>2944</v>
      </c>
      <c r="C142" s="880" t="s">
        <v>2945</v>
      </c>
      <c r="D142" s="880"/>
      <c r="E142" s="102"/>
      <c r="F142" s="102"/>
      <c r="G142" s="102"/>
      <c r="H142" s="102"/>
      <c r="I142" s="102"/>
      <c r="J142" s="102"/>
      <c r="K142" s="102"/>
      <c r="L142" s="880"/>
      <c r="M142" s="102"/>
      <c r="N142" s="1154">
        <f>SUM(N143:N149)</f>
        <v>0</v>
      </c>
      <c r="O142" s="102"/>
      <c r="P142" s="102"/>
      <c r="Q142" s="3166">
        <f>SUM(Q143:Q149)</f>
        <v>0</v>
      </c>
      <c r="R142" s="3182"/>
      <c r="S142" s="3182"/>
      <c r="T142" s="3182"/>
      <c r="U142" s="3182"/>
      <c r="V142" s="3333">
        <f t="shared" si="31"/>
        <v>0</v>
      </c>
      <c r="W142" s="3258">
        <f t="shared" si="32"/>
        <v>0</v>
      </c>
    </row>
    <row r="143" spans="1:23">
      <c r="A143" s="88" t="s">
        <v>3129</v>
      </c>
      <c r="B143" s="88" t="s">
        <v>2946</v>
      </c>
      <c r="C143" s="88" t="s">
        <v>2947</v>
      </c>
      <c r="D143" s="88" t="s">
        <v>5040</v>
      </c>
      <c r="E143" s="54"/>
      <c r="F143" s="54"/>
      <c r="G143" s="54"/>
      <c r="H143" s="54"/>
      <c r="I143" s="54"/>
      <c r="J143" s="54"/>
      <c r="K143" s="277"/>
      <c r="L143" s="297">
        <f t="shared" ref="L143:L149" si="34">K143/100000</f>
        <v>0</v>
      </c>
      <c r="M143" s="277"/>
      <c r="N143" s="1802">
        <f t="shared" ref="N143:N149" si="35">L143*M143</f>
        <v>0</v>
      </c>
      <c r="O143" s="54"/>
      <c r="P143" s="54"/>
      <c r="Q143" s="3163"/>
      <c r="R143" s="3182"/>
      <c r="S143" s="3182"/>
      <c r="T143" s="3182"/>
      <c r="U143" s="3182"/>
      <c r="V143" s="3333">
        <f t="shared" si="31"/>
        <v>0</v>
      </c>
      <c r="W143" s="3258">
        <f t="shared" si="32"/>
        <v>0</v>
      </c>
    </row>
    <row r="144" spans="1:23">
      <c r="A144" s="88" t="s">
        <v>3130</v>
      </c>
      <c r="B144" s="88" t="s">
        <v>2948</v>
      </c>
      <c r="C144" s="88" t="s">
        <v>551</v>
      </c>
      <c r="D144" s="88" t="s">
        <v>5040</v>
      </c>
      <c r="E144" s="54"/>
      <c r="F144" s="54"/>
      <c r="G144" s="54"/>
      <c r="H144" s="54"/>
      <c r="I144" s="54"/>
      <c r="J144" s="54"/>
      <c r="K144" s="277"/>
      <c r="L144" s="297">
        <f t="shared" si="34"/>
        <v>0</v>
      </c>
      <c r="M144" s="277"/>
      <c r="N144" s="1802">
        <f t="shared" si="35"/>
        <v>0</v>
      </c>
      <c r="O144" s="54"/>
      <c r="P144" s="54"/>
      <c r="Q144" s="3163"/>
      <c r="R144" s="3182"/>
      <c r="S144" s="3182"/>
      <c r="T144" s="3182"/>
      <c r="U144" s="3182"/>
      <c r="V144" s="3333">
        <f t="shared" si="31"/>
        <v>0</v>
      </c>
      <c r="W144" s="3258">
        <f t="shared" si="32"/>
        <v>0</v>
      </c>
    </row>
    <row r="145" spans="1:23">
      <c r="A145" s="88" t="s">
        <v>3131</v>
      </c>
      <c r="B145" s="88" t="s">
        <v>2949</v>
      </c>
      <c r="C145" s="88" t="s">
        <v>2950</v>
      </c>
      <c r="D145" s="88" t="s">
        <v>5040</v>
      </c>
      <c r="E145" s="54"/>
      <c r="F145" s="54"/>
      <c r="G145" s="54"/>
      <c r="H145" s="54"/>
      <c r="I145" s="54"/>
      <c r="J145" s="54"/>
      <c r="K145" s="277"/>
      <c r="L145" s="297">
        <f t="shared" si="34"/>
        <v>0</v>
      </c>
      <c r="M145" s="277"/>
      <c r="N145" s="1802">
        <f t="shared" si="35"/>
        <v>0</v>
      </c>
      <c r="O145" s="54"/>
      <c r="P145" s="54"/>
      <c r="Q145" s="3163"/>
      <c r="R145" s="3182"/>
      <c r="S145" s="3182"/>
      <c r="T145" s="3182"/>
      <c r="U145" s="3182"/>
      <c r="V145" s="3333">
        <f t="shared" si="31"/>
        <v>0</v>
      </c>
      <c r="W145" s="3258">
        <f t="shared" si="32"/>
        <v>0</v>
      </c>
    </row>
    <row r="146" spans="1:23">
      <c r="A146" s="88" t="s">
        <v>3132</v>
      </c>
      <c r="B146" s="88" t="s">
        <v>2951</v>
      </c>
      <c r="C146" s="88" t="s">
        <v>2952</v>
      </c>
      <c r="D146" s="88" t="s">
        <v>5040</v>
      </c>
      <c r="E146" s="54"/>
      <c r="F146" s="54"/>
      <c r="G146" s="54"/>
      <c r="H146" s="54"/>
      <c r="I146" s="54"/>
      <c r="J146" s="54"/>
      <c r="K146" s="277"/>
      <c r="L146" s="297">
        <f t="shared" si="34"/>
        <v>0</v>
      </c>
      <c r="M146" s="277"/>
      <c r="N146" s="1802">
        <f t="shared" si="35"/>
        <v>0</v>
      </c>
      <c r="O146" s="54"/>
      <c r="P146" s="54"/>
      <c r="Q146" s="3163"/>
      <c r="R146" s="3182"/>
      <c r="S146" s="3182"/>
      <c r="T146" s="3182"/>
      <c r="U146" s="3182"/>
      <c r="V146" s="3333">
        <f t="shared" si="31"/>
        <v>0</v>
      </c>
      <c r="W146" s="3258">
        <f t="shared" si="32"/>
        <v>0</v>
      </c>
    </row>
    <row r="147" spans="1:23">
      <c r="A147" s="88" t="s">
        <v>3133</v>
      </c>
      <c r="B147" s="88" t="s">
        <v>2953</v>
      </c>
      <c r="C147" s="88" t="s">
        <v>2954</v>
      </c>
      <c r="D147" s="88" t="s">
        <v>5040</v>
      </c>
      <c r="E147" s="54"/>
      <c r="F147" s="54"/>
      <c r="G147" s="54"/>
      <c r="H147" s="54"/>
      <c r="I147" s="54"/>
      <c r="J147" s="54"/>
      <c r="K147" s="277"/>
      <c r="L147" s="297">
        <f t="shared" si="34"/>
        <v>0</v>
      </c>
      <c r="M147" s="277"/>
      <c r="N147" s="1802">
        <f t="shared" si="35"/>
        <v>0</v>
      </c>
      <c r="O147" s="54"/>
      <c r="P147" s="54"/>
      <c r="Q147" s="3163"/>
      <c r="R147" s="3182"/>
      <c r="S147" s="3182"/>
      <c r="T147" s="3182"/>
      <c r="U147" s="3182"/>
      <c r="V147" s="3333">
        <f t="shared" si="31"/>
        <v>0</v>
      </c>
      <c r="W147" s="3258">
        <f t="shared" si="32"/>
        <v>0</v>
      </c>
    </row>
    <row r="148" spans="1:23">
      <c r="A148" s="88" t="s">
        <v>3134</v>
      </c>
      <c r="B148" s="88" t="s">
        <v>2955</v>
      </c>
      <c r="C148" s="88" t="s">
        <v>2956</v>
      </c>
      <c r="D148" s="88" t="s">
        <v>5040</v>
      </c>
      <c r="E148" s="54"/>
      <c r="F148" s="54"/>
      <c r="G148" s="54"/>
      <c r="H148" s="54"/>
      <c r="I148" s="54"/>
      <c r="J148" s="54"/>
      <c r="K148" s="277"/>
      <c r="L148" s="297">
        <f t="shared" si="34"/>
        <v>0</v>
      </c>
      <c r="M148" s="277"/>
      <c r="N148" s="1802">
        <f t="shared" si="35"/>
        <v>0</v>
      </c>
      <c r="O148" s="54"/>
      <c r="P148" s="54"/>
      <c r="Q148" s="3163"/>
      <c r="R148" s="3182"/>
      <c r="S148" s="3182"/>
      <c r="T148" s="3182"/>
      <c r="U148" s="3182"/>
      <c r="V148" s="3333">
        <f t="shared" si="31"/>
        <v>0</v>
      </c>
      <c r="W148" s="3258">
        <f t="shared" si="32"/>
        <v>0</v>
      </c>
    </row>
    <row r="149" spans="1:23">
      <c r="A149" s="88" t="s">
        <v>3135</v>
      </c>
      <c r="B149" s="88" t="s">
        <v>2957</v>
      </c>
      <c r="C149" s="88" t="s">
        <v>473</v>
      </c>
      <c r="D149" s="88" t="s">
        <v>5040</v>
      </c>
      <c r="E149" s="54"/>
      <c r="F149" s="54"/>
      <c r="G149" s="54"/>
      <c r="H149" s="54"/>
      <c r="I149" s="54"/>
      <c r="J149" s="54"/>
      <c r="K149" s="277"/>
      <c r="L149" s="297">
        <f t="shared" si="34"/>
        <v>0</v>
      </c>
      <c r="M149" s="277"/>
      <c r="N149" s="1802">
        <f t="shared" si="35"/>
        <v>0</v>
      </c>
      <c r="O149" s="54"/>
      <c r="P149" s="54"/>
      <c r="Q149" s="3163"/>
      <c r="R149" s="3182"/>
      <c r="S149" s="3182"/>
      <c r="T149" s="3182"/>
      <c r="U149" s="3182"/>
      <c r="V149" s="3333">
        <f t="shared" si="31"/>
        <v>0</v>
      </c>
      <c r="W149" s="3258">
        <f t="shared" si="32"/>
        <v>0</v>
      </c>
    </row>
    <row r="150" spans="1:23">
      <c r="A150" s="880" t="s">
        <v>3136</v>
      </c>
      <c r="B150" s="880"/>
      <c r="C150" s="880" t="s">
        <v>500</v>
      </c>
      <c r="D150" s="880"/>
      <c r="E150" s="102"/>
      <c r="F150" s="102"/>
      <c r="G150" s="102"/>
      <c r="H150" s="102"/>
      <c r="I150" s="102"/>
      <c r="J150" s="102"/>
      <c r="K150" s="102"/>
      <c r="L150" s="880"/>
      <c r="M150" s="102"/>
      <c r="N150" s="1154">
        <f>N151</f>
        <v>0</v>
      </c>
      <c r="O150" s="102"/>
      <c r="P150" s="102"/>
      <c r="Q150" s="3166">
        <f>Q151</f>
        <v>0</v>
      </c>
      <c r="R150" s="3182"/>
      <c r="S150" s="3182"/>
      <c r="T150" s="3182"/>
      <c r="U150" s="3182"/>
      <c r="V150" s="3333">
        <f t="shared" si="31"/>
        <v>0</v>
      </c>
      <c r="W150" s="3258">
        <f t="shared" si="32"/>
        <v>0</v>
      </c>
    </row>
    <row r="151" spans="1:23">
      <c r="A151" s="88" t="s">
        <v>3137</v>
      </c>
      <c r="B151" s="88" t="s">
        <v>2957</v>
      </c>
      <c r="C151" s="88" t="s">
        <v>2958</v>
      </c>
      <c r="D151" s="88" t="s">
        <v>5040</v>
      </c>
      <c r="E151" s="54"/>
      <c r="F151" s="54"/>
      <c r="G151" s="54"/>
      <c r="H151" s="54"/>
      <c r="I151" s="54"/>
      <c r="J151" s="54"/>
      <c r="K151" s="277"/>
      <c r="L151" s="297">
        <f t="shared" ref="L151" si="36">K151/100000</f>
        <v>0</v>
      </c>
      <c r="M151" s="277"/>
      <c r="N151" s="1802">
        <f>L151*M151</f>
        <v>0</v>
      </c>
      <c r="O151" s="54"/>
      <c r="P151" s="54"/>
      <c r="Q151" s="3163"/>
      <c r="R151" s="3182"/>
      <c r="S151" s="3182"/>
      <c r="T151" s="3182"/>
      <c r="U151" s="3182"/>
      <c r="V151" s="3333">
        <f t="shared" si="31"/>
        <v>0</v>
      </c>
      <c r="W151" s="3258">
        <f t="shared" si="32"/>
        <v>0</v>
      </c>
    </row>
    <row r="152" spans="1:23">
      <c r="A152" s="880" t="s">
        <v>3138</v>
      </c>
      <c r="B152" s="880"/>
      <c r="C152" s="880" t="s">
        <v>519</v>
      </c>
      <c r="D152" s="880"/>
      <c r="E152" s="102"/>
      <c r="F152" s="102"/>
      <c r="G152" s="102"/>
      <c r="H152" s="102"/>
      <c r="I152" s="102"/>
      <c r="J152" s="102"/>
      <c r="K152" s="102"/>
      <c r="L152" s="880"/>
      <c r="M152" s="102"/>
      <c r="N152" s="1154">
        <f>N153+N156+N159</f>
        <v>0</v>
      </c>
      <c r="O152" s="102"/>
      <c r="P152" s="102"/>
      <c r="Q152" s="3166">
        <f>Q153+Q156+Q159</f>
        <v>0</v>
      </c>
      <c r="R152" s="3182"/>
      <c r="S152" s="3182"/>
      <c r="T152" s="3182"/>
      <c r="U152" s="3182"/>
      <c r="V152" s="3333">
        <f t="shared" si="31"/>
        <v>0</v>
      </c>
      <c r="W152" s="3258">
        <f t="shared" si="32"/>
        <v>0</v>
      </c>
    </row>
    <row r="153" spans="1:23" s="887" customFormat="1">
      <c r="A153" s="890" t="s">
        <v>3139</v>
      </c>
      <c r="B153" s="893" t="s">
        <v>2959</v>
      </c>
      <c r="C153" s="893" t="s">
        <v>2960</v>
      </c>
      <c r="D153" s="893"/>
      <c r="E153" s="258"/>
      <c r="F153" s="258"/>
      <c r="G153" s="258"/>
      <c r="H153" s="258"/>
      <c r="I153" s="258"/>
      <c r="J153" s="258"/>
      <c r="K153" s="258"/>
      <c r="L153" s="297">
        <f t="shared" ref="L153:L161" si="37">K153/100000</f>
        <v>0</v>
      </c>
      <c r="M153" s="258"/>
      <c r="N153" s="1808">
        <f>SUM(N154:N155)</f>
        <v>0</v>
      </c>
      <c r="O153" s="251"/>
      <c r="P153" s="251"/>
      <c r="Q153" s="3175">
        <f>SUM(Q154:Q155)</f>
        <v>0</v>
      </c>
      <c r="R153" s="3262"/>
      <c r="S153" s="3262"/>
      <c r="T153" s="3262"/>
      <c r="U153" s="3262"/>
      <c r="V153" s="3333">
        <f t="shared" si="31"/>
        <v>0</v>
      </c>
      <c r="W153" s="3258">
        <f t="shared" si="32"/>
        <v>0</v>
      </c>
    </row>
    <row r="154" spans="1:23">
      <c r="A154" s="88" t="s">
        <v>3140</v>
      </c>
      <c r="B154" s="88" t="s">
        <v>2961</v>
      </c>
      <c r="C154" s="88" t="s">
        <v>2962</v>
      </c>
      <c r="D154" s="88" t="s">
        <v>5040</v>
      </c>
      <c r="E154" s="54"/>
      <c r="F154" s="54"/>
      <c r="G154" s="54"/>
      <c r="H154" s="54"/>
      <c r="I154" s="54"/>
      <c r="J154" s="54"/>
      <c r="K154" s="277"/>
      <c r="L154" s="297">
        <f t="shared" si="37"/>
        <v>0</v>
      </c>
      <c r="M154" s="277"/>
      <c r="N154" s="1802">
        <f t="shared" ref="N154:N161" si="38">L154*M154</f>
        <v>0</v>
      </c>
      <c r="O154" s="54"/>
      <c r="P154" s="54"/>
      <c r="Q154" s="3163"/>
      <c r="R154" s="3182"/>
      <c r="S154" s="3182"/>
      <c r="T154" s="3182"/>
      <c r="U154" s="3182"/>
      <c r="V154" s="3333">
        <f t="shared" si="31"/>
        <v>0</v>
      </c>
      <c r="W154" s="3258">
        <f t="shared" si="32"/>
        <v>0</v>
      </c>
    </row>
    <row r="155" spans="1:23">
      <c r="A155" s="88" t="s">
        <v>3141</v>
      </c>
      <c r="B155" s="88" t="s">
        <v>2963</v>
      </c>
      <c r="C155" s="88" t="s">
        <v>2964</v>
      </c>
      <c r="D155" s="88" t="s">
        <v>5040</v>
      </c>
      <c r="E155" s="54"/>
      <c r="F155" s="54"/>
      <c r="G155" s="54"/>
      <c r="H155" s="54"/>
      <c r="I155" s="54"/>
      <c r="J155" s="54"/>
      <c r="K155" s="277"/>
      <c r="L155" s="297">
        <f t="shared" si="37"/>
        <v>0</v>
      </c>
      <c r="M155" s="277"/>
      <c r="N155" s="1802">
        <f t="shared" si="38"/>
        <v>0</v>
      </c>
      <c r="O155" s="54"/>
      <c r="P155" s="54"/>
      <c r="Q155" s="3163"/>
      <c r="R155" s="3182"/>
      <c r="S155" s="3182"/>
      <c r="T155" s="3182"/>
      <c r="U155" s="3182"/>
      <c r="V155" s="3333">
        <f t="shared" si="31"/>
        <v>0</v>
      </c>
      <c r="W155" s="3258">
        <f t="shared" si="32"/>
        <v>0</v>
      </c>
    </row>
    <row r="156" spans="1:23" s="887" customFormat="1">
      <c r="A156" s="890" t="s">
        <v>3142</v>
      </c>
      <c r="B156" s="893" t="s">
        <v>2965</v>
      </c>
      <c r="C156" s="893" t="s">
        <v>2966</v>
      </c>
      <c r="D156" s="893"/>
      <c r="E156" s="258"/>
      <c r="F156" s="258"/>
      <c r="G156" s="258"/>
      <c r="H156" s="258"/>
      <c r="I156" s="258"/>
      <c r="J156" s="258"/>
      <c r="K156" s="258"/>
      <c r="L156" s="297">
        <f t="shared" si="37"/>
        <v>0</v>
      </c>
      <c r="M156" s="258"/>
      <c r="N156" s="1808">
        <f>SUM(N157:N158)</f>
        <v>0</v>
      </c>
      <c r="O156" s="251"/>
      <c r="P156" s="251"/>
      <c r="Q156" s="3175">
        <f>SUM(Q157:Q158)</f>
        <v>0</v>
      </c>
      <c r="R156" s="3262"/>
      <c r="S156" s="3262"/>
      <c r="T156" s="3262"/>
      <c r="U156" s="3262"/>
      <c r="V156" s="3333">
        <f t="shared" si="31"/>
        <v>0</v>
      </c>
      <c r="W156" s="3258">
        <f t="shared" si="32"/>
        <v>0</v>
      </c>
    </row>
    <row r="157" spans="1:23">
      <c r="A157" s="88" t="s">
        <v>3143</v>
      </c>
      <c r="B157" s="88" t="s">
        <v>2967</v>
      </c>
      <c r="C157" s="88" t="s">
        <v>2962</v>
      </c>
      <c r="D157" s="88" t="s">
        <v>5040</v>
      </c>
      <c r="E157" s="54"/>
      <c r="F157" s="54"/>
      <c r="G157" s="54"/>
      <c r="H157" s="54"/>
      <c r="I157" s="54"/>
      <c r="J157" s="54"/>
      <c r="K157" s="277"/>
      <c r="L157" s="297">
        <f t="shared" si="37"/>
        <v>0</v>
      </c>
      <c r="M157" s="277"/>
      <c r="N157" s="1802">
        <f t="shared" si="38"/>
        <v>0</v>
      </c>
      <c r="O157" s="54"/>
      <c r="P157" s="54"/>
      <c r="Q157" s="3163"/>
      <c r="R157" s="3182"/>
      <c r="S157" s="3182"/>
      <c r="T157" s="3182"/>
      <c r="U157" s="3182"/>
      <c r="V157" s="3333">
        <f t="shared" si="31"/>
        <v>0</v>
      </c>
      <c r="W157" s="3258">
        <f t="shared" si="32"/>
        <v>0</v>
      </c>
    </row>
    <row r="158" spans="1:23">
      <c r="A158" s="88" t="s">
        <v>3144</v>
      </c>
      <c r="B158" s="88" t="s">
        <v>2968</v>
      </c>
      <c r="C158" s="88" t="s">
        <v>2964</v>
      </c>
      <c r="D158" s="88" t="s">
        <v>5040</v>
      </c>
      <c r="E158" s="54"/>
      <c r="F158" s="54"/>
      <c r="G158" s="54"/>
      <c r="H158" s="54"/>
      <c r="I158" s="54"/>
      <c r="J158" s="54"/>
      <c r="K158" s="277"/>
      <c r="L158" s="297">
        <f t="shared" si="37"/>
        <v>0</v>
      </c>
      <c r="M158" s="277"/>
      <c r="N158" s="1802">
        <f t="shared" si="38"/>
        <v>0</v>
      </c>
      <c r="O158" s="54"/>
      <c r="P158" s="54"/>
      <c r="Q158" s="3163"/>
      <c r="R158" s="3182"/>
      <c r="S158" s="3182"/>
      <c r="T158" s="3182"/>
      <c r="U158" s="3182"/>
      <c r="V158" s="3333">
        <f t="shared" si="31"/>
        <v>0</v>
      </c>
      <c r="W158" s="3258">
        <f t="shared" si="32"/>
        <v>0</v>
      </c>
    </row>
    <row r="159" spans="1:23" s="887" customFormat="1">
      <c r="A159" s="890" t="s">
        <v>3145</v>
      </c>
      <c r="B159" s="893" t="s">
        <v>2969</v>
      </c>
      <c r="C159" s="893" t="s">
        <v>2970</v>
      </c>
      <c r="D159" s="893"/>
      <c r="E159" s="258"/>
      <c r="F159" s="258"/>
      <c r="G159" s="258"/>
      <c r="H159" s="258"/>
      <c r="I159" s="258"/>
      <c r="J159" s="258"/>
      <c r="K159" s="258"/>
      <c r="L159" s="297">
        <f t="shared" si="37"/>
        <v>0</v>
      </c>
      <c r="M159" s="258"/>
      <c r="N159" s="1808">
        <f>SUM(N160:N161)</f>
        <v>0</v>
      </c>
      <c r="O159" s="251"/>
      <c r="P159" s="251"/>
      <c r="Q159" s="3175">
        <f>SUM(Q160:Q161)</f>
        <v>0</v>
      </c>
      <c r="R159" s="3262"/>
      <c r="S159" s="3262"/>
      <c r="T159" s="3262"/>
      <c r="U159" s="3262"/>
      <c r="V159" s="3333">
        <f t="shared" si="31"/>
        <v>0</v>
      </c>
      <c r="W159" s="3258">
        <f t="shared" si="32"/>
        <v>0</v>
      </c>
    </row>
    <row r="160" spans="1:23">
      <c r="A160" s="88" t="s">
        <v>3146</v>
      </c>
      <c r="B160" s="88" t="s">
        <v>2971</v>
      </c>
      <c r="C160" s="88" t="s">
        <v>2962</v>
      </c>
      <c r="D160" s="88" t="s">
        <v>5040</v>
      </c>
      <c r="E160" s="54"/>
      <c r="F160" s="54"/>
      <c r="G160" s="54"/>
      <c r="H160" s="54"/>
      <c r="I160" s="54"/>
      <c r="J160" s="54"/>
      <c r="K160" s="277"/>
      <c r="L160" s="297">
        <f t="shared" si="37"/>
        <v>0</v>
      </c>
      <c r="M160" s="277"/>
      <c r="N160" s="1802">
        <f t="shared" si="38"/>
        <v>0</v>
      </c>
      <c r="O160" s="54"/>
      <c r="P160" s="54"/>
      <c r="Q160" s="3163"/>
      <c r="R160" s="3182"/>
      <c r="S160" s="3182"/>
      <c r="T160" s="3182"/>
      <c r="U160" s="3182"/>
      <c r="V160" s="3333">
        <f t="shared" si="31"/>
        <v>0</v>
      </c>
      <c r="W160" s="3258">
        <f t="shared" si="32"/>
        <v>0</v>
      </c>
    </row>
    <row r="161" spans="1:23">
      <c r="A161" s="88" t="s">
        <v>3147</v>
      </c>
      <c r="B161" s="88" t="s">
        <v>2971</v>
      </c>
      <c r="C161" s="88" t="s">
        <v>2964</v>
      </c>
      <c r="D161" s="88" t="s">
        <v>5040</v>
      </c>
      <c r="E161" s="54"/>
      <c r="F161" s="54"/>
      <c r="G161" s="54"/>
      <c r="H161" s="54"/>
      <c r="I161" s="54"/>
      <c r="J161" s="54"/>
      <c r="K161" s="277"/>
      <c r="L161" s="297">
        <f t="shared" si="37"/>
        <v>0</v>
      </c>
      <c r="M161" s="277"/>
      <c r="N161" s="1802">
        <f t="shared" si="38"/>
        <v>0</v>
      </c>
      <c r="O161" s="54"/>
      <c r="P161" s="54"/>
      <c r="Q161" s="3163"/>
      <c r="R161" s="3182"/>
      <c r="S161" s="3182"/>
      <c r="T161" s="3182"/>
      <c r="U161" s="3182"/>
      <c r="V161" s="3333">
        <f t="shared" si="31"/>
        <v>0</v>
      </c>
      <c r="W161" s="3258">
        <f t="shared" si="32"/>
        <v>0</v>
      </c>
    </row>
    <row r="162" spans="1:23">
      <c r="A162" s="880" t="s">
        <v>3148</v>
      </c>
      <c r="B162" s="880"/>
      <c r="C162" s="880" t="s">
        <v>668</v>
      </c>
      <c r="D162" s="880"/>
      <c r="E162" s="102"/>
      <c r="F162" s="102"/>
      <c r="G162" s="102"/>
      <c r="H162" s="102"/>
      <c r="I162" s="102"/>
      <c r="J162" s="102"/>
      <c r="K162" s="102"/>
      <c r="L162" s="880"/>
      <c r="M162" s="102"/>
      <c r="N162" s="1154">
        <f>N163</f>
        <v>0</v>
      </c>
      <c r="O162" s="102"/>
      <c r="P162" s="102"/>
      <c r="Q162" s="3166">
        <f>Q163</f>
        <v>0</v>
      </c>
      <c r="R162" s="3182"/>
      <c r="S162" s="3182"/>
      <c r="T162" s="3182"/>
      <c r="U162" s="3182"/>
      <c r="V162" s="3333">
        <f t="shared" si="31"/>
        <v>0</v>
      </c>
      <c r="W162" s="3258">
        <f t="shared" si="32"/>
        <v>0</v>
      </c>
    </row>
    <row r="163" spans="1:23" s="887" customFormat="1">
      <c r="A163" s="890" t="s">
        <v>3149</v>
      </c>
      <c r="B163" s="893" t="s">
        <v>2972</v>
      </c>
      <c r="C163" s="893" t="s">
        <v>2973</v>
      </c>
      <c r="D163" s="893"/>
      <c r="E163" s="258"/>
      <c r="F163" s="258"/>
      <c r="G163" s="258"/>
      <c r="H163" s="258"/>
      <c r="I163" s="258"/>
      <c r="J163" s="258"/>
      <c r="K163" s="258"/>
      <c r="L163" s="297">
        <f t="shared" ref="L163:L165" si="39">K163/100000</f>
        <v>0</v>
      </c>
      <c r="M163" s="258"/>
      <c r="N163" s="1808">
        <f>SUM(N164:N165)</f>
        <v>0</v>
      </c>
      <c r="O163" s="251"/>
      <c r="P163" s="251"/>
      <c r="Q163" s="3175">
        <f>SUM(Q164:Q165)</f>
        <v>0</v>
      </c>
      <c r="R163" s="3262"/>
      <c r="S163" s="3262"/>
      <c r="T163" s="3262"/>
      <c r="U163" s="3262"/>
      <c r="V163" s="3333">
        <f t="shared" si="31"/>
        <v>0</v>
      </c>
      <c r="W163" s="3258">
        <f t="shared" si="32"/>
        <v>0</v>
      </c>
    </row>
    <row r="164" spans="1:23">
      <c r="A164" s="88" t="s">
        <v>3150</v>
      </c>
      <c r="B164" s="88" t="s">
        <v>2974</v>
      </c>
      <c r="C164" s="88" t="s">
        <v>2898</v>
      </c>
      <c r="D164" s="88" t="s">
        <v>5040</v>
      </c>
      <c r="E164" s="54"/>
      <c r="F164" s="54"/>
      <c r="G164" s="54"/>
      <c r="H164" s="54"/>
      <c r="I164" s="54"/>
      <c r="J164" s="54"/>
      <c r="K164" s="277"/>
      <c r="L164" s="297">
        <f t="shared" si="39"/>
        <v>0</v>
      </c>
      <c r="M164" s="277"/>
      <c r="N164" s="1802">
        <f>L164*M164</f>
        <v>0</v>
      </c>
      <c r="O164" s="54"/>
      <c r="P164" s="54"/>
      <c r="Q164" s="3163"/>
      <c r="R164" s="3182"/>
      <c r="S164" s="3182"/>
      <c r="T164" s="3182"/>
      <c r="U164" s="3182"/>
      <c r="V164" s="3333">
        <f t="shared" si="31"/>
        <v>0</v>
      </c>
      <c r="W164" s="3258">
        <f t="shared" si="32"/>
        <v>0</v>
      </c>
    </row>
    <row r="165" spans="1:23">
      <c r="A165" s="88" t="s">
        <v>3151</v>
      </c>
      <c r="B165" s="88" t="s">
        <v>2942</v>
      </c>
      <c r="C165" s="88" t="s">
        <v>2900</v>
      </c>
      <c r="D165" s="88" t="s">
        <v>5040</v>
      </c>
      <c r="E165" s="54"/>
      <c r="F165" s="54"/>
      <c r="G165" s="54"/>
      <c r="H165" s="54"/>
      <c r="I165" s="54"/>
      <c r="J165" s="54"/>
      <c r="K165" s="277"/>
      <c r="L165" s="297">
        <f t="shared" si="39"/>
        <v>0</v>
      </c>
      <c r="M165" s="277"/>
      <c r="N165" s="1802">
        <f>L165*M165</f>
        <v>0</v>
      </c>
      <c r="O165" s="54"/>
      <c r="P165" s="54"/>
      <c r="Q165" s="3163"/>
      <c r="R165" s="3182"/>
      <c r="S165" s="3182"/>
      <c r="T165" s="3182"/>
      <c r="U165" s="3182"/>
      <c r="V165" s="3333">
        <f t="shared" si="31"/>
        <v>0</v>
      </c>
      <c r="W165" s="3258">
        <f t="shared" si="32"/>
        <v>0</v>
      </c>
    </row>
    <row r="166" spans="1:23">
      <c r="A166" s="880" t="s">
        <v>3152</v>
      </c>
      <c r="B166" s="880"/>
      <c r="C166" s="880" t="s">
        <v>2346</v>
      </c>
      <c r="D166" s="880"/>
      <c r="E166" s="102"/>
      <c r="F166" s="102"/>
      <c r="G166" s="102"/>
      <c r="H166" s="102"/>
      <c r="I166" s="102"/>
      <c r="J166" s="102"/>
      <c r="K166" s="102"/>
      <c r="L166" s="880"/>
      <c r="M166" s="102"/>
      <c r="N166" s="1154">
        <f>SUM(N167:N168)</f>
        <v>0</v>
      </c>
      <c r="O166" s="102"/>
      <c r="P166" s="102"/>
      <c r="Q166" s="3166">
        <f>SUM(Q167:Q168)</f>
        <v>0</v>
      </c>
      <c r="R166" s="3182"/>
      <c r="S166" s="3182"/>
      <c r="T166" s="3182"/>
      <c r="U166" s="3182"/>
      <c r="V166" s="3333">
        <f t="shared" si="31"/>
        <v>0</v>
      </c>
      <c r="W166" s="3258">
        <f t="shared" si="32"/>
        <v>0</v>
      </c>
    </row>
    <row r="167" spans="1:23">
      <c r="A167" s="88" t="s">
        <v>3153</v>
      </c>
      <c r="B167" s="88" t="s">
        <v>2975</v>
      </c>
      <c r="C167" s="88" t="s">
        <v>2976</v>
      </c>
      <c r="D167" s="88" t="s">
        <v>5040</v>
      </c>
      <c r="E167" s="54"/>
      <c r="F167" s="54"/>
      <c r="G167" s="54"/>
      <c r="H167" s="54"/>
      <c r="I167" s="54"/>
      <c r="J167" s="54"/>
      <c r="K167" s="277"/>
      <c r="L167" s="297">
        <f t="shared" ref="L167:L168" si="40">K167/100000</f>
        <v>0</v>
      </c>
      <c r="M167" s="277"/>
      <c r="N167" s="1802">
        <f>L167*M167</f>
        <v>0</v>
      </c>
      <c r="O167" s="54"/>
      <c r="P167" s="54"/>
      <c r="Q167" s="3163"/>
      <c r="R167" s="3182"/>
      <c r="S167" s="3182"/>
      <c r="T167" s="3182"/>
      <c r="U167" s="3182"/>
      <c r="V167" s="3333">
        <f t="shared" si="31"/>
        <v>0</v>
      </c>
      <c r="W167" s="3258">
        <f t="shared" si="32"/>
        <v>0</v>
      </c>
    </row>
    <row r="168" spans="1:23">
      <c r="A168" s="88" t="s">
        <v>3154</v>
      </c>
      <c r="B168" s="88" t="s">
        <v>2977</v>
      </c>
      <c r="C168" s="88" t="s">
        <v>2978</v>
      </c>
      <c r="D168" s="88" t="s">
        <v>5040</v>
      </c>
      <c r="E168" s="54"/>
      <c r="F168" s="54"/>
      <c r="G168" s="54"/>
      <c r="H168" s="54"/>
      <c r="I168" s="54"/>
      <c r="J168" s="54"/>
      <c r="K168" s="277"/>
      <c r="L168" s="297">
        <f t="shared" si="40"/>
        <v>0</v>
      </c>
      <c r="M168" s="277"/>
      <c r="N168" s="1802">
        <f>L168*M168</f>
        <v>0</v>
      </c>
      <c r="O168" s="54"/>
      <c r="P168" s="54"/>
      <c r="Q168" s="3163"/>
      <c r="R168" s="3182"/>
      <c r="S168" s="3182"/>
      <c r="T168" s="3182"/>
      <c r="U168" s="3182"/>
      <c r="V168" s="3333">
        <f t="shared" si="31"/>
        <v>0</v>
      </c>
      <c r="W168" s="3258">
        <f t="shared" si="32"/>
        <v>0</v>
      </c>
    </row>
    <row r="169" spans="1:23" s="861" customFormat="1" ht="345">
      <c r="A169" s="89" t="s">
        <v>3155</v>
      </c>
      <c r="B169" s="89"/>
      <c r="C169" s="89" t="s">
        <v>711</v>
      </c>
      <c r="D169" s="2319" t="s">
        <v>5040</v>
      </c>
      <c r="E169" s="87"/>
      <c r="F169" s="87"/>
      <c r="G169" s="87"/>
      <c r="H169" s="87"/>
      <c r="I169" s="87"/>
      <c r="J169" s="87">
        <v>1</v>
      </c>
      <c r="K169" s="2321">
        <v>112000</v>
      </c>
      <c r="L169" s="2320">
        <f>K169/100000</f>
        <v>1.1200000000000001</v>
      </c>
      <c r="M169" s="2322">
        <v>1</v>
      </c>
      <c r="N169" s="2320">
        <f>L169*M169</f>
        <v>1.1200000000000001</v>
      </c>
      <c r="O169" s="87"/>
      <c r="P169" s="3042" t="s">
        <v>5846</v>
      </c>
      <c r="Q169" s="3168">
        <v>1.1200000000000001</v>
      </c>
      <c r="R169" s="3184">
        <v>1.1200000000000001</v>
      </c>
      <c r="S169" s="3184"/>
      <c r="T169" s="3184"/>
      <c r="U169" s="3184"/>
      <c r="V169" s="3333">
        <f t="shared" si="31"/>
        <v>1.1200000000000001</v>
      </c>
      <c r="W169" s="3258">
        <f t="shared" si="32"/>
        <v>0</v>
      </c>
    </row>
    <row r="170" spans="1:23" ht="30">
      <c r="A170" s="872" t="s">
        <v>3156</v>
      </c>
      <c r="B170" s="872"/>
      <c r="C170" s="872" t="s">
        <v>713</v>
      </c>
      <c r="D170" s="1803" t="s">
        <v>5040</v>
      </c>
      <c r="E170" s="164"/>
      <c r="F170" s="164"/>
      <c r="G170" s="164"/>
      <c r="H170" s="164"/>
      <c r="I170" s="164"/>
      <c r="J170" s="164"/>
      <c r="K170" s="153"/>
      <c r="L170" s="1801">
        <f>K170/100000</f>
        <v>0</v>
      </c>
      <c r="M170" s="592"/>
      <c r="N170" s="1801">
        <f>L170*M170</f>
        <v>0</v>
      </c>
      <c r="O170" s="164"/>
      <c r="P170" s="164"/>
      <c r="Q170" s="3167"/>
      <c r="R170" s="3182"/>
      <c r="S170" s="3182"/>
      <c r="T170" s="3182"/>
      <c r="U170" s="3182"/>
      <c r="V170" s="3333">
        <f t="shared" si="31"/>
        <v>0</v>
      </c>
      <c r="W170" s="3258">
        <f t="shared" si="32"/>
        <v>0</v>
      </c>
    </row>
    <row r="171" spans="1:23">
      <c r="A171" s="872" t="s">
        <v>3157</v>
      </c>
      <c r="B171" s="872"/>
      <c r="C171" s="872" t="s">
        <v>2979</v>
      </c>
      <c r="D171" s="872"/>
      <c r="E171" s="164"/>
      <c r="F171" s="164"/>
      <c r="G171" s="164"/>
      <c r="H171" s="164"/>
      <c r="I171" s="164"/>
      <c r="J171" s="164"/>
      <c r="K171" s="164"/>
      <c r="L171" s="1801"/>
      <c r="M171" s="588"/>
      <c r="N171" s="1801">
        <f>SUM(N172:N173)</f>
        <v>2.34</v>
      </c>
      <c r="O171" s="164"/>
      <c r="P171" s="164"/>
      <c r="Q171" s="3160">
        <f>SUM(Q172:Q173)</f>
        <v>2.34</v>
      </c>
      <c r="R171" s="3182"/>
      <c r="S171" s="3182"/>
      <c r="T171" s="3182"/>
      <c r="U171" s="3182"/>
      <c r="V171" s="3333">
        <f t="shared" si="31"/>
        <v>0</v>
      </c>
      <c r="W171" s="3258">
        <f t="shared" si="32"/>
        <v>2.34</v>
      </c>
    </row>
    <row r="172" spans="1:23" s="861" customFormat="1" ht="75">
      <c r="A172" s="107" t="s">
        <v>3158</v>
      </c>
      <c r="B172" s="900"/>
      <c r="C172" s="901" t="s">
        <v>5013</v>
      </c>
      <c r="D172" s="901" t="s">
        <v>5037</v>
      </c>
      <c r="E172" s="178">
        <v>13</v>
      </c>
      <c r="F172" s="178"/>
      <c r="G172" s="178">
        <v>43.08</v>
      </c>
      <c r="H172" s="108"/>
      <c r="I172" s="178">
        <v>43.08</v>
      </c>
      <c r="J172" s="178">
        <v>1</v>
      </c>
      <c r="K172" s="283">
        <v>18000</v>
      </c>
      <c r="L172" s="298">
        <f t="shared" ref="L172:L173" si="41">K172/100000</f>
        <v>0.18</v>
      </c>
      <c r="M172" s="283">
        <v>13</v>
      </c>
      <c r="N172" s="234">
        <f>L172*M172</f>
        <v>2.34</v>
      </c>
      <c r="O172" s="108" t="s">
        <v>5155</v>
      </c>
      <c r="P172" s="108" t="s">
        <v>5847</v>
      </c>
      <c r="Q172" s="3165">
        <v>2.34</v>
      </c>
      <c r="R172" s="3184"/>
      <c r="S172" s="3184">
        <v>0.36</v>
      </c>
      <c r="T172" s="3184">
        <v>1.98</v>
      </c>
      <c r="U172" s="3184"/>
      <c r="V172" s="3333">
        <f t="shared" si="31"/>
        <v>2.34</v>
      </c>
      <c r="W172" s="3258">
        <f t="shared" si="32"/>
        <v>0</v>
      </c>
    </row>
    <row r="173" spans="1:23">
      <c r="A173" s="88" t="s">
        <v>3799</v>
      </c>
      <c r="B173" s="158"/>
      <c r="C173" s="874" t="s">
        <v>601</v>
      </c>
      <c r="D173" s="874" t="s">
        <v>3204</v>
      </c>
      <c r="E173" s="155"/>
      <c r="F173" s="155"/>
      <c r="G173" s="155"/>
      <c r="H173" s="155"/>
      <c r="I173" s="155"/>
      <c r="J173" s="155"/>
      <c r="K173" s="277"/>
      <c r="L173" s="297">
        <f t="shared" si="41"/>
        <v>0</v>
      </c>
      <c r="M173" s="277"/>
      <c r="N173" s="1802">
        <f>L173*M173</f>
        <v>0</v>
      </c>
      <c r="O173" s="54"/>
      <c r="P173" s="54"/>
      <c r="Q173" s="3163"/>
      <c r="R173" s="3182"/>
      <c r="S173" s="3182"/>
      <c r="T173" s="3182"/>
      <c r="U173" s="3182"/>
      <c r="V173" s="3333">
        <f t="shared" si="31"/>
        <v>0</v>
      </c>
      <c r="W173" s="3258">
        <f t="shared" si="32"/>
        <v>0</v>
      </c>
    </row>
    <row r="174" spans="1:23">
      <c r="A174" s="165" t="s">
        <v>3159</v>
      </c>
      <c r="B174" s="165"/>
      <c r="C174" s="165" t="s">
        <v>47</v>
      </c>
      <c r="D174" s="165"/>
      <c r="E174" s="101"/>
      <c r="F174" s="101"/>
      <c r="G174" s="101"/>
      <c r="H174" s="101"/>
      <c r="I174" s="101"/>
      <c r="J174" s="101"/>
      <c r="K174" s="101"/>
      <c r="L174" s="165"/>
      <c r="M174" s="101"/>
      <c r="N174" s="1800">
        <f>N175+N178</f>
        <v>9.75</v>
      </c>
      <c r="O174" s="101"/>
      <c r="P174" s="101"/>
      <c r="Q174" s="3159">
        <f>Q175+Q178</f>
        <v>9.75</v>
      </c>
      <c r="R174" s="3182"/>
      <c r="S174" s="3182"/>
      <c r="T174" s="3182"/>
      <c r="U174" s="3182"/>
      <c r="V174" s="3333">
        <f t="shared" si="31"/>
        <v>0</v>
      </c>
      <c r="W174" s="3258">
        <f t="shared" si="32"/>
        <v>9.75</v>
      </c>
    </row>
    <row r="175" spans="1:23" ht="30">
      <c r="A175" s="872" t="s">
        <v>3160</v>
      </c>
      <c r="B175" s="872"/>
      <c r="C175" s="872" t="s">
        <v>18</v>
      </c>
      <c r="D175" s="872"/>
      <c r="E175" s="164"/>
      <c r="F175" s="164"/>
      <c r="G175" s="164"/>
      <c r="H175" s="164"/>
      <c r="I175" s="164"/>
      <c r="J175" s="164"/>
      <c r="K175" s="164"/>
      <c r="L175" s="872"/>
      <c r="M175" s="164"/>
      <c r="N175" s="1801">
        <f>SUM(N176:N177)</f>
        <v>0</v>
      </c>
      <c r="O175" s="164"/>
      <c r="P175" s="164"/>
      <c r="Q175" s="3160">
        <f>SUM(Q176:Q177)</f>
        <v>0</v>
      </c>
      <c r="R175" s="3182"/>
      <c r="S175" s="3182"/>
      <c r="T175" s="3182"/>
      <c r="U175" s="3182"/>
      <c r="V175" s="3333">
        <f t="shared" si="31"/>
        <v>0</v>
      </c>
      <c r="W175" s="3258">
        <f t="shared" si="32"/>
        <v>0</v>
      </c>
    </row>
    <row r="176" spans="1:23">
      <c r="A176" s="88" t="s">
        <v>3161</v>
      </c>
      <c r="B176" s="158" t="s">
        <v>2980</v>
      </c>
      <c r="C176" s="894" t="s">
        <v>2981</v>
      </c>
      <c r="D176" s="894" t="s">
        <v>5036</v>
      </c>
      <c r="E176" s="155"/>
      <c r="F176" s="155"/>
      <c r="G176" s="155"/>
      <c r="H176" s="155"/>
      <c r="I176" s="155"/>
      <c r="J176" s="155"/>
      <c r="K176" s="277"/>
      <c r="L176" s="297">
        <f t="shared" ref="L176:L177" si="42">K176/100000</f>
        <v>0</v>
      </c>
      <c r="M176" s="277"/>
      <c r="N176" s="1802">
        <f>L176*M176</f>
        <v>0</v>
      </c>
      <c r="O176" s="54"/>
      <c r="P176" s="54"/>
      <c r="Q176" s="3163"/>
      <c r="R176" s="3182"/>
      <c r="S176" s="3182"/>
      <c r="T176" s="3182"/>
      <c r="U176" s="3182"/>
      <c r="V176" s="3333">
        <f t="shared" si="31"/>
        <v>0</v>
      </c>
      <c r="W176" s="3258">
        <f t="shared" si="32"/>
        <v>0</v>
      </c>
    </row>
    <row r="177" spans="1:23">
      <c r="A177" s="88" t="s">
        <v>3162</v>
      </c>
      <c r="B177" s="158"/>
      <c r="C177" s="894" t="s">
        <v>2883</v>
      </c>
      <c r="D177" s="894" t="s">
        <v>5036</v>
      </c>
      <c r="E177" s="155"/>
      <c r="F177" s="155"/>
      <c r="G177" s="155"/>
      <c r="H177" s="155"/>
      <c r="I177" s="155"/>
      <c r="J177" s="155"/>
      <c r="K177" s="277"/>
      <c r="L177" s="297">
        <f t="shared" si="42"/>
        <v>0</v>
      </c>
      <c r="M177" s="277"/>
      <c r="N177" s="1802">
        <f>L177*M177</f>
        <v>0</v>
      </c>
      <c r="O177" s="54"/>
      <c r="P177" s="54"/>
      <c r="Q177" s="3163"/>
      <c r="R177" s="3182"/>
      <c r="S177" s="3182"/>
      <c r="T177" s="3182"/>
      <c r="U177" s="3182"/>
      <c r="V177" s="3333">
        <f t="shared" si="31"/>
        <v>0</v>
      </c>
      <c r="W177" s="3258">
        <f t="shared" si="32"/>
        <v>0</v>
      </c>
    </row>
    <row r="178" spans="1:23">
      <c r="A178" s="872" t="s">
        <v>3163</v>
      </c>
      <c r="B178" s="872" t="s">
        <v>3164</v>
      </c>
      <c r="C178" s="872" t="s">
        <v>5005</v>
      </c>
      <c r="D178" s="872"/>
      <c r="E178" s="164"/>
      <c r="F178" s="164"/>
      <c r="G178" s="164"/>
      <c r="H178" s="164"/>
      <c r="I178" s="164"/>
      <c r="J178" s="164"/>
      <c r="K178" s="164"/>
      <c r="L178" s="872"/>
      <c r="M178" s="164"/>
      <c r="N178" s="1801">
        <f>SUM(N179:N185)+SUM(N189:N194)</f>
        <v>9.75</v>
      </c>
      <c r="O178" s="164"/>
      <c r="P178" s="164"/>
      <c r="Q178" s="3160">
        <f>SUM(Q179:Q185)+SUM(Q189:Q194)</f>
        <v>9.75</v>
      </c>
      <c r="R178" s="3182"/>
      <c r="S178" s="3182"/>
      <c r="T178" s="3182"/>
      <c r="U178" s="3182"/>
      <c r="V178" s="3333">
        <f t="shared" si="31"/>
        <v>0</v>
      </c>
      <c r="W178" s="3258">
        <f>+Q178-V178-Q178</f>
        <v>0</v>
      </c>
    </row>
    <row r="179" spans="1:23" ht="30">
      <c r="A179" s="88" t="s">
        <v>5017</v>
      </c>
      <c r="B179" s="88" t="s">
        <v>5006</v>
      </c>
      <c r="C179" s="88" t="s">
        <v>2982</v>
      </c>
      <c r="D179" s="894" t="s">
        <v>5036</v>
      </c>
      <c r="E179" s="54"/>
      <c r="F179" s="54"/>
      <c r="G179" s="54"/>
      <c r="H179" s="54"/>
      <c r="I179" s="54"/>
      <c r="J179" s="54"/>
      <c r="K179" s="277"/>
      <c r="L179" s="297">
        <f t="shared" ref="L179:L194" si="43">K179/100000</f>
        <v>0</v>
      </c>
      <c r="M179" s="277"/>
      <c r="N179" s="1802">
        <f t="shared" ref="N179:N189" si="44">L179*M179</f>
        <v>0</v>
      </c>
      <c r="O179" s="54"/>
      <c r="P179" s="54"/>
      <c r="Q179" s="3163"/>
      <c r="R179" s="3182"/>
      <c r="S179" s="3182"/>
      <c r="T179" s="3182"/>
      <c r="U179" s="3182"/>
      <c r="V179" s="3333">
        <f t="shared" si="31"/>
        <v>0</v>
      </c>
      <c r="W179" s="3258">
        <f t="shared" si="32"/>
        <v>0</v>
      </c>
    </row>
    <row r="180" spans="1:23">
      <c r="A180" s="88" t="s">
        <v>5018</v>
      </c>
      <c r="B180" s="88" t="s">
        <v>5007</v>
      </c>
      <c r="C180" s="88" t="s">
        <v>2983</v>
      </c>
      <c r="D180" s="894" t="s">
        <v>5036</v>
      </c>
      <c r="E180" s="54"/>
      <c r="F180" s="54"/>
      <c r="G180" s="54"/>
      <c r="H180" s="54"/>
      <c r="I180" s="54"/>
      <c r="J180" s="54"/>
      <c r="K180" s="277"/>
      <c r="L180" s="297">
        <f t="shared" si="43"/>
        <v>0</v>
      </c>
      <c r="M180" s="277"/>
      <c r="N180" s="1802">
        <f t="shared" si="44"/>
        <v>0</v>
      </c>
      <c r="O180" s="54"/>
      <c r="P180" s="54"/>
      <c r="Q180" s="3163"/>
      <c r="R180" s="3182"/>
      <c r="S180" s="3182"/>
      <c r="T180" s="3182"/>
      <c r="U180" s="3182"/>
      <c r="V180" s="3333">
        <f t="shared" si="31"/>
        <v>0</v>
      </c>
      <c r="W180" s="3258">
        <f t="shared" si="32"/>
        <v>0</v>
      </c>
    </row>
    <row r="181" spans="1:23">
      <c r="A181" s="88" t="s">
        <v>5019</v>
      </c>
      <c r="B181" s="88" t="s">
        <v>5008</v>
      </c>
      <c r="C181" s="88" t="s">
        <v>2984</v>
      </c>
      <c r="D181" s="894" t="s">
        <v>5036</v>
      </c>
      <c r="E181" s="54"/>
      <c r="F181" s="54"/>
      <c r="G181" s="54"/>
      <c r="H181" s="54"/>
      <c r="I181" s="54"/>
      <c r="J181" s="54"/>
      <c r="K181" s="277"/>
      <c r="L181" s="297">
        <f t="shared" si="43"/>
        <v>0</v>
      </c>
      <c r="M181" s="277"/>
      <c r="N181" s="1802">
        <f t="shared" si="44"/>
        <v>0</v>
      </c>
      <c r="O181" s="54"/>
      <c r="P181" s="54"/>
      <c r="Q181" s="3163"/>
      <c r="R181" s="3182"/>
      <c r="S181" s="3182"/>
      <c r="T181" s="3182"/>
      <c r="U181" s="3182"/>
      <c r="V181" s="3333">
        <f t="shared" si="31"/>
        <v>0</v>
      </c>
      <c r="W181" s="3258">
        <f t="shared" si="32"/>
        <v>0</v>
      </c>
    </row>
    <row r="182" spans="1:23">
      <c r="A182" s="88" t="s">
        <v>5020</v>
      </c>
      <c r="B182" s="88" t="s">
        <v>5009</v>
      </c>
      <c r="C182" s="88" t="s">
        <v>2985</v>
      </c>
      <c r="D182" s="894" t="s">
        <v>5036</v>
      </c>
      <c r="E182" s="54"/>
      <c r="F182" s="54"/>
      <c r="G182" s="54"/>
      <c r="H182" s="54"/>
      <c r="I182" s="54"/>
      <c r="J182" s="54"/>
      <c r="K182" s="277"/>
      <c r="L182" s="297">
        <f t="shared" si="43"/>
        <v>0</v>
      </c>
      <c r="M182" s="277"/>
      <c r="N182" s="1802">
        <f t="shared" si="44"/>
        <v>0</v>
      </c>
      <c r="O182" s="54"/>
      <c r="P182" s="54"/>
      <c r="Q182" s="3163"/>
      <c r="R182" s="3182"/>
      <c r="S182" s="3182"/>
      <c r="T182" s="3182"/>
      <c r="U182" s="3182"/>
      <c r="V182" s="3333">
        <f t="shared" si="31"/>
        <v>0</v>
      </c>
      <c r="W182" s="3258">
        <f t="shared" si="32"/>
        <v>0</v>
      </c>
    </row>
    <row r="183" spans="1:23" ht="30">
      <c r="A183" s="88" t="s">
        <v>5021</v>
      </c>
      <c r="B183" s="88" t="s">
        <v>5010</v>
      </c>
      <c r="C183" s="88" t="s">
        <v>5012</v>
      </c>
      <c r="D183" s="894" t="s">
        <v>5036</v>
      </c>
      <c r="E183" s="54"/>
      <c r="F183" s="54"/>
      <c r="G183" s="54"/>
      <c r="H183" s="54"/>
      <c r="I183" s="54"/>
      <c r="J183" s="54"/>
      <c r="K183" s="277"/>
      <c r="L183" s="297">
        <f t="shared" si="43"/>
        <v>0</v>
      </c>
      <c r="M183" s="277"/>
      <c r="N183" s="1802">
        <f t="shared" si="44"/>
        <v>0</v>
      </c>
      <c r="O183" s="54"/>
      <c r="P183" s="54"/>
      <c r="Q183" s="3163"/>
      <c r="R183" s="3182"/>
      <c r="S183" s="3182"/>
      <c r="T183" s="3182"/>
      <c r="U183" s="3182"/>
      <c r="V183" s="3333">
        <f t="shared" si="31"/>
        <v>0</v>
      </c>
      <c r="W183" s="3258">
        <f t="shared" si="32"/>
        <v>0</v>
      </c>
    </row>
    <row r="184" spans="1:23">
      <c r="A184" s="88" t="s">
        <v>5022</v>
      </c>
      <c r="B184" s="88" t="s">
        <v>5011</v>
      </c>
      <c r="C184" s="88" t="s">
        <v>2987</v>
      </c>
      <c r="D184" s="894" t="s">
        <v>5041</v>
      </c>
      <c r="E184" s="54"/>
      <c r="F184" s="54"/>
      <c r="G184" s="54"/>
      <c r="H184" s="54"/>
      <c r="I184" s="54"/>
      <c r="J184" s="54"/>
      <c r="K184" s="277"/>
      <c r="L184" s="297">
        <f t="shared" si="43"/>
        <v>0</v>
      </c>
      <c r="M184" s="277"/>
      <c r="N184" s="1802">
        <f t="shared" si="44"/>
        <v>0</v>
      </c>
      <c r="O184" s="54"/>
      <c r="P184" s="54"/>
      <c r="Q184" s="3163"/>
      <c r="R184" s="3182"/>
      <c r="S184" s="3182"/>
      <c r="T184" s="3182"/>
      <c r="U184" s="3182"/>
      <c r="V184" s="3333">
        <f t="shared" si="31"/>
        <v>0</v>
      </c>
      <c r="W184" s="3258">
        <f t="shared" si="32"/>
        <v>0</v>
      </c>
    </row>
    <row r="185" spans="1:23" ht="30">
      <c r="A185" s="88" t="s">
        <v>5023</v>
      </c>
      <c r="B185" s="88" t="s">
        <v>3165</v>
      </c>
      <c r="C185" s="88" t="s">
        <v>3790</v>
      </c>
      <c r="D185" s="88"/>
      <c r="E185" s="54"/>
      <c r="F185" s="54"/>
      <c r="G185" s="54"/>
      <c r="H185" s="54"/>
      <c r="I185" s="54"/>
      <c r="J185" s="54"/>
      <c r="K185" s="54"/>
      <c r="L185" s="297">
        <f t="shared" si="43"/>
        <v>0</v>
      </c>
      <c r="M185" s="226"/>
      <c r="N185" s="1808">
        <f>SUM(N186:N188)</f>
        <v>9.75</v>
      </c>
      <c r="O185" s="54"/>
      <c r="P185" s="54"/>
      <c r="Q185" s="3173">
        <f>SUM(Q186:Q188)</f>
        <v>9.75</v>
      </c>
      <c r="R185" s="3182"/>
      <c r="S185" s="3182"/>
      <c r="T185" s="3182"/>
      <c r="U185" s="3182"/>
      <c r="V185" s="3333">
        <f t="shared" si="31"/>
        <v>0</v>
      </c>
      <c r="W185" s="3258">
        <f>+Q185-V185-Q185</f>
        <v>0</v>
      </c>
    </row>
    <row r="186" spans="1:23">
      <c r="A186" s="88" t="s">
        <v>5024</v>
      </c>
      <c r="B186" s="88" t="s">
        <v>4449</v>
      </c>
      <c r="C186" s="88" t="s">
        <v>3789</v>
      </c>
      <c r="D186" s="88" t="s">
        <v>5037</v>
      </c>
      <c r="E186" s="54"/>
      <c r="F186" s="54"/>
      <c r="G186" s="54"/>
      <c r="H186" s="54"/>
      <c r="I186" s="54"/>
      <c r="J186" s="54"/>
      <c r="K186" s="277"/>
      <c r="L186" s="297">
        <f t="shared" si="43"/>
        <v>0</v>
      </c>
      <c r="M186" s="277"/>
      <c r="N186" s="1802">
        <f>L186*M186</f>
        <v>0</v>
      </c>
      <c r="O186" s="54"/>
      <c r="P186" s="54"/>
      <c r="Q186" s="3163"/>
      <c r="R186" s="3182"/>
      <c r="S186" s="3182"/>
      <c r="T186" s="3182"/>
      <c r="U186" s="3182"/>
      <c r="V186" s="3333">
        <f t="shared" si="31"/>
        <v>0</v>
      </c>
      <c r="W186" s="3258">
        <f t="shared" si="32"/>
        <v>0</v>
      </c>
    </row>
    <row r="187" spans="1:23" s="861" customFormat="1" ht="75">
      <c r="A187" s="107" t="s">
        <v>5025</v>
      </c>
      <c r="B187" s="107" t="s">
        <v>4450</v>
      </c>
      <c r="C187" s="107" t="s">
        <v>4260</v>
      </c>
      <c r="D187" s="107" t="s">
        <v>5037</v>
      </c>
      <c r="E187" s="108">
        <v>0</v>
      </c>
      <c r="F187" s="108"/>
      <c r="G187" s="108">
        <v>0</v>
      </c>
      <c r="H187" s="108"/>
      <c r="I187" s="108"/>
      <c r="J187" s="108">
        <v>1</v>
      </c>
      <c r="K187" s="283">
        <v>75000</v>
      </c>
      <c r="L187" s="298">
        <f t="shared" si="43"/>
        <v>0.75</v>
      </c>
      <c r="M187" s="283">
        <v>13</v>
      </c>
      <c r="N187" s="234">
        <f>L187*M187</f>
        <v>9.75</v>
      </c>
      <c r="O187" s="2299" t="s">
        <v>5156</v>
      </c>
      <c r="P187" s="108" t="s">
        <v>5848</v>
      </c>
      <c r="Q187" s="3165">
        <v>9.75</v>
      </c>
      <c r="R187" s="3184">
        <v>9.75</v>
      </c>
      <c r="S187" s="3184"/>
      <c r="T187" s="3184"/>
      <c r="U187" s="3184"/>
      <c r="V187" s="3333">
        <f t="shared" si="31"/>
        <v>9.75</v>
      </c>
      <c r="W187" s="3258">
        <f t="shared" si="32"/>
        <v>0</v>
      </c>
    </row>
    <row r="188" spans="1:23">
      <c r="A188" s="88" t="s">
        <v>5026</v>
      </c>
      <c r="B188" s="88" t="s">
        <v>4451</v>
      </c>
      <c r="C188" s="88" t="s">
        <v>5014</v>
      </c>
      <c r="D188" s="88" t="s">
        <v>5037</v>
      </c>
      <c r="E188" s="54"/>
      <c r="F188" s="54"/>
      <c r="G188" s="54"/>
      <c r="H188" s="54"/>
      <c r="I188" s="54"/>
      <c r="J188" s="54"/>
      <c r="K188" s="277"/>
      <c r="L188" s="297">
        <f t="shared" si="43"/>
        <v>0</v>
      </c>
      <c r="M188" s="277"/>
      <c r="N188" s="1802">
        <f>L188*M188</f>
        <v>0</v>
      </c>
      <c r="O188" s="54"/>
      <c r="P188" s="54"/>
      <c r="Q188" s="3163"/>
      <c r="R188" s="3182"/>
      <c r="S188" s="3182"/>
      <c r="T188" s="3182"/>
      <c r="U188" s="3182"/>
      <c r="V188" s="3333">
        <f t="shared" si="31"/>
        <v>0</v>
      </c>
      <c r="W188" s="3258">
        <f t="shared" si="32"/>
        <v>0</v>
      </c>
    </row>
    <row r="189" spans="1:23">
      <c r="A189" s="88" t="s">
        <v>5027</v>
      </c>
      <c r="B189" s="88" t="s">
        <v>5016</v>
      </c>
      <c r="C189" s="88" t="s">
        <v>5015</v>
      </c>
      <c r="D189" s="88" t="s">
        <v>5037</v>
      </c>
      <c r="E189" s="54"/>
      <c r="F189" s="54"/>
      <c r="G189" s="54"/>
      <c r="H189" s="54"/>
      <c r="I189" s="54"/>
      <c r="J189" s="54"/>
      <c r="K189" s="277"/>
      <c r="L189" s="297">
        <f t="shared" si="43"/>
        <v>0</v>
      </c>
      <c r="M189" s="277"/>
      <c r="N189" s="1802">
        <f t="shared" si="44"/>
        <v>0</v>
      </c>
      <c r="O189" s="54"/>
      <c r="P189" s="54"/>
      <c r="Q189" s="3163"/>
      <c r="R189" s="3182"/>
      <c r="S189" s="3182"/>
      <c r="T189" s="3182"/>
      <c r="U189" s="3182"/>
      <c r="V189" s="3333">
        <f t="shared" si="31"/>
        <v>0</v>
      </c>
      <c r="W189" s="3258">
        <f t="shared" si="32"/>
        <v>0</v>
      </c>
    </row>
    <row r="190" spans="1:23">
      <c r="A190" s="88" t="s">
        <v>5028</v>
      </c>
      <c r="B190" s="88" t="s">
        <v>4452</v>
      </c>
      <c r="C190" s="107" t="s">
        <v>2986</v>
      </c>
      <c r="D190" s="107" t="s">
        <v>4544</v>
      </c>
      <c r="E190" s="54"/>
      <c r="F190" s="54"/>
      <c r="G190" s="54"/>
      <c r="H190" s="54"/>
      <c r="I190" s="54"/>
      <c r="J190" s="54"/>
      <c r="K190" s="277"/>
      <c r="L190" s="297">
        <f t="shared" si="43"/>
        <v>0</v>
      </c>
      <c r="M190" s="277"/>
      <c r="N190" s="1802">
        <f>L190*M190</f>
        <v>0</v>
      </c>
      <c r="O190" s="54"/>
      <c r="P190" s="54"/>
      <c r="Q190" s="3163"/>
      <c r="R190" s="3182"/>
      <c r="S190" s="3182"/>
      <c r="T190" s="3182"/>
      <c r="U190" s="3182"/>
      <c r="V190" s="3333">
        <f t="shared" si="31"/>
        <v>0</v>
      </c>
      <c r="W190" s="3258">
        <f t="shared" si="32"/>
        <v>0</v>
      </c>
    </row>
    <row r="191" spans="1:23">
      <c r="A191" s="88" t="s">
        <v>5029</v>
      </c>
      <c r="B191" s="88" t="s">
        <v>4453</v>
      </c>
      <c r="C191" s="88" t="s">
        <v>3915</v>
      </c>
      <c r="D191" s="107" t="s">
        <v>4544</v>
      </c>
      <c r="E191" s="54"/>
      <c r="F191" s="54"/>
      <c r="G191" s="54"/>
      <c r="H191" s="54"/>
      <c r="I191" s="54"/>
      <c r="J191" s="54"/>
      <c r="K191" s="277"/>
      <c r="L191" s="297">
        <f t="shared" si="43"/>
        <v>0</v>
      </c>
      <c r="M191" s="277"/>
      <c r="N191" s="1802">
        <f>L191*M191</f>
        <v>0</v>
      </c>
      <c r="O191" s="54"/>
      <c r="P191" s="54"/>
      <c r="Q191" s="3163"/>
      <c r="R191" s="3182"/>
      <c r="S191" s="3182"/>
      <c r="T191" s="3182"/>
      <c r="U191" s="3182"/>
      <c r="V191" s="3333">
        <f t="shared" si="31"/>
        <v>0</v>
      </c>
      <c r="W191" s="3258">
        <f t="shared" si="32"/>
        <v>0</v>
      </c>
    </row>
    <row r="192" spans="1:23">
      <c r="A192" s="88" t="s">
        <v>5030</v>
      </c>
      <c r="B192" s="88" t="s">
        <v>4454</v>
      </c>
      <c r="C192" s="88" t="s">
        <v>3916</v>
      </c>
      <c r="D192" s="107" t="s">
        <v>4544</v>
      </c>
      <c r="E192" s="54"/>
      <c r="F192" s="54"/>
      <c r="G192" s="54"/>
      <c r="H192" s="54"/>
      <c r="I192" s="54"/>
      <c r="J192" s="54"/>
      <c r="K192" s="277"/>
      <c r="L192" s="297">
        <f t="shared" si="43"/>
        <v>0</v>
      </c>
      <c r="M192" s="277"/>
      <c r="N192" s="1802">
        <f>L192*M192</f>
        <v>0</v>
      </c>
      <c r="O192" s="54"/>
      <c r="P192" s="54"/>
      <c r="Q192" s="3163"/>
      <c r="R192" s="3182"/>
      <c r="S192" s="3182"/>
      <c r="T192" s="3182"/>
      <c r="U192" s="3182"/>
      <c r="V192" s="3333">
        <f t="shared" si="31"/>
        <v>0</v>
      </c>
      <c r="W192" s="3258">
        <f t="shared" si="32"/>
        <v>0</v>
      </c>
    </row>
    <row r="193" spans="1:23">
      <c r="A193" s="88" t="s">
        <v>5031</v>
      </c>
      <c r="B193" s="88" t="s">
        <v>4456</v>
      </c>
      <c r="C193" s="88" t="s">
        <v>3917</v>
      </c>
      <c r="D193" s="107" t="s">
        <v>4544</v>
      </c>
      <c r="E193" s="54"/>
      <c r="F193" s="54"/>
      <c r="G193" s="54"/>
      <c r="H193" s="54"/>
      <c r="I193" s="54"/>
      <c r="J193" s="54"/>
      <c r="K193" s="277"/>
      <c r="L193" s="297">
        <f t="shared" si="43"/>
        <v>0</v>
      </c>
      <c r="M193" s="277"/>
      <c r="N193" s="1802">
        <f>L193*M193</f>
        <v>0</v>
      </c>
      <c r="O193" s="54"/>
      <c r="P193" s="54"/>
      <c r="Q193" s="3163"/>
      <c r="R193" s="3182"/>
      <c r="S193" s="3182"/>
      <c r="T193" s="3182"/>
      <c r="U193" s="3182"/>
      <c r="V193" s="3333">
        <f t="shared" si="31"/>
        <v>0</v>
      </c>
      <c r="W193" s="3258">
        <f t="shared" si="32"/>
        <v>0</v>
      </c>
    </row>
    <row r="194" spans="1:23">
      <c r="A194" s="88" t="s">
        <v>5032</v>
      </c>
      <c r="B194" s="88" t="s">
        <v>4455</v>
      </c>
      <c r="C194" s="88" t="s">
        <v>3914</v>
      </c>
      <c r="D194" s="107" t="s">
        <v>3204</v>
      </c>
      <c r="E194" s="54"/>
      <c r="F194" s="54"/>
      <c r="G194" s="54"/>
      <c r="H194" s="54"/>
      <c r="I194" s="54"/>
      <c r="J194" s="54"/>
      <c r="K194" s="277"/>
      <c r="L194" s="297">
        <f t="shared" si="43"/>
        <v>0</v>
      </c>
      <c r="M194" s="277"/>
      <c r="N194" s="1802">
        <f>L194*M194</f>
        <v>0</v>
      </c>
      <c r="O194" s="54"/>
      <c r="P194" s="54"/>
      <c r="Q194" s="3163"/>
      <c r="R194" s="3182"/>
      <c r="S194" s="3182"/>
      <c r="T194" s="3182"/>
      <c r="U194" s="3182"/>
      <c r="V194" s="3333">
        <f t="shared" si="31"/>
        <v>0</v>
      </c>
      <c r="W194" s="3258">
        <f t="shared" si="32"/>
        <v>0</v>
      </c>
    </row>
    <row r="195" spans="1:23">
      <c r="A195" s="165" t="s">
        <v>3166</v>
      </c>
      <c r="B195" s="165"/>
      <c r="C195" s="165" t="s">
        <v>19</v>
      </c>
      <c r="D195" s="165"/>
      <c r="E195" s="101"/>
      <c r="F195" s="101"/>
      <c r="G195" s="101"/>
      <c r="H195" s="101"/>
      <c r="I195" s="101"/>
      <c r="J195" s="101"/>
      <c r="K195" s="101"/>
      <c r="L195" s="165"/>
      <c r="M195" s="101"/>
      <c r="N195" s="1800">
        <f>N196+N199</f>
        <v>0</v>
      </c>
      <c r="O195" s="101"/>
      <c r="P195" s="101"/>
      <c r="Q195" s="3176">
        <f>Q196+Q199</f>
        <v>0</v>
      </c>
      <c r="R195" s="3182"/>
      <c r="S195" s="3182"/>
      <c r="T195" s="3182"/>
      <c r="U195" s="3182"/>
      <c r="V195" s="3333">
        <f t="shared" si="31"/>
        <v>0</v>
      </c>
      <c r="W195" s="3258">
        <f t="shared" si="32"/>
        <v>0</v>
      </c>
    </row>
    <row r="196" spans="1:23">
      <c r="A196" s="872" t="s">
        <v>3167</v>
      </c>
      <c r="B196" s="872"/>
      <c r="C196" s="872" t="s">
        <v>20</v>
      </c>
      <c r="D196" s="872"/>
      <c r="E196" s="164"/>
      <c r="F196" s="164"/>
      <c r="G196" s="164"/>
      <c r="H196" s="164"/>
      <c r="I196" s="164"/>
      <c r="J196" s="164"/>
      <c r="K196" s="164"/>
      <c r="L196" s="872"/>
      <c r="M196" s="164"/>
      <c r="N196" s="1801">
        <f>SUM(N197:N198)</f>
        <v>0</v>
      </c>
      <c r="O196" s="164"/>
      <c r="P196" s="164"/>
      <c r="Q196" s="3167">
        <f>SUM(Q197:Q198)</f>
        <v>0</v>
      </c>
      <c r="R196" s="3182"/>
      <c r="S196" s="3182"/>
      <c r="T196" s="3182"/>
      <c r="U196" s="3182"/>
      <c r="V196" s="3333">
        <f t="shared" si="31"/>
        <v>0</v>
      </c>
      <c r="W196" s="3258">
        <f t="shared" si="32"/>
        <v>0</v>
      </c>
    </row>
    <row r="197" spans="1:23" ht="30">
      <c r="A197" s="88" t="s">
        <v>3168</v>
      </c>
      <c r="B197" s="895"/>
      <c r="C197" s="882" t="s">
        <v>1164</v>
      </c>
      <c r="D197" s="882" t="s">
        <v>113</v>
      </c>
      <c r="E197" s="82"/>
      <c r="F197" s="82"/>
      <c r="G197" s="82"/>
      <c r="H197" s="82"/>
      <c r="I197" s="82"/>
      <c r="J197" s="82"/>
      <c r="K197" s="277"/>
      <c r="L197" s="297">
        <f t="shared" ref="L197:L198" si="45">K197/100000</f>
        <v>0</v>
      </c>
      <c r="M197" s="277"/>
      <c r="N197" s="1802">
        <f>L197*M197</f>
        <v>0</v>
      </c>
      <c r="O197" s="174"/>
      <c r="P197" s="174"/>
      <c r="Q197" s="3163"/>
      <c r="R197" s="3182"/>
      <c r="S197" s="3182"/>
      <c r="T197" s="3182"/>
      <c r="U197" s="3182"/>
      <c r="V197" s="3333">
        <f t="shared" si="31"/>
        <v>0</v>
      </c>
      <c r="W197" s="3258">
        <f t="shared" si="32"/>
        <v>0</v>
      </c>
    </row>
    <row r="198" spans="1:23">
      <c r="A198" s="88" t="s">
        <v>3169</v>
      </c>
      <c r="B198" s="895"/>
      <c r="C198" s="882" t="s">
        <v>1165</v>
      </c>
      <c r="D198" s="882" t="s">
        <v>126</v>
      </c>
      <c r="E198" s="82"/>
      <c r="F198" s="82"/>
      <c r="G198" s="82"/>
      <c r="H198" s="82"/>
      <c r="I198" s="82"/>
      <c r="J198" s="82"/>
      <c r="K198" s="277"/>
      <c r="L198" s="297">
        <f t="shared" si="45"/>
        <v>0</v>
      </c>
      <c r="M198" s="277"/>
      <c r="N198" s="1802">
        <f>L198*M198</f>
        <v>0</v>
      </c>
      <c r="O198" s="174"/>
      <c r="P198" s="174"/>
      <c r="Q198" s="3163"/>
      <c r="R198" s="3182"/>
      <c r="S198" s="3182"/>
      <c r="T198" s="3182"/>
      <c r="U198" s="3182"/>
      <c r="V198" s="3333">
        <f t="shared" si="31"/>
        <v>0</v>
      </c>
      <c r="W198" s="3258">
        <f t="shared" si="32"/>
        <v>0</v>
      </c>
    </row>
    <row r="199" spans="1:23">
      <c r="A199" s="872" t="s">
        <v>3170</v>
      </c>
      <c r="B199" s="872"/>
      <c r="C199" s="872" t="s">
        <v>21</v>
      </c>
      <c r="D199" s="872"/>
      <c r="E199" s="164"/>
      <c r="F199" s="164"/>
      <c r="G199" s="164"/>
      <c r="H199" s="164"/>
      <c r="I199" s="164"/>
      <c r="J199" s="164"/>
      <c r="K199" s="164"/>
      <c r="L199" s="872"/>
      <c r="M199" s="164"/>
      <c r="N199" s="1801">
        <f>N200+N201</f>
        <v>0</v>
      </c>
      <c r="O199" s="164"/>
      <c r="P199" s="164"/>
      <c r="Q199" s="3167">
        <f>Q200+Q201</f>
        <v>0</v>
      </c>
      <c r="R199" s="3182"/>
      <c r="S199" s="3182"/>
      <c r="T199" s="3182"/>
      <c r="U199" s="3182"/>
      <c r="V199" s="3333">
        <f t="shared" si="31"/>
        <v>0</v>
      </c>
      <c r="W199" s="3258">
        <f t="shared" si="32"/>
        <v>0</v>
      </c>
    </row>
    <row r="200" spans="1:23">
      <c r="A200" s="88" t="s">
        <v>3171</v>
      </c>
      <c r="B200" s="88" t="s">
        <v>2988</v>
      </c>
      <c r="C200" s="88" t="s">
        <v>2989</v>
      </c>
      <c r="D200" s="88" t="s">
        <v>3204</v>
      </c>
      <c r="E200" s="54"/>
      <c r="F200" s="54"/>
      <c r="G200" s="54"/>
      <c r="H200" s="54"/>
      <c r="I200" s="54"/>
      <c r="J200" s="54"/>
      <c r="K200" s="277"/>
      <c r="L200" s="297">
        <f t="shared" ref="L200:L201" si="46">K200/100000</f>
        <v>0</v>
      </c>
      <c r="M200" s="277"/>
      <c r="N200" s="1802">
        <f>L200*M200</f>
        <v>0</v>
      </c>
      <c r="O200" s="54"/>
      <c r="P200" s="54"/>
      <c r="Q200" s="3163"/>
      <c r="R200" s="3182"/>
      <c r="S200" s="3182"/>
      <c r="T200" s="3182"/>
      <c r="U200" s="3182"/>
      <c r="V200" s="3333">
        <f t="shared" ref="V200:V263" si="47">SUM(R200:U200)</f>
        <v>0</v>
      </c>
      <c r="W200" s="3258">
        <f t="shared" ref="W200:W263" si="48">+Q200-V200</f>
        <v>0</v>
      </c>
    </row>
    <row r="201" spans="1:23">
      <c r="A201" s="88" t="s">
        <v>3172</v>
      </c>
      <c r="B201" s="88" t="s">
        <v>3172</v>
      </c>
      <c r="C201" s="88" t="s">
        <v>302</v>
      </c>
      <c r="D201" s="88" t="s">
        <v>3204</v>
      </c>
      <c r="E201" s="54"/>
      <c r="F201" s="54"/>
      <c r="G201" s="2613"/>
      <c r="H201" s="54"/>
      <c r="I201" s="54"/>
      <c r="J201" s="54"/>
      <c r="K201" s="277"/>
      <c r="L201" s="297">
        <f t="shared" si="46"/>
        <v>0</v>
      </c>
      <c r="M201" s="277"/>
      <c r="N201" s="1802">
        <f>L201*M201</f>
        <v>0</v>
      </c>
      <c r="O201" s="54"/>
      <c r="P201" s="54"/>
      <c r="Q201" s="3163"/>
      <c r="R201" s="3182"/>
      <c r="S201" s="3182"/>
      <c r="T201" s="3182"/>
      <c r="U201" s="3182"/>
      <c r="V201" s="3333">
        <f t="shared" si="47"/>
        <v>0</v>
      </c>
      <c r="W201" s="3258">
        <f t="shared" si="48"/>
        <v>0</v>
      </c>
    </row>
    <row r="202" spans="1:23">
      <c r="A202" s="575" t="s">
        <v>3173</v>
      </c>
      <c r="B202" s="879" t="s">
        <v>3173</v>
      </c>
      <c r="C202" s="501" t="s">
        <v>22</v>
      </c>
      <c r="D202" s="501"/>
      <c r="E202" s="598"/>
      <c r="F202" s="598"/>
      <c r="G202" s="598"/>
      <c r="H202" s="598"/>
      <c r="I202" s="598"/>
      <c r="J202" s="598"/>
      <c r="K202" s="598"/>
      <c r="L202" s="591"/>
      <c r="M202" s="1819"/>
      <c r="N202" s="591"/>
      <c r="O202" s="1823"/>
      <c r="P202" s="1824" t="s">
        <v>4994</v>
      </c>
      <c r="Q202" s="3177"/>
      <c r="R202" s="3182"/>
      <c r="S202" s="3182"/>
      <c r="T202" s="3182"/>
      <c r="U202" s="3182"/>
      <c r="V202" s="3333">
        <f t="shared" si="47"/>
        <v>0</v>
      </c>
      <c r="W202" s="3258">
        <f t="shared" si="48"/>
        <v>0</v>
      </c>
    </row>
    <row r="203" spans="1:23">
      <c r="A203" s="575" t="s">
        <v>3174</v>
      </c>
      <c r="B203" s="879" t="s">
        <v>3174</v>
      </c>
      <c r="C203" s="501" t="s">
        <v>23</v>
      </c>
      <c r="D203" s="501"/>
      <c r="E203" s="598"/>
      <c r="F203" s="598"/>
      <c r="G203" s="598"/>
      <c r="H203" s="598"/>
      <c r="I203" s="598"/>
      <c r="J203" s="598"/>
      <c r="K203" s="598"/>
      <c r="L203" s="591"/>
      <c r="M203" s="1819"/>
      <c r="N203" s="591"/>
      <c r="O203" s="1823"/>
      <c r="P203" s="1824" t="s">
        <v>4994</v>
      </c>
      <c r="Q203" s="3177"/>
      <c r="R203" s="3182"/>
      <c r="S203" s="3182"/>
      <c r="T203" s="3182"/>
      <c r="U203" s="3182"/>
      <c r="V203" s="3333">
        <f t="shared" si="47"/>
        <v>0</v>
      </c>
      <c r="W203" s="3258">
        <f t="shared" si="48"/>
        <v>0</v>
      </c>
    </row>
    <row r="204" spans="1:23">
      <c r="A204" s="165" t="s">
        <v>3175</v>
      </c>
      <c r="B204" s="165"/>
      <c r="C204" s="165" t="s">
        <v>24</v>
      </c>
      <c r="D204" s="165"/>
      <c r="E204" s="101"/>
      <c r="F204" s="101"/>
      <c r="G204" s="101"/>
      <c r="H204" s="101"/>
      <c r="I204" s="101"/>
      <c r="J204" s="101"/>
      <c r="K204" s="101"/>
      <c r="L204" s="165"/>
      <c r="M204" s="101"/>
      <c r="N204" s="1800">
        <f>SUM(N205:N206)</f>
        <v>0</v>
      </c>
      <c r="O204" s="101"/>
      <c r="P204" s="101"/>
      <c r="Q204" s="3176">
        <f>SUM(Q205:Q206)</f>
        <v>0</v>
      </c>
      <c r="R204" s="3182"/>
      <c r="S204" s="3182"/>
      <c r="T204" s="3182"/>
      <c r="U204" s="3182"/>
      <c r="V204" s="3333">
        <f t="shared" si="47"/>
        <v>0</v>
      </c>
      <c r="W204" s="3258">
        <f t="shared" si="48"/>
        <v>0</v>
      </c>
    </row>
    <row r="205" spans="1:23">
      <c r="A205" s="88" t="s">
        <v>3176</v>
      </c>
      <c r="B205" s="88" t="s">
        <v>2992</v>
      </c>
      <c r="C205" s="88" t="s">
        <v>5033</v>
      </c>
      <c r="D205" s="88" t="s">
        <v>3204</v>
      </c>
      <c r="E205" s="54">
        <v>8</v>
      </c>
      <c r="F205" s="155">
        <v>8</v>
      </c>
      <c r="G205" s="155">
        <v>2.4</v>
      </c>
      <c r="H205" s="54"/>
      <c r="I205" s="54">
        <v>2.4</v>
      </c>
      <c r="J205" s="54"/>
      <c r="K205" s="277"/>
      <c r="L205" s="297">
        <f t="shared" ref="L205:L206" si="49">K205/100000</f>
        <v>0</v>
      </c>
      <c r="M205" s="277"/>
      <c r="N205" s="1802">
        <f>L205*M205</f>
        <v>0</v>
      </c>
      <c r="O205" s="54"/>
      <c r="P205" s="54"/>
      <c r="Q205" s="3163"/>
      <c r="R205" s="3182"/>
      <c r="S205" s="3182"/>
      <c r="T205" s="3182"/>
      <c r="U205" s="3182"/>
      <c r="V205" s="3333">
        <f t="shared" si="47"/>
        <v>0</v>
      </c>
      <c r="W205" s="3258">
        <f t="shared" si="48"/>
        <v>0</v>
      </c>
    </row>
    <row r="206" spans="1:23">
      <c r="A206" s="88" t="s">
        <v>3177</v>
      </c>
      <c r="B206" s="88" t="s">
        <v>3178</v>
      </c>
      <c r="C206" s="874" t="s">
        <v>3801</v>
      </c>
      <c r="D206" s="874" t="s">
        <v>5037</v>
      </c>
      <c r="E206" s="185">
        <v>8</v>
      </c>
      <c r="F206" s="185"/>
      <c r="G206" s="185">
        <v>1.2</v>
      </c>
      <c r="H206" s="185">
        <v>0.03</v>
      </c>
      <c r="I206" s="185">
        <v>1.17</v>
      </c>
      <c r="J206" s="185"/>
      <c r="K206" s="277"/>
      <c r="L206" s="297">
        <f t="shared" si="49"/>
        <v>0</v>
      </c>
      <c r="M206" s="277"/>
      <c r="N206" s="1802">
        <f>L206*M206</f>
        <v>0</v>
      </c>
      <c r="O206" s="103"/>
      <c r="P206" s="103"/>
      <c r="Q206" s="3163"/>
      <c r="R206" s="3182"/>
      <c r="S206" s="3182"/>
      <c r="T206" s="3182"/>
      <c r="U206" s="3182"/>
      <c r="V206" s="3333">
        <f t="shared" si="47"/>
        <v>0</v>
      </c>
      <c r="W206" s="3258">
        <f t="shared" si="48"/>
        <v>0</v>
      </c>
    </row>
    <row r="207" spans="1:23">
      <c r="A207" s="165" t="s">
        <v>3179</v>
      </c>
      <c r="B207" s="165"/>
      <c r="C207" s="165" t="s">
        <v>25</v>
      </c>
      <c r="D207" s="165"/>
      <c r="E207" s="101"/>
      <c r="F207" s="101"/>
      <c r="G207" s="101"/>
      <c r="H207" s="101"/>
      <c r="I207" s="101"/>
      <c r="J207" s="101"/>
      <c r="K207" s="101"/>
      <c r="L207" s="165"/>
      <c r="M207" s="101"/>
      <c r="N207" s="1800">
        <f>SUM(N208:N209)</f>
        <v>0</v>
      </c>
      <c r="O207" s="101"/>
      <c r="P207" s="101"/>
      <c r="Q207" s="3176">
        <f>SUM(Q208:Q209)</f>
        <v>0</v>
      </c>
      <c r="R207" s="3182"/>
      <c r="S207" s="3182"/>
      <c r="T207" s="3182"/>
      <c r="U207" s="3182"/>
      <c r="V207" s="3333">
        <f t="shared" si="47"/>
        <v>0</v>
      </c>
      <c r="W207" s="3258">
        <f t="shared" si="48"/>
        <v>0</v>
      </c>
    </row>
    <row r="208" spans="1:23">
      <c r="A208" s="88" t="s">
        <v>3180</v>
      </c>
      <c r="B208" s="886"/>
      <c r="C208" s="874" t="s">
        <v>2993</v>
      </c>
      <c r="D208" s="874" t="s">
        <v>3204</v>
      </c>
      <c r="E208" s="185">
        <v>8</v>
      </c>
      <c r="F208" s="185">
        <v>8</v>
      </c>
      <c r="G208" s="185">
        <v>2</v>
      </c>
      <c r="H208" s="185"/>
      <c r="I208" s="185">
        <v>2</v>
      </c>
      <c r="J208" s="185"/>
      <c r="K208" s="277"/>
      <c r="L208" s="297">
        <f t="shared" ref="L208:L209" si="50">K208/100000</f>
        <v>0</v>
      </c>
      <c r="M208" s="277"/>
      <c r="N208" s="1802">
        <f>L208*M208</f>
        <v>0</v>
      </c>
      <c r="O208" s="103"/>
      <c r="P208" s="103"/>
      <c r="Q208" s="3163"/>
      <c r="R208" s="3182"/>
      <c r="S208" s="3182"/>
      <c r="T208" s="3182"/>
      <c r="U208" s="3182"/>
      <c r="V208" s="3333">
        <f t="shared" si="47"/>
        <v>0</v>
      </c>
      <c r="W208" s="3258">
        <f t="shared" si="48"/>
        <v>0</v>
      </c>
    </row>
    <row r="209" spans="1:23">
      <c r="A209" s="88" t="s">
        <v>3800</v>
      </c>
      <c r="B209" s="886"/>
      <c r="C209" s="874" t="s">
        <v>2776</v>
      </c>
      <c r="D209" s="874" t="s">
        <v>5037</v>
      </c>
      <c r="E209" s="185"/>
      <c r="F209" s="185"/>
      <c r="G209" s="185"/>
      <c r="H209" s="185"/>
      <c r="I209" s="185"/>
      <c r="J209" s="185"/>
      <c r="K209" s="277"/>
      <c r="L209" s="297">
        <f t="shared" si="50"/>
        <v>0</v>
      </c>
      <c r="M209" s="277"/>
      <c r="N209" s="1802">
        <f>L209*M209</f>
        <v>0</v>
      </c>
      <c r="O209" s="103"/>
      <c r="P209" s="103"/>
      <c r="Q209" s="3163"/>
      <c r="R209" s="3182"/>
      <c r="S209" s="3182"/>
      <c r="T209" s="3182"/>
      <c r="U209" s="3182"/>
      <c r="V209" s="3333">
        <f t="shared" si="47"/>
        <v>0</v>
      </c>
      <c r="W209" s="3258">
        <f t="shared" si="48"/>
        <v>0</v>
      </c>
    </row>
    <row r="210" spans="1:23">
      <c r="A210" s="165" t="s">
        <v>3181</v>
      </c>
      <c r="B210" s="165"/>
      <c r="C210" s="165" t="s">
        <v>26</v>
      </c>
      <c r="D210" s="165"/>
      <c r="E210" s="101"/>
      <c r="F210" s="101"/>
      <c r="G210" s="101"/>
      <c r="H210" s="101"/>
      <c r="I210" s="101"/>
      <c r="J210" s="101"/>
      <c r="K210" s="101"/>
      <c r="L210" s="165"/>
      <c r="M210" s="101"/>
      <c r="N210" s="1800">
        <f>N211+N216+N222</f>
        <v>3</v>
      </c>
      <c r="O210" s="101"/>
      <c r="P210" s="101"/>
      <c r="Q210" s="3176">
        <f>Q211+Q216+Q222</f>
        <v>3</v>
      </c>
      <c r="R210" s="3182"/>
      <c r="S210" s="3182"/>
      <c r="T210" s="3182"/>
      <c r="U210" s="3182"/>
      <c r="V210" s="3333">
        <f t="shared" si="47"/>
        <v>0</v>
      </c>
      <c r="W210" s="3258">
        <f>+Q210-V210-Q210</f>
        <v>0</v>
      </c>
    </row>
    <row r="211" spans="1:23">
      <c r="A211" s="872" t="s">
        <v>3182</v>
      </c>
      <c r="B211" s="872"/>
      <c r="C211" s="872" t="s">
        <v>26</v>
      </c>
      <c r="D211" s="872"/>
      <c r="E211" s="164"/>
      <c r="F211" s="164"/>
      <c r="G211" s="164"/>
      <c r="H211" s="164"/>
      <c r="I211" s="164"/>
      <c r="J211" s="164"/>
      <c r="K211" s="164"/>
      <c r="L211" s="872"/>
      <c r="M211" s="164"/>
      <c r="N211" s="1801">
        <f>SUM(N212:N215)</f>
        <v>0</v>
      </c>
      <c r="O211" s="164"/>
      <c r="P211" s="164"/>
      <c r="Q211" s="3167">
        <f>SUM(Q212:Q215)</f>
        <v>0</v>
      </c>
      <c r="R211" s="3182"/>
      <c r="S211" s="3182"/>
      <c r="T211" s="3182"/>
      <c r="U211" s="3182"/>
      <c r="V211" s="3333">
        <f t="shared" si="47"/>
        <v>0</v>
      </c>
      <c r="W211" s="3258">
        <f t="shared" si="48"/>
        <v>0</v>
      </c>
    </row>
    <row r="212" spans="1:23">
      <c r="A212" s="88" t="s">
        <v>3183</v>
      </c>
      <c r="B212" s="158"/>
      <c r="C212" s="874" t="s">
        <v>3918</v>
      </c>
      <c r="D212" s="874" t="s">
        <v>4544</v>
      </c>
      <c r="E212" s="155"/>
      <c r="F212" s="155"/>
      <c r="G212" s="155"/>
      <c r="H212" s="155"/>
      <c r="I212" s="155"/>
      <c r="J212" s="155"/>
      <c r="K212" s="277"/>
      <c r="L212" s="297">
        <f t="shared" ref="L212:L215" si="51">K212/100000</f>
        <v>0</v>
      </c>
      <c r="M212" s="277"/>
      <c r="N212" s="1802">
        <f>L212*M212</f>
        <v>0</v>
      </c>
      <c r="O212" s="54"/>
      <c r="P212" s="54"/>
      <c r="Q212" s="3163"/>
      <c r="R212" s="3182"/>
      <c r="S212" s="3182"/>
      <c r="T212" s="3182"/>
      <c r="U212" s="3182"/>
      <c r="V212" s="3333">
        <f t="shared" si="47"/>
        <v>0</v>
      </c>
      <c r="W212" s="3258">
        <f t="shared" si="48"/>
        <v>0</v>
      </c>
    </row>
    <row r="213" spans="1:23">
      <c r="A213" s="88" t="s">
        <v>3920</v>
      </c>
      <c r="B213" s="158"/>
      <c r="C213" s="874" t="s">
        <v>4469</v>
      </c>
      <c r="D213" s="874" t="s">
        <v>4544</v>
      </c>
      <c r="E213" s="155"/>
      <c r="F213" s="155"/>
      <c r="G213" s="155"/>
      <c r="H213" s="155"/>
      <c r="I213" s="155"/>
      <c r="J213" s="155"/>
      <c r="K213" s="277"/>
      <c r="L213" s="297">
        <f t="shared" si="51"/>
        <v>0</v>
      </c>
      <c r="M213" s="277"/>
      <c r="N213" s="1802">
        <f>L213*M213</f>
        <v>0</v>
      </c>
      <c r="O213" s="54"/>
      <c r="P213" s="54"/>
      <c r="Q213" s="3163"/>
      <c r="R213" s="3182"/>
      <c r="S213" s="3182"/>
      <c r="T213" s="3182"/>
      <c r="U213" s="3182"/>
      <c r="V213" s="3333">
        <f t="shared" si="47"/>
        <v>0</v>
      </c>
      <c r="W213" s="3258">
        <f t="shared" si="48"/>
        <v>0</v>
      </c>
    </row>
    <row r="214" spans="1:23">
      <c r="A214" s="88" t="s">
        <v>3921</v>
      </c>
      <c r="B214" s="158"/>
      <c r="C214" s="874" t="s">
        <v>3919</v>
      </c>
      <c r="D214" s="874" t="s">
        <v>4544</v>
      </c>
      <c r="E214" s="155"/>
      <c r="F214" s="155"/>
      <c r="G214" s="155"/>
      <c r="H214" s="155"/>
      <c r="I214" s="155"/>
      <c r="J214" s="155"/>
      <c r="K214" s="277"/>
      <c r="L214" s="297">
        <f t="shared" si="51"/>
        <v>0</v>
      </c>
      <c r="M214" s="277"/>
      <c r="N214" s="1802">
        <f>L214*M214</f>
        <v>0</v>
      </c>
      <c r="O214" s="54"/>
      <c r="P214" s="54"/>
      <c r="Q214" s="3163"/>
      <c r="R214" s="3182"/>
      <c r="S214" s="3182"/>
      <c r="T214" s="3182"/>
      <c r="U214" s="3182"/>
      <c r="V214" s="3333">
        <f t="shared" si="47"/>
        <v>0</v>
      </c>
      <c r="W214" s="3258">
        <f t="shared" si="48"/>
        <v>0</v>
      </c>
    </row>
    <row r="215" spans="1:23">
      <c r="A215" s="88" t="s">
        <v>3922</v>
      </c>
      <c r="B215" s="158"/>
      <c r="C215" s="874" t="s">
        <v>1237</v>
      </c>
      <c r="D215" s="874" t="s">
        <v>4544</v>
      </c>
      <c r="E215" s="155"/>
      <c r="F215" s="155"/>
      <c r="G215" s="155"/>
      <c r="H215" s="155"/>
      <c r="I215" s="155"/>
      <c r="J215" s="155"/>
      <c r="K215" s="277"/>
      <c r="L215" s="297">
        <f t="shared" si="51"/>
        <v>0</v>
      </c>
      <c r="M215" s="277"/>
      <c r="N215" s="1802">
        <f>L215*M215</f>
        <v>0</v>
      </c>
      <c r="O215" s="54"/>
      <c r="P215" s="54"/>
      <c r="Q215" s="3163"/>
      <c r="R215" s="3182"/>
      <c r="S215" s="3182"/>
      <c r="T215" s="3182"/>
      <c r="U215" s="3182"/>
      <c r="V215" s="3333">
        <f t="shared" si="47"/>
        <v>0</v>
      </c>
      <c r="W215" s="3258">
        <f t="shared" si="48"/>
        <v>0</v>
      </c>
    </row>
    <row r="216" spans="1:23">
      <c r="A216" s="872" t="s">
        <v>3184</v>
      </c>
      <c r="B216" s="872"/>
      <c r="C216" s="872" t="s">
        <v>27</v>
      </c>
      <c r="D216" s="872"/>
      <c r="E216" s="164"/>
      <c r="F216" s="164"/>
      <c r="G216" s="164"/>
      <c r="H216" s="164"/>
      <c r="I216" s="164"/>
      <c r="J216" s="164"/>
      <c r="K216" s="164"/>
      <c r="L216" s="872"/>
      <c r="M216" s="164"/>
      <c r="N216" s="1801">
        <f>SUM(N217:N221)</f>
        <v>3</v>
      </c>
      <c r="O216" s="164"/>
      <c r="P216" s="164"/>
      <c r="Q216" s="3167">
        <f>SUM(Q217:Q221)</f>
        <v>3</v>
      </c>
      <c r="R216" s="3182"/>
      <c r="S216" s="3182"/>
      <c r="T216" s="3182"/>
      <c r="U216" s="3182"/>
      <c r="V216" s="3333">
        <f t="shared" si="47"/>
        <v>0</v>
      </c>
      <c r="W216" s="3258">
        <f>+Q216-V216-Q216</f>
        <v>0</v>
      </c>
    </row>
    <row r="217" spans="1:23" ht="75">
      <c r="A217" s="88" t="s">
        <v>3185</v>
      </c>
      <c r="B217" s="158"/>
      <c r="C217" s="431" t="s">
        <v>1246</v>
      </c>
      <c r="D217" s="874" t="s">
        <v>4544</v>
      </c>
      <c r="E217" s="155"/>
      <c r="F217" s="155"/>
      <c r="G217" s="155"/>
      <c r="H217" s="178">
        <v>0</v>
      </c>
      <c r="I217" s="178">
        <v>0</v>
      </c>
      <c r="J217" s="178">
        <v>0</v>
      </c>
      <c r="K217" s="2504">
        <v>100000</v>
      </c>
      <c r="L217" s="297">
        <f t="shared" ref="L217:L221" si="52">K217/100000</f>
        <v>1</v>
      </c>
      <c r="M217" s="277">
        <v>3</v>
      </c>
      <c r="N217" s="1802">
        <f t="shared" ref="N217:N222" si="53">L217*M217</f>
        <v>3</v>
      </c>
      <c r="O217" s="108" t="s">
        <v>5316</v>
      </c>
      <c r="P217" s="54" t="s">
        <v>5849</v>
      </c>
      <c r="Q217" s="3163">
        <v>3</v>
      </c>
      <c r="R217" s="3182">
        <v>3</v>
      </c>
      <c r="S217" s="3182"/>
      <c r="T217" s="3182"/>
      <c r="U217" s="3182"/>
      <c r="V217" s="3333">
        <f t="shared" si="47"/>
        <v>3</v>
      </c>
      <c r="W217" s="3258">
        <f t="shared" si="48"/>
        <v>0</v>
      </c>
    </row>
    <row r="218" spans="1:23">
      <c r="A218" s="88" t="s">
        <v>3186</v>
      </c>
      <c r="B218" s="158"/>
      <c r="C218" s="896" t="s">
        <v>3923</v>
      </c>
      <c r="D218" s="874" t="s">
        <v>4544</v>
      </c>
      <c r="E218" s="155"/>
      <c r="F218" s="155"/>
      <c r="G218" s="155"/>
      <c r="H218" s="155"/>
      <c r="I218" s="155"/>
      <c r="J218" s="155"/>
      <c r="K218" s="277"/>
      <c r="L218" s="297">
        <f t="shared" si="52"/>
        <v>0</v>
      </c>
      <c r="M218" s="277"/>
      <c r="N218" s="1802">
        <f t="shared" si="53"/>
        <v>0</v>
      </c>
      <c r="O218" s="54"/>
      <c r="P218" s="54"/>
      <c r="Q218" s="3163"/>
      <c r="R218" s="3182"/>
      <c r="S218" s="3182"/>
      <c r="T218" s="3182"/>
      <c r="U218" s="3182"/>
      <c r="V218" s="3333">
        <f t="shared" si="47"/>
        <v>0</v>
      </c>
      <c r="W218" s="3258">
        <f t="shared" si="48"/>
        <v>0</v>
      </c>
    </row>
    <row r="219" spans="1:23">
      <c r="A219" s="88" t="s">
        <v>3925</v>
      </c>
      <c r="B219" s="158"/>
      <c r="C219" s="897" t="s">
        <v>1249</v>
      </c>
      <c r="D219" s="874" t="s">
        <v>4544</v>
      </c>
      <c r="E219" s="155"/>
      <c r="F219" s="155"/>
      <c r="G219" s="155"/>
      <c r="H219" s="155"/>
      <c r="I219" s="155"/>
      <c r="J219" s="155"/>
      <c r="K219" s="277"/>
      <c r="L219" s="297">
        <f t="shared" si="52"/>
        <v>0</v>
      </c>
      <c r="M219" s="277"/>
      <c r="N219" s="1802">
        <f t="shared" si="53"/>
        <v>0</v>
      </c>
      <c r="O219" s="54"/>
      <c r="P219" s="54"/>
      <c r="Q219" s="3163"/>
      <c r="R219" s="3182"/>
      <c r="S219" s="3182"/>
      <c r="T219" s="3182"/>
      <c r="U219" s="3182"/>
      <c r="V219" s="3333">
        <f t="shared" si="47"/>
        <v>0</v>
      </c>
      <c r="W219" s="3258">
        <f t="shared" si="48"/>
        <v>0</v>
      </c>
    </row>
    <row r="220" spans="1:23">
      <c r="A220" s="88" t="s">
        <v>3926</v>
      </c>
      <c r="B220" s="158"/>
      <c r="C220" s="896" t="s">
        <v>3924</v>
      </c>
      <c r="D220" s="874" t="s">
        <v>4544</v>
      </c>
      <c r="E220" s="155"/>
      <c r="F220" s="155"/>
      <c r="G220" s="155"/>
      <c r="H220" s="155"/>
      <c r="I220" s="155"/>
      <c r="J220" s="155"/>
      <c r="K220" s="277"/>
      <c r="L220" s="297">
        <f t="shared" si="52"/>
        <v>0</v>
      </c>
      <c r="M220" s="277"/>
      <c r="N220" s="1802">
        <f t="shared" si="53"/>
        <v>0</v>
      </c>
      <c r="O220" s="54"/>
      <c r="P220" s="54"/>
      <c r="Q220" s="3163"/>
      <c r="R220" s="3182"/>
      <c r="S220" s="3182"/>
      <c r="T220" s="3182"/>
      <c r="U220" s="3182"/>
      <c r="V220" s="3333">
        <f t="shared" si="47"/>
        <v>0</v>
      </c>
      <c r="W220" s="3258">
        <f t="shared" si="48"/>
        <v>0</v>
      </c>
    </row>
    <row r="221" spans="1:23">
      <c r="A221" s="88" t="s">
        <v>3927</v>
      </c>
      <c r="B221" s="158"/>
      <c r="C221" s="896" t="s">
        <v>1255</v>
      </c>
      <c r="D221" s="874" t="s">
        <v>4544</v>
      </c>
      <c r="E221" s="155"/>
      <c r="F221" s="155"/>
      <c r="G221" s="155"/>
      <c r="H221" s="155"/>
      <c r="I221" s="155"/>
      <c r="J221" s="155"/>
      <c r="K221" s="277"/>
      <c r="L221" s="297">
        <f t="shared" si="52"/>
        <v>0</v>
      </c>
      <c r="M221" s="277"/>
      <c r="N221" s="1802">
        <f t="shared" si="53"/>
        <v>0</v>
      </c>
      <c r="O221" s="54"/>
      <c r="P221" s="54"/>
      <c r="Q221" s="3163"/>
      <c r="R221" s="3182"/>
      <c r="S221" s="3182"/>
      <c r="T221" s="3182"/>
      <c r="U221" s="3182"/>
      <c r="V221" s="3333">
        <f t="shared" si="47"/>
        <v>0</v>
      </c>
      <c r="W221" s="3258">
        <f t="shared" si="48"/>
        <v>0</v>
      </c>
    </row>
    <row r="222" spans="1:23">
      <c r="A222" s="872" t="s">
        <v>3187</v>
      </c>
      <c r="B222" s="872"/>
      <c r="C222" s="872" t="s">
        <v>2883</v>
      </c>
      <c r="D222" s="872"/>
      <c r="E222" s="164"/>
      <c r="F222" s="164"/>
      <c r="G222" s="164"/>
      <c r="H222" s="164"/>
      <c r="I222" s="164"/>
      <c r="J222" s="164"/>
      <c r="K222" s="153"/>
      <c r="L222" s="689">
        <f>K222/100000</f>
        <v>0</v>
      </c>
      <c r="M222" s="597"/>
      <c r="N222" s="689">
        <f t="shared" si="53"/>
        <v>0</v>
      </c>
      <c r="O222" s="164"/>
      <c r="P222" s="164"/>
      <c r="Q222" s="3178"/>
      <c r="R222" s="3182"/>
      <c r="S222" s="3182"/>
      <c r="T222" s="3182"/>
      <c r="U222" s="3182"/>
      <c r="V222" s="3333">
        <f t="shared" si="47"/>
        <v>0</v>
      </c>
      <c r="W222" s="3258">
        <f t="shared" si="48"/>
        <v>0</v>
      </c>
    </row>
    <row r="223" spans="1:23">
      <c r="A223" s="165" t="s">
        <v>3188</v>
      </c>
      <c r="B223" s="165"/>
      <c r="C223" s="165" t="s">
        <v>2994</v>
      </c>
      <c r="D223" s="165"/>
      <c r="E223" s="101"/>
      <c r="F223" s="101"/>
      <c r="G223" s="101"/>
      <c r="H223" s="101"/>
      <c r="I223" s="101"/>
      <c r="J223" s="101"/>
      <c r="K223" s="101"/>
      <c r="L223" s="165"/>
      <c r="M223" s="101"/>
      <c r="N223" s="1800">
        <f>N225</f>
        <v>0</v>
      </c>
      <c r="O223" s="101"/>
      <c r="P223" s="101"/>
      <c r="Q223" s="3176">
        <f>Q225</f>
        <v>0</v>
      </c>
      <c r="R223" s="3182"/>
      <c r="S223" s="3182"/>
      <c r="T223" s="3182"/>
      <c r="U223" s="3182"/>
      <c r="V223" s="3333">
        <f t="shared" si="47"/>
        <v>0</v>
      </c>
      <c r="W223" s="3258">
        <f t="shared" si="48"/>
        <v>0</v>
      </c>
    </row>
    <row r="224" spans="1:23" ht="30">
      <c r="A224" s="575" t="s">
        <v>3189</v>
      </c>
      <c r="B224" s="895"/>
      <c r="C224" s="501" t="s">
        <v>2995</v>
      </c>
      <c r="D224" s="501"/>
      <c r="E224" s="598"/>
      <c r="F224" s="598"/>
      <c r="G224" s="598"/>
      <c r="H224" s="598"/>
      <c r="I224" s="598"/>
      <c r="J224" s="598"/>
      <c r="K224" s="598"/>
      <c r="L224" s="591"/>
      <c r="M224" s="1819"/>
      <c r="N224" s="591"/>
      <c r="O224" s="1823"/>
      <c r="P224" s="1824" t="s">
        <v>4994</v>
      </c>
      <c r="Q224" s="3177"/>
      <c r="R224" s="3182"/>
      <c r="S224" s="3182"/>
      <c r="T224" s="3182"/>
      <c r="U224" s="3182"/>
      <c r="V224" s="3333">
        <f t="shared" si="47"/>
        <v>0</v>
      </c>
      <c r="W224" s="3258">
        <f t="shared" si="48"/>
        <v>0</v>
      </c>
    </row>
    <row r="225" spans="1:23">
      <c r="A225" s="872" t="s">
        <v>3190</v>
      </c>
      <c r="B225" s="872"/>
      <c r="C225" s="872" t="s">
        <v>28</v>
      </c>
      <c r="D225" s="872"/>
      <c r="E225" s="164"/>
      <c r="F225" s="164"/>
      <c r="G225" s="164"/>
      <c r="H225" s="164"/>
      <c r="I225" s="164"/>
      <c r="J225" s="164"/>
      <c r="K225" s="164"/>
      <c r="L225" s="872"/>
      <c r="M225" s="164"/>
      <c r="N225" s="1801">
        <f>N226</f>
        <v>0</v>
      </c>
      <c r="O225" s="164"/>
      <c r="P225" s="164"/>
      <c r="Q225" s="3167">
        <f>Q226</f>
        <v>0</v>
      </c>
      <c r="R225" s="3182"/>
      <c r="S225" s="3182"/>
      <c r="T225" s="3182"/>
      <c r="U225" s="3182"/>
      <c r="V225" s="3333">
        <f t="shared" si="47"/>
        <v>0</v>
      </c>
      <c r="W225" s="3258">
        <f t="shared" si="48"/>
        <v>0</v>
      </c>
    </row>
    <row r="226" spans="1:23">
      <c r="A226" s="88" t="s">
        <v>3191</v>
      </c>
      <c r="B226" s="158"/>
      <c r="C226" s="874" t="s">
        <v>2996</v>
      </c>
      <c r="D226" s="874" t="s">
        <v>5036</v>
      </c>
      <c r="E226" s="155"/>
      <c r="F226" s="155"/>
      <c r="G226" s="155"/>
      <c r="H226" s="155"/>
      <c r="I226" s="155"/>
      <c r="J226" s="155"/>
      <c r="K226" s="277"/>
      <c r="L226" s="297">
        <f t="shared" ref="L226" si="54">K226/100000</f>
        <v>0</v>
      </c>
      <c r="M226" s="277"/>
      <c r="N226" s="1802">
        <f>L226*M226</f>
        <v>0</v>
      </c>
      <c r="O226" s="54"/>
      <c r="P226" s="54"/>
      <c r="Q226" s="3163"/>
      <c r="R226" s="3182"/>
      <c r="S226" s="3182"/>
      <c r="T226" s="3182"/>
      <c r="U226" s="3182"/>
      <c r="V226" s="3333">
        <f t="shared" si="47"/>
        <v>0</v>
      </c>
      <c r="W226" s="3258">
        <f t="shared" si="48"/>
        <v>0</v>
      </c>
    </row>
    <row r="227" spans="1:23">
      <c r="A227" s="165" t="s">
        <v>3192</v>
      </c>
      <c r="B227" s="165"/>
      <c r="C227" s="165" t="s">
        <v>29</v>
      </c>
      <c r="D227" s="165"/>
      <c r="E227" s="101"/>
      <c r="F227" s="101"/>
      <c r="G227" s="101"/>
      <c r="H227" s="101"/>
      <c r="I227" s="101"/>
      <c r="J227" s="101"/>
      <c r="K227" s="101"/>
      <c r="L227" s="165"/>
      <c r="M227" s="101"/>
      <c r="N227" s="1800">
        <f>SUM(N228:N229)</f>
        <v>0</v>
      </c>
      <c r="O227" s="101"/>
      <c r="P227" s="101"/>
      <c r="Q227" s="3176">
        <f>SUM(Q228:Q229)</f>
        <v>0</v>
      </c>
      <c r="R227" s="3182"/>
      <c r="S227" s="3182"/>
      <c r="T227" s="3182"/>
      <c r="U227" s="3182"/>
      <c r="V227" s="3333">
        <f t="shared" si="47"/>
        <v>0</v>
      </c>
      <c r="W227" s="3258">
        <f t="shared" si="48"/>
        <v>0</v>
      </c>
    </row>
    <row r="228" spans="1:23">
      <c r="A228" s="88" t="s">
        <v>3193</v>
      </c>
      <c r="B228" s="88"/>
      <c r="C228" s="88" t="s">
        <v>5034</v>
      </c>
      <c r="D228" s="88" t="s">
        <v>5037</v>
      </c>
      <c r="E228" s="54"/>
      <c r="F228" s="54"/>
      <c r="G228" s="54"/>
      <c r="H228" s="54"/>
      <c r="I228" s="54"/>
      <c r="J228" s="54"/>
      <c r="K228" s="277"/>
      <c r="L228" s="297">
        <f t="shared" ref="L228:L229" si="55">K228/100000</f>
        <v>0</v>
      </c>
      <c r="M228" s="277"/>
      <c r="N228" s="1802">
        <f>L228*M228</f>
        <v>0</v>
      </c>
      <c r="O228" s="54"/>
      <c r="P228" s="54"/>
      <c r="Q228" s="3163"/>
      <c r="R228" s="3182"/>
      <c r="S228" s="3182"/>
      <c r="T228" s="3182"/>
      <c r="U228" s="3182"/>
      <c r="V228" s="3333">
        <f t="shared" si="47"/>
        <v>0</v>
      </c>
      <c r="W228" s="3258">
        <f t="shared" si="48"/>
        <v>0</v>
      </c>
    </row>
    <row r="229" spans="1:23">
      <c r="A229" s="88" t="s">
        <v>3798</v>
      </c>
      <c r="B229" s="88"/>
      <c r="C229" s="88" t="s">
        <v>302</v>
      </c>
      <c r="D229" s="88" t="s">
        <v>5036</v>
      </c>
      <c r="E229" s="54"/>
      <c r="F229" s="54"/>
      <c r="G229" s="54"/>
      <c r="H229" s="54"/>
      <c r="I229" s="54"/>
      <c r="J229" s="54"/>
      <c r="K229" s="277"/>
      <c r="L229" s="297">
        <f t="shared" si="55"/>
        <v>0</v>
      </c>
      <c r="M229" s="277"/>
      <c r="N229" s="1802">
        <f>L229*M229</f>
        <v>0</v>
      </c>
      <c r="O229" s="54"/>
      <c r="P229" s="54"/>
      <c r="Q229" s="3163"/>
      <c r="R229" s="3182"/>
      <c r="S229" s="3182"/>
      <c r="T229" s="3182"/>
      <c r="U229" s="3182"/>
      <c r="V229" s="3333">
        <f t="shared" si="47"/>
        <v>0</v>
      </c>
      <c r="W229" s="3258">
        <f t="shared" si="48"/>
        <v>0</v>
      </c>
    </row>
    <row r="230" spans="1:23">
      <c r="A230" s="165" t="s">
        <v>3194</v>
      </c>
      <c r="B230" s="165"/>
      <c r="C230" s="165" t="s">
        <v>30</v>
      </c>
      <c r="D230" s="165"/>
      <c r="E230" s="101"/>
      <c r="F230" s="101"/>
      <c r="G230" s="101"/>
      <c r="H230" s="101"/>
      <c r="I230" s="101"/>
      <c r="J230" s="101"/>
      <c r="K230" s="101"/>
      <c r="L230" s="165"/>
      <c r="M230" s="101"/>
      <c r="N230" s="1800">
        <f>N231+N257</f>
        <v>7.56</v>
      </c>
      <c r="O230" s="101"/>
      <c r="P230" s="101"/>
      <c r="Q230" s="3176">
        <f>Q231+Q257</f>
        <v>7.42</v>
      </c>
      <c r="R230" s="3182"/>
      <c r="S230" s="3182"/>
      <c r="T230" s="3182"/>
      <c r="U230" s="3182"/>
      <c r="V230" s="3333">
        <f t="shared" si="47"/>
        <v>0</v>
      </c>
      <c r="W230" s="3258">
        <f>+Q230-V230-Q230</f>
        <v>0</v>
      </c>
    </row>
    <row r="231" spans="1:23">
      <c r="A231" s="872" t="s">
        <v>3195</v>
      </c>
      <c r="B231" s="872"/>
      <c r="C231" s="489" t="s">
        <v>2147</v>
      </c>
      <c r="D231" s="489"/>
      <c r="E231" s="164"/>
      <c r="F231" s="164"/>
      <c r="G231" s="164"/>
      <c r="H231" s="164"/>
      <c r="I231" s="164"/>
      <c r="J231" s="164"/>
      <c r="K231" s="164"/>
      <c r="L231" s="872"/>
      <c r="M231" s="164"/>
      <c r="N231" s="1801">
        <f>N232+N233+N239+N245+N250</f>
        <v>5.3999999999999995</v>
      </c>
      <c r="O231" s="164"/>
      <c r="P231" s="164"/>
      <c r="Q231" s="3167">
        <f>Q232+Q233+Q239+Q245+Q250</f>
        <v>5.3999999999999995</v>
      </c>
      <c r="R231" s="3182"/>
      <c r="S231" s="3182"/>
      <c r="T231" s="3182"/>
      <c r="U231" s="3182"/>
      <c r="V231" s="3333">
        <f t="shared" si="47"/>
        <v>0</v>
      </c>
      <c r="W231" s="3258">
        <f>+Q231-V231-Q231</f>
        <v>0</v>
      </c>
    </row>
    <row r="232" spans="1:23">
      <c r="A232" s="880" t="s">
        <v>3196</v>
      </c>
      <c r="B232" s="880"/>
      <c r="C232" s="880" t="s">
        <v>31</v>
      </c>
      <c r="D232" s="880"/>
      <c r="E232" s="102"/>
      <c r="F232" s="102"/>
      <c r="G232" s="102"/>
      <c r="H232" s="102"/>
      <c r="I232" s="102"/>
      <c r="J232" s="102"/>
      <c r="K232" s="152"/>
      <c r="L232" s="1813"/>
      <c r="M232" s="152"/>
      <c r="N232" s="1154">
        <f>L232*M232</f>
        <v>0</v>
      </c>
      <c r="O232" s="102"/>
      <c r="P232" s="102"/>
      <c r="Q232" s="3179"/>
      <c r="R232" s="3182"/>
      <c r="S232" s="3182"/>
      <c r="T232" s="3182"/>
      <c r="U232" s="3182"/>
      <c r="V232" s="3333">
        <f t="shared" si="47"/>
        <v>0</v>
      </c>
      <c r="W232" s="3258">
        <f t="shared" si="48"/>
        <v>0</v>
      </c>
    </row>
    <row r="233" spans="1:23">
      <c r="A233" s="880" t="s">
        <v>3802</v>
      </c>
      <c r="B233" s="880"/>
      <c r="C233" s="880" t="s">
        <v>33</v>
      </c>
      <c r="D233" s="880"/>
      <c r="E233" s="102"/>
      <c r="F233" s="102"/>
      <c r="G233" s="102"/>
      <c r="H233" s="102"/>
      <c r="I233" s="102"/>
      <c r="J233" s="102"/>
      <c r="K233" s="102"/>
      <c r="L233" s="880"/>
      <c r="M233" s="102"/>
      <c r="N233" s="1154">
        <f>N234+N235+N238</f>
        <v>0</v>
      </c>
      <c r="O233" s="102"/>
      <c r="P233" s="102"/>
      <c r="Q233" s="3179">
        <f>Q234+Q235+Q238</f>
        <v>0</v>
      </c>
      <c r="R233" s="3182"/>
      <c r="S233" s="3182"/>
      <c r="T233" s="3182"/>
      <c r="U233" s="3182"/>
      <c r="V233" s="3333">
        <f t="shared" si="47"/>
        <v>0</v>
      </c>
      <c r="W233" s="3258">
        <f t="shared" si="48"/>
        <v>0</v>
      </c>
    </row>
    <row r="234" spans="1:23" ht="30">
      <c r="A234" s="88" t="s">
        <v>4246</v>
      </c>
      <c r="B234" s="88" t="s">
        <v>2997</v>
      </c>
      <c r="C234" s="88" t="s">
        <v>2998</v>
      </c>
      <c r="D234" s="898" t="s">
        <v>5042</v>
      </c>
      <c r="E234" s="599"/>
      <c r="F234" s="54"/>
      <c r="G234" s="54"/>
      <c r="H234" s="54"/>
      <c r="I234" s="54"/>
      <c r="J234" s="54"/>
      <c r="K234" s="277"/>
      <c r="L234" s="297">
        <f t="shared" ref="L234" si="56">K234/100000</f>
        <v>0</v>
      </c>
      <c r="M234" s="277"/>
      <c r="N234" s="1802">
        <f>L234*M234</f>
        <v>0</v>
      </c>
      <c r="O234" s="54"/>
      <c r="P234" s="54"/>
      <c r="Q234" s="3163"/>
      <c r="R234" s="3182"/>
      <c r="S234" s="3182"/>
      <c r="T234" s="3182"/>
      <c r="U234" s="3182"/>
      <c r="V234" s="3333">
        <f t="shared" si="47"/>
        <v>0</v>
      </c>
      <c r="W234" s="3258">
        <f t="shared" si="48"/>
        <v>0</v>
      </c>
    </row>
    <row r="235" spans="1:23" s="861" customFormat="1">
      <c r="A235" s="1814" t="s">
        <v>4247</v>
      </c>
      <c r="B235" s="1814" t="s">
        <v>2999</v>
      </c>
      <c r="C235" s="1815" t="s">
        <v>2173</v>
      </c>
      <c r="D235" s="1815"/>
      <c r="E235" s="156"/>
      <c r="F235" s="156"/>
      <c r="G235" s="156"/>
      <c r="H235" s="156"/>
      <c r="I235" s="156"/>
      <c r="J235" s="156"/>
      <c r="K235" s="156"/>
      <c r="L235" s="1816"/>
      <c r="M235" s="593"/>
      <c r="N235" s="1816">
        <f>N236+N237</f>
        <v>0</v>
      </c>
      <c r="O235" s="156"/>
      <c r="P235" s="156"/>
      <c r="Q235" s="3180">
        <f>Q236+Q237</f>
        <v>0</v>
      </c>
      <c r="R235" s="3184"/>
      <c r="S235" s="3184"/>
      <c r="T235" s="3184"/>
      <c r="U235" s="3184"/>
      <c r="V235" s="3333">
        <f t="shared" si="47"/>
        <v>0</v>
      </c>
      <c r="W235" s="3258">
        <f t="shared" si="48"/>
        <v>0</v>
      </c>
    </row>
    <row r="236" spans="1:23" s="861" customFormat="1">
      <c r="A236" s="107" t="s">
        <v>4424</v>
      </c>
      <c r="B236" s="107"/>
      <c r="C236" s="107" t="s">
        <v>3000</v>
      </c>
      <c r="D236" s="107" t="s">
        <v>5040</v>
      </c>
      <c r="E236" s="108"/>
      <c r="F236" s="108"/>
      <c r="G236" s="108"/>
      <c r="H236" s="108"/>
      <c r="I236" s="108"/>
      <c r="J236" s="108"/>
      <c r="K236" s="277"/>
      <c r="L236" s="297">
        <f t="shared" ref="L236:L238" si="57">K236/100000</f>
        <v>0</v>
      </c>
      <c r="M236" s="277"/>
      <c r="N236" s="234">
        <f>L236*M236</f>
        <v>0</v>
      </c>
      <c r="O236" s="108"/>
      <c r="P236" s="108"/>
      <c r="Q236" s="3165"/>
      <c r="R236" s="3184"/>
      <c r="S236" s="3184"/>
      <c r="T236" s="3184"/>
      <c r="U236" s="3184"/>
      <c r="V236" s="3333">
        <f t="shared" si="47"/>
        <v>0</v>
      </c>
      <c r="W236" s="3258">
        <f t="shared" si="48"/>
        <v>0</v>
      </c>
    </row>
    <row r="237" spans="1:23" s="861" customFormat="1" ht="30">
      <c r="A237" s="107" t="s">
        <v>4425</v>
      </c>
      <c r="B237" s="107"/>
      <c r="C237" s="899" t="s">
        <v>2335</v>
      </c>
      <c r="D237" s="107" t="s">
        <v>5043</v>
      </c>
      <c r="E237" s="108"/>
      <c r="F237" s="108"/>
      <c r="G237" s="108"/>
      <c r="H237" s="108"/>
      <c r="I237" s="108"/>
      <c r="J237" s="108"/>
      <c r="K237" s="277"/>
      <c r="L237" s="297">
        <f t="shared" si="57"/>
        <v>0</v>
      </c>
      <c r="M237" s="277"/>
      <c r="N237" s="234">
        <f>L237*M237</f>
        <v>0</v>
      </c>
      <c r="O237" s="108"/>
      <c r="P237" s="108"/>
      <c r="Q237" s="3165"/>
      <c r="R237" s="3184"/>
      <c r="S237" s="3184"/>
      <c r="T237" s="3184"/>
      <c r="U237" s="3184"/>
      <c r="V237" s="3333">
        <f t="shared" si="47"/>
        <v>0</v>
      </c>
      <c r="W237" s="3258">
        <f t="shared" si="48"/>
        <v>0</v>
      </c>
    </row>
    <row r="238" spans="1:23">
      <c r="A238" s="107" t="s">
        <v>4248</v>
      </c>
      <c r="B238" s="107"/>
      <c r="C238" s="107" t="s">
        <v>2883</v>
      </c>
      <c r="D238" s="107" t="s">
        <v>5040</v>
      </c>
      <c r="E238" s="54"/>
      <c r="F238" s="54"/>
      <c r="G238" s="54"/>
      <c r="H238" s="54"/>
      <c r="I238" s="54"/>
      <c r="J238" s="54"/>
      <c r="K238" s="277"/>
      <c r="L238" s="297">
        <f t="shared" si="57"/>
        <v>0</v>
      </c>
      <c r="M238" s="277"/>
      <c r="N238" s="1802">
        <f>L238*M238</f>
        <v>0</v>
      </c>
      <c r="O238" s="54"/>
      <c r="P238" s="54"/>
      <c r="Q238" s="3163"/>
      <c r="R238" s="3182"/>
      <c r="S238" s="3182"/>
      <c r="T238" s="3182"/>
      <c r="U238" s="3182"/>
      <c r="V238" s="3333">
        <f t="shared" si="47"/>
        <v>0</v>
      </c>
      <c r="W238" s="3258">
        <f t="shared" si="48"/>
        <v>0</v>
      </c>
    </row>
    <row r="239" spans="1:23">
      <c r="A239" s="880" t="s">
        <v>3803</v>
      </c>
      <c r="B239" s="880"/>
      <c r="C239" s="880" t="s">
        <v>32</v>
      </c>
      <c r="D239" s="880"/>
      <c r="E239" s="102"/>
      <c r="F239" s="102"/>
      <c r="G239" s="102"/>
      <c r="H239" s="102"/>
      <c r="I239" s="102"/>
      <c r="J239" s="102"/>
      <c r="K239" s="102"/>
      <c r="L239" s="880"/>
      <c r="M239" s="102"/>
      <c r="N239" s="1154">
        <f>SUM(N240:N244)</f>
        <v>4.8</v>
      </c>
      <c r="O239" s="102"/>
      <c r="P239" s="102"/>
      <c r="Q239" s="3179">
        <f>SUM(Q240:Q244)</f>
        <v>4.8</v>
      </c>
      <c r="R239" s="3182"/>
      <c r="S239" s="3182"/>
      <c r="T239" s="3182"/>
      <c r="U239" s="3182"/>
      <c r="V239" s="3333">
        <f t="shared" si="47"/>
        <v>0</v>
      </c>
      <c r="W239" s="3258">
        <f>+Q239-V239-Q239</f>
        <v>0</v>
      </c>
    </row>
    <row r="240" spans="1:23" ht="30">
      <c r="A240" s="107" t="s">
        <v>4249</v>
      </c>
      <c r="B240" s="107" t="s">
        <v>2997</v>
      </c>
      <c r="C240" s="88" t="s">
        <v>2998</v>
      </c>
      <c r="D240" s="898" t="s">
        <v>5042</v>
      </c>
      <c r="E240" s="54"/>
      <c r="F240" s="54"/>
      <c r="G240" s="54"/>
      <c r="H240" s="54"/>
      <c r="I240" s="54"/>
      <c r="J240" s="54"/>
      <c r="K240" s="277"/>
      <c r="L240" s="297">
        <f t="shared" ref="L240:L244" si="58">K240/100000</f>
        <v>0</v>
      </c>
      <c r="M240" s="277"/>
      <c r="N240" s="1802">
        <f>L240*M240</f>
        <v>0</v>
      </c>
      <c r="O240" s="54"/>
      <c r="P240" s="54"/>
      <c r="Q240" s="3163"/>
      <c r="R240" s="3182"/>
      <c r="S240" s="3182"/>
      <c r="T240" s="3182"/>
      <c r="U240" s="3182"/>
      <c r="V240" s="3333">
        <f t="shared" si="47"/>
        <v>0</v>
      </c>
      <c r="W240" s="3258">
        <f t="shared" si="48"/>
        <v>0</v>
      </c>
    </row>
    <row r="241" spans="1:23" s="861" customFormat="1" ht="60">
      <c r="A241" s="107" t="s">
        <v>4250</v>
      </c>
      <c r="B241" s="107" t="s">
        <v>3010</v>
      </c>
      <c r="C241" s="107" t="s">
        <v>3738</v>
      </c>
      <c r="D241" s="107" t="s">
        <v>5040</v>
      </c>
      <c r="E241" s="108">
        <v>1</v>
      </c>
      <c r="F241" s="108">
        <v>1</v>
      </c>
      <c r="G241" s="108">
        <v>4.8</v>
      </c>
      <c r="H241" s="108">
        <v>3</v>
      </c>
      <c r="I241" s="108">
        <v>1.8</v>
      </c>
      <c r="J241" s="108"/>
      <c r="K241" s="2318">
        <v>480000</v>
      </c>
      <c r="L241" s="298">
        <f t="shared" si="58"/>
        <v>4.8</v>
      </c>
      <c r="M241" s="2318">
        <v>1</v>
      </c>
      <c r="N241" s="234">
        <f>L241*M241</f>
        <v>4.8</v>
      </c>
      <c r="O241" s="108"/>
      <c r="P241" s="108" t="s">
        <v>5850</v>
      </c>
      <c r="Q241" s="3165">
        <v>4.8</v>
      </c>
      <c r="R241" s="3184">
        <v>4.8</v>
      </c>
      <c r="S241" s="3184"/>
      <c r="T241" s="3184"/>
      <c r="U241" s="3184"/>
      <c r="V241" s="3333">
        <f t="shared" si="47"/>
        <v>4.8</v>
      </c>
      <c r="W241" s="3258">
        <f t="shared" si="48"/>
        <v>0</v>
      </c>
    </row>
    <row r="242" spans="1:23">
      <c r="A242" s="107" t="s">
        <v>4251</v>
      </c>
      <c r="B242" s="107" t="s">
        <v>3018</v>
      </c>
      <c r="C242" s="88" t="s">
        <v>3739</v>
      </c>
      <c r="D242" s="107" t="s">
        <v>5040</v>
      </c>
      <c r="E242" s="54"/>
      <c r="F242" s="54"/>
      <c r="G242" s="54"/>
      <c r="H242" s="54"/>
      <c r="I242" s="54"/>
      <c r="J242" s="54"/>
      <c r="K242" s="277"/>
      <c r="L242" s="297">
        <f t="shared" si="58"/>
        <v>0</v>
      </c>
      <c r="M242" s="277"/>
      <c r="N242" s="1802">
        <f>L242*M242</f>
        <v>0</v>
      </c>
      <c r="O242" s="54"/>
      <c r="P242" s="54"/>
      <c r="Q242" s="3163"/>
      <c r="R242" s="3182"/>
      <c r="S242" s="3182"/>
      <c r="T242" s="3182"/>
      <c r="U242" s="3182"/>
      <c r="V242" s="3333">
        <f t="shared" si="47"/>
        <v>0</v>
      </c>
      <c r="W242" s="3258">
        <f t="shared" si="48"/>
        <v>0</v>
      </c>
    </row>
    <row r="243" spans="1:23">
      <c r="A243" s="107" t="s">
        <v>4252</v>
      </c>
      <c r="B243" s="107" t="s">
        <v>3024</v>
      </c>
      <c r="C243" s="88" t="s">
        <v>4258</v>
      </c>
      <c r="D243" s="107" t="s">
        <v>5040</v>
      </c>
      <c r="E243" s="54"/>
      <c r="F243" s="54"/>
      <c r="G243" s="54"/>
      <c r="H243" s="54"/>
      <c r="I243" s="54"/>
      <c r="J243" s="54"/>
      <c r="K243" s="277"/>
      <c r="L243" s="297">
        <f t="shared" si="58"/>
        <v>0</v>
      </c>
      <c r="M243" s="277"/>
      <c r="N243" s="1802">
        <f>L243*M243</f>
        <v>0</v>
      </c>
      <c r="O243" s="54"/>
      <c r="P243" s="54"/>
      <c r="Q243" s="3163"/>
      <c r="R243" s="3182"/>
      <c r="S243" s="3182"/>
      <c r="T243" s="3182"/>
      <c r="U243" s="3182"/>
      <c r="V243" s="3333">
        <f t="shared" si="47"/>
        <v>0</v>
      </c>
      <c r="W243" s="3258">
        <f t="shared" si="48"/>
        <v>0</v>
      </c>
    </row>
    <row r="244" spans="1:23">
      <c r="A244" s="107" t="s">
        <v>4253</v>
      </c>
      <c r="B244" s="107"/>
      <c r="C244" s="88" t="s">
        <v>2883</v>
      </c>
      <c r="D244" s="107" t="s">
        <v>5040</v>
      </c>
      <c r="E244" s="54"/>
      <c r="F244" s="54"/>
      <c r="G244" s="54"/>
      <c r="H244" s="54"/>
      <c r="I244" s="54"/>
      <c r="J244" s="54"/>
      <c r="K244" s="277"/>
      <c r="L244" s="297">
        <f t="shared" si="58"/>
        <v>0</v>
      </c>
      <c r="M244" s="277"/>
      <c r="N244" s="1802">
        <f>L244*M244</f>
        <v>0</v>
      </c>
      <c r="O244" s="54"/>
      <c r="P244" s="54"/>
      <c r="Q244" s="3163"/>
      <c r="R244" s="3182"/>
      <c r="S244" s="3182"/>
      <c r="T244" s="3182"/>
      <c r="U244" s="3182"/>
      <c r="V244" s="3333">
        <f t="shared" si="47"/>
        <v>0</v>
      </c>
      <c r="W244" s="3258">
        <f t="shared" si="48"/>
        <v>0</v>
      </c>
    </row>
    <row r="245" spans="1:23">
      <c r="A245" s="880" t="s">
        <v>3804</v>
      </c>
      <c r="B245" s="880"/>
      <c r="C245" s="880" t="s">
        <v>2128</v>
      </c>
      <c r="D245" s="880"/>
      <c r="E245" s="102"/>
      <c r="F245" s="102"/>
      <c r="G245" s="102"/>
      <c r="H245" s="102"/>
      <c r="I245" s="102"/>
      <c r="J245" s="102"/>
      <c r="K245" s="102"/>
      <c r="L245" s="880"/>
      <c r="M245" s="102"/>
      <c r="N245" s="1154">
        <f>SUM(N246:N249)</f>
        <v>0.6</v>
      </c>
      <c r="O245" s="600"/>
      <c r="P245" s="600"/>
      <c r="Q245" s="3179">
        <f>SUM(Q246:Q249)</f>
        <v>0.6</v>
      </c>
      <c r="R245" s="3182"/>
      <c r="S245" s="3182"/>
      <c r="T245" s="3182"/>
      <c r="U245" s="3182"/>
      <c r="V245" s="3333">
        <f t="shared" si="47"/>
        <v>0</v>
      </c>
      <c r="W245" s="3258">
        <f t="shared" si="48"/>
        <v>0.6</v>
      </c>
    </row>
    <row r="246" spans="1:23">
      <c r="A246" s="107" t="s">
        <v>4254</v>
      </c>
      <c r="B246" s="900"/>
      <c r="C246" s="901" t="s">
        <v>3745</v>
      </c>
      <c r="D246" s="107" t="s">
        <v>5040</v>
      </c>
      <c r="E246" s="155"/>
      <c r="F246" s="155"/>
      <c r="G246" s="155"/>
      <c r="H246" s="155"/>
      <c r="I246" s="155"/>
      <c r="J246" s="155"/>
      <c r="K246" s="277"/>
      <c r="L246" s="297">
        <f t="shared" ref="L246:L249" si="59">K246/100000</f>
        <v>0</v>
      </c>
      <c r="M246" s="277"/>
      <c r="N246" s="1802">
        <f>L246*M246</f>
        <v>0</v>
      </c>
      <c r="O246" s="54"/>
      <c r="P246" s="54"/>
      <c r="Q246" s="3163"/>
      <c r="R246" s="3182"/>
      <c r="S246" s="3182"/>
      <c r="T246" s="3182"/>
      <c r="U246" s="3182"/>
      <c r="V246" s="3333">
        <f t="shared" si="47"/>
        <v>0</v>
      </c>
      <c r="W246" s="3258">
        <f t="shared" si="48"/>
        <v>0</v>
      </c>
    </row>
    <row r="247" spans="1:23" s="861" customFormat="1" ht="60">
      <c r="A247" s="107" t="s">
        <v>4255</v>
      </c>
      <c r="B247" s="107" t="s">
        <v>3011</v>
      </c>
      <c r="C247" s="107" t="s">
        <v>3740</v>
      </c>
      <c r="D247" s="107" t="s">
        <v>5040</v>
      </c>
      <c r="E247" s="108">
        <v>1</v>
      </c>
      <c r="F247" s="108">
        <v>1</v>
      </c>
      <c r="G247" s="108" t="s">
        <v>5141</v>
      </c>
      <c r="H247" s="108">
        <v>0.04</v>
      </c>
      <c r="I247" s="108">
        <v>0.5</v>
      </c>
      <c r="J247" s="108"/>
      <c r="K247" s="2318">
        <v>60000</v>
      </c>
      <c r="L247" s="298">
        <f t="shared" si="59"/>
        <v>0.6</v>
      </c>
      <c r="M247" s="2318">
        <v>1</v>
      </c>
      <c r="N247" s="234">
        <f>L247*M247</f>
        <v>0.6</v>
      </c>
      <c r="O247" s="108"/>
      <c r="P247" s="81" t="s">
        <v>5851</v>
      </c>
      <c r="Q247" s="3165">
        <v>0.6</v>
      </c>
      <c r="R247" s="3184">
        <v>0.6</v>
      </c>
      <c r="S247" s="3184"/>
      <c r="T247" s="3184"/>
      <c r="U247" s="3184"/>
      <c r="V247" s="3333">
        <f t="shared" si="47"/>
        <v>0.6</v>
      </c>
      <c r="W247" s="3258">
        <f t="shared" si="48"/>
        <v>0</v>
      </c>
    </row>
    <row r="248" spans="1:23" ht="30">
      <c r="A248" s="107" t="s">
        <v>4256</v>
      </c>
      <c r="B248" s="107" t="s">
        <v>3019</v>
      </c>
      <c r="C248" s="107" t="s">
        <v>3741</v>
      </c>
      <c r="D248" s="107" t="s">
        <v>5040</v>
      </c>
      <c r="E248" s="54"/>
      <c r="F248" s="54"/>
      <c r="G248" s="54"/>
      <c r="H248" s="54"/>
      <c r="I248" s="54"/>
      <c r="J248" s="54"/>
      <c r="K248" s="277"/>
      <c r="L248" s="297">
        <f t="shared" si="59"/>
        <v>0</v>
      </c>
      <c r="M248" s="277"/>
      <c r="N248" s="1802">
        <f>L248*M248</f>
        <v>0</v>
      </c>
      <c r="O248" s="54"/>
      <c r="P248" s="54"/>
      <c r="Q248" s="3163"/>
      <c r="R248" s="3182"/>
      <c r="S248" s="3182"/>
      <c r="T248" s="3182"/>
      <c r="U248" s="3182"/>
      <c r="V248" s="3333">
        <f t="shared" si="47"/>
        <v>0</v>
      </c>
      <c r="W248" s="3258">
        <f t="shared" si="48"/>
        <v>0</v>
      </c>
    </row>
    <row r="249" spans="1:23" ht="30">
      <c r="A249" s="107" t="s">
        <v>4257</v>
      </c>
      <c r="B249" s="107" t="s">
        <v>3025</v>
      </c>
      <c r="C249" s="107" t="s">
        <v>4259</v>
      </c>
      <c r="D249" s="107" t="s">
        <v>5040</v>
      </c>
      <c r="E249" s="54"/>
      <c r="F249" s="54"/>
      <c r="G249" s="54"/>
      <c r="H249" s="54"/>
      <c r="I249" s="54"/>
      <c r="J249" s="54"/>
      <c r="K249" s="277"/>
      <c r="L249" s="297">
        <f t="shared" si="59"/>
        <v>0</v>
      </c>
      <c r="M249" s="277"/>
      <c r="N249" s="1802">
        <f>L249*M249</f>
        <v>0</v>
      </c>
      <c r="O249" s="54"/>
      <c r="P249" s="54"/>
      <c r="Q249" s="3163"/>
      <c r="R249" s="3182"/>
      <c r="S249" s="3182"/>
      <c r="T249" s="3182"/>
      <c r="U249" s="3182"/>
      <c r="V249" s="3333">
        <f t="shared" si="47"/>
        <v>0</v>
      </c>
      <c r="W249" s="3258">
        <f t="shared" si="48"/>
        <v>0</v>
      </c>
    </row>
    <row r="250" spans="1:23">
      <c r="A250" s="880" t="s">
        <v>3813</v>
      </c>
      <c r="B250" s="880"/>
      <c r="C250" s="880" t="s">
        <v>2238</v>
      </c>
      <c r="D250" s="880"/>
      <c r="E250" s="102"/>
      <c r="F250" s="102"/>
      <c r="G250" s="102"/>
      <c r="H250" s="102"/>
      <c r="I250" s="102"/>
      <c r="J250" s="102"/>
      <c r="K250" s="102"/>
      <c r="L250" s="880"/>
      <c r="M250" s="102"/>
      <c r="N250" s="1154">
        <f>N251</f>
        <v>0</v>
      </c>
      <c r="O250" s="102"/>
      <c r="P250" s="102"/>
      <c r="Q250" s="3179">
        <f>Q251</f>
        <v>0</v>
      </c>
      <c r="R250" s="3182"/>
      <c r="S250" s="3182"/>
      <c r="T250" s="3182"/>
      <c r="U250" s="3182"/>
      <c r="V250" s="3333">
        <f t="shared" si="47"/>
        <v>0</v>
      </c>
      <c r="W250" s="3258">
        <f t="shared" si="48"/>
        <v>0</v>
      </c>
    </row>
    <row r="251" spans="1:23" s="861" customFormat="1">
      <c r="A251" s="902" t="s">
        <v>3814</v>
      </c>
      <c r="B251" s="902" t="s">
        <v>3001</v>
      </c>
      <c r="C251" s="902" t="s">
        <v>3002</v>
      </c>
      <c r="D251" s="902"/>
      <c r="E251" s="105"/>
      <c r="F251" s="105"/>
      <c r="G251" s="105"/>
      <c r="H251" s="105"/>
      <c r="I251" s="105"/>
      <c r="J251" s="105"/>
      <c r="K251" s="105"/>
      <c r="L251" s="297">
        <f t="shared" ref="L251:L254" si="60">K251/100000</f>
        <v>0</v>
      </c>
      <c r="M251" s="105"/>
      <c r="N251" s="1804">
        <f>SUM(N252:N254)</f>
        <v>0</v>
      </c>
      <c r="O251" s="105"/>
      <c r="P251" s="105"/>
      <c r="Q251" s="3181">
        <f>SUM(Q252:Q254)</f>
        <v>0</v>
      </c>
      <c r="R251" s="3184"/>
      <c r="S251" s="3184"/>
      <c r="T251" s="3184"/>
      <c r="U251" s="3184"/>
      <c r="V251" s="3333">
        <f t="shared" si="47"/>
        <v>0</v>
      </c>
      <c r="W251" s="3258">
        <f t="shared" si="48"/>
        <v>0</v>
      </c>
    </row>
    <row r="252" spans="1:23" s="861" customFormat="1">
      <c r="A252" s="233" t="s">
        <v>3815</v>
      </c>
      <c r="B252" s="107" t="s">
        <v>3003</v>
      </c>
      <c r="C252" s="107" t="s">
        <v>3004</v>
      </c>
      <c r="D252" s="107" t="s">
        <v>5040</v>
      </c>
      <c r="E252" s="108"/>
      <c r="F252" s="108"/>
      <c r="G252" s="108"/>
      <c r="H252" s="108"/>
      <c r="I252" s="108"/>
      <c r="J252" s="108"/>
      <c r="K252" s="277"/>
      <c r="L252" s="297">
        <f t="shared" si="60"/>
        <v>0</v>
      </c>
      <c r="M252" s="277"/>
      <c r="N252" s="234">
        <f>L252*M252</f>
        <v>0</v>
      </c>
      <c r="O252" s="108"/>
      <c r="P252" s="108"/>
      <c r="Q252" s="3165"/>
      <c r="R252" s="3184"/>
      <c r="S252" s="3184"/>
      <c r="T252" s="3184"/>
      <c r="U252" s="3184"/>
      <c r="V252" s="3333">
        <f t="shared" si="47"/>
        <v>0</v>
      </c>
      <c r="W252" s="3258">
        <f t="shared" si="48"/>
        <v>0</v>
      </c>
    </row>
    <row r="253" spans="1:23">
      <c r="A253" s="233" t="s">
        <v>3816</v>
      </c>
      <c r="B253" s="88" t="s">
        <v>3005</v>
      </c>
      <c r="C253" s="88" t="s">
        <v>3006</v>
      </c>
      <c r="D253" s="107" t="s">
        <v>5040</v>
      </c>
      <c r="E253" s="54"/>
      <c r="F253" s="54"/>
      <c r="G253" s="54"/>
      <c r="H253" s="54"/>
      <c r="I253" s="54"/>
      <c r="J253" s="54"/>
      <c r="K253" s="277"/>
      <c r="L253" s="297">
        <f t="shared" si="60"/>
        <v>0</v>
      </c>
      <c r="M253" s="277"/>
      <c r="N253" s="1802">
        <f>L253*M253</f>
        <v>0</v>
      </c>
      <c r="O253" s="54"/>
      <c r="P253" s="54"/>
      <c r="Q253" s="3163"/>
      <c r="R253" s="3182"/>
      <c r="S253" s="3182"/>
      <c r="T253" s="3182"/>
      <c r="U253" s="3182"/>
      <c r="V253" s="3333">
        <f t="shared" si="47"/>
        <v>0</v>
      </c>
      <c r="W253" s="3258">
        <f t="shared" si="48"/>
        <v>0</v>
      </c>
    </row>
    <row r="254" spans="1:23">
      <c r="A254" s="233" t="s">
        <v>3817</v>
      </c>
      <c r="B254" s="88"/>
      <c r="C254" s="88" t="s">
        <v>2883</v>
      </c>
      <c r="D254" s="107" t="s">
        <v>5040</v>
      </c>
      <c r="E254" s="54"/>
      <c r="F254" s="54"/>
      <c r="G254" s="54"/>
      <c r="H254" s="54"/>
      <c r="I254" s="54"/>
      <c r="J254" s="54"/>
      <c r="K254" s="277"/>
      <c r="L254" s="297">
        <f t="shared" si="60"/>
        <v>0</v>
      </c>
      <c r="M254" s="277"/>
      <c r="N254" s="1802">
        <f>L254*M254</f>
        <v>0</v>
      </c>
      <c r="O254" s="54"/>
      <c r="P254" s="54"/>
      <c r="Q254" s="3163"/>
      <c r="R254" s="3182"/>
      <c r="S254" s="3182"/>
      <c r="T254" s="3182"/>
      <c r="U254" s="3182"/>
      <c r="V254" s="3333">
        <f t="shared" si="47"/>
        <v>0</v>
      </c>
      <c r="W254" s="3258">
        <f t="shared" si="48"/>
        <v>0</v>
      </c>
    </row>
    <row r="255" spans="1:23">
      <c r="A255" s="872" t="s">
        <v>3197</v>
      </c>
      <c r="B255" s="872"/>
      <c r="C255" s="872" t="s">
        <v>2820</v>
      </c>
      <c r="D255" s="872"/>
      <c r="E255" s="601"/>
      <c r="F255" s="601"/>
      <c r="G255" s="601"/>
      <c r="H255" s="601"/>
      <c r="I255" s="601"/>
      <c r="J255" s="601"/>
      <c r="K255" s="601"/>
      <c r="L255" s="591"/>
      <c r="M255" s="1819"/>
      <c r="N255" s="591"/>
      <c r="O255" s="1827"/>
      <c r="P255" s="1824" t="s">
        <v>4994</v>
      </c>
      <c r="Q255" s="3177"/>
      <c r="R255" s="3182"/>
      <c r="S255" s="3182"/>
      <c r="T255" s="3182"/>
      <c r="U255" s="3182"/>
      <c r="V255" s="3333">
        <f t="shared" si="47"/>
        <v>0</v>
      </c>
      <c r="W255" s="3258">
        <f t="shared" si="48"/>
        <v>0</v>
      </c>
    </row>
    <row r="256" spans="1:23">
      <c r="A256" s="872" t="s">
        <v>3198</v>
      </c>
      <c r="B256" s="872"/>
      <c r="C256" s="872" t="s">
        <v>2822</v>
      </c>
      <c r="D256" s="872"/>
      <c r="E256" s="601"/>
      <c r="F256" s="601"/>
      <c r="G256" s="601"/>
      <c r="H256" s="601"/>
      <c r="I256" s="601"/>
      <c r="J256" s="601"/>
      <c r="K256" s="601"/>
      <c r="L256" s="591"/>
      <c r="M256" s="1819"/>
      <c r="N256" s="591"/>
      <c r="O256" s="1827"/>
      <c r="P256" s="1824" t="s">
        <v>4994</v>
      </c>
      <c r="Q256" s="3177"/>
      <c r="R256" s="3182"/>
      <c r="S256" s="3182"/>
      <c r="T256" s="3182"/>
      <c r="U256" s="3182"/>
      <c r="V256" s="3333">
        <f t="shared" si="47"/>
        <v>0</v>
      </c>
      <c r="W256" s="3258">
        <f t="shared" si="48"/>
        <v>0</v>
      </c>
    </row>
    <row r="257" spans="1:23">
      <c r="A257" s="872" t="s">
        <v>3199</v>
      </c>
      <c r="B257" s="872"/>
      <c r="C257" s="872" t="s">
        <v>36</v>
      </c>
      <c r="D257" s="872"/>
      <c r="E257" s="164"/>
      <c r="F257" s="164"/>
      <c r="G257" s="164"/>
      <c r="H257" s="164"/>
      <c r="I257" s="164"/>
      <c r="J257" s="164"/>
      <c r="K257" s="164"/>
      <c r="L257" s="872"/>
      <c r="M257" s="164"/>
      <c r="N257" s="1801">
        <f>N258+N262+N265+N268+N269</f>
        <v>2.16</v>
      </c>
      <c r="O257" s="164"/>
      <c r="P257" s="164"/>
      <c r="Q257" s="3167">
        <f>Q258+Q262+Q265+Q268+Q269</f>
        <v>2.02</v>
      </c>
      <c r="R257" s="3182"/>
      <c r="S257" s="3182"/>
      <c r="T257" s="3182"/>
      <c r="U257" s="3182"/>
      <c r="V257" s="3333">
        <f t="shared" si="47"/>
        <v>0</v>
      </c>
      <c r="W257" s="3258">
        <f t="shared" ref="W257:W258" si="61">+Q257-V257-Q257</f>
        <v>0</v>
      </c>
    </row>
    <row r="258" spans="1:23">
      <c r="A258" s="880" t="s">
        <v>3200</v>
      </c>
      <c r="B258" s="880" t="s">
        <v>3007</v>
      </c>
      <c r="C258" s="880" t="s">
        <v>3008</v>
      </c>
      <c r="D258" s="880"/>
      <c r="E258" s="102"/>
      <c r="F258" s="102"/>
      <c r="G258" s="102"/>
      <c r="H258" s="102"/>
      <c r="I258" s="102"/>
      <c r="J258" s="102"/>
      <c r="K258" s="102"/>
      <c r="L258" s="880"/>
      <c r="M258" s="102"/>
      <c r="N258" s="1154">
        <f>SUM(N259:N261)</f>
        <v>2.16</v>
      </c>
      <c r="O258" s="102"/>
      <c r="P258" s="102"/>
      <c r="Q258" s="3179">
        <f>SUM(Q259:Q261)</f>
        <v>1.87</v>
      </c>
      <c r="R258" s="3182"/>
      <c r="S258" s="3182"/>
      <c r="T258" s="3182"/>
      <c r="U258" s="3182"/>
      <c r="V258" s="3333">
        <f t="shared" si="47"/>
        <v>0</v>
      </c>
      <c r="W258" s="3258">
        <f t="shared" si="61"/>
        <v>0</v>
      </c>
    </row>
    <row r="259" spans="1:23" ht="165.75">
      <c r="A259" s="88" t="s">
        <v>3805</v>
      </c>
      <c r="B259" s="88" t="s">
        <v>3009</v>
      </c>
      <c r="C259" s="88" t="s">
        <v>36</v>
      </c>
      <c r="D259" s="107" t="s">
        <v>5040</v>
      </c>
      <c r="E259" s="54">
        <v>1</v>
      </c>
      <c r="F259" s="54">
        <v>1</v>
      </c>
      <c r="G259" s="54">
        <v>1.73</v>
      </c>
      <c r="H259" s="54">
        <v>1.27</v>
      </c>
      <c r="I259" s="54">
        <v>0.46</v>
      </c>
      <c r="J259" s="54"/>
      <c r="K259" s="277">
        <v>216000</v>
      </c>
      <c r="L259" s="297">
        <f t="shared" ref="L259:L261" si="62">K259/100000</f>
        <v>2.16</v>
      </c>
      <c r="M259" s="277">
        <v>1</v>
      </c>
      <c r="N259" s="1802">
        <f>L259*M259</f>
        <v>2.16</v>
      </c>
      <c r="O259" s="54"/>
      <c r="P259" s="3043" t="s">
        <v>5852</v>
      </c>
      <c r="Q259" s="3163">
        <v>1.87</v>
      </c>
      <c r="R259" s="3182">
        <v>1.87</v>
      </c>
      <c r="S259" s="3182"/>
      <c r="T259" s="3182"/>
      <c r="U259" s="3182"/>
      <c r="V259" s="3333">
        <f t="shared" si="47"/>
        <v>1.87</v>
      </c>
      <c r="W259" s="3258">
        <f t="shared" si="48"/>
        <v>0</v>
      </c>
    </row>
    <row r="260" spans="1:23">
      <c r="A260" s="107" t="s">
        <v>3806</v>
      </c>
      <c r="B260" s="88" t="s">
        <v>3012</v>
      </c>
      <c r="C260" s="88" t="s">
        <v>3013</v>
      </c>
      <c r="D260" s="107" t="s">
        <v>5040</v>
      </c>
      <c r="E260" s="54"/>
      <c r="F260" s="54"/>
      <c r="G260" s="54"/>
      <c r="H260" s="54"/>
      <c r="I260" s="54"/>
      <c r="J260" s="54"/>
      <c r="K260" s="277"/>
      <c r="L260" s="297">
        <f t="shared" si="62"/>
        <v>0</v>
      </c>
      <c r="M260" s="277"/>
      <c r="N260" s="1802">
        <f>L260*M260</f>
        <v>0</v>
      </c>
      <c r="O260" s="54"/>
      <c r="P260" s="54"/>
      <c r="Q260" s="3163"/>
      <c r="R260" s="3182"/>
      <c r="S260" s="3182"/>
      <c r="T260" s="3182"/>
      <c r="U260" s="3182"/>
      <c r="V260" s="3333">
        <f t="shared" si="47"/>
        <v>0</v>
      </c>
      <c r="W260" s="3258">
        <f t="shared" si="48"/>
        <v>0</v>
      </c>
    </row>
    <row r="261" spans="1:23" s="861" customFormat="1">
      <c r="A261" s="107" t="s">
        <v>3807</v>
      </c>
      <c r="B261" s="107" t="s">
        <v>3014</v>
      </c>
      <c r="C261" s="107" t="s">
        <v>2883</v>
      </c>
      <c r="D261" s="107" t="s">
        <v>5040</v>
      </c>
      <c r="E261" s="108"/>
      <c r="F261" s="108"/>
      <c r="G261" s="108"/>
      <c r="H261" s="108"/>
      <c r="I261" s="108"/>
      <c r="J261" s="108"/>
      <c r="K261" s="2318"/>
      <c r="L261" s="298">
        <f t="shared" si="62"/>
        <v>0</v>
      </c>
      <c r="M261" s="2318"/>
      <c r="N261" s="234">
        <f>L261*M261</f>
        <v>0</v>
      </c>
      <c r="O261" s="108"/>
      <c r="P261" s="108"/>
      <c r="Q261" s="3165"/>
      <c r="R261" s="3184"/>
      <c r="S261" s="3184"/>
      <c r="T261" s="3184"/>
      <c r="U261" s="3184"/>
      <c r="V261" s="3333">
        <f t="shared" si="47"/>
        <v>0</v>
      </c>
      <c r="W261" s="3258">
        <f t="shared" si="48"/>
        <v>0</v>
      </c>
    </row>
    <row r="262" spans="1:23">
      <c r="A262" s="880" t="s">
        <v>3742</v>
      </c>
      <c r="B262" s="880" t="s">
        <v>3015</v>
      </c>
      <c r="C262" s="880" t="s">
        <v>3016</v>
      </c>
      <c r="D262" s="880"/>
      <c r="E262" s="102"/>
      <c r="F262" s="102"/>
      <c r="G262" s="102"/>
      <c r="H262" s="102"/>
      <c r="I262" s="102"/>
      <c r="J262" s="102"/>
      <c r="K262" s="102"/>
      <c r="L262" s="880"/>
      <c r="M262" s="102"/>
      <c r="N262" s="1154">
        <f>SUM(N263:N264)</f>
        <v>0</v>
      </c>
      <c r="O262" s="102"/>
      <c r="P262" s="102"/>
      <c r="Q262" s="3179">
        <f>SUM(Q263:Q264)</f>
        <v>0</v>
      </c>
      <c r="R262" s="3182"/>
      <c r="S262" s="3182"/>
      <c r="T262" s="3182"/>
      <c r="U262" s="3182"/>
      <c r="V262" s="3333">
        <f t="shared" si="47"/>
        <v>0</v>
      </c>
      <c r="W262" s="3258">
        <f t="shared" si="48"/>
        <v>0</v>
      </c>
    </row>
    <row r="263" spans="1:23">
      <c r="A263" s="88" t="s">
        <v>3808</v>
      </c>
      <c r="B263" s="88" t="s">
        <v>3017</v>
      </c>
      <c r="C263" s="88" t="s">
        <v>36</v>
      </c>
      <c r="D263" s="107" t="s">
        <v>5040</v>
      </c>
      <c r="E263" s="54"/>
      <c r="F263" s="54"/>
      <c r="G263" s="54"/>
      <c r="H263" s="54"/>
      <c r="I263" s="54"/>
      <c r="J263" s="54"/>
      <c r="K263" s="277"/>
      <c r="L263" s="297">
        <f t="shared" ref="L263:L264" si="63">K263/100000</f>
        <v>0</v>
      </c>
      <c r="M263" s="277"/>
      <c r="N263" s="1802">
        <f>L263*M263</f>
        <v>0</v>
      </c>
      <c r="O263" s="54"/>
      <c r="P263" s="54"/>
      <c r="Q263" s="3163"/>
      <c r="R263" s="3182"/>
      <c r="S263" s="3182"/>
      <c r="T263" s="3182"/>
      <c r="U263" s="3182"/>
      <c r="V263" s="3333">
        <f t="shared" si="47"/>
        <v>0</v>
      </c>
      <c r="W263" s="3258">
        <f t="shared" si="48"/>
        <v>0</v>
      </c>
    </row>
    <row r="264" spans="1:23">
      <c r="A264" s="107" t="s">
        <v>3809</v>
      </c>
      <c r="B264" s="88" t="s">
        <v>3020</v>
      </c>
      <c r="C264" s="88" t="s">
        <v>2883</v>
      </c>
      <c r="D264" s="107" t="s">
        <v>5040</v>
      </c>
      <c r="E264" s="54"/>
      <c r="F264" s="54"/>
      <c r="G264" s="54"/>
      <c r="H264" s="54"/>
      <c r="I264" s="54"/>
      <c r="J264" s="54"/>
      <c r="K264" s="277"/>
      <c r="L264" s="297">
        <f t="shared" si="63"/>
        <v>0</v>
      </c>
      <c r="M264" s="277"/>
      <c r="N264" s="1802">
        <f>L264*M264</f>
        <v>0</v>
      </c>
      <c r="O264" s="54"/>
      <c r="P264" s="54"/>
      <c r="Q264" s="3163"/>
      <c r="R264" s="3182"/>
      <c r="S264" s="3182"/>
      <c r="T264" s="3182"/>
      <c r="U264" s="3182"/>
      <c r="V264" s="3333">
        <f t="shared" ref="V264:V273" si="64">SUM(R264:U264)</f>
        <v>0</v>
      </c>
      <c r="W264" s="3258">
        <f t="shared" ref="W264:W273" si="65">+Q264-V264</f>
        <v>0</v>
      </c>
    </row>
    <row r="265" spans="1:23">
      <c r="A265" s="880" t="s">
        <v>3743</v>
      </c>
      <c r="B265" s="880" t="s">
        <v>3021</v>
      </c>
      <c r="C265" s="880" t="s">
        <v>3022</v>
      </c>
      <c r="D265" s="880"/>
      <c r="E265" s="102"/>
      <c r="F265" s="102"/>
      <c r="G265" s="102"/>
      <c r="H265" s="102"/>
      <c r="I265" s="102"/>
      <c r="J265" s="102"/>
      <c r="K265" s="102"/>
      <c r="L265" s="880"/>
      <c r="M265" s="102"/>
      <c r="N265" s="1154">
        <f>SUM(N266:N267)</f>
        <v>0</v>
      </c>
      <c r="O265" s="102"/>
      <c r="P265" s="102"/>
      <c r="Q265" s="3179">
        <f>SUM(Q266:Q267)</f>
        <v>0</v>
      </c>
      <c r="R265" s="3182"/>
      <c r="S265" s="3182"/>
      <c r="T265" s="3182"/>
      <c r="U265" s="3182"/>
      <c r="V265" s="3333">
        <f t="shared" si="64"/>
        <v>0</v>
      </c>
      <c r="W265" s="3258">
        <f t="shared" si="65"/>
        <v>0</v>
      </c>
    </row>
    <row r="266" spans="1:23">
      <c r="A266" s="88" t="s">
        <v>3810</v>
      </c>
      <c r="B266" s="88" t="s">
        <v>3023</v>
      </c>
      <c r="C266" s="88" t="s">
        <v>36</v>
      </c>
      <c r="D266" s="107" t="s">
        <v>5040</v>
      </c>
      <c r="E266" s="54"/>
      <c r="F266" s="54"/>
      <c r="G266" s="54"/>
      <c r="H266" s="54"/>
      <c r="I266" s="54"/>
      <c r="J266" s="54"/>
      <c r="K266" s="277"/>
      <c r="L266" s="297">
        <f t="shared" ref="L266:L267" si="66">K266/100000</f>
        <v>0</v>
      </c>
      <c r="M266" s="277"/>
      <c r="N266" s="1802">
        <f>L266*M266</f>
        <v>0</v>
      </c>
      <c r="O266" s="54"/>
      <c r="P266" s="54"/>
      <c r="Q266" s="3163"/>
      <c r="R266" s="3182"/>
      <c r="S266" s="3182"/>
      <c r="T266" s="3182"/>
      <c r="U266" s="3182"/>
      <c r="V266" s="3333">
        <f t="shared" si="64"/>
        <v>0</v>
      </c>
      <c r="W266" s="3258">
        <f t="shared" si="65"/>
        <v>0</v>
      </c>
    </row>
    <row r="267" spans="1:23">
      <c r="A267" s="107" t="s">
        <v>3811</v>
      </c>
      <c r="B267" s="88" t="s">
        <v>3026</v>
      </c>
      <c r="C267" s="88" t="s">
        <v>2883</v>
      </c>
      <c r="D267" s="107" t="s">
        <v>5040</v>
      </c>
      <c r="E267" s="54"/>
      <c r="F267" s="54"/>
      <c r="G267" s="54"/>
      <c r="H267" s="54"/>
      <c r="I267" s="54"/>
      <c r="J267" s="54"/>
      <c r="K267" s="277"/>
      <c r="L267" s="297">
        <f t="shared" si="66"/>
        <v>0</v>
      </c>
      <c r="M267" s="277"/>
      <c r="N267" s="1802">
        <f>L267*M267</f>
        <v>0</v>
      </c>
      <c r="O267" s="54"/>
      <c r="P267" s="54"/>
      <c r="Q267" s="3163"/>
      <c r="R267" s="3182"/>
      <c r="S267" s="3182"/>
      <c r="T267" s="3182"/>
      <c r="U267" s="3182"/>
      <c r="V267" s="3333">
        <f t="shared" si="64"/>
        <v>0</v>
      </c>
      <c r="W267" s="3258">
        <f t="shared" si="65"/>
        <v>0</v>
      </c>
    </row>
    <row r="268" spans="1:23" ht="306">
      <c r="A268" s="880" t="s">
        <v>3744</v>
      </c>
      <c r="B268" s="880"/>
      <c r="C268" s="880" t="s">
        <v>34</v>
      </c>
      <c r="D268" s="436" t="s">
        <v>5040</v>
      </c>
      <c r="E268" s="102"/>
      <c r="F268" s="102"/>
      <c r="G268" s="102"/>
      <c r="H268" s="102"/>
      <c r="I268" s="102"/>
      <c r="J268" s="102"/>
      <c r="K268" s="152"/>
      <c r="L268" s="1154">
        <f>K268/100000</f>
        <v>0</v>
      </c>
      <c r="M268" s="152"/>
      <c r="N268" s="1154">
        <f>M268*L268</f>
        <v>0</v>
      </c>
      <c r="O268" s="102"/>
      <c r="P268" s="3044" t="s">
        <v>5832</v>
      </c>
      <c r="Q268" s="3179">
        <v>0.15</v>
      </c>
      <c r="R268" s="3182">
        <v>0.15</v>
      </c>
      <c r="S268" s="3182"/>
      <c r="T268" s="3182"/>
      <c r="U268" s="3182"/>
      <c r="V268" s="3333">
        <f t="shared" si="64"/>
        <v>0.15</v>
      </c>
      <c r="W268" s="3258">
        <f t="shared" si="65"/>
        <v>0</v>
      </c>
    </row>
    <row r="269" spans="1:23">
      <c r="A269" s="880" t="s">
        <v>3812</v>
      </c>
      <c r="B269" s="880"/>
      <c r="C269" s="880" t="s">
        <v>35</v>
      </c>
      <c r="D269" s="436" t="s">
        <v>5040</v>
      </c>
      <c r="E269" s="102"/>
      <c r="F269" s="102"/>
      <c r="G269" s="102"/>
      <c r="H269" s="102"/>
      <c r="I269" s="102"/>
      <c r="J269" s="102"/>
      <c r="K269" s="152"/>
      <c r="L269" s="1154">
        <f>K269/100000</f>
        <v>0</v>
      </c>
      <c r="M269" s="152"/>
      <c r="N269" s="1154">
        <f>M269*L269</f>
        <v>0</v>
      </c>
      <c r="O269" s="102"/>
      <c r="P269" s="102"/>
      <c r="Q269" s="3179"/>
      <c r="R269" s="3182"/>
      <c r="S269" s="3182"/>
      <c r="T269" s="3182"/>
      <c r="U269" s="3182"/>
      <c r="V269" s="3333">
        <f t="shared" si="64"/>
        <v>0</v>
      </c>
      <c r="W269" s="3258">
        <f t="shared" si="65"/>
        <v>0</v>
      </c>
    </row>
    <row r="270" spans="1:23">
      <c r="A270" s="165" t="s">
        <v>3201</v>
      </c>
      <c r="B270" s="165"/>
      <c r="C270" s="165" t="s">
        <v>3027</v>
      </c>
      <c r="D270" s="165"/>
      <c r="E270" s="101"/>
      <c r="F270" s="101"/>
      <c r="G270" s="101"/>
      <c r="H270" s="101"/>
      <c r="I270" s="101"/>
      <c r="J270" s="101"/>
      <c r="K270" s="101"/>
      <c r="L270" s="165"/>
      <c r="M270" s="101"/>
      <c r="N270" s="1800">
        <f>SUM(N271:N272)</f>
        <v>0</v>
      </c>
      <c r="O270" s="101"/>
      <c r="P270" s="101"/>
      <c r="Q270" s="3176">
        <f>SUM(Q271:Q272)</f>
        <v>0</v>
      </c>
      <c r="R270" s="3182"/>
      <c r="S270" s="3182"/>
      <c r="T270" s="3182"/>
      <c r="U270" s="3182"/>
      <c r="V270" s="3333">
        <f t="shared" si="64"/>
        <v>0</v>
      </c>
      <c r="W270" s="3258">
        <f t="shared" si="65"/>
        <v>0</v>
      </c>
    </row>
    <row r="271" spans="1:23" ht="30">
      <c r="A271" s="88" t="s">
        <v>3202</v>
      </c>
      <c r="B271" s="894"/>
      <c r="C271" s="509" t="s">
        <v>3795</v>
      </c>
      <c r="D271" s="509" t="s">
        <v>5035</v>
      </c>
      <c r="E271" s="69"/>
      <c r="F271" s="69"/>
      <c r="G271" s="69"/>
      <c r="H271" s="69"/>
      <c r="I271" s="69"/>
      <c r="J271" s="69"/>
      <c r="K271" s="277"/>
      <c r="L271" s="297">
        <f t="shared" ref="L271:L272" si="67">K271/100000</f>
        <v>0</v>
      </c>
      <c r="M271" s="277"/>
      <c r="N271" s="1802">
        <f>L271*M271</f>
        <v>0</v>
      </c>
      <c r="O271" s="54"/>
      <c r="P271" s="54"/>
      <c r="Q271" s="3163"/>
      <c r="R271" s="3182"/>
      <c r="S271" s="3182"/>
      <c r="T271" s="3182"/>
      <c r="U271" s="3182"/>
      <c r="V271" s="3333">
        <f t="shared" si="64"/>
        <v>0</v>
      </c>
      <c r="W271" s="3258">
        <f t="shared" si="65"/>
        <v>0</v>
      </c>
    </row>
    <row r="272" spans="1:23">
      <c r="A272" s="88" t="s">
        <v>3796</v>
      </c>
      <c r="B272" s="894"/>
      <c r="C272" s="88" t="s">
        <v>2883</v>
      </c>
      <c r="D272" s="88" t="s">
        <v>3204</v>
      </c>
      <c r="E272" s="69"/>
      <c r="F272" s="69"/>
      <c r="G272" s="69"/>
      <c r="H272" s="69"/>
      <c r="I272" s="69"/>
      <c r="J272" s="69"/>
      <c r="K272" s="277"/>
      <c r="L272" s="297">
        <f t="shared" si="67"/>
        <v>0</v>
      </c>
      <c r="M272" s="277"/>
      <c r="N272" s="1802">
        <f>L272*M272</f>
        <v>0</v>
      </c>
      <c r="O272" s="54"/>
      <c r="P272" s="54"/>
      <c r="Q272" s="3163"/>
      <c r="R272" s="3182"/>
      <c r="S272" s="3182"/>
      <c r="T272" s="3182"/>
      <c r="U272" s="3182"/>
      <c r="V272" s="3333">
        <f t="shared" si="64"/>
        <v>0</v>
      </c>
      <c r="W272" s="3258">
        <f t="shared" si="65"/>
        <v>0</v>
      </c>
    </row>
    <row r="273" spans="1:24">
      <c r="A273" s="165" t="s">
        <v>3203</v>
      </c>
      <c r="B273" s="165"/>
      <c r="C273" s="165" t="s">
        <v>3028</v>
      </c>
      <c r="D273" s="165"/>
      <c r="E273" s="101"/>
      <c r="F273" s="101"/>
      <c r="G273" s="101"/>
      <c r="H273" s="101"/>
      <c r="I273" s="101"/>
      <c r="J273" s="101"/>
      <c r="K273" s="101"/>
      <c r="L273" s="165"/>
      <c r="M273" s="101"/>
      <c r="N273" s="1800">
        <f>N274</f>
        <v>0</v>
      </c>
      <c r="O273" s="101"/>
      <c r="P273" s="101"/>
      <c r="Q273" s="3176">
        <f>Q274</f>
        <v>0</v>
      </c>
      <c r="R273" s="3182"/>
      <c r="S273" s="3182"/>
      <c r="T273" s="3182"/>
      <c r="U273" s="3182"/>
      <c r="V273" s="3333">
        <f t="shared" si="64"/>
        <v>0</v>
      </c>
      <c r="W273" s="3258">
        <f t="shared" si="65"/>
        <v>0</v>
      </c>
    </row>
    <row r="274" spans="1:24">
      <c r="A274" s="88" t="s">
        <v>3797</v>
      </c>
      <c r="B274" s="894"/>
      <c r="C274" s="894" t="s">
        <v>4261</v>
      </c>
      <c r="D274" s="894" t="s">
        <v>3204</v>
      </c>
      <c r="E274" s="69"/>
      <c r="F274" s="69"/>
      <c r="G274" s="69"/>
      <c r="H274" s="69"/>
      <c r="I274" s="69"/>
      <c r="J274" s="69"/>
      <c r="K274" s="277"/>
      <c r="L274" s="297">
        <f t="shared" ref="L274" si="68">K274/100000</f>
        <v>0</v>
      </c>
      <c r="M274" s="277"/>
      <c r="N274" s="1802">
        <f>L274*M274</f>
        <v>0</v>
      </c>
      <c r="O274" s="54"/>
      <c r="P274" s="54"/>
      <c r="Q274" s="3163"/>
      <c r="R274" s="894"/>
      <c r="S274" s="894"/>
      <c r="T274" s="894"/>
      <c r="U274" s="894"/>
      <c r="V274" s="894"/>
    </row>
    <row r="275" spans="1:24">
      <c r="Q275" s="3474">
        <f>+D3</f>
        <v>147.75</v>
      </c>
      <c r="R275" s="3182">
        <f>SUM(R7:R274)</f>
        <v>102.34</v>
      </c>
      <c r="S275" s="3182">
        <f t="shared" ref="S275:V275" si="69">SUM(S7:S274)</f>
        <v>8.51</v>
      </c>
      <c r="T275" s="3182">
        <f t="shared" si="69"/>
        <v>23.67</v>
      </c>
      <c r="U275" s="3182">
        <f t="shared" si="69"/>
        <v>13.23</v>
      </c>
      <c r="V275" s="3182">
        <f t="shared" si="69"/>
        <v>147.75</v>
      </c>
      <c r="X275" s="3475">
        <f>+V275-Q275</f>
        <v>0</v>
      </c>
    </row>
    <row r="276" spans="1:24">
      <c r="R276" s="894"/>
      <c r="S276" s="894"/>
      <c r="T276" s="894"/>
      <c r="U276" s="894"/>
      <c r="V276" s="894"/>
    </row>
  </sheetData>
  <sheetProtection password="CC49" sheet="1" objects="1" scenarios="1" autoFilter="0"/>
  <autoFilter ref="A6:Q274"/>
  <mergeCells count="9">
    <mergeCell ref="J5:O5"/>
    <mergeCell ref="P5:Q5"/>
    <mergeCell ref="A1:Q1"/>
    <mergeCell ref="A5:A6"/>
    <mergeCell ref="B5:B6"/>
    <mergeCell ref="C5:C6"/>
    <mergeCell ref="E5:I5"/>
    <mergeCell ref="D5:D6"/>
    <mergeCell ref="A2:A4"/>
  </mergeCells>
  <phoneticPr fontId="68" type="noConversion"/>
  <pageMargins left="0.7" right="0.7" top="0.75" bottom="0.75" header="0.3" footer="0.3"/>
  <pageSetup orientation="portrait" horizontalDpi="4294967295" verticalDpi="4294967295" r:id="rId1"/>
</worksheet>
</file>

<file path=xl/worksheets/sheet27.xml><?xml version="1.0" encoding="utf-8"?>
<worksheet xmlns="http://schemas.openxmlformats.org/spreadsheetml/2006/main" xmlns:r="http://schemas.openxmlformats.org/officeDocument/2006/relationships">
  <sheetPr codeName="Sheet22"/>
  <dimension ref="A1:S274"/>
  <sheetViews>
    <sheetView zoomScale="80" zoomScaleNormal="80" workbookViewId="0">
      <pane xSplit="4" ySplit="7" topLeftCell="K179" activePane="bottomRight" state="frozen"/>
      <selection activeCell="L8" sqref="L8"/>
      <selection pane="topRight" activeCell="L8" sqref="L8"/>
      <selection pane="bottomLeft" activeCell="L8" sqref="L8"/>
      <selection pane="bottomRight" activeCell="I284" sqref="I284"/>
    </sheetView>
  </sheetViews>
  <sheetFormatPr defaultColWidth="8.7109375" defaultRowHeight="15"/>
  <cols>
    <col min="1" max="1" width="12.42578125" style="860" customWidth="1"/>
    <col min="2" max="2" width="20.42578125" style="860" customWidth="1"/>
    <col min="3" max="3" width="51.85546875" style="860" customWidth="1"/>
    <col min="4" max="4" width="14.140625" style="860" bestFit="1" customWidth="1"/>
    <col min="5" max="5" width="19" style="860" customWidth="1"/>
    <col min="6" max="6" width="12.85546875" style="860" customWidth="1"/>
    <col min="7" max="7" width="14.85546875" style="860" customWidth="1"/>
    <col min="8" max="8" width="8.7109375" style="860"/>
    <col min="9" max="9" width="15.140625" style="860" customWidth="1"/>
    <col min="10" max="10" width="8.7109375" style="860"/>
    <col min="11" max="11" width="13.42578125" style="860" bestFit="1" customWidth="1"/>
    <col min="12" max="12" width="10.85546875" style="860" customWidth="1"/>
    <col min="13" max="13" width="8.7109375" style="860"/>
    <col min="14" max="14" width="8.85546875" style="903" customWidth="1"/>
    <col min="15" max="15" width="31.85546875" style="904" customWidth="1"/>
    <col min="16" max="16" width="34.140625" style="904" customWidth="1"/>
    <col min="17" max="17" width="11.42578125" style="1212" customWidth="1"/>
    <col min="18" max="16384" width="8.7109375" style="860"/>
  </cols>
  <sheetData>
    <row r="1" spans="1:19" ht="12.95" customHeight="1">
      <c r="A1" s="4067" t="s">
        <v>3033</v>
      </c>
      <c r="B1" s="4067"/>
      <c r="C1" s="4067"/>
      <c r="D1" s="4067"/>
      <c r="E1" s="4067"/>
      <c r="F1" s="4067"/>
      <c r="G1" s="4067"/>
      <c r="H1" s="4067"/>
      <c r="I1" s="4067"/>
      <c r="J1" s="4067"/>
      <c r="K1" s="4067"/>
      <c r="L1" s="4067"/>
      <c r="M1" s="4067"/>
      <c r="N1" s="4067"/>
      <c r="O1" s="4067"/>
      <c r="P1" s="4067"/>
      <c r="Q1" s="4067"/>
    </row>
    <row r="2" spans="1:19" s="861" customFormat="1">
      <c r="A2" s="3855" t="str">
        <f>HYPERLINK("#Index!A4", "Index Pg")</f>
        <v>Index Pg</v>
      </c>
      <c r="B2" s="1379" t="str">
        <f>HYPERLINK("#'Summary of Abstracts'!A2", "Summary of Abst.")</f>
        <v>Summary of Abst.</v>
      </c>
      <c r="C2" s="1379" t="str">
        <f>HYPERLINK("#'NUHM Summary'!A4:A5", "NUHM Summary Sheet.")</f>
        <v>NUHM Summary Sheet.</v>
      </c>
      <c r="D2" s="862"/>
      <c r="E2" s="863" t="s">
        <v>5044</v>
      </c>
      <c r="F2" s="863" t="s">
        <v>5045</v>
      </c>
      <c r="G2" s="863" t="s">
        <v>5046</v>
      </c>
      <c r="H2" s="863" t="s">
        <v>5047</v>
      </c>
      <c r="I2" s="863" t="s">
        <v>5048</v>
      </c>
      <c r="J2" s="863" t="s">
        <v>5049</v>
      </c>
      <c r="K2" s="863" t="s">
        <v>5050</v>
      </c>
      <c r="L2" s="863" t="s">
        <v>5051</v>
      </c>
      <c r="M2" s="863" t="s">
        <v>5052</v>
      </c>
      <c r="N2" s="863" t="s">
        <v>5053</v>
      </c>
      <c r="O2" s="1793"/>
      <c r="P2" s="1793"/>
      <c r="Q2" s="1828"/>
      <c r="R2" s="860"/>
      <c r="S2" s="860"/>
    </row>
    <row r="3" spans="1:19" s="861" customFormat="1">
      <c r="A3" s="3856"/>
      <c r="B3" s="864" t="str">
        <f>HYPERLINK("#'Budget Summary I'!A1:AL1", "Budget Summary I")</f>
        <v>Budget Summary I</v>
      </c>
      <c r="C3" s="865" t="s">
        <v>4460</v>
      </c>
      <c r="D3" s="866">
        <f>Q7</f>
        <v>0</v>
      </c>
      <c r="E3" s="867">
        <f>Q49</f>
        <v>0</v>
      </c>
      <c r="F3" s="867">
        <f>Q89</f>
        <v>0</v>
      </c>
      <c r="G3" s="867">
        <f>Q93+Q100+Q105+Q106+Q113+Q114+Q116</f>
        <v>0</v>
      </c>
      <c r="H3" s="867">
        <f>Q172</f>
        <v>0</v>
      </c>
      <c r="I3" s="867">
        <f>Q186+Q187+Q189+Q188</f>
        <v>0</v>
      </c>
      <c r="J3" s="1794">
        <f>Q206</f>
        <v>0</v>
      </c>
      <c r="K3" s="1795">
        <f>Q209</f>
        <v>0</v>
      </c>
      <c r="L3" s="1795">
        <f>Q228</f>
        <v>0</v>
      </c>
      <c r="M3" s="1795">
        <f>Q237</f>
        <v>0</v>
      </c>
      <c r="N3" s="1796">
        <f>Q271</f>
        <v>0</v>
      </c>
      <c r="O3" s="1829"/>
      <c r="P3" s="1830"/>
      <c r="Q3" s="1831"/>
      <c r="R3" s="860"/>
      <c r="S3" s="860"/>
    </row>
    <row r="4" spans="1:19" s="861" customFormat="1">
      <c r="A4" s="3857"/>
      <c r="B4" s="864" t="str">
        <f>HYPERLINK("#'Budget Summary II'!A3:B5", "Budget Summary II")</f>
        <v>Budget Summary II</v>
      </c>
      <c r="C4" s="865" t="s">
        <v>4461</v>
      </c>
      <c r="D4" s="866">
        <f>N7</f>
        <v>0</v>
      </c>
      <c r="E4" s="867">
        <f>N49</f>
        <v>0</v>
      </c>
      <c r="F4" s="867">
        <f>N89</f>
        <v>0</v>
      </c>
      <c r="G4" s="867">
        <f>N93+N100+N105+N106+N113+N114+N116</f>
        <v>0</v>
      </c>
      <c r="H4" s="867">
        <f>N172</f>
        <v>0</v>
      </c>
      <c r="I4" s="867">
        <f>N186+N187+N189+N188</f>
        <v>0</v>
      </c>
      <c r="J4" s="1794">
        <f>N206</f>
        <v>0</v>
      </c>
      <c r="K4" s="1795">
        <f>N209</f>
        <v>0</v>
      </c>
      <c r="L4" s="1795">
        <f>N228</f>
        <v>0</v>
      </c>
      <c r="M4" s="1795">
        <f>N237</f>
        <v>0</v>
      </c>
      <c r="N4" s="1796">
        <f>N271</f>
        <v>0</v>
      </c>
      <c r="O4" s="1829"/>
      <c r="P4" s="1830"/>
      <c r="Q4" s="1831"/>
      <c r="R4" s="860"/>
      <c r="S4" s="860"/>
    </row>
    <row r="5" spans="1:19" s="869" customFormat="1" ht="12.75" customHeight="1">
      <c r="A5" s="4040" t="s">
        <v>48</v>
      </c>
      <c r="B5" s="4040" t="s">
        <v>49</v>
      </c>
      <c r="C5" s="4040" t="s">
        <v>50</v>
      </c>
      <c r="D5" s="4040" t="s">
        <v>4516</v>
      </c>
      <c r="E5" s="3866" t="s">
        <v>4478</v>
      </c>
      <c r="F5" s="3866"/>
      <c r="G5" s="3866"/>
      <c r="H5" s="3866"/>
      <c r="I5" s="3866"/>
      <c r="J5" s="3894" t="s">
        <v>4484</v>
      </c>
      <c r="K5" s="3903"/>
      <c r="L5" s="3903"/>
      <c r="M5" s="3903"/>
      <c r="N5" s="3903"/>
      <c r="O5" s="3904"/>
      <c r="P5" s="3905" t="s">
        <v>4514</v>
      </c>
      <c r="Q5" s="3906"/>
      <c r="R5" s="868"/>
      <c r="S5" s="868"/>
    </row>
    <row r="6" spans="1:19" s="868" customFormat="1" ht="60">
      <c r="A6" s="4041"/>
      <c r="B6" s="4041"/>
      <c r="C6" s="4041"/>
      <c r="D6" s="4041"/>
      <c r="E6" s="918" t="s">
        <v>4479</v>
      </c>
      <c r="F6" s="918" t="s">
        <v>4482</v>
      </c>
      <c r="G6" s="918" t="s">
        <v>4480</v>
      </c>
      <c r="H6" s="918" t="s">
        <v>4483</v>
      </c>
      <c r="I6" s="918" t="s">
        <v>2448</v>
      </c>
      <c r="J6" s="919" t="s">
        <v>53</v>
      </c>
      <c r="K6" s="919" t="s">
        <v>54</v>
      </c>
      <c r="L6" s="1228" t="s">
        <v>55</v>
      </c>
      <c r="M6" s="919" t="s">
        <v>56</v>
      </c>
      <c r="N6" s="1228" t="s">
        <v>57</v>
      </c>
      <c r="O6" s="919" t="s">
        <v>58</v>
      </c>
      <c r="P6" s="921" t="s">
        <v>2450</v>
      </c>
      <c r="Q6" s="922" t="s">
        <v>4515</v>
      </c>
    </row>
    <row r="7" spans="1:19" s="871" customFormat="1">
      <c r="A7" s="165"/>
      <c r="B7" s="165"/>
      <c r="C7" s="165" t="s">
        <v>3818</v>
      </c>
      <c r="D7" s="165"/>
      <c r="E7" s="165"/>
      <c r="F7" s="165"/>
      <c r="G7" s="165"/>
      <c r="H7" s="165"/>
      <c r="I7" s="165"/>
      <c r="J7" s="165"/>
      <c r="K7" s="165"/>
      <c r="L7" s="165"/>
      <c r="M7" s="165"/>
      <c r="N7" s="1800">
        <f>N8+N38+N51+N70+N77+N91+N118+N120+N174+N195+N204+N207+N210+N223+N227+N230+N270+N273</f>
        <v>0</v>
      </c>
      <c r="O7" s="165"/>
      <c r="P7" s="165"/>
      <c r="Q7" s="207">
        <f>Q8+Q38+Q51+Q70+Q77+Q91+Q118+Q120+Q174+Q195+Q204+Q207+Q210+Q223+Q227+Q230+Q270+Q273</f>
        <v>0</v>
      </c>
    </row>
    <row r="8" spans="1:19">
      <c r="A8" s="165" t="s">
        <v>3034</v>
      </c>
      <c r="B8" s="165"/>
      <c r="C8" s="165" t="s">
        <v>0</v>
      </c>
      <c r="D8" s="165"/>
      <c r="E8" s="165"/>
      <c r="F8" s="165"/>
      <c r="G8" s="165"/>
      <c r="H8" s="165"/>
      <c r="I8" s="165"/>
      <c r="J8" s="165"/>
      <c r="K8" s="165"/>
      <c r="L8" s="165"/>
      <c r="M8" s="165"/>
      <c r="N8" s="1800">
        <f>N9+N33+N30</f>
        <v>0</v>
      </c>
      <c r="O8" s="165"/>
      <c r="P8" s="165"/>
      <c r="Q8" s="207">
        <f>Q9+Q33+Q30</f>
        <v>0</v>
      </c>
    </row>
    <row r="9" spans="1:19">
      <c r="A9" s="872" t="s">
        <v>3035</v>
      </c>
      <c r="B9" s="872"/>
      <c r="C9" s="872" t="s">
        <v>1</v>
      </c>
      <c r="D9" s="872"/>
      <c r="E9" s="872"/>
      <c r="F9" s="872"/>
      <c r="G9" s="872"/>
      <c r="H9" s="872"/>
      <c r="I9" s="872"/>
      <c r="J9" s="872"/>
      <c r="K9" s="872"/>
      <c r="L9" s="872"/>
      <c r="M9" s="872"/>
      <c r="N9" s="1801">
        <f>N10+N18</f>
        <v>0</v>
      </c>
      <c r="O9" s="872"/>
      <c r="P9" s="872"/>
      <c r="Q9" s="208">
        <f>Q10+Q18</f>
        <v>0</v>
      </c>
    </row>
    <row r="10" spans="1:19">
      <c r="A10" s="88" t="s">
        <v>3036</v>
      </c>
      <c r="B10" s="874" t="s">
        <v>2850</v>
      </c>
      <c r="C10" s="874" t="s">
        <v>2851</v>
      </c>
      <c r="D10" s="874"/>
      <c r="E10" s="589"/>
      <c r="F10" s="589"/>
      <c r="G10" s="589"/>
      <c r="H10" s="589"/>
      <c r="I10" s="589"/>
      <c r="J10" s="589"/>
      <c r="K10" s="1494"/>
      <c r="L10" s="297">
        <f t="shared" ref="L10:L50" si="0">K10/100000</f>
        <v>0</v>
      </c>
      <c r="M10" s="277"/>
      <c r="N10" s="1802">
        <f>SUM(N11:N17)</f>
        <v>0</v>
      </c>
      <c r="O10" s="590"/>
      <c r="P10" s="1133"/>
      <c r="Q10" s="210">
        <f>SUM(Q11:Q17)</f>
        <v>0</v>
      </c>
    </row>
    <row r="11" spans="1:19">
      <c r="A11" s="88" t="s">
        <v>4575</v>
      </c>
      <c r="B11" s="874"/>
      <c r="C11" s="875" t="s">
        <v>5076</v>
      </c>
      <c r="D11" s="874" t="s">
        <v>288</v>
      </c>
      <c r="E11" s="589"/>
      <c r="F11" s="589"/>
      <c r="G11" s="589"/>
      <c r="H11" s="589"/>
      <c r="I11" s="589"/>
      <c r="J11" s="589"/>
      <c r="K11" s="1494"/>
      <c r="L11" s="297">
        <f t="shared" si="0"/>
        <v>0</v>
      </c>
      <c r="M11" s="277"/>
      <c r="N11" s="1802">
        <f t="shared" ref="N11:N17" si="1">L11*M11</f>
        <v>0</v>
      </c>
      <c r="O11" s="590"/>
      <c r="P11" s="1133">
        <f>'Abs8. IDSP'!Q40</f>
        <v>0</v>
      </c>
      <c r="Q11" s="1134">
        <f>'Abs8. IDSP'!R40</f>
        <v>0</v>
      </c>
    </row>
    <row r="12" spans="1:19">
      <c r="A12" s="88" t="s">
        <v>4576</v>
      </c>
      <c r="B12" s="874"/>
      <c r="C12" s="875" t="s">
        <v>4973</v>
      </c>
      <c r="D12" s="874" t="s">
        <v>109</v>
      </c>
      <c r="E12" s="589"/>
      <c r="F12" s="589"/>
      <c r="G12" s="589"/>
      <c r="H12" s="589"/>
      <c r="I12" s="589"/>
      <c r="J12" s="589"/>
      <c r="K12" s="1494"/>
      <c r="L12" s="297">
        <f t="shared" si="0"/>
        <v>0</v>
      </c>
      <c r="M12" s="277"/>
      <c r="N12" s="1802">
        <f t="shared" si="1"/>
        <v>0</v>
      </c>
      <c r="O12" s="590"/>
      <c r="P12" s="1133">
        <f>'Abs9. NVBDCP'!Q140</f>
        <v>0</v>
      </c>
      <c r="Q12" s="1134">
        <f>'Abs9. NVBDCP'!R140</f>
        <v>0</v>
      </c>
    </row>
    <row r="13" spans="1:19">
      <c r="A13" s="88" t="s">
        <v>4577</v>
      </c>
      <c r="B13" s="874"/>
      <c r="C13" s="875" t="s">
        <v>4975</v>
      </c>
      <c r="D13" s="874" t="s">
        <v>141</v>
      </c>
      <c r="E13" s="589"/>
      <c r="F13" s="589"/>
      <c r="G13" s="589"/>
      <c r="H13" s="589"/>
      <c r="I13" s="589"/>
      <c r="J13" s="589"/>
      <c r="K13" s="1494"/>
      <c r="L13" s="297">
        <f t="shared" si="0"/>
        <v>0</v>
      </c>
      <c r="M13" s="277"/>
      <c r="N13" s="1802">
        <f t="shared" si="1"/>
        <v>0</v>
      </c>
      <c r="O13" s="590"/>
      <c r="P13" s="1133">
        <f>'Abs10. NLEP'!Q52</f>
        <v>0</v>
      </c>
      <c r="Q13" s="1134">
        <f>'Abs10. NLEP'!R52</f>
        <v>0</v>
      </c>
    </row>
    <row r="14" spans="1:19">
      <c r="A14" s="88" t="s">
        <v>4578</v>
      </c>
      <c r="B14" s="874"/>
      <c r="C14" s="875" t="s">
        <v>4974</v>
      </c>
      <c r="D14" s="874" t="s">
        <v>4525</v>
      </c>
      <c r="E14" s="589"/>
      <c r="F14" s="589"/>
      <c r="G14" s="589"/>
      <c r="H14" s="589"/>
      <c r="I14" s="589"/>
      <c r="J14" s="589"/>
      <c r="K14" s="1494"/>
      <c r="L14" s="297">
        <f t="shared" si="0"/>
        <v>0</v>
      </c>
      <c r="M14" s="277"/>
      <c r="N14" s="1802">
        <f t="shared" si="1"/>
        <v>0</v>
      </c>
      <c r="O14" s="590"/>
      <c r="P14" s="1133">
        <f>'Abs11. NTEP'!Q69</f>
        <v>0</v>
      </c>
      <c r="Q14" s="1134">
        <f>'Abs11. NTEP'!R69</f>
        <v>0</v>
      </c>
    </row>
    <row r="15" spans="1:19">
      <c r="A15" s="88" t="s">
        <v>5088</v>
      </c>
      <c r="B15" s="874"/>
      <c r="C15" s="875" t="s">
        <v>4978</v>
      </c>
      <c r="D15" s="874" t="s">
        <v>3223</v>
      </c>
      <c r="E15" s="589"/>
      <c r="F15" s="589"/>
      <c r="G15" s="589"/>
      <c r="H15" s="589"/>
      <c r="I15" s="589"/>
      <c r="J15" s="589"/>
      <c r="K15" s="1494"/>
      <c r="L15" s="297">
        <f t="shared" si="0"/>
        <v>0</v>
      </c>
      <c r="M15" s="277"/>
      <c r="N15" s="1802">
        <f t="shared" si="1"/>
        <v>0</v>
      </c>
      <c r="O15" s="590"/>
      <c r="P15" s="1133">
        <f>'Abs12. NVHCP'!Q50</f>
        <v>0</v>
      </c>
      <c r="Q15" s="1134">
        <f>'Abs12. NVHCP'!R50</f>
        <v>0</v>
      </c>
    </row>
    <row r="16" spans="1:19">
      <c r="A16" s="88" t="s">
        <v>5089</v>
      </c>
      <c r="B16" s="874"/>
      <c r="C16" s="875" t="s">
        <v>4976</v>
      </c>
      <c r="D16" s="874" t="s">
        <v>3855</v>
      </c>
      <c r="E16" s="589"/>
      <c r="F16" s="589"/>
      <c r="G16" s="589"/>
      <c r="H16" s="589"/>
      <c r="I16" s="589"/>
      <c r="J16" s="589"/>
      <c r="K16" s="1494"/>
      <c r="L16" s="297">
        <f t="shared" si="0"/>
        <v>0</v>
      </c>
      <c r="M16" s="277"/>
      <c r="N16" s="1802">
        <f t="shared" si="1"/>
        <v>0</v>
      </c>
      <c r="O16" s="590"/>
      <c r="P16" s="1133">
        <f>'Abs13. NRCP'!Q22</f>
        <v>0</v>
      </c>
      <c r="Q16" s="1134">
        <f>'Abs13. NRCP'!R22</f>
        <v>0</v>
      </c>
    </row>
    <row r="17" spans="1:17">
      <c r="A17" s="88" t="s">
        <v>5090</v>
      </c>
      <c r="B17" s="874"/>
      <c r="C17" s="875" t="s">
        <v>5077</v>
      </c>
      <c r="D17" s="874" t="s">
        <v>4405</v>
      </c>
      <c r="E17" s="589"/>
      <c r="F17" s="589"/>
      <c r="G17" s="589"/>
      <c r="H17" s="589"/>
      <c r="I17" s="589"/>
      <c r="J17" s="589"/>
      <c r="K17" s="1494"/>
      <c r="L17" s="297">
        <f t="shared" si="0"/>
        <v>0</v>
      </c>
      <c r="M17" s="277"/>
      <c r="N17" s="1802">
        <f t="shared" si="1"/>
        <v>0</v>
      </c>
      <c r="O17" s="590"/>
      <c r="P17" s="1133">
        <f>'Abs14. PPCL'!Q23</f>
        <v>0</v>
      </c>
      <c r="Q17" s="1134">
        <f>'Abs14. PPCL'!R23</f>
        <v>0</v>
      </c>
    </row>
    <row r="18" spans="1:17" ht="30">
      <c r="A18" s="88" t="s">
        <v>3037</v>
      </c>
      <c r="B18" s="874"/>
      <c r="C18" s="874" t="s">
        <v>2852</v>
      </c>
      <c r="D18" s="874"/>
      <c r="E18" s="589"/>
      <c r="F18" s="589"/>
      <c r="G18" s="589"/>
      <c r="H18" s="589"/>
      <c r="I18" s="589"/>
      <c r="J18" s="589"/>
      <c r="K18" s="1494"/>
      <c r="L18" s="297">
        <f t="shared" si="0"/>
        <v>0</v>
      </c>
      <c r="M18" s="277"/>
      <c r="N18" s="1802">
        <f>SUM(N19:N29)</f>
        <v>0</v>
      </c>
      <c r="O18" s="590"/>
      <c r="P18" s="1133"/>
      <c r="Q18" s="1802">
        <f>SUM(Q19:Q29)</f>
        <v>0</v>
      </c>
    </row>
    <row r="19" spans="1:17">
      <c r="A19" s="88" t="s">
        <v>4983</v>
      </c>
      <c r="B19" s="874"/>
      <c r="C19" s="874" t="s">
        <v>5078</v>
      </c>
      <c r="D19" s="874" t="s">
        <v>81</v>
      </c>
      <c r="E19" s="589"/>
      <c r="F19" s="589"/>
      <c r="G19" s="589"/>
      <c r="H19" s="589"/>
      <c r="I19" s="589"/>
      <c r="J19" s="589"/>
      <c r="K19" s="1494"/>
      <c r="L19" s="297">
        <f t="shared" si="0"/>
        <v>0</v>
      </c>
      <c r="M19" s="277"/>
      <c r="N19" s="1802">
        <f t="shared" ref="N19:N29" si="2">L19*M19</f>
        <v>0</v>
      </c>
      <c r="O19" s="590"/>
      <c r="P19" s="590"/>
      <c r="Q19" s="807"/>
    </row>
    <row r="20" spans="1:17">
      <c r="A20" s="88" t="s">
        <v>4984</v>
      </c>
      <c r="B20" s="874"/>
      <c r="C20" s="874" t="s">
        <v>4979</v>
      </c>
      <c r="D20" s="874" t="s">
        <v>145</v>
      </c>
      <c r="E20" s="589"/>
      <c r="F20" s="589"/>
      <c r="G20" s="589"/>
      <c r="H20" s="589"/>
      <c r="I20" s="589"/>
      <c r="J20" s="589"/>
      <c r="K20" s="1494"/>
      <c r="L20" s="297">
        <f t="shared" si="0"/>
        <v>0</v>
      </c>
      <c r="M20" s="277"/>
      <c r="N20" s="1802">
        <f t="shared" si="2"/>
        <v>0</v>
      </c>
      <c r="O20" s="590"/>
      <c r="P20" s="590"/>
      <c r="Q20" s="807"/>
    </row>
    <row r="21" spans="1:17">
      <c r="A21" s="88" t="s">
        <v>4985</v>
      </c>
      <c r="B21" s="874"/>
      <c r="C21" s="874" t="s">
        <v>4981</v>
      </c>
      <c r="D21" s="874" t="s">
        <v>394</v>
      </c>
      <c r="E21" s="589"/>
      <c r="F21" s="589"/>
      <c r="G21" s="589"/>
      <c r="H21" s="589"/>
      <c r="I21" s="589"/>
      <c r="J21" s="589"/>
      <c r="K21" s="1494"/>
      <c r="L21" s="297">
        <f t="shared" si="0"/>
        <v>0</v>
      </c>
      <c r="M21" s="277"/>
      <c r="N21" s="1802">
        <f t="shared" si="2"/>
        <v>0</v>
      </c>
      <c r="O21" s="590"/>
      <c r="P21" s="590"/>
      <c r="Q21" s="807"/>
    </row>
    <row r="22" spans="1:17">
      <c r="A22" s="88" t="s">
        <v>4986</v>
      </c>
      <c r="B22" s="874"/>
      <c r="C22" s="874" t="s">
        <v>4980</v>
      </c>
      <c r="D22" s="874" t="s">
        <v>147</v>
      </c>
      <c r="E22" s="589"/>
      <c r="F22" s="589"/>
      <c r="G22" s="589"/>
      <c r="H22" s="589"/>
      <c r="I22" s="589"/>
      <c r="J22" s="589"/>
      <c r="K22" s="1494"/>
      <c r="L22" s="297">
        <f t="shared" si="0"/>
        <v>0</v>
      </c>
      <c r="M22" s="277"/>
      <c r="N22" s="1802">
        <f t="shared" si="2"/>
        <v>0</v>
      </c>
      <c r="O22" s="590"/>
      <c r="P22" s="590"/>
      <c r="Q22" s="807"/>
    </row>
    <row r="23" spans="1:17">
      <c r="A23" s="88" t="s">
        <v>4987</v>
      </c>
      <c r="B23" s="874"/>
      <c r="C23" s="874" t="s">
        <v>4982</v>
      </c>
      <c r="D23" s="874" t="s">
        <v>410</v>
      </c>
      <c r="E23" s="589"/>
      <c r="F23" s="589"/>
      <c r="G23" s="589"/>
      <c r="H23" s="589"/>
      <c r="I23" s="589"/>
      <c r="J23" s="589"/>
      <c r="K23" s="1494"/>
      <c r="L23" s="297">
        <f t="shared" si="0"/>
        <v>0</v>
      </c>
      <c r="M23" s="277"/>
      <c r="N23" s="1802">
        <f t="shared" si="2"/>
        <v>0</v>
      </c>
      <c r="O23" s="590"/>
      <c r="P23" s="590"/>
      <c r="Q23" s="807"/>
    </row>
    <row r="24" spans="1:17">
      <c r="A24" s="88" t="s">
        <v>4988</v>
      </c>
      <c r="B24" s="874"/>
      <c r="C24" s="874" t="s">
        <v>5079</v>
      </c>
      <c r="D24" s="874" t="s">
        <v>4668</v>
      </c>
      <c r="E24" s="589"/>
      <c r="F24" s="589"/>
      <c r="G24" s="589"/>
      <c r="H24" s="589"/>
      <c r="I24" s="589"/>
      <c r="J24" s="589"/>
      <c r="K24" s="1494"/>
      <c r="L24" s="297">
        <f t="shared" si="0"/>
        <v>0</v>
      </c>
      <c r="M24" s="277"/>
      <c r="N24" s="1802">
        <f t="shared" si="2"/>
        <v>0</v>
      </c>
      <c r="O24" s="590"/>
      <c r="P24" s="590"/>
      <c r="Q24" s="807"/>
    </row>
    <row r="25" spans="1:17">
      <c r="A25" s="88" t="s">
        <v>4989</v>
      </c>
      <c r="B25" s="874"/>
      <c r="C25" s="874" t="s">
        <v>5080</v>
      </c>
      <c r="D25" s="874" t="s">
        <v>3989</v>
      </c>
      <c r="E25" s="589"/>
      <c r="F25" s="589"/>
      <c r="G25" s="589"/>
      <c r="H25" s="589"/>
      <c r="I25" s="589"/>
      <c r="J25" s="589"/>
      <c r="K25" s="1494"/>
      <c r="L25" s="297">
        <f t="shared" si="0"/>
        <v>0</v>
      </c>
      <c r="M25" s="277"/>
      <c r="N25" s="1802">
        <f t="shared" si="2"/>
        <v>0</v>
      </c>
      <c r="O25" s="590"/>
      <c r="P25" s="590"/>
      <c r="Q25" s="807"/>
    </row>
    <row r="26" spans="1:17">
      <c r="A26" s="88" t="s">
        <v>5084</v>
      </c>
      <c r="B26" s="874"/>
      <c r="C26" s="874" t="s">
        <v>5081</v>
      </c>
      <c r="D26" s="874" t="s">
        <v>1014</v>
      </c>
      <c r="E26" s="589"/>
      <c r="F26" s="589"/>
      <c r="G26" s="589"/>
      <c r="H26" s="589"/>
      <c r="I26" s="589"/>
      <c r="J26" s="589"/>
      <c r="K26" s="1494"/>
      <c r="L26" s="297">
        <f t="shared" si="0"/>
        <v>0</v>
      </c>
      <c r="M26" s="277"/>
      <c r="N26" s="1802">
        <f t="shared" si="2"/>
        <v>0</v>
      </c>
      <c r="O26" s="590"/>
      <c r="P26" s="590"/>
      <c r="Q26" s="807"/>
    </row>
    <row r="27" spans="1:17">
      <c r="A27" s="88" t="s">
        <v>5085</v>
      </c>
      <c r="B27" s="874"/>
      <c r="C27" s="874" t="s">
        <v>5082</v>
      </c>
      <c r="D27" s="874" t="s">
        <v>1028</v>
      </c>
      <c r="E27" s="589"/>
      <c r="F27" s="589"/>
      <c r="G27" s="589"/>
      <c r="H27" s="589"/>
      <c r="I27" s="589"/>
      <c r="J27" s="589"/>
      <c r="K27" s="1494"/>
      <c r="L27" s="297">
        <f t="shared" si="0"/>
        <v>0</v>
      </c>
      <c r="M27" s="277"/>
      <c r="N27" s="1802">
        <f t="shared" si="2"/>
        <v>0</v>
      </c>
      <c r="O27" s="590"/>
      <c r="P27" s="590"/>
      <c r="Q27" s="807"/>
    </row>
    <row r="28" spans="1:17">
      <c r="A28" s="88" t="s">
        <v>5086</v>
      </c>
      <c r="B28" s="874"/>
      <c r="C28" s="874" t="s">
        <v>5083</v>
      </c>
      <c r="D28" s="874" t="s">
        <v>307</v>
      </c>
      <c r="E28" s="589"/>
      <c r="F28" s="589"/>
      <c r="G28" s="589"/>
      <c r="H28" s="589"/>
      <c r="I28" s="589"/>
      <c r="J28" s="589"/>
      <c r="K28" s="1494"/>
      <c r="L28" s="297">
        <f t="shared" si="0"/>
        <v>0</v>
      </c>
      <c r="M28" s="277"/>
      <c r="N28" s="1802">
        <f t="shared" si="2"/>
        <v>0</v>
      </c>
      <c r="O28" s="590"/>
      <c r="P28" s="590"/>
      <c r="Q28" s="807"/>
    </row>
    <row r="29" spans="1:17">
      <c r="A29" s="88" t="s">
        <v>5087</v>
      </c>
      <c r="B29" s="874"/>
      <c r="C29" s="874" t="s">
        <v>4977</v>
      </c>
      <c r="D29" s="874" t="s">
        <v>309</v>
      </c>
      <c r="E29" s="589"/>
      <c r="F29" s="589"/>
      <c r="G29" s="589"/>
      <c r="H29" s="589"/>
      <c r="I29" s="589"/>
      <c r="J29" s="589"/>
      <c r="K29" s="1494"/>
      <c r="L29" s="297">
        <f t="shared" si="0"/>
        <v>0</v>
      </c>
      <c r="M29" s="277"/>
      <c r="N29" s="1802">
        <f t="shared" si="2"/>
        <v>0</v>
      </c>
      <c r="O29" s="590"/>
      <c r="P29" s="590"/>
      <c r="Q29" s="807"/>
    </row>
    <row r="30" spans="1:17">
      <c r="A30" s="876" t="s">
        <v>3038</v>
      </c>
      <c r="B30" s="877"/>
      <c r="C30" s="878" t="s">
        <v>37</v>
      </c>
      <c r="D30" s="878"/>
      <c r="E30" s="1817"/>
      <c r="F30" s="1817"/>
      <c r="G30" s="1817"/>
      <c r="H30" s="1817"/>
      <c r="I30" s="1817"/>
      <c r="J30" s="1817"/>
      <c r="K30" s="403"/>
      <c r="L30" s="689"/>
      <c r="M30" s="1818"/>
      <c r="N30" s="689">
        <f>N31+N32</f>
        <v>0</v>
      </c>
      <c r="O30" s="596"/>
      <c r="P30" s="596"/>
      <c r="Q30" s="808">
        <f>Q31+Q32</f>
        <v>0</v>
      </c>
    </row>
    <row r="31" spans="1:17">
      <c r="A31" s="575" t="s">
        <v>3039</v>
      </c>
      <c r="B31" s="879"/>
      <c r="C31" s="501" t="s">
        <v>2853</v>
      </c>
      <c r="D31" s="501" t="s">
        <v>113</v>
      </c>
      <c r="E31" s="291"/>
      <c r="F31" s="291"/>
      <c r="G31" s="291"/>
      <c r="H31" s="291"/>
      <c r="I31" s="291"/>
      <c r="J31" s="291"/>
      <c r="K31" s="1494"/>
      <c r="L31" s="297">
        <f t="shared" si="0"/>
        <v>0</v>
      </c>
      <c r="M31" s="277"/>
      <c r="N31" s="1802">
        <f>L31*M31</f>
        <v>0</v>
      </c>
      <c r="O31" s="179"/>
      <c r="P31" s="179"/>
      <c r="Q31" s="809"/>
    </row>
    <row r="32" spans="1:17">
      <c r="A32" s="575" t="s">
        <v>3040</v>
      </c>
      <c r="B32" s="879"/>
      <c r="C32" s="501" t="s">
        <v>2854</v>
      </c>
      <c r="D32" s="501" t="s">
        <v>86</v>
      </c>
      <c r="E32" s="291"/>
      <c r="F32" s="291"/>
      <c r="G32" s="291"/>
      <c r="H32" s="291"/>
      <c r="I32" s="291"/>
      <c r="J32" s="291"/>
      <c r="K32" s="1494"/>
      <c r="L32" s="297">
        <f t="shared" si="0"/>
        <v>0</v>
      </c>
      <c r="M32" s="277"/>
      <c r="N32" s="1802">
        <f>L32*M32</f>
        <v>0</v>
      </c>
      <c r="O32" s="179"/>
      <c r="P32" s="179"/>
      <c r="Q32" s="809"/>
    </row>
    <row r="33" spans="1:17">
      <c r="A33" s="872" t="s">
        <v>3041</v>
      </c>
      <c r="B33" s="872"/>
      <c r="C33" s="872" t="s">
        <v>40</v>
      </c>
      <c r="D33" s="872"/>
      <c r="E33" s="164"/>
      <c r="F33" s="164"/>
      <c r="G33" s="164"/>
      <c r="H33" s="164"/>
      <c r="I33" s="164"/>
      <c r="J33" s="164"/>
      <c r="K33" s="164"/>
      <c r="L33" s="872"/>
      <c r="M33" s="164"/>
      <c r="N33" s="1801">
        <f>SUM(N34:N37)</f>
        <v>0</v>
      </c>
      <c r="O33" s="164"/>
      <c r="P33" s="164"/>
      <c r="Q33" s="208">
        <f>SUM(Q34:Q37)</f>
        <v>0</v>
      </c>
    </row>
    <row r="34" spans="1:17">
      <c r="A34" s="88" t="s">
        <v>3042</v>
      </c>
      <c r="B34" s="88" t="s">
        <v>2855</v>
      </c>
      <c r="C34" s="88" t="s">
        <v>2856</v>
      </c>
      <c r="D34" s="88" t="s">
        <v>5036</v>
      </c>
      <c r="E34" s="54"/>
      <c r="F34" s="54"/>
      <c r="G34" s="54"/>
      <c r="H34" s="54"/>
      <c r="I34" s="54"/>
      <c r="J34" s="54"/>
      <c r="K34" s="1494"/>
      <c r="L34" s="297">
        <f t="shared" si="0"/>
        <v>0</v>
      </c>
      <c r="M34" s="277"/>
      <c r="N34" s="1802">
        <f>L34*M34</f>
        <v>0</v>
      </c>
      <c r="O34" s="54"/>
      <c r="P34" s="54"/>
      <c r="Q34" s="807"/>
    </row>
    <row r="35" spans="1:17" ht="30">
      <c r="A35" s="88" t="s">
        <v>3043</v>
      </c>
      <c r="B35" s="88" t="s">
        <v>2857</v>
      </c>
      <c r="C35" s="88" t="s">
        <v>2858</v>
      </c>
      <c r="D35" s="88" t="s">
        <v>5036</v>
      </c>
      <c r="E35" s="54"/>
      <c r="F35" s="54"/>
      <c r="G35" s="54"/>
      <c r="H35" s="54"/>
      <c r="I35" s="54"/>
      <c r="J35" s="54"/>
      <c r="K35" s="1494"/>
      <c r="L35" s="297">
        <f t="shared" ref="L35:L37" si="3">K35/100000</f>
        <v>0</v>
      </c>
      <c r="M35" s="277"/>
      <c r="N35" s="1802">
        <f>L35*M35</f>
        <v>0</v>
      </c>
      <c r="O35" s="54"/>
      <c r="P35" s="54"/>
      <c r="Q35" s="807"/>
    </row>
    <row r="36" spans="1:17">
      <c r="A36" s="88" t="s">
        <v>3044</v>
      </c>
      <c r="B36" s="88" t="s">
        <v>2859</v>
      </c>
      <c r="C36" s="88" t="s">
        <v>2860</v>
      </c>
      <c r="D36" s="88" t="s">
        <v>5036</v>
      </c>
      <c r="E36" s="54"/>
      <c r="F36" s="54"/>
      <c r="G36" s="54"/>
      <c r="H36" s="54"/>
      <c r="I36" s="54"/>
      <c r="J36" s="54"/>
      <c r="K36" s="1494"/>
      <c r="L36" s="297">
        <f t="shared" si="3"/>
        <v>0</v>
      </c>
      <c r="M36" s="277"/>
      <c r="N36" s="1802">
        <f>L36*M36</f>
        <v>0</v>
      </c>
      <c r="O36" s="54"/>
      <c r="P36" s="54"/>
      <c r="Q36" s="807"/>
    </row>
    <row r="37" spans="1:17">
      <c r="A37" s="88" t="s">
        <v>3045</v>
      </c>
      <c r="B37" s="158"/>
      <c r="C37" s="874" t="s">
        <v>302</v>
      </c>
      <c r="D37" s="88" t="s">
        <v>5036</v>
      </c>
      <c r="E37" s="155"/>
      <c r="F37" s="155"/>
      <c r="G37" s="155"/>
      <c r="H37" s="155"/>
      <c r="I37" s="155"/>
      <c r="J37" s="155"/>
      <c r="K37" s="1494"/>
      <c r="L37" s="297">
        <f t="shared" si="3"/>
        <v>0</v>
      </c>
      <c r="M37" s="277"/>
      <c r="N37" s="1802">
        <f>L37*M37</f>
        <v>0</v>
      </c>
      <c r="O37" s="54"/>
      <c r="P37" s="54"/>
      <c r="Q37" s="807"/>
    </row>
    <row r="38" spans="1:17">
      <c r="A38" s="165" t="s">
        <v>3046</v>
      </c>
      <c r="B38" s="165"/>
      <c r="C38" s="165" t="s">
        <v>2</v>
      </c>
      <c r="D38" s="165"/>
      <c r="E38" s="101"/>
      <c r="F38" s="101"/>
      <c r="G38" s="101"/>
      <c r="H38" s="101"/>
      <c r="I38" s="101"/>
      <c r="J38" s="101"/>
      <c r="K38" s="101"/>
      <c r="L38" s="165"/>
      <c r="M38" s="101"/>
      <c r="N38" s="1800">
        <f>N39+N42+N45</f>
        <v>0</v>
      </c>
      <c r="O38" s="101"/>
      <c r="P38" s="101"/>
      <c r="Q38" s="207">
        <f>Q39+Q42+Q45</f>
        <v>0</v>
      </c>
    </row>
    <row r="39" spans="1:17">
      <c r="A39" s="872" t="s">
        <v>3047</v>
      </c>
      <c r="B39" s="872"/>
      <c r="C39" s="872" t="s">
        <v>3</v>
      </c>
      <c r="D39" s="872"/>
      <c r="E39" s="164"/>
      <c r="F39" s="164"/>
      <c r="G39" s="164"/>
      <c r="H39" s="164"/>
      <c r="I39" s="164"/>
      <c r="J39" s="164"/>
      <c r="K39" s="164"/>
      <c r="L39" s="872"/>
      <c r="M39" s="164"/>
      <c r="N39" s="1801">
        <f>SUM(N40:N41)</f>
        <v>0</v>
      </c>
      <c r="O39" s="164"/>
      <c r="P39" s="164"/>
      <c r="Q39" s="208">
        <f>SUM(Q40:Q41)</f>
        <v>0</v>
      </c>
    </row>
    <row r="40" spans="1:17" ht="30">
      <c r="A40" s="88" t="s">
        <v>3048</v>
      </c>
      <c r="B40" s="88" t="s">
        <v>2861</v>
      </c>
      <c r="C40" s="88" t="s">
        <v>2862</v>
      </c>
      <c r="D40" s="88" t="s">
        <v>5036</v>
      </c>
      <c r="E40" s="54"/>
      <c r="F40" s="54"/>
      <c r="G40" s="54"/>
      <c r="H40" s="54"/>
      <c r="I40" s="54"/>
      <c r="J40" s="54"/>
      <c r="K40" s="1494"/>
      <c r="L40" s="297">
        <f t="shared" si="0"/>
        <v>0</v>
      </c>
      <c r="M40" s="277"/>
      <c r="N40" s="1802">
        <f>L40*M40</f>
        <v>0</v>
      </c>
      <c r="O40" s="54"/>
      <c r="P40" s="54"/>
      <c r="Q40" s="807"/>
    </row>
    <row r="41" spans="1:17">
      <c r="A41" s="88" t="s">
        <v>3049</v>
      </c>
      <c r="B41" s="158"/>
      <c r="C41" s="874" t="s">
        <v>302</v>
      </c>
      <c r="D41" s="88" t="s">
        <v>5036</v>
      </c>
      <c r="E41" s="155"/>
      <c r="F41" s="155"/>
      <c r="G41" s="155"/>
      <c r="H41" s="155"/>
      <c r="I41" s="155"/>
      <c r="J41" s="155"/>
      <c r="K41" s="1494"/>
      <c r="L41" s="297">
        <f t="shared" si="0"/>
        <v>0</v>
      </c>
      <c r="M41" s="277"/>
      <c r="N41" s="1802">
        <f>L41*M41</f>
        <v>0</v>
      </c>
      <c r="O41" s="54"/>
      <c r="P41" s="54"/>
      <c r="Q41" s="807"/>
    </row>
    <row r="42" spans="1:17">
      <c r="A42" s="872" t="s">
        <v>3050</v>
      </c>
      <c r="B42" s="872"/>
      <c r="C42" s="872" t="s">
        <v>4</v>
      </c>
      <c r="D42" s="872"/>
      <c r="E42" s="164"/>
      <c r="F42" s="164"/>
      <c r="G42" s="164"/>
      <c r="H42" s="164"/>
      <c r="I42" s="164"/>
      <c r="J42" s="164"/>
      <c r="K42" s="164"/>
      <c r="L42" s="872"/>
      <c r="M42" s="164"/>
      <c r="N42" s="1801">
        <f>SUM(N43:N44)</f>
        <v>0</v>
      </c>
      <c r="O42" s="164"/>
      <c r="P42" s="164"/>
      <c r="Q42" s="208">
        <f>SUM(Q43:Q44)</f>
        <v>0</v>
      </c>
    </row>
    <row r="43" spans="1:17">
      <c r="A43" s="88" t="s">
        <v>3051</v>
      </c>
      <c r="B43" s="88" t="s">
        <v>2863</v>
      </c>
      <c r="C43" s="88" t="s">
        <v>2864</v>
      </c>
      <c r="D43" s="88" t="s">
        <v>5036</v>
      </c>
      <c r="E43" s="54"/>
      <c r="F43" s="54"/>
      <c r="G43" s="54"/>
      <c r="H43" s="54"/>
      <c r="I43" s="54"/>
      <c r="J43" s="54"/>
      <c r="K43" s="1494"/>
      <c r="L43" s="297">
        <f t="shared" si="0"/>
        <v>0</v>
      </c>
      <c r="M43" s="277"/>
      <c r="N43" s="1802">
        <f>L43*M43</f>
        <v>0</v>
      </c>
      <c r="O43" s="54"/>
      <c r="P43" s="54"/>
      <c r="Q43" s="807"/>
    </row>
    <row r="44" spans="1:17">
      <c r="A44" s="88" t="s">
        <v>3052</v>
      </c>
      <c r="B44" s="88"/>
      <c r="C44" s="88" t="s">
        <v>302</v>
      </c>
      <c r="D44" s="88" t="s">
        <v>5036</v>
      </c>
      <c r="E44" s="54"/>
      <c r="F44" s="54"/>
      <c r="G44" s="54"/>
      <c r="H44" s="54"/>
      <c r="I44" s="54"/>
      <c r="J44" s="54"/>
      <c r="K44" s="1494"/>
      <c r="L44" s="297">
        <f t="shared" si="0"/>
        <v>0</v>
      </c>
      <c r="M44" s="277"/>
      <c r="N44" s="1802">
        <f>L44*M44</f>
        <v>0</v>
      </c>
      <c r="O44" s="54"/>
      <c r="P44" s="54"/>
      <c r="Q44" s="807"/>
    </row>
    <row r="45" spans="1:17">
      <c r="A45" s="872" t="s">
        <v>3053</v>
      </c>
      <c r="B45" s="872"/>
      <c r="C45" s="872" t="s">
        <v>5</v>
      </c>
      <c r="D45" s="872"/>
      <c r="E45" s="164"/>
      <c r="F45" s="164"/>
      <c r="G45" s="164"/>
      <c r="H45" s="164"/>
      <c r="I45" s="164"/>
      <c r="J45" s="164"/>
      <c r="K45" s="164"/>
      <c r="L45" s="872"/>
      <c r="M45" s="164"/>
      <c r="N45" s="1801">
        <f>SUM(N46:N50)</f>
        <v>0</v>
      </c>
      <c r="O45" s="164"/>
      <c r="P45" s="164"/>
      <c r="Q45" s="208">
        <f>SUM(Q46:Q50)</f>
        <v>0</v>
      </c>
    </row>
    <row r="46" spans="1:17">
      <c r="A46" s="88" t="s">
        <v>3054</v>
      </c>
      <c r="B46" s="88" t="s">
        <v>2865</v>
      </c>
      <c r="C46" s="88" t="s">
        <v>2866</v>
      </c>
      <c r="D46" s="88" t="s">
        <v>5036</v>
      </c>
      <c r="E46" s="54"/>
      <c r="F46" s="54"/>
      <c r="G46" s="54"/>
      <c r="H46" s="54"/>
      <c r="I46" s="54"/>
      <c r="J46" s="54"/>
      <c r="K46" s="1494"/>
      <c r="L46" s="297">
        <f t="shared" si="0"/>
        <v>0</v>
      </c>
      <c r="M46" s="277"/>
      <c r="N46" s="1802">
        <f>L46*M46</f>
        <v>0</v>
      </c>
      <c r="O46" s="54"/>
      <c r="P46" s="54"/>
      <c r="Q46" s="807"/>
    </row>
    <row r="47" spans="1:17" ht="45">
      <c r="A47" s="88" t="s">
        <v>3055</v>
      </c>
      <c r="B47" s="88" t="s">
        <v>2867</v>
      </c>
      <c r="C47" s="88" t="s">
        <v>4990</v>
      </c>
      <c r="D47" s="88" t="s">
        <v>5036</v>
      </c>
      <c r="E47" s="54"/>
      <c r="F47" s="54"/>
      <c r="G47" s="54"/>
      <c r="H47" s="54"/>
      <c r="I47" s="54"/>
      <c r="J47" s="54"/>
      <c r="K47" s="1494"/>
      <c r="L47" s="297">
        <f t="shared" si="0"/>
        <v>0</v>
      </c>
      <c r="M47" s="277"/>
      <c r="N47" s="1802">
        <f>L47*M47</f>
        <v>0</v>
      </c>
      <c r="O47" s="54"/>
      <c r="P47" s="54"/>
      <c r="Q47" s="807"/>
    </row>
    <row r="48" spans="1:17" s="861" customFormat="1" ht="30">
      <c r="A48" s="107" t="s">
        <v>3056</v>
      </c>
      <c r="B48" s="107" t="s">
        <v>2990</v>
      </c>
      <c r="C48" s="107" t="s">
        <v>2991</v>
      </c>
      <c r="D48" s="88" t="s">
        <v>5036</v>
      </c>
      <c r="E48" s="178"/>
      <c r="F48" s="178"/>
      <c r="G48" s="178"/>
      <c r="H48" s="178"/>
      <c r="I48" s="178"/>
      <c r="J48" s="178"/>
      <c r="K48" s="1494"/>
      <c r="L48" s="297">
        <f t="shared" si="0"/>
        <v>0</v>
      </c>
      <c r="M48" s="277"/>
      <c r="N48" s="234">
        <f>L48*M48</f>
        <v>0</v>
      </c>
      <c r="O48" s="108"/>
      <c r="P48" s="108"/>
      <c r="Q48" s="809"/>
    </row>
    <row r="49" spans="1:17" s="861" customFormat="1">
      <c r="A49" s="107" t="s">
        <v>4417</v>
      </c>
      <c r="B49" s="107"/>
      <c r="C49" s="107" t="s">
        <v>4422</v>
      </c>
      <c r="D49" s="107" t="s">
        <v>5037</v>
      </c>
      <c r="E49" s="178"/>
      <c r="F49" s="178"/>
      <c r="G49" s="178"/>
      <c r="H49" s="178"/>
      <c r="I49" s="178"/>
      <c r="J49" s="178"/>
      <c r="K49" s="1494"/>
      <c r="L49" s="297">
        <f t="shared" si="0"/>
        <v>0</v>
      </c>
      <c r="M49" s="277"/>
      <c r="N49" s="234">
        <f>L49*M49</f>
        <v>0</v>
      </c>
      <c r="O49" s="108"/>
      <c r="P49" s="108"/>
      <c r="Q49" s="809"/>
    </row>
    <row r="50" spans="1:17">
      <c r="A50" s="860" t="s">
        <v>4421</v>
      </c>
      <c r="B50" s="158"/>
      <c r="C50" s="874" t="s">
        <v>302</v>
      </c>
      <c r="D50" s="874"/>
      <c r="E50" s="155"/>
      <c r="F50" s="155"/>
      <c r="G50" s="155"/>
      <c r="H50" s="155"/>
      <c r="I50" s="155"/>
      <c r="J50" s="155"/>
      <c r="K50" s="1494"/>
      <c r="L50" s="297">
        <f t="shared" si="0"/>
        <v>0</v>
      </c>
      <c r="M50" s="277"/>
      <c r="N50" s="234">
        <f>L50*M50</f>
        <v>0</v>
      </c>
      <c r="O50" s="54"/>
      <c r="P50" s="54"/>
      <c r="Q50" s="807"/>
    </row>
    <row r="51" spans="1:17">
      <c r="A51" s="165" t="s">
        <v>3057</v>
      </c>
      <c r="B51" s="165"/>
      <c r="C51" s="165" t="s">
        <v>6</v>
      </c>
      <c r="D51" s="165"/>
      <c r="E51" s="101"/>
      <c r="F51" s="101"/>
      <c r="G51" s="101"/>
      <c r="H51" s="101"/>
      <c r="I51" s="101"/>
      <c r="J51" s="101"/>
      <c r="K51" s="101"/>
      <c r="L51" s="165"/>
      <c r="M51" s="101"/>
      <c r="N51" s="1800">
        <f>N52+N64</f>
        <v>0</v>
      </c>
      <c r="O51" s="101"/>
      <c r="P51" s="101"/>
      <c r="Q51" s="207">
        <f>Q52+Q64</f>
        <v>0</v>
      </c>
    </row>
    <row r="52" spans="1:17">
      <c r="A52" s="872" t="s">
        <v>3058</v>
      </c>
      <c r="B52" s="872"/>
      <c r="C52" s="872" t="s">
        <v>7</v>
      </c>
      <c r="D52" s="872"/>
      <c r="E52" s="164"/>
      <c r="F52" s="164"/>
      <c r="G52" s="164"/>
      <c r="H52" s="164"/>
      <c r="I52" s="164"/>
      <c r="J52" s="164"/>
      <c r="K52" s="164"/>
      <c r="L52" s="872"/>
      <c r="M52" s="164"/>
      <c r="N52" s="1801">
        <f>N53+N57+N60</f>
        <v>0</v>
      </c>
      <c r="O52" s="164"/>
      <c r="P52" s="164"/>
      <c r="Q52" s="208">
        <f>Q53+Q57+Q60</f>
        <v>0</v>
      </c>
    </row>
    <row r="53" spans="1:17">
      <c r="A53" s="880" t="s">
        <v>3059</v>
      </c>
      <c r="B53" s="880" t="s">
        <v>2868</v>
      </c>
      <c r="C53" s="880" t="s">
        <v>2869</v>
      </c>
      <c r="D53" s="880"/>
      <c r="E53" s="102"/>
      <c r="F53" s="102"/>
      <c r="G53" s="102"/>
      <c r="H53" s="102"/>
      <c r="I53" s="102"/>
      <c r="J53" s="102"/>
      <c r="K53" s="102"/>
      <c r="L53" s="880"/>
      <c r="M53" s="102"/>
      <c r="N53" s="1154">
        <f>SUM(N54:N56)</f>
        <v>0</v>
      </c>
      <c r="O53" s="102"/>
      <c r="P53" s="102"/>
      <c r="Q53" s="209">
        <f>SUM(Q54:Q56)</f>
        <v>0</v>
      </c>
    </row>
    <row r="54" spans="1:17">
      <c r="A54" s="88" t="s">
        <v>3060</v>
      </c>
      <c r="B54" s="88" t="s">
        <v>2870</v>
      </c>
      <c r="C54" s="88" t="s">
        <v>2871</v>
      </c>
      <c r="D54" s="88" t="s">
        <v>5038</v>
      </c>
      <c r="E54" s="54"/>
      <c r="F54" s="54"/>
      <c r="G54" s="54"/>
      <c r="H54" s="54"/>
      <c r="I54" s="54"/>
      <c r="J54" s="54"/>
      <c r="K54" s="1494"/>
      <c r="L54" s="297">
        <f t="shared" ref="L54:L56" si="4">K54/100000</f>
        <v>0</v>
      </c>
      <c r="M54" s="277"/>
      <c r="N54" s="1802">
        <f>L54*M54</f>
        <v>0</v>
      </c>
      <c r="O54" s="54"/>
      <c r="P54" s="54"/>
      <c r="Q54" s="807"/>
    </row>
    <row r="55" spans="1:17" ht="30">
      <c r="A55" s="88" t="s">
        <v>3061</v>
      </c>
      <c r="B55" s="88"/>
      <c r="C55" s="88" t="s">
        <v>3756</v>
      </c>
      <c r="D55" s="88" t="s">
        <v>5038</v>
      </c>
      <c r="E55" s="54"/>
      <c r="F55" s="54"/>
      <c r="G55" s="54"/>
      <c r="H55" s="54"/>
      <c r="I55" s="54"/>
      <c r="J55" s="54"/>
      <c r="K55" s="1494"/>
      <c r="L55" s="297">
        <f t="shared" si="4"/>
        <v>0</v>
      </c>
      <c r="M55" s="277"/>
      <c r="N55" s="1802">
        <f>L55*M55</f>
        <v>0</v>
      </c>
      <c r="O55" s="54"/>
      <c r="P55" s="54"/>
      <c r="Q55" s="807"/>
    </row>
    <row r="56" spans="1:17">
      <c r="A56" s="88" t="s">
        <v>3062</v>
      </c>
      <c r="B56" s="88" t="s">
        <v>2872</v>
      </c>
      <c r="C56" s="88" t="s">
        <v>2873</v>
      </c>
      <c r="D56" s="88" t="s">
        <v>5038</v>
      </c>
      <c r="E56" s="54"/>
      <c r="F56" s="54"/>
      <c r="G56" s="54"/>
      <c r="H56" s="54"/>
      <c r="I56" s="54"/>
      <c r="J56" s="54"/>
      <c r="K56" s="1494"/>
      <c r="L56" s="297">
        <f t="shared" si="4"/>
        <v>0</v>
      </c>
      <c r="M56" s="277"/>
      <c r="N56" s="1802">
        <f>L56*M56</f>
        <v>0</v>
      </c>
      <c r="O56" s="54"/>
      <c r="P56" s="54"/>
      <c r="Q56" s="807"/>
    </row>
    <row r="57" spans="1:17">
      <c r="A57" s="880" t="s">
        <v>3063</v>
      </c>
      <c r="B57" s="880" t="s">
        <v>2874</v>
      </c>
      <c r="C57" s="880" t="s">
        <v>2875</v>
      </c>
      <c r="D57" s="880"/>
      <c r="E57" s="102"/>
      <c r="F57" s="102"/>
      <c r="G57" s="102"/>
      <c r="H57" s="102"/>
      <c r="I57" s="102"/>
      <c r="J57" s="102"/>
      <c r="K57" s="257"/>
      <c r="L57" s="1154"/>
      <c r="M57" s="152"/>
      <c r="N57" s="1154">
        <f>SUM(N58:N59)</f>
        <v>0</v>
      </c>
      <c r="O57" s="102"/>
      <c r="P57" s="102"/>
      <c r="Q57" s="209">
        <f>SUM(Q58:Q59)</f>
        <v>0</v>
      </c>
    </row>
    <row r="58" spans="1:17" s="861" customFormat="1">
      <c r="A58" s="881" t="s">
        <v>4557</v>
      </c>
      <c r="B58" s="881"/>
      <c r="C58" s="233" t="s">
        <v>4991</v>
      </c>
      <c r="D58" s="88" t="s">
        <v>5038</v>
      </c>
      <c r="E58" s="236"/>
      <c r="F58" s="236"/>
      <c r="G58" s="236"/>
      <c r="H58" s="236"/>
      <c r="I58" s="236"/>
      <c r="J58" s="236"/>
      <c r="K58" s="1494"/>
      <c r="L58" s="297">
        <f t="shared" ref="L58:L59" si="5">K58/100000</f>
        <v>0</v>
      </c>
      <c r="M58" s="277"/>
      <c r="N58" s="1802">
        <f>L58*M58</f>
        <v>0</v>
      </c>
      <c r="O58" s="236"/>
      <c r="P58" s="236"/>
      <c r="Q58" s="809"/>
    </row>
    <row r="59" spans="1:17" s="861" customFormat="1">
      <c r="A59" s="881" t="s">
        <v>4558</v>
      </c>
      <c r="B59" s="881"/>
      <c r="C59" s="233" t="s">
        <v>3226</v>
      </c>
      <c r="D59" s="88" t="s">
        <v>5038</v>
      </c>
      <c r="E59" s="236"/>
      <c r="F59" s="236"/>
      <c r="G59" s="236"/>
      <c r="H59" s="236"/>
      <c r="I59" s="236"/>
      <c r="J59" s="236"/>
      <c r="K59" s="1494"/>
      <c r="L59" s="297">
        <f t="shared" si="5"/>
        <v>0</v>
      </c>
      <c r="M59" s="277"/>
      <c r="N59" s="1802">
        <f>L59*M59</f>
        <v>0</v>
      </c>
      <c r="O59" s="236"/>
      <c r="P59" s="236"/>
      <c r="Q59" s="809"/>
    </row>
    <row r="60" spans="1:17">
      <c r="A60" s="880" t="s">
        <v>3064</v>
      </c>
      <c r="B60" s="880"/>
      <c r="C60" s="880" t="s">
        <v>4592</v>
      </c>
      <c r="D60" s="880"/>
      <c r="E60" s="102"/>
      <c r="F60" s="102"/>
      <c r="G60" s="102"/>
      <c r="H60" s="102"/>
      <c r="I60" s="102"/>
      <c r="J60" s="102"/>
      <c r="K60" s="102"/>
      <c r="L60" s="880"/>
      <c r="M60" s="102"/>
      <c r="N60" s="1154">
        <f>SUM(N61:N63)</f>
        <v>0</v>
      </c>
      <c r="O60" s="102"/>
      <c r="P60" s="102"/>
      <c r="Q60" s="810">
        <f>SUM(Q61:Q63)</f>
        <v>0</v>
      </c>
    </row>
    <row r="61" spans="1:17">
      <c r="A61" s="225" t="s">
        <v>3065</v>
      </c>
      <c r="B61" s="882" t="s">
        <v>2876</v>
      </c>
      <c r="C61" s="882" t="s">
        <v>4593</v>
      </c>
      <c r="D61" s="88" t="s">
        <v>5038</v>
      </c>
      <c r="E61" s="180"/>
      <c r="F61" s="180"/>
      <c r="G61" s="180"/>
      <c r="H61" s="180"/>
      <c r="I61" s="180"/>
      <c r="J61" s="180"/>
      <c r="K61" s="1494"/>
      <c r="L61" s="297">
        <f t="shared" ref="L61:L63" si="6">K61/100000</f>
        <v>0</v>
      </c>
      <c r="M61" s="277"/>
      <c r="N61" s="1802">
        <f>L61*M61</f>
        <v>0</v>
      </c>
      <c r="O61" s="99"/>
      <c r="P61" s="99"/>
      <c r="Q61" s="807"/>
    </row>
    <row r="62" spans="1:17">
      <c r="A62" s="225" t="s">
        <v>4992</v>
      </c>
      <c r="B62" s="882"/>
      <c r="C62" s="882" t="s">
        <v>362</v>
      </c>
      <c r="D62" s="88" t="s">
        <v>5038</v>
      </c>
      <c r="E62" s="180"/>
      <c r="F62" s="180"/>
      <c r="G62" s="180"/>
      <c r="H62" s="180"/>
      <c r="I62" s="180"/>
      <c r="J62" s="180"/>
      <c r="K62" s="1494"/>
      <c r="L62" s="297">
        <f t="shared" si="6"/>
        <v>0</v>
      </c>
      <c r="M62" s="277"/>
      <c r="N62" s="1802">
        <f>L62*M62</f>
        <v>0</v>
      </c>
      <c r="O62" s="99"/>
      <c r="P62" s="99"/>
      <c r="Q62" s="807"/>
    </row>
    <row r="63" spans="1:17">
      <c r="A63" s="225" t="s">
        <v>4993</v>
      </c>
      <c r="B63" s="882"/>
      <c r="C63" s="882" t="s">
        <v>4375</v>
      </c>
      <c r="D63" s="88" t="s">
        <v>5038</v>
      </c>
      <c r="E63" s="180"/>
      <c r="F63" s="180"/>
      <c r="G63" s="180"/>
      <c r="H63" s="180"/>
      <c r="I63" s="180"/>
      <c r="J63" s="180"/>
      <c r="K63" s="1494"/>
      <c r="L63" s="297">
        <f t="shared" si="6"/>
        <v>0</v>
      </c>
      <c r="M63" s="277"/>
      <c r="N63" s="1802">
        <f>L63*M63</f>
        <v>0</v>
      </c>
      <c r="O63" s="99"/>
      <c r="P63" s="99"/>
      <c r="Q63" s="807"/>
    </row>
    <row r="64" spans="1:17">
      <c r="A64" s="872" t="s">
        <v>3066</v>
      </c>
      <c r="B64" s="872"/>
      <c r="C64" s="872" t="s">
        <v>8</v>
      </c>
      <c r="D64" s="872"/>
      <c r="E64" s="164"/>
      <c r="F64" s="164"/>
      <c r="G64" s="164"/>
      <c r="H64" s="164"/>
      <c r="I64" s="164"/>
      <c r="J64" s="164"/>
      <c r="K64" s="164"/>
      <c r="L64" s="872"/>
      <c r="M64" s="164"/>
      <c r="N64" s="1801">
        <f>N65</f>
        <v>0</v>
      </c>
      <c r="O64" s="164"/>
      <c r="P64" s="164"/>
      <c r="Q64" s="701">
        <f>Q65</f>
        <v>0</v>
      </c>
    </row>
    <row r="65" spans="1:17">
      <c r="A65" s="880" t="s">
        <v>3067</v>
      </c>
      <c r="B65" s="880" t="s">
        <v>2877</v>
      </c>
      <c r="C65" s="880" t="s">
        <v>2878</v>
      </c>
      <c r="D65" s="880"/>
      <c r="E65" s="102"/>
      <c r="F65" s="102"/>
      <c r="G65" s="102"/>
      <c r="H65" s="102"/>
      <c r="I65" s="102"/>
      <c r="J65" s="102"/>
      <c r="K65" s="102"/>
      <c r="L65" s="880"/>
      <c r="M65" s="102"/>
      <c r="N65" s="1154">
        <f>SUM(N66:N69)</f>
        <v>0</v>
      </c>
      <c r="O65" s="102"/>
      <c r="P65" s="102"/>
      <c r="Q65" s="810">
        <f>SUM(Q66:Q69)</f>
        <v>0</v>
      </c>
    </row>
    <row r="66" spans="1:17">
      <c r="A66" s="88" t="s">
        <v>3068</v>
      </c>
      <c r="B66" s="88" t="s">
        <v>2879</v>
      </c>
      <c r="C66" s="88" t="s">
        <v>2880</v>
      </c>
      <c r="D66" s="88" t="s">
        <v>5038</v>
      </c>
      <c r="E66" s="54"/>
      <c r="F66" s="54"/>
      <c r="G66" s="54"/>
      <c r="H66" s="54"/>
      <c r="I66" s="54"/>
      <c r="J66" s="54"/>
      <c r="K66" s="1494"/>
      <c r="L66" s="297">
        <f t="shared" ref="L66:L69" si="7">K66/100000</f>
        <v>0</v>
      </c>
      <c r="M66" s="277"/>
      <c r="N66" s="1802">
        <f>L66*M66</f>
        <v>0</v>
      </c>
      <c r="O66" s="54"/>
      <c r="P66" s="54"/>
      <c r="Q66" s="807"/>
    </row>
    <row r="67" spans="1:17" ht="30">
      <c r="A67" s="88" t="s">
        <v>3069</v>
      </c>
      <c r="B67" s="88" t="s">
        <v>2881</v>
      </c>
      <c r="C67" s="88" t="s">
        <v>2882</v>
      </c>
      <c r="D67" s="88" t="s">
        <v>5038</v>
      </c>
      <c r="E67" s="54"/>
      <c r="F67" s="54"/>
      <c r="G67" s="54"/>
      <c r="H67" s="54"/>
      <c r="I67" s="54"/>
      <c r="J67" s="54"/>
      <c r="K67" s="1494"/>
      <c r="L67" s="297">
        <f t="shared" si="7"/>
        <v>0</v>
      </c>
      <c r="M67" s="277"/>
      <c r="N67" s="1802">
        <f>L67*M67</f>
        <v>0</v>
      </c>
      <c r="O67" s="54"/>
      <c r="P67" s="54"/>
      <c r="Q67" s="807"/>
    </row>
    <row r="68" spans="1:17">
      <c r="A68" s="88" t="s">
        <v>3877</v>
      </c>
      <c r="B68" s="88"/>
      <c r="C68" s="883" t="s">
        <v>601</v>
      </c>
      <c r="D68" s="88" t="s">
        <v>5038</v>
      </c>
      <c r="E68" s="54"/>
      <c r="F68" s="54"/>
      <c r="G68" s="54"/>
      <c r="H68" s="54"/>
      <c r="I68" s="54"/>
      <c r="J68" s="54"/>
      <c r="K68" s="1494"/>
      <c r="L68" s="297">
        <f t="shared" si="7"/>
        <v>0</v>
      </c>
      <c r="M68" s="277"/>
      <c r="N68" s="1802">
        <f>L68*M68</f>
        <v>0</v>
      </c>
      <c r="O68" s="54"/>
      <c r="P68" s="54"/>
      <c r="Q68" s="807"/>
    </row>
    <row r="69" spans="1:17">
      <c r="A69" s="575" t="s">
        <v>3070</v>
      </c>
      <c r="B69" s="879"/>
      <c r="C69" s="884" t="s">
        <v>5091</v>
      </c>
      <c r="D69" s="88" t="s">
        <v>5038</v>
      </c>
      <c r="E69" s="291"/>
      <c r="F69" s="291"/>
      <c r="G69" s="291"/>
      <c r="H69" s="291"/>
      <c r="I69" s="291"/>
      <c r="J69" s="291"/>
      <c r="K69" s="1494"/>
      <c r="L69" s="297">
        <f t="shared" si="7"/>
        <v>0</v>
      </c>
      <c r="M69" s="277"/>
      <c r="N69" s="1802">
        <f>L69*M69</f>
        <v>0</v>
      </c>
      <c r="O69" s="179"/>
      <c r="P69" s="1820" t="s">
        <v>4994</v>
      </c>
      <c r="Q69" s="809"/>
    </row>
    <row r="70" spans="1:17">
      <c r="A70" s="165" t="s">
        <v>3071</v>
      </c>
      <c r="B70" s="165"/>
      <c r="C70" s="165" t="s">
        <v>2884</v>
      </c>
      <c r="D70" s="165"/>
      <c r="E70" s="101"/>
      <c r="F70" s="101"/>
      <c r="G70" s="101"/>
      <c r="H70" s="101"/>
      <c r="I70" s="101"/>
      <c r="J70" s="101"/>
      <c r="K70" s="101"/>
      <c r="L70" s="165"/>
      <c r="M70" s="101"/>
      <c r="N70" s="1800">
        <f>N71+N74+N75+N76</f>
        <v>0</v>
      </c>
      <c r="O70" s="101"/>
      <c r="P70" s="101"/>
      <c r="Q70" s="806">
        <f>Q71+Q74+Q75+Q76</f>
        <v>0</v>
      </c>
    </row>
    <row r="71" spans="1:17">
      <c r="A71" s="872" t="s">
        <v>3072</v>
      </c>
      <c r="B71" s="872" t="s">
        <v>2885</v>
      </c>
      <c r="C71" s="872" t="s">
        <v>2886</v>
      </c>
      <c r="D71" s="872"/>
      <c r="E71" s="164"/>
      <c r="F71" s="164"/>
      <c r="G71" s="164"/>
      <c r="H71" s="164"/>
      <c r="I71" s="164"/>
      <c r="J71" s="164"/>
      <c r="K71" s="164"/>
      <c r="L71" s="872"/>
      <c r="M71" s="164"/>
      <c r="N71" s="1801">
        <f>SUM(N72:N73)</f>
        <v>0</v>
      </c>
      <c r="O71" s="164"/>
      <c r="P71" s="164"/>
      <c r="Q71" s="701">
        <f>SUM(Q72:Q73)</f>
        <v>0</v>
      </c>
    </row>
    <row r="72" spans="1:17">
      <c r="A72" s="885" t="s">
        <v>3073</v>
      </c>
      <c r="B72" s="88" t="s">
        <v>2887</v>
      </c>
      <c r="C72" s="88" t="s">
        <v>2888</v>
      </c>
      <c r="D72" s="88" t="s">
        <v>5036</v>
      </c>
      <c r="E72" s="54"/>
      <c r="F72" s="54"/>
      <c r="G72" s="54"/>
      <c r="H72" s="54"/>
      <c r="I72" s="54"/>
      <c r="J72" s="54"/>
      <c r="K72" s="1494"/>
      <c r="L72" s="297">
        <f t="shared" ref="L72:L73" si="8">K72/100000</f>
        <v>0</v>
      </c>
      <c r="M72" s="277"/>
      <c r="N72" s="1802">
        <f>L72*M72</f>
        <v>0</v>
      </c>
      <c r="O72" s="54"/>
      <c r="P72" s="54"/>
      <c r="Q72" s="807"/>
    </row>
    <row r="73" spans="1:17">
      <c r="A73" s="885" t="s">
        <v>3074</v>
      </c>
      <c r="B73" s="88" t="s">
        <v>2889</v>
      </c>
      <c r="C73" s="88" t="s">
        <v>2890</v>
      </c>
      <c r="D73" s="88" t="s">
        <v>5036</v>
      </c>
      <c r="E73" s="54"/>
      <c r="F73" s="54"/>
      <c r="G73" s="54"/>
      <c r="H73" s="54"/>
      <c r="I73" s="54"/>
      <c r="J73" s="54"/>
      <c r="K73" s="1494"/>
      <c r="L73" s="297">
        <f t="shared" si="8"/>
        <v>0</v>
      </c>
      <c r="M73" s="277"/>
      <c r="N73" s="1802">
        <f>L73*M73</f>
        <v>0</v>
      </c>
      <c r="O73" s="54"/>
      <c r="P73" s="54"/>
      <c r="Q73" s="807"/>
    </row>
    <row r="74" spans="1:17">
      <c r="A74" s="872" t="s">
        <v>3075</v>
      </c>
      <c r="B74" s="872" t="s">
        <v>2891</v>
      </c>
      <c r="C74" s="872" t="s">
        <v>2892</v>
      </c>
      <c r="D74" s="88" t="s">
        <v>5036</v>
      </c>
      <c r="E74" s="164"/>
      <c r="F74" s="164"/>
      <c r="G74" s="164"/>
      <c r="H74" s="164"/>
      <c r="I74" s="164"/>
      <c r="J74" s="164"/>
      <c r="K74" s="588"/>
      <c r="L74" s="1801">
        <f>K74/100000</f>
        <v>0</v>
      </c>
      <c r="M74" s="592"/>
      <c r="N74" s="1801">
        <f>L74*M74</f>
        <v>0</v>
      </c>
      <c r="O74" s="164"/>
      <c r="P74" s="164"/>
      <c r="Q74" s="701"/>
    </row>
    <row r="75" spans="1:17">
      <c r="A75" s="872" t="s">
        <v>3076</v>
      </c>
      <c r="B75" s="872" t="s">
        <v>2893</v>
      </c>
      <c r="C75" s="872" t="s">
        <v>2894</v>
      </c>
      <c r="D75" s="88" t="s">
        <v>5036</v>
      </c>
      <c r="E75" s="164"/>
      <c r="F75" s="164"/>
      <c r="G75" s="164"/>
      <c r="H75" s="164"/>
      <c r="I75" s="164"/>
      <c r="J75" s="164"/>
      <c r="K75" s="588"/>
      <c r="L75" s="1801">
        <f t="shared" ref="L75:L76" si="9">K75/100000</f>
        <v>0</v>
      </c>
      <c r="M75" s="592"/>
      <c r="N75" s="1801">
        <f>L75*M75</f>
        <v>0</v>
      </c>
      <c r="O75" s="164"/>
      <c r="P75" s="164"/>
      <c r="Q75" s="701"/>
    </row>
    <row r="76" spans="1:17">
      <c r="A76" s="872" t="s">
        <v>3077</v>
      </c>
      <c r="B76" s="872" t="s">
        <v>2895</v>
      </c>
      <c r="C76" s="872" t="s">
        <v>2896</v>
      </c>
      <c r="D76" s="883" t="s">
        <v>5038</v>
      </c>
      <c r="E76" s="164"/>
      <c r="F76" s="164"/>
      <c r="G76" s="164"/>
      <c r="H76" s="164"/>
      <c r="I76" s="164"/>
      <c r="J76" s="164"/>
      <c r="K76" s="588"/>
      <c r="L76" s="1801">
        <f t="shared" si="9"/>
        <v>0</v>
      </c>
      <c r="M76" s="592"/>
      <c r="N76" s="1801">
        <f>L76*M76</f>
        <v>0</v>
      </c>
      <c r="O76" s="164"/>
      <c r="P76" s="164"/>
      <c r="Q76" s="701"/>
    </row>
    <row r="77" spans="1:17">
      <c r="A77" s="165" t="s">
        <v>3078</v>
      </c>
      <c r="B77" s="165"/>
      <c r="C77" s="165" t="s">
        <v>10</v>
      </c>
      <c r="D77" s="165"/>
      <c r="E77" s="101"/>
      <c r="F77" s="101"/>
      <c r="G77" s="101"/>
      <c r="H77" s="101"/>
      <c r="I77" s="101"/>
      <c r="J77" s="101"/>
      <c r="K77" s="101"/>
      <c r="L77" s="165"/>
      <c r="M77" s="101"/>
      <c r="N77" s="1800">
        <f>N78+N84+N88</f>
        <v>0</v>
      </c>
      <c r="O77" s="101"/>
      <c r="P77" s="101"/>
      <c r="Q77" s="806">
        <f>Q78+Q84+Q88</f>
        <v>0</v>
      </c>
    </row>
    <row r="78" spans="1:17">
      <c r="A78" s="872" t="s">
        <v>3079</v>
      </c>
      <c r="B78" s="872"/>
      <c r="C78" s="872" t="s">
        <v>11</v>
      </c>
      <c r="D78" s="872"/>
      <c r="E78" s="164"/>
      <c r="F78" s="164"/>
      <c r="G78" s="164"/>
      <c r="H78" s="164"/>
      <c r="I78" s="164"/>
      <c r="J78" s="164"/>
      <c r="K78" s="164"/>
      <c r="L78" s="872"/>
      <c r="M78" s="164"/>
      <c r="N78" s="1801">
        <f>SUM(N79:N83)</f>
        <v>0</v>
      </c>
      <c r="O78" s="164"/>
      <c r="P78" s="164"/>
      <c r="Q78" s="701">
        <f>SUM(Q79:Q83)</f>
        <v>0</v>
      </c>
    </row>
    <row r="79" spans="1:17">
      <c r="A79" s="88" t="s">
        <v>3080</v>
      </c>
      <c r="B79" s="158" t="s">
        <v>2897</v>
      </c>
      <c r="C79" s="874" t="s">
        <v>2898</v>
      </c>
      <c r="D79" s="88" t="s">
        <v>5036</v>
      </c>
      <c r="E79" s="155"/>
      <c r="F79" s="155"/>
      <c r="G79" s="155"/>
      <c r="H79" s="155"/>
      <c r="I79" s="155"/>
      <c r="J79" s="155"/>
      <c r="K79" s="1494"/>
      <c r="L79" s="297">
        <f t="shared" ref="L79:L83" si="10">K79/100000</f>
        <v>0</v>
      </c>
      <c r="M79" s="277"/>
      <c r="N79" s="1802">
        <f>L79*M79</f>
        <v>0</v>
      </c>
      <c r="O79" s="54"/>
      <c r="P79" s="54"/>
      <c r="Q79" s="807"/>
    </row>
    <row r="80" spans="1:17">
      <c r="A80" s="88" t="s">
        <v>3081</v>
      </c>
      <c r="B80" s="158" t="s">
        <v>2899</v>
      </c>
      <c r="C80" s="874" t="s">
        <v>2900</v>
      </c>
      <c r="D80" s="88" t="s">
        <v>5036</v>
      </c>
      <c r="E80" s="155"/>
      <c r="F80" s="155"/>
      <c r="G80" s="155"/>
      <c r="H80" s="155"/>
      <c r="I80" s="155"/>
      <c r="J80" s="155"/>
      <c r="K80" s="1494"/>
      <c r="L80" s="297">
        <f t="shared" si="10"/>
        <v>0</v>
      </c>
      <c r="M80" s="277"/>
      <c r="N80" s="1802">
        <f>L80*M80</f>
        <v>0</v>
      </c>
      <c r="O80" s="54"/>
      <c r="P80" s="54"/>
      <c r="Q80" s="807"/>
    </row>
    <row r="81" spans="1:17">
      <c r="A81" s="88" t="s">
        <v>3082</v>
      </c>
      <c r="B81" s="158" t="s">
        <v>2899</v>
      </c>
      <c r="C81" s="874" t="s">
        <v>2901</v>
      </c>
      <c r="D81" s="88" t="s">
        <v>5036</v>
      </c>
      <c r="E81" s="155"/>
      <c r="F81" s="155"/>
      <c r="G81" s="155"/>
      <c r="H81" s="155"/>
      <c r="I81" s="155"/>
      <c r="J81" s="155"/>
      <c r="K81" s="1494"/>
      <c r="L81" s="297">
        <f t="shared" si="10"/>
        <v>0</v>
      </c>
      <c r="M81" s="277"/>
      <c r="N81" s="1802">
        <f>L81*M81</f>
        <v>0</v>
      </c>
      <c r="O81" s="54"/>
      <c r="P81" s="54"/>
      <c r="Q81" s="807"/>
    </row>
    <row r="82" spans="1:17">
      <c r="A82" s="88" t="s">
        <v>3083</v>
      </c>
      <c r="B82" s="88" t="s">
        <v>2902</v>
      </c>
      <c r="C82" s="88" t="s">
        <v>2903</v>
      </c>
      <c r="D82" s="88" t="s">
        <v>5036</v>
      </c>
      <c r="E82" s="54"/>
      <c r="F82" s="54"/>
      <c r="G82" s="54"/>
      <c r="H82" s="54"/>
      <c r="I82" s="54"/>
      <c r="J82" s="54"/>
      <c r="K82" s="1494"/>
      <c r="L82" s="297">
        <f t="shared" si="10"/>
        <v>0</v>
      </c>
      <c r="M82" s="277"/>
      <c r="N82" s="1802">
        <f>L82*M82</f>
        <v>0</v>
      </c>
      <c r="O82" s="54"/>
      <c r="P82" s="54"/>
      <c r="Q82" s="807"/>
    </row>
    <row r="83" spans="1:17">
      <c r="A83" s="88" t="s">
        <v>4995</v>
      </c>
      <c r="B83" s="88"/>
      <c r="C83" s="88" t="s">
        <v>1304</v>
      </c>
      <c r="D83" s="88" t="s">
        <v>5036</v>
      </c>
      <c r="E83" s="54"/>
      <c r="F83" s="54"/>
      <c r="G83" s="54"/>
      <c r="H83" s="54"/>
      <c r="I83" s="54"/>
      <c r="J83" s="54"/>
      <c r="K83" s="1494"/>
      <c r="L83" s="297">
        <f t="shared" si="10"/>
        <v>0</v>
      </c>
      <c r="M83" s="277"/>
      <c r="N83" s="1802">
        <f>L83*M83</f>
        <v>0</v>
      </c>
      <c r="O83" s="54"/>
      <c r="P83" s="54"/>
      <c r="Q83" s="807"/>
    </row>
    <row r="84" spans="1:17">
      <c r="A84" s="872" t="s">
        <v>3084</v>
      </c>
      <c r="B84" s="872"/>
      <c r="C84" s="872" t="s">
        <v>12</v>
      </c>
      <c r="D84" s="872"/>
      <c r="E84" s="164"/>
      <c r="F84" s="164"/>
      <c r="G84" s="164"/>
      <c r="H84" s="164"/>
      <c r="I84" s="164"/>
      <c r="J84" s="164"/>
      <c r="K84" s="164"/>
      <c r="L84" s="872"/>
      <c r="M84" s="164"/>
      <c r="N84" s="1801">
        <f>SUM(N85:N87)</f>
        <v>0</v>
      </c>
      <c r="O84" s="164"/>
      <c r="P84" s="164"/>
      <c r="Q84" s="701">
        <f>SUM(Q85:Q87)</f>
        <v>0</v>
      </c>
    </row>
    <row r="85" spans="1:17">
      <c r="A85" s="88" t="s">
        <v>3085</v>
      </c>
      <c r="B85" s="88" t="s">
        <v>2904</v>
      </c>
      <c r="C85" s="88" t="s">
        <v>2898</v>
      </c>
      <c r="D85" s="88" t="s">
        <v>5036</v>
      </c>
      <c r="E85" s="54"/>
      <c r="F85" s="54"/>
      <c r="G85" s="54"/>
      <c r="H85" s="54"/>
      <c r="I85" s="54"/>
      <c r="J85" s="54"/>
      <c r="K85" s="1494"/>
      <c r="L85" s="297">
        <f t="shared" ref="L85:L87" si="11">K85/100000</f>
        <v>0</v>
      </c>
      <c r="M85" s="277"/>
      <c r="N85" s="1802">
        <f>L85*M85</f>
        <v>0</v>
      </c>
      <c r="O85" s="54"/>
      <c r="P85" s="54"/>
      <c r="Q85" s="807"/>
    </row>
    <row r="86" spans="1:17">
      <c r="A86" s="88" t="s">
        <v>3086</v>
      </c>
      <c r="B86" s="88" t="s">
        <v>2905</v>
      </c>
      <c r="C86" s="88" t="s">
        <v>2900</v>
      </c>
      <c r="D86" s="88" t="s">
        <v>5036</v>
      </c>
      <c r="E86" s="54"/>
      <c r="F86" s="54"/>
      <c r="G86" s="54"/>
      <c r="H86" s="54"/>
      <c r="I86" s="54"/>
      <c r="J86" s="54"/>
      <c r="K86" s="1494"/>
      <c r="L86" s="297">
        <f t="shared" si="11"/>
        <v>0</v>
      </c>
      <c r="M86" s="277"/>
      <c r="N86" s="1802">
        <f>L86*M86</f>
        <v>0</v>
      </c>
      <c r="O86" s="54"/>
      <c r="P86" s="54"/>
      <c r="Q86" s="807"/>
    </row>
    <row r="87" spans="1:17">
      <c r="A87" s="88" t="s">
        <v>3087</v>
      </c>
      <c r="B87" s="88" t="s">
        <v>2906</v>
      </c>
      <c r="C87" s="88" t="s">
        <v>2907</v>
      </c>
      <c r="D87" s="88" t="s">
        <v>5036</v>
      </c>
      <c r="E87" s="54"/>
      <c r="F87" s="54"/>
      <c r="G87" s="54"/>
      <c r="H87" s="54"/>
      <c r="I87" s="54"/>
      <c r="J87" s="54"/>
      <c r="K87" s="1494"/>
      <c r="L87" s="297">
        <f t="shared" si="11"/>
        <v>0</v>
      </c>
      <c r="M87" s="277"/>
      <c r="N87" s="1802">
        <f>L87*M87</f>
        <v>0</v>
      </c>
      <c r="O87" s="54"/>
      <c r="P87" s="54"/>
      <c r="Q87" s="807"/>
    </row>
    <row r="88" spans="1:17">
      <c r="A88" s="872" t="s">
        <v>3088</v>
      </c>
      <c r="B88" s="872"/>
      <c r="C88" s="872" t="s">
        <v>13</v>
      </c>
      <c r="D88" s="872"/>
      <c r="E88" s="164"/>
      <c r="F88" s="164"/>
      <c r="G88" s="164"/>
      <c r="H88" s="164"/>
      <c r="I88" s="164"/>
      <c r="J88" s="164"/>
      <c r="K88" s="164"/>
      <c r="L88" s="872"/>
      <c r="M88" s="164"/>
      <c r="N88" s="1801">
        <f>N89+N90</f>
        <v>0</v>
      </c>
      <c r="O88" s="164"/>
      <c r="P88" s="164"/>
      <c r="Q88" s="701">
        <f>Q89+Q90</f>
        <v>0</v>
      </c>
    </row>
    <row r="89" spans="1:17">
      <c r="A89" s="88" t="s">
        <v>3089</v>
      </c>
      <c r="B89" s="158"/>
      <c r="C89" s="874" t="s">
        <v>3791</v>
      </c>
      <c r="D89" s="88" t="s">
        <v>5037</v>
      </c>
      <c r="E89" s="155"/>
      <c r="F89" s="155"/>
      <c r="G89" s="155"/>
      <c r="H89" s="155"/>
      <c r="I89" s="155"/>
      <c r="J89" s="155"/>
      <c r="K89" s="1494"/>
      <c r="L89" s="297">
        <f t="shared" ref="L89:L90" si="12">K89/100000</f>
        <v>0</v>
      </c>
      <c r="M89" s="277"/>
      <c r="N89" s="1802">
        <f>L89*M89</f>
        <v>0</v>
      </c>
      <c r="O89" s="54"/>
      <c r="P89" s="54"/>
      <c r="Q89" s="807"/>
    </row>
    <row r="90" spans="1:17">
      <c r="A90" s="88" t="s">
        <v>3878</v>
      </c>
      <c r="B90" s="886"/>
      <c r="C90" s="874" t="s">
        <v>3753</v>
      </c>
      <c r="D90" s="88" t="s">
        <v>5036</v>
      </c>
      <c r="E90" s="155"/>
      <c r="F90" s="155"/>
      <c r="G90" s="155"/>
      <c r="H90" s="155"/>
      <c r="I90" s="155"/>
      <c r="J90" s="155"/>
      <c r="K90" s="1494"/>
      <c r="L90" s="297">
        <f t="shared" si="12"/>
        <v>0</v>
      </c>
      <c r="M90" s="277"/>
      <c r="N90" s="1802">
        <f>L90*M90</f>
        <v>0</v>
      </c>
      <c r="O90" s="54"/>
      <c r="P90" s="54"/>
      <c r="Q90" s="807"/>
    </row>
    <row r="91" spans="1:17">
      <c r="A91" s="165" t="s">
        <v>3090</v>
      </c>
      <c r="B91" s="165"/>
      <c r="C91" s="165" t="s">
        <v>14</v>
      </c>
      <c r="D91" s="165"/>
      <c r="E91" s="101"/>
      <c r="F91" s="101"/>
      <c r="G91" s="101"/>
      <c r="H91" s="101"/>
      <c r="I91" s="101"/>
      <c r="J91" s="101"/>
      <c r="K91" s="101"/>
      <c r="L91" s="165"/>
      <c r="M91" s="101"/>
      <c r="N91" s="1800">
        <f>N92+N103+N115</f>
        <v>0</v>
      </c>
      <c r="O91" s="101"/>
      <c r="P91" s="101"/>
      <c r="Q91" s="806">
        <f>Q92+Q103+Q115</f>
        <v>0</v>
      </c>
    </row>
    <row r="92" spans="1:17">
      <c r="A92" s="872" t="s">
        <v>3091</v>
      </c>
      <c r="B92" s="872"/>
      <c r="C92" s="872" t="s">
        <v>1579</v>
      </c>
      <c r="D92" s="872"/>
      <c r="E92" s="164"/>
      <c r="F92" s="164"/>
      <c r="G92" s="164"/>
      <c r="H92" s="164"/>
      <c r="I92" s="164"/>
      <c r="J92" s="164"/>
      <c r="K92" s="164"/>
      <c r="L92" s="872"/>
      <c r="M92" s="164"/>
      <c r="N92" s="1801">
        <f>SUM(N93:N99)</f>
        <v>0</v>
      </c>
      <c r="O92" s="164"/>
      <c r="P92" s="164"/>
      <c r="Q92" s="701">
        <f>SUM(Q93:Q99)</f>
        <v>0</v>
      </c>
    </row>
    <row r="93" spans="1:17" s="861" customFormat="1">
      <c r="A93" s="107" t="s">
        <v>3092</v>
      </c>
      <c r="B93" s="89"/>
      <c r="C93" s="883" t="s">
        <v>4419</v>
      </c>
      <c r="D93" s="88" t="s">
        <v>5037</v>
      </c>
      <c r="E93" s="87"/>
      <c r="F93" s="87"/>
      <c r="G93" s="87"/>
      <c r="H93" s="87"/>
      <c r="I93" s="87"/>
      <c r="J93" s="87"/>
      <c r="K93" s="1494"/>
      <c r="L93" s="297">
        <f t="shared" ref="L93:L102" si="13">K93/100000</f>
        <v>0</v>
      </c>
      <c r="M93" s="277"/>
      <c r="N93" s="234">
        <f t="shared" ref="N93:N98" si="14">L93*M93</f>
        <v>0</v>
      </c>
      <c r="O93" s="87"/>
      <c r="P93" s="87"/>
      <c r="Q93" s="811"/>
    </row>
    <row r="94" spans="1:17">
      <c r="A94" s="88" t="s">
        <v>3093</v>
      </c>
      <c r="B94" s="88" t="s">
        <v>2908</v>
      </c>
      <c r="C94" s="88" t="s">
        <v>2909</v>
      </c>
      <c r="D94" s="88" t="s">
        <v>5039</v>
      </c>
      <c r="E94" s="54"/>
      <c r="F94" s="54"/>
      <c r="G94" s="54"/>
      <c r="H94" s="54"/>
      <c r="I94" s="54"/>
      <c r="J94" s="54"/>
      <c r="K94" s="1494"/>
      <c r="L94" s="297">
        <f t="shared" si="13"/>
        <v>0</v>
      </c>
      <c r="M94" s="277"/>
      <c r="N94" s="1802">
        <f t="shared" si="14"/>
        <v>0</v>
      </c>
      <c r="O94" s="54"/>
      <c r="P94" s="54"/>
      <c r="Q94" s="807"/>
    </row>
    <row r="95" spans="1:17">
      <c r="A95" s="88" t="s">
        <v>3094</v>
      </c>
      <c r="B95" s="88" t="s">
        <v>2910</v>
      </c>
      <c r="C95" s="88" t="s">
        <v>2911</v>
      </c>
      <c r="D95" s="88" t="s">
        <v>5039</v>
      </c>
      <c r="E95" s="54"/>
      <c r="F95" s="54"/>
      <c r="G95" s="54"/>
      <c r="H95" s="54"/>
      <c r="I95" s="54"/>
      <c r="J95" s="54"/>
      <c r="K95" s="1494"/>
      <c r="L95" s="297">
        <f t="shared" si="13"/>
        <v>0</v>
      </c>
      <c r="M95" s="277"/>
      <c r="N95" s="1802">
        <f t="shared" si="14"/>
        <v>0</v>
      </c>
      <c r="O95" s="54"/>
      <c r="P95" s="54"/>
      <c r="Q95" s="807"/>
    </row>
    <row r="96" spans="1:17">
      <c r="A96" s="88" t="s">
        <v>3215</v>
      </c>
      <c r="B96" s="88" t="s">
        <v>2912</v>
      </c>
      <c r="C96" s="88" t="s">
        <v>2913</v>
      </c>
      <c r="D96" s="88" t="s">
        <v>5039</v>
      </c>
      <c r="E96" s="54"/>
      <c r="F96" s="54"/>
      <c r="G96" s="54"/>
      <c r="H96" s="54"/>
      <c r="I96" s="54"/>
      <c r="J96" s="54"/>
      <c r="K96" s="1494"/>
      <c r="L96" s="297">
        <f t="shared" si="13"/>
        <v>0</v>
      </c>
      <c r="M96" s="277"/>
      <c r="N96" s="1802">
        <f t="shared" si="14"/>
        <v>0</v>
      </c>
      <c r="O96" s="54"/>
      <c r="P96" s="54"/>
      <c r="Q96" s="807"/>
    </row>
    <row r="97" spans="1:17">
      <c r="A97" s="88" t="s">
        <v>4418</v>
      </c>
      <c r="B97" s="88"/>
      <c r="C97" s="88" t="s">
        <v>4997</v>
      </c>
      <c r="D97" s="88" t="s">
        <v>5039</v>
      </c>
      <c r="E97" s="54"/>
      <c r="F97" s="54"/>
      <c r="G97" s="54"/>
      <c r="H97" s="54"/>
      <c r="I97" s="54"/>
      <c r="J97" s="54"/>
      <c r="K97" s="1494"/>
      <c r="L97" s="297">
        <f t="shared" si="13"/>
        <v>0</v>
      </c>
      <c r="M97" s="277"/>
      <c r="N97" s="1802">
        <f t="shared" si="14"/>
        <v>0</v>
      </c>
      <c r="O97" s="54"/>
      <c r="P97" s="54"/>
      <c r="Q97" s="807"/>
    </row>
    <row r="98" spans="1:17">
      <c r="A98" s="88" t="s">
        <v>4996</v>
      </c>
      <c r="B98" s="88"/>
      <c r="C98" s="88" t="s">
        <v>1304</v>
      </c>
      <c r="D98" s="88" t="s">
        <v>5039</v>
      </c>
      <c r="E98" s="54"/>
      <c r="F98" s="54"/>
      <c r="G98" s="54"/>
      <c r="H98" s="54"/>
      <c r="I98" s="54"/>
      <c r="J98" s="54"/>
      <c r="K98" s="1494"/>
      <c r="L98" s="297">
        <f t="shared" si="13"/>
        <v>0</v>
      </c>
      <c r="M98" s="277"/>
      <c r="N98" s="1802">
        <f t="shared" si="14"/>
        <v>0</v>
      </c>
      <c r="O98" s="54"/>
      <c r="P98" s="54"/>
      <c r="Q98" s="807"/>
    </row>
    <row r="99" spans="1:17" s="887" customFormat="1">
      <c r="A99" s="89" t="s">
        <v>5000</v>
      </c>
      <c r="B99" s="89" t="s">
        <v>3103</v>
      </c>
      <c r="C99" s="89" t="s">
        <v>4687</v>
      </c>
      <c r="D99" s="89"/>
      <c r="E99" s="77"/>
      <c r="F99" s="77"/>
      <c r="G99" s="77"/>
      <c r="H99" s="77"/>
      <c r="I99" s="77"/>
      <c r="J99" s="77"/>
      <c r="K99" s="1494"/>
      <c r="L99" s="297">
        <f t="shared" si="13"/>
        <v>0</v>
      </c>
      <c r="M99" s="282"/>
      <c r="N99" s="1804">
        <f>N100+N101+N102</f>
        <v>0</v>
      </c>
      <c r="O99" s="643"/>
      <c r="P99" s="643"/>
      <c r="Q99" s="1326">
        <f>Q100+Q101+Q102</f>
        <v>0</v>
      </c>
    </row>
    <row r="100" spans="1:17" ht="30">
      <c r="A100" s="88" t="s">
        <v>5001</v>
      </c>
      <c r="B100" s="88" t="s">
        <v>4438</v>
      </c>
      <c r="C100" s="107" t="s">
        <v>4436</v>
      </c>
      <c r="D100" s="107" t="s">
        <v>5037</v>
      </c>
      <c r="E100" s="69"/>
      <c r="F100" s="69"/>
      <c r="G100" s="69"/>
      <c r="H100" s="69"/>
      <c r="I100" s="69"/>
      <c r="J100" s="69"/>
      <c r="K100" s="1494"/>
      <c r="L100" s="297">
        <f t="shared" si="13"/>
        <v>0</v>
      </c>
      <c r="M100" s="277"/>
      <c r="N100" s="1802">
        <f>L100*M100</f>
        <v>0</v>
      </c>
      <c r="O100" s="54"/>
      <c r="P100" s="54"/>
      <c r="Q100" s="807"/>
    </row>
    <row r="101" spans="1:17" ht="30">
      <c r="A101" s="88" t="s">
        <v>5002</v>
      </c>
      <c r="B101" s="88" t="s">
        <v>4439</v>
      </c>
      <c r="C101" s="107" t="s">
        <v>4437</v>
      </c>
      <c r="D101" s="107" t="s">
        <v>5036</v>
      </c>
      <c r="E101" s="69"/>
      <c r="F101" s="69"/>
      <c r="G101" s="69"/>
      <c r="H101" s="69"/>
      <c r="I101" s="69"/>
      <c r="J101" s="69"/>
      <c r="K101" s="1494"/>
      <c r="L101" s="297">
        <f t="shared" si="13"/>
        <v>0</v>
      </c>
      <c r="M101" s="277"/>
      <c r="N101" s="1802">
        <f>L101*M101</f>
        <v>0</v>
      </c>
      <c r="O101" s="54"/>
      <c r="P101" s="54"/>
      <c r="Q101" s="807"/>
    </row>
    <row r="102" spans="1:17">
      <c r="A102" s="88" t="s">
        <v>5003</v>
      </c>
      <c r="B102" s="88" t="s">
        <v>4440</v>
      </c>
      <c r="C102" s="107" t="s">
        <v>2883</v>
      </c>
      <c r="D102" s="107" t="s">
        <v>5036</v>
      </c>
      <c r="E102" s="69"/>
      <c r="F102" s="69"/>
      <c r="G102" s="69"/>
      <c r="H102" s="69"/>
      <c r="I102" s="69"/>
      <c r="J102" s="69"/>
      <c r="K102" s="1494"/>
      <c r="L102" s="297">
        <f t="shared" si="13"/>
        <v>0</v>
      </c>
      <c r="M102" s="277"/>
      <c r="N102" s="1802">
        <f>L102*M102</f>
        <v>0</v>
      </c>
      <c r="O102" s="54"/>
      <c r="P102" s="54"/>
      <c r="Q102" s="807"/>
    </row>
    <row r="103" spans="1:17">
      <c r="A103" s="872" t="s">
        <v>3095</v>
      </c>
      <c r="B103" s="872"/>
      <c r="C103" s="872" t="s">
        <v>4423</v>
      </c>
      <c r="D103" s="872"/>
      <c r="E103" s="164"/>
      <c r="F103" s="164"/>
      <c r="G103" s="164"/>
      <c r="H103" s="164"/>
      <c r="I103" s="164"/>
      <c r="J103" s="164"/>
      <c r="K103" s="164"/>
      <c r="L103" s="872"/>
      <c r="M103" s="164"/>
      <c r="N103" s="1801">
        <f>N104+N108+N111+N112</f>
        <v>0</v>
      </c>
      <c r="O103" s="164"/>
      <c r="P103" s="164"/>
      <c r="Q103" s="701">
        <f>Q104+Q108+Q111+Q112</f>
        <v>0</v>
      </c>
    </row>
    <row r="104" spans="1:17" s="889" customFormat="1">
      <c r="A104" s="888" t="s">
        <v>3096</v>
      </c>
      <c r="B104" s="888"/>
      <c r="C104" s="888" t="s">
        <v>4420</v>
      </c>
      <c r="D104" s="888"/>
      <c r="E104" s="81"/>
      <c r="F104" s="81"/>
      <c r="G104" s="81"/>
      <c r="H104" s="81"/>
      <c r="I104" s="81"/>
      <c r="J104" s="81"/>
      <c r="K104" s="1494"/>
      <c r="L104" s="297">
        <f t="shared" ref="L104:L107" si="15">K104/100000</f>
        <v>0</v>
      </c>
      <c r="M104" s="282"/>
      <c r="N104" s="1804">
        <f>SUM(N105:N107)</f>
        <v>0</v>
      </c>
      <c r="O104" s="81"/>
      <c r="P104" s="81"/>
      <c r="Q104" s="1326">
        <f>SUM(Q105:Q107)</f>
        <v>0</v>
      </c>
    </row>
    <row r="105" spans="1:17" s="861" customFormat="1">
      <c r="A105" s="107" t="s">
        <v>4428</v>
      </c>
      <c r="B105" s="107" t="s">
        <v>2914</v>
      </c>
      <c r="C105" s="107" t="s">
        <v>4433</v>
      </c>
      <c r="D105" s="107" t="s">
        <v>5037</v>
      </c>
      <c r="E105" s="108"/>
      <c r="F105" s="108"/>
      <c r="G105" s="108"/>
      <c r="H105" s="108"/>
      <c r="I105" s="108"/>
      <c r="J105" s="108"/>
      <c r="K105" s="1494"/>
      <c r="L105" s="297">
        <f t="shared" si="15"/>
        <v>0</v>
      </c>
      <c r="M105" s="277"/>
      <c r="N105" s="234">
        <f>L105*M105</f>
        <v>0</v>
      </c>
      <c r="O105" s="108"/>
      <c r="P105" s="108"/>
      <c r="Q105" s="809"/>
    </row>
    <row r="106" spans="1:17" s="861" customFormat="1" ht="30">
      <c r="A106" s="107" t="s">
        <v>4429</v>
      </c>
      <c r="B106" s="107" t="s">
        <v>4426</v>
      </c>
      <c r="C106" s="107" t="s">
        <v>4427</v>
      </c>
      <c r="D106" s="107" t="s">
        <v>5037</v>
      </c>
      <c r="E106" s="108"/>
      <c r="F106" s="108"/>
      <c r="G106" s="108"/>
      <c r="H106" s="108"/>
      <c r="I106" s="108"/>
      <c r="J106" s="108"/>
      <c r="K106" s="1494"/>
      <c r="L106" s="297">
        <f t="shared" si="15"/>
        <v>0</v>
      </c>
      <c r="M106" s="277"/>
      <c r="N106" s="234">
        <f>L106*M106</f>
        <v>0</v>
      </c>
      <c r="O106" s="108"/>
      <c r="P106" s="108"/>
      <c r="Q106" s="809"/>
    </row>
    <row r="107" spans="1:17" s="861" customFormat="1">
      <c r="A107" s="107" t="s">
        <v>4998</v>
      </c>
      <c r="B107" s="107"/>
      <c r="C107" s="107" t="s">
        <v>3753</v>
      </c>
      <c r="D107" s="107" t="s">
        <v>5036</v>
      </c>
      <c r="E107" s="108"/>
      <c r="F107" s="108"/>
      <c r="G107" s="108"/>
      <c r="H107" s="108"/>
      <c r="I107" s="108"/>
      <c r="J107" s="108"/>
      <c r="K107" s="1494"/>
      <c r="L107" s="297">
        <f t="shared" si="15"/>
        <v>0</v>
      </c>
      <c r="M107" s="277"/>
      <c r="N107" s="234">
        <f>L107*M107</f>
        <v>0</v>
      </c>
      <c r="O107" s="108"/>
      <c r="P107" s="108"/>
      <c r="Q107" s="809"/>
    </row>
    <row r="108" spans="1:17" s="887" customFormat="1">
      <c r="A108" s="1805" t="s">
        <v>3097</v>
      </c>
      <c r="B108" s="1805"/>
      <c r="C108" s="1806" t="s">
        <v>1784</v>
      </c>
      <c r="D108" s="1806"/>
      <c r="E108" s="594"/>
      <c r="F108" s="594"/>
      <c r="G108" s="594"/>
      <c r="H108" s="594"/>
      <c r="I108" s="594"/>
      <c r="J108" s="594"/>
      <c r="K108" s="1821"/>
      <c r="L108" s="1807"/>
      <c r="M108" s="595"/>
      <c r="N108" s="1807">
        <f>SUM(N109:N110)</f>
        <v>0</v>
      </c>
      <c r="O108" s="594"/>
      <c r="P108" s="594"/>
      <c r="Q108" s="1833">
        <f>SUM(Q109:Q110)</f>
        <v>0</v>
      </c>
    </row>
    <row r="109" spans="1:17">
      <c r="A109" s="88" t="s">
        <v>4430</v>
      </c>
      <c r="B109" s="88" t="s">
        <v>2915</v>
      </c>
      <c r="C109" s="88" t="s">
        <v>2916</v>
      </c>
      <c r="D109" s="88" t="s">
        <v>5038</v>
      </c>
      <c r="E109" s="54"/>
      <c r="F109" s="54"/>
      <c r="G109" s="54"/>
      <c r="H109" s="54"/>
      <c r="I109" s="54"/>
      <c r="J109" s="54"/>
      <c r="K109" s="1494"/>
      <c r="L109" s="297">
        <f t="shared" ref="L109:L111" si="16">K109/100000</f>
        <v>0</v>
      </c>
      <c r="M109" s="277"/>
      <c r="N109" s="1802">
        <f>L109*M109</f>
        <v>0</v>
      </c>
      <c r="O109" s="54"/>
      <c r="P109" s="54"/>
      <c r="Q109" s="807"/>
    </row>
    <row r="110" spans="1:17">
      <c r="A110" s="88" t="s">
        <v>4431</v>
      </c>
      <c r="B110" s="88" t="s">
        <v>2917</v>
      </c>
      <c r="C110" s="88" t="s">
        <v>4999</v>
      </c>
      <c r="D110" s="88" t="s">
        <v>5038</v>
      </c>
      <c r="E110" s="54"/>
      <c r="F110" s="54"/>
      <c r="G110" s="54"/>
      <c r="H110" s="54"/>
      <c r="I110" s="54"/>
      <c r="J110" s="54"/>
      <c r="K110" s="1494"/>
      <c r="L110" s="297">
        <f t="shared" si="16"/>
        <v>0</v>
      </c>
      <c r="M110" s="277"/>
      <c r="N110" s="1802">
        <f>L110*M110</f>
        <v>0</v>
      </c>
      <c r="O110" s="54"/>
      <c r="P110" s="54"/>
      <c r="Q110" s="807"/>
    </row>
    <row r="111" spans="1:17" s="887" customFormat="1">
      <c r="A111" s="888" t="s">
        <v>3098</v>
      </c>
      <c r="B111" s="890" t="s">
        <v>2918</v>
      </c>
      <c r="C111" s="890" t="s">
        <v>1871</v>
      </c>
      <c r="D111" s="890" t="s">
        <v>5036</v>
      </c>
      <c r="E111" s="103"/>
      <c r="F111" s="103"/>
      <c r="G111" s="103"/>
      <c r="H111" s="103"/>
      <c r="I111" s="103"/>
      <c r="J111" s="103"/>
      <c r="K111" s="1494"/>
      <c r="L111" s="297">
        <f t="shared" si="16"/>
        <v>0</v>
      </c>
      <c r="M111" s="277"/>
      <c r="N111" s="1808">
        <f>L111*M111</f>
        <v>0</v>
      </c>
      <c r="O111" s="103"/>
      <c r="P111" s="103"/>
      <c r="Q111" s="812"/>
    </row>
    <row r="112" spans="1:17" s="861" customFormat="1">
      <c r="A112" s="1809" t="s">
        <v>3099</v>
      </c>
      <c r="B112" s="1810"/>
      <c r="C112" s="1257" t="s">
        <v>4434</v>
      </c>
      <c r="D112" s="1257"/>
      <c r="E112" s="141"/>
      <c r="F112" s="141"/>
      <c r="G112" s="141"/>
      <c r="H112" s="141"/>
      <c r="I112" s="141"/>
      <c r="J112" s="141"/>
      <c r="K112" s="1822"/>
      <c r="L112" s="1811"/>
      <c r="M112" s="386"/>
      <c r="N112" s="1811">
        <f>SUM(N113:N114)</f>
        <v>0</v>
      </c>
      <c r="O112" s="141"/>
      <c r="P112" s="141"/>
      <c r="Q112" s="1834">
        <f>SUM(Q113:Q114)</f>
        <v>0</v>
      </c>
    </row>
    <row r="113" spans="1:17" s="861" customFormat="1" ht="30">
      <c r="A113" s="888" t="s">
        <v>3100</v>
      </c>
      <c r="B113" s="107"/>
      <c r="C113" s="107" t="s">
        <v>4432</v>
      </c>
      <c r="D113" s="107" t="s">
        <v>5037</v>
      </c>
      <c r="E113" s="108"/>
      <c r="F113" s="108"/>
      <c r="G113" s="108"/>
      <c r="H113" s="108"/>
      <c r="I113" s="108"/>
      <c r="J113" s="108"/>
      <c r="K113" s="1494"/>
      <c r="L113" s="297">
        <f t="shared" ref="L113:L114" si="17">K113/100000</f>
        <v>0</v>
      </c>
      <c r="M113" s="277"/>
      <c r="N113" s="234">
        <f>L113*M113</f>
        <v>0</v>
      </c>
      <c r="O113" s="108"/>
      <c r="P113" s="108"/>
      <c r="Q113" s="809"/>
    </row>
    <row r="114" spans="1:17" s="861" customFormat="1" ht="30">
      <c r="A114" s="888" t="s">
        <v>3101</v>
      </c>
      <c r="B114" s="107"/>
      <c r="C114" s="107" t="s">
        <v>4435</v>
      </c>
      <c r="D114" s="107" t="s">
        <v>5037</v>
      </c>
      <c r="E114" s="108"/>
      <c r="F114" s="108"/>
      <c r="G114" s="108"/>
      <c r="H114" s="108"/>
      <c r="I114" s="108"/>
      <c r="J114" s="108"/>
      <c r="K114" s="1494"/>
      <c r="L114" s="297">
        <f t="shared" si="17"/>
        <v>0</v>
      </c>
      <c r="M114" s="277"/>
      <c r="N114" s="234">
        <f>L114*M114</f>
        <v>0</v>
      </c>
      <c r="O114" s="108"/>
      <c r="P114" s="108"/>
      <c r="Q114" s="809"/>
    </row>
    <row r="115" spans="1:17" s="891" customFormat="1">
      <c r="A115" s="872" t="s">
        <v>3102</v>
      </c>
      <c r="B115" s="872" t="s">
        <v>3205</v>
      </c>
      <c r="C115" s="872" t="s">
        <v>4672</v>
      </c>
      <c r="D115" s="872"/>
      <c r="E115" s="164"/>
      <c r="F115" s="164"/>
      <c r="G115" s="164"/>
      <c r="H115" s="164"/>
      <c r="I115" s="164"/>
      <c r="J115" s="164"/>
      <c r="K115" s="164"/>
      <c r="L115" s="872"/>
      <c r="M115" s="164"/>
      <c r="N115" s="1801">
        <f>SUM(N116:N117)</f>
        <v>0</v>
      </c>
      <c r="O115" s="164"/>
      <c r="P115" s="164"/>
      <c r="Q115" s="701">
        <f>SUM(Q116:Q117)</f>
        <v>0</v>
      </c>
    </row>
    <row r="116" spans="1:17" s="892" customFormat="1" ht="30">
      <c r="A116" s="575" t="s">
        <v>4457</v>
      </c>
      <c r="B116" s="879" t="s">
        <v>3792</v>
      </c>
      <c r="C116" s="501" t="s">
        <v>3794</v>
      </c>
      <c r="D116" s="501" t="s">
        <v>5035</v>
      </c>
      <c r="E116" s="424"/>
      <c r="F116" s="424"/>
      <c r="G116" s="424"/>
      <c r="H116" s="424"/>
      <c r="I116" s="424"/>
      <c r="J116" s="424"/>
      <c r="K116" s="1494"/>
      <c r="L116" s="297">
        <f t="shared" ref="L116:L117" si="18">K116/100000</f>
        <v>0</v>
      </c>
      <c r="M116" s="277"/>
      <c r="N116" s="1808">
        <f>L116*M116</f>
        <v>0</v>
      </c>
      <c r="O116" s="425"/>
      <c r="P116" s="425"/>
      <c r="Q116" s="807"/>
    </row>
    <row r="117" spans="1:17" s="892" customFormat="1">
      <c r="A117" s="575" t="s">
        <v>5004</v>
      </c>
      <c r="B117" s="879" t="s">
        <v>3793</v>
      </c>
      <c r="C117" s="88" t="s">
        <v>1304</v>
      </c>
      <c r="D117" s="88" t="s">
        <v>3204</v>
      </c>
      <c r="E117" s="424"/>
      <c r="F117" s="424"/>
      <c r="G117" s="424"/>
      <c r="H117" s="424"/>
      <c r="I117" s="424"/>
      <c r="J117" s="424"/>
      <c r="K117" s="1494"/>
      <c r="L117" s="297">
        <f t="shared" si="18"/>
        <v>0</v>
      </c>
      <c r="M117" s="277"/>
      <c r="N117" s="1808">
        <f>L117*M117</f>
        <v>0</v>
      </c>
      <c r="O117" s="425"/>
      <c r="P117" s="425"/>
      <c r="Q117" s="807"/>
    </row>
    <row r="118" spans="1:17">
      <c r="A118" s="165" t="s">
        <v>3104</v>
      </c>
      <c r="B118" s="165"/>
      <c r="C118" s="165" t="s">
        <v>16</v>
      </c>
      <c r="D118" s="165"/>
      <c r="E118" s="101"/>
      <c r="F118" s="101"/>
      <c r="G118" s="101"/>
      <c r="H118" s="101"/>
      <c r="I118" s="101"/>
      <c r="J118" s="101"/>
      <c r="K118" s="101"/>
      <c r="L118" s="165"/>
      <c r="M118" s="101"/>
      <c r="N118" s="1800">
        <f>N119</f>
        <v>0</v>
      </c>
      <c r="O118" s="101"/>
      <c r="P118" s="101"/>
      <c r="Q118" s="806">
        <f>Q119</f>
        <v>0</v>
      </c>
    </row>
    <row r="119" spans="1:17">
      <c r="A119" s="88" t="s">
        <v>3105</v>
      </c>
      <c r="B119" s="88"/>
      <c r="C119" s="88" t="s">
        <v>4307</v>
      </c>
      <c r="D119" s="88" t="s">
        <v>5036</v>
      </c>
      <c r="E119" s="54"/>
      <c r="F119" s="54"/>
      <c r="G119" s="54"/>
      <c r="H119" s="54"/>
      <c r="I119" s="54"/>
      <c r="J119" s="54"/>
      <c r="K119" s="1494"/>
      <c r="L119" s="297">
        <f t="shared" ref="L119" si="19">K119/100000</f>
        <v>0</v>
      </c>
      <c r="M119" s="277"/>
      <c r="N119" s="1802">
        <f>L119*M119</f>
        <v>0</v>
      </c>
      <c r="O119" s="54"/>
      <c r="P119" s="54"/>
      <c r="Q119" s="807"/>
    </row>
    <row r="120" spans="1:17">
      <c r="A120" s="165" t="s">
        <v>3106</v>
      </c>
      <c r="B120" s="165"/>
      <c r="C120" s="165" t="s">
        <v>17</v>
      </c>
      <c r="D120" s="165"/>
      <c r="E120" s="101"/>
      <c r="F120" s="101"/>
      <c r="G120" s="101"/>
      <c r="H120" s="101"/>
      <c r="I120" s="101"/>
      <c r="J120" s="101"/>
      <c r="K120" s="101"/>
      <c r="L120" s="165"/>
      <c r="M120" s="101"/>
      <c r="N120" s="1800">
        <f>N121+N169+N170+N171</f>
        <v>0</v>
      </c>
      <c r="O120" s="101"/>
      <c r="P120" s="101"/>
      <c r="Q120" s="806">
        <f>Q121+Q169+Q170+Q171</f>
        <v>0</v>
      </c>
    </row>
    <row r="121" spans="1:17">
      <c r="A121" s="872" t="s">
        <v>3107</v>
      </c>
      <c r="B121" s="872"/>
      <c r="C121" s="872" t="s">
        <v>36</v>
      </c>
      <c r="D121" s="872"/>
      <c r="E121" s="164"/>
      <c r="F121" s="164"/>
      <c r="G121" s="164"/>
      <c r="H121" s="164"/>
      <c r="I121" s="164"/>
      <c r="J121" s="164"/>
      <c r="K121" s="164"/>
      <c r="L121" s="872"/>
      <c r="M121" s="164"/>
      <c r="N121" s="1801">
        <f>N122+N126+N130+N134+N138+N142+N150+N152+N162+N166</f>
        <v>0</v>
      </c>
      <c r="O121" s="164"/>
      <c r="P121" s="164"/>
      <c r="Q121" s="701">
        <f>Q122+Q126+Q130+Q134+Q138+Q142+Q150+Q152+Q162+Q166</f>
        <v>0</v>
      </c>
    </row>
    <row r="122" spans="1:17">
      <c r="A122" s="880" t="s">
        <v>3108</v>
      </c>
      <c r="B122" s="880" t="s">
        <v>2919</v>
      </c>
      <c r="C122" s="880" t="s">
        <v>2920</v>
      </c>
      <c r="D122" s="880"/>
      <c r="E122" s="102"/>
      <c r="F122" s="102"/>
      <c r="G122" s="102"/>
      <c r="H122" s="102"/>
      <c r="I122" s="102"/>
      <c r="J122" s="102"/>
      <c r="K122" s="102"/>
      <c r="L122" s="880"/>
      <c r="M122" s="102"/>
      <c r="N122" s="1154">
        <f>SUM(N123:N125)</f>
        <v>0</v>
      </c>
      <c r="O122" s="102"/>
      <c r="P122" s="102"/>
      <c r="Q122" s="810">
        <f>SUM(Q123:Q125)</f>
        <v>0</v>
      </c>
    </row>
    <row r="123" spans="1:17">
      <c r="A123" s="88" t="s">
        <v>3109</v>
      </c>
      <c r="B123" s="88" t="s">
        <v>2921</v>
      </c>
      <c r="C123" s="88" t="s">
        <v>2898</v>
      </c>
      <c r="D123" s="88" t="s">
        <v>5040</v>
      </c>
      <c r="E123" s="54"/>
      <c r="F123" s="54"/>
      <c r="G123" s="54"/>
      <c r="H123" s="54"/>
      <c r="I123" s="54"/>
      <c r="J123" s="54"/>
      <c r="K123" s="1494"/>
      <c r="L123" s="297">
        <f t="shared" ref="L123:L125" si="20">K123/100000</f>
        <v>0</v>
      </c>
      <c r="M123" s="277"/>
      <c r="N123" s="1802">
        <f>L123*M123</f>
        <v>0</v>
      </c>
      <c r="O123" s="54"/>
      <c r="P123" s="54"/>
      <c r="Q123" s="807"/>
    </row>
    <row r="124" spans="1:17">
      <c r="A124" s="88" t="s">
        <v>3110</v>
      </c>
      <c r="B124" s="88" t="s">
        <v>2922</v>
      </c>
      <c r="C124" s="88" t="s">
        <v>2900</v>
      </c>
      <c r="D124" s="88" t="s">
        <v>5040</v>
      </c>
      <c r="E124" s="54"/>
      <c r="F124" s="54"/>
      <c r="G124" s="54"/>
      <c r="H124" s="54"/>
      <c r="I124" s="54"/>
      <c r="J124" s="54"/>
      <c r="K124" s="1494"/>
      <c r="L124" s="297">
        <f t="shared" si="20"/>
        <v>0</v>
      </c>
      <c r="M124" s="277"/>
      <c r="N124" s="1802">
        <f>L124*M124</f>
        <v>0</v>
      </c>
      <c r="O124" s="54"/>
      <c r="P124" s="54"/>
      <c r="Q124" s="807"/>
    </row>
    <row r="125" spans="1:17">
      <c r="A125" s="88" t="s">
        <v>3111</v>
      </c>
      <c r="B125" s="88" t="s">
        <v>2923</v>
      </c>
      <c r="C125" s="88" t="s">
        <v>2901</v>
      </c>
      <c r="D125" s="88" t="s">
        <v>5040</v>
      </c>
      <c r="E125" s="54"/>
      <c r="F125" s="54"/>
      <c r="G125" s="54"/>
      <c r="H125" s="54"/>
      <c r="I125" s="54"/>
      <c r="J125" s="54"/>
      <c r="K125" s="1494"/>
      <c r="L125" s="297">
        <f t="shared" si="20"/>
        <v>0</v>
      </c>
      <c r="M125" s="277"/>
      <c r="N125" s="1802">
        <f>L125*M125</f>
        <v>0</v>
      </c>
      <c r="O125" s="54"/>
      <c r="P125" s="54"/>
      <c r="Q125" s="807"/>
    </row>
    <row r="126" spans="1:17">
      <c r="A126" s="880" t="s">
        <v>3112</v>
      </c>
      <c r="B126" s="880" t="s">
        <v>2924</v>
      </c>
      <c r="C126" s="880" t="s">
        <v>2925</v>
      </c>
      <c r="D126" s="880"/>
      <c r="E126" s="102"/>
      <c r="F126" s="102"/>
      <c r="G126" s="102"/>
      <c r="H126" s="102"/>
      <c r="I126" s="102"/>
      <c r="J126" s="102"/>
      <c r="K126" s="102"/>
      <c r="L126" s="880"/>
      <c r="M126" s="102"/>
      <c r="N126" s="1154">
        <f>SUM(N127:N129)</f>
        <v>0</v>
      </c>
      <c r="O126" s="102"/>
      <c r="P126" s="102"/>
      <c r="Q126" s="810">
        <f>SUM(Q127:Q129)</f>
        <v>0</v>
      </c>
    </row>
    <row r="127" spans="1:17">
      <c r="A127" s="88" t="s">
        <v>3113</v>
      </c>
      <c r="B127" s="88" t="s">
        <v>2926</v>
      </c>
      <c r="C127" s="88" t="s">
        <v>2898</v>
      </c>
      <c r="D127" s="88" t="s">
        <v>5040</v>
      </c>
      <c r="E127" s="54"/>
      <c r="F127" s="54"/>
      <c r="G127" s="54"/>
      <c r="H127" s="54"/>
      <c r="I127" s="54"/>
      <c r="J127" s="54"/>
      <c r="K127" s="1494"/>
      <c r="L127" s="297">
        <f t="shared" ref="L127:L129" si="21">K127/100000</f>
        <v>0</v>
      </c>
      <c r="M127" s="277"/>
      <c r="N127" s="1802">
        <f>L127*M127</f>
        <v>0</v>
      </c>
      <c r="O127" s="54"/>
      <c r="P127" s="54"/>
      <c r="Q127" s="807"/>
    </row>
    <row r="128" spans="1:17">
      <c r="A128" s="88" t="s">
        <v>3114</v>
      </c>
      <c r="B128" s="88" t="s">
        <v>2927</v>
      </c>
      <c r="C128" s="88" t="s">
        <v>2900</v>
      </c>
      <c r="D128" s="88" t="s">
        <v>5040</v>
      </c>
      <c r="E128" s="54"/>
      <c r="F128" s="54"/>
      <c r="G128" s="54"/>
      <c r="H128" s="54"/>
      <c r="I128" s="54"/>
      <c r="J128" s="54"/>
      <c r="K128" s="1494"/>
      <c r="L128" s="297">
        <f t="shared" si="21"/>
        <v>0</v>
      </c>
      <c r="M128" s="277"/>
      <c r="N128" s="1802">
        <f>L128*M128</f>
        <v>0</v>
      </c>
      <c r="O128" s="54"/>
      <c r="P128" s="54"/>
      <c r="Q128" s="807"/>
    </row>
    <row r="129" spans="1:17">
      <c r="A129" s="88" t="s">
        <v>3115</v>
      </c>
      <c r="B129" s="88" t="s">
        <v>2928</v>
      </c>
      <c r="C129" s="88" t="s">
        <v>2901</v>
      </c>
      <c r="D129" s="88" t="s">
        <v>5040</v>
      </c>
      <c r="E129" s="54"/>
      <c r="F129" s="54"/>
      <c r="G129" s="54"/>
      <c r="H129" s="54"/>
      <c r="I129" s="54"/>
      <c r="J129" s="54"/>
      <c r="K129" s="1494"/>
      <c r="L129" s="297">
        <f t="shared" si="21"/>
        <v>0</v>
      </c>
      <c r="M129" s="277"/>
      <c r="N129" s="1802">
        <f>L129*M129</f>
        <v>0</v>
      </c>
      <c r="O129" s="54"/>
      <c r="P129" s="54"/>
      <c r="Q129" s="807"/>
    </row>
    <row r="130" spans="1:17">
      <c r="A130" s="880" t="s">
        <v>3116</v>
      </c>
      <c r="B130" s="880" t="s">
        <v>2929</v>
      </c>
      <c r="C130" s="880" t="s">
        <v>2930</v>
      </c>
      <c r="D130" s="880"/>
      <c r="E130" s="102"/>
      <c r="F130" s="102"/>
      <c r="G130" s="102"/>
      <c r="H130" s="102"/>
      <c r="I130" s="102"/>
      <c r="J130" s="102"/>
      <c r="K130" s="102"/>
      <c r="L130" s="880"/>
      <c r="M130" s="102"/>
      <c r="N130" s="1154">
        <f>SUM(N131:N133)</f>
        <v>0</v>
      </c>
      <c r="O130" s="102"/>
      <c r="P130" s="102"/>
      <c r="Q130" s="810">
        <f>SUM(Q131:Q133)</f>
        <v>0</v>
      </c>
    </row>
    <row r="131" spans="1:17">
      <c r="A131" s="88" t="s">
        <v>3117</v>
      </c>
      <c r="B131" s="88" t="s">
        <v>2931</v>
      </c>
      <c r="C131" s="88" t="s">
        <v>2898</v>
      </c>
      <c r="D131" s="88" t="s">
        <v>5040</v>
      </c>
      <c r="E131" s="54"/>
      <c r="F131" s="54"/>
      <c r="G131" s="54"/>
      <c r="H131" s="54"/>
      <c r="I131" s="54"/>
      <c r="J131" s="54"/>
      <c r="K131" s="1494"/>
      <c r="L131" s="297">
        <f t="shared" ref="L131:L133" si="22">K131/100000</f>
        <v>0</v>
      </c>
      <c r="M131" s="277"/>
      <c r="N131" s="1802">
        <f>L131*M131</f>
        <v>0</v>
      </c>
      <c r="O131" s="54"/>
      <c r="P131" s="54"/>
      <c r="Q131" s="807"/>
    </row>
    <row r="132" spans="1:17">
      <c r="A132" s="88" t="s">
        <v>3118</v>
      </c>
      <c r="B132" s="88" t="s">
        <v>2932</v>
      </c>
      <c r="C132" s="88" t="s">
        <v>2900</v>
      </c>
      <c r="D132" s="88" t="s">
        <v>5040</v>
      </c>
      <c r="E132" s="54"/>
      <c r="F132" s="54"/>
      <c r="G132" s="54"/>
      <c r="H132" s="54"/>
      <c r="I132" s="54"/>
      <c r="J132" s="54"/>
      <c r="K132" s="1494"/>
      <c r="L132" s="297">
        <f t="shared" si="22"/>
        <v>0</v>
      </c>
      <c r="M132" s="277"/>
      <c r="N132" s="1802">
        <f>L132*M132</f>
        <v>0</v>
      </c>
      <c r="O132" s="54"/>
      <c r="P132" s="54"/>
      <c r="Q132" s="807"/>
    </row>
    <row r="133" spans="1:17">
      <c r="A133" s="88" t="s">
        <v>3119</v>
      </c>
      <c r="B133" s="88" t="s">
        <v>2933</v>
      </c>
      <c r="C133" s="88" t="s">
        <v>2901</v>
      </c>
      <c r="D133" s="88" t="s">
        <v>5040</v>
      </c>
      <c r="E133" s="54"/>
      <c r="F133" s="54"/>
      <c r="G133" s="54"/>
      <c r="H133" s="54"/>
      <c r="I133" s="54"/>
      <c r="J133" s="54"/>
      <c r="K133" s="1494"/>
      <c r="L133" s="297">
        <f t="shared" si="22"/>
        <v>0</v>
      </c>
      <c r="M133" s="277"/>
      <c r="N133" s="1802">
        <f>L133*M133</f>
        <v>0</v>
      </c>
      <c r="O133" s="54"/>
      <c r="P133" s="54"/>
      <c r="Q133" s="807"/>
    </row>
    <row r="134" spans="1:17">
      <c r="A134" s="880" t="s">
        <v>3120</v>
      </c>
      <c r="B134" s="880" t="s">
        <v>2934</v>
      </c>
      <c r="C134" s="880" t="s">
        <v>547</v>
      </c>
      <c r="D134" s="880"/>
      <c r="E134" s="102"/>
      <c r="F134" s="102"/>
      <c r="G134" s="102"/>
      <c r="H134" s="102"/>
      <c r="I134" s="102"/>
      <c r="J134" s="102"/>
      <c r="K134" s="102"/>
      <c r="L134" s="880"/>
      <c r="M134" s="102"/>
      <c r="N134" s="1154">
        <f>SUM(N135:N137)</f>
        <v>0</v>
      </c>
      <c r="O134" s="102"/>
      <c r="P134" s="102"/>
      <c r="Q134" s="810">
        <f>SUM(Q135:Q137)</f>
        <v>0</v>
      </c>
    </row>
    <row r="135" spans="1:17">
      <c r="A135" s="88" t="s">
        <v>3121</v>
      </c>
      <c r="B135" s="88" t="s">
        <v>2935</v>
      </c>
      <c r="C135" s="88" t="s">
        <v>2898</v>
      </c>
      <c r="D135" s="88" t="s">
        <v>5040</v>
      </c>
      <c r="E135" s="54"/>
      <c r="F135" s="54"/>
      <c r="G135" s="54"/>
      <c r="H135" s="54"/>
      <c r="I135" s="54"/>
      <c r="J135" s="54"/>
      <c r="K135" s="1494"/>
      <c r="L135" s="297">
        <f t="shared" ref="L135:L137" si="23">K135/100000</f>
        <v>0</v>
      </c>
      <c r="M135" s="277"/>
      <c r="N135" s="1802">
        <f>L135*M135</f>
        <v>0</v>
      </c>
      <c r="O135" s="54"/>
      <c r="P135" s="54"/>
      <c r="Q135" s="807"/>
    </row>
    <row r="136" spans="1:17">
      <c r="A136" s="88" t="s">
        <v>3122</v>
      </c>
      <c r="B136" s="88" t="s">
        <v>2936</v>
      </c>
      <c r="C136" s="88" t="s">
        <v>2900</v>
      </c>
      <c r="D136" s="88" t="s">
        <v>5040</v>
      </c>
      <c r="E136" s="54"/>
      <c r="F136" s="54"/>
      <c r="G136" s="54"/>
      <c r="H136" s="54"/>
      <c r="I136" s="54"/>
      <c r="J136" s="54"/>
      <c r="K136" s="1494"/>
      <c r="L136" s="297">
        <f t="shared" si="23"/>
        <v>0</v>
      </c>
      <c r="M136" s="277"/>
      <c r="N136" s="1802">
        <f>L136*M136</f>
        <v>0</v>
      </c>
      <c r="O136" s="54"/>
      <c r="P136" s="54"/>
      <c r="Q136" s="807"/>
    </row>
    <row r="137" spans="1:17">
      <c r="A137" s="88" t="s">
        <v>3123</v>
      </c>
      <c r="B137" s="88" t="s">
        <v>2937</v>
      </c>
      <c r="C137" s="88" t="s">
        <v>2901</v>
      </c>
      <c r="D137" s="88" t="s">
        <v>5040</v>
      </c>
      <c r="E137" s="54"/>
      <c r="F137" s="54"/>
      <c r="G137" s="54"/>
      <c r="H137" s="54"/>
      <c r="I137" s="54"/>
      <c r="J137" s="54"/>
      <c r="K137" s="1494"/>
      <c r="L137" s="297">
        <f t="shared" si="23"/>
        <v>0</v>
      </c>
      <c r="M137" s="277"/>
      <c r="N137" s="1802">
        <f>L137*M137</f>
        <v>0</v>
      </c>
      <c r="O137" s="54"/>
      <c r="P137" s="54"/>
      <c r="Q137" s="807"/>
    </row>
    <row r="138" spans="1:17">
      <c r="A138" s="880" t="s">
        <v>3124</v>
      </c>
      <c r="B138" s="880" t="s">
        <v>2938</v>
      </c>
      <c r="C138" s="880" t="s">
        <v>2939</v>
      </c>
      <c r="D138" s="880"/>
      <c r="E138" s="102"/>
      <c r="F138" s="102"/>
      <c r="G138" s="102"/>
      <c r="H138" s="102"/>
      <c r="I138" s="102"/>
      <c r="J138" s="102"/>
      <c r="K138" s="102"/>
      <c r="L138" s="880"/>
      <c r="M138" s="102"/>
      <c r="N138" s="1154">
        <f>SUM(N139:N141)</f>
        <v>0</v>
      </c>
      <c r="O138" s="102"/>
      <c r="P138" s="102"/>
      <c r="Q138" s="810">
        <f>SUM(Q139:Q141)</f>
        <v>0</v>
      </c>
    </row>
    <row r="139" spans="1:17">
      <c r="A139" s="88" t="s">
        <v>3125</v>
      </c>
      <c r="B139" s="88" t="s">
        <v>2940</v>
      </c>
      <c r="C139" s="88" t="s">
        <v>2941</v>
      </c>
      <c r="D139" s="88" t="s">
        <v>5040</v>
      </c>
      <c r="E139" s="54"/>
      <c r="F139" s="54"/>
      <c r="G139" s="54"/>
      <c r="H139" s="54"/>
      <c r="I139" s="54"/>
      <c r="J139" s="54"/>
      <c r="K139" s="1494"/>
      <c r="L139" s="297">
        <f t="shared" ref="L139:L141" si="24">K139/100000</f>
        <v>0</v>
      </c>
      <c r="M139" s="277"/>
      <c r="N139" s="1802">
        <f>L139*M139</f>
        <v>0</v>
      </c>
      <c r="O139" s="54"/>
      <c r="P139" s="54"/>
      <c r="Q139" s="807"/>
    </row>
    <row r="140" spans="1:17">
      <c r="A140" s="88" t="s">
        <v>3126</v>
      </c>
      <c r="B140" s="88" t="s">
        <v>2942</v>
      </c>
      <c r="C140" s="88" t="s">
        <v>634</v>
      </c>
      <c r="D140" s="88" t="s">
        <v>5040</v>
      </c>
      <c r="E140" s="54"/>
      <c r="F140" s="54"/>
      <c r="G140" s="54"/>
      <c r="H140" s="54"/>
      <c r="I140" s="54"/>
      <c r="J140" s="54"/>
      <c r="K140" s="1494"/>
      <c r="L140" s="297">
        <f t="shared" si="24"/>
        <v>0</v>
      </c>
      <c r="M140" s="277"/>
      <c r="N140" s="1802">
        <f>L140*M140</f>
        <v>0</v>
      </c>
      <c r="O140" s="54"/>
      <c r="P140" s="54"/>
      <c r="Q140" s="807"/>
    </row>
    <row r="141" spans="1:17">
      <c r="A141" s="88" t="s">
        <v>3127</v>
      </c>
      <c r="B141" s="88" t="s">
        <v>2943</v>
      </c>
      <c r="C141" s="88" t="s">
        <v>1304</v>
      </c>
      <c r="D141" s="88" t="s">
        <v>5040</v>
      </c>
      <c r="E141" s="54"/>
      <c r="F141" s="54"/>
      <c r="G141" s="54"/>
      <c r="H141" s="54"/>
      <c r="I141" s="54"/>
      <c r="J141" s="54"/>
      <c r="K141" s="1494"/>
      <c r="L141" s="297">
        <f t="shared" si="24"/>
        <v>0</v>
      </c>
      <c r="M141" s="277"/>
      <c r="N141" s="1802">
        <f>L141*M141</f>
        <v>0</v>
      </c>
      <c r="O141" s="54"/>
      <c r="P141" s="54"/>
      <c r="Q141" s="807"/>
    </row>
    <row r="142" spans="1:17">
      <c r="A142" s="880" t="s">
        <v>3128</v>
      </c>
      <c r="B142" s="880" t="s">
        <v>2944</v>
      </c>
      <c r="C142" s="880" t="s">
        <v>2945</v>
      </c>
      <c r="D142" s="880"/>
      <c r="E142" s="102"/>
      <c r="F142" s="102"/>
      <c r="G142" s="102"/>
      <c r="H142" s="102"/>
      <c r="I142" s="102"/>
      <c r="J142" s="102"/>
      <c r="K142" s="102"/>
      <c r="L142" s="880"/>
      <c r="M142" s="102"/>
      <c r="N142" s="1154">
        <f>SUM(N143:N149)</f>
        <v>0</v>
      </c>
      <c r="O142" s="102"/>
      <c r="P142" s="102"/>
      <c r="Q142" s="810">
        <f>SUM(Q143:Q149)</f>
        <v>0</v>
      </c>
    </row>
    <row r="143" spans="1:17">
      <c r="A143" s="88" t="s">
        <v>3129</v>
      </c>
      <c r="B143" s="88" t="s">
        <v>2946</v>
      </c>
      <c r="C143" s="88" t="s">
        <v>2947</v>
      </c>
      <c r="D143" s="88" t="s">
        <v>5040</v>
      </c>
      <c r="E143" s="54"/>
      <c r="F143" s="54"/>
      <c r="G143" s="54"/>
      <c r="H143" s="54"/>
      <c r="I143" s="54"/>
      <c r="J143" s="54"/>
      <c r="K143" s="1494"/>
      <c r="L143" s="297">
        <f t="shared" ref="L143:L149" si="25">K143/100000</f>
        <v>0</v>
      </c>
      <c r="M143" s="277"/>
      <c r="N143" s="1802">
        <f t="shared" ref="N143:N149" si="26">L143*M143</f>
        <v>0</v>
      </c>
      <c r="O143" s="54"/>
      <c r="P143" s="54"/>
      <c r="Q143" s="807"/>
    </row>
    <row r="144" spans="1:17">
      <c r="A144" s="88" t="s">
        <v>3130</v>
      </c>
      <c r="B144" s="88" t="s">
        <v>2948</v>
      </c>
      <c r="C144" s="88" t="s">
        <v>551</v>
      </c>
      <c r="D144" s="88" t="s">
        <v>5040</v>
      </c>
      <c r="E144" s="54"/>
      <c r="F144" s="54"/>
      <c r="G144" s="54"/>
      <c r="H144" s="54"/>
      <c r="I144" s="54"/>
      <c r="J144" s="54"/>
      <c r="K144" s="1494"/>
      <c r="L144" s="297">
        <f t="shared" si="25"/>
        <v>0</v>
      </c>
      <c r="M144" s="277"/>
      <c r="N144" s="1802">
        <f t="shared" si="26"/>
        <v>0</v>
      </c>
      <c r="O144" s="54"/>
      <c r="P144" s="54"/>
      <c r="Q144" s="807"/>
    </row>
    <row r="145" spans="1:17">
      <c r="A145" s="88" t="s">
        <v>3131</v>
      </c>
      <c r="B145" s="88" t="s">
        <v>2949</v>
      </c>
      <c r="C145" s="88" t="s">
        <v>2950</v>
      </c>
      <c r="D145" s="88" t="s">
        <v>5040</v>
      </c>
      <c r="E145" s="54"/>
      <c r="F145" s="54"/>
      <c r="G145" s="54"/>
      <c r="H145" s="54"/>
      <c r="I145" s="54"/>
      <c r="J145" s="54"/>
      <c r="K145" s="1494"/>
      <c r="L145" s="297">
        <f t="shared" si="25"/>
        <v>0</v>
      </c>
      <c r="M145" s="277"/>
      <c r="N145" s="1802">
        <f t="shared" si="26"/>
        <v>0</v>
      </c>
      <c r="O145" s="54"/>
      <c r="P145" s="54"/>
      <c r="Q145" s="807"/>
    </row>
    <row r="146" spans="1:17">
      <c r="A146" s="88" t="s">
        <v>3132</v>
      </c>
      <c r="B146" s="88" t="s">
        <v>2951</v>
      </c>
      <c r="C146" s="88" t="s">
        <v>2952</v>
      </c>
      <c r="D146" s="88" t="s">
        <v>5040</v>
      </c>
      <c r="E146" s="54"/>
      <c r="F146" s="54"/>
      <c r="G146" s="54"/>
      <c r="H146" s="54"/>
      <c r="I146" s="54"/>
      <c r="J146" s="54"/>
      <c r="K146" s="1494"/>
      <c r="L146" s="297">
        <f t="shared" si="25"/>
        <v>0</v>
      </c>
      <c r="M146" s="277"/>
      <c r="N146" s="1802">
        <f t="shared" si="26"/>
        <v>0</v>
      </c>
      <c r="O146" s="54"/>
      <c r="P146" s="54"/>
      <c r="Q146" s="807"/>
    </row>
    <row r="147" spans="1:17">
      <c r="A147" s="88" t="s">
        <v>3133</v>
      </c>
      <c r="B147" s="88" t="s">
        <v>2953</v>
      </c>
      <c r="C147" s="88" t="s">
        <v>2954</v>
      </c>
      <c r="D147" s="88" t="s">
        <v>5040</v>
      </c>
      <c r="E147" s="54"/>
      <c r="F147" s="54"/>
      <c r="G147" s="54"/>
      <c r="H147" s="54"/>
      <c r="I147" s="54"/>
      <c r="J147" s="54"/>
      <c r="K147" s="1494"/>
      <c r="L147" s="297">
        <f t="shared" si="25"/>
        <v>0</v>
      </c>
      <c r="M147" s="277"/>
      <c r="N147" s="1802">
        <f t="shared" si="26"/>
        <v>0</v>
      </c>
      <c r="O147" s="54"/>
      <c r="P147" s="54"/>
      <c r="Q147" s="807"/>
    </row>
    <row r="148" spans="1:17">
      <c r="A148" s="88" t="s">
        <v>3134</v>
      </c>
      <c r="B148" s="88" t="s">
        <v>2955</v>
      </c>
      <c r="C148" s="88" t="s">
        <v>2956</v>
      </c>
      <c r="D148" s="88" t="s">
        <v>5040</v>
      </c>
      <c r="E148" s="54"/>
      <c r="F148" s="54"/>
      <c r="G148" s="54"/>
      <c r="H148" s="54"/>
      <c r="I148" s="54"/>
      <c r="J148" s="54"/>
      <c r="K148" s="1494"/>
      <c r="L148" s="297">
        <f t="shared" si="25"/>
        <v>0</v>
      </c>
      <c r="M148" s="277"/>
      <c r="N148" s="1802">
        <f t="shared" si="26"/>
        <v>0</v>
      </c>
      <c r="O148" s="54"/>
      <c r="P148" s="54"/>
      <c r="Q148" s="807"/>
    </row>
    <row r="149" spans="1:17">
      <c r="A149" s="88" t="s">
        <v>3135</v>
      </c>
      <c r="B149" s="88" t="s">
        <v>2957</v>
      </c>
      <c r="C149" s="88" t="s">
        <v>473</v>
      </c>
      <c r="D149" s="88" t="s">
        <v>5040</v>
      </c>
      <c r="E149" s="54"/>
      <c r="F149" s="54"/>
      <c r="G149" s="54"/>
      <c r="H149" s="54"/>
      <c r="I149" s="54"/>
      <c r="J149" s="54"/>
      <c r="K149" s="1494"/>
      <c r="L149" s="297">
        <f t="shared" si="25"/>
        <v>0</v>
      </c>
      <c r="M149" s="277"/>
      <c r="N149" s="1802">
        <f t="shared" si="26"/>
        <v>0</v>
      </c>
      <c r="O149" s="54"/>
      <c r="P149" s="54"/>
      <c r="Q149" s="807"/>
    </row>
    <row r="150" spans="1:17">
      <c r="A150" s="880" t="s">
        <v>3136</v>
      </c>
      <c r="B150" s="880"/>
      <c r="C150" s="880" t="s">
        <v>500</v>
      </c>
      <c r="D150" s="880"/>
      <c r="E150" s="102"/>
      <c r="F150" s="102"/>
      <c r="G150" s="102"/>
      <c r="H150" s="102"/>
      <c r="I150" s="102"/>
      <c r="J150" s="102"/>
      <c r="K150" s="102"/>
      <c r="L150" s="880"/>
      <c r="M150" s="102"/>
      <c r="N150" s="1154">
        <f>N151</f>
        <v>0</v>
      </c>
      <c r="O150" s="102"/>
      <c r="P150" s="102"/>
      <c r="Q150" s="810">
        <f>Q151</f>
        <v>0</v>
      </c>
    </row>
    <row r="151" spans="1:17">
      <c r="A151" s="88" t="s">
        <v>3137</v>
      </c>
      <c r="B151" s="88" t="s">
        <v>2957</v>
      </c>
      <c r="C151" s="88" t="s">
        <v>2958</v>
      </c>
      <c r="D151" s="88" t="s">
        <v>5040</v>
      </c>
      <c r="E151" s="54"/>
      <c r="F151" s="54"/>
      <c r="G151" s="54"/>
      <c r="H151" s="54"/>
      <c r="I151" s="54"/>
      <c r="J151" s="54"/>
      <c r="K151" s="1494"/>
      <c r="L151" s="297">
        <f t="shared" ref="L151" si="27">K151/100000</f>
        <v>0</v>
      </c>
      <c r="M151" s="277"/>
      <c r="N151" s="1802">
        <f>L151*M151</f>
        <v>0</v>
      </c>
      <c r="O151" s="54"/>
      <c r="P151" s="54"/>
      <c r="Q151" s="807"/>
    </row>
    <row r="152" spans="1:17">
      <c r="A152" s="880" t="s">
        <v>3138</v>
      </c>
      <c r="B152" s="880"/>
      <c r="C152" s="880" t="s">
        <v>519</v>
      </c>
      <c r="D152" s="880"/>
      <c r="E152" s="102"/>
      <c r="F152" s="102"/>
      <c r="G152" s="102"/>
      <c r="H152" s="102"/>
      <c r="I152" s="102"/>
      <c r="J152" s="102"/>
      <c r="K152" s="102"/>
      <c r="L152" s="880"/>
      <c r="M152" s="102"/>
      <c r="N152" s="1154">
        <f>N153+N156+N159</f>
        <v>0</v>
      </c>
      <c r="O152" s="102"/>
      <c r="P152" s="102"/>
      <c r="Q152" s="810">
        <f>Q153+Q156+Q159</f>
        <v>0</v>
      </c>
    </row>
    <row r="153" spans="1:17" s="887" customFormat="1">
      <c r="A153" s="890" t="s">
        <v>3139</v>
      </c>
      <c r="B153" s="893" t="s">
        <v>2959</v>
      </c>
      <c r="C153" s="893" t="s">
        <v>2960</v>
      </c>
      <c r="D153" s="893"/>
      <c r="E153" s="258"/>
      <c r="F153" s="258"/>
      <c r="G153" s="258"/>
      <c r="H153" s="258"/>
      <c r="I153" s="258"/>
      <c r="J153" s="258"/>
      <c r="K153" s="1494"/>
      <c r="L153" s="297">
        <f t="shared" ref="L153:L161" si="28">K153/100000</f>
        <v>0</v>
      </c>
      <c r="M153" s="258"/>
      <c r="N153" s="1808">
        <f>SUM(N154:N155)</f>
        <v>0</v>
      </c>
      <c r="O153" s="251"/>
      <c r="P153" s="251"/>
      <c r="Q153" s="812">
        <f>SUM(Q154:Q155)</f>
        <v>0</v>
      </c>
    </row>
    <row r="154" spans="1:17">
      <c r="A154" s="88" t="s">
        <v>3140</v>
      </c>
      <c r="B154" s="88" t="s">
        <v>2961</v>
      </c>
      <c r="C154" s="88" t="s">
        <v>2962</v>
      </c>
      <c r="D154" s="88" t="s">
        <v>5040</v>
      </c>
      <c r="E154" s="54"/>
      <c r="F154" s="54"/>
      <c r="G154" s="54"/>
      <c r="H154" s="54"/>
      <c r="I154" s="54"/>
      <c r="J154" s="54"/>
      <c r="K154" s="1494"/>
      <c r="L154" s="297">
        <f t="shared" si="28"/>
        <v>0</v>
      </c>
      <c r="M154" s="277"/>
      <c r="N154" s="1802">
        <f t="shared" ref="N154:N161" si="29">L154*M154</f>
        <v>0</v>
      </c>
      <c r="O154" s="54"/>
      <c r="P154" s="54"/>
      <c r="Q154" s="807"/>
    </row>
    <row r="155" spans="1:17">
      <c r="A155" s="88" t="s">
        <v>3141</v>
      </c>
      <c r="B155" s="88" t="s">
        <v>2963</v>
      </c>
      <c r="C155" s="88" t="s">
        <v>2964</v>
      </c>
      <c r="D155" s="88" t="s">
        <v>5040</v>
      </c>
      <c r="E155" s="54"/>
      <c r="F155" s="54"/>
      <c r="G155" s="54"/>
      <c r="H155" s="54"/>
      <c r="I155" s="54"/>
      <c r="J155" s="54"/>
      <c r="K155" s="1494"/>
      <c r="L155" s="297">
        <f t="shared" si="28"/>
        <v>0</v>
      </c>
      <c r="M155" s="277"/>
      <c r="N155" s="1802">
        <f t="shared" si="29"/>
        <v>0</v>
      </c>
      <c r="O155" s="54"/>
      <c r="P155" s="54"/>
      <c r="Q155" s="807"/>
    </row>
    <row r="156" spans="1:17" s="887" customFormat="1">
      <c r="A156" s="890" t="s">
        <v>3142</v>
      </c>
      <c r="B156" s="893" t="s">
        <v>2965</v>
      </c>
      <c r="C156" s="893" t="s">
        <v>2966</v>
      </c>
      <c r="D156" s="893"/>
      <c r="E156" s="258"/>
      <c r="F156" s="258"/>
      <c r="G156" s="258"/>
      <c r="H156" s="258"/>
      <c r="I156" s="258"/>
      <c r="J156" s="258"/>
      <c r="K156" s="1494"/>
      <c r="L156" s="297">
        <f t="shared" si="28"/>
        <v>0</v>
      </c>
      <c r="M156" s="258"/>
      <c r="N156" s="1808">
        <f>SUM(N157:N158)</f>
        <v>0</v>
      </c>
      <c r="O156" s="251"/>
      <c r="P156" s="251"/>
      <c r="Q156" s="812">
        <f>SUM(Q157:Q158)</f>
        <v>0</v>
      </c>
    </row>
    <row r="157" spans="1:17">
      <c r="A157" s="88" t="s">
        <v>3143</v>
      </c>
      <c r="B157" s="88" t="s">
        <v>2967</v>
      </c>
      <c r="C157" s="88" t="s">
        <v>2962</v>
      </c>
      <c r="D157" s="88" t="s">
        <v>5040</v>
      </c>
      <c r="E157" s="54"/>
      <c r="F157" s="54"/>
      <c r="G157" s="54"/>
      <c r="H157" s="54"/>
      <c r="I157" s="54"/>
      <c r="J157" s="54"/>
      <c r="K157" s="1494"/>
      <c r="L157" s="297">
        <f t="shared" si="28"/>
        <v>0</v>
      </c>
      <c r="M157" s="277"/>
      <c r="N157" s="1802">
        <f t="shared" si="29"/>
        <v>0</v>
      </c>
      <c r="O157" s="54"/>
      <c r="P157" s="54"/>
      <c r="Q157" s="807"/>
    </row>
    <row r="158" spans="1:17">
      <c r="A158" s="88" t="s">
        <v>3144</v>
      </c>
      <c r="B158" s="88" t="s">
        <v>2968</v>
      </c>
      <c r="C158" s="88" t="s">
        <v>2964</v>
      </c>
      <c r="D158" s="88" t="s">
        <v>5040</v>
      </c>
      <c r="E158" s="54"/>
      <c r="F158" s="54"/>
      <c r="G158" s="54"/>
      <c r="H158" s="54"/>
      <c r="I158" s="54"/>
      <c r="J158" s="54"/>
      <c r="K158" s="1494"/>
      <c r="L158" s="297">
        <f t="shared" si="28"/>
        <v>0</v>
      </c>
      <c r="M158" s="277"/>
      <c r="N158" s="1802">
        <f t="shared" si="29"/>
        <v>0</v>
      </c>
      <c r="O158" s="54"/>
      <c r="P158" s="54"/>
      <c r="Q158" s="807"/>
    </row>
    <row r="159" spans="1:17" s="887" customFormat="1">
      <c r="A159" s="890" t="s">
        <v>3145</v>
      </c>
      <c r="B159" s="893" t="s">
        <v>2969</v>
      </c>
      <c r="C159" s="893" t="s">
        <v>2970</v>
      </c>
      <c r="D159" s="893"/>
      <c r="E159" s="258"/>
      <c r="F159" s="258"/>
      <c r="G159" s="258"/>
      <c r="H159" s="258"/>
      <c r="I159" s="258"/>
      <c r="J159" s="258"/>
      <c r="K159" s="1494"/>
      <c r="L159" s="297">
        <f t="shared" si="28"/>
        <v>0</v>
      </c>
      <c r="M159" s="258"/>
      <c r="N159" s="1808">
        <f>SUM(N160:N161)</f>
        <v>0</v>
      </c>
      <c r="O159" s="251"/>
      <c r="P159" s="251"/>
      <c r="Q159" s="812">
        <f>SUM(Q160:Q161)</f>
        <v>0</v>
      </c>
    </row>
    <row r="160" spans="1:17">
      <c r="A160" s="88" t="s">
        <v>3146</v>
      </c>
      <c r="B160" s="88" t="s">
        <v>2971</v>
      </c>
      <c r="C160" s="88" t="s">
        <v>2962</v>
      </c>
      <c r="D160" s="88" t="s">
        <v>5040</v>
      </c>
      <c r="E160" s="54"/>
      <c r="F160" s="54"/>
      <c r="G160" s="54"/>
      <c r="H160" s="54"/>
      <c r="I160" s="54"/>
      <c r="J160" s="54"/>
      <c r="K160" s="1494"/>
      <c r="L160" s="297">
        <f t="shared" si="28"/>
        <v>0</v>
      </c>
      <c r="M160" s="277"/>
      <c r="N160" s="1802">
        <f t="shared" si="29"/>
        <v>0</v>
      </c>
      <c r="O160" s="54"/>
      <c r="P160" s="54"/>
      <c r="Q160" s="807"/>
    </row>
    <row r="161" spans="1:17">
      <c r="A161" s="88" t="s">
        <v>3147</v>
      </c>
      <c r="B161" s="88" t="s">
        <v>2971</v>
      </c>
      <c r="C161" s="88" t="s">
        <v>2964</v>
      </c>
      <c r="D161" s="88" t="s">
        <v>5040</v>
      </c>
      <c r="E161" s="54"/>
      <c r="F161" s="54"/>
      <c r="G161" s="54"/>
      <c r="H161" s="54"/>
      <c r="I161" s="54"/>
      <c r="J161" s="54"/>
      <c r="K161" s="1494"/>
      <c r="L161" s="297">
        <f t="shared" si="28"/>
        <v>0</v>
      </c>
      <c r="M161" s="277"/>
      <c r="N161" s="1802">
        <f t="shared" si="29"/>
        <v>0</v>
      </c>
      <c r="O161" s="54"/>
      <c r="P161" s="54"/>
      <c r="Q161" s="807"/>
    </row>
    <row r="162" spans="1:17">
      <c r="A162" s="880" t="s">
        <v>3148</v>
      </c>
      <c r="B162" s="880"/>
      <c r="C162" s="880" t="s">
        <v>668</v>
      </c>
      <c r="D162" s="880"/>
      <c r="E162" s="102"/>
      <c r="F162" s="102"/>
      <c r="G162" s="102"/>
      <c r="H162" s="102"/>
      <c r="I162" s="102"/>
      <c r="J162" s="102"/>
      <c r="K162" s="102"/>
      <c r="L162" s="880"/>
      <c r="M162" s="102"/>
      <c r="N162" s="1154">
        <f>N163</f>
        <v>0</v>
      </c>
      <c r="O162" s="102"/>
      <c r="P162" s="102"/>
      <c r="Q162" s="810">
        <f>Q163</f>
        <v>0</v>
      </c>
    </row>
    <row r="163" spans="1:17" s="887" customFormat="1">
      <c r="A163" s="890" t="s">
        <v>3149</v>
      </c>
      <c r="B163" s="893" t="s">
        <v>2972</v>
      </c>
      <c r="C163" s="893" t="s">
        <v>2973</v>
      </c>
      <c r="D163" s="893"/>
      <c r="E163" s="258"/>
      <c r="F163" s="258"/>
      <c r="G163" s="258"/>
      <c r="H163" s="258"/>
      <c r="I163" s="258"/>
      <c r="J163" s="258"/>
      <c r="K163" s="1494"/>
      <c r="L163" s="297">
        <f t="shared" ref="L163:L165" si="30">K163/100000</f>
        <v>0</v>
      </c>
      <c r="M163" s="258"/>
      <c r="N163" s="1808">
        <f>SUM(N164:N165)</f>
        <v>0</v>
      </c>
      <c r="O163" s="251"/>
      <c r="P163" s="251"/>
      <c r="Q163" s="812">
        <f>SUM(Q164:Q165)</f>
        <v>0</v>
      </c>
    </row>
    <row r="164" spans="1:17">
      <c r="A164" s="88" t="s">
        <v>3150</v>
      </c>
      <c r="B164" s="88" t="s">
        <v>2974</v>
      </c>
      <c r="C164" s="88" t="s">
        <v>2898</v>
      </c>
      <c r="D164" s="88" t="s">
        <v>5040</v>
      </c>
      <c r="E164" s="54"/>
      <c r="F164" s="54"/>
      <c r="G164" s="54"/>
      <c r="H164" s="54"/>
      <c r="I164" s="54"/>
      <c r="J164" s="54"/>
      <c r="K164" s="1494"/>
      <c r="L164" s="297">
        <f t="shared" si="30"/>
        <v>0</v>
      </c>
      <c r="M164" s="277"/>
      <c r="N164" s="1802">
        <f>L164*M164</f>
        <v>0</v>
      </c>
      <c r="O164" s="54"/>
      <c r="P164" s="54"/>
      <c r="Q164" s="807"/>
    </row>
    <row r="165" spans="1:17">
      <c r="A165" s="88" t="s">
        <v>3151</v>
      </c>
      <c r="B165" s="88" t="s">
        <v>2942</v>
      </c>
      <c r="C165" s="88" t="s">
        <v>2900</v>
      </c>
      <c r="D165" s="88" t="s">
        <v>5040</v>
      </c>
      <c r="E165" s="54"/>
      <c r="F165" s="54"/>
      <c r="G165" s="54"/>
      <c r="H165" s="54"/>
      <c r="I165" s="54"/>
      <c r="J165" s="54"/>
      <c r="K165" s="1494"/>
      <c r="L165" s="297">
        <f t="shared" si="30"/>
        <v>0</v>
      </c>
      <c r="M165" s="277"/>
      <c r="N165" s="1802">
        <f>L165*M165</f>
        <v>0</v>
      </c>
      <c r="O165" s="54"/>
      <c r="P165" s="54"/>
      <c r="Q165" s="807"/>
    </row>
    <row r="166" spans="1:17">
      <c r="A166" s="880" t="s">
        <v>3152</v>
      </c>
      <c r="B166" s="880"/>
      <c r="C166" s="880" t="s">
        <v>2346</v>
      </c>
      <c r="D166" s="880"/>
      <c r="E166" s="102"/>
      <c r="F166" s="102"/>
      <c r="G166" s="102"/>
      <c r="H166" s="102"/>
      <c r="I166" s="102"/>
      <c r="J166" s="102"/>
      <c r="K166" s="102"/>
      <c r="L166" s="880"/>
      <c r="M166" s="102"/>
      <c r="N166" s="1154">
        <f>SUM(N167:N168)</f>
        <v>0</v>
      </c>
      <c r="O166" s="102"/>
      <c r="P166" s="102"/>
      <c r="Q166" s="810">
        <f>SUM(Q167:Q168)</f>
        <v>0</v>
      </c>
    </row>
    <row r="167" spans="1:17">
      <c r="A167" s="88" t="s">
        <v>3153</v>
      </c>
      <c r="B167" s="88" t="s">
        <v>2975</v>
      </c>
      <c r="C167" s="88" t="s">
        <v>2976</v>
      </c>
      <c r="D167" s="88" t="s">
        <v>5040</v>
      </c>
      <c r="E167" s="54"/>
      <c r="F167" s="54"/>
      <c r="G167" s="54"/>
      <c r="H167" s="54"/>
      <c r="I167" s="54"/>
      <c r="J167" s="54"/>
      <c r="K167" s="1494"/>
      <c r="L167" s="297">
        <f t="shared" ref="L167:L168" si="31">K167/100000</f>
        <v>0</v>
      </c>
      <c r="M167" s="277"/>
      <c r="N167" s="1802">
        <f>L167*M167</f>
        <v>0</v>
      </c>
      <c r="O167" s="54"/>
      <c r="P167" s="54"/>
      <c r="Q167" s="807"/>
    </row>
    <row r="168" spans="1:17">
      <c r="A168" s="88" t="s">
        <v>3154</v>
      </c>
      <c r="B168" s="88" t="s">
        <v>2977</v>
      </c>
      <c r="C168" s="88" t="s">
        <v>2978</v>
      </c>
      <c r="D168" s="88" t="s">
        <v>5040</v>
      </c>
      <c r="E168" s="54"/>
      <c r="F168" s="54"/>
      <c r="G168" s="54"/>
      <c r="H168" s="54"/>
      <c r="I168" s="54"/>
      <c r="J168" s="54"/>
      <c r="K168" s="1494"/>
      <c r="L168" s="297">
        <f t="shared" si="31"/>
        <v>0</v>
      </c>
      <c r="M168" s="277"/>
      <c r="N168" s="1802">
        <f>L168*M168</f>
        <v>0</v>
      </c>
      <c r="O168" s="54"/>
      <c r="P168" s="54"/>
      <c r="Q168" s="807"/>
    </row>
    <row r="169" spans="1:17">
      <c r="A169" s="872" t="s">
        <v>3155</v>
      </c>
      <c r="B169" s="872"/>
      <c r="C169" s="872" t="s">
        <v>711</v>
      </c>
      <c r="D169" s="1803" t="s">
        <v>5040</v>
      </c>
      <c r="E169" s="164"/>
      <c r="F169" s="164"/>
      <c r="G169" s="164"/>
      <c r="H169" s="164"/>
      <c r="I169" s="164"/>
      <c r="J169" s="164"/>
      <c r="K169" s="588"/>
      <c r="L169" s="1801">
        <f>K169/100000</f>
        <v>0</v>
      </c>
      <c r="M169" s="592"/>
      <c r="N169" s="1801">
        <f>L169*M169</f>
        <v>0</v>
      </c>
      <c r="O169" s="164"/>
      <c r="P169" s="164"/>
      <c r="Q169" s="701"/>
    </row>
    <row r="170" spans="1:17" ht="30">
      <c r="A170" s="872" t="s">
        <v>3156</v>
      </c>
      <c r="B170" s="872"/>
      <c r="C170" s="872" t="s">
        <v>713</v>
      </c>
      <c r="D170" s="1803" t="s">
        <v>5040</v>
      </c>
      <c r="E170" s="164"/>
      <c r="F170" s="164"/>
      <c r="G170" s="164"/>
      <c r="H170" s="164"/>
      <c r="I170" s="164"/>
      <c r="J170" s="164"/>
      <c r="K170" s="588"/>
      <c r="L170" s="1801">
        <f>K170/100000</f>
        <v>0</v>
      </c>
      <c r="M170" s="592"/>
      <c r="N170" s="1801">
        <f>L170*M170</f>
        <v>0</v>
      </c>
      <c r="O170" s="164"/>
      <c r="P170" s="164"/>
      <c r="Q170" s="701"/>
    </row>
    <row r="171" spans="1:17">
      <c r="A171" s="872" t="s">
        <v>3157</v>
      </c>
      <c r="B171" s="872"/>
      <c r="C171" s="872" t="s">
        <v>2979</v>
      </c>
      <c r="D171" s="872"/>
      <c r="E171" s="164"/>
      <c r="F171" s="164"/>
      <c r="G171" s="164"/>
      <c r="H171" s="164"/>
      <c r="I171" s="164"/>
      <c r="J171" s="164"/>
      <c r="K171" s="588"/>
      <c r="L171" s="1801"/>
      <c r="M171" s="588"/>
      <c r="N171" s="1801">
        <f>SUM(N172:N173)</f>
        <v>0</v>
      </c>
      <c r="O171" s="164"/>
      <c r="P171" s="164"/>
      <c r="Q171" s="701">
        <f>SUM(Q172:Q173)</f>
        <v>0</v>
      </c>
    </row>
    <row r="172" spans="1:17" ht="45">
      <c r="A172" s="88" t="s">
        <v>3158</v>
      </c>
      <c r="B172" s="158"/>
      <c r="C172" s="874" t="s">
        <v>5013</v>
      </c>
      <c r="D172" s="874" t="s">
        <v>5037</v>
      </c>
      <c r="E172" s="155"/>
      <c r="F172" s="155"/>
      <c r="G172" s="155"/>
      <c r="H172" s="155"/>
      <c r="I172" s="155"/>
      <c r="J172" s="155"/>
      <c r="K172" s="1494"/>
      <c r="L172" s="297">
        <f t="shared" ref="L172:L173" si="32">K172/100000</f>
        <v>0</v>
      </c>
      <c r="M172" s="277"/>
      <c r="N172" s="1802">
        <f>L172*M172</f>
        <v>0</v>
      </c>
      <c r="O172" s="54"/>
      <c r="P172" s="54"/>
      <c r="Q172" s="807"/>
    </row>
    <row r="173" spans="1:17">
      <c r="A173" s="88" t="s">
        <v>3799</v>
      </c>
      <c r="B173" s="158"/>
      <c r="C173" s="874" t="s">
        <v>601</v>
      </c>
      <c r="D173" s="874" t="s">
        <v>3204</v>
      </c>
      <c r="E173" s="155"/>
      <c r="F173" s="155"/>
      <c r="G173" s="155"/>
      <c r="H173" s="155"/>
      <c r="I173" s="155"/>
      <c r="J173" s="155"/>
      <c r="K173" s="1494"/>
      <c r="L173" s="297">
        <f t="shared" si="32"/>
        <v>0</v>
      </c>
      <c r="M173" s="277"/>
      <c r="N173" s="1802">
        <f>L173*M173</f>
        <v>0</v>
      </c>
      <c r="O173" s="54"/>
      <c r="P173" s="54"/>
      <c r="Q173" s="807"/>
    </row>
    <row r="174" spans="1:17">
      <c r="A174" s="165" t="s">
        <v>3159</v>
      </c>
      <c r="B174" s="165"/>
      <c r="C174" s="165" t="s">
        <v>47</v>
      </c>
      <c r="D174" s="165"/>
      <c r="E174" s="101"/>
      <c r="F174" s="101"/>
      <c r="G174" s="101"/>
      <c r="H174" s="101"/>
      <c r="I174" s="101"/>
      <c r="J174" s="101"/>
      <c r="K174" s="101"/>
      <c r="L174" s="165"/>
      <c r="M174" s="101"/>
      <c r="N174" s="1800">
        <f>N175+N178</f>
        <v>0</v>
      </c>
      <c r="O174" s="101"/>
      <c r="P174" s="101"/>
      <c r="Q174" s="806">
        <f>Q175+Q178</f>
        <v>0</v>
      </c>
    </row>
    <row r="175" spans="1:17" ht="30">
      <c r="A175" s="872" t="s">
        <v>3160</v>
      </c>
      <c r="B175" s="872"/>
      <c r="C175" s="872" t="s">
        <v>18</v>
      </c>
      <c r="D175" s="872"/>
      <c r="E175" s="164"/>
      <c r="F175" s="164"/>
      <c r="G175" s="164"/>
      <c r="H175" s="164"/>
      <c r="I175" s="164"/>
      <c r="J175" s="164"/>
      <c r="K175" s="164"/>
      <c r="L175" s="872"/>
      <c r="M175" s="164"/>
      <c r="N175" s="1801">
        <f>SUM(N176:N177)</f>
        <v>0</v>
      </c>
      <c r="O175" s="164"/>
      <c r="P175" s="164"/>
      <c r="Q175" s="701">
        <f>SUM(Q176:Q177)</f>
        <v>0</v>
      </c>
    </row>
    <row r="176" spans="1:17">
      <c r="A176" s="88" t="s">
        <v>3161</v>
      </c>
      <c r="B176" s="158" t="s">
        <v>2980</v>
      </c>
      <c r="C176" s="894" t="s">
        <v>2981</v>
      </c>
      <c r="D176" s="894" t="s">
        <v>5036</v>
      </c>
      <c r="E176" s="155"/>
      <c r="F176" s="155"/>
      <c r="G176" s="155"/>
      <c r="H176" s="155"/>
      <c r="I176" s="155"/>
      <c r="J176" s="155"/>
      <c r="K176" s="1494"/>
      <c r="L176" s="297">
        <f t="shared" ref="L176:L177" si="33">K176/100000</f>
        <v>0</v>
      </c>
      <c r="M176" s="277"/>
      <c r="N176" s="1802">
        <f>L176*M176</f>
        <v>0</v>
      </c>
      <c r="O176" s="54"/>
      <c r="P176" s="54"/>
      <c r="Q176" s="807"/>
    </row>
    <row r="177" spans="1:17">
      <c r="A177" s="88" t="s">
        <v>3162</v>
      </c>
      <c r="B177" s="158"/>
      <c r="C177" s="894" t="s">
        <v>2883</v>
      </c>
      <c r="D177" s="894" t="s">
        <v>5036</v>
      </c>
      <c r="E177" s="155"/>
      <c r="F177" s="155"/>
      <c r="G177" s="155"/>
      <c r="H177" s="155"/>
      <c r="I177" s="155"/>
      <c r="J177" s="155"/>
      <c r="K177" s="1494"/>
      <c r="L177" s="297">
        <f t="shared" si="33"/>
        <v>0</v>
      </c>
      <c r="M177" s="277"/>
      <c r="N177" s="1802">
        <f>L177*M177</f>
        <v>0</v>
      </c>
      <c r="O177" s="54"/>
      <c r="P177" s="54"/>
      <c r="Q177" s="807"/>
    </row>
    <row r="178" spans="1:17">
      <c r="A178" s="872" t="s">
        <v>3163</v>
      </c>
      <c r="B178" s="872" t="s">
        <v>3164</v>
      </c>
      <c r="C178" s="872" t="s">
        <v>5005</v>
      </c>
      <c r="D178" s="872"/>
      <c r="E178" s="164"/>
      <c r="F178" s="164"/>
      <c r="G178" s="164"/>
      <c r="H178" s="164"/>
      <c r="I178" s="164"/>
      <c r="J178" s="164"/>
      <c r="K178" s="164"/>
      <c r="L178" s="872"/>
      <c r="M178" s="164"/>
      <c r="N178" s="1801">
        <f>SUM(N179:N185)+SUM(N189:N194)</f>
        <v>0</v>
      </c>
      <c r="O178" s="164"/>
      <c r="P178" s="164"/>
      <c r="Q178" s="701">
        <f>SUM(Q179:Q185)+SUM(Q189:Q194)</f>
        <v>0</v>
      </c>
    </row>
    <row r="179" spans="1:17" ht="30">
      <c r="A179" s="88" t="s">
        <v>5017</v>
      </c>
      <c r="B179" s="88" t="s">
        <v>5006</v>
      </c>
      <c r="C179" s="88" t="s">
        <v>2982</v>
      </c>
      <c r="D179" s="894" t="s">
        <v>5036</v>
      </c>
      <c r="E179" s="54"/>
      <c r="F179" s="54"/>
      <c r="G179" s="54"/>
      <c r="H179" s="54"/>
      <c r="I179" s="54"/>
      <c r="J179" s="54"/>
      <c r="K179" s="1494"/>
      <c r="L179" s="297">
        <f t="shared" ref="L179:L194" si="34">K179/100000</f>
        <v>0</v>
      </c>
      <c r="M179" s="277"/>
      <c r="N179" s="1802">
        <f t="shared" ref="N179:N189" si="35">L179*M179</f>
        <v>0</v>
      </c>
      <c r="O179" s="54"/>
      <c r="P179" s="54"/>
      <c r="Q179" s="807"/>
    </row>
    <row r="180" spans="1:17">
      <c r="A180" s="88" t="s">
        <v>5018</v>
      </c>
      <c r="B180" s="88" t="s">
        <v>5007</v>
      </c>
      <c r="C180" s="88" t="s">
        <v>2983</v>
      </c>
      <c r="D180" s="894" t="s">
        <v>5036</v>
      </c>
      <c r="E180" s="54"/>
      <c r="F180" s="54"/>
      <c r="G180" s="54"/>
      <c r="H180" s="54"/>
      <c r="I180" s="54"/>
      <c r="J180" s="54"/>
      <c r="K180" s="1494"/>
      <c r="L180" s="297">
        <f t="shared" si="34"/>
        <v>0</v>
      </c>
      <c r="M180" s="277"/>
      <c r="N180" s="1802">
        <f t="shared" si="35"/>
        <v>0</v>
      </c>
      <c r="O180" s="54"/>
      <c r="P180" s="54"/>
      <c r="Q180" s="807"/>
    </row>
    <row r="181" spans="1:17">
      <c r="A181" s="88" t="s">
        <v>5019</v>
      </c>
      <c r="B181" s="88" t="s">
        <v>5008</v>
      </c>
      <c r="C181" s="88" t="s">
        <v>2984</v>
      </c>
      <c r="D181" s="894" t="s">
        <v>5036</v>
      </c>
      <c r="E181" s="54"/>
      <c r="F181" s="54"/>
      <c r="G181" s="54"/>
      <c r="H181" s="54"/>
      <c r="I181" s="54"/>
      <c r="J181" s="54"/>
      <c r="K181" s="1494"/>
      <c r="L181" s="297">
        <f t="shared" si="34"/>
        <v>0</v>
      </c>
      <c r="M181" s="277"/>
      <c r="N181" s="1802">
        <f t="shared" si="35"/>
        <v>0</v>
      </c>
      <c r="O181" s="54"/>
      <c r="P181" s="54"/>
      <c r="Q181" s="807"/>
    </row>
    <row r="182" spans="1:17">
      <c r="A182" s="88" t="s">
        <v>5020</v>
      </c>
      <c r="B182" s="88" t="s">
        <v>5009</v>
      </c>
      <c r="C182" s="88" t="s">
        <v>2985</v>
      </c>
      <c r="D182" s="894" t="s">
        <v>5036</v>
      </c>
      <c r="E182" s="54"/>
      <c r="F182" s="54"/>
      <c r="G182" s="54"/>
      <c r="H182" s="54"/>
      <c r="I182" s="54"/>
      <c r="J182" s="54"/>
      <c r="K182" s="1494"/>
      <c r="L182" s="297">
        <f t="shared" si="34"/>
        <v>0</v>
      </c>
      <c r="M182" s="277"/>
      <c r="N182" s="1802">
        <f t="shared" si="35"/>
        <v>0</v>
      </c>
      <c r="O182" s="54"/>
      <c r="P182" s="54"/>
      <c r="Q182" s="807"/>
    </row>
    <row r="183" spans="1:17" ht="30">
      <c r="A183" s="88" t="s">
        <v>5021</v>
      </c>
      <c r="B183" s="88" t="s">
        <v>5010</v>
      </c>
      <c r="C183" s="88" t="s">
        <v>5012</v>
      </c>
      <c r="D183" s="894" t="s">
        <v>5036</v>
      </c>
      <c r="E183" s="54"/>
      <c r="F183" s="54"/>
      <c r="G183" s="54"/>
      <c r="H183" s="54"/>
      <c r="I183" s="54"/>
      <c r="J183" s="54"/>
      <c r="K183" s="1494"/>
      <c r="L183" s="297">
        <f t="shared" si="34"/>
        <v>0</v>
      </c>
      <c r="M183" s="277"/>
      <c r="N183" s="1802">
        <f t="shared" si="35"/>
        <v>0</v>
      </c>
      <c r="O183" s="54"/>
      <c r="P183" s="54"/>
      <c r="Q183" s="807"/>
    </row>
    <row r="184" spans="1:17">
      <c r="A184" s="88" t="s">
        <v>5022</v>
      </c>
      <c r="B184" s="88" t="s">
        <v>5011</v>
      </c>
      <c r="C184" s="88" t="s">
        <v>2987</v>
      </c>
      <c r="D184" s="894" t="s">
        <v>5041</v>
      </c>
      <c r="E184" s="54"/>
      <c r="F184" s="54"/>
      <c r="G184" s="54"/>
      <c r="H184" s="54"/>
      <c r="I184" s="54"/>
      <c r="J184" s="54"/>
      <c r="K184" s="1494"/>
      <c r="L184" s="297">
        <f t="shared" si="34"/>
        <v>0</v>
      </c>
      <c r="M184" s="277"/>
      <c r="N184" s="1802">
        <f t="shared" si="35"/>
        <v>0</v>
      </c>
      <c r="O184" s="54"/>
      <c r="P184" s="54"/>
      <c r="Q184" s="807"/>
    </row>
    <row r="185" spans="1:17" ht="30">
      <c r="A185" s="88" t="s">
        <v>5023</v>
      </c>
      <c r="B185" s="88" t="s">
        <v>3165</v>
      </c>
      <c r="C185" s="88" t="s">
        <v>3790</v>
      </c>
      <c r="D185" s="88"/>
      <c r="E185" s="54"/>
      <c r="F185" s="54"/>
      <c r="G185" s="54"/>
      <c r="H185" s="54"/>
      <c r="I185" s="54"/>
      <c r="J185" s="54"/>
      <c r="K185" s="1494"/>
      <c r="L185" s="297">
        <f t="shared" si="34"/>
        <v>0</v>
      </c>
      <c r="M185" s="226"/>
      <c r="N185" s="1808">
        <f>SUM(N186:N188)</f>
        <v>0</v>
      </c>
      <c r="O185" s="54"/>
      <c r="P185" s="54"/>
      <c r="Q185" s="812">
        <f>SUM(Q186:Q188)</f>
        <v>0</v>
      </c>
    </row>
    <row r="186" spans="1:17">
      <c r="A186" s="88" t="s">
        <v>5024</v>
      </c>
      <c r="B186" s="88" t="s">
        <v>4449</v>
      </c>
      <c r="C186" s="88" t="s">
        <v>3789</v>
      </c>
      <c r="D186" s="88" t="s">
        <v>5037</v>
      </c>
      <c r="E186" s="54"/>
      <c r="F186" s="54"/>
      <c r="G186" s="54"/>
      <c r="H186" s="54"/>
      <c r="I186" s="54"/>
      <c r="J186" s="54"/>
      <c r="K186" s="1494"/>
      <c r="L186" s="297">
        <f t="shared" si="34"/>
        <v>0</v>
      </c>
      <c r="M186" s="277"/>
      <c r="N186" s="1802">
        <f>L186*M186</f>
        <v>0</v>
      </c>
      <c r="O186" s="54"/>
      <c r="P186" s="54"/>
      <c r="Q186" s="807"/>
    </row>
    <row r="187" spans="1:17">
      <c r="A187" s="88" t="s">
        <v>5025</v>
      </c>
      <c r="B187" s="88" t="s">
        <v>4450</v>
      </c>
      <c r="C187" s="88" t="s">
        <v>4260</v>
      </c>
      <c r="D187" s="88" t="s">
        <v>5037</v>
      </c>
      <c r="E187" s="54"/>
      <c r="F187" s="54"/>
      <c r="G187" s="54"/>
      <c r="H187" s="54"/>
      <c r="I187" s="54"/>
      <c r="J187" s="54"/>
      <c r="K187" s="1494"/>
      <c r="L187" s="297">
        <f t="shared" si="34"/>
        <v>0</v>
      </c>
      <c r="M187" s="277"/>
      <c r="N187" s="1802">
        <f>L187*M187</f>
        <v>0</v>
      </c>
      <c r="O187" s="54"/>
      <c r="P187" s="54"/>
      <c r="Q187" s="807"/>
    </row>
    <row r="188" spans="1:17">
      <c r="A188" s="88" t="s">
        <v>5026</v>
      </c>
      <c r="B188" s="88" t="s">
        <v>4451</v>
      </c>
      <c r="C188" s="88" t="s">
        <v>5014</v>
      </c>
      <c r="D188" s="88" t="s">
        <v>5037</v>
      </c>
      <c r="E188" s="54"/>
      <c r="F188" s="54"/>
      <c r="G188" s="54"/>
      <c r="H188" s="54"/>
      <c r="I188" s="54"/>
      <c r="J188" s="54"/>
      <c r="K188" s="1494"/>
      <c r="L188" s="297">
        <f t="shared" si="34"/>
        <v>0</v>
      </c>
      <c r="M188" s="277"/>
      <c r="N188" s="1802">
        <f>L188*M188</f>
        <v>0</v>
      </c>
      <c r="O188" s="54"/>
      <c r="P188" s="54"/>
      <c r="Q188" s="807"/>
    </row>
    <row r="189" spans="1:17">
      <c r="A189" s="88" t="s">
        <v>5027</v>
      </c>
      <c r="B189" s="88" t="s">
        <v>5016</v>
      </c>
      <c r="C189" s="88" t="s">
        <v>5015</v>
      </c>
      <c r="D189" s="88" t="s">
        <v>5037</v>
      </c>
      <c r="E189" s="54"/>
      <c r="F189" s="54"/>
      <c r="G189" s="54"/>
      <c r="H189" s="54"/>
      <c r="I189" s="54"/>
      <c r="J189" s="54"/>
      <c r="K189" s="1494"/>
      <c r="L189" s="297">
        <f t="shared" si="34"/>
        <v>0</v>
      </c>
      <c r="M189" s="277"/>
      <c r="N189" s="1802">
        <f t="shared" si="35"/>
        <v>0</v>
      </c>
      <c r="O189" s="54"/>
      <c r="P189" s="54"/>
      <c r="Q189" s="807"/>
    </row>
    <row r="190" spans="1:17">
      <c r="A190" s="88" t="s">
        <v>5028</v>
      </c>
      <c r="B190" s="88" t="s">
        <v>4452</v>
      </c>
      <c r="C190" s="107" t="s">
        <v>2986</v>
      </c>
      <c r="D190" s="107" t="s">
        <v>4544</v>
      </c>
      <c r="E190" s="54"/>
      <c r="F190" s="54"/>
      <c r="G190" s="54"/>
      <c r="H190" s="54"/>
      <c r="I190" s="54"/>
      <c r="J190" s="54"/>
      <c r="K190" s="1494"/>
      <c r="L190" s="297">
        <f t="shared" si="34"/>
        <v>0</v>
      </c>
      <c r="M190" s="277"/>
      <c r="N190" s="1802">
        <f>L190*M190</f>
        <v>0</v>
      </c>
      <c r="O190" s="54"/>
      <c r="P190" s="54"/>
      <c r="Q190" s="807"/>
    </row>
    <row r="191" spans="1:17">
      <c r="A191" s="88" t="s">
        <v>5029</v>
      </c>
      <c r="B191" s="88" t="s">
        <v>4453</v>
      </c>
      <c r="C191" s="88" t="s">
        <v>3915</v>
      </c>
      <c r="D191" s="107" t="s">
        <v>4544</v>
      </c>
      <c r="E191" s="54"/>
      <c r="F191" s="54"/>
      <c r="G191" s="54"/>
      <c r="H191" s="54"/>
      <c r="I191" s="54"/>
      <c r="J191" s="54"/>
      <c r="K191" s="1494"/>
      <c r="L191" s="297">
        <f t="shared" si="34"/>
        <v>0</v>
      </c>
      <c r="M191" s="277"/>
      <c r="N191" s="1802">
        <f>L191*M191</f>
        <v>0</v>
      </c>
      <c r="O191" s="54"/>
      <c r="P191" s="54"/>
      <c r="Q191" s="807"/>
    </row>
    <row r="192" spans="1:17">
      <c r="A192" s="88" t="s">
        <v>5030</v>
      </c>
      <c r="B192" s="88" t="s">
        <v>4454</v>
      </c>
      <c r="C192" s="88" t="s">
        <v>3916</v>
      </c>
      <c r="D192" s="107" t="s">
        <v>4544</v>
      </c>
      <c r="E192" s="54"/>
      <c r="F192" s="54"/>
      <c r="G192" s="54"/>
      <c r="H192" s="54"/>
      <c r="I192" s="54"/>
      <c r="J192" s="54"/>
      <c r="K192" s="1494"/>
      <c r="L192" s="297">
        <f t="shared" si="34"/>
        <v>0</v>
      </c>
      <c r="M192" s="277"/>
      <c r="N192" s="1802">
        <f>L192*M192</f>
        <v>0</v>
      </c>
      <c r="O192" s="54"/>
      <c r="P192" s="54"/>
      <c r="Q192" s="807"/>
    </row>
    <row r="193" spans="1:17">
      <c r="A193" s="88" t="s">
        <v>5031</v>
      </c>
      <c r="B193" s="88" t="s">
        <v>4456</v>
      </c>
      <c r="C193" s="88" t="s">
        <v>3917</v>
      </c>
      <c r="D193" s="107" t="s">
        <v>4544</v>
      </c>
      <c r="E193" s="54"/>
      <c r="F193" s="54"/>
      <c r="G193" s="54"/>
      <c r="H193" s="54"/>
      <c r="I193" s="54"/>
      <c r="J193" s="54"/>
      <c r="K193" s="1494"/>
      <c r="L193" s="297">
        <f t="shared" si="34"/>
        <v>0</v>
      </c>
      <c r="M193" s="277"/>
      <c r="N193" s="1802">
        <f>L193*M193</f>
        <v>0</v>
      </c>
      <c r="O193" s="54"/>
      <c r="P193" s="54"/>
      <c r="Q193" s="807"/>
    </row>
    <row r="194" spans="1:17">
      <c r="A194" s="88" t="s">
        <v>5032</v>
      </c>
      <c r="B194" s="88" t="s">
        <v>4455</v>
      </c>
      <c r="C194" s="88" t="s">
        <v>3914</v>
      </c>
      <c r="D194" s="107" t="s">
        <v>3204</v>
      </c>
      <c r="E194" s="54"/>
      <c r="F194" s="54"/>
      <c r="G194" s="54"/>
      <c r="H194" s="54"/>
      <c r="I194" s="54"/>
      <c r="J194" s="54"/>
      <c r="K194" s="1494"/>
      <c r="L194" s="297">
        <f t="shared" si="34"/>
        <v>0</v>
      </c>
      <c r="M194" s="277"/>
      <c r="N194" s="1802">
        <f>L194*M194</f>
        <v>0</v>
      </c>
      <c r="O194" s="54"/>
      <c r="P194" s="54"/>
      <c r="Q194" s="807"/>
    </row>
    <row r="195" spans="1:17">
      <c r="A195" s="165" t="s">
        <v>3166</v>
      </c>
      <c r="B195" s="165"/>
      <c r="C195" s="165" t="s">
        <v>19</v>
      </c>
      <c r="D195" s="165"/>
      <c r="E195" s="101"/>
      <c r="F195" s="101"/>
      <c r="G195" s="101"/>
      <c r="H195" s="101"/>
      <c r="I195" s="101"/>
      <c r="J195" s="101"/>
      <c r="K195" s="101"/>
      <c r="L195" s="165"/>
      <c r="M195" s="101"/>
      <c r="N195" s="1800">
        <f>N196+N199</f>
        <v>0</v>
      </c>
      <c r="O195" s="101"/>
      <c r="P195" s="101"/>
      <c r="Q195" s="806">
        <f>Q196+Q199</f>
        <v>0</v>
      </c>
    </row>
    <row r="196" spans="1:17">
      <c r="A196" s="872" t="s">
        <v>3167</v>
      </c>
      <c r="B196" s="872"/>
      <c r="C196" s="872" t="s">
        <v>20</v>
      </c>
      <c r="D196" s="872"/>
      <c r="E196" s="164"/>
      <c r="F196" s="164"/>
      <c r="G196" s="164"/>
      <c r="H196" s="164"/>
      <c r="I196" s="164"/>
      <c r="J196" s="164"/>
      <c r="K196" s="164"/>
      <c r="L196" s="872"/>
      <c r="M196" s="164"/>
      <c r="N196" s="1801">
        <f>SUM(N197:N198)</f>
        <v>0</v>
      </c>
      <c r="O196" s="164"/>
      <c r="P196" s="164"/>
      <c r="Q196" s="701">
        <f>SUM(Q197:Q198)</f>
        <v>0</v>
      </c>
    </row>
    <row r="197" spans="1:17" ht="30">
      <c r="A197" s="88" t="s">
        <v>3168</v>
      </c>
      <c r="B197" s="895"/>
      <c r="C197" s="882" t="s">
        <v>1164</v>
      </c>
      <c r="D197" s="882" t="s">
        <v>113</v>
      </c>
      <c r="E197" s="82"/>
      <c r="F197" s="82"/>
      <c r="G197" s="82"/>
      <c r="H197" s="82"/>
      <c r="I197" s="82"/>
      <c r="J197" s="82"/>
      <c r="K197" s="1494"/>
      <c r="L197" s="297">
        <f t="shared" ref="L197:L198" si="36">K197/100000</f>
        <v>0</v>
      </c>
      <c r="M197" s="277"/>
      <c r="N197" s="1802">
        <f>L197*M197</f>
        <v>0</v>
      </c>
      <c r="O197" s="174"/>
      <c r="P197" s="174"/>
      <c r="Q197" s="807"/>
    </row>
    <row r="198" spans="1:17">
      <c r="A198" s="88" t="s">
        <v>3169</v>
      </c>
      <c r="B198" s="895"/>
      <c r="C198" s="882" t="s">
        <v>1165</v>
      </c>
      <c r="D198" s="882" t="s">
        <v>126</v>
      </c>
      <c r="E198" s="82"/>
      <c r="F198" s="82"/>
      <c r="G198" s="82"/>
      <c r="H198" s="82"/>
      <c r="I198" s="82"/>
      <c r="J198" s="82"/>
      <c r="K198" s="1494"/>
      <c r="L198" s="297">
        <f t="shared" si="36"/>
        <v>0</v>
      </c>
      <c r="M198" s="277"/>
      <c r="N198" s="1802">
        <f>L198*M198</f>
        <v>0</v>
      </c>
      <c r="O198" s="174"/>
      <c r="P198" s="174"/>
      <c r="Q198" s="807"/>
    </row>
    <row r="199" spans="1:17">
      <c r="A199" s="872" t="s">
        <v>3170</v>
      </c>
      <c r="B199" s="872"/>
      <c r="C199" s="872" t="s">
        <v>21</v>
      </c>
      <c r="D199" s="872"/>
      <c r="E199" s="164"/>
      <c r="F199" s="164"/>
      <c r="G199" s="164"/>
      <c r="H199" s="164"/>
      <c r="I199" s="164"/>
      <c r="J199" s="164"/>
      <c r="K199" s="164"/>
      <c r="L199" s="872"/>
      <c r="M199" s="164"/>
      <c r="N199" s="1801">
        <f>N200+N201</f>
        <v>0</v>
      </c>
      <c r="O199" s="164"/>
      <c r="P199" s="164"/>
      <c r="Q199" s="701">
        <f>Q200+Q201</f>
        <v>0</v>
      </c>
    </row>
    <row r="200" spans="1:17">
      <c r="A200" s="88" t="s">
        <v>3171</v>
      </c>
      <c r="B200" s="88" t="s">
        <v>2988</v>
      </c>
      <c r="C200" s="88" t="s">
        <v>2989</v>
      </c>
      <c r="D200" s="88" t="s">
        <v>3204</v>
      </c>
      <c r="E200" s="54"/>
      <c r="F200" s="54"/>
      <c r="G200" s="54"/>
      <c r="H200" s="54"/>
      <c r="I200" s="54"/>
      <c r="J200" s="54"/>
      <c r="K200" s="1494"/>
      <c r="L200" s="297">
        <f t="shared" ref="L200:L201" si="37">K200/100000</f>
        <v>0</v>
      </c>
      <c r="M200" s="277"/>
      <c r="N200" s="1802">
        <f>L200*M200</f>
        <v>0</v>
      </c>
      <c r="O200" s="54"/>
      <c r="P200" s="54"/>
      <c r="Q200" s="807"/>
    </row>
    <row r="201" spans="1:17">
      <c r="A201" s="88" t="s">
        <v>3172</v>
      </c>
      <c r="B201" s="88" t="s">
        <v>3172</v>
      </c>
      <c r="C201" s="88" t="s">
        <v>302</v>
      </c>
      <c r="D201" s="88" t="s">
        <v>3204</v>
      </c>
      <c r="E201" s="54"/>
      <c r="F201" s="54"/>
      <c r="G201" s="54"/>
      <c r="H201" s="54"/>
      <c r="I201" s="54"/>
      <c r="J201" s="54"/>
      <c r="K201" s="1494"/>
      <c r="L201" s="297">
        <f t="shared" si="37"/>
        <v>0</v>
      </c>
      <c r="M201" s="277"/>
      <c r="N201" s="1802">
        <f>L201*M201</f>
        <v>0</v>
      </c>
      <c r="O201" s="54"/>
      <c r="P201" s="54"/>
      <c r="Q201" s="807"/>
    </row>
    <row r="202" spans="1:17">
      <c r="A202" s="575" t="s">
        <v>3173</v>
      </c>
      <c r="B202" s="879" t="s">
        <v>3173</v>
      </c>
      <c r="C202" s="501" t="s">
        <v>22</v>
      </c>
      <c r="D202" s="501"/>
      <c r="E202" s="598"/>
      <c r="F202" s="598"/>
      <c r="G202" s="598"/>
      <c r="H202" s="598"/>
      <c r="I202" s="598"/>
      <c r="J202" s="598"/>
      <c r="K202" s="1825"/>
      <c r="L202" s="591"/>
      <c r="M202" s="1819"/>
      <c r="N202" s="591"/>
      <c r="O202" s="1823"/>
      <c r="P202" s="1824" t="s">
        <v>4994</v>
      </c>
      <c r="Q202" s="1835"/>
    </row>
    <row r="203" spans="1:17">
      <c r="A203" s="575" t="s">
        <v>3174</v>
      </c>
      <c r="B203" s="879" t="s">
        <v>3174</v>
      </c>
      <c r="C203" s="501" t="s">
        <v>23</v>
      </c>
      <c r="D203" s="501"/>
      <c r="E203" s="598"/>
      <c r="F203" s="598"/>
      <c r="G203" s="598"/>
      <c r="H203" s="598"/>
      <c r="I203" s="598"/>
      <c r="J203" s="598"/>
      <c r="K203" s="1825"/>
      <c r="L203" s="591"/>
      <c r="M203" s="1819"/>
      <c r="N203" s="591"/>
      <c r="O203" s="1823"/>
      <c r="P203" s="1824" t="s">
        <v>4994</v>
      </c>
      <c r="Q203" s="1835"/>
    </row>
    <row r="204" spans="1:17">
      <c r="A204" s="165" t="s">
        <v>3175</v>
      </c>
      <c r="B204" s="165"/>
      <c r="C204" s="165" t="s">
        <v>24</v>
      </c>
      <c r="D204" s="165"/>
      <c r="E204" s="101"/>
      <c r="F204" s="101"/>
      <c r="G204" s="101"/>
      <c r="H204" s="101"/>
      <c r="I204" s="101"/>
      <c r="J204" s="101"/>
      <c r="K204" s="101"/>
      <c r="L204" s="165"/>
      <c r="M204" s="101"/>
      <c r="N204" s="1800">
        <f>SUM(N205:N206)</f>
        <v>0</v>
      </c>
      <c r="O204" s="101"/>
      <c r="P204" s="101"/>
      <c r="Q204" s="806">
        <f>SUM(Q205:Q206)</f>
        <v>0</v>
      </c>
    </row>
    <row r="205" spans="1:17">
      <c r="A205" s="88" t="s">
        <v>3176</v>
      </c>
      <c r="B205" s="88" t="s">
        <v>2992</v>
      </c>
      <c r="C205" s="88" t="s">
        <v>5033</v>
      </c>
      <c r="D205" s="88" t="s">
        <v>3204</v>
      </c>
      <c r="E205" s="54"/>
      <c r="F205" s="54"/>
      <c r="G205" s="54"/>
      <c r="H205" s="54"/>
      <c r="I205" s="54"/>
      <c r="J205" s="54"/>
      <c r="K205" s="1494"/>
      <c r="L205" s="297">
        <f t="shared" ref="L205:L206" si="38">K205/100000</f>
        <v>0</v>
      </c>
      <c r="M205" s="277"/>
      <c r="N205" s="1802">
        <f>L205*M205</f>
        <v>0</v>
      </c>
      <c r="O205" s="54"/>
      <c r="P205" s="54"/>
      <c r="Q205" s="807"/>
    </row>
    <row r="206" spans="1:17">
      <c r="A206" s="88" t="s">
        <v>3177</v>
      </c>
      <c r="B206" s="88" t="s">
        <v>3178</v>
      </c>
      <c r="C206" s="874" t="s">
        <v>3801</v>
      </c>
      <c r="D206" s="874" t="s">
        <v>5037</v>
      </c>
      <c r="E206" s="185"/>
      <c r="F206" s="185"/>
      <c r="G206" s="185"/>
      <c r="H206" s="185"/>
      <c r="I206" s="185"/>
      <c r="J206" s="185"/>
      <c r="K206" s="1494"/>
      <c r="L206" s="297">
        <f t="shared" si="38"/>
        <v>0</v>
      </c>
      <c r="M206" s="277"/>
      <c r="N206" s="1802">
        <f>L206*M206</f>
        <v>0</v>
      </c>
      <c r="O206" s="103"/>
      <c r="P206" s="103"/>
      <c r="Q206" s="807"/>
    </row>
    <row r="207" spans="1:17">
      <c r="A207" s="165" t="s">
        <v>3179</v>
      </c>
      <c r="B207" s="165"/>
      <c r="C207" s="165" t="s">
        <v>25</v>
      </c>
      <c r="D207" s="165"/>
      <c r="E207" s="101"/>
      <c r="F207" s="101"/>
      <c r="G207" s="101"/>
      <c r="H207" s="101"/>
      <c r="I207" s="101"/>
      <c r="J207" s="101"/>
      <c r="K207" s="101"/>
      <c r="L207" s="165"/>
      <c r="M207" s="101"/>
      <c r="N207" s="1800">
        <f>SUM(N208:N209)</f>
        <v>0</v>
      </c>
      <c r="O207" s="101"/>
      <c r="P207" s="101"/>
      <c r="Q207" s="806">
        <f>SUM(Q208:Q209)</f>
        <v>0</v>
      </c>
    </row>
    <row r="208" spans="1:17">
      <c r="A208" s="88" t="s">
        <v>3180</v>
      </c>
      <c r="B208" s="886"/>
      <c r="C208" s="874" t="s">
        <v>2993</v>
      </c>
      <c r="D208" s="874" t="s">
        <v>3204</v>
      </c>
      <c r="E208" s="185"/>
      <c r="F208" s="185"/>
      <c r="G208" s="185"/>
      <c r="H208" s="185"/>
      <c r="I208" s="185"/>
      <c r="J208" s="185"/>
      <c r="K208" s="1494"/>
      <c r="L208" s="297">
        <f t="shared" ref="L208:L209" si="39">K208/100000</f>
        <v>0</v>
      </c>
      <c r="M208" s="277"/>
      <c r="N208" s="1802">
        <f>L208*M208</f>
        <v>0</v>
      </c>
      <c r="O208" s="103"/>
      <c r="P208" s="103"/>
      <c r="Q208" s="807"/>
    </row>
    <row r="209" spans="1:17">
      <c r="A209" s="88" t="s">
        <v>3800</v>
      </c>
      <c r="B209" s="886"/>
      <c r="C209" s="874" t="s">
        <v>2776</v>
      </c>
      <c r="D209" s="874" t="s">
        <v>5037</v>
      </c>
      <c r="E209" s="185"/>
      <c r="F209" s="185"/>
      <c r="G209" s="185"/>
      <c r="H209" s="185"/>
      <c r="I209" s="185"/>
      <c r="J209" s="185"/>
      <c r="K209" s="1494"/>
      <c r="L209" s="297">
        <f t="shared" si="39"/>
        <v>0</v>
      </c>
      <c r="M209" s="277"/>
      <c r="N209" s="1802">
        <f>L209*M209</f>
        <v>0</v>
      </c>
      <c r="O209" s="103"/>
      <c r="P209" s="103"/>
      <c r="Q209" s="807"/>
    </row>
    <row r="210" spans="1:17">
      <c r="A210" s="165" t="s">
        <v>3181</v>
      </c>
      <c r="B210" s="165"/>
      <c r="C210" s="165" t="s">
        <v>26</v>
      </c>
      <c r="D210" s="165"/>
      <c r="E210" s="101"/>
      <c r="F210" s="101"/>
      <c r="G210" s="101"/>
      <c r="H210" s="101"/>
      <c r="I210" s="101"/>
      <c r="J210" s="101"/>
      <c r="K210" s="101"/>
      <c r="L210" s="165"/>
      <c r="M210" s="101"/>
      <c r="N210" s="1800">
        <f>N211+N216+N222</f>
        <v>0</v>
      </c>
      <c r="O210" s="101"/>
      <c r="P210" s="101"/>
      <c r="Q210" s="806">
        <f>Q211+Q216+Q222</f>
        <v>0</v>
      </c>
    </row>
    <row r="211" spans="1:17">
      <c r="A211" s="872" t="s">
        <v>3182</v>
      </c>
      <c r="B211" s="872"/>
      <c r="C211" s="872" t="s">
        <v>26</v>
      </c>
      <c r="D211" s="872"/>
      <c r="E211" s="164"/>
      <c r="F211" s="164"/>
      <c r="G211" s="164"/>
      <c r="H211" s="164"/>
      <c r="I211" s="164"/>
      <c r="J211" s="164"/>
      <c r="K211" s="164"/>
      <c r="L211" s="872"/>
      <c r="M211" s="164"/>
      <c r="N211" s="1801">
        <f>SUM(N212:N215)</f>
        <v>0</v>
      </c>
      <c r="O211" s="164"/>
      <c r="P211" s="164"/>
      <c r="Q211" s="701">
        <f>SUM(Q212:Q215)</f>
        <v>0</v>
      </c>
    </row>
    <row r="212" spans="1:17">
      <c r="A212" s="88" t="s">
        <v>3183</v>
      </c>
      <c r="B212" s="158"/>
      <c r="C212" s="874" t="s">
        <v>3918</v>
      </c>
      <c r="D212" s="874" t="s">
        <v>4544</v>
      </c>
      <c r="E212" s="155"/>
      <c r="F212" s="155"/>
      <c r="G212" s="155"/>
      <c r="H212" s="155"/>
      <c r="I212" s="155"/>
      <c r="J212" s="155"/>
      <c r="K212" s="1494"/>
      <c r="L212" s="297">
        <f t="shared" ref="L212:L215" si="40">K212/100000</f>
        <v>0</v>
      </c>
      <c r="M212" s="277"/>
      <c r="N212" s="1802">
        <f>L212*M212</f>
        <v>0</v>
      </c>
      <c r="O212" s="54"/>
      <c r="P212" s="54"/>
      <c r="Q212" s="807"/>
    </row>
    <row r="213" spans="1:17">
      <c r="A213" s="88" t="s">
        <v>3920</v>
      </c>
      <c r="B213" s="158"/>
      <c r="C213" s="874" t="s">
        <v>4469</v>
      </c>
      <c r="D213" s="874" t="s">
        <v>4544</v>
      </c>
      <c r="E213" s="155"/>
      <c r="F213" s="155"/>
      <c r="G213" s="155"/>
      <c r="H213" s="155"/>
      <c r="I213" s="155"/>
      <c r="J213" s="155"/>
      <c r="K213" s="1494"/>
      <c r="L213" s="297">
        <f t="shared" si="40"/>
        <v>0</v>
      </c>
      <c r="M213" s="277"/>
      <c r="N213" s="1802">
        <f>L213*M213</f>
        <v>0</v>
      </c>
      <c r="O213" s="54"/>
      <c r="P213" s="54"/>
      <c r="Q213" s="807"/>
    </row>
    <row r="214" spans="1:17">
      <c r="A214" s="88" t="s">
        <v>3921</v>
      </c>
      <c r="B214" s="158"/>
      <c r="C214" s="874" t="s">
        <v>3919</v>
      </c>
      <c r="D214" s="874" t="s">
        <v>4544</v>
      </c>
      <c r="E214" s="155"/>
      <c r="F214" s="155"/>
      <c r="G214" s="155"/>
      <c r="H214" s="155"/>
      <c r="I214" s="155"/>
      <c r="J214" s="155"/>
      <c r="K214" s="1494"/>
      <c r="L214" s="297">
        <f t="shared" si="40"/>
        <v>0</v>
      </c>
      <c r="M214" s="277"/>
      <c r="N214" s="1802">
        <f>L214*M214</f>
        <v>0</v>
      </c>
      <c r="O214" s="54"/>
      <c r="P214" s="54"/>
      <c r="Q214" s="807"/>
    </row>
    <row r="215" spans="1:17">
      <c r="A215" s="88" t="s">
        <v>3922</v>
      </c>
      <c r="B215" s="158"/>
      <c r="C215" s="874" t="s">
        <v>1237</v>
      </c>
      <c r="D215" s="874" t="s">
        <v>4544</v>
      </c>
      <c r="E215" s="155"/>
      <c r="F215" s="155"/>
      <c r="G215" s="155"/>
      <c r="H215" s="155"/>
      <c r="I215" s="155"/>
      <c r="J215" s="155"/>
      <c r="K215" s="1494"/>
      <c r="L215" s="297">
        <f t="shared" si="40"/>
        <v>0</v>
      </c>
      <c r="M215" s="277"/>
      <c r="N215" s="1802">
        <f>L215*M215</f>
        <v>0</v>
      </c>
      <c r="O215" s="54"/>
      <c r="P215" s="54"/>
      <c r="Q215" s="807"/>
    </row>
    <row r="216" spans="1:17">
      <c r="A216" s="872" t="s">
        <v>3184</v>
      </c>
      <c r="B216" s="872"/>
      <c r="C216" s="872" t="s">
        <v>27</v>
      </c>
      <c r="D216" s="872"/>
      <c r="E216" s="164"/>
      <c r="F216" s="164"/>
      <c r="G216" s="164"/>
      <c r="H216" s="164"/>
      <c r="I216" s="164"/>
      <c r="J216" s="164"/>
      <c r="K216" s="164"/>
      <c r="L216" s="872"/>
      <c r="M216" s="164"/>
      <c r="N216" s="1801">
        <f>SUM(N217:N221)</f>
        <v>0</v>
      </c>
      <c r="O216" s="164"/>
      <c r="P216" s="164"/>
      <c r="Q216" s="701">
        <f>SUM(Q217:Q221)</f>
        <v>0</v>
      </c>
    </row>
    <row r="217" spans="1:17">
      <c r="A217" s="88" t="s">
        <v>3185</v>
      </c>
      <c r="B217" s="158"/>
      <c r="C217" s="431" t="s">
        <v>1246</v>
      </c>
      <c r="D217" s="874" t="s">
        <v>4544</v>
      </c>
      <c r="E217" s="155"/>
      <c r="F217" s="155"/>
      <c r="G217" s="155"/>
      <c r="H217" s="155"/>
      <c r="I217" s="155"/>
      <c r="J217" s="155"/>
      <c r="K217" s="1494"/>
      <c r="L217" s="297">
        <f t="shared" ref="L217:L221" si="41">K217/100000</f>
        <v>0</v>
      </c>
      <c r="M217" s="277"/>
      <c r="N217" s="1802">
        <f t="shared" ref="N217:N222" si="42">L217*M217</f>
        <v>0</v>
      </c>
      <c r="O217" s="54"/>
      <c r="P217" s="54"/>
      <c r="Q217" s="807"/>
    </row>
    <row r="218" spans="1:17">
      <c r="A218" s="88" t="s">
        <v>3186</v>
      </c>
      <c r="B218" s="158"/>
      <c r="C218" s="896" t="s">
        <v>3923</v>
      </c>
      <c r="D218" s="874" t="s">
        <v>4544</v>
      </c>
      <c r="E218" s="155"/>
      <c r="F218" s="155"/>
      <c r="G218" s="155"/>
      <c r="H218" s="155"/>
      <c r="I218" s="155"/>
      <c r="J218" s="155"/>
      <c r="K218" s="1494"/>
      <c r="L218" s="297">
        <f t="shared" si="41"/>
        <v>0</v>
      </c>
      <c r="M218" s="277"/>
      <c r="N218" s="1802">
        <f t="shared" si="42"/>
        <v>0</v>
      </c>
      <c r="O218" s="54"/>
      <c r="P218" s="54"/>
      <c r="Q218" s="807"/>
    </row>
    <row r="219" spans="1:17">
      <c r="A219" s="88" t="s">
        <v>3925</v>
      </c>
      <c r="B219" s="158"/>
      <c r="C219" s="897" t="s">
        <v>1249</v>
      </c>
      <c r="D219" s="874" t="s">
        <v>4544</v>
      </c>
      <c r="E219" s="155"/>
      <c r="F219" s="155"/>
      <c r="G219" s="155"/>
      <c r="H219" s="155"/>
      <c r="I219" s="155"/>
      <c r="J219" s="155"/>
      <c r="K219" s="1494"/>
      <c r="L219" s="297">
        <f t="shared" si="41"/>
        <v>0</v>
      </c>
      <c r="M219" s="277"/>
      <c r="N219" s="1802">
        <f t="shared" si="42"/>
        <v>0</v>
      </c>
      <c r="O219" s="54"/>
      <c r="P219" s="54"/>
      <c r="Q219" s="807"/>
    </row>
    <row r="220" spans="1:17">
      <c r="A220" s="88" t="s">
        <v>3926</v>
      </c>
      <c r="B220" s="158"/>
      <c r="C220" s="896" t="s">
        <v>3924</v>
      </c>
      <c r="D220" s="874" t="s">
        <v>4544</v>
      </c>
      <c r="E220" s="155"/>
      <c r="F220" s="155"/>
      <c r="G220" s="155"/>
      <c r="H220" s="155"/>
      <c r="I220" s="155"/>
      <c r="J220" s="155"/>
      <c r="K220" s="1494"/>
      <c r="L220" s="297">
        <f t="shared" si="41"/>
        <v>0</v>
      </c>
      <c r="M220" s="277"/>
      <c r="N220" s="1802">
        <f t="shared" si="42"/>
        <v>0</v>
      </c>
      <c r="O220" s="54"/>
      <c r="P220" s="54"/>
      <c r="Q220" s="807"/>
    </row>
    <row r="221" spans="1:17">
      <c r="A221" s="88" t="s">
        <v>3927</v>
      </c>
      <c r="B221" s="158"/>
      <c r="C221" s="896" t="s">
        <v>1255</v>
      </c>
      <c r="D221" s="874" t="s">
        <v>4544</v>
      </c>
      <c r="E221" s="155"/>
      <c r="F221" s="155"/>
      <c r="G221" s="155"/>
      <c r="H221" s="155"/>
      <c r="I221" s="155"/>
      <c r="J221" s="155"/>
      <c r="K221" s="1494"/>
      <c r="L221" s="297">
        <f t="shared" si="41"/>
        <v>0</v>
      </c>
      <c r="M221" s="277"/>
      <c r="N221" s="1802">
        <f t="shared" si="42"/>
        <v>0</v>
      </c>
      <c r="O221" s="54"/>
      <c r="P221" s="54"/>
      <c r="Q221" s="807"/>
    </row>
    <row r="222" spans="1:17">
      <c r="A222" s="872" t="s">
        <v>3187</v>
      </c>
      <c r="B222" s="872"/>
      <c r="C222" s="872" t="s">
        <v>2883</v>
      </c>
      <c r="D222" s="872"/>
      <c r="E222" s="164"/>
      <c r="F222" s="164"/>
      <c r="G222" s="164"/>
      <c r="H222" s="164"/>
      <c r="I222" s="164"/>
      <c r="J222" s="164"/>
      <c r="K222" s="403"/>
      <c r="L222" s="689"/>
      <c r="M222" s="597"/>
      <c r="N222" s="689">
        <f t="shared" si="42"/>
        <v>0</v>
      </c>
      <c r="O222" s="164"/>
      <c r="P222" s="164"/>
      <c r="Q222" s="813"/>
    </row>
    <row r="223" spans="1:17">
      <c r="A223" s="165" t="s">
        <v>3188</v>
      </c>
      <c r="B223" s="165"/>
      <c r="C223" s="165" t="s">
        <v>2994</v>
      </c>
      <c r="D223" s="165"/>
      <c r="E223" s="101"/>
      <c r="F223" s="101"/>
      <c r="G223" s="101"/>
      <c r="H223" s="101"/>
      <c r="I223" s="101"/>
      <c r="J223" s="101"/>
      <c r="K223" s="101"/>
      <c r="L223" s="165"/>
      <c r="M223" s="101"/>
      <c r="N223" s="1800">
        <f>N225</f>
        <v>0</v>
      </c>
      <c r="O223" s="101"/>
      <c r="P223" s="101"/>
      <c r="Q223" s="806">
        <f>Q225</f>
        <v>0</v>
      </c>
    </row>
    <row r="224" spans="1:17" ht="30">
      <c r="A224" s="575" t="s">
        <v>3189</v>
      </c>
      <c r="B224" s="895"/>
      <c r="C224" s="501" t="s">
        <v>2995</v>
      </c>
      <c r="D224" s="501"/>
      <c r="E224" s="598"/>
      <c r="F224" s="598"/>
      <c r="G224" s="598"/>
      <c r="H224" s="598"/>
      <c r="I224" s="598"/>
      <c r="J224" s="598"/>
      <c r="K224" s="1825"/>
      <c r="L224" s="591"/>
      <c r="M224" s="1819"/>
      <c r="N224" s="591"/>
      <c r="O224" s="1823"/>
      <c r="P224" s="1824" t="s">
        <v>4994</v>
      </c>
      <c r="Q224" s="1835"/>
    </row>
    <row r="225" spans="1:17">
      <c r="A225" s="872" t="s">
        <v>3190</v>
      </c>
      <c r="B225" s="872"/>
      <c r="C225" s="872" t="s">
        <v>28</v>
      </c>
      <c r="D225" s="872"/>
      <c r="E225" s="164"/>
      <c r="F225" s="164"/>
      <c r="G225" s="164"/>
      <c r="H225" s="164"/>
      <c r="I225" s="164"/>
      <c r="J225" s="164"/>
      <c r="K225" s="164"/>
      <c r="L225" s="872"/>
      <c r="M225" s="164"/>
      <c r="N225" s="1801">
        <f>N226</f>
        <v>0</v>
      </c>
      <c r="O225" s="164"/>
      <c r="P225" s="164"/>
      <c r="Q225" s="701">
        <f>Q226</f>
        <v>0</v>
      </c>
    </row>
    <row r="226" spans="1:17">
      <c r="A226" s="88" t="s">
        <v>3191</v>
      </c>
      <c r="B226" s="158"/>
      <c r="C226" s="874" t="s">
        <v>2996</v>
      </c>
      <c r="D226" s="874" t="s">
        <v>5036</v>
      </c>
      <c r="E226" s="155"/>
      <c r="F226" s="155"/>
      <c r="G226" s="155"/>
      <c r="H226" s="155"/>
      <c r="I226" s="155"/>
      <c r="J226" s="155"/>
      <c r="K226" s="1494"/>
      <c r="L226" s="297">
        <f t="shared" ref="L226" si="43">K226/100000</f>
        <v>0</v>
      </c>
      <c r="M226" s="277"/>
      <c r="N226" s="1802">
        <f>L226*M226</f>
        <v>0</v>
      </c>
      <c r="O226" s="54"/>
      <c r="P226" s="54"/>
      <c r="Q226" s="807"/>
    </row>
    <row r="227" spans="1:17">
      <c r="A227" s="165" t="s">
        <v>3192</v>
      </c>
      <c r="B227" s="165"/>
      <c r="C227" s="165" t="s">
        <v>29</v>
      </c>
      <c r="D227" s="165"/>
      <c r="E227" s="101"/>
      <c r="F227" s="101"/>
      <c r="G227" s="101"/>
      <c r="H227" s="101"/>
      <c r="I227" s="101"/>
      <c r="J227" s="101"/>
      <c r="K227" s="101"/>
      <c r="L227" s="165"/>
      <c r="M227" s="101"/>
      <c r="N227" s="1800">
        <f>SUM(N228:N229)</f>
        <v>0</v>
      </c>
      <c r="O227" s="101"/>
      <c r="P227" s="101"/>
      <c r="Q227" s="806">
        <f>SUM(Q228:Q229)</f>
        <v>0</v>
      </c>
    </row>
    <row r="228" spans="1:17">
      <c r="A228" s="88" t="s">
        <v>3193</v>
      </c>
      <c r="B228" s="88"/>
      <c r="C228" s="88" t="s">
        <v>5034</v>
      </c>
      <c r="D228" s="88" t="s">
        <v>5037</v>
      </c>
      <c r="E228" s="54"/>
      <c r="F228" s="54"/>
      <c r="G228" s="54"/>
      <c r="H228" s="54"/>
      <c r="I228" s="54"/>
      <c r="J228" s="54"/>
      <c r="K228" s="1494"/>
      <c r="L228" s="297">
        <f t="shared" ref="L228:L229" si="44">K228/100000</f>
        <v>0</v>
      </c>
      <c r="M228" s="277"/>
      <c r="N228" s="1802">
        <f>L228*M228</f>
        <v>0</v>
      </c>
      <c r="O228" s="54"/>
      <c r="P228" s="54"/>
      <c r="Q228" s="807"/>
    </row>
    <row r="229" spans="1:17">
      <c r="A229" s="88" t="s">
        <v>3798</v>
      </c>
      <c r="B229" s="88"/>
      <c r="C229" s="88" t="s">
        <v>302</v>
      </c>
      <c r="D229" s="88" t="s">
        <v>5036</v>
      </c>
      <c r="E229" s="54"/>
      <c r="F229" s="54"/>
      <c r="G229" s="54"/>
      <c r="H229" s="54"/>
      <c r="I229" s="54"/>
      <c r="J229" s="54"/>
      <c r="K229" s="1494"/>
      <c r="L229" s="297">
        <f t="shared" si="44"/>
        <v>0</v>
      </c>
      <c r="M229" s="277"/>
      <c r="N229" s="1802">
        <f>L229*M229</f>
        <v>0</v>
      </c>
      <c r="O229" s="54"/>
      <c r="P229" s="54"/>
      <c r="Q229" s="807"/>
    </row>
    <row r="230" spans="1:17">
      <c r="A230" s="165" t="s">
        <v>3194</v>
      </c>
      <c r="B230" s="165"/>
      <c r="C230" s="165" t="s">
        <v>30</v>
      </c>
      <c r="D230" s="165"/>
      <c r="E230" s="101"/>
      <c r="F230" s="101"/>
      <c r="G230" s="101"/>
      <c r="H230" s="101"/>
      <c r="I230" s="101"/>
      <c r="J230" s="101"/>
      <c r="K230" s="101"/>
      <c r="L230" s="165"/>
      <c r="M230" s="101"/>
      <c r="N230" s="1800">
        <f>N231+N257</f>
        <v>0</v>
      </c>
      <c r="O230" s="101"/>
      <c r="P230" s="101"/>
      <c r="Q230" s="806">
        <f>Q231+Q257</f>
        <v>0</v>
      </c>
    </row>
    <row r="231" spans="1:17">
      <c r="A231" s="872" t="s">
        <v>3195</v>
      </c>
      <c r="B231" s="872"/>
      <c r="C231" s="489" t="s">
        <v>2147</v>
      </c>
      <c r="D231" s="489"/>
      <c r="E231" s="164"/>
      <c r="F231" s="164"/>
      <c r="G231" s="164"/>
      <c r="H231" s="164"/>
      <c r="I231" s="164"/>
      <c r="J231" s="164"/>
      <c r="K231" s="164"/>
      <c r="L231" s="872"/>
      <c r="M231" s="164"/>
      <c r="N231" s="1801">
        <f>N232+N233+N239+N245+N250</f>
        <v>0</v>
      </c>
      <c r="O231" s="164"/>
      <c r="P231" s="164"/>
      <c r="Q231" s="701">
        <f>Q232+Q233+Q239+Q245+Q250</f>
        <v>0</v>
      </c>
    </row>
    <row r="232" spans="1:17">
      <c r="A232" s="880" t="s">
        <v>3196</v>
      </c>
      <c r="B232" s="880"/>
      <c r="C232" s="880" t="s">
        <v>31</v>
      </c>
      <c r="D232" s="880"/>
      <c r="E232" s="102"/>
      <c r="F232" s="102"/>
      <c r="G232" s="102"/>
      <c r="H232" s="102"/>
      <c r="I232" s="102"/>
      <c r="J232" s="102"/>
      <c r="K232" s="1832"/>
      <c r="L232" s="1813"/>
      <c r="M232" s="152"/>
      <c r="N232" s="1154">
        <f>L232*M232</f>
        <v>0</v>
      </c>
      <c r="O232" s="102"/>
      <c r="P232" s="102"/>
      <c r="Q232" s="810"/>
    </row>
    <row r="233" spans="1:17">
      <c r="A233" s="880" t="s">
        <v>3802</v>
      </c>
      <c r="B233" s="880"/>
      <c r="C233" s="880" t="s">
        <v>33</v>
      </c>
      <c r="D233" s="880"/>
      <c r="E233" s="102"/>
      <c r="F233" s="102"/>
      <c r="G233" s="102"/>
      <c r="H233" s="102"/>
      <c r="I233" s="102"/>
      <c r="J233" s="102"/>
      <c r="K233" s="102"/>
      <c r="L233" s="880"/>
      <c r="M233" s="102"/>
      <c r="N233" s="1154">
        <f>N234+N235+N238</f>
        <v>0</v>
      </c>
      <c r="O233" s="102"/>
      <c r="P233" s="102"/>
      <c r="Q233" s="810">
        <f>Q234+Q235+Q238</f>
        <v>0</v>
      </c>
    </row>
    <row r="234" spans="1:17" ht="30">
      <c r="A234" s="88" t="s">
        <v>4246</v>
      </c>
      <c r="B234" s="88" t="s">
        <v>2997</v>
      </c>
      <c r="C234" s="88" t="s">
        <v>2998</v>
      </c>
      <c r="D234" s="898" t="s">
        <v>5042</v>
      </c>
      <c r="E234" s="599"/>
      <c r="F234" s="54"/>
      <c r="G234" s="54"/>
      <c r="H234" s="54"/>
      <c r="I234" s="54"/>
      <c r="J234" s="54"/>
      <c r="K234" s="1494"/>
      <c r="L234" s="297">
        <f t="shared" ref="L234" si="45">K234/100000</f>
        <v>0</v>
      </c>
      <c r="M234" s="277"/>
      <c r="N234" s="1802">
        <f>L234*M234</f>
        <v>0</v>
      </c>
      <c r="O234" s="54"/>
      <c r="P234" s="54"/>
      <c r="Q234" s="807"/>
    </row>
    <row r="235" spans="1:17" s="861" customFormat="1">
      <c r="A235" s="1814" t="s">
        <v>4247</v>
      </c>
      <c r="B235" s="1814" t="s">
        <v>2999</v>
      </c>
      <c r="C235" s="1815" t="s">
        <v>2173</v>
      </c>
      <c r="D235" s="1815"/>
      <c r="E235" s="156"/>
      <c r="F235" s="156"/>
      <c r="G235" s="156"/>
      <c r="H235" s="156"/>
      <c r="I235" s="156"/>
      <c r="J235" s="156"/>
      <c r="K235" s="1826"/>
      <c r="L235" s="1816"/>
      <c r="M235" s="593"/>
      <c r="N235" s="1816">
        <f>N236+N237</f>
        <v>0</v>
      </c>
      <c r="O235" s="156"/>
      <c r="P235" s="156"/>
      <c r="Q235" s="1836">
        <f>Q236+Q237</f>
        <v>0</v>
      </c>
    </row>
    <row r="236" spans="1:17" s="861" customFormat="1">
      <c r="A236" s="107" t="s">
        <v>4424</v>
      </c>
      <c r="B236" s="107"/>
      <c r="C236" s="107" t="s">
        <v>3000</v>
      </c>
      <c r="D236" s="107" t="s">
        <v>5040</v>
      </c>
      <c r="E236" s="108"/>
      <c r="F236" s="108"/>
      <c r="G236" s="108"/>
      <c r="H236" s="108"/>
      <c r="I236" s="108"/>
      <c r="J236" s="108"/>
      <c r="K236" s="1494"/>
      <c r="L236" s="297">
        <f t="shared" ref="L236:L238" si="46">K236/100000</f>
        <v>0</v>
      </c>
      <c r="M236" s="277"/>
      <c r="N236" s="234">
        <f>L236*M236</f>
        <v>0</v>
      </c>
      <c r="O236" s="108"/>
      <c r="P236" s="108"/>
      <c r="Q236" s="809"/>
    </row>
    <row r="237" spans="1:17" s="861" customFormat="1" ht="30">
      <c r="A237" s="107" t="s">
        <v>4425</v>
      </c>
      <c r="B237" s="107"/>
      <c r="C237" s="899" t="s">
        <v>2335</v>
      </c>
      <c r="D237" s="107" t="s">
        <v>5043</v>
      </c>
      <c r="E237" s="108"/>
      <c r="F237" s="108"/>
      <c r="G237" s="108"/>
      <c r="H237" s="108"/>
      <c r="I237" s="108"/>
      <c r="J237" s="108"/>
      <c r="K237" s="1494"/>
      <c r="L237" s="297">
        <f t="shared" si="46"/>
        <v>0</v>
      </c>
      <c r="M237" s="277"/>
      <c r="N237" s="234">
        <f>L237*M237</f>
        <v>0</v>
      </c>
      <c r="O237" s="108"/>
      <c r="P237" s="108"/>
      <c r="Q237" s="809"/>
    </row>
    <row r="238" spans="1:17">
      <c r="A238" s="107" t="s">
        <v>4248</v>
      </c>
      <c r="B238" s="107"/>
      <c r="C238" s="107" t="s">
        <v>2883</v>
      </c>
      <c r="D238" s="107" t="s">
        <v>5040</v>
      </c>
      <c r="E238" s="54"/>
      <c r="F238" s="54"/>
      <c r="G238" s="54"/>
      <c r="H238" s="54"/>
      <c r="I238" s="54"/>
      <c r="J238" s="54"/>
      <c r="K238" s="1494"/>
      <c r="L238" s="297">
        <f t="shared" si="46"/>
        <v>0</v>
      </c>
      <c r="M238" s="277"/>
      <c r="N238" s="1802">
        <f>L238*M238</f>
        <v>0</v>
      </c>
      <c r="O238" s="54"/>
      <c r="P238" s="54"/>
      <c r="Q238" s="807"/>
    </row>
    <row r="239" spans="1:17">
      <c r="A239" s="880" t="s">
        <v>3803</v>
      </c>
      <c r="B239" s="880"/>
      <c r="C239" s="880" t="s">
        <v>32</v>
      </c>
      <c r="D239" s="880"/>
      <c r="E239" s="102"/>
      <c r="F239" s="102"/>
      <c r="G239" s="102"/>
      <c r="H239" s="102"/>
      <c r="I239" s="102"/>
      <c r="J239" s="102"/>
      <c r="K239" s="102"/>
      <c r="L239" s="880"/>
      <c r="M239" s="102"/>
      <c r="N239" s="1154">
        <f>SUM(N240:N244)</f>
        <v>0</v>
      </c>
      <c r="O239" s="102"/>
      <c r="P239" s="102"/>
      <c r="Q239" s="810">
        <f>SUM(Q240:Q244)</f>
        <v>0</v>
      </c>
    </row>
    <row r="240" spans="1:17" ht="30">
      <c r="A240" s="107" t="s">
        <v>4249</v>
      </c>
      <c r="B240" s="107" t="s">
        <v>2997</v>
      </c>
      <c r="C240" s="88" t="s">
        <v>2998</v>
      </c>
      <c r="D240" s="898" t="s">
        <v>5042</v>
      </c>
      <c r="E240" s="54"/>
      <c r="F240" s="54"/>
      <c r="G240" s="54"/>
      <c r="H240" s="54"/>
      <c r="I240" s="54"/>
      <c r="J240" s="54"/>
      <c r="K240" s="1494"/>
      <c r="L240" s="297">
        <f t="shared" ref="L240:L244" si="47">K240/100000</f>
        <v>0</v>
      </c>
      <c r="M240" s="277"/>
      <c r="N240" s="1802">
        <f>L240*M240</f>
        <v>0</v>
      </c>
      <c r="O240" s="54"/>
      <c r="P240" s="54"/>
      <c r="Q240" s="807"/>
    </row>
    <row r="241" spans="1:17">
      <c r="A241" s="107" t="s">
        <v>4250</v>
      </c>
      <c r="B241" s="107" t="s">
        <v>3010</v>
      </c>
      <c r="C241" s="88" t="s">
        <v>3738</v>
      </c>
      <c r="D241" s="107" t="s">
        <v>5040</v>
      </c>
      <c r="E241" s="598"/>
      <c r="F241" s="598"/>
      <c r="G241" s="598"/>
      <c r="H241" s="598"/>
      <c r="I241" s="598"/>
      <c r="J241" s="598"/>
      <c r="K241" s="1825"/>
      <c r="L241" s="591"/>
      <c r="M241" s="1819"/>
      <c r="N241" s="591"/>
      <c r="O241" s="1823"/>
      <c r="P241" s="1824" t="s">
        <v>4994</v>
      </c>
      <c r="Q241" s="1835"/>
    </row>
    <row r="242" spans="1:17">
      <c r="A242" s="107" t="s">
        <v>4251</v>
      </c>
      <c r="B242" s="107" t="s">
        <v>3018</v>
      </c>
      <c r="C242" s="88" t="s">
        <v>3739</v>
      </c>
      <c r="D242" s="107" t="s">
        <v>5040</v>
      </c>
      <c r="E242" s="598"/>
      <c r="F242" s="598"/>
      <c r="G242" s="598"/>
      <c r="H242" s="598"/>
      <c r="I242" s="598"/>
      <c r="J242" s="598"/>
      <c r="K242" s="1825"/>
      <c r="L242" s="591"/>
      <c r="M242" s="1819"/>
      <c r="N242" s="591"/>
      <c r="O242" s="1823"/>
      <c r="P242" s="1824" t="s">
        <v>4994</v>
      </c>
      <c r="Q242" s="1835"/>
    </row>
    <row r="243" spans="1:17">
      <c r="A243" s="107" t="s">
        <v>4252</v>
      </c>
      <c r="B243" s="107" t="s">
        <v>3024</v>
      </c>
      <c r="C243" s="88" t="s">
        <v>4258</v>
      </c>
      <c r="D243" s="107" t="s">
        <v>5040</v>
      </c>
      <c r="E243" s="54"/>
      <c r="F243" s="54"/>
      <c r="G243" s="54"/>
      <c r="H243" s="54"/>
      <c r="I243" s="54"/>
      <c r="J243" s="54"/>
      <c r="K243" s="1494"/>
      <c r="L243" s="297">
        <f t="shared" si="47"/>
        <v>0</v>
      </c>
      <c r="M243" s="277"/>
      <c r="N243" s="1802">
        <f>L243*M243</f>
        <v>0</v>
      </c>
      <c r="O243" s="54"/>
      <c r="P243" s="54"/>
      <c r="Q243" s="807"/>
    </row>
    <row r="244" spans="1:17">
      <c r="A244" s="107" t="s">
        <v>4253</v>
      </c>
      <c r="B244" s="107"/>
      <c r="C244" s="88" t="s">
        <v>2883</v>
      </c>
      <c r="D244" s="107" t="s">
        <v>5040</v>
      </c>
      <c r="E244" s="54"/>
      <c r="F244" s="54"/>
      <c r="G244" s="54"/>
      <c r="H244" s="54"/>
      <c r="I244" s="54"/>
      <c r="J244" s="54"/>
      <c r="K244" s="1494"/>
      <c r="L244" s="297">
        <f t="shared" si="47"/>
        <v>0</v>
      </c>
      <c r="M244" s="277"/>
      <c r="N244" s="1802">
        <f>L244*M244</f>
        <v>0</v>
      </c>
      <c r="O244" s="54"/>
      <c r="P244" s="54"/>
      <c r="Q244" s="807"/>
    </row>
    <row r="245" spans="1:17">
      <c r="A245" s="880" t="s">
        <v>3804</v>
      </c>
      <c r="B245" s="880"/>
      <c r="C245" s="880" t="s">
        <v>2128</v>
      </c>
      <c r="D245" s="880"/>
      <c r="E245" s="102"/>
      <c r="F245" s="102"/>
      <c r="G245" s="102"/>
      <c r="H245" s="102"/>
      <c r="I245" s="102"/>
      <c r="J245" s="102"/>
      <c r="K245" s="102"/>
      <c r="L245" s="880"/>
      <c r="M245" s="102"/>
      <c r="N245" s="1154">
        <f>SUM(N246:N249)</f>
        <v>0</v>
      </c>
      <c r="O245" s="600"/>
      <c r="P245" s="600"/>
      <c r="Q245" s="810">
        <f>SUM(Q246:Q249)</f>
        <v>0</v>
      </c>
    </row>
    <row r="246" spans="1:17">
      <c r="A246" s="107" t="s">
        <v>4254</v>
      </c>
      <c r="B246" s="900"/>
      <c r="C246" s="901" t="s">
        <v>3745</v>
      </c>
      <c r="D246" s="107" t="s">
        <v>5040</v>
      </c>
      <c r="E246" s="155"/>
      <c r="F246" s="155"/>
      <c r="G246" s="155"/>
      <c r="H246" s="155"/>
      <c r="I246" s="155"/>
      <c r="J246" s="155"/>
      <c r="K246" s="1494"/>
      <c r="L246" s="297">
        <f t="shared" ref="L246:L249" si="48">K246/100000</f>
        <v>0</v>
      </c>
      <c r="M246" s="277"/>
      <c r="N246" s="1802">
        <f>L246*M246</f>
        <v>0</v>
      </c>
      <c r="O246" s="54"/>
      <c r="P246" s="54"/>
      <c r="Q246" s="807"/>
    </row>
    <row r="247" spans="1:17" ht="30">
      <c r="A247" s="107" t="s">
        <v>4255</v>
      </c>
      <c r="B247" s="107" t="s">
        <v>3011</v>
      </c>
      <c r="C247" s="107" t="s">
        <v>3740</v>
      </c>
      <c r="D247" s="107" t="s">
        <v>5040</v>
      </c>
      <c r="E247" s="598"/>
      <c r="F247" s="598"/>
      <c r="G247" s="598"/>
      <c r="H247" s="598"/>
      <c r="I247" s="598"/>
      <c r="J247" s="598"/>
      <c r="K247" s="1825"/>
      <c r="L247" s="591"/>
      <c r="M247" s="1819"/>
      <c r="N247" s="591"/>
      <c r="O247" s="1823"/>
      <c r="P247" s="1824" t="s">
        <v>4994</v>
      </c>
      <c r="Q247" s="1835"/>
    </row>
    <row r="248" spans="1:17" ht="30">
      <c r="A248" s="107" t="s">
        <v>4256</v>
      </c>
      <c r="B248" s="107" t="s">
        <v>3019</v>
      </c>
      <c r="C248" s="107" t="s">
        <v>3741</v>
      </c>
      <c r="D248" s="107" t="s">
        <v>5040</v>
      </c>
      <c r="E248" s="598"/>
      <c r="F248" s="598"/>
      <c r="G248" s="598"/>
      <c r="H248" s="598"/>
      <c r="I248" s="598"/>
      <c r="J248" s="598"/>
      <c r="K248" s="1825"/>
      <c r="L248" s="591"/>
      <c r="M248" s="1819"/>
      <c r="N248" s="591"/>
      <c r="O248" s="1823"/>
      <c r="P248" s="1824" t="s">
        <v>4994</v>
      </c>
      <c r="Q248" s="1835"/>
    </row>
    <row r="249" spans="1:17" ht="30">
      <c r="A249" s="107" t="s">
        <v>4257</v>
      </c>
      <c r="B249" s="107" t="s">
        <v>3025</v>
      </c>
      <c r="C249" s="107" t="s">
        <v>4259</v>
      </c>
      <c r="D249" s="107" t="s">
        <v>5040</v>
      </c>
      <c r="E249" s="54"/>
      <c r="F249" s="54"/>
      <c r="G249" s="54"/>
      <c r="H249" s="54"/>
      <c r="I249" s="54"/>
      <c r="J249" s="54"/>
      <c r="K249" s="1494"/>
      <c r="L249" s="297">
        <f t="shared" si="48"/>
        <v>0</v>
      </c>
      <c r="M249" s="277"/>
      <c r="N249" s="1802">
        <f>L249*M249</f>
        <v>0</v>
      </c>
      <c r="O249" s="54"/>
      <c r="P249" s="54"/>
      <c r="Q249" s="807"/>
    </row>
    <row r="250" spans="1:17">
      <c r="A250" s="880" t="s">
        <v>3813</v>
      </c>
      <c r="B250" s="880"/>
      <c r="C250" s="880" t="s">
        <v>2238</v>
      </c>
      <c r="D250" s="880"/>
      <c r="E250" s="102"/>
      <c r="F250" s="102"/>
      <c r="G250" s="102"/>
      <c r="H250" s="102"/>
      <c r="I250" s="102"/>
      <c r="J250" s="102"/>
      <c r="K250" s="102"/>
      <c r="L250" s="880"/>
      <c r="M250" s="102"/>
      <c r="N250" s="1154">
        <f>N251</f>
        <v>0</v>
      </c>
      <c r="O250" s="102"/>
      <c r="P250" s="102"/>
      <c r="Q250" s="810">
        <f>Q251</f>
        <v>0</v>
      </c>
    </row>
    <row r="251" spans="1:17" s="861" customFormat="1">
      <c r="A251" s="902" t="s">
        <v>3814</v>
      </c>
      <c r="B251" s="902" t="s">
        <v>3001</v>
      </c>
      <c r="C251" s="902" t="s">
        <v>3002</v>
      </c>
      <c r="D251" s="902"/>
      <c r="E251" s="105"/>
      <c r="F251" s="105"/>
      <c r="G251" s="105"/>
      <c r="H251" s="105"/>
      <c r="I251" s="105"/>
      <c r="J251" s="105"/>
      <c r="K251" s="1494"/>
      <c r="L251" s="297">
        <f t="shared" ref="L251:L254" si="49">K251/100000</f>
        <v>0</v>
      </c>
      <c r="M251" s="105"/>
      <c r="N251" s="1804">
        <f>SUM(N252:N254)</f>
        <v>0</v>
      </c>
      <c r="O251" s="105"/>
      <c r="P251" s="105"/>
      <c r="Q251" s="1326">
        <f>SUM(Q252:Q254)</f>
        <v>0</v>
      </c>
    </row>
    <row r="252" spans="1:17" s="861" customFormat="1">
      <c r="A252" s="233" t="s">
        <v>3815</v>
      </c>
      <c r="B252" s="107" t="s">
        <v>3003</v>
      </c>
      <c r="C252" s="107" t="s">
        <v>3004</v>
      </c>
      <c r="D252" s="107" t="s">
        <v>5040</v>
      </c>
      <c r="E252" s="108"/>
      <c r="F252" s="108"/>
      <c r="G252" s="108"/>
      <c r="H252" s="108"/>
      <c r="I252" s="108"/>
      <c r="J252" s="108"/>
      <c r="K252" s="1494"/>
      <c r="L252" s="297">
        <f t="shared" si="49"/>
        <v>0</v>
      </c>
      <c r="M252" s="277"/>
      <c r="N252" s="234">
        <f>L252*M252</f>
        <v>0</v>
      </c>
      <c r="O252" s="108"/>
      <c r="P252" s="108"/>
      <c r="Q252" s="809"/>
    </row>
    <row r="253" spans="1:17">
      <c r="A253" s="233" t="s">
        <v>3816</v>
      </c>
      <c r="B253" s="88" t="s">
        <v>3005</v>
      </c>
      <c r="C253" s="88" t="s">
        <v>3006</v>
      </c>
      <c r="D253" s="107" t="s">
        <v>5040</v>
      </c>
      <c r="E253" s="54"/>
      <c r="F253" s="54"/>
      <c r="G253" s="54"/>
      <c r="H253" s="54"/>
      <c r="I253" s="54"/>
      <c r="J253" s="54"/>
      <c r="K253" s="1494"/>
      <c r="L253" s="297">
        <f t="shared" si="49"/>
        <v>0</v>
      </c>
      <c r="M253" s="277"/>
      <c r="N253" s="1802">
        <f>L253*M253</f>
        <v>0</v>
      </c>
      <c r="O253" s="54"/>
      <c r="P253" s="54"/>
      <c r="Q253" s="807"/>
    </row>
    <row r="254" spans="1:17">
      <c r="A254" s="233" t="s">
        <v>3817</v>
      </c>
      <c r="B254" s="88"/>
      <c r="C254" s="88" t="s">
        <v>2883</v>
      </c>
      <c r="D254" s="107" t="s">
        <v>5040</v>
      </c>
      <c r="E254" s="54"/>
      <c r="F254" s="54"/>
      <c r="G254" s="54"/>
      <c r="H254" s="54"/>
      <c r="I254" s="54"/>
      <c r="J254" s="54"/>
      <c r="K254" s="1494"/>
      <c r="L254" s="297">
        <f t="shared" si="49"/>
        <v>0</v>
      </c>
      <c r="M254" s="277"/>
      <c r="N254" s="1802">
        <f>L254*M254</f>
        <v>0</v>
      </c>
      <c r="O254" s="54"/>
      <c r="P254" s="54"/>
      <c r="Q254" s="807"/>
    </row>
    <row r="255" spans="1:17">
      <c r="A255" s="872" t="s">
        <v>3197</v>
      </c>
      <c r="B255" s="872"/>
      <c r="C255" s="872" t="s">
        <v>2820</v>
      </c>
      <c r="D255" s="872"/>
      <c r="E255" s="601"/>
      <c r="F255" s="601"/>
      <c r="G255" s="601"/>
      <c r="H255" s="601"/>
      <c r="I255" s="601"/>
      <c r="J255" s="601"/>
      <c r="K255" s="1825"/>
      <c r="L255" s="591"/>
      <c r="M255" s="1819"/>
      <c r="N255" s="591"/>
      <c r="O255" s="1827"/>
      <c r="P255" s="1824" t="s">
        <v>4994</v>
      </c>
      <c r="Q255" s="1835"/>
    </row>
    <row r="256" spans="1:17">
      <c r="A256" s="872" t="s">
        <v>3198</v>
      </c>
      <c r="B256" s="872"/>
      <c r="C256" s="872" t="s">
        <v>2822</v>
      </c>
      <c r="D256" s="872"/>
      <c r="E256" s="601"/>
      <c r="F256" s="601"/>
      <c r="G256" s="601"/>
      <c r="H256" s="601"/>
      <c r="I256" s="601"/>
      <c r="J256" s="601"/>
      <c r="K256" s="1825"/>
      <c r="L256" s="591"/>
      <c r="M256" s="1819"/>
      <c r="N256" s="591"/>
      <c r="O256" s="1827"/>
      <c r="P256" s="1824" t="s">
        <v>4994</v>
      </c>
      <c r="Q256" s="1835"/>
    </row>
    <row r="257" spans="1:17">
      <c r="A257" s="872" t="s">
        <v>3199</v>
      </c>
      <c r="B257" s="872"/>
      <c r="C257" s="872" t="s">
        <v>36</v>
      </c>
      <c r="D257" s="872"/>
      <c r="E257" s="164"/>
      <c r="F257" s="164"/>
      <c r="G257" s="164"/>
      <c r="H257" s="164"/>
      <c r="I257" s="164"/>
      <c r="J257" s="164"/>
      <c r="K257" s="164"/>
      <c r="L257" s="872"/>
      <c r="M257" s="164"/>
      <c r="N257" s="1801">
        <f>N258+N262+N265+N268+N269</f>
        <v>0</v>
      </c>
      <c r="O257" s="164"/>
      <c r="P257" s="164"/>
      <c r="Q257" s="701">
        <f>Q258+Q262+Q265+Q268+Q269</f>
        <v>0</v>
      </c>
    </row>
    <row r="258" spans="1:17">
      <c r="A258" s="880" t="s">
        <v>3200</v>
      </c>
      <c r="B258" s="880" t="s">
        <v>3007</v>
      </c>
      <c r="C258" s="880" t="s">
        <v>3008</v>
      </c>
      <c r="D258" s="880"/>
      <c r="E258" s="598"/>
      <c r="F258" s="598"/>
      <c r="G258" s="598"/>
      <c r="H258" s="598"/>
      <c r="I258" s="598"/>
      <c r="J258" s="598"/>
      <c r="K258" s="1825"/>
      <c r="L258" s="591"/>
      <c r="M258" s="1819"/>
      <c r="N258" s="591"/>
      <c r="O258" s="1823"/>
      <c r="P258" s="1824" t="s">
        <v>4994</v>
      </c>
      <c r="Q258" s="1835"/>
    </row>
    <row r="259" spans="1:17">
      <c r="A259" s="88" t="s">
        <v>3805</v>
      </c>
      <c r="B259" s="88" t="s">
        <v>3009</v>
      </c>
      <c r="C259" s="88" t="s">
        <v>36</v>
      </c>
      <c r="D259" s="107" t="s">
        <v>5040</v>
      </c>
      <c r="E259" s="598"/>
      <c r="F259" s="598"/>
      <c r="G259" s="598"/>
      <c r="H259" s="598"/>
      <c r="I259" s="598"/>
      <c r="J259" s="598"/>
      <c r="K259" s="1825"/>
      <c r="L259" s="591"/>
      <c r="M259" s="1819"/>
      <c r="N259" s="591"/>
      <c r="O259" s="1823"/>
      <c r="P259" s="1824" t="s">
        <v>4994</v>
      </c>
      <c r="Q259" s="1835"/>
    </row>
    <row r="260" spans="1:17">
      <c r="A260" s="107" t="s">
        <v>3806</v>
      </c>
      <c r="B260" s="88" t="s">
        <v>3012</v>
      </c>
      <c r="C260" s="88" t="s">
        <v>3013</v>
      </c>
      <c r="D260" s="107" t="s">
        <v>5040</v>
      </c>
      <c r="E260" s="598"/>
      <c r="F260" s="598"/>
      <c r="G260" s="598"/>
      <c r="H260" s="598"/>
      <c r="I260" s="598"/>
      <c r="J260" s="598"/>
      <c r="K260" s="1825"/>
      <c r="L260" s="591"/>
      <c r="M260" s="1819"/>
      <c r="N260" s="591"/>
      <c r="O260" s="1823"/>
      <c r="P260" s="1824" t="s">
        <v>4994</v>
      </c>
      <c r="Q260" s="1835"/>
    </row>
    <row r="261" spans="1:17">
      <c r="A261" s="88" t="s">
        <v>3807</v>
      </c>
      <c r="B261" s="88" t="s">
        <v>3014</v>
      </c>
      <c r="C261" s="88" t="s">
        <v>2883</v>
      </c>
      <c r="D261" s="107" t="s">
        <v>5040</v>
      </c>
      <c r="E261" s="598"/>
      <c r="F261" s="598"/>
      <c r="G261" s="598"/>
      <c r="H261" s="598"/>
      <c r="I261" s="598"/>
      <c r="J261" s="598"/>
      <c r="K261" s="1825"/>
      <c r="L261" s="591"/>
      <c r="M261" s="1819"/>
      <c r="N261" s="591"/>
      <c r="O261" s="1823"/>
      <c r="P261" s="1824" t="s">
        <v>4994</v>
      </c>
      <c r="Q261" s="1835"/>
    </row>
    <row r="262" spans="1:17">
      <c r="A262" s="880" t="s">
        <v>3742</v>
      </c>
      <c r="B262" s="880" t="s">
        <v>3015</v>
      </c>
      <c r="C262" s="880" t="s">
        <v>3016</v>
      </c>
      <c r="D262" s="880"/>
      <c r="E262" s="598"/>
      <c r="F262" s="598"/>
      <c r="G262" s="598"/>
      <c r="H262" s="598"/>
      <c r="I262" s="598"/>
      <c r="J262" s="598"/>
      <c r="K262" s="1825"/>
      <c r="L262" s="591"/>
      <c r="M262" s="1819"/>
      <c r="N262" s="591"/>
      <c r="O262" s="1823"/>
      <c r="P262" s="1824" t="s">
        <v>4994</v>
      </c>
      <c r="Q262" s="1835"/>
    </row>
    <row r="263" spans="1:17">
      <c r="A263" s="88" t="s">
        <v>3808</v>
      </c>
      <c r="B263" s="88" t="s">
        <v>3017</v>
      </c>
      <c r="C263" s="88" t="s">
        <v>36</v>
      </c>
      <c r="D263" s="107" t="s">
        <v>5040</v>
      </c>
      <c r="E263" s="598"/>
      <c r="F263" s="598"/>
      <c r="G263" s="598"/>
      <c r="H263" s="598"/>
      <c r="I263" s="598"/>
      <c r="J263" s="598"/>
      <c r="K263" s="1825"/>
      <c r="L263" s="591"/>
      <c r="M263" s="1819"/>
      <c r="N263" s="591"/>
      <c r="O263" s="1823"/>
      <c r="P263" s="1824" t="s">
        <v>4994</v>
      </c>
      <c r="Q263" s="1835"/>
    </row>
    <row r="264" spans="1:17">
      <c r="A264" s="107" t="s">
        <v>3809</v>
      </c>
      <c r="B264" s="88" t="s">
        <v>3020</v>
      </c>
      <c r="C264" s="88" t="s">
        <v>2883</v>
      </c>
      <c r="D264" s="107" t="s">
        <v>5040</v>
      </c>
      <c r="E264" s="598"/>
      <c r="F264" s="598"/>
      <c r="G264" s="598"/>
      <c r="H264" s="598"/>
      <c r="I264" s="598"/>
      <c r="J264" s="598"/>
      <c r="K264" s="1825"/>
      <c r="L264" s="591"/>
      <c r="M264" s="1819"/>
      <c r="N264" s="591"/>
      <c r="O264" s="1823"/>
      <c r="P264" s="1824" t="s">
        <v>4994</v>
      </c>
      <c r="Q264" s="1835"/>
    </row>
    <row r="265" spans="1:17">
      <c r="A265" s="880" t="s">
        <v>3743</v>
      </c>
      <c r="B265" s="880" t="s">
        <v>3021</v>
      </c>
      <c r="C265" s="880" t="s">
        <v>3022</v>
      </c>
      <c r="D265" s="880"/>
      <c r="E265" s="102"/>
      <c r="F265" s="102"/>
      <c r="G265" s="102"/>
      <c r="H265" s="102"/>
      <c r="I265" s="102"/>
      <c r="J265" s="102"/>
      <c r="K265" s="102"/>
      <c r="L265" s="880"/>
      <c r="M265" s="102"/>
      <c r="N265" s="1154">
        <f>SUM(N266:N267)</f>
        <v>0</v>
      </c>
      <c r="O265" s="102"/>
      <c r="P265" s="102"/>
      <c r="Q265" s="810">
        <f>SUM(Q266:Q267)</f>
        <v>0</v>
      </c>
    </row>
    <row r="266" spans="1:17">
      <c r="A266" s="88" t="s">
        <v>3810</v>
      </c>
      <c r="B266" s="88" t="s">
        <v>3023</v>
      </c>
      <c r="C266" s="88" t="s">
        <v>36</v>
      </c>
      <c r="D266" s="107" t="s">
        <v>5040</v>
      </c>
      <c r="E266" s="54"/>
      <c r="F266" s="54"/>
      <c r="G266" s="54"/>
      <c r="H266" s="54"/>
      <c r="I266" s="54"/>
      <c r="J266" s="54"/>
      <c r="K266" s="1494"/>
      <c r="L266" s="297">
        <f t="shared" ref="L266:L269" si="50">K266/100000</f>
        <v>0</v>
      </c>
      <c r="M266" s="277"/>
      <c r="N266" s="1802">
        <f>L266*M266</f>
        <v>0</v>
      </c>
      <c r="O266" s="54"/>
      <c r="P266" s="54"/>
      <c r="Q266" s="807"/>
    </row>
    <row r="267" spans="1:17">
      <c r="A267" s="107" t="s">
        <v>3811</v>
      </c>
      <c r="B267" s="88" t="s">
        <v>3026</v>
      </c>
      <c r="C267" s="88" t="s">
        <v>2883</v>
      </c>
      <c r="D267" s="107" t="s">
        <v>5040</v>
      </c>
      <c r="E267" s="54"/>
      <c r="F267" s="54"/>
      <c r="G267" s="54"/>
      <c r="H267" s="54"/>
      <c r="I267" s="54"/>
      <c r="J267" s="54"/>
      <c r="K267" s="1494"/>
      <c r="L267" s="297">
        <f t="shared" si="50"/>
        <v>0</v>
      </c>
      <c r="M267" s="277"/>
      <c r="N267" s="1802">
        <f>L267*M267</f>
        <v>0</v>
      </c>
      <c r="O267" s="54"/>
      <c r="P267" s="54"/>
      <c r="Q267" s="807"/>
    </row>
    <row r="268" spans="1:17">
      <c r="A268" s="880" t="s">
        <v>3744</v>
      </c>
      <c r="B268" s="880"/>
      <c r="C268" s="880" t="s">
        <v>34</v>
      </c>
      <c r="D268" s="107" t="s">
        <v>5040</v>
      </c>
      <c r="E268" s="102"/>
      <c r="F268" s="102"/>
      <c r="G268" s="102"/>
      <c r="H268" s="102"/>
      <c r="I268" s="102"/>
      <c r="J268" s="102"/>
      <c r="K268" s="257"/>
      <c r="L268" s="257">
        <f t="shared" si="50"/>
        <v>0</v>
      </c>
      <c r="M268" s="152"/>
      <c r="N268" s="1154">
        <f>M268*L268</f>
        <v>0</v>
      </c>
      <c r="O268" s="102"/>
      <c r="P268" s="102"/>
      <c r="Q268" s="810"/>
    </row>
    <row r="269" spans="1:17">
      <c r="A269" s="880" t="s">
        <v>3812</v>
      </c>
      <c r="B269" s="880"/>
      <c r="C269" s="880" t="s">
        <v>35</v>
      </c>
      <c r="D269" s="107" t="s">
        <v>5040</v>
      </c>
      <c r="E269" s="102"/>
      <c r="F269" s="102"/>
      <c r="G269" s="102"/>
      <c r="H269" s="102"/>
      <c r="I269" s="102"/>
      <c r="J269" s="102"/>
      <c r="K269" s="257"/>
      <c r="L269" s="257">
        <f t="shared" si="50"/>
        <v>0</v>
      </c>
      <c r="M269" s="152"/>
      <c r="N269" s="1154">
        <f>M269*L269</f>
        <v>0</v>
      </c>
      <c r="O269" s="102"/>
      <c r="P269" s="102"/>
      <c r="Q269" s="810"/>
    </row>
    <row r="270" spans="1:17">
      <c r="A270" s="165" t="s">
        <v>3201</v>
      </c>
      <c r="B270" s="165"/>
      <c r="C270" s="165" t="s">
        <v>3027</v>
      </c>
      <c r="D270" s="165"/>
      <c r="E270" s="101"/>
      <c r="F270" s="101"/>
      <c r="G270" s="101"/>
      <c r="H270" s="101"/>
      <c r="I270" s="101"/>
      <c r="J270" s="101"/>
      <c r="K270" s="101"/>
      <c r="L270" s="165"/>
      <c r="M270" s="101"/>
      <c r="N270" s="1800">
        <f>SUM(N271:N272)</f>
        <v>0</v>
      </c>
      <c r="O270" s="101"/>
      <c r="P270" s="101"/>
      <c r="Q270" s="806">
        <f>SUM(Q271:Q272)</f>
        <v>0</v>
      </c>
    </row>
    <row r="271" spans="1:17" ht="30">
      <c r="A271" s="88" t="s">
        <v>3202</v>
      </c>
      <c r="B271" s="894"/>
      <c r="C271" s="509" t="s">
        <v>3795</v>
      </c>
      <c r="D271" s="509" t="s">
        <v>5035</v>
      </c>
      <c r="E271" s="69"/>
      <c r="F271" s="69"/>
      <c r="G271" s="69"/>
      <c r="H271" s="69"/>
      <c r="I271" s="69"/>
      <c r="J271" s="69"/>
      <c r="K271" s="1494"/>
      <c r="L271" s="297">
        <f t="shared" ref="L271:L272" si="51">K271/100000</f>
        <v>0</v>
      </c>
      <c r="M271" s="277"/>
      <c r="N271" s="1802">
        <f>L271*M271</f>
        <v>0</v>
      </c>
      <c r="O271" s="54"/>
      <c r="P271" s="54"/>
      <c r="Q271" s="807"/>
    </row>
    <row r="272" spans="1:17">
      <c r="A272" s="88" t="s">
        <v>3796</v>
      </c>
      <c r="B272" s="894"/>
      <c r="C272" s="88" t="s">
        <v>2883</v>
      </c>
      <c r="D272" s="88" t="s">
        <v>3204</v>
      </c>
      <c r="E272" s="69"/>
      <c r="F272" s="69"/>
      <c r="G272" s="69"/>
      <c r="H272" s="69"/>
      <c r="I272" s="69"/>
      <c r="J272" s="69"/>
      <c r="K272" s="1494"/>
      <c r="L272" s="297">
        <f t="shared" si="51"/>
        <v>0</v>
      </c>
      <c r="M272" s="277"/>
      <c r="N272" s="1802">
        <f>L272*M272</f>
        <v>0</v>
      </c>
      <c r="O272" s="54"/>
      <c r="P272" s="54"/>
      <c r="Q272" s="807"/>
    </row>
    <row r="273" spans="1:17">
      <c r="A273" s="165" t="s">
        <v>3203</v>
      </c>
      <c r="B273" s="165"/>
      <c r="C273" s="165" t="s">
        <v>3028</v>
      </c>
      <c r="D273" s="165"/>
      <c r="E273" s="101"/>
      <c r="F273" s="101"/>
      <c r="G273" s="101"/>
      <c r="H273" s="101"/>
      <c r="I273" s="101"/>
      <c r="J273" s="101"/>
      <c r="K273" s="101"/>
      <c r="L273" s="165"/>
      <c r="M273" s="101"/>
      <c r="N273" s="1800">
        <f>N274</f>
        <v>0</v>
      </c>
      <c r="O273" s="101"/>
      <c r="P273" s="101"/>
      <c r="Q273" s="806">
        <f>Q274</f>
        <v>0</v>
      </c>
    </row>
    <row r="274" spans="1:17">
      <c r="A274" s="88" t="s">
        <v>3797</v>
      </c>
      <c r="B274" s="894"/>
      <c r="C274" s="894" t="s">
        <v>4261</v>
      </c>
      <c r="D274" s="894" t="s">
        <v>3204</v>
      </c>
      <c r="E274" s="69"/>
      <c r="F274" s="69"/>
      <c r="G274" s="69"/>
      <c r="H274" s="69"/>
      <c r="I274" s="69"/>
      <c r="J274" s="69"/>
      <c r="K274" s="1494"/>
      <c r="L274" s="297">
        <f t="shared" ref="L274" si="52">K274/100000</f>
        <v>0</v>
      </c>
      <c r="M274" s="277"/>
      <c r="N274" s="1802">
        <f>L274*M274</f>
        <v>0</v>
      </c>
      <c r="O274" s="54"/>
      <c r="P274" s="54"/>
      <c r="Q274" s="807"/>
    </row>
  </sheetData>
  <sheetProtection sheet="1" formatCells="0" formatColumns="0" formatRows="0" autoFilter="0"/>
  <autoFilter ref="A6:Q281"/>
  <mergeCells count="9">
    <mergeCell ref="A1:Q1"/>
    <mergeCell ref="A5:A6"/>
    <mergeCell ref="B5:B6"/>
    <mergeCell ref="C5:C6"/>
    <mergeCell ref="E5:I5"/>
    <mergeCell ref="J5:O5"/>
    <mergeCell ref="P5:Q5"/>
    <mergeCell ref="D5:D6"/>
    <mergeCell ref="A2:A4"/>
  </mergeCells>
  <phoneticPr fontId="68"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sheetPr codeName="Sheet12">
    <tabColor theme="8" tint="0.79998168889431442"/>
  </sheetPr>
  <dimension ref="A1:AE481"/>
  <sheetViews>
    <sheetView zoomScale="70" zoomScaleNormal="70" workbookViewId="0">
      <pane xSplit="3" ySplit="5" topLeftCell="N33" activePane="bottomRight" state="frozen"/>
      <selection activeCell="A4" sqref="A4:R5"/>
      <selection pane="topRight" activeCell="A4" sqref="A4:R5"/>
      <selection pane="bottomLeft" activeCell="A4" sqref="A4:R5"/>
      <selection pane="bottomRight" activeCell="R33" sqref="R33"/>
    </sheetView>
  </sheetViews>
  <sheetFormatPr defaultColWidth="9.140625" defaultRowHeight="15"/>
  <cols>
    <col min="1" max="1" width="10.85546875" style="904" customWidth="1"/>
    <col min="2" max="2" width="17.7109375" style="904" customWidth="1"/>
    <col min="3" max="3" width="66.5703125" style="860" customWidth="1"/>
    <col min="4" max="4" width="9" style="868" customWidth="1"/>
    <col min="5" max="5" width="16.85546875" style="868" customWidth="1"/>
    <col min="6" max="6" width="16.42578125" style="868" customWidth="1"/>
    <col min="7" max="7" width="15.42578125" style="868" customWidth="1"/>
    <col min="8" max="8" width="18.28515625" style="978" customWidth="1"/>
    <col min="9" max="9" width="17.28515625" style="868" customWidth="1"/>
    <col min="10" max="10" width="18.28515625" style="978" bestFit="1" customWidth="1"/>
    <col min="11" max="11" width="22.7109375" style="868" bestFit="1" customWidth="1"/>
    <col min="12" max="12" width="17.28515625" style="978" bestFit="1" customWidth="1"/>
    <col min="13" max="13" width="12.140625" style="978" customWidth="1"/>
    <col min="14" max="14" width="9.140625" style="868"/>
    <col min="15" max="15" width="15.7109375" style="978" customWidth="1"/>
    <col min="16" max="16" width="35.5703125" style="904" customWidth="1"/>
    <col min="17" max="17" width="53.85546875" style="904" customWidth="1"/>
    <col min="18" max="18" width="14.28515625" style="1212" bestFit="1" customWidth="1"/>
    <col min="19" max="16384" width="9.140625" style="860"/>
  </cols>
  <sheetData>
    <row r="1" spans="1:18">
      <c r="A1" s="4073" t="s">
        <v>3206</v>
      </c>
      <c r="B1" s="4074"/>
      <c r="C1" s="4075"/>
      <c r="D1" s="1837"/>
      <c r="F1" s="1838"/>
      <c r="G1" s="1143"/>
      <c r="H1" s="1143"/>
      <c r="I1" s="1839"/>
      <c r="J1" s="1840"/>
      <c r="K1" s="1840"/>
      <c r="L1" s="1841"/>
      <c r="M1" s="1840"/>
    </row>
    <row r="2" spans="1:18">
      <c r="A2" s="1842" t="str">
        <f>HYPERLINK("#Index!F3", "Index Pg")</f>
        <v>Index Pg</v>
      </c>
      <c r="B2" s="1379"/>
      <c r="C2" s="1843" t="str">
        <f>HYPERLINK("#'Budget Summary I'!A1:AL1", "Budget Summary I")</f>
        <v>Budget Summary I</v>
      </c>
      <c r="D2" s="980"/>
      <c r="E2" s="1844" t="s">
        <v>4460</v>
      </c>
      <c r="F2" s="1145">
        <f>R6+R101+R196+R288+R341+R377+R394+R432+R444+R446+R476</f>
        <v>10552.275023999999</v>
      </c>
      <c r="G2" s="1145"/>
      <c r="H2" s="1845"/>
      <c r="I2" s="1145"/>
      <c r="J2" s="1841"/>
      <c r="K2" s="1135"/>
      <c r="L2" s="1841"/>
      <c r="M2" s="1145"/>
    </row>
    <row r="3" spans="1:18">
      <c r="A3" s="1846"/>
      <c r="B3" s="1847"/>
      <c r="C3" s="1848" t="str">
        <f>HYPERLINK("#'Budget Summary II'!A3:B5", "Budget Summary II")</f>
        <v>Budget Summary II</v>
      </c>
      <c r="D3" s="1849"/>
      <c r="E3" s="1850" t="s">
        <v>4461</v>
      </c>
      <c r="F3" s="1145">
        <f>O6+O101+O196+O288+O341+O377+O394+O432+O444+O446+O476</f>
        <v>12610.646639999999</v>
      </c>
      <c r="G3" s="1145"/>
      <c r="H3" s="1845"/>
      <c r="J3" s="1851"/>
      <c r="K3" s="1135"/>
      <c r="L3" s="1841"/>
      <c r="M3" s="1841"/>
    </row>
    <row r="4" spans="1:18" s="868" customFormat="1">
      <c r="A4" s="3801" t="s">
        <v>48</v>
      </c>
      <c r="B4" s="3801" t="s">
        <v>49</v>
      </c>
      <c r="C4" s="3801" t="s">
        <v>50</v>
      </c>
      <c r="D4" s="3801" t="s">
        <v>51</v>
      </c>
      <c r="E4" s="3801" t="s">
        <v>52</v>
      </c>
      <c r="F4" s="3866" t="s">
        <v>4478</v>
      </c>
      <c r="G4" s="3866"/>
      <c r="H4" s="3866"/>
      <c r="I4" s="3866"/>
      <c r="J4" s="3866"/>
      <c r="K4" s="3866" t="s">
        <v>4484</v>
      </c>
      <c r="L4" s="3866"/>
      <c r="M4" s="3866"/>
      <c r="N4" s="3866"/>
      <c r="O4" s="3866"/>
      <c r="P4" s="3866"/>
      <c r="Q4" s="3801" t="s">
        <v>4514</v>
      </c>
      <c r="R4" s="3801"/>
    </row>
    <row r="5" spans="1:18" s="868" customFormat="1" ht="45">
      <c r="A5" s="3801"/>
      <c r="B5" s="3801"/>
      <c r="C5" s="3801"/>
      <c r="D5" s="3801"/>
      <c r="E5" s="3801"/>
      <c r="F5" s="918" t="s">
        <v>4479</v>
      </c>
      <c r="G5" s="918" t="s">
        <v>4482</v>
      </c>
      <c r="H5" s="918" t="s">
        <v>4480</v>
      </c>
      <c r="I5" s="918" t="s">
        <v>4483</v>
      </c>
      <c r="J5" s="918" t="s">
        <v>2448</v>
      </c>
      <c r="K5" s="919" t="s">
        <v>53</v>
      </c>
      <c r="L5" s="920" t="s">
        <v>54</v>
      </c>
      <c r="M5" s="920" t="s">
        <v>55</v>
      </c>
      <c r="N5" s="919" t="s">
        <v>56</v>
      </c>
      <c r="O5" s="920" t="s">
        <v>57</v>
      </c>
      <c r="P5" s="919" t="s">
        <v>58</v>
      </c>
      <c r="Q5" s="921" t="s">
        <v>2450</v>
      </c>
      <c r="R5" s="2726" t="s">
        <v>4515</v>
      </c>
    </row>
    <row r="6" spans="1:18" s="861" customFormat="1">
      <c r="A6" s="1852" t="s">
        <v>4213</v>
      </c>
      <c r="B6" s="1852"/>
      <c r="C6" s="1853" t="s">
        <v>5054</v>
      </c>
      <c r="D6" s="1854"/>
      <c r="E6" s="1854"/>
      <c r="F6" s="1854"/>
      <c r="G6" s="1854"/>
      <c r="H6" s="1855"/>
      <c r="I6" s="1854"/>
      <c r="J6" s="1855"/>
      <c r="K6" s="1854"/>
      <c r="L6" s="1855"/>
      <c r="M6" s="1855"/>
      <c r="N6" s="1856"/>
      <c r="O6" s="1855">
        <f>O7+O20+O26+O35+O54+O56+O90+O92+O96+O31</f>
        <v>9082.3108200000006</v>
      </c>
      <c r="P6" s="1857"/>
      <c r="Q6" s="1857"/>
      <c r="R6" s="2727">
        <f>R7+R20+R26+R35+R54+R56+R90+R92+R96+R31</f>
        <v>7229.4075000000012</v>
      </c>
    </row>
    <row r="7" spans="1:18" s="861" customFormat="1">
      <c r="A7" s="1858">
        <f>'1.SD Facility Based Annex'!A7</f>
        <v>1</v>
      </c>
      <c r="B7" s="1858">
        <f>'1.SD Facility Based Annex'!B7</f>
        <v>0</v>
      </c>
      <c r="C7" s="1859" t="str">
        <f>'1.SD Facility Based Annex'!C7</f>
        <v>Service Delivery - Facility Based</v>
      </c>
      <c r="D7" s="1860"/>
      <c r="E7" s="1860"/>
      <c r="F7" s="1860"/>
      <c r="G7" s="1860"/>
      <c r="H7" s="1860"/>
      <c r="I7" s="1860"/>
      <c r="J7" s="1860"/>
      <c r="K7" s="1860"/>
      <c r="L7" s="994"/>
      <c r="M7" s="1860"/>
      <c r="N7" s="1860"/>
      <c r="O7" s="994">
        <f>SUM(O8:O14)</f>
        <v>213.97200000000001</v>
      </c>
      <c r="P7" s="1858"/>
      <c r="Q7" s="1858"/>
      <c r="R7" s="654">
        <f>SUM(R8:R14)</f>
        <v>261.97199999999998</v>
      </c>
    </row>
    <row r="8" spans="1:18" s="861" customFormat="1" ht="45">
      <c r="A8" s="2735" t="str">
        <f>'1.SD Facility Based Annex'!A10</f>
        <v>1.1.1.1</v>
      </c>
      <c r="B8" s="2735" t="str">
        <f>'1.SD Facility Based Annex'!B10</f>
        <v>A.1.5.4</v>
      </c>
      <c r="C8" s="1861" t="str">
        <f>'1.SD Facility Based Annex'!C10</f>
        <v>PMSMA activities at State/ District level</v>
      </c>
      <c r="D8" s="1862" t="str">
        <f>'1.SD Facility Based Annex'!D10</f>
        <v>RCH</v>
      </c>
      <c r="E8" s="1862" t="str">
        <f>'1.SD Facility Based Annex'!E10</f>
        <v>MH</v>
      </c>
      <c r="F8" s="1862">
        <f>'1.SD Facility Based Annex'!F10</f>
        <v>0</v>
      </c>
      <c r="G8" s="1862">
        <f>'1.SD Facility Based Annex'!G10</f>
        <v>0</v>
      </c>
      <c r="H8" s="1862">
        <f>'1.SD Facility Based Annex'!H10</f>
        <v>0</v>
      </c>
      <c r="I8" s="1862">
        <f>'1.SD Facility Based Annex'!I10</f>
        <v>0</v>
      </c>
      <c r="J8" s="1862">
        <f>'1.SD Facility Based Annex'!J10</f>
        <v>0</v>
      </c>
      <c r="K8" s="1862">
        <f>'1.SD Facility Based Annex'!K10</f>
        <v>0</v>
      </c>
      <c r="L8" s="962">
        <f>'1.SD Facility Based Annex'!L10</f>
        <v>0</v>
      </c>
      <c r="M8" s="962">
        <f>'1.SD Facility Based Annex'!M10</f>
        <v>0</v>
      </c>
      <c r="N8" s="1862">
        <f>'1.SD Facility Based Annex'!N10</f>
        <v>0</v>
      </c>
      <c r="O8" s="962">
        <f>'1.SD Facility Based Annex'!O10</f>
        <v>0</v>
      </c>
      <c r="P8" s="2735">
        <f>'1.SD Facility Based Annex'!P10</f>
        <v>0</v>
      </c>
      <c r="Q8" s="2764" t="s">
        <v>5522</v>
      </c>
      <c r="R8" s="2728">
        <f>4000*100*12/100000</f>
        <v>48</v>
      </c>
    </row>
    <row r="9" spans="1:18" s="861" customFormat="1" ht="330">
      <c r="A9" s="2735" t="str">
        <f>'1.SD Facility Based Annex'!A11</f>
        <v>1.1.1.2</v>
      </c>
      <c r="B9" s="2735" t="str">
        <f>'1.SD Facility Based Annex'!B11</f>
        <v>A.1.6.3</v>
      </c>
      <c r="C9" s="1861" t="str">
        <f>'1.SD Facility Based Annex'!C11</f>
        <v>Diet services for JSSK Beneficiaries (3 days for Normal Delivery and 7 days for Caesarean)</v>
      </c>
      <c r="D9" s="1862" t="str">
        <f>'1.SD Facility Based Annex'!D11</f>
        <v>RCH</v>
      </c>
      <c r="E9" s="1862" t="str">
        <f>'1.SD Facility Based Annex'!E11</f>
        <v>MH</v>
      </c>
      <c r="F9" s="1862">
        <f>'1.SD Facility Based Annex'!F11</f>
        <v>75394</v>
      </c>
      <c r="G9" s="1862">
        <f>'1.SD Facility Based Annex'!G11</f>
        <v>17763</v>
      </c>
      <c r="H9" s="1862">
        <f>'1.SD Facility Based Annex'!H11</f>
        <v>85.2</v>
      </c>
      <c r="I9" s="1862">
        <f>'1.SD Facility Based Annex'!I11</f>
        <v>6.32</v>
      </c>
      <c r="J9" s="1862">
        <f>'1.SD Facility Based Annex'!J11</f>
        <v>78.88</v>
      </c>
      <c r="K9" s="1862">
        <f>'1.SD Facility Based Annex'!K11</f>
        <v>0</v>
      </c>
      <c r="L9" s="962">
        <f>'1.SD Facility Based Annex'!L11</f>
        <v>102</v>
      </c>
      <c r="M9" s="962">
        <f>'1.SD Facility Based Annex'!M11</f>
        <v>1.0200000000000001E-3</v>
      </c>
      <c r="N9" s="1862">
        <f>'1.SD Facility Based Annex'!N11</f>
        <v>50000</v>
      </c>
      <c r="O9" s="962">
        <f>'1.SD Facility Based Annex'!O11</f>
        <v>51.000000000000007</v>
      </c>
      <c r="P9" s="2735" t="str">
        <f>'1.SD Facility Based Annex'!P11</f>
        <v>Food is provided free to all patients in all government hospitals of the state. However, the state provides an additional amount of Rs.30 per day of hospital stay for supplementing the diet of PW. The estimated births as received from GoI vide D.O. dated 20.8.2020 is 1,15,770 and it is assumed that around 90% (1,00,000 approx.) would deliver in health institutions. Out of the 1 lakh, 90,000 is assumed to have normal delivcery and 10,000 C-Section. It is assumed that the stay of hospital would be 3 days for ND and 7 days for C-Section. The state has built proposal for food for 45000 Normal deliveries and 5000 C-sections  and therefore,  calculation is as under:   Normal Delivery = 45000 x 90(Rs. 30 for 3 days) = Rs.40.5 lac; C-Section = 5000 x 210 (Rs.30 x 7 days) = Rs. 10.5 lac Therefore total is Rs. 51 lac</v>
      </c>
      <c r="Q9" s="2018" t="s">
        <v>5523</v>
      </c>
      <c r="R9" s="2728">
        <f>((45000*90)+(5000*210))/100000</f>
        <v>51</v>
      </c>
    </row>
    <row r="10" spans="1:18" s="861" customFormat="1">
      <c r="A10" s="2735" t="str">
        <f>'1.SD Facility Based Annex'!A12</f>
        <v>1.1.1.3</v>
      </c>
      <c r="B10" s="2735" t="str">
        <f>'1.SD Facility Based Annex'!B12</f>
        <v>A.1.6.2</v>
      </c>
      <c r="C10" s="1861" t="str">
        <f>'1.SD Facility Based Annex'!C12</f>
        <v>Blood Transfusion for JSSK Beneficiaries</v>
      </c>
      <c r="D10" s="1862" t="str">
        <f>'1.SD Facility Based Annex'!D12</f>
        <v>RCH</v>
      </c>
      <c r="E10" s="1862" t="str">
        <f>'1.SD Facility Based Annex'!E12</f>
        <v>MH</v>
      </c>
      <c r="F10" s="1862">
        <f>'1.SD Facility Based Annex'!F12</f>
        <v>0</v>
      </c>
      <c r="G10" s="1862" t="e">
        <f>'1.SD Facility Based Annex'!#REF!</f>
        <v>#REF!</v>
      </c>
      <c r="H10" s="1862">
        <f>'1.SD Facility Based Annex'!H12</f>
        <v>0</v>
      </c>
      <c r="I10" s="1862" t="e">
        <f>'1.SD Facility Based Annex'!#REF!</f>
        <v>#REF!</v>
      </c>
      <c r="J10" s="1862">
        <f>'1.SD Facility Based Annex'!J12</f>
        <v>0</v>
      </c>
      <c r="K10" s="1862">
        <f>'1.SD Facility Based Annex'!K12</f>
        <v>0</v>
      </c>
      <c r="L10" s="962">
        <f>'1.SD Facility Based Annex'!L12</f>
        <v>0</v>
      </c>
      <c r="M10" s="962">
        <f>'1.SD Facility Based Annex'!M12</f>
        <v>0</v>
      </c>
      <c r="N10" s="1862">
        <f>'1.SD Facility Based Annex'!N12</f>
        <v>0</v>
      </c>
      <c r="O10" s="962">
        <f>'1.SD Facility Based Annex'!O12</f>
        <v>0</v>
      </c>
      <c r="P10" s="2735" t="e">
        <f>'1.SD Facility Based Annex'!#REF!</f>
        <v>#REF!</v>
      </c>
      <c r="Q10" s="2725" t="s">
        <v>5520</v>
      </c>
      <c r="R10" s="2729">
        <v>0</v>
      </c>
    </row>
    <row r="11" spans="1:18" s="861" customFormat="1" ht="60">
      <c r="A11" s="2735" t="str">
        <f>'1.SD Facility Based Annex'!A13</f>
        <v>1.1.1.4</v>
      </c>
      <c r="B11" s="2735" t="str">
        <f>'1.SD Facility Based Annex'!B13</f>
        <v>A.1.6.5.1</v>
      </c>
      <c r="C11" s="1861" t="str">
        <f>'1.SD Facility Based Annex'!C13</f>
        <v>Antenatal Screening of all pregnant women coming to the facilities in their first trimester for Sickle cell trait, β Thalassemia, Haemoglobin variants esp. Haemoglobin E and Anaemia  -Refer Hemoglobinopathies guidelines</v>
      </c>
      <c r="D11" s="1862" t="str">
        <f>'1.SD Facility Based Annex'!D13</f>
        <v>RCH</v>
      </c>
      <c r="E11" s="1862" t="str">
        <f>'1.SD Facility Based Annex'!E13</f>
        <v>Blood services (for MH)</v>
      </c>
      <c r="F11" s="1862">
        <f>'1.SD Facility Based Annex'!F13</f>
        <v>0</v>
      </c>
      <c r="G11" s="1862">
        <f>'1.SD Facility Based Annex'!G12</f>
        <v>1138</v>
      </c>
      <c r="H11" s="1862">
        <f>'1.SD Facility Based Annex'!H13</f>
        <v>0</v>
      </c>
      <c r="I11" s="1862">
        <f>'1.SD Facility Based Annex'!I12</f>
        <v>0</v>
      </c>
      <c r="J11" s="1862">
        <f>'1.SD Facility Based Annex'!J13</f>
        <v>0</v>
      </c>
      <c r="K11" s="1862">
        <f>'1.SD Facility Based Annex'!K13</f>
        <v>0</v>
      </c>
      <c r="L11" s="962">
        <f>'1.SD Facility Based Annex'!L13</f>
        <v>0</v>
      </c>
      <c r="M11" s="962">
        <f>'1.SD Facility Based Annex'!M13</f>
        <v>0</v>
      </c>
      <c r="N11" s="1862">
        <f>'1.SD Facility Based Annex'!N13</f>
        <v>0</v>
      </c>
      <c r="O11" s="962">
        <f>'1.SD Facility Based Annex'!O13</f>
        <v>0</v>
      </c>
      <c r="P11" s="2735" t="str">
        <f>'1.SD Facility Based Annex'!P12</f>
        <v>The state is providing free blood to all categories and the budget is being built by the concerned division.</v>
      </c>
      <c r="Q11" s="2707" t="s">
        <v>5524</v>
      </c>
      <c r="R11" s="2728"/>
    </row>
    <row r="12" spans="1:18" s="861" customFormat="1" ht="270">
      <c r="A12" s="2735" t="str">
        <f>'1.SD Facility Based Annex'!A14</f>
        <v>1.1.1.5</v>
      </c>
      <c r="B12" s="2735">
        <f>'1.SD Facility Based Annex'!B14</f>
        <v>0</v>
      </c>
      <c r="C12" s="1861" t="str">
        <f>'1.SD Facility Based Annex'!C14</f>
        <v>LaQshya Related Activities</v>
      </c>
      <c r="D12" s="1862" t="str">
        <f>'1.SD Facility Based Annex'!D14</f>
        <v>RCH</v>
      </c>
      <c r="E12" s="1862" t="str">
        <f>'1.SD Facility Based Annex'!E14</f>
        <v>MH</v>
      </c>
      <c r="F12" s="1862">
        <f>'1.SD Facility Based Annex'!F14</f>
        <v>22</v>
      </c>
      <c r="G12" s="1862">
        <f>'1.SD Facility Based Annex'!G14</f>
        <v>0</v>
      </c>
      <c r="H12" s="1862">
        <f>'1.SD Facility Based Annex'!H14</f>
        <v>53.31</v>
      </c>
      <c r="I12" s="1862" t="str">
        <f>'1.SD Facility Based Annex'!I14</f>
        <v>0                                  1) Mentoring visits could not be conducted         2) Review meeting held in virtual mode.          3) Dakshata Mentors on COVID duty</v>
      </c>
      <c r="J12" s="1862">
        <f>'1.SD Facility Based Annex'!J14</f>
        <v>0</v>
      </c>
      <c r="K12" s="1862">
        <f>'1.SD Facility Based Annex'!K14</f>
        <v>1</v>
      </c>
      <c r="L12" s="962">
        <f>'1.SD Facility Based Annex'!L14</f>
        <v>247600</v>
      </c>
      <c r="M12" s="962">
        <f>'1.SD Facility Based Annex'!M14</f>
        <v>2.476</v>
      </c>
      <c r="N12" s="1862">
        <f>'1.SD Facility Based Annex'!N14</f>
        <v>22</v>
      </c>
      <c r="O12" s="962">
        <f>'1.SD Facility Based Annex'!O14</f>
        <v>54.472000000000001</v>
      </c>
      <c r="P12" s="2735" t="str">
        <f>'1.SD Facility Based Annex'!P14</f>
        <v>LaQshya related activities1. 4 State mentoring visit @ Rs.6800 per visitper month for 12 districtsTotal = Rs. 6800 x 4 x 12 x 12 = Rs.39,16,8002. National mentoring visitQuarterly visit @ Rs. 44,400Total = Rs. 44,400 x 4 visits = Rs. 1,77,6003. DCT visit2 visits @ Rs. 4100 per month in 7 facilities for 12 monthsTotal = Rs. 4100 x 2 x 7 x 12 = Rs. 6,88,8004. Quarterly district level review meetingQuarterly District level Review meeting @ Rs.9000 each for 12 districtsTotal = Rs. 9000 x 4 x 12 = Rs. 4,32,0005. State Level Review meetingQuarterly State level Review meeting @ Rs. 58,000Total = Rs. 58,000 x 4 = Rs. 2,32,000Total fund required = Rs. 54,47,200</v>
      </c>
      <c r="Q12" s="2018" t="s">
        <v>5525</v>
      </c>
      <c r="R12" s="2765">
        <f>(3916800+177600+688800+432000+232000)/100000</f>
        <v>54.472000000000001</v>
      </c>
    </row>
    <row r="13" spans="1:18" s="861" customFormat="1">
      <c r="A13" s="2735" t="str">
        <f>'1.SD Facility Based Annex'!A15</f>
        <v>1.1.1.6</v>
      </c>
      <c r="B13" s="2735">
        <f>'1.SD Facility Based Annex'!B15</f>
        <v>0</v>
      </c>
      <c r="C13" s="1861" t="str">
        <f>'1.SD Facility Based Annex'!C15</f>
        <v>Any other (please specify)</v>
      </c>
      <c r="D13" s="1862" t="str">
        <f>'1.SD Facility Based Annex'!D15</f>
        <v>RCH</v>
      </c>
      <c r="E13" s="1862" t="str">
        <f>'1.SD Facility Based Annex'!E15</f>
        <v>MH</v>
      </c>
      <c r="F13" s="1862">
        <f>'1.SD Facility Based Annex'!F15</f>
        <v>0</v>
      </c>
      <c r="G13" s="1862">
        <f>'1.SD Facility Based Annex'!G15</f>
        <v>0</v>
      </c>
      <c r="H13" s="1862">
        <f>'1.SD Facility Based Annex'!H15</f>
        <v>0</v>
      </c>
      <c r="I13" s="1862">
        <f>'1.SD Facility Based Annex'!I15</f>
        <v>0</v>
      </c>
      <c r="J13" s="1862">
        <f>'1.SD Facility Based Annex'!J15</f>
        <v>0</v>
      </c>
      <c r="K13" s="1862">
        <f>'1.SD Facility Based Annex'!K15</f>
        <v>0</v>
      </c>
      <c r="L13" s="962">
        <f>'1.SD Facility Based Annex'!L15</f>
        <v>0</v>
      </c>
      <c r="M13" s="962">
        <f>'1.SD Facility Based Annex'!M15</f>
        <v>0</v>
      </c>
      <c r="N13" s="1862">
        <f>'1.SD Facility Based Annex'!N15</f>
        <v>0</v>
      </c>
      <c r="O13" s="962">
        <f>'1.SD Facility Based Annex'!O15</f>
        <v>0</v>
      </c>
      <c r="P13" s="2735">
        <f>'1.SD Facility Based Annex'!P15</f>
        <v>0</v>
      </c>
      <c r="Q13" s="2725" t="s">
        <v>5520</v>
      </c>
      <c r="R13" s="2729">
        <v>0</v>
      </c>
    </row>
    <row r="14" spans="1:18" s="889" customFormat="1">
      <c r="A14" s="1925" t="str">
        <f>'1.SD Facility Based Annex'!A60</f>
        <v>1.2.1</v>
      </c>
      <c r="B14" s="1925">
        <f>'1.SD Facility Based Annex'!B60</f>
        <v>0</v>
      </c>
      <c r="C14" s="2753" t="str">
        <f>'1.SD Facility Based Annex'!C60</f>
        <v>Beneficiary Compensation under Janani Suraksha Yojana (JSY)</v>
      </c>
      <c r="D14" s="921">
        <f>'1.SD Facility Based Annex'!D60</f>
        <v>0</v>
      </c>
      <c r="E14" s="921">
        <f>'1.SD Facility Based Annex'!E60</f>
        <v>0</v>
      </c>
      <c r="F14" s="921">
        <f>'1.SD Facility Based Annex'!F60</f>
        <v>0</v>
      </c>
      <c r="G14" s="921">
        <f>'1.SD Facility Based Annex'!G60</f>
        <v>0</v>
      </c>
      <c r="H14" s="921">
        <f>'1.SD Facility Based Annex'!H60</f>
        <v>0</v>
      </c>
      <c r="I14" s="921">
        <f>'1.SD Facility Based Annex'!I60</f>
        <v>0</v>
      </c>
      <c r="J14" s="921">
        <f>'1.SD Facility Based Annex'!J60</f>
        <v>0</v>
      </c>
      <c r="K14" s="921">
        <f>'1.SD Facility Based Annex'!K60</f>
        <v>0</v>
      </c>
      <c r="L14" s="922">
        <f>'1.SD Facility Based Annex'!L60</f>
        <v>0</v>
      </c>
      <c r="M14" s="922">
        <f>'1.SD Facility Based Annex'!M60</f>
        <v>0</v>
      </c>
      <c r="N14" s="921">
        <f>'1.SD Facility Based Annex'!N60</f>
        <v>0</v>
      </c>
      <c r="O14" s="922">
        <f>'1.SD Facility Based Annex'!O60</f>
        <v>108.5</v>
      </c>
      <c r="P14" s="1925">
        <f>'1.SD Facility Based Annex'!P60</f>
        <v>0</v>
      </c>
      <c r="Q14" s="2743"/>
      <c r="R14" s="2730">
        <f>R15+R16</f>
        <v>108.5</v>
      </c>
    </row>
    <row r="15" spans="1:18" s="861" customFormat="1" ht="30">
      <c r="A15" s="2735" t="str">
        <f>'1.SD Facility Based Annex'!A61</f>
        <v>1.2.1.1</v>
      </c>
      <c r="B15" s="2735" t="str">
        <f>'1.SD Facility Based Annex'!B61</f>
        <v>A.1.3.1</v>
      </c>
      <c r="C15" s="1861" t="str">
        <f>'1.SD Facility Based Annex'!C61</f>
        <v>Home deliveries</v>
      </c>
      <c r="D15" s="1862" t="str">
        <f>'1.SD Facility Based Annex'!D61</f>
        <v>RCH</v>
      </c>
      <c r="E15" s="1862" t="str">
        <f>'1.SD Facility Based Annex'!E61</f>
        <v>MH</v>
      </c>
      <c r="F15" s="1862">
        <f>'1.SD Facility Based Annex'!F61</f>
        <v>300</v>
      </c>
      <c r="G15" s="1862">
        <f>'1.SD Facility Based Annex'!G61</f>
        <v>121</v>
      </c>
      <c r="H15" s="1862">
        <f>'1.SD Facility Based Annex'!H61</f>
        <v>1.5</v>
      </c>
      <c r="I15" s="1862">
        <f>'1.SD Facility Based Annex'!I61</f>
        <v>0.69</v>
      </c>
      <c r="J15" s="1862">
        <f>'1.SD Facility Based Annex'!J61</f>
        <v>0.81</v>
      </c>
      <c r="K15" s="1862">
        <f>'1.SD Facility Based Annex'!K61</f>
        <v>0</v>
      </c>
      <c r="L15" s="962">
        <f>'1.SD Facility Based Annex'!L61</f>
        <v>500</v>
      </c>
      <c r="M15" s="962">
        <f>'1.SD Facility Based Annex'!M61</f>
        <v>5.0000000000000001E-3</v>
      </c>
      <c r="N15" s="1862">
        <f>'1.SD Facility Based Annex'!N61</f>
        <v>300</v>
      </c>
      <c r="O15" s="962">
        <f>'1.SD Facility Based Annex'!O61</f>
        <v>1.5</v>
      </c>
      <c r="P15" s="2735" t="str">
        <f>'1.SD Facility Based Annex'!P61</f>
        <v>Same budget proposed as in previous year</v>
      </c>
      <c r="Q15" s="2018" t="s">
        <v>5512</v>
      </c>
      <c r="R15" s="2711">
        <f>(300*500)/100000</f>
        <v>1.5</v>
      </c>
    </row>
    <row r="16" spans="1:18" s="889" customFormat="1">
      <c r="A16" s="1925" t="str">
        <f>'1.SD Facility Based Annex'!A62</f>
        <v>1.2.1.2</v>
      </c>
      <c r="B16" s="1925" t="str">
        <f>'1.SD Facility Based Annex'!B62</f>
        <v>A.1.3.2</v>
      </c>
      <c r="C16" s="2753" t="str">
        <f>'1.SD Facility Based Annex'!C62</f>
        <v xml:space="preserve">Institutional deliveries </v>
      </c>
      <c r="D16" s="921">
        <f>'1.SD Facility Based Annex'!D62</f>
        <v>0</v>
      </c>
      <c r="E16" s="921">
        <f>'1.SD Facility Based Annex'!E62</f>
        <v>0</v>
      </c>
      <c r="F16" s="921">
        <f>'1.SD Facility Based Annex'!F62</f>
        <v>0</v>
      </c>
      <c r="G16" s="921">
        <f>'1.SD Facility Based Annex'!G62</f>
        <v>0</v>
      </c>
      <c r="H16" s="921">
        <f>'1.SD Facility Based Annex'!H62</f>
        <v>0</v>
      </c>
      <c r="I16" s="921">
        <f>'1.SD Facility Based Annex'!I62</f>
        <v>0</v>
      </c>
      <c r="J16" s="921">
        <f>'1.SD Facility Based Annex'!J62</f>
        <v>0</v>
      </c>
      <c r="K16" s="921">
        <f>'1.SD Facility Based Annex'!K62</f>
        <v>0</v>
      </c>
      <c r="L16" s="922">
        <f>'1.SD Facility Based Annex'!L62</f>
        <v>0</v>
      </c>
      <c r="M16" s="922">
        <f>'1.SD Facility Based Annex'!M62</f>
        <v>0</v>
      </c>
      <c r="N16" s="921">
        <f>'1.SD Facility Based Annex'!N62</f>
        <v>0</v>
      </c>
      <c r="O16" s="922">
        <f>'1.SD Facility Based Annex'!O62</f>
        <v>107</v>
      </c>
      <c r="P16" s="1925">
        <f>'1.SD Facility Based Annex'!P62</f>
        <v>0</v>
      </c>
      <c r="Q16" s="2754" t="s">
        <v>5520</v>
      </c>
      <c r="R16" s="2766">
        <f>SUM(R17:R19)</f>
        <v>107</v>
      </c>
    </row>
    <row r="17" spans="1:18" s="861" customFormat="1" ht="120">
      <c r="A17" s="2735" t="str">
        <f>'1.SD Facility Based Annex'!A63</f>
        <v>1.2.1.2.1</v>
      </c>
      <c r="B17" s="2735" t="str">
        <f>'1.SD Facility Based Annex'!B63</f>
        <v>A.1.3.2.a</v>
      </c>
      <c r="C17" s="1861" t="str">
        <f>'1.SD Facility Based Annex'!C63</f>
        <v>Rural</v>
      </c>
      <c r="D17" s="1862" t="str">
        <f>'1.SD Facility Based Annex'!D63</f>
        <v>RCH</v>
      </c>
      <c r="E17" s="1862" t="str">
        <f>'1.SD Facility Based Annex'!E63</f>
        <v>MH</v>
      </c>
      <c r="F17" s="1862">
        <f>'1.SD Facility Based Annex'!F63</f>
        <v>14000</v>
      </c>
      <c r="G17" s="1862">
        <f>'1.SD Facility Based Annex'!G63</f>
        <v>4781</v>
      </c>
      <c r="H17" s="1862">
        <f>'1.SD Facility Based Annex'!H63</f>
        <v>98</v>
      </c>
      <c r="I17" s="1862">
        <f>'1.SD Facility Based Annex'!I63</f>
        <v>88.69</v>
      </c>
      <c r="J17" s="1862">
        <f>'1.SD Facility Based Annex'!J63</f>
        <v>9.31</v>
      </c>
      <c r="K17" s="1862">
        <f>'1.SD Facility Based Annex'!K63</f>
        <v>0</v>
      </c>
      <c r="L17" s="962">
        <f>'1.SD Facility Based Annex'!L63</f>
        <v>700</v>
      </c>
      <c r="M17" s="962">
        <f>'1.SD Facility Based Annex'!M63</f>
        <v>7.0000000000000001E-3</v>
      </c>
      <c r="N17" s="1862">
        <f>'1.SD Facility Based Annex'!N63</f>
        <v>14000</v>
      </c>
      <c r="O17" s="962">
        <f>'1.SD Facility Based Annex'!O63</f>
        <v>98</v>
      </c>
      <c r="P17" s="2735" t="str">
        <f>'1.SD Facility Based Annex'!P63</f>
        <v>It is pertinent to mention that state has enhanced the incentive under JSY for Rural &amp; Urban IDs to Rs.1100 from the state budget. The districts books the expenditure @Rs.1100. The additional amount of incentive is recooped in NHM budget. Same budget proposed as previous year</v>
      </c>
      <c r="Q17" s="2018" t="s">
        <v>5513</v>
      </c>
      <c r="R17" s="2711">
        <f>(14000*700)/100000</f>
        <v>98</v>
      </c>
    </row>
    <row r="18" spans="1:18" s="861" customFormat="1" ht="30">
      <c r="A18" s="2735" t="str">
        <f>'1.SD Facility Based Annex'!A64</f>
        <v>1.2.1.2.2</v>
      </c>
      <c r="B18" s="2735" t="str">
        <f>'1.SD Facility Based Annex'!B64</f>
        <v>A.1.3.2.b</v>
      </c>
      <c r="C18" s="1861" t="str">
        <f>'1.SD Facility Based Annex'!C64</f>
        <v>Urban</v>
      </c>
      <c r="D18" s="1862" t="str">
        <f>'1.SD Facility Based Annex'!D64</f>
        <v>RCH</v>
      </c>
      <c r="E18" s="1862" t="str">
        <f>'1.SD Facility Based Annex'!E64</f>
        <v>MH</v>
      </c>
      <c r="F18" s="1862">
        <f>'1.SD Facility Based Annex'!F64</f>
        <v>1000</v>
      </c>
      <c r="G18" s="1862">
        <f>'1.SD Facility Based Annex'!G64</f>
        <v>589</v>
      </c>
      <c r="H18" s="1862">
        <f>'1.SD Facility Based Annex'!H64</f>
        <v>6</v>
      </c>
      <c r="I18" s="1862">
        <f>'1.SD Facility Based Annex'!I64</f>
        <v>2.92</v>
      </c>
      <c r="J18" s="1862">
        <f>'1.SD Facility Based Annex'!J64</f>
        <v>3.08</v>
      </c>
      <c r="K18" s="1862">
        <f>'1.SD Facility Based Annex'!K64</f>
        <v>0</v>
      </c>
      <c r="L18" s="962">
        <f>'1.SD Facility Based Annex'!L64</f>
        <v>600</v>
      </c>
      <c r="M18" s="962">
        <f>'1.SD Facility Based Annex'!M64</f>
        <v>6.0000000000000001E-3</v>
      </c>
      <c r="N18" s="1862">
        <f>'1.SD Facility Based Annex'!N64</f>
        <v>1000</v>
      </c>
      <c r="O18" s="962">
        <f>'1.SD Facility Based Annex'!O64</f>
        <v>6</v>
      </c>
      <c r="P18" s="2735">
        <f>'1.SD Facility Based Annex'!P64</f>
        <v>0</v>
      </c>
      <c r="Q18" s="2018" t="s">
        <v>5514</v>
      </c>
      <c r="R18" s="2711">
        <f>(1000*600)/100000</f>
        <v>6</v>
      </c>
    </row>
    <row r="19" spans="1:18" s="861" customFormat="1" ht="90">
      <c r="A19" s="2735" t="str">
        <f>'1.SD Facility Based Annex'!A65</f>
        <v>1.2.1.2.3</v>
      </c>
      <c r="B19" s="2735" t="str">
        <f>'1.SD Facility Based Annex'!B65</f>
        <v>A.1.3.2.c</v>
      </c>
      <c r="C19" s="1861" t="str">
        <f>'1.SD Facility Based Annex'!C65</f>
        <v>C-sections</v>
      </c>
      <c r="D19" s="1862" t="str">
        <f>'1.SD Facility Based Annex'!D65</f>
        <v>RCH</v>
      </c>
      <c r="E19" s="1862" t="str">
        <f>'1.SD Facility Based Annex'!E65</f>
        <v>MH</v>
      </c>
      <c r="F19" s="1862">
        <f>'1.SD Facility Based Annex'!F65</f>
        <v>100</v>
      </c>
      <c r="G19" s="1862">
        <f>'1.SD Facility Based Annex'!G65</f>
        <v>0</v>
      </c>
      <c r="H19" s="1862">
        <f>'1.SD Facility Based Annex'!H65</f>
        <v>3</v>
      </c>
      <c r="I19" s="1862">
        <f>'1.SD Facility Based Annex'!I65</f>
        <v>0.21</v>
      </c>
      <c r="J19" s="1862">
        <f>'1.SD Facility Based Annex'!J65</f>
        <v>2.79</v>
      </c>
      <c r="K19" s="1862">
        <f>'1.SD Facility Based Annex'!K65</f>
        <v>0</v>
      </c>
      <c r="L19" s="962">
        <f>'1.SD Facility Based Annex'!L65</f>
        <v>3000</v>
      </c>
      <c r="M19" s="962">
        <f>'1.SD Facility Based Annex'!M65</f>
        <v>0.03</v>
      </c>
      <c r="N19" s="1862">
        <f>'1.SD Facility Based Annex'!N65</f>
        <v>100</v>
      </c>
      <c r="O19" s="962">
        <f>'1.SD Facility Based Annex'!O65</f>
        <v>3</v>
      </c>
      <c r="P19" s="2735">
        <f>'1.SD Facility Based Annex'!P65</f>
        <v>0</v>
      </c>
      <c r="Q19" s="2018" t="s">
        <v>5515</v>
      </c>
      <c r="R19" s="2711">
        <f>(100*3000)/100000</f>
        <v>3</v>
      </c>
    </row>
    <row r="20" spans="1:18" s="889" customFormat="1">
      <c r="A20" s="1858">
        <f>'2.SD Community Based Annex'!A7</f>
        <v>2</v>
      </c>
      <c r="B20" s="1858">
        <f>'2.SD Community Based Annex'!B7</f>
        <v>0</v>
      </c>
      <c r="C20" s="1859" t="str">
        <f>'2.SD Community Based Annex'!C7</f>
        <v>Service Delivery - Community Based</v>
      </c>
      <c r="D20" s="1860"/>
      <c r="E20" s="1860"/>
      <c r="F20" s="1860"/>
      <c r="G20" s="1860"/>
      <c r="H20" s="1860"/>
      <c r="I20" s="1860"/>
      <c r="J20" s="1860"/>
      <c r="K20" s="1860"/>
      <c r="L20" s="994"/>
      <c r="M20" s="1860"/>
      <c r="N20" s="1860"/>
      <c r="O20" s="994">
        <f>SUM(O21:O25)</f>
        <v>96</v>
      </c>
      <c r="P20" s="1858"/>
      <c r="Q20" s="692"/>
      <c r="R20" s="2731">
        <f>SUM(R21:R25)</f>
        <v>96</v>
      </c>
    </row>
    <row r="21" spans="1:18" s="861" customFormat="1">
      <c r="A21" s="2735" t="str">
        <f>'2.SD Community Based Annex'!A34</f>
        <v>2.3.1.1.1</v>
      </c>
      <c r="B21" s="2735" t="str">
        <f>'2.SD Community Based Annex'!B34</f>
        <v>A.1.2.1</v>
      </c>
      <c r="C21" s="1861" t="str">
        <f>'2.SD Community Based Annex'!C34</f>
        <v>Outreach camps</v>
      </c>
      <c r="D21" s="1862" t="str">
        <f>'2.SD Community Based Annex'!D34</f>
        <v>RCH</v>
      </c>
      <c r="E21" s="1862" t="str">
        <f>'2.SD Community Based Annex'!E34</f>
        <v>MH</v>
      </c>
      <c r="F21" s="1862">
        <f>'2.SD Community Based Annex'!F34</f>
        <v>0</v>
      </c>
      <c r="G21" s="1862">
        <f>'2.SD Community Based Annex'!G34</f>
        <v>0</v>
      </c>
      <c r="H21" s="1862">
        <f>'2.SD Community Based Annex'!H34</f>
        <v>0</v>
      </c>
      <c r="I21" s="1862">
        <f>'2.SD Community Based Annex'!I34</f>
        <v>0</v>
      </c>
      <c r="J21" s="1862">
        <f>'2.SD Community Based Annex'!J34</f>
        <v>0</v>
      </c>
      <c r="K21" s="1862">
        <f>'2.SD Community Based Annex'!K34</f>
        <v>0</v>
      </c>
      <c r="L21" s="962">
        <f>'2.SD Community Based Annex'!L34</f>
        <v>0</v>
      </c>
      <c r="M21" s="1862">
        <f>'2.SD Community Based Annex'!M34</f>
        <v>0</v>
      </c>
      <c r="N21" s="1862">
        <f>'2.SD Community Based Annex'!N34</f>
        <v>0</v>
      </c>
      <c r="O21" s="962">
        <f>'2.SD Community Based Annex'!O34</f>
        <v>0</v>
      </c>
      <c r="P21" s="2735">
        <f>'2.SD Community Based Annex'!P34</f>
        <v>0</v>
      </c>
      <c r="Q21" s="2725" t="s">
        <v>5520</v>
      </c>
      <c r="R21" s="2729">
        <v>0</v>
      </c>
    </row>
    <row r="22" spans="1:18" s="861" customFormat="1" ht="30">
      <c r="A22" s="2735" t="str">
        <f>'2.SD Community Based Annex'!A35</f>
        <v>2.3.1.1.2</v>
      </c>
      <c r="B22" s="2735" t="str">
        <f>'2.SD Community Based Annex'!B35</f>
        <v>A.1.2.2</v>
      </c>
      <c r="C22" s="1861" t="str">
        <f>'2.SD Community Based Annex'!C35</f>
        <v>Monthly Village Health and Nutrition Days</v>
      </c>
      <c r="D22" s="1862" t="str">
        <f>'2.SD Community Based Annex'!D35</f>
        <v>RCH</v>
      </c>
      <c r="E22" s="1862" t="str">
        <f>'2.SD Community Based Annex'!E35</f>
        <v>MH</v>
      </c>
      <c r="F22" s="1862">
        <f>'2.SD Community Based Annex'!F35</f>
        <v>8000</v>
      </c>
      <c r="G22" s="1862">
        <f>'2.SD Community Based Annex'!G35</f>
        <v>0</v>
      </c>
      <c r="H22" s="1862">
        <f>'2.SD Community Based Annex'!H35</f>
        <v>96</v>
      </c>
      <c r="I22" s="1862">
        <f>'2.SD Community Based Annex'!I35</f>
        <v>19.649999999999999</v>
      </c>
      <c r="J22" s="1862">
        <f>'2.SD Community Based Annex'!J35</f>
        <v>76.349999999999994</v>
      </c>
      <c r="K22" s="1862">
        <f>'2.SD Community Based Annex'!K35</f>
        <v>1</v>
      </c>
      <c r="L22" s="962">
        <f>'2.SD Community Based Annex'!L35</f>
        <v>1200</v>
      </c>
      <c r="M22" s="1862">
        <f>'2.SD Community Based Annex'!M35</f>
        <v>1.2E-2</v>
      </c>
      <c r="N22" s="1862">
        <f>'2.SD Community Based Annex'!N35</f>
        <v>8000</v>
      </c>
      <c r="O22" s="962">
        <f>'2.SD Community Based Annex'!O35</f>
        <v>96</v>
      </c>
      <c r="P22" s="2735">
        <f>'2.SD Community Based Annex'!P35</f>
        <v>0</v>
      </c>
      <c r="Q22" s="2018" t="s">
        <v>5527</v>
      </c>
      <c r="R22" s="2728">
        <f>(8000*1200)/100000</f>
        <v>96</v>
      </c>
    </row>
    <row r="23" spans="1:18" s="861" customFormat="1" ht="30">
      <c r="A23" s="2735" t="str">
        <f>'2.SD Community Based Annex'!A36</f>
        <v>2.3.1.2</v>
      </c>
      <c r="B23" s="2735" t="str">
        <f>'2.SD Community Based Annex'!B36</f>
        <v>A.1.5.1</v>
      </c>
      <c r="C23" s="1861" t="str">
        <f>'2.SD Community Based Annex'!C36</f>
        <v>Line listing and follow-up of severely anaemic women</v>
      </c>
      <c r="D23" s="1862" t="str">
        <f>'2.SD Community Based Annex'!D36</f>
        <v>RCH</v>
      </c>
      <c r="E23" s="1862" t="str">
        <f>'2.SD Community Based Annex'!E36</f>
        <v>MH</v>
      </c>
      <c r="F23" s="1862">
        <f>'2.SD Community Based Annex'!F36</f>
        <v>0</v>
      </c>
      <c r="G23" s="1862">
        <f>'2.SD Community Based Annex'!G36</f>
        <v>0</v>
      </c>
      <c r="H23" s="1862">
        <f>'2.SD Community Based Annex'!H36</f>
        <v>0</v>
      </c>
      <c r="I23" s="1862">
        <f>'2.SD Community Based Annex'!I36</f>
        <v>0</v>
      </c>
      <c r="J23" s="1862">
        <f>'2.SD Community Based Annex'!J36</f>
        <v>0</v>
      </c>
      <c r="K23" s="1862">
        <f>'2.SD Community Based Annex'!K36</f>
        <v>0</v>
      </c>
      <c r="L23" s="962">
        <f>'2.SD Community Based Annex'!L36</f>
        <v>0</v>
      </c>
      <c r="M23" s="1862">
        <f>'2.SD Community Based Annex'!M36</f>
        <v>0</v>
      </c>
      <c r="N23" s="1862">
        <f>'2.SD Community Based Annex'!N36</f>
        <v>0</v>
      </c>
      <c r="O23" s="962">
        <f>'2.SD Community Based Annex'!O36</f>
        <v>0</v>
      </c>
      <c r="P23" s="2735">
        <f>'2.SD Community Based Annex'!P36</f>
        <v>0</v>
      </c>
      <c r="Q23" s="2018" t="s">
        <v>5526</v>
      </c>
      <c r="R23" s="2729">
        <v>0</v>
      </c>
    </row>
    <row r="24" spans="1:18" s="861" customFormat="1">
      <c r="A24" s="2735" t="str">
        <f>'2.SD Community Based Annex'!A37</f>
        <v>2.3.1.3</v>
      </c>
      <c r="B24" s="2735" t="str">
        <f>'2.SD Community Based Annex'!B37</f>
        <v>A.1.5.2</v>
      </c>
      <c r="C24" s="1861" t="str">
        <f>'2.SD Community Based Annex'!C37</f>
        <v>Line listing of the women with blood disorders</v>
      </c>
      <c r="D24" s="1862" t="str">
        <f>'2.SD Community Based Annex'!D37</f>
        <v>RCH</v>
      </c>
      <c r="E24" s="1862" t="str">
        <f>'2.SD Community Based Annex'!E37</f>
        <v>MH</v>
      </c>
      <c r="F24" s="1862">
        <f>'2.SD Community Based Annex'!F37</f>
        <v>0</v>
      </c>
      <c r="G24" s="1862">
        <f>'2.SD Community Based Annex'!G37</f>
        <v>0</v>
      </c>
      <c r="H24" s="1862">
        <f>'2.SD Community Based Annex'!H37</f>
        <v>0</v>
      </c>
      <c r="I24" s="1862">
        <f>'2.SD Community Based Annex'!I37</f>
        <v>0</v>
      </c>
      <c r="J24" s="1862">
        <f>'2.SD Community Based Annex'!J37</f>
        <v>0</v>
      </c>
      <c r="K24" s="1862">
        <f>'2.SD Community Based Annex'!K37</f>
        <v>0</v>
      </c>
      <c r="L24" s="962">
        <f>'2.SD Community Based Annex'!L37</f>
        <v>0</v>
      </c>
      <c r="M24" s="1862">
        <f>'2.SD Community Based Annex'!M37</f>
        <v>0</v>
      </c>
      <c r="N24" s="1862">
        <f>'2.SD Community Based Annex'!N37</f>
        <v>0</v>
      </c>
      <c r="O24" s="962">
        <f>'2.SD Community Based Annex'!O37</f>
        <v>0</v>
      </c>
      <c r="P24" s="2735">
        <f>'2.SD Community Based Annex'!P37</f>
        <v>0</v>
      </c>
      <c r="Q24" s="108" t="s">
        <v>5521</v>
      </c>
      <c r="R24" s="2729">
        <v>0</v>
      </c>
    </row>
    <row r="25" spans="1:18" s="861" customFormat="1" ht="30">
      <c r="A25" s="2735" t="str">
        <f>'2.SD Community Based Annex'!A38</f>
        <v>2.3.1.4</v>
      </c>
      <c r="B25" s="2735" t="str">
        <f>'2.SD Community Based Annex'!B38</f>
        <v>A.1.5.3</v>
      </c>
      <c r="C25" s="1861" t="str">
        <f>'2.SD Community Based Annex'!C38</f>
        <v>Follow up mechanism for the severely anaemic women and the women with blood disorders</v>
      </c>
      <c r="D25" s="1862" t="str">
        <f>'2.SD Community Based Annex'!D38</f>
        <v>RCH</v>
      </c>
      <c r="E25" s="1862" t="str">
        <f>'2.SD Community Based Annex'!E38</f>
        <v>MH</v>
      </c>
      <c r="F25" s="1862">
        <f>'2.SD Community Based Annex'!F38</f>
        <v>0</v>
      </c>
      <c r="G25" s="1862">
        <f>'2.SD Community Based Annex'!G38</f>
        <v>0</v>
      </c>
      <c r="H25" s="1862">
        <f>'2.SD Community Based Annex'!H38</f>
        <v>0</v>
      </c>
      <c r="I25" s="1862">
        <f>'2.SD Community Based Annex'!I38</f>
        <v>0</v>
      </c>
      <c r="J25" s="1862">
        <f>'2.SD Community Based Annex'!J38</f>
        <v>0</v>
      </c>
      <c r="K25" s="1862">
        <f>'2.SD Community Based Annex'!K38</f>
        <v>0</v>
      </c>
      <c r="L25" s="962">
        <f>'2.SD Community Based Annex'!L38</f>
        <v>0</v>
      </c>
      <c r="M25" s="1862">
        <f>'2.SD Community Based Annex'!M38</f>
        <v>0</v>
      </c>
      <c r="N25" s="1862">
        <f>'2.SD Community Based Annex'!N38</f>
        <v>0</v>
      </c>
      <c r="O25" s="962">
        <f>'2.SD Community Based Annex'!O38</f>
        <v>0</v>
      </c>
      <c r="P25" s="2735">
        <f>'2.SD Community Based Annex'!P38</f>
        <v>0</v>
      </c>
      <c r="Q25" s="108" t="s">
        <v>5521</v>
      </c>
      <c r="R25" s="2729">
        <v>0</v>
      </c>
    </row>
    <row r="26" spans="1:18" s="861" customFormat="1">
      <c r="A26" s="1858">
        <f>'3.Community Intervention Annexn'!A7</f>
        <v>3</v>
      </c>
      <c r="B26" s="1858"/>
      <c r="C26" s="1859" t="str">
        <f>'3.Community Intervention Annexn'!C7</f>
        <v>Community Interventions</v>
      </c>
      <c r="D26" s="1860"/>
      <c r="E26" s="1860"/>
      <c r="F26" s="1860"/>
      <c r="G26" s="1860"/>
      <c r="H26" s="1860"/>
      <c r="I26" s="1860"/>
      <c r="J26" s="1860"/>
      <c r="K26" s="1860"/>
      <c r="L26" s="994"/>
      <c r="M26" s="1860"/>
      <c r="N26" s="1860"/>
      <c r="O26" s="994">
        <f>SUM(O27:O30)</f>
        <v>208.59299999999999</v>
      </c>
      <c r="P26" s="1858"/>
      <c r="Q26" s="146"/>
      <c r="R26" s="2731">
        <f>SUM(R27:R30)</f>
        <v>160.59399999999999</v>
      </c>
    </row>
    <row r="27" spans="1:18" s="861" customFormat="1" ht="90">
      <c r="A27" s="4068" t="str">
        <f>'3.Community Intervention Annexn'!A11</f>
        <v>3.1.1.1.1</v>
      </c>
      <c r="B27" s="2735" t="str">
        <f>'3-A. CI Sub-Annex'!B8</f>
        <v xml:space="preserve">A.1.3.4 </v>
      </c>
      <c r="C27" s="1861" t="str">
        <f>'3-A. CI Sub-Annex'!C8</f>
        <v xml:space="preserve">JSY Incentive to ASHA </v>
      </c>
      <c r="D27" s="1862" t="str">
        <f>'3-A. CI Sub-Annex'!D8</f>
        <v>RCH</v>
      </c>
      <c r="E27" s="1862" t="str">
        <f>'3-A. CI Sub-Annex'!E8</f>
        <v>MH</v>
      </c>
      <c r="F27" s="1862">
        <f>'3-A. CI Sub-Annex'!F8</f>
        <v>10600</v>
      </c>
      <c r="G27" s="1862" t="str">
        <f>'3-A. CI Sub-Annex'!G8</f>
        <v>Achievement by CP division</v>
      </c>
      <c r="H27" s="1862">
        <f>'3-A. CI Sub-Annex'!H8</f>
        <v>88</v>
      </c>
      <c r="I27" s="1862">
        <f>'3-A. CI Sub-Annex'!I8</f>
        <v>141.84</v>
      </c>
      <c r="J27" s="1862">
        <f>'3-A. CI Sub-Annex'!J8</f>
        <v>0</v>
      </c>
      <c r="K27" s="1862">
        <f>'3-A. CI Sub-Annex'!K8</f>
        <v>0</v>
      </c>
      <c r="L27" s="962">
        <f>'3-A. CI Sub-Annex'!L8</f>
        <v>586.66</v>
      </c>
      <c r="M27" s="1862">
        <f>'3-A. CI Sub-Annex'!M8</f>
        <v>5.8665999999999996E-3</v>
      </c>
      <c r="N27" s="1862">
        <f>'3-A. CI Sub-Annex'!N8</f>
        <v>15000</v>
      </c>
      <c r="O27" s="962">
        <f>'3-A. CI Sub-Annex'!O8</f>
        <v>87.998999999999995</v>
      </c>
      <c r="P27" s="2735" t="str">
        <f>'3-A. CI Sub-Annex'!P8</f>
        <v>Proposed for 14000 Rural IDs@ Rs.600 per case and 1000 Urban IDs @ Rs.400 per case. The total fund proposed is Rs.600 x 14000 IDs (Rural) + Rs.400 x 1000 IDs (Urban) = Rs.8400000 + Rs. 400000 = Rs. 8800000 (Rs. 88 lac)</v>
      </c>
      <c r="Q27" s="2018" t="s">
        <v>5516</v>
      </c>
      <c r="R27" s="2711">
        <f>((600*14000)+(400*1000))/100000</f>
        <v>88</v>
      </c>
    </row>
    <row r="28" spans="1:18" s="861" customFormat="1" ht="30">
      <c r="A28" s="4068"/>
      <c r="B28" s="2735" t="str">
        <f>'3-A. CI Sub-Annex'!B9</f>
        <v>B1.1.3.5.1</v>
      </c>
      <c r="C28" s="1861" t="str">
        <f>'3-A. CI Sub-Annex'!C9</f>
        <v>National Iron Plus Incentive for mobilizing WRA (non pregnant &amp; non-lactating Women 20-49 years)</v>
      </c>
      <c r="D28" s="1862" t="str">
        <f>'3-A. CI Sub-Annex'!D9</f>
        <v>RCH</v>
      </c>
      <c r="E28" s="1862" t="str">
        <f>'3-A. CI Sub-Annex'!E9</f>
        <v>MH/ CP</v>
      </c>
      <c r="F28" s="1862">
        <f>'3-A. CI Sub-Annex'!F9</f>
        <v>0</v>
      </c>
      <c r="G28" s="1862">
        <f>'3-A. CI Sub-Annex'!G9</f>
        <v>0</v>
      </c>
      <c r="H28" s="1862">
        <f>'3-A. CI Sub-Annex'!H9</f>
        <v>0</v>
      </c>
      <c r="I28" s="1862">
        <f>'3-A. CI Sub-Annex'!I9</f>
        <v>0</v>
      </c>
      <c r="J28" s="1862">
        <f>'3-A. CI Sub-Annex'!J9</f>
        <v>0</v>
      </c>
      <c r="K28" s="1862">
        <f>'3-A. CI Sub-Annex'!K9</f>
        <v>0</v>
      </c>
      <c r="L28" s="962">
        <f>'3-A. CI Sub-Annex'!L9</f>
        <v>0</v>
      </c>
      <c r="M28" s="1862">
        <f>'3-A. CI Sub-Annex'!M9</f>
        <v>0</v>
      </c>
      <c r="N28" s="1862">
        <f>'3-A. CI Sub-Annex'!N9</f>
        <v>0</v>
      </c>
      <c r="O28" s="962">
        <f>'3-A. CI Sub-Annex'!O9</f>
        <v>0</v>
      </c>
      <c r="P28" s="2735">
        <f>'3-A. CI Sub-Annex'!P9</f>
        <v>0</v>
      </c>
      <c r="Q28" s="2018" t="s">
        <v>5528</v>
      </c>
      <c r="R28" s="2729">
        <v>0</v>
      </c>
    </row>
    <row r="29" spans="1:18" s="861" customFormat="1" ht="90">
      <c r="A29" s="4068"/>
      <c r="B29" s="2735" t="str">
        <f>'3-A. CI Sub-Annex'!B10</f>
        <v>B1.1.3.5.2</v>
      </c>
      <c r="C29" s="1861" t="str">
        <f>'3-A. CI Sub-Annex'!C10</f>
        <v>National Iron Plus Incentive for mobilizing children and/or ensuring compliance and reporting (6-59 months)</v>
      </c>
      <c r="D29" s="1862" t="str">
        <f>'3-A. CI Sub-Annex'!D10</f>
        <v>RCH</v>
      </c>
      <c r="E29" s="1862" t="str">
        <f>'3-A. CI Sub-Annex'!E10</f>
        <v>MH/ CP</v>
      </c>
      <c r="F29" s="1862">
        <f>'3-A. CI Sub-Annex'!F10</f>
        <v>7964</v>
      </c>
      <c r="G29" s="1862">
        <f>'3-A. CI Sub-Annex'!G10</f>
        <v>0</v>
      </c>
      <c r="H29" s="1862">
        <f>'3-A. CI Sub-Annex'!H10</f>
        <v>71.680000000000007</v>
      </c>
      <c r="I29" s="1862">
        <f>'3-A. CI Sub-Annex'!I10</f>
        <v>11.12</v>
      </c>
      <c r="J29" s="1862">
        <f>'3-A. CI Sub-Annex'!J10</f>
        <v>60.56</v>
      </c>
      <c r="K29" s="1862">
        <f>'3-A. CI Sub-Annex'!K10</f>
        <v>0</v>
      </c>
      <c r="L29" s="962">
        <f>'3-A. CI Sub-Annex'!L10</f>
        <v>900</v>
      </c>
      <c r="M29" s="1862">
        <f>'3-A. CI Sub-Annex'!M10</f>
        <v>8.9999999999999993E-3</v>
      </c>
      <c r="N29" s="1862">
        <f>'3-A. CI Sub-Annex'!N10</f>
        <v>8066</v>
      </c>
      <c r="O29" s="962">
        <f>'3-A. CI Sub-Annex'!O10</f>
        <v>72.593999999999994</v>
      </c>
      <c r="P29" s="2735" t="str">
        <f>'3-A. CI Sub-Annex'!P10</f>
        <v>Find proposed for ASHA incentive for mobilizing children 6–59 months, WRA and post-partumlactating women @ Rs. 150 per month</v>
      </c>
      <c r="Q29" s="2018" t="s">
        <v>5529</v>
      </c>
      <c r="R29" s="2728">
        <f>(8066*150)*6/100000</f>
        <v>72.593999999999994</v>
      </c>
    </row>
    <row r="30" spans="1:18" s="861" customFormat="1" ht="75">
      <c r="A30" s="4068"/>
      <c r="B30" s="2735" t="str">
        <f>'3-A. CI Sub-Annex'!B11</f>
        <v>B1.1.3.5.3</v>
      </c>
      <c r="C30" s="1861" t="str">
        <f>'3-A. CI Sub-Annex'!C11</f>
        <v>National Iron Plus Others</v>
      </c>
      <c r="D30" s="1862" t="str">
        <f>'3-A. CI Sub-Annex'!D11</f>
        <v>RCH</v>
      </c>
      <c r="E30" s="1862" t="str">
        <f>'3-A. CI Sub-Annex'!E11</f>
        <v>MH/ CP</v>
      </c>
      <c r="F30" s="1862">
        <f>'3-A. CI Sub-Annex'!F11</f>
        <v>7689</v>
      </c>
      <c r="G30" s="1862">
        <f>'3-A. CI Sub-Annex'!G11</f>
        <v>0</v>
      </c>
      <c r="H30" s="1862">
        <f>'3-A. CI Sub-Annex'!H11</f>
        <v>49</v>
      </c>
      <c r="I30" s="1862">
        <f>'3-A. CI Sub-Annex'!I11</f>
        <v>12.97</v>
      </c>
      <c r="J30" s="1862">
        <f>'3-A. CI Sub-Annex'!J11</f>
        <v>36.03</v>
      </c>
      <c r="K30" s="1862">
        <f>'3-A. CI Sub-Annex'!K11</f>
        <v>0</v>
      </c>
      <c r="L30" s="962">
        <f>'3-A. CI Sub-Annex'!L11</f>
        <v>1200</v>
      </c>
      <c r="M30" s="1862">
        <f>'3-A. CI Sub-Annex'!M11</f>
        <v>1.2E-2</v>
      </c>
      <c r="N30" s="1862">
        <f>'3-A. CI Sub-Annex'!N11</f>
        <v>4000</v>
      </c>
      <c r="O30" s="962">
        <f>'3-A. CI Sub-Annex'!O11</f>
        <v>48</v>
      </c>
      <c r="P30" s="2735" t="str">
        <f>'3-A. CI Sub-Annex'!P11</f>
        <v>Incentive to ASHAs for PMSMA                                          It is assumed that 4000  of the approx. 8000 ASHA will attend one session per month. Therefore, 4000 ASHA x 100 x 12 months = Rs. 48 lacs</v>
      </c>
      <c r="Q30" s="2708" t="s">
        <v>5530</v>
      </c>
      <c r="R30" s="2729">
        <v>0</v>
      </c>
    </row>
    <row r="31" spans="1:18" s="861" customFormat="1">
      <c r="A31" s="1858">
        <f>'5.Infrastructure Annex'!A7</f>
        <v>5</v>
      </c>
      <c r="B31" s="1858"/>
      <c r="C31" s="1858" t="str">
        <f>'5.Infrastructure Annex'!C7</f>
        <v>Infrastructure</v>
      </c>
      <c r="D31" s="1860"/>
      <c r="E31" s="1860"/>
      <c r="F31" s="1860"/>
      <c r="G31" s="1860"/>
      <c r="H31" s="1860"/>
      <c r="I31" s="1860"/>
      <c r="J31" s="1860"/>
      <c r="K31" s="1860"/>
      <c r="L31" s="994"/>
      <c r="M31" s="1860"/>
      <c r="N31" s="1860"/>
      <c r="O31" s="994">
        <f>SUM(O32:O34)</f>
        <v>2523.02</v>
      </c>
      <c r="P31" s="1858"/>
      <c r="Q31" s="146"/>
      <c r="R31" s="2768">
        <f>SUM(R32:R34)</f>
        <v>2418.02</v>
      </c>
    </row>
    <row r="32" spans="1:18" s="861" customFormat="1" ht="409.5">
      <c r="A32" s="2735" t="str">
        <f>'5.Infrastructure Annex'!A33</f>
        <v>5.1.1.2.12</v>
      </c>
      <c r="B32" s="2735">
        <f>'5.Infrastructure Annex'!B33</f>
        <v>0</v>
      </c>
      <c r="C32" s="2735" t="str">
        <f>'5.Infrastructure Annex'!C33</f>
        <v>Upgradation/ Renovation of Obstetric ICUs/ HDUs (as per operational guidelines of ICUs and HDUs, 2017)</v>
      </c>
      <c r="D32" s="1862" t="str">
        <f>'5.Infrastructure Annex'!D33</f>
        <v>HSS</v>
      </c>
      <c r="E32" s="1862" t="str">
        <f>'5.Infrastructure Annex'!E33</f>
        <v>MH/ HSS</v>
      </c>
      <c r="F32" s="1862">
        <f>'5.Infrastructure Annex'!F33</f>
        <v>2</v>
      </c>
      <c r="G32" s="1862">
        <f>'5.Infrastructure Annex'!G33</f>
        <v>0</v>
      </c>
      <c r="H32" s="1862">
        <f>'5.Infrastructure Annex'!H33</f>
        <v>0</v>
      </c>
      <c r="I32" s="1862">
        <f>'5.Infrastructure Annex'!I33</f>
        <v>0</v>
      </c>
      <c r="J32" s="1862">
        <f>'5.Infrastructure Annex'!J33</f>
        <v>0</v>
      </c>
      <c r="K32" s="1862">
        <f>'5.Infrastructure Annex'!K33</f>
        <v>0</v>
      </c>
      <c r="L32" s="655">
        <f>'5.Infrastructure Annex'!L33</f>
        <v>1375000</v>
      </c>
      <c r="M32" s="1862">
        <f>'5.Infrastructure Annex'!M33</f>
        <v>13.75</v>
      </c>
      <c r="N32" s="1862">
        <f>'5.Infrastructure Annex'!N33</f>
        <v>12</v>
      </c>
      <c r="O32" s="655">
        <f>'5.Infrastructure Annex'!O33</f>
        <v>165</v>
      </c>
      <c r="P32" s="2735" t="str">
        <f>'5.Infrastructure Annex'!P33</f>
        <v>State has revisited its all previous approval over the year including the year 20-21 for establishing HDU/ICU in the State. Now the state proposes to establish 12 HDUs/ICUs in high load facilities the detailed proposal is being shared by the state with MoHFW, GoI.</v>
      </c>
      <c r="Q32" s="2018" t="s">
        <v>5881</v>
      </c>
      <c r="R32" s="2729">
        <v>165</v>
      </c>
    </row>
    <row r="33" spans="1:18" s="861" customFormat="1" ht="300">
      <c r="A33" s="2735" t="str">
        <f>'5.Infrastructure Annex'!A42</f>
        <v>5.1.1.3.6</v>
      </c>
      <c r="B33" s="2735" t="str">
        <f>'5.Infrastructure Annex'!B42</f>
        <v>B4.1.5.3</v>
      </c>
      <c r="C33" s="2735" t="str">
        <f>'5.Infrastructure Annex'!C42</f>
        <v>Spill over of Ongoing Upgradation-MCH Wings</v>
      </c>
      <c r="D33" s="1862" t="str">
        <f>'5.Infrastructure Annex'!D42</f>
        <v>HSS</v>
      </c>
      <c r="E33" s="1862" t="str">
        <f>'5.Infrastructure Annex'!E42</f>
        <v>MH/ HSS</v>
      </c>
      <c r="F33" s="1862">
        <f>'5.Infrastructure Annex'!F42</f>
        <v>7</v>
      </c>
      <c r="G33" s="1862">
        <f>'5.Infrastructure Annex'!G42</f>
        <v>4</v>
      </c>
      <c r="H33" s="1862">
        <f>'5.Infrastructure Annex'!H42</f>
        <v>952</v>
      </c>
      <c r="I33" s="1862" t="str">
        <f>'5.Infrastructure Annex'!I42</f>
        <v>476                              Leftout funds:-        (MCH Nurpur = 2.10 cr being released; Dr. RPGMC Tanda = 2.45 cr, RH Bilaspur=0.07 cr, RH Solan=0.07 cr., Dr.YSPGMC Nahan = 0.07 cr not yet released)</v>
      </c>
      <c r="J33" s="1862">
        <f>'5.Infrastructure Annex'!J42</f>
        <v>476</v>
      </c>
      <c r="K33" s="1862">
        <f>'5.Infrastructure Annex'!K42</f>
        <v>0</v>
      </c>
      <c r="L33" s="655">
        <f>'5.Infrastructure Annex'!L42</f>
        <v>33686000</v>
      </c>
      <c r="M33" s="1862">
        <f>'5.Infrastructure Annex'!M42</f>
        <v>336.86</v>
      </c>
      <c r="N33" s="1862">
        <f>'5.Infrastructure Annex'!N42</f>
        <v>7</v>
      </c>
      <c r="O33" s="655">
        <f>'5.Infrastructure Annex'!O42</f>
        <v>2358.02</v>
      </c>
      <c r="P33" s="2735" t="str">
        <f>'5.Infrastructure Annex'!P42</f>
        <v>1. RH Kullu - Out of Rs.20 cr. approved, Rs.8.45 cr. stand released and another 4 cr. built in S.PIP. Work is progressing fast. Rest of fund i.e. Rs.7.55 cr built. 2. Dr.RPGMC Tanda = Out of Rs. 40 cr. approved, Rs. 18.95 cr. stand released . Work is in progress, Rs. 10 cr is built 3. CH Nurpur = Out of Rs. 10 cr. approved, Rs. 8.10 cr has been released. Remaining funds built in Supplementary PIP and funds proposed are NIL 4. RH Una = Out of Rs.20 cr., Rs. 4.57 cr. has been released and another Rs.4 cr. has been proposed in S.PIP. Work is in progress hence Rs.5 cr  built in PIP. Rs. 1 lac as token money for MCH wings at Dr.YSPGMC, Nahan, RH Bilaspur and DH Solan built as the work is about to be initiated</v>
      </c>
      <c r="Q33" s="2018" t="s">
        <v>5865</v>
      </c>
      <c r="R33" s="2729">
        <v>2253.02</v>
      </c>
    </row>
    <row r="34" spans="1:18" s="861" customFormat="1">
      <c r="A34" s="2735" t="str">
        <f>'5.Infrastructure Annex'!A62</f>
        <v>5.2.1.6</v>
      </c>
      <c r="B34" s="2735" t="str">
        <f>'5.Infrastructure Annex'!B62</f>
        <v>B4.1.5.1</v>
      </c>
      <c r="C34" s="2735" t="str">
        <f>'5.Infrastructure Annex'!C62</f>
        <v>New construction: MCH Wings</v>
      </c>
      <c r="D34" s="1862" t="str">
        <f>'5.Infrastructure Annex'!D62</f>
        <v>HSS</v>
      </c>
      <c r="E34" s="1862" t="str">
        <f>'5.Infrastructure Annex'!E62</f>
        <v>MH/ HSS</v>
      </c>
      <c r="F34" s="1862">
        <f>'5.Infrastructure Annex'!F62</f>
        <v>0</v>
      </c>
      <c r="G34" s="1862">
        <f>'5.Infrastructure Annex'!G62</f>
        <v>0</v>
      </c>
      <c r="H34" s="1862">
        <f>'5.Infrastructure Annex'!H62</f>
        <v>0</v>
      </c>
      <c r="I34" s="1862">
        <f>'5.Infrastructure Annex'!I62</f>
        <v>0</v>
      </c>
      <c r="J34" s="1862">
        <f>'5.Infrastructure Annex'!J62</f>
        <v>0</v>
      </c>
      <c r="K34" s="1862">
        <f>'5.Infrastructure Annex'!K62</f>
        <v>0</v>
      </c>
      <c r="L34" s="655">
        <f>'5.Infrastructure Annex'!L62</f>
        <v>0</v>
      </c>
      <c r="M34" s="1862">
        <f>'5.Infrastructure Annex'!M62</f>
        <v>0</v>
      </c>
      <c r="N34" s="1862">
        <f>'5.Infrastructure Annex'!N62</f>
        <v>0</v>
      </c>
      <c r="O34" s="655">
        <f>'5.Infrastructure Annex'!O62</f>
        <v>0</v>
      </c>
      <c r="P34" s="2735">
        <f>'5.Infrastructure Annex'!P62</f>
        <v>0</v>
      </c>
      <c r="Q34" s="108" t="s">
        <v>5521</v>
      </c>
      <c r="R34" s="2729">
        <v>0</v>
      </c>
    </row>
    <row r="35" spans="1:18" s="861" customFormat="1">
      <c r="A35" s="1858">
        <f>'6.Procurement Annex'!A7</f>
        <v>6</v>
      </c>
      <c r="B35" s="1858"/>
      <c r="C35" s="1859" t="str">
        <f>'6.Procurement Annex'!C7</f>
        <v>Procurement</v>
      </c>
      <c r="D35" s="1860"/>
      <c r="E35" s="1860"/>
      <c r="F35" s="1860"/>
      <c r="G35" s="1860"/>
      <c r="H35" s="1860"/>
      <c r="I35" s="1860"/>
      <c r="J35" s="1860"/>
      <c r="K35" s="1860"/>
      <c r="L35" s="994"/>
      <c r="M35" s="1860"/>
      <c r="N35" s="1860"/>
      <c r="O35" s="994">
        <f>SUM(O36:O53)</f>
        <v>5075.7685000000001</v>
      </c>
      <c r="P35" s="1858"/>
      <c r="Q35" s="146"/>
      <c r="R35" s="2731">
        <f>SUM(R36:R53)</f>
        <v>3392.7700000000004</v>
      </c>
    </row>
    <row r="36" spans="1:18" s="861" customFormat="1" ht="45">
      <c r="A36" s="4068" t="str">
        <f>'6.Procurement Annex'!A10</f>
        <v>6.1.1.1</v>
      </c>
      <c r="B36" s="2735" t="str">
        <f>'6-A. Proc. Sub-Annex'!B8</f>
        <v>B16.1.1.2</v>
      </c>
      <c r="C36" s="1861" t="str">
        <f>'6-A. Proc. Sub-Annex'!C8</f>
        <v>MVA /EVA for Safe Abortion services</v>
      </c>
      <c r="D36" s="1862" t="str">
        <f>'6-A. Proc. Sub-Annex'!D8</f>
        <v>RCH</v>
      </c>
      <c r="E36" s="1862" t="str">
        <f>'6-A. Proc. Sub-Annex'!E8</f>
        <v>MH</v>
      </c>
      <c r="F36" s="1862">
        <f>'6-A. Proc. Sub-Annex'!F8</f>
        <v>0</v>
      </c>
      <c r="G36" s="1862">
        <f>'6-A. Proc. Sub-Annex'!G8</f>
        <v>0</v>
      </c>
      <c r="H36" s="1862">
        <f>'6-A. Proc. Sub-Annex'!H8</f>
        <v>0</v>
      </c>
      <c r="I36" s="1862">
        <f>'6-A. Proc. Sub-Annex'!I8</f>
        <v>0</v>
      </c>
      <c r="J36" s="1862">
        <f>'6-A. Proc. Sub-Annex'!J8</f>
        <v>0</v>
      </c>
      <c r="K36" s="1862">
        <f>'6-A. Proc. Sub-Annex'!K8</f>
        <v>0</v>
      </c>
      <c r="L36" s="962">
        <f>'6-A. Proc. Sub-Annex'!L8</f>
        <v>0</v>
      </c>
      <c r="M36" s="1862">
        <f>'6-A. Proc. Sub-Annex'!M8</f>
        <v>0</v>
      </c>
      <c r="N36" s="1862">
        <f>'6-A. Proc. Sub-Annex'!N8</f>
        <v>0</v>
      </c>
      <c r="O36" s="962">
        <f>'6-A. Proc. Sub-Annex'!O8</f>
        <v>0</v>
      </c>
      <c r="P36" s="2735">
        <f>'6-A. Proc. Sub-Annex'!P8</f>
        <v>0</v>
      </c>
      <c r="Q36" s="2018" t="s">
        <v>5531</v>
      </c>
      <c r="R36" s="2729">
        <v>0</v>
      </c>
    </row>
    <row r="37" spans="1:18" s="861" customFormat="1" ht="210">
      <c r="A37" s="4068"/>
      <c r="B37" s="2735">
        <f>'6-A. Proc. Sub-Annex'!B9</f>
        <v>0</v>
      </c>
      <c r="C37" s="1861" t="str">
        <f>'6-A. Proc. Sub-Annex'!C9</f>
        <v>Procurement under LaQshya</v>
      </c>
      <c r="D37" s="1862" t="str">
        <f>'6-A. Proc. Sub-Annex'!D9</f>
        <v>RCH</v>
      </c>
      <c r="E37" s="1862" t="str">
        <f>'6-A. Proc. Sub-Annex'!E9</f>
        <v>MH</v>
      </c>
      <c r="F37" s="1862">
        <f>'6-A. Proc. Sub-Annex'!F9</f>
        <v>2</v>
      </c>
      <c r="G37" s="1862">
        <f>'6-A. Proc. Sub-Annex'!G9</f>
        <v>0</v>
      </c>
      <c r="H37" s="1862">
        <f>'6-A. Proc. Sub-Annex'!H9</f>
        <v>37.24</v>
      </c>
      <c r="I37" s="1862">
        <f>'6-A. Proc. Sub-Annex'!I9</f>
        <v>0</v>
      </c>
      <c r="J37" s="1862">
        <f>'6-A. Proc. Sub-Annex'!J9</f>
        <v>37.24</v>
      </c>
      <c r="K37" s="1862">
        <f>'6-A. Proc. Sub-Annex'!K9</f>
        <v>0</v>
      </c>
      <c r="L37" s="962">
        <f>'6-A. Proc. Sub-Annex'!L9</f>
        <v>5402175</v>
      </c>
      <c r="M37" s="1862">
        <f>'6-A. Proc. Sub-Annex'!M9</f>
        <v>54.021749999999997</v>
      </c>
      <c r="N37" s="1862">
        <f>'6-A. Proc. Sub-Annex'!N9</f>
        <v>22</v>
      </c>
      <c r="O37" s="962">
        <f>'6-A. Proc. Sub-Annex'!O9</f>
        <v>1188.4784999999999</v>
      </c>
      <c r="P37" s="2735" t="str">
        <f>'6-A. Proc. Sub-Annex'!P9</f>
        <v>State has 22 notified Laqshay facilities. A gap anaysis of equipment required in these facilities based upon the MNH toolkit was conducted. State has revisited its all previous approvals over the years. The tendor process of procurement of required Laqshay eqipment is underway and most likely will be completed in the next Financila Year. That is why approval of 20-21 has also been revisited. The detailed proposal is being shared by the state with MoHFW, GoI.</v>
      </c>
      <c r="Q37" s="3097" t="s">
        <v>5922</v>
      </c>
      <c r="R37" s="2729">
        <v>1188.48</v>
      </c>
    </row>
    <row r="38" spans="1:18" s="861" customFormat="1" ht="120">
      <c r="A38" s="4068"/>
      <c r="B38" s="2735">
        <f>'6-A. Proc. Sub-Annex'!B10</f>
        <v>0</v>
      </c>
      <c r="C38" s="1861" t="str">
        <f>'6-A. Proc. Sub-Annex'!C10</f>
        <v>Equipment for  Obstetric ICUs/ HDUs (as per operational guidelines of ICUs and HDUs, 2017)</v>
      </c>
      <c r="D38" s="1862" t="str">
        <f>'6-A. Proc. Sub-Annex'!D10</f>
        <v>RCH</v>
      </c>
      <c r="E38" s="1862" t="str">
        <f>'6-A. Proc. Sub-Annex'!E10</f>
        <v>MH</v>
      </c>
      <c r="F38" s="1862">
        <f>'6-A. Proc. Sub-Annex'!F10</f>
        <v>2</v>
      </c>
      <c r="G38" s="1862">
        <f>'6-A. Proc. Sub-Annex'!G10</f>
        <v>0</v>
      </c>
      <c r="H38" s="1862">
        <f>'6-A. Proc. Sub-Annex'!H10</f>
        <v>120.9</v>
      </c>
      <c r="I38" s="1862">
        <f>'6-A. Proc. Sub-Annex'!I10</f>
        <v>0</v>
      </c>
      <c r="J38" s="1862">
        <f>'6-A. Proc. Sub-Annex'!J10</f>
        <v>120.9</v>
      </c>
      <c r="K38" s="1862">
        <f>'6-A. Proc. Sub-Annex'!K10</f>
        <v>0</v>
      </c>
      <c r="L38" s="962">
        <f>'6-A. Proc. Sub-Annex'!L10</f>
        <v>8054750</v>
      </c>
      <c r="M38" s="1862">
        <f>'6-A. Proc. Sub-Annex'!M10</f>
        <v>80.547499999999999</v>
      </c>
      <c r="N38" s="1862">
        <f>'6-A. Proc. Sub-Annex'!N10</f>
        <v>12</v>
      </c>
      <c r="O38" s="962">
        <f>'6-A. Proc. Sub-Annex'!O10</f>
        <v>966.56999999999994</v>
      </c>
      <c r="P38" s="2735" t="str">
        <f>'6-A. Proc. Sub-Annex'!P10</f>
        <v>State has revisited its all previous approval over the year including the year 20-21 for establishing HDU/ICU in the State. Now the state proposes to establish 12 HDUs/ICUs in high load facilities the detailed proposal is being shared by the state with MoHFW, GoI.</v>
      </c>
      <c r="Q38" s="3097" t="s">
        <v>5923</v>
      </c>
      <c r="R38" s="2729">
        <v>966.57</v>
      </c>
    </row>
    <row r="39" spans="1:18" s="861" customFormat="1">
      <c r="A39" s="4068"/>
      <c r="B39" s="2735" t="str">
        <f>'6-A. Proc. Sub-Annex'!B11</f>
        <v>B16.1.7/ A.9.1.2.2</v>
      </c>
      <c r="C39" s="1861" t="str">
        <f>'6-A. Proc. Sub-Annex'!C11</f>
        <v>Models and Equipment for DAKSHATA training</v>
      </c>
      <c r="D39" s="1862" t="str">
        <f>'6-A. Proc. Sub-Annex'!D11</f>
        <v>RCH</v>
      </c>
      <c r="E39" s="1862" t="str">
        <f>'6-A. Proc. Sub-Annex'!E11</f>
        <v>MH</v>
      </c>
      <c r="F39" s="1862">
        <f>'6-A. Proc. Sub-Annex'!F11</f>
        <v>0</v>
      </c>
      <c r="G39" s="1862">
        <f>'6-A. Proc. Sub-Annex'!G11</f>
        <v>0</v>
      </c>
      <c r="H39" s="1862">
        <f>'6-A. Proc. Sub-Annex'!H11</f>
        <v>0</v>
      </c>
      <c r="I39" s="1862">
        <f>'6-A. Proc. Sub-Annex'!I11</f>
        <v>0</v>
      </c>
      <c r="J39" s="1862">
        <f>'6-A. Proc. Sub-Annex'!J11</f>
        <v>0</v>
      </c>
      <c r="K39" s="1862">
        <f>'6-A. Proc. Sub-Annex'!K11</f>
        <v>0</v>
      </c>
      <c r="L39" s="962">
        <f>'6-A. Proc. Sub-Annex'!L11</f>
        <v>0</v>
      </c>
      <c r="M39" s="1862">
        <f>'6-A. Proc. Sub-Annex'!M11</f>
        <v>0</v>
      </c>
      <c r="N39" s="1862">
        <f>'6-A. Proc. Sub-Annex'!N11</f>
        <v>0</v>
      </c>
      <c r="O39" s="962">
        <f>'6-A. Proc. Sub-Annex'!O11</f>
        <v>0</v>
      </c>
      <c r="P39" s="2735">
        <f>'6-A. Proc. Sub-Annex'!P11</f>
        <v>0</v>
      </c>
      <c r="Q39" s="2018" t="s">
        <v>5521</v>
      </c>
      <c r="R39" s="2729">
        <v>0</v>
      </c>
    </row>
    <row r="40" spans="1:18" s="861" customFormat="1" ht="90">
      <c r="A40" s="4068"/>
      <c r="B40" s="3048" t="str">
        <f>'6-A. Proc. Sub-Annex'!B12</f>
        <v>B16.1.1.3</v>
      </c>
      <c r="C40" s="1861" t="str">
        <f>'6-A. Proc. Sub-Annex'!C12</f>
        <v>Any other equipment (please specify)</v>
      </c>
      <c r="D40" s="1862" t="str">
        <f>'6-A. Proc. Sub-Annex'!D12</f>
        <v>RCH</v>
      </c>
      <c r="E40" s="1862" t="str">
        <f>'6-A. Proc. Sub-Annex'!E12</f>
        <v>MH</v>
      </c>
      <c r="F40" s="1862">
        <f>'6-A. Proc. Sub-Annex'!F12</f>
        <v>0</v>
      </c>
      <c r="G40" s="1862">
        <f>'6-A. Proc. Sub-Annex'!G12</f>
        <v>0</v>
      </c>
      <c r="H40" s="1862">
        <f>'6-A. Proc. Sub-Annex'!H12</f>
        <v>0</v>
      </c>
      <c r="I40" s="1862">
        <f>'6-A. Proc. Sub-Annex'!I12</f>
        <v>0</v>
      </c>
      <c r="J40" s="1862">
        <f>'6-A. Proc. Sub-Annex'!J12</f>
        <v>0</v>
      </c>
      <c r="K40" s="1862">
        <f>'6-A. Proc. Sub-Annex'!K12</f>
        <v>0</v>
      </c>
      <c r="L40" s="962">
        <f>'6-A. Proc. Sub-Annex'!L12</f>
        <v>4500000</v>
      </c>
      <c r="M40" s="1862">
        <f>'6-A. Proc. Sub-Annex'!M12</f>
        <v>45</v>
      </c>
      <c r="N40" s="1862">
        <f>'6-A. Proc. Sub-Annex'!N12</f>
        <v>1</v>
      </c>
      <c r="O40" s="962">
        <f>'6-A. Proc. Sub-Annex'!O12</f>
        <v>45</v>
      </c>
      <c r="P40" s="3048" t="str">
        <f>'6-A. Proc. Sub-Annex'!P12</f>
        <v>A High End Laproscope is being proposed for DDU Shimla which is a district level hospital as well as a FRU and a Laqshay facility which would be used both by OBG and Surgery Department.</v>
      </c>
      <c r="Q40" s="108" t="s">
        <v>5892</v>
      </c>
      <c r="R40" s="2729">
        <v>0</v>
      </c>
    </row>
    <row r="41" spans="1:18" s="861" customFormat="1" ht="60">
      <c r="A41" s="2735" t="str">
        <f>'6.Procurement Annex'!A27</f>
        <v>6.1.3.2</v>
      </c>
      <c r="B41" s="2735" t="str">
        <f>'6-A. Proc. Sub-Annex'!B70</f>
        <v>A.1.6.1</v>
      </c>
      <c r="C41" s="1861" t="str">
        <f>'6-A. Proc. Sub-Annex'!C70</f>
        <v>Free Diagnostics for Pregnant women under JSSK</v>
      </c>
      <c r="D41" s="1862" t="str">
        <f>'6-A. Proc. Sub-Annex'!D70</f>
        <v>RCH</v>
      </c>
      <c r="E41" s="1862" t="str">
        <f>'6-A. Proc. Sub-Annex'!E70</f>
        <v>MH</v>
      </c>
      <c r="F41" s="1862">
        <f>'6-A. Proc. Sub-Annex'!F70</f>
        <v>1</v>
      </c>
      <c r="G41" s="1862">
        <f>'6-A. Proc. Sub-Annex'!G70</f>
        <v>80787</v>
      </c>
      <c r="H41" s="1862">
        <f>'6-A. Proc. Sub-Annex'!H70</f>
        <v>796.83</v>
      </c>
      <c r="I41" s="1862">
        <f>'6-A. Proc. Sub-Annex'!I70</f>
        <v>303.27999999999997</v>
      </c>
      <c r="J41" s="1862">
        <f>'6-A. Proc. Sub-Annex'!J70</f>
        <v>493.55</v>
      </c>
      <c r="K41" s="1862">
        <f>'6-A. Proc. Sub-Annex'!K70</f>
        <v>0</v>
      </c>
      <c r="L41" s="962">
        <f>'6-A. Proc. Sub-Annex'!L70</f>
        <v>600</v>
      </c>
      <c r="M41" s="1862">
        <f>'6-A. Proc. Sub-Annex'!M70</f>
        <v>6.0000000000000001E-3</v>
      </c>
      <c r="N41" s="1862">
        <f>'6-A. Proc. Sub-Annex'!N70</f>
        <v>127120</v>
      </c>
      <c r="O41" s="962">
        <f>'6-A. Proc. Sub-Annex'!O70</f>
        <v>762.72</v>
      </c>
      <c r="P41" s="2735" t="str">
        <f>'6-A. Proc. Sub-Annex'!P70</f>
        <v>Expected Pregnant women 1,27,120. The funds proposed as per new guidelines @ Rs.600 per PW i.e. 1,27,120 PW x Rs.600 = Rs.7,62,72,000</v>
      </c>
      <c r="Q41" s="2018" t="s">
        <v>5675</v>
      </c>
      <c r="R41" s="2728">
        <f>(127120*600)/100000</f>
        <v>762.72</v>
      </c>
    </row>
    <row r="42" spans="1:18" s="861" customFormat="1">
      <c r="A42" s="4068" t="str">
        <f>'6.Procurement Annex'!A56</f>
        <v>6.2.1.1</v>
      </c>
      <c r="B42" s="2735" t="str">
        <f>'6-A. Proc. Sub-Annex'!B147</f>
        <v>B.16.2.1.1</v>
      </c>
      <c r="C42" s="1861" t="str">
        <f>'6-A. Proc. Sub-Annex'!C147</f>
        <v xml:space="preserve">RTI /STI drugs and consumables </v>
      </c>
      <c r="D42" s="1862" t="str">
        <f>'6-A. Proc. Sub-Annex'!D147</f>
        <v>RCH</v>
      </c>
      <c r="E42" s="1862" t="str">
        <f>'6-A. Proc. Sub-Annex'!E147</f>
        <v>MH</v>
      </c>
      <c r="F42" s="1862">
        <f>'6-A. Proc. Sub-Annex'!F147</f>
        <v>0</v>
      </c>
      <c r="G42" s="1862">
        <f>'6-A. Proc. Sub-Annex'!G147</f>
        <v>0</v>
      </c>
      <c r="H42" s="1862">
        <f>'6-A. Proc. Sub-Annex'!H147</f>
        <v>0</v>
      </c>
      <c r="I42" s="1862">
        <f>'6-A. Proc. Sub-Annex'!I147</f>
        <v>0</v>
      </c>
      <c r="J42" s="1862">
        <f>'6-A. Proc. Sub-Annex'!J147</f>
        <v>0</v>
      </c>
      <c r="K42" s="1862">
        <f>'6-A. Proc. Sub-Annex'!K147</f>
        <v>0</v>
      </c>
      <c r="L42" s="962">
        <f>'6-A. Proc. Sub-Annex'!L147</f>
        <v>0</v>
      </c>
      <c r="M42" s="1862">
        <f>'6-A. Proc. Sub-Annex'!M147</f>
        <v>0</v>
      </c>
      <c r="N42" s="1862">
        <f>'6-A. Proc. Sub-Annex'!N147</f>
        <v>0</v>
      </c>
      <c r="O42" s="962">
        <f>'6-A. Proc. Sub-Annex'!O147</f>
        <v>0</v>
      </c>
      <c r="P42" s="2735">
        <f>'6-A. Proc. Sub-Annex'!P147</f>
        <v>0</v>
      </c>
      <c r="Q42" s="2018" t="s">
        <v>5521</v>
      </c>
      <c r="R42" s="2729">
        <v>0</v>
      </c>
    </row>
    <row r="43" spans="1:18" s="861" customFormat="1" ht="30">
      <c r="A43" s="4068"/>
      <c r="B43" s="2735" t="str">
        <f>'6-A. Proc. Sub-Annex'!B148</f>
        <v>B.16.2.1.2</v>
      </c>
      <c r="C43" s="1861" t="str">
        <f>'6-A. Proc. Sub-Annex'!C148</f>
        <v>Drugs for Safe Abortion (MMA)</v>
      </c>
      <c r="D43" s="1862" t="str">
        <f>'6-A. Proc. Sub-Annex'!D148</f>
        <v>RCH</v>
      </c>
      <c r="E43" s="1862" t="str">
        <f>'6-A. Proc. Sub-Annex'!E148</f>
        <v>MH</v>
      </c>
      <c r="F43" s="1862">
        <f>'6-A. Proc. Sub-Annex'!F148</f>
        <v>0</v>
      </c>
      <c r="G43" s="1862">
        <f>'6-A. Proc. Sub-Annex'!G148</f>
        <v>0</v>
      </c>
      <c r="H43" s="1862">
        <f>'6-A. Proc. Sub-Annex'!H148</f>
        <v>0</v>
      </c>
      <c r="I43" s="1862">
        <f>'6-A. Proc. Sub-Annex'!I148</f>
        <v>0</v>
      </c>
      <c r="J43" s="1862">
        <f>'6-A. Proc. Sub-Annex'!J148</f>
        <v>0</v>
      </c>
      <c r="K43" s="1862">
        <f>'6-A. Proc. Sub-Annex'!K148</f>
        <v>0</v>
      </c>
      <c r="L43" s="962">
        <f>'6-A. Proc. Sub-Annex'!L148</f>
        <v>0</v>
      </c>
      <c r="M43" s="1862">
        <f>'6-A. Proc. Sub-Annex'!M148</f>
        <v>0</v>
      </c>
      <c r="N43" s="1862">
        <f>'6-A. Proc. Sub-Annex'!N148</f>
        <v>0</v>
      </c>
      <c r="O43" s="962">
        <f>'6-A. Proc. Sub-Annex'!O148</f>
        <v>0</v>
      </c>
      <c r="P43" s="2735">
        <f>'6-A. Proc. Sub-Annex'!P148</f>
        <v>0</v>
      </c>
      <c r="Q43" s="2018" t="s">
        <v>5532</v>
      </c>
      <c r="R43" s="2729">
        <v>0</v>
      </c>
    </row>
    <row r="44" spans="1:18" s="861" customFormat="1">
      <c r="A44" s="4068"/>
      <c r="B44" s="2735" t="str">
        <f>'6-A. Proc. Sub-Annex'!B149</f>
        <v>B.16.2.1.4</v>
      </c>
      <c r="C44" s="1861" t="str">
        <f>'6-A. Proc. Sub-Annex'!C149</f>
        <v>RPR Kits</v>
      </c>
      <c r="D44" s="1862" t="str">
        <f>'6-A. Proc. Sub-Annex'!D149</f>
        <v>RCH</v>
      </c>
      <c r="E44" s="1862" t="str">
        <f>'6-A. Proc. Sub-Annex'!E149</f>
        <v>MH</v>
      </c>
      <c r="F44" s="1862">
        <f>'6-A. Proc. Sub-Annex'!F149</f>
        <v>0</v>
      </c>
      <c r="G44" s="1862">
        <f>'6-A. Proc. Sub-Annex'!G149</f>
        <v>0</v>
      </c>
      <c r="H44" s="1862">
        <f>'6-A. Proc. Sub-Annex'!H149</f>
        <v>0</v>
      </c>
      <c r="I44" s="1862">
        <f>'6-A. Proc. Sub-Annex'!I149</f>
        <v>0</v>
      </c>
      <c r="J44" s="1862">
        <f>'6-A. Proc. Sub-Annex'!J149</f>
        <v>0</v>
      </c>
      <c r="K44" s="1862">
        <f>'6-A. Proc. Sub-Annex'!K149</f>
        <v>0</v>
      </c>
      <c r="L44" s="962">
        <f>'6-A. Proc. Sub-Annex'!L149</f>
        <v>0</v>
      </c>
      <c r="M44" s="1862">
        <f>'6-A. Proc. Sub-Annex'!M149</f>
        <v>0</v>
      </c>
      <c r="N44" s="1862">
        <f>'6-A. Proc. Sub-Annex'!N149</f>
        <v>0</v>
      </c>
      <c r="O44" s="962">
        <f>'6-A. Proc. Sub-Annex'!O149</f>
        <v>0</v>
      </c>
      <c r="P44" s="2735">
        <f>'6-A. Proc. Sub-Annex'!P149</f>
        <v>0</v>
      </c>
      <c r="Q44" s="2018" t="s">
        <v>5521</v>
      </c>
      <c r="R44" s="2729">
        <v>0</v>
      </c>
    </row>
    <row r="45" spans="1:18" s="861" customFormat="1">
      <c r="A45" s="4068"/>
      <c r="B45" s="2735" t="str">
        <f>'6-A. Proc. Sub-Annex'!B150</f>
        <v>B.16.2.1.5</v>
      </c>
      <c r="C45" s="1861" t="str">
        <f>'6-A. Proc. Sub-Annex'!C150</f>
        <v>Whole blood finger prick test for HIV</v>
      </c>
      <c r="D45" s="1862" t="str">
        <f>'6-A. Proc. Sub-Annex'!D150</f>
        <v>RCH</v>
      </c>
      <c r="E45" s="1862" t="str">
        <f>'6-A. Proc. Sub-Annex'!E150</f>
        <v>MH</v>
      </c>
      <c r="F45" s="1862">
        <f>'6-A. Proc. Sub-Annex'!F150</f>
        <v>0</v>
      </c>
      <c r="G45" s="1862">
        <f>'6-A. Proc. Sub-Annex'!G150</f>
        <v>0</v>
      </c>
      <c r="H45" s="1862">
        <f>'6-A. Proc. Sub-Annex'!H150</f>
        <v>0</v>
      </c>
      <c r="I45" s="1862">
        <f>'6-A. Proc. Sub-Annex'!I150</f>
        <v>0</v>
      </c>
      <c r="J45" s="1862">
        <f>'6-A. Proc. Sub-Annex'!J150</f>
        <v>0</v>
      </c>
      <c r="K45" s="1862">
        <f>'6-A. Proc. Sub-Annex'!K150</f>
        <v>0</v>
      </c>
      <c r="L45" s="962">
        <f>'6-A. Proc. Sub-Annex'!L150</f>
        <v>0</v>
      </c>
      <c r="M45" s="1862">
        <f>'6-A. Proc. Sub-Annex'!M150</f>
        <v>0</v>
      </c>
      <c r="N45" s="1862">
        <f>'6-A. Proc. Sub-Annex'!N150</f>
        <v>0</v>
      </c>
      <c r="O45" s="962">
        <f>'6-A. Proc. Sub-Annex'!O150</f>
        <v>0</v>
      </c>
      <c r="P45" s="2735">
        <f>'6-A. Proc. Sub-Annex'!P150</f>
        <v>0</v>
      </c>
      <c r="Q45" s="2018" t="s">
        <v>5521</v>
      </c>
      <c r="R45" s="2729">
        <v>0</v>
      </c>
    </row>
    <row r="46" spans="1:18" s="861" customFormat="1" ht="30">
      <c r="A46" s="4068"/>
      <c r="B46" s="2735" t="str">
        <f>'6-A. Proc. Sub-Annex'!B151</f>
        <v>B.16.2.6.4.a</v>
      </c>
      <c r="C46" s="1861" t="str">
        <f>'6-A. Proc. Sub-Annex'!C151</f>
        <v xml:space="preserve">IFA tablets for non-pregnant &amp; non-lactating women in Reproductive Age (20-49 years) </v>
      </c>
      <c r="D46" s="1862" t="str">
        <f>'6-A. Proc. Sub-Annex'!D151</f>
        <v>RCH</v>
      </c>
      <c r="E46" s="1862" t="str">
        <f>'6-A. Proc. Sub-Annex'!E151</f>
        <v>MH</v>
      </c>
      <c r="F46" s="1862">
        <f>'6-A. Proc. Sub-Annex'!F151</f>
        <v>83200000</v>
      </c>
      <c r="G46" s="1862">
        <f>'6-A. Proc. Sub-Annex'!G151</f>
        <v>0</v>
      </c>
      <c r="H46" s="1862">
        <f>'6-A. Proc. Sub-Annex'!H151</f>
        <v>208</v>
      </c>
      <c r="I46" s="1862">
        <f>'6-A. Proc. Sub-Annex'!I151</f>
        <v>0</v>
      </c>
      <c r="J46" s="1862">
        <f>'6-A. Proc. Sub-Annex'!J151</f>
        <v>0</v>
      </c>
      <c r="K46" s="1862">
        <f>'6-A. Proc. Sub-Annex'!K151</f>
        <v>0</v>
      </c>
      <c r="L46" s="962">
        <f>'6-A. Proc. Sub-Annex'!L151</f>
        <v>0</v>
      </c>
      <c r="M46" s="1862">
        <f>'6-A. Proc. Sub-Annex'!M151</f>
        <v>0</v>
      </c>
      <c r="N46" s="1862">
        <f>'6-A. Proc. Sub-Annex'!N151</f>
        <v>0</v>
      </c>
      <c r="O46" s="962">
        <f>'6-A. Proc. Sub-Annex'!O151</f>
        <v>0</v>
      </c>
      <c r="P46" s="2735">
        <f>'6-A. Proc. Sub-Annex'!P151</f>
        <v>0</v>
      </c>
      <c r="Q46" s="2018" t="s">
        <v>5533</v>
      </c>
      <c r="R46" s="2729">
        <v>0</v>
      </c>
    </row>
    <row r="47" spans="1:18" s="861" customFormat="1" ht="30">
      <c r="A47" s="4068"/>
      <c r="B47" s="2735" t="str">
        <f>'6-A. Proc. Sub-Annex'!B152</f>
        <v>B.16.2.6.4.b</v>
      </c>
      <c r="C47" s="1861" t="str">
        <f>'6-A. Proc. Sub-Annex'!C152</f>
        <v xml:space="preserve">Albendazole Tablets for non-pregnant &amp; non-lactating women in Reproductive Age (20-49 years) </v>
      </c>
      <c r="D47" s="1862" t="str">
        <f>'6-A. Proc. Sub-Annex'!D152</f>
        <v>RCH</v>
      </c>
      <c r="E47" s="1862" t="str">
        <f>'6-A. Proc. Sub-Annex'!E152</f>
        <v>MH</v>
      </c>
      <c r="F47" s="1862">
        <f>'6-A. Proc. Sub-Annex'!F152</f>
        <v>0</v>
      </c>
      <c r="G47" s="1862">
        <f>'6-A. Proc. Sub-Annex'!G152</f>
        <v>0</v>
      </c>
      <c r="H47" s="1862">
        <f>'6-A. Proc. Sub-Annex'!H152</f>
        <v>0</v>
      </c>
      <c r="I47" s="1862">
        <f>'6-A. Proc. Sub-Annex'!I152</f>
        <v>0</v>
      </c>
      <c r="J47" s="1862">
        <f>'6-A. Proc. Sub-Annex'!J152</f>
        <v>0</v>
      </c>
      <c r="K47" s="1862">
        <f>'6-A. Proc. Sub-Annex'!K152</f>
        <v>0</v>
      </c>
      <c r="L47" s="962">
        <f>'6-A. Proc. Sub-Annex'!L152</f>
        <v>0</v>
      </c>
      <c r="M47" s="1862">
        <f>'6-A. Proc. Sub-Annex'!M152</f>
        <v>0</v>
      </c>
      <c r="N47" s="1862">
        <f>'6-A. Proc. Sub-Annex'!N152</f>
        <v>0</v>
      </c>
      <c r="O47" s="962">
        <f>'6-A. Proc. Sub-Annex'!O152</f>
        <v>0</v>
      </c>
      <c r="P47" s="2735">
        <f>'6-A. Proc. Sub-Annex'!P152</f>
        <v>0</v>
      </c>
      <c r="Q47" s="2018" t="s">
        <v>5534</v>
      </c>
      <c r="R47" s="2729">
        <v>0</v>
      </c>
    </row>
    <row r="48" spans="1:18" s="861" customFormat="1" ht="30">
      <c r="A48" s="4068"/>
      <c r="B48" s="2735" t="str">
        <f>'6-A. Proc. Sub-Annex'!B154</f>
        <v>B.16.2.6.5.a</v>
      </c>
      <c r="C48" s="1861" t="str">
        <f>'6-A. Proc. Sub-Annex'!C154</f>
        <v>IFA tablets for Pregnant &amp; Lactating Mothers</v>
      </c>
      <c r="D48" s="1862" t="str">
        <f>'6-A. Proc. Sub-Annex'!D154</f>
        <v>RCH</v>
      </c>
      <c r="E48" s="1862" t="str">
        <f>'6-A. Proc. Sub-Annex'!E154</f>
        <v>MH</v>
      </c>
      <c r="F48" s="1862">
        <f>'6-A. Proc. Sub-Annex'!F154</f>
        <v>60779160</v>
      </c>
      <c r="G48" s="1862">
        <f>'6-A. Proc. Sub-Annex'!G154</f>
        <v>0</v>
      </c>
      <c r="H48" s="1862">
        <f>'6-A. Proc. Sub-Annex'!H154</f>
        <v>0</v>
      </c>
      <c r="I48" s="1862">
        <f>'6-A. Proc. Sub-Annex'!I154</f>
        <v>0</v>
      </c>
      <c r="J48" s="1862">
        <f>'6-A. Proc. Sub-Annex'!J154</f>
        <v>0</v>
      </c>
      <c r="K48" s="1862">
        <f>'6-A. Proc. Sub-Annex'!K154</f>
        <v>0</v>
      </c>
      <c r="L48" s="962">
        <f>'6-A. Proc. Sub-Annex'!L154</f>
        <v>0</v>
      </c>
      <c r="M48" s="1862">
        <f>'6-A. Proc. Sub-Annex'!M154</f>
        <v>0</v>
      </c>
      <c r="N48" s="1862">
        <f>'6-A. Proc. Sub-Annex'!N154</f>
        <v>0</v>
      </c>
      <c r="O48" s="962">
        <f>'6-A. Proc. Sub-Annex'!O154</f>
        <v>0</v>
      </c>
      <c r="P48" s="2735">
        <f>'6-A. Proc. Sub-Annex'!P154</f>
        <v>0</v>
      </c>
      <c r="Q48" s="2018" t="s">
        <v>5533</v>
      </c>
      <c r="R48" s="2729">
        <v>0</v>
      </c>
    </row>
    <row r="49" spans="1:31" s="861" customFormat="1" ht="30">
      <c r="A49" s="4068"/>
      <c r="B49" s="2735" t="str">
        <f>'6-A. Proc. Sub-Annex'!B155</f>
        <v>B.16.2.6.5.b</v>
      </c>
      <c r="C49" s="1861" t="str">
        <f>'6-A. Proc. Sub-Annex'!C155</f>
        <v>Folic Acid Tablets (400 mcg) for Pregnant &amp; Lactating Mothers</v>
      </c>
      <c r="D49" s="1862" t="str">
        <f>'6-A. Proc. Sub-Annex'!D155</f>
        <v>RCH</v>
      </c>
      <c r="E49" s="1862" t="str">
        <f>'6-A. Proc. Sub-Annex'!E155</f>
        <v>MH</v>
      </c>
      <c r="F49" s="1862">
        <f>'6-A. Proc. Sub-Annex'!F155</f>
        <v>10129770</v>
      </c>
      <c r="G49" s="1862">
        <f>'6-A. Proc. Sub-Annex'!G155</f>
        <v>0</v>
      </c>
      <c r="H49" s="1862">
        <f>'6-A. Proc. Sub-Annex'!H155</f>
        <v>17.22</v>
      </c>
      <c r="I49" s="1862">
        <f>'6-A. Proc. Sub-Annex'!I155</f>
        <v>0</v>
      </c>
      <c r="J49" s="1862">
        <f>'6-A. Proc. Sub-Annex'!J155</f>
        <v>0</v>
      </c>
      <c r="K49" s="1862">
        <f>'6-A. Proc. Sub-Annex'!K155</f>
        <v>0</v>
      </c>
      <c r="L49" s="962">
        <f>'6-A. Proc. Sub-Annex'!L155</f>
        <v>0</v>
      </c>
      <c r="M49" s="1862">
        <f>'6-A. Proc. Sub-Annex'!M155</f>
        <v>0</v>
      </c>
      <c r="N49" s="1862">
        <f>'6-A. Proc. Sub-Annex'!N155</f>
        <v>0</v>
      </c>
      <c r="O49" s="962">
        <f>'6-A. Proc. Sub-Annex'!O155</f>
        <v>0</v>
      </c>
      <c r="P49" s="2735">
        <f>'6-A. Proc. Sub-Annex'!P155</f>
        <v>0</v>
      </c>
      <c r="Q49" s="2018" t="s">
        <v>5535</v>
      </c>
      <c r="R49" s="2729">
        <v>0</v>
      </c>
    </row>
    <row r="50" spans="1:31" s="861" customFormat="1">
      <c r="A50" s="4068"/>
      <c r="B50" s="2735">
        <f>'6-A. Proc. Sub-Annex'!B156</f>
        <v>0</v>
      </c>
      <c r="C50" s="1861" t="str">
        <f>'6-A. Proc. Sub-Annex'!C156</f>
        <v>Calcium tablets</v>
      </c>
      <c r="D50" s="1862" t="str">
        <f>'6-A. Proc. Sub-Annex'!D156</f>
        <v>RCH</v>
      </c>
      <c r="E50" s="1862" t="str">
        <f>'6-A. Proc. Sub-Annex'!E156</f>
        <v>MH</v>
      </c>
      <c r="F50" s="1862">
        <f>'6-A. Proc. Sub-Annex'!F156</f>
        <v>41081845</v>
      </c>
      <c r="G50" s="1862">
        <f>'6-A. Proc. Sub-Annex'!G156</f>
        <v>0</v>
      </c>
      <c r="H50" s="1862">
        <f>'6-A. Proc. Sub-Annex'!H156</f>
        <v>123.25</v>
      </c>
      <c r="I50" s="1862">
        <f>'6-A. Proc. Sub-Annex'!I156</f>
        <v>6.24</v>
      </c>
      <c r="J50" s="1862">
        <f>'6-A. Proc. Sub-Annex'!J156</f>
        <v>117.01</v>
      </c>
      <c r="K50" s="1862">
        <f>'6-A. Proc. Sub-Annex'!K156</f>
        <v>0</v>
      </c>
      <c r="L50" s="962">
        <f>'6-A. Proc. Sub-Annex'!L156</f>
        <v>0</v>
      </c>
      <c r="M50" s="1862">
        <f>'6-A. Proc. Sub-Annex'!M156</f>
        <v>0</v>
      </c>
      <c r="N50" s="1862">
        <f>'6-A. Proc. Sub-Annex'!N156</f>
        <v>0</v>
      </c>
      <c r="O50" s="962">
        <f>'6-A. Proc. Sub-Annex'!O156</f>
        <v>0</v>
      </c>
      <c r="P50" s="2735">
        <f>'6-A. Proc. Sub-Annex'!P156</f>
        <v>0</v>
      </c>
      <c r="Q50" s="2018" t="s">
        <v>5521</v>
      </c>
      <c r="R50" s="2729">
        <v>0</v>
      </c>
    </row>
    <row r="51" spans="1:31" s="861" customFormat="1">
      <c r="A51" s="4068"/>
      <c r="B51" s="2735">
        <f>'6-A. Proc. Sub-Annex'!B157</f>
        <v>0</v>
      </c>
      <c r="C51" s="1861" t="str">
        <f>'6-A. Proc. Sub-Annex'!C157</f>
        <v>Albendazole tablets</v>
      </c>
      <c r="D51" s="1862" t="str">
        <f>'6-A. Proc. Sub-Annex'!D157</f>
        <v>RCH</v>
      </c>
      <c r="E51" s="1862" t="str">
        <f>'6-A. Proc. Sub-Annex'!E157</f>
        <v>MH</v>
      </c>
      <c r="F51" s="1862">
        <f>'6-A. Proc. Sub-Annex'!F157</f>
        <v>112553</v>
      </c>
      <c r="G51" s="1862">
        <f>'6-A. Proc. Sub-Annex'!G157</f>
        <v>0</v>
      </c>
      <c r="H51" s="1862">
        <f>'6-A. Proc. Sub-Annex'!H157</f>
        <v>0.17</v>
      </c>
      <c r="I51" s="1862">
        <f>'6-A. Proc. Sub-Annex'!I157</f>
        <v>0</v>
      </c>
      <c r="J51" s="1862">
        <f>'6-A. Proc. Sub-Annex'!J157</f>
        <v>0</v>
      </c>
      <c r="K51" s="1862">
        <f>'6-A. Proc. Sub-Annex'!K157</f>
        <v>0</v>
      </c>
      <c r="L51" s="962">
        <f>'6-A. Proc. Sub-Annex'!L157</f>
        <v>0</v>
      </c>
      <c r="M51" s="1862">
        <f>'6-A. Proc. Sub-Annex'!M157</f>
        <v>0</v>
      </c>
      <c r="N51" s="1862">
        <f>'6-A. Proc. Sub-Annex'!N157</f>
        <v>0</v>
      </c>
      <c r="O51" s="962">
        <f>'6-A. Proc. Sub-Annex'!O157</f>
        <v>0</v>
      </c>
      <c r="P51" s="2735">
        <f>'6-A. Proc. Sub-Annex'!P157</f>
        <v>0</v>
      </c>
      <c r="Q51" s="2018" t="s">
        <v>5521</v>
      </c>
      <c r="R51" s="2729">
        <v>0</v>
      </c>
    </row>
    <row r="52" spans="1:31" s="861" customFormat="1" ht="210">
      <c r="A52" s="4068"/>
      <c r="B52" s="2735" t="str">
        <f>'6-A. Proc. Sub-Annex'!B158</f>
        <v>B.16.2.1.3.1</v>
      </c>
      <c r="C52" s="1861" t="str">
        <f>'6-A. Proc. Sub-Annex'!C158</f>
        <v>Other JSSK drugs &amp; consumables</v>
      </c>
      <c r="D52" s="1862" t="str">
        <f>'6-A. Proc. Sub-Annex'!D158</f>
        <v>RCH</v>
      </c>
      <c r="E52" s="1862" t="str">
        <f>'6-A. Proc. Sub-Annex'!E158</f>
        <v>MH</v>
      </c>
      <c r="F52" s="1862">
        <f>'6-A. Proc. Sub-Annex'!F158</f>
        <v>1</v>
      </c>
      <c r="G52" s="1862">
        <f>'6-A. Proc. Sub-Annex'!G158</f>
        <v>43337</v>
      </c>
      <c r="H52" s="1862">
        <f>'6-A. Proc. Sub-Annex'!H158</f>
        <v>325.38</v>
      </c>
      <c r="I52" s="1862">
        <f>'6-A. Proc. Sub-Annex'!I158</f>
        <v>178.37</v>
      </c>
      <c r="J52" s="1862">
        <f>'6-A. Proc. Sub-Annex'!J158</f>
        <v>147.01</v>
      </c>
      <c r="K52" s="1862">
        <f>'6-A. Proc. Sub-Annex'!K158</f>
        <v>0</v>
      </c>
      <c r="L52" s="962">
        <f>'6-A. Proc. Sub-Annex'!L158</f>
        <v>2113</v>
      </c>
      <c r="M52" s="1862">
        <f>'6-A. Proc. Sub-Annex'!M158</f>
        <v>2.1129999999999999E-2</v>
      </c>
      <c r="N52" s="1862">
        <f>'6-A. Proc. Sub-Annex'!N158</f>
        <v>100000</v>
      </c>
      <c r="O52" s="962">
        <f>'6-A. Proc. Sub-Annex'!O158</f>
        <v>2113</v>
      </c>
      <c r="P52" s="2735" t="str">
        <f>'6-A. Proc. Sub-Annex'!P158</f>
        <v>The estimated PW as per D.O. dated 20.8.2020 is 1,27,120. Funds for ANCas per new guidelines  @ Rs.600 PW i.e. Rs.7,62,72,000. Out of which it is assumed that 1 lac will delivered in insitutions. Out of which 90,000 would be normal delivery and 10,000 would be C-Section. The funds proposed for 90,000 ND @ Rs. 1000 per delivery and for 10,000 C-Section @ Rs.4500 per C-Section. Total fund proposed = Rs. 7,62,72,000 for ANC + Rs. 9,00,00,000 for ND + Rs. 4,50,00,000 = Rs.21,12,72,000</v>
      </c>
      <c r="Q52" s="2018" t="s">
        <v>5537</v>
      </c>
      <c r="R52" s="2728">
        <f>((350*90000)+(1600*10000))/100000</f>
        <v>475</v>
      </c>
    </row>
    <row r="53" spans="1:31" s="861" customFormat="1">
      <c r="A53" s="4068"/>
      <c r="B53" s="2735" t="str">
        <f>'6-A. Proc. Sub-Annex'!B159</f>
        <v>B.16.2.1.3</v>
      </c>
      <c r="C53" s="1861" t="str">
        <f>'6-A. Proc. Sub-Annex'!C159</f>
        <v>Any other Drugs &amp; Supplies (Please specify)</v>
      </c>
      <c r="D53" s="1862" t="str">
        <f>'6-A. Proc. Sub-Annex'!D159</f>
        <v>RCH</v>
      </c>
      <c r="E53" s="1862" t="str">
        <f>'6-A. Proc. Sub-Annex'!E159</f>
        <v>MH</v>
      </c>
      <c r="F53" s="1862">
        <f>'6-A. Proc. Sub-Annex'!F159</f>
        <v>225106</v>
      </c>
      <c r="G53" s="1862">
        <f>'6-A. Proc. Sub-Annex'!G159</f>
        <v>0</v>
      </c>
      <c r="H53" s="1862">
        <f>'6-A. Proc. Sub-Annex'!H159</f>
        <v>94.54</v>
      </c>
      <c r="I53" s="1862">
        <f>'6-A. Proc. Sub-Annex'!I159</f>
        <v>0</v>
      </c>
      <c r="J53" s="1862">
        <f>'6-A. Proc. Sub-Annex'!J159</f>
        <v>0</v>
      </c>
      <c r="K53" s="1862">
        <f>'6-A. Proc. Sub-Annex'!K159</f>
        <v>0</v>
      </c>
      <c r="L53" s="962">
        <f>'6-A. Proc. Sub-Annex'!L159</f>
        <v>0</v>
      </c>
      <c r="M53" s="1862">
        <f>'6-A. Proc. Sub-Annex'!M159</f>
        <v>0</v>
      </c>
      <c r="N53" s="1862">
        <f>'6-A. Proc. Sub-Annex'!N159</f>
        <v>0</v>
      </c>
      <c r="O53" s="962">
        <f>'6-A. Proc. Sub-Annex'!O159</f>
        <v>0</v>
      </c>
      <c r="P53" s="2735">
        <f>'6-A. Proc. Sub-Annex'!P159</f>
        <v>0</v>
      </c>
      <c r="Q53" s="2018" t="s">
        <v>5521</v>
      </c>
      <c r="R53" s="2729">
        <v>0</v>
      </c>
    </row>
    <row r="54" spans="1:31" s="861" customFormat="1">
      <c r="A54" s="1858">
        <f>'7.Referral Transport Annex'!A7</f>
        <v>7</v>
      </c>
      <c r="B54" s="1865"/>
      <c r="C54" s="1859" t="str">
        <f>'7.Referral Transport Annex'!C7</f>
        <v>Referral Transport</v>
      </c>
      <c r="D54" s="1860"/>
      <c r="E54" s="1860"/>
      <c r="F54" s="1860"/>
      <c r="G54" s="1860"/>
      <c r="H54" s="994"/>
      <c r="I54" s="1860"/>
      <c r="J54" s="994"/>
      <c r="K54" s="1860"/>
      <c r="L54" s="994"/>
      <c r="M54" s="994"/>
      <c r="N54" s="1866"/>
      <c r="O54" s="1867">
        <f>SUM(O55)</f>
        <v>700</v>
      </c>
      <c r="P54" s="1868"/>
      <c r="Q54" s="1889"/>
      <c r="R54" s="2731">
        <f>SUM(R55)</f>
        <v>635.6</v>
      </c>
    </row>
    <row r="55" spans="1:31" s="2252" customFormat="1" ht="45">
      <c r="A55" s="2735">
        <f>'7.Referral Transport Annex'!A8</f>
        <v>7.1</v>
      </c>
      <c r="B55" s="2735" t="str">
        <f>'7.Referral Transport Annex'!B8</f>
        <v>A.1.6.4</v>
      </c>
      <c r="C55" s="1861" t="str">
        <f>'7.Referral Transport Annex'!C8</f>
        <v>Free Referral Transport - JSSK for Pregnant Women</v>
      </c>
      <c r="D55" s="1862" t="str">
        <f>'7.Referral Transport Annex'!D8</f>
        <v>RCH</v>
      </c>
      <c r="E55" s="1862" t="str">
        <f>'7.Referral Transport Annex'!E8</f>
        <v>MH</v>
      </c>
      <c r="F55" s="1862">
        <f>'7.Referral Transport Annex'!F8</f>
        <v>137874</v>
      </c>
      <c r="G55" s="1862">
        <f>'7.Referral Transport Annex'!G8</f>
        <v>0</v>
      </c>
      <c r="H55" s="1862">
        <f>'7.Referral Transport Annex'!H8</f>
        <v>689.37</v>
      </c>
      <c r="I55" s="1862">
        <f>'7.Referral Transport Annex'!I8</f>
        <v>314.98</v>
      </c>
      <c r="J55" s="1862">
        <f>'7.Referral Transport Annex'!J8</f>
        <v>372.89</v>
      </c>
      <c r="K55" s="1862">
        <f>'7.Referral Transport Annex'!K8</f>
        <v>1</v>
      </c>
      <c r="L55" s="962">
        <f>'7.Referral Transport Annex'!L8</f>
        <v>500</v>
      </c>
      <c r="M55" s="1862">
        <f>'7.Referral Transport Annex'!M8</f>
        <v>5.0000000000000001E-3</v>
      </c>
      <c r="N55" s="1862">
        <f>'7.Referral Transport Annex'!N8</f>
        <v>140000</v>
      </c>
      <c r="O55" s="962">
        <f>'7.Referral Transport Annex'!O8</f>
        <v>700</v>
      </c>
      <c r="P55" s="2735" t="str">
        <f>'7.Referral Transport Annex'!P8</f>
        <v>Pregnant Women are dropped back from Public health care facility .</v>
      </c>
      <c r="Q55" s="108" t="s">
        <v>5538</v>
      </c>
      <c r="R55" s="2719">
        <f>(127120*500)/100000</f>
        <v>635.6</v>
      </c>
      <c r="S55" s="2761"/>
      <c r="T55" s="2761"/>
      <c r="U55" s="2761"/>
      <c r="V55" s="2761"/>
      <c r="W55" s="2761"/>
      <c r="X55" s="2761"/>
      <c r="Y55" s="2761"/>
      <c r="Z55" s="2761"/>
      <c r="AA55" s="2761"/>
      <c r="AB55" s="2761"/>
      <c r="AC55" s="2761"/>
      <c r="AD55" s="2761"/>
      <c r="AE55" s="2761"/>
    </row>
    <row r="56" spans="1:31" s="861" customFormat="1">
      <c r="A56" s="1858">
        <f>'9.Training Annex'!A7</f>
        <v>9</v>
      </c>
      <c r="B56" s="1865"/>
      <c r="C56" s="1859" t="str">
        <f>'9.Training Annex'!C7</f>
        <v>Training and Capacity Building</v>
      </c>
      <c r="D56" s="1860"/>
      <c r="E56" s="1860"/>
      <c r="F56" s="1860"/>
      <c r="G56" s="1860"/>
      <c r="H56" s="994"/>
      <c r="I56" s="1860"/>
      <c r="J56" s="994"/>
      <c r="K56" s="1860"/>
      <c r="L56" s="994"/>
      <c r="M56" s="994"/>
      <c r="N56" s="1866"/>
      <c r="O56" s="1867">
        <f>SUM(O57:O89)</f>
        <v>206.21379999999999</v>
      </c>
      <c r="P56" s="1868"/>
      <c r="Q56" s="1889"/>
      <c r="R56" s="2731">
        <f>SUM(R57:R89)</f>
        <v>206.2115</v>
      </c>
    </row>
    <row r="57" spans="1:31" s="861" customFormat="1">
      <c r="A57" s="4069" t="str">
        <f>'9.Training Annex'!A9</f>
        <v>9.1.1</v>
      </c>
      <c r="B57" s="2735" t="str">
        <f>'9-A.Training Sub-Annex'!B7</f>
        <v>A.9.1.2.2</v>
      </c>
      <c r="C57" s="1861" t="str">
        <f>'9-A.Training Sub-Annex'!C7</f>
        <v>Setting up of Skill Lab</v>
      </c>
      <c r="D57" s="1862" t="str">
        <f>'9-A.Training Sub-Annex'!D7</f>
        <v>RCH</v>
      </c>
      <c r="E57" s="1862" t="str">
        <f>'9-A.Training Sub-Annex'!E7</f>
        <v>MH</v>
      </c>
      <c r="F57" s="1862">
        <f>'9-A.Training Sub-Annex'!F7</f>
        <v>0</v>
      </c>
      <c r="G57" s="1862">
        <f>'9-A.Training Sub-Annex'!G7</f>
        <v>0</v>
      </c>
      <c r="H57" s="1862">
        <f>'9-A.Training Sub-Annex'!H7</f>
        <v>0</v>
      </c>
      <c r="I57" s="1862">
        <f>'9-A.Training Sub-Annex'!I7</f>
        <v>0</v>
      </c>
      <c r="J57" s="1862">
        <f>'9-A.Training Sub-Annex'!J7</f>
        <v>0</v>
      </c>
      <c r="K57" s="1862">
        <f>'9-A.Training Sub-Annex'!K7</f>
        <v>0</v>
      </c>
      <c r="L57" s="962">
        <f>'9-A.Training Sub-Annex'!L7</f>
        <v>0</v>
      </c>
      <c r="M57" s="1862">
        <f>'9-A.Training Sub-Annex'!M7</f>
        <v>0</v>
      </c>
      <c r="N57" s="1862">
        <f>'9-A.Training Sub-Annex'!N7</f>
        <v>0</v>
      </c>
      <c r="O57" s="962">
        <f>'9-A.Training Sub-Annex'!O7</f>
        <v>0</v>
      </c>
      <c r="P57" s="2735">
        <f>'9-A.Training Sub-Annex'!P7</f>
        <v>0</v>
      </c>
      <c r="Q57" s="2018" t="s">
        <v>5521</v>
      </c>
      <c r="R57" s="2729">
        <v>0</v>
      </c>
    </row>
    <row r="58" spans="1:31" s="861" customFormat="1">
      <c r="A58" s="4069"/>
      <c r="B58" s="2735" t="str">
        <f>'9-A.Training Sub-Annex'!B8</f>
        <v>A.9.3.1.1</v>
      </c>
      <c r="C58" s="1861" t="str">
        <f>'9-A.Training Sub-Annex'!C8</f>
        <v>Setting up of SBA Training Centres</v>
      </c>
      <c r="D58" s="1862" t="str">
        <f>'9-A.Training Sub-Annex'!D8</f>
        <v>RCH</v>
      </c>
      <c r="E58" s="1862" t="str">
        <f>'9-A.Training Sub-Annex'!E8</f>
        <v>MH</v>
      </c>
      <c r="F58" s="1862">
        <f>'9-A.Training Sub-Annex'!F8</f>
        <v>0</v>
      </c>
      <c r="G58" s="1862">
        <f>'9-A.Training Sub-Annex'!G8</f>
        <v>0</v>
      </c>
      <c r="H58" s="1862">
        <f>'9-A.Training Sub-Annex'!H8</f>
        <v>0</v>
      </c>
      <c r="I58" s="1862">
        <f>'9-A.Training Sub-Annex'!I8</f>
        <v>0</v>
      </c>
      <c r="J58" s="1862">
        <f>'9-A.Training Sub-Annex'!J8</f>
        <v>0</v>
      </c>
      <c r="K58" s="1862">
        <f>'9-A.Training Sub-Annex'!K8</f>
        <v>0</v>
      </c>
      <c r="L58" s="962">
        <f>'9-A.Training Sub-Annex'!L8</f>
        <v>0</v>
      </c>
      <c r="M58" s="1862">
        <f>'9-A.Training Sub-Annex'!M8</f>
        <v>0</v>
      </c>
      <c r="N58" s="1862">
        <f>'9-A.Training Sub-Annex'!N8</f>
        <v>0</v>
      </c>
      <c r="O58" s="962">
        <f>'9-A.Training Sub-Annex'!O8</f>
        <v>0</v>
      </c>
      <c r="P58" s="2735">
        <f>'9-A.Training Sub-Annex'!P8</f>
        <v>0</v>
      </c>
      <c r="Q58" s="2018" t="s">
        <v>5521</v>
      </c>
      <c r="R58" s="2729">
        <v>0</v>
      </c>
    </row>
    <row r="59" spans="1:31" s="861" customFormat="1">
      <c r="A59" s="4069"/>
      <c r="B59" s="2735" t="str">
        <f>'9-A.Training Sub-Annex'!B9</f>
        <v>A.9.3.2.1</v>
      </c>
      <c r="C59" s="1861" t="str">
        <f>'9-A.Training Sub-Annex'!C9</f>
        <v>Setting up of EmOC Training Centres</v>
      </c>
      <c r="D59" s="1862" t="str">
        <f>'9-A.Training Sub-Annex'!D9</f>
        <v>RCH</v>
      </c>
      <c r="E59" s="1862" t="str">
        <f>'9-A.Training Sub-Annex'!E9</f>
        <v>MH</v>
      </c>
      <c r="F59" s="1862">
        <f>'9-A.Training Sub-Annex'!F9</f>
        <v>0</v>
      </c>
      <c r="G59" s="1862">
        <f>'9-A.Training Sub-Annex'!G9</f>
        <v>0</v>
      </c>
      <c r="H59" s="1862">
        <f>'9-A.Training Sub-Annex'!H9</f>
        <v>0</v>
      </c>
      <c r="I59" s="1862">
        <f>'9-A.Training Sub-Annex'!I9</f>
        <v>0</v>
      </c>
      <c r="J59" s="1862">
        <f>'9-A.Training Sub-Annex'!J9</f>
        <v>0</v>
      </c>
      <c r="K59" s="1862">
        <f>'9-A.Training Sub-Annex'!K9</f>
        <v>0</v>
      </c>
      <c r="L59" s="962">
        <f>'9-A.Training Sub-Annex'!L9</f>
        <v>0</v>
      </c>
      <c r="M59" s="1862">
        <f>'9-A.Training Sub-Annex'!M9</f>
        <v>0</v>
      </c>
      <c r="N59" s="1862">
        <f>'9-A.Training Sub-Annex'!N9</f>
        <v>0</v>
      </c>
      <c r="O59" s="962">
        <f>'9-A.Training Sub-Annex'!O9</f>
        <v>0</v>
      </c>
      <c r="P59" s="2735">
        <f>'9-A.Training Sub-Annex'!P9</f>
        <v>0</v>
      </c>
      <c r="Q59" s="2018" t="s">
        <v>5521</v>
      </c>
      <c r="R59" s="2729">
        <v>0</v>
      </c>
    </row>
    <row r="60" spans="1:31" s="861" customFormat="1">
      <c r="A60" s="4069"/>
      <c r="B60" s="2735" t="str">
        <f>'9-A.Training Sub-Annex'!B10</f>
        <v>A.9.3.3.1</v>
      </c>
      <c r="C60" s="1861" t="str">
        <f>'9-A.Training Sub-Annex'!C10</f>
        <v>Setting up of Life saving Anaesthesia skills Training Centres</v>
      </c>
      <c r="D60" s="1862" t="str">
        <f>'9-A.Training Sub-Annex'!D10</f>
        <v>RCH</v>
      </c>
      <c r="E60" s="1862" t="str">
        <f>'9-A.Training Sub-Annex'!E10</f>
        <v>MH</v>
      </c>
      <c r="F60" s="1862">
        <f>'9-A.Training Sub-Annex'!F10</f>
        <v>0</v>
      </c>
      <c r="G60" s="1862">
        <f>'9-A.Training Sub-Annex'!G10</f>
        <v>0</v>
      </c>
      <c r="H60" s="1862">
        <f>'9-A.Training Sub-Annex'!H10</f>
        <v>0</v>
      </c>
      <c r="I60" s="1862">
        <f>'9-A.Training Sub-Annex'!I10</f>
        <v>0</v>
      </c>
      <c r="J60" s="1862">
        <f>'9-A.Training Sub-Annex'!J10</f>
        <v>0</v>
      </c>
      <c r="K60" s="1862">
        <f>'9-A.Training Sub-Annex'!K10</f>
        <v>0</v>
      </c>
      <c r="L60" s="962">
        <f>'9-A.Training Sub-Annex'!L10</f>
        <v>0</v>
      </c>
      <c r="M60" s="1862">
        <f>'9-A.Training Sub-Annex'!M10</f>
        <v>0</v>
      </c>
      <c r="N60" s="1862">
        <f>'9-A.Training Sub-Annex'!N10</f>
        <v>0</v>
      </c>
      <c r="O60" s="962">
        <f>'9-A.Training Sub-Annex'!O10</f>
        <v>0</v>
      </c>
      <c r="P60" s="2735">
        <f>'9-A.Training Sub-Annex'!P10</f>
        <v>0</v>
      </c>
      <c r="Q60" s="2018" t="s">
        <v>5521</v>
      </c>
      <c r="R60" s="2729">
        <v>0</v>
      </c>
    </row>
    <row r="61" spans="1:31" s="861" customFormat="1" ht="210">
      <c r="A61" s="2736" t="str">
        <f>'9.Training Annex'!A13</f>
        <v>9.1.4.1</v>
      </c>
      <c r="B61" s="2735" t="str">
        <f>'9-A.Training Sub-Annex'!B17</f>
        <v>A.9.1.2.1</v>
      </c>
      <c r="C61" s="1861" t="str">
        <f>'9-A.Training Sub-Annex'!C17</f>
        <v xml:space="preserve">HR for Skill Lab </v>
      </c>
      <c r="D61" s="1862" t="str">
        <f>'9-A.Training Sub-Annex'!D17</f>
        <v>HSS</v>
      </c>
      <c r="E61" s="1862" t="str">
        <f>'9-A.Training Sub-Annex'!E17</f>
        <v>MH/ HRH</v>
      </c>
      <c r="F61" s="1862">
        <f>'9-A.Training Sub-Annex'!F17</f>
        <v>24</v>
      </c>
      <c r="G61" s="1862">
        <f>'9-A.Training Sub-Annex'!G17</f>
        <v>4</v>
      </c>
      <c r="H61" s="1862">
        <f>'9-A.Training Sub-Annex'!H17</f>
        <v>41.93</v>
      </c>
      <c r="I61" s="1862">
        <f>'9-A.Training Sub-Annex'!I17</f>
        <v>9.5500000000000007</v>
      </c>
      <c r="J61" s="1862">
        <f>'9-A.Training Sub-Annex'!J17</f>
        <v>10</v>
      </c>
      <c r="K61" s="1862">
        <f>'9-A.Training Sub-Annex'!K17</f>
        <v>0</v>
      </c>
      <c r="L61" s="962">
        <f>'9-A.Training Sub-Annex'!L17</f>
        <v>125082</v>
      </c>
      <c r="M61" s="1862">
        <f>'9-A.Training Sub-Annex'!M17</f>
        <v>1.25082</v>
      </c>
      <c r="N61" s="1862">
        <f>'9-A.Training Sub-Annex'!N17</f>
        <v>15</v>
      </c>
      <c r="O61" s="962">
        <f>'9-A.Training Sub-Annex'!O17</f>
        <v>18.7623</v>
      </c>
      <c r="P61" s="2735">
        <f>'9-A.Training Sub-Annex'!P17</f>
        <v>0</v>
      </c>
      <c r="Q61" s="2708" t="s">
        <v>5821</v>
      </c>
      <c r="R61" s="2729">
        <v>18.760000000000002</v>
      </c>
    </row>
    <row r="62" spans="1:31" s="861" customFormat="1">
      <c r="A62" s="2736" t="str">
        <f>'9.Training Annex'!A15</f>
        <v>9.1.4.3</v>
      </c>
      <c r="B62" s="2735">
        <f>'9-A.Training Sub-Annex'!B19</f>
        <v>0</v>
      </c>
      <c r="C62" s="1861" t="str">
        <f>'9-A.Training Sub-Annex'!C19</f>
        <v>State level Midwifery Educators</v>
      </c>
      <c r="D62" s="1862" t="str">
        <f>'9-A.Training Sub-Annex'!D19</f>
        <v>HSS</v>
      </c>
      <c r="E62" s="1862" t="str">
        <f>'9-A.Training Sub-Annex'!E19</f>
        <v>MH/ HRH</v>
      </c>
      <c r="F62" s="1862">
        <f>'9-A.Training Sub-Annex'!F19</f>
        <v>7</v>
      </c>
      <c r="G62" s="1862">
        <f>'9-A.Training Sub-Annex'!G19</f>
        <v>0</v>
      </c>
      <c r="H62" s="1862">
        <f>'9-A.Training Sub-Annex'!H19</f>
        <v>44.4</v>
      </c>
      <c r="I62" s="1862">
        <f>'9-A.Training Sub-Annex'!I19</f>
        <v>0</v>
      </c>
      <c r="J62" s="1862">
        <f>'9-A.Training Sub-Annex'!J19</f>
        <v>0</v>
      </c>
      <c r="K62" s="1862">
        <f>'9-A.Training Sub-Annex'!K19</f>
        <v>0</v>
      </c>
      <c r="L62" s="962">
        <f>'9-A.Training Sub-Annex'!L19</f>
        <v>0</v>
      </c>
      <c r="M62" s="1862">
        <f>'9-A.Training Sub-Annex'!M19</f>
        <v>0</v>
      </c>
      <c r="N62" s="1862">
        <f>'9-A.Training Sub-Annex'!N19</f>
        <v>0</v>
      </c>
      <c r="O62" s="962">
        <f>'9-A.Training Sub-Annex'!O19</f>
        <v>0</v>
      </c>
      <c r="P62" s="2735">
        <f>'9-A.Training Sub-Annex'!P19</f>
        <v>0</v>
      </c>
      <c r="Q62" s="2018"/>
      <c r="R62" s="2728">
        <v>0</v>
      </c>
    </row>
    <row r="63" spans="1:31" s="861" customFormat="1" ht="60">
      <c r="A63" s="4069" t="str">
        <f>'9.Training Annex'!A21</f>
        <v>9.2.1.1</v>
      </c>
      <c r="B63" s="1869" t="str">
        <f>'9-A.Training Sub-Annex'!B27</f>
        <v>A.1.4</v>
      </c>
      <c r="C63" s="1870" t="str">
        <f>'9-A.Training Sub-Annex'!C27</f>
        <v xml:space="preserve">Maternal Death Review Trainings </v>
      </c>
      <c r="D63" s="1871" t="str">
        <f>'9-A.Training Sub-Annex'!D27</f>
        <v>RCH</v>
      </c>
      <c r="E63" s="1871" t="str">
        <f>'9-A.Training Sub-Annex'!E27</f>
        <v>MH</v>
      </c>
      <c r="F63" s="1871">
        <f>'9-A.Training Sub-Annex'!F27</f>
        <v>0</v>
      </c>
      <c r="G63" s="1871">
        <f>'9-A.Training Sub-Annex'!G27</f>
        <v>0</v>
      </c>
      <c r="H63" s="1871">
        <f>'9-A.Training Sub-Annex'!H27</f>
        <v>0</v>
      </c>
      <c r="I63" s="1871">
        <f>'9-A.Training Sub-Annex'!I27</f>
        <v>0</v>
      </c>
      <c r="J63" s="1871">
        <f>'9-A.Training Sub-Annex'!J27</f>
        <v>0</v>
      </c>
      <c r="K63" s="1871">
        <f>'9-A.Training Sub-Annex'!K27</f>
        <v>0</v>
      </c>
      <c r="L63" s="962">
        <f>'9-A.Training Sub-Annex'!L27</f>
        <v>58650</v>
      </c>
      <c r="M63" s="1871">
        <f>'9-A.Training Sub-Annex'!M27</f>
        <v>0.58650000000000002</v>
      </c>
      <c r="N63" s="1871">
        <f>'9-A.Training Sub-Annex'!N27</f>
        <v>12</v>
      </c>
      <c r="O63" s="962">
        <f>'9-A.Training Sub-Annex'!O27</f>
        <v>7.0380000000000003</v>
      </c>
      <c r="P63" s="1869" t="str">
        <f>'9-A.Training Sub-Annex'!P27</f>
        <v>MDR training batch of 20 BMO/MO @ Rs.58650 for 12 districts</v>
      </c>
      <c r="Q63" s="2018" t="s">
        <v>5536</v>
      </c>
      <c r="R63" s="2728">
        <f>(58650*12)/100000</f>
        <v>7.0380000000000003</v>
      </c>
    </row>
    <row r="64" spans="1:31" s="861" customFormat="1" ht="75">
      <c r="A64" s="4069"/>
      <c r="B64" s="1869" t="str">
        <f>'9-A.Training Sub-Annex'!B28</f>
        <v>A.9.1.2.3</v>
      </c>
      <c r="C64" s="1870" t="str">
        <f>'9-A.Training Sub-Annex'!C28</f>
        <v>Onsite mentoring at Delivery Points/ Nursing Institutions/ Nursing Schools</v>
      </c>
      <c r="D64" s="1871" t="str">
        <f>'9-A.Training Sub-Annex'!D28</f>
        <v>RCH</v>
      </c>
      <c r="E64" s="1871" t="str">
        <f>'9-A.Training Sub-Annex'!E28</f>
        <v>MH</v>
      </c>
      <c r="F64" s="1871">
        <f>'9-A.Training Sub-Annex'!F28</f>
        <v>88</v>
      </c>
      <c r="G64" s="1871">
        <f>'9-A.Training Sub-Annex'!G28</f>
        <v>0</v>
      </c>
      <c r="H64" s="1871">
        <f>'9-A.Training Sub-Annex'!H28</f>
        <v>21.12</v>
      </c>
      <c r="I64" s="1871" t="str">
        <f>'9-A.Training Sub-Annex'!I28</f>
        <v>0                                       (Dakshata mentors on COVID duty)</v>
      </c>
      <c r="J64" s="1871">
        <f>'9-A.Training Sub-Annex'!J28</f>
        <v>0</v>
      </c>
      <c r="K64" s="1871">
        <f>'9-A.Training Sub-Annex'!K28</f>
        <v>1</v>
      </c>
      <c r="L64" s="962">
        <f>'9-A.Training Sub-Annex'!L28</f>
        <v>24000</v>
      </c>
      <c r="M64" s="1871">
        <f>'9-A.Training Sub-Annex'!M28</f>
        <v>0.24</v>
      </c>
      <c r="N64" s="1871">
        <f>'9-A.Training Sub-Annex'!N28</f>
        <v>88</v>
      </c>
      <c r="O64" s="962">
        <f>'9-A.Training Sub-Annex'!O28</f>
        <v>21.119999999999997</v>
      </c>
      <c r="P64" s="1869" t="str">
        <f>'9-A.Training Sub-Annex'!P28</f>
        <v>LaQshya/Dakshata Mentoring visit @ Rs.24,000/ delivery point for 88 delivery points. Total funds proposed is Rs.24000 x 88 delivery points = Rs.2112000</v>
      </c>
      <c r="Q64" s="2018" t="s">
        <v>5539</v>
      </c>
      <c r="R64" s="2728">
        <f>(24000*88)/100000</f>
        <v>21.12</v>
      </c>
    </row>
    <row r="65" spans="1:18" s="861" customFormat="1" ht="60">
      <c r="A65" s="4069"/>
      <c r="B65" s="1869">
        <f>'9-A.Training Sub-Annex'!B29</f>
        <v>0</v>
      </c>
      <c r="C65" s="1870" t="str">
        <f>'9-A.Training Sub-Annex'!C29</f>
        <v>TOT for Skill Lab</v>
      </c>
      <c r="D65" s="1871" t="str">
        <f>'9-A.Training Sub-Annex'!D29</f>
        <v>RCH</v>
      </c>
      <c r="E65" s="1871" t="str">
        <f>'9-A.Training Sub-Annex'!E29</f>
        <v>MH</v>
      </c>
      <c r="F65" s="1871">
        <f>'9-A.Training Sub-Annex'!F29</f>
        <v>2</v>
      </c>
      <c r="G65" s="1871">
        <f>'9-A.Training Sub-Annex'!G29</f>
        <v>0</v>
      </c>
      <c r="H65" s="1871">
        <f>'9-A.Training Sub-Annex'!H29</f>
        <v>1.82</v>
      </c>
      <c r="I65" s="1871">
        <f>'9-A.Training Sub-Annex'!I29</f>
        <v>0</v>
      </c>
      <c r="J65" s="1871">
        <f>'9-A.Training Sub-Annex'!J29</f>
        <v>0</v>
      </c>
      <c r="K65" s="1871">
        <f>'9-A.Training Sub-Annex'!K29</f>
        <v>0</v>
      </c>
      <c r="L65" s="962">
        <f>'9-A.Training Sub-Annex'!L29</f>
        <v>91000</v>
      </c>
      <c r="M65" s="1871">
        <f>'9-A.Training Sub-Annex'!M29</f>
        <v>0.91</v>
      </c>
      <c r="N65" s="1871">
        <f>'9-A.Training Sub-Annex'!N29</f>
        <v>2</v>
      </c>
      <c r="O65" s="962">
        <f>'9-A.Training Sub-Annex'!O29</f>
        <v>1.82</v>
      </c>
      <c r="P65" s="1869" t="str">
        <f>'9-A.Training Sub-Annex'!P29</f>
        <v>ToT for two Skill Labs at RHWTC Chebb and SLBSGMC, Nerchowk for batch size 6 participants/batch</v>
      </c>
      <c r="Q65" s="2018" t="s">
        <v>5540</v>
      </c>
      <c r="R65" s="2728">
        <f>(91000*2)/100000</f>
        <v>1.82</v>
      </c>
    </row>
    <row r="66" spans="1:18" s="861" customFormat="1" ht="75">
      <c r="A66" s="4069"/>
      <c r="B66" s="1869">
        <f>'9-A.Training Sub-Annex'!B30</f>
        <v>0</v>
      </c>
      <c r="C66" s="1870" t="str">
        <f>'9-A.Training Sub-Annex'!C30</f>
        <v>Trainings at Skill Lab</v>
      </c>
      <c r="D66" s="1871" t="str">
        <f>'9-A.Training Sub-Annex'!D30</f>
        <v>RCH</v>
      </c>
      <c r="E66" s="1871" t="str">
        <f>'9-A.Training Sub-Annex'!E30</f>
        <v>MH</v>
      </c>
      <c r="F66" s="1871">
        <f>'9-A.Training Sub-Annex'!F30</f>
        <v>99</v>
      </c>
      <c r="G66" s="1871">
        <f>'9-A.Training Sub-Annex'!G30</f>
        <v>0</v>
      </c>
      <c r="H66" s="1871">
        <f>'9-A.Training Sub-Annex'!H30</f>
        <v>123.75</v>
      </c>
      <c r="I66" s="1871">
        <f>'9-A.Training Sub-Annex'!I30</f>
        <v>1.1599999999999999</v>
      </c>
      <c r="J66" s="1871">
        <f>'9-A.Training Sub-Annex'!J30</f>
        <v>122.59</v>
      </c>
      <c r="K66" s="1871">
        <f>'9-A.Training Sub-Annex'!K30</f>
        <v>0</v>
      </c>
      <c r="L66" s="962">
        <f>'9-A.Training Sub-Annex'!L30</f>
        <v>132400</v>
      </c>
      <c r="M66" s="1871">
        <f>'9-A.Training Sub-Annex'!M30</f>
        <v>1.3240000000000001</v>
      </c>
      <c r="N66" s="1871">
        <f>'9-A.Training Sub-Annex'!N30</f>
        <v>75</v>
      </c>
      <c r="O66" s="962">
        <f>'9-A.Training Sub-Annex'!O30</f>
        <v>99.300000000000011</v>
      </c>
      <c r="P66" s="1869" t="str">
        <f>'9-A.Training Sub-Annex'!P30</f>
        <v>As per guidelines 1 batch can be conducted in one week. However, we have proposed 25 batches each in three Skill Labs of the state with batch size of 16 participants   (16 ANM/SN)</v>
      </c>
      <c r="Q66" s="2018" t="s">
        <v>5541</v>
      </c>
      <c r="R66" s="2728">
        <f>(132400*75)/100000</f>
        <v>99.3</v>
      </c>
    </row>
    <row r="67" spans="1:18" s="861" customFormat="1">
      <c r="A67" s="4069"/>
      <c r="B67" s="1869" t="str">
        <f>'9-A.Training Sub-Annex'!B31</f>
        <v>A.9.3.1.2</v>
      </c>
      <c r="C67" s="1870" t="str">
        <f>'9-A.Training Sub-Annex'!C31</f>
        <v>TOT for SBA</v>
      </c>
      <c r="D67" s="1871" t="str">
        <f>'9-A.Training Sub-Annex'!D31</f>
        <v>RCH</v>
      </c>
      <c r="E67" s="1871" t="str">
        <f>'9-A.Training Sub-Annex'!E31</f>
        <v>MH</v>
      </c>
      <c r="F67" s="1871">
        <f>'9-A.Training Sub-Annex'!F31</f>
        <v>0</v>
      </c>
      <c r="G67" s="1871">
        <f>'9-A.Training Sub-Annex'!G31</f>
        <v>0</v>
      </c>
      <c r="H67" s="1871">
        <f>'9-A.Training Sub-Annex'!H31</f>
        <v>0</v>
      </c>
      <c r="I67" s="1871">
        <f>'9-A.Training Sub-Annex'!I31</f>
        <v>0</v>
      </c>
      <c r="J67" s="1871">
        <f>'9-A.Training Sub-Annex'!J31</f>
        <v>0</v>
      </c>
      <c r="K67" s="1871">
        <f>'9-A.Training Sub-Annex'!K31</f>
        <v>0</v>
      </c>
      <c r="L67" s="962">
        <f>'9-A.Training Sub-Annex'!L31</f>
        <v>0</v>
      </c>
      <c r="M67" s="1871">
        <f>'9-A.Training Sub-Annex'!M31</f>
        <v>0</v>
      </c>
      <c r="N67" s="1871">
        <f>'9-A.Training Sub-Annex'!N31</f>
        <v>0</v>
      </c>
      <c r="O67" s="962">
        <f>'9-A.Training Sub-Annex'!O31</f>
        <v>0</v>
      </c>
      <c r="P67" s="1869">
        <f>'9-A.Training Sub-Annex'!P31</f>
        <v>0</v>
      </c>
      <c r="Q67" s="2739" t="s">
        <v>5521</v>
      </c>
      <c r="R67" s="2729">
        <v>0</v>
      </c>
    </row>
    <row r="68" spans="1:18" s="861" customFormat="1">
      <c r="A68" s="4069"/>
      <c r="B68" s="1869" t="str">
        <f>'9-A.Training Sub-Annex'!B32</f>
        <v>A.9.3.1.3</v>
      </c>
      <c r="C68" s="1870" t="str">
        <f>'9-A.Training Sub-Annex'!C32</f>
        <v>Training of Staff Nurses/ANMs / LHVs in SBA</v>
      </c>
      <c r="D68" s="1871" t="str">
        <f>'9-A.Training Sub-Annex'!D32</f>
        <v>RCH</v>
      </c>
      <c r="E68" s="1871" t="str">
        <f>'9-A.Training Sub-Annex'!E32</f>
        <v>MH</v>
      </c>
      <c r="F68" s="1871">
        <f>'9-A.Training Sub-Annex'!F32</f>
        <v>0</v>
      </c>
      <c r="G68" s="1871">
        <f>'9-A.Training Sub-Annex'!G32</f>
        <v>0</v>
      </c>
      <c r="H68" s="1871">
        <f>'9-A.Training Sub-Annex'!H32</f>
        <v>0</v>
      </c>
      <c r="I68" s="1871">
        <f>'9-A.Training Sub-Annex'!I32</f>
        <v>0</v>
      </c>
      <c r="J68" s="1871">
        <f>'9-A.Training Sub-Annex'!J32</f>
        <v>0</v>
      </c>
      <c r="K68" s="1871">
        <f>'9-A.Training Sub-Annex'!K32</f>
        <v>0</v>
      </c>
      <c r="L68" s="962">
        <f>'9-A.Training Sub-Annex'!L32</f>
        <v>0</v>
      </c>
      <c r="M68" s="1871">
        <f>'9-A.Training Sub-Annex'!M32</f>
        <v>0</v>
      </c>
      <c r="N68" s="1871">
        <f>'9-A.Training Sub-Annex'!N32</f>
        <v>0</v>
      </c>
      <c r="O68" s="962">
        <f>'9-A.Training Sub-Annex'!O32</f>
        <v>0</v>
      </c>
      <c r="P68" s="1869">
        <f>'9-A.Training Sub-Annex'!P32</f>
        <v>0</v>
      </c>
      <c r="Q68" s="2739" t="s">
        <v>5521</v>
      </c>
      <c r="R68" s="2729">
        <v>0</v>
      </c>
    </row>
    <row r="69" spans="1:18" s="861" customFormat="1">
      <c r="A69" s="4069"/>
      <c r="B69" s="1869" t="str">
        <f>'9-A.Training Sub-Annex'!B33</f>
        <v>A.9.3.2.2</v>
      </c>
      <c r="C69" s="1870" t="str">
        <f>'9-A.Training Sub-Annex'!C33</f>
        <v>TOT for EmOC</v>
      </c>
      <c r="D69" s="1871" t="str">
        <f>'9-A.Training Sub-Annex'!D33</f>
        <v>RCH</v>
      </c>
      <c r="E69" s="1871" t="str">
        <f>'9-A.Training Sub-Annex'!E33</f>
        <v>MH</v>
      </c>
      <c r="F69" s="1871">
        <f>'9-A.Training Sub-Annex'!F33</f>
        <v>0</v>
      </c>
      <c r="G69" s="1871">
        <f>'9-A.Training Sub-Annex'!G33</f>
        <v>0</v>
      </c>
      <c r="H69" s="1871">
        <f>'9-A.Training Sub-Annex'!H33</f>
        <v>0</v>
      </c>
      <c r="I69" s="1871">
        <f>'9-A.Training Sub-Annex'!I33</f>
        <v>0</v>
      </c>
      <c r="J69" s="1871">
        <f>'9-A.Training Sub-Annex'!J33</f>
        <v>0</v>
      </c>
      <c r="K69" s="1871">
        <f>'9-A.Training Sub-Annex'!K33</f>
        <v>0</v>
      </c>
      <c r="L69" s="962">
        <f>'9-A.Training Sub-Annex'!L33</f>
        <v>0</v>
      </c>
      <c r="M69" s="1871">
        <f>'9-A.Training Sub-Annex'!M33</f>
        <v>0</v>
      </c>
      <c r="N69" s="1871">
        <f>'9-A.Training Sub-Annex'!N33</f>
        <v>0</v>
      </c>
      <c r="O69" s="962">
        <f>'9-A.Training Sub-Annex'!O33</f>
        <v>0</v>
      </c>
      <c r="P69" s="1869">
        <f>'9-A.Training Sub-Annex'!P33</f>
        <v>0</v>
      </c>
      <c r="Q69" s="2739" t="s">
        <v>5521</v>
      </c>
      <c r="R69" s="2729">
        <v>0</v>
      </c>
    </row>
    <row r="70" spans="1:18" s="861" customFormat="1">
      <c r="A70" s="4069"/>
      <c r="B70" s="1869" t="str">
        <f>'9-A.Training Sub-Annex'!B34</f>
        <v>A.9.3.2.3</v>
      </c>
      <c r="C70" s="1870" t="str">
        <f>'9-A.Training Sub-Annex'!C34</f>
        <v>Training of Medical Officers in EmOC</v>
      </c>
      <c r="D70" s="1871" t="str">
        <f>'9-A.Training Sub-Annex'!D34</f>
        <v>RCH</v>
      </c>
      <c r="E70" s="1871" t="str">
        <f>'9-A.Training Sub-Annex'!E34</f>
        <v>MH</v>
      </c>
      <c r="F70" s="1871">
        <f>'9-A.Training Sub-Annex'!F34</f>
        <v>0</v>
      </c>
      <c r="G70" s="1871">
        <f>'9-A.Training Sub-Annex'!G34</f>
        <v>0</v>
      </c>
      <c r="H70" s="1871">
        <f>'9-A.Training Sub-Annex'!H34</f>
        <v>0</v>
      </c>
      <c r="I70" s="1871">
        <f>'9-A.Training Sub-Annex'!I34</f>
        <v>0</v>
      </c>
      <c r="J70" s="1871">
        <f>'9-A.Training Sub-Annex'!J34</f>
        <v>0</v>
      </c>
      <c r="K70" s="1871">
        <f>'9-A.Training Sub-Annex'!K34</f>
        <v>0</v>
      </c>
      <c r="L70" s="962">
        <f>'9-A.Training Sub-Annex'!L34</f>
        <v>0</v>
      </c>
      <c r="M70" s="1871">
        <f>'9-A.Training Sub-Annex'!M34</f>
        <v>0</v>
      </c>
      <c r="N70" s="1871">
        <f>'9-A.Training Sub-Annex'!N34</f>
        <v>0</v>
      </c>
      <c r="O70" s="962">
        <f>'9-A.Training Sub-Annex'!O34</f>
        <v>0</v>
      </c>
      <c r="P70" s="1869">
        <f>'9-A.Training Sub-Annex'!P34</f>
        <v>0</v>
      </c>
      <c r="Q70" s="2739" t="s">
        <v>5521</v>
      </c>
      <c r="R70" s="2729">
        <v>0</v>
      </c>
    </row>
    <row r="71" spans="1:18" s="861" customFormat="1">
      <c r="A71" s="4069"/>
      <c r="B71" s="1869" t="str">
        <f>'9-A.Training Sub-Annex'!B35</f>
        <v>A.9.3.3.2</v>
      </c>
      <c r="C71" s="1870" t="str">
        <f>'9-A.Training Sub-Annex'!C35</f>
        <v>TOT for Anaesthesia skills training</v>
      </c>
      <c r="D71" s="1871" t="str">
        <f>'9-A.Training Sub-Annex'!D35</f>
        <v>RCH</v>
      </c>
      <c r="E71" s="1871" t="str">
        <f>'9-A.Training Sub-Annex'!E35</f>
        <v>MH</v>
      </c>
      <c r="F71" s="1871">
        <f>'9-A.Training Sub-Annex'!F35</f>
        <v>0</v>
      </c>
      <c r="G71" s="1871">
        <f>'9-A.Training Sub-Annex'!G35</f>
        <v>0</v>
      </c>
      <c r="H71" s="1871">
        <f>'9-A.Training Sub-Annex'!H35</f>
        <v>0</v>
      </c>
      <c r="I71" s="1871">
        <f>'9-A.Training Sub-Annex'!I35</f>
        <v>0</v>
      </c>
      <c r="J71" s="1871">
        <f>'9-A.Training Sub-Annex'!J35</f>
        <v>0</v>
      </c>
      <c r="K71" s="1871">
        <f>'9-A.Training Sub-Annex'!K35</f>
        <v>0</v>
      </c>
      <c r="L71" s="962">
        <f>'9-A.Training Sub-Annex'!L35</f>
        <v>0</v>
      </c>
      <c r="M71" s="1871">
        <f>'9-A.Training Sub-Annex'!M35</f>
        <v>0</v>
      </c>
      <c r="N71" s="1871">
        <f>'9-A.Training Sub-Annex'!N35</f>
        <v>0</v>
      </c>
      <c r="O71" s="962">
        <f>'9-A.Training Sub-Annex'!O35</f>
        <v>0</v>
      </c>
      <c r="P71" s="1869">
        <f>'9-A.Training Sub-Annex'!P35</f>
        <v>0</v>
      </c>
      <c r="Q71" s="2739" t="s">
        <v>5521</v>
      </c>
      <c r="R71" s="2729">
        <v>0</v>
      </c>
    </row>
    <row r="72" spans="1:18" s="861" customFormat="1">
      <c r="A72" s="4069"/>
      <c r="B72" s="1869" t="str">
        <f>'9-A.Training Sub-Annex'!B36</f>
        <v>A.9.3.3.3</v>
      </c>
      <c r="C72" s="1870" t="str">
        <f>'9-A.Training Sub-Annex'!C36</f>
        <v>Training of Medical Officers in life saving Anaesthesia skills</v>
      </c>
      <c r="D72" s="1871" t="str">
        <f>'9-A.Training Sub-Annex'!D36</f>
        <v>RCH</v>
      </c>
      <c r="E72" s="1871" t="str">
        <f>'9-A.Training Sub-Annex'!E36</f>
        <v>MH</v>
      </c>
      <c r="F72" s="1871">
        <f>'9-A.Training Sub-Annex'!F36</f>
        <v>0</v>
      </c>
      <c r="G72" s="1871">
        <f>'9-A.Training Sub-Annex'!G36</f>
        <v>0</v>
      </c>
      <c r="H72" s="1871">
        <f>'9-A.Training Sub-Annex'!H36</f>
        <v>0</v>
      </c>
      <c r="I72" s="1871">
        <f>'9-A.Training Sub-Annex'!I36</f>
        <v>0</v>
      </c>
      <c r="J72" s="1871">
        <f>'9-A.Training Sub-Annex'!J36</f>
        <v>0</v>
      </c>
      <c r="K72" s="1871">
        <f>'9-A.Training Sub-Annex'!K36</f>
        <v>0</v>
      </c>
      <c r="L72" s="962">
        <f>'9-A.Training Sub-Annex'!L36</f>
        <v>0</v>
      </c>
      <c r="M72" s="1871">
        <f>'9-A.Training Sub-Annex'!M36</f>
        <v>0</v>
      </c>
      <c r="N72" s="1871">
        <f>'9-A.Training Sub-Annex'!N36</f>
        <v>0</v>
      </c>
      <c r="O72" s="962">
        <f>'9-A.Training Sub-Annex'!O36</f>
        <v>0</v>
      </c>
      <c r="P72" s="1869">
        <f>'9-A.Training Sub-Annex'!P36</f>
        <v>0</v>
      </c>
      <c r="Q72" s="2739" t="s">
        <v>5521</v>
      </c>
      <c r="R72" s="2729">
        <v>0</v>
      </c>
    </row>
    <row r="73" spans="1:18" s="861" customFormat="1" ht="30">
      <c r="A73" s="4069"/>
      <c r="B73" s="1869" t="str">
        <f>'9-A.Training Sub-Annex'!B37</f>
        <v>A.9.3.4.1</v>
      </c>
      <c r="C73" s="1870" t="str">
        <f>'9-A.Training Sub-Annex'!C37</f>
        <v>TOT on safe abortion services</v>
      </c>
      <c r="D73" s="1871" t="str">
        <f>'9-A.Training Sub-Annex'!D37</f>
        <v>RCH</v>
      </c>
      <c r="E73" s="1871" t="str">
        <f>'9-A.Training Sub-Annex'!E37</f>
        <v>MH</v>
      </c>
      <c r="F73" s="1871">
        <f>'9-A.Training Sub-Annex'!F37</f>
        <v>0</v>
      </c>
      <c r="G73" s="1871">
        <f>'9-A.Training Sub-Annex'!G37</f>
        <v>0</v>
      </c>
      <c r="H73" s="1871">
        <f>'9-A.Training Sub-Annex'!H37</f>
        <v>0</v>
      </c>
      <c r="I73" s="1871">
        <f>'9-A.Training Sub-Annex'!I37</f>
        <v>0</v>
      </c>
      <c r="J73" s="1871">
        <f>'9-A.Training Sub-Annex'!J37</f>
        <v>0</v>
      </c>
      <c r="K73" s="1871">
        <f>'9-A.Training Sub-Annex'!K37</f>
        <v>0</v>
      </c>
      <c r="L73" s="962">
        <f>'9-A.Training Sub-Annex'!L37</f>
        <v>0</v>
      </c>
      <c r="M73" s="1871">
        <f>'9-A.Training Sub-Annex'!M37</f>
        <v>0</v>
      </c>
      <c r="N73" s="1871">
        <f>'9-A.Training Sub-Annex'!N37</f>
        <v>0</v>
      </c>
      <c r="O73" s="962">
        <f>'9-A.Training Sub-Annex'!O37</f>
        <v>0</v>
      </c>
      <c r="P73" s="1869">
        <f>'9-A.Training Sub-Annex'!P37</f>
        <v>0</v>
      </c>
      <c r="Q73" s="2018" t="s">
        <v>5542</v>
      </c>
      <c r="R73" s="2729">
        <v>0</v>
      </c>
    </row>
    <row r="74" spans="1:18" s="861" customFormat="1" ht="105">
      <c r="A74" s="4069"/>
      <c r="B74" s="1869" t="str">
        <f>'9-A.Training Sub-Annex'!B38</f>
        <v>A.9.3.4.2, A.1.1</v>
      </c>
      <c r="C74" s="1870" t="str">
        <f>'9-A.Training Sub-Annex'!C38</f>
        <v>Training of Medical Officers in safe abortion</v>
      </c>
      <c r="D74" s="1871" t="str">
        <f>'9-A.Training Sub-Annex'!D38</f>
        <v>RCH</v>
      </c>
      <c r="E74" s="1871" t="str">
        <f>'9-A.Training Sub-Annex'!E38</f>
        <v>MH</v>
      </c>
      <c r="F74" s="1871">
        <f>'9-A.Training Sub-Annex'!F38</f>
        <v>0</v>
      </c>
      <c r="G74" s="1871">
        <f>'9-A.Training Sub-Annex'!G38</f>
        <v>0</v>
      </c>
      <c r="H74" s="1871">
        <f>'9-A.Training Sub-Annex'!H38</f>
        <v>0</v>
      </c>
      <c r="I74" s="1871">
        <f>'9-A.Training Sub-Annex'!I38</f>
        <v>0</v>
      </c>
      <c r="J74" s="1871">
        <f>'9-A.Training Sub-Annex'!J38</f>
        <v>0</v>
      </c>
      <c r="K74" s="1871">
        <f>'9-A.Training Sub-Annex'!K38</f>
        <v>0</v>
      </c>
      <c r="L74" s="962">
        <f>'9-A.Training Sub-Annex'!L38</f>
        <v>126615</v>
      </c>
      <c r="M74" s="1871">
        <f>'9-A.Training Sub-Annex'!M38</f>
        <v>1.2661500000000001</v>
      </c>
      <c r="N74" s="1871">
        <f>'9-A.Training Sub-Annex'!N38</f>
        <v>10</v>
      </c>
      <c r="O74" s="962">
        <f>'9-A.Training Sub-Annex'!O38</f>
        <v>12.6615</v>
      </c>
      <c r="P74" s="1869" t="str">
        <f>'9-A.Training Sub-Annex'!P38</f>
        <v>We can train 3 MOs in a batch. We have proposed 30 MOs of non-FRU CHC/CH initially as Gynaecologists are available at FRUs. Funds for one batch is Rs.126615. Therefore, the amount proposed is Rs.126615 x 10 batches = 12.66 lac.</v>
      </c>
      <c r="Q74" s="2018" t="s">
        <v>5543</v>
      </c>
      <c r="R74" s="2728">
        <f>10*126615/100000</f>
        <v>12.6615</v>
      </c>
    </row>
    <row r="75" spans="1:18" s="861" customFormat="1">
      <c r="A75" s="4069"/>
      <c r="B75" s="1869" t="str">
        <f>'9-A.Training Sub-Annex'!B39</f>
        <v>A.9.3.5.1</v>
      </c>
      <c r="C75" s="1870" t="str">
        <f>'9-A.Training Sub-Annex'!C39</f>
        <v>TOT for RTI/STI training</v>
      </c>
      <c r="D75" s="1871" t="str">
        <f>'9-A.Training Sub-Annex'!D39</f>
        <v>RCH</v>
      </c>
      <c r="E75" s="1871" t="str">
        <f>'9-A.Training Sub-Annex'!E39</f>
        <v>MH</v>
      </c>
      <c r="F75" s="1871">
        <f>'9-A.Training Sub-Annex'!F39</f>
        <v>0</v>
      </c>
      <c r="G75" s="1871">
        <f>'9-A.Training Sub-Annex'!G39</f>
        <v>0</v>
      </c>
      <c r="H75" s="1871">
        <f>'9-A.Training Sub-Annex'!H39</f>
        <v>0</v>
      </c>
      <c r="I75" s="1871">
        <f>'9-A.Training Sub-Annex'!I39</f>
        <v>0</v>
      </c>
      <c r="J75" s="1871">
        <f>'9-A.Training Sub-Annex'!J39</f>
        <v>0</v>
      </c>
      <c r="K75" s="1871">
        <f>'9-A.Training Sub-Annex'!K39</f>
        <v>0</v>
      </c>
      <c r="L75" s="962">
        <f>'9-A.Training Sub-Annex'!L39</f>
        <v>0</v>
      </c>
      <c r="M75" s="1871">
        <f>'9-A.Training Sub-Annex'!M39</f>
        <v>0</v>
      </c>
      <c r="N75" s="1871">
        <f>'9-A.Training Sub-Annex'!N39</f>
        <v>0</v>
      </c>
      <c r="O75" s="962">
        <f>'9-A.Training Sub-Annex'!O39</f>
        <v>0</v>
      </c>
      <c r="P75" s="1869">
        <f>'9-A.Training Sub-Annex'!P39</f>
        <v>0</v>
      </c>
      <c r="Q75" s="2739" t="s">
        <v>5521</v>
      </c>
      <c r="R75" s="2729">
        <v>0</v>
      </c>
    </row>
    <row r="76" spans="1:18" s="861" customFormat="1">
      <c r="A76" s="4069"/>
      <c r="B76" s="1869" t="str">
        <f>'9-A.Training Sub-Annex'!B40</f>
        <v>A.9.3.5.2</v>
      </c>
      <c r="C76" s="1870" t="str">
        <f>'9-A.Training Sub-Annex'!C40</f>
        <v>Training of laboratory technicians in RTI/STI</v>
      </c>
      <c r="D76" s="1871" t="str">
        <f>'9-A.Training Sub-Annex'!D40</f>
        <v>RCH</v>
      </c>
      <c r="E76" s="1871" t="str">
        <f>'9-A.Training Sub-Annex'!E40</f>
        <v>MH</v>
      </c>
      <c r="F76" s="1871">
        <f>'9-A.Training Sub-Annex'!F40</f>
        <v>0</v>
      </c>
      <c r="G76" s="1871">
        <f>'9-A.Training Sub-Annex'!G40</f>
        <v>0</v>
      </c>
      <c r="H76" s="1871">
        <f>'9-A.Training Sub-Annex'!H40</f>
        <v>0</v>
      </c>
      <c r="I76" s="1871">
        <f>'9-A.Training Sub-Annex'!I40</f>
        <v>0</v>
      </c>
      <c r="J76" s="1871">
        <f>'9-A.Training Sub-Annex'!J40</f>
        <v>0</v>
      </c>
      <c r="K76" s="1871">
        <f>'9-A.Training Sub-Annex'!K40</f>
        <v>0</v>
      </c>
      <c r="L76" s="962">
        <f>'9-A.Training Sub-Annex'!L40</f>
        <v>0</v>
      </c>
      <c r="M76" s="1871">
        <f>'9-A.Training Sub-Annex'!M40</f>
        <v>0</v>
      </c>
      <c r="N76" s="1871">
        <f>'9-A.Training Sub-Annex'!N40</f>
        <v>0</v>
      </c>
      <c r="O76" s="962">
        <f>'9-A.Training Sub-Annex'!O40</f>
        <v>0</v>
      </c>
      <c r="P76" s="1869">
        <f>'9-A.Training Sub-Annex'!P40</f>
        <v>0</v>
      </c>
      <c r="Q76" s="2739" t="s">
        <v>5521</v>
      </c>
      <c r="R76" s="2729">
        <v>0</v>
      </c>
    </row>
    <row r="77" spans="1:18" s="861" customFormat="1">
      <c r="A77" s="4069"/>
      <c r="B77" s="1869">
        <f>'9-A.Training Sub-Annex'!B41</f>
        <v>0</v>
      </c>
      <c r="C77" s="1870" t="str">
        <f>'9-A.Training Sub-Annex'!C41</f>
        <v>Training of ANM/staff nurses in RTI/STI</v>
      </c>
      <c r="D77" s="1871" t="str">
        <f>'9-A.Training Sub-Annex'!D41</f>
        <v>RCH</v>
      </c>
      <c r="E77" s="1871" t="str">
        <f>'9-A.Training Sub-Annex'!E41</f>
        <v>MH</v>
      </c>
      <c r="F77" s="1871">
        <f>'9-A.Training Sub-Annex'!F41</f>
        <v>0</v>
      </c>
      <c r="G77" s="1871">
        <f>'9-A.Training Sub-Annex'!G41</f>
        <v>0</v>
      </c>
      <c r="H77" s="1871">
        <f>'9-A.Training Sub-Annex'!H41</f>
        <v>0</v>
      </c>
      <c r="I77" s="1871">
        <f>'9-A.Training Sub-Annex'!I41</f>
        <v>0</v>
      </c>
      <c r="J77" s="1871">
        <f>'9-A.Training Sub-Annex'!J41</f>
        <v>0</v>
      </c>
      <c r="K77" s="1871">
        <f>'9-A.Training Sub-Annex'!K41</f>
        <v>0</v>
      </c>
      <c r="L77" s="962">
        <f>'9-A.Training Sub-Annex'!L41</f>
        <v>0</v>
      </c>
      <c r="M77" s="1871">
        <f>'9-A.Training Sub-Annex'!M41</f>
        <v>0</v>
      </c>
      <c r="N77" s="1871">
        <f>'9-A.Training Sub-Annex'!N41</f>
        <v>0</v>
      </c>
      <c r="O77" s="962">
        <f>'9-A.Training Sub-Annex'!O41</f>
        <v>0</v>
      </c>
      <c r="P77" s="1869">
        <f>'9-A.Training Sub-Annex'!P41</f>
        <v>0</v>
      </c>
      <c r="Q77" s="2739" t="s">
        <v>5521</v>
      </c>
      <c r="R77" s="2729">
        <v>0</v>
      </c>
    </row>
    <row r="78" spans="1:18" s="861" customFormat="1">
      <c r="A78" s="4069"/>
      <c r="B78" s="1869" t="str">
        <f>'9-A.Training Sub-Annex'!B42</f>
        <v>A.9.3.5.3</v>
      </c>
      <c r="C78" s="1870" t="str">
        <f>'9-A.Training Sub-Annex'!C42</f>
        <v>Training of Medical Officers in RTI/STI</v>
      </c>
      <c r="D78" s="1871" t="str">
        <f>'9-A.Training Sub-Annex'!D42</f>
        <v>RCH</v>
      </c>
      <c r="E78" s="1871" t="str">
        <f>'9-A.Training Sub-Annex'!E42</f>
        <v>MH</v>
      </c>
      <c r="F78" s="1871">
        <f>'9-A.Training Sub-Annex'!F42</f>
        <v>0</v>
      </c>
      <c r="G78" s="1871">
        <f>'9-A.Training Sub-Annex'!G42</f>
        <v>0</v>
      </c>
      <c r="H78" s="1871">
        <f>'9-A.Training Sub-Annex'!H42</f>
        <v>0</v>
      </c>
      <c r="I78" s="1871">
        <f>'9-A.Training Sub-Annex'!I42</f>
        <v>0</v>
      </c>
      <c r="J78" s="1871">
        <f>'9-A.Training Sub-Annex'!J42</f>
        <v>0</v>
      </c>
      <c r="K78" s="1871">
        <f>'9-A.Training Sub-Annex'!K42</f>
        <v>0</v>
      </c>
      <c r="L78" s="962">
        <f>'9-A.Training Sub-Annex'!L42</f>
        <v>0</v>
      </c>
      <c r="M78" s="1871">
        <f>'9-A.Training Sub-Annex'!M42</f>
        <v>0</v>
      </c>
      <c r="N78" s="1871">
        <f>'9-A.Training Sub-Annex'!N42</f>
        <v>0</v>
      </c>
      <c r="O78" s="962">
        <f>'9-A.Training Sub-Annex'!O42</f>
        <v>0</v>
      </c>
      <c r="P78" s="1869">
        <f>'9-A.Training Sub-Annex'!P42</f>
        <v>0</v>
      </c>
      <c r="Q78" s="2739" t="s">
        <v>5521</v>
      </c>
      <c r="R78" s="2729">
        <v>0</v>
      </c>
    </row>
    <row r="79" spans="1:18" s="861" customFormat="1">
      <c r="A79" s="4069"/>
      <c r="B79" s="1869" t="str">
        <f>'9-A.Training Sub-Annex'!B43</f>
        <v>A.9.3.6.1</v>
      </c>
      <c r="C79" s="1870" t="str">
        <f>'9-A.Training Sub-Annex'!C43</f>
        <v>TOT for BEmOC training</v>
      </c>
      <c r="D79" s="1871" t="str">
        <f>'9-A.Training Sub-Annex'!D43</f>
        <v>RCH</v>
      </c>
      <c r="E79" s="1871" t="str">
        <f>'9-A.Training Sub-Annex'!E43</f>
        <v>MH</v>
      </c>
      <c r="F79" s="1871">
        <f>'9-A.Training Sub-Annex'!F43</f>
        <v>0</v>
      </c>
      <c r="G79" s="1871">
        <f>'9-A.Training Sub-Annex'!G43</f>
        <v>0</v>
      </c>
      <c r="H79" s="1871">
        <f>'9-A.Training Sub-Annex'!H43</f>
        <v>0</v>
      </c>
      <c r="I79" s="1871">
        <f>'9-A.Training Sub-Annex'!I43</f>
        <v>0</v>
      </c>
      <c r="J79" s="1871">
        <f>'9-A.Training Sub-Annex'!J43</f>
        <v>0</v>
      </c>
      <c r="K79" s="1871">
        <f>'9-A.Training Sub-Annex'!K43</f>
        <v>0</v>
      </c>
      <c r="L79" s="962">
        <f>'9-A.Training Sub-Annex'!L43</f>
        <v>0</v>
      </c>
      <c r="M79" s="1871">
        <f>'9-A.Training Sub-Annex'!M43</f>
        <v>0</v>
      </c>
      <c r="N79" s="1871">
        <f>'9-A.Training Sub-Annex'!N43</f>
        <v>0</v>
      </c>
      <c r="O79" s="962">
        <f>'9-A.Training Sub-Annex'!O43</f>
        <v>0</v>
      </c>
      <c r="P79" s="1869">
        <f>'9-A.Training Sub-Annex'!P43</f>
        <v>0</v>
      </c>
      <c r="Q79" s="2739" t="s">
        <v>5521</v>
      </c>
      <c r="R79" s="2729">
        <v>0</v>
      </c>
    </row>
    <row r="80" spans="1:18" s="861" customFormat="1">
      <c r="A80" s="4069"/>
      <c r="B80" s="1869" t="str">
        <f>'9-A.Training Sub-Annex'!B44</f>
        <v>A.9.3.6.2</v>
      </c>
      <c r="C80" s="1870" t="str">
        <f>'9-A.Training Sub-Annex'!C44</f>
        <v>BEmOC training  for MOs/LMOs</v>
      </c>
      <c r="D80" s="1871" t="str">
        <f>'9-A.Training Sub-Annex'!D44</f>
        <v>RCH</v>
      </c>
      <c r="E80" s="1871" t="str">
        <f>'9-A.Training Sub-Annex'!E44</f>
        <v>MH</v>
      </c>
      <c r="F80" s="1871">
        <f>'9-A.Training Sub-Annex'!F44</f>
        <v>0</v>
      </c>
      <c r="G80" s="1871">
        <f>'9-A.Training Sub-Annex'!G44</f>
        <v>0</v>
      </c>
      <c r="H80" s="1871">
        <f>'9-A.Training Sub-Annex'!H44</f>
        <v>0</v>
      </c>
      <c r="I80" s="1871">
        <f>'9-A.Training Sub-Annex'!I44</f>
        <v>0</v>
      </c>
      <c r="J80" s="1871">
        <f>'9-A.Training Sub-Annex'!J44</f>
        <v>0</v>
      </c>
      <c r="K80" s="1871">
        <f>'9-A.Training Sub-Annex'!K44</f>
        <v>0</v>
      </c>
      <c r="L80" s="962">
        <f>'9-A.Training Sub-Annex'!L44</f>
        <v>0</v>
      </c>
      <c r="M80" s="1871">
        <f>'9-A.Training Sub-Annex'!M44</f>
        <v>0</v>
      </c>
      <c r="N80" s="1871">
        <f>'9-A.Training Sub-Annex'!N44</f>
        <v>0</v>
      </c>
      <c r="O80" s="962">
        <f>'9-A.Training Sub-Annex'!O44</f>
        <v>0</v>
      </c>
      <c r="P80" s="1869">
        <f>'9-A.Training Sub-Annex'!P44</f>
        <v>0</v>
      </c>
      <c r="Q80" s="2739" t="s">
        <v>5521</v>
      </c>
      <c r="R80" s="2729">
        <v>0</v>
      </c>
    </row>
    <row r="81" spans="1:18" s="861" customFormat="1">
      <c r="A81" s="4069"/>
      <c r="B81" s="1869">
        <f>'9-A.Training Sub-Annex'!B45</f>
        <v>0</v>
      </c>
      <c r="C81" s="1870" t="str">
        <f>'9-A.Training Sub-Annex'!C45</f>
        <v>DAKSHTA training</v>
      </c>
      <c r="D81" s="1871" t="str">
        <f>'9-A.Training Sub-Annex'!D45</f>
        <v>RCH</v>
      </c>
      <c r="E81" s="1871" t="str">
        <f>'9-A.Training Sub-Annex'!E45</f>
        <v>MH</v>
      </c>
      <c r="F81" s="1871">
        <f>'9-A.Training Sub-Annex'!F45</f>
        <v>0</v>
      </c>
      <c r="G81" s="1871">
        <f>'9-A.Training Sub-Annex'!G45</f>
        <v>0</v>
      </c>
      <c r="H81" s="1871">
        <f>'9-A.Training Sub-Annex'!H45</f>
        <v>0</v>
      </c>
      <c r="I81" s="1871">
        <f>'9-A.Training Sub-Annex'!I45</f>
        <v>0</v>
      </c>
      <c r="J81" s="1871">
        <f>'9-A.Training Sub-Annex'!J45</f>
        <v>0</v>
      </c>
      <c r="K81" s="1871">
        <f>'9-A.Training Sub-Annex'!K45</f>
        <v>0</v>
      </c>
      <c r="L81" s="962">
        <f>'9-A.Training Sub-Annex'!L45</f>
        <v>0</v>
      </c>
      <c r="M81" s="1871">
        <f>'9-A.Training Sub-Annex'!M45</f>
        <v>0</v>
      </c>
      <c r="N81" s="1871">
        <f>'9-A.Training Sub-Annex'!N45</f>
        <v>0</v>
      </c>
      <c r="O81" s="962">
        <f>'9-A.Training Sub-Annex'!O45</f>
        <v>0</v>
      </c>
      <c r="P81" s="1869">
        <f>'9-A.Training Sub-Annex'!P45</f>
        <v>0</v>
      </c>
      <c r="Q81" s="2739" t="s">
        <v>5521</v>
      </c>
      <c r="R81" s="2729">
        <v>0</v>
      </c>
    </row>
    <row r="82" spans="1:18" s="861" customFormat="1">
      <c r="A82" s="4069"/>
      <c r="B82" s="1869">
        <f>'9-A.Training Sub-Annex'!B46</f>
        <v>0</v>
      </c>
      <c r="C82" s="1870" t="str">
        <f>'9-A.Training Sub-Annex'!C46</f>
        <v>TOT for Dakshta</v>
      </c>
      <c r="D82" s="1871" t="str">
        <f>'9-A.Training Sub-Annex'!D46</f>
        <v>RCH</v>
      </c>
      <c r="E82" s="1871" t="str">
        <f>'9-A.Training Sub-Annex'!E46</f>
        <v>MH</v>
      </c>
      <c r="F82" s="1871">
        <f>'9-A.Training Sub-Annex'!F46</f>
        <v>0</v>
      </c>
      <c r="G82" s="1871">
        <f>'9-A.Training Sub-Annex'!G46</f>
        <v>0</v>
      </c>
      <c r="H82" s="1871">
        <f>'9-A.Training Sub-Annex'!H46</f>
        <v>0</v>
      </c>
      <c r="I82" s="1871">
        <f>'9-A.Training Sub-Annex'!I46</f>
        <v>0</v>
      </c>
      <c r="J82" s="1871">
        <f>'9-A.Training Sub-Annex'!J46</f>
        <v>0</v>
      </c>
      <c r="K82" s="1871">
        <f>'9-A.Training Sub-Annex'!K46</f>
        <v>0</v>
      </c>
      <c r="L82" s="962">
        <f>'9-A.Training Sub-Annex'!L46</f>
        <v>0</v>
      </c>
      <c r="M82" s="1871">
        <f>'9-A.Training Sub-Annex'!M46</f>
        <v>0</v>
      </c>
      <c r="N82" s="1871">
        <f>'9-A.Training Sub-Annex'!N46</f>
        <v>0</v>
      </c>
      <c r="O82" s="962">
        <f>'9-A.Training Sub-Annex'!O46</f>
        <v>0</v>
      </c>
      <c r="P82" s="1869">
        <f>'9-A.Training Sub-Annex'!P46</f>
        <v>0</v>
      </c>
      <c r="Q82" s="2739" t="s">
        <v>5521</v>
      </c>
      <c r="R82" s="2729">
        <v>0</v>
      </c>
    </row>
    <row r="83" spans="1:18" s="861" customFormat="1">
      <c r="A83" s="4069"/>
      <c r="B83" s="1869">
        <f>'9-A.Training Sub-Annex'!B47</f>
        <v>0</v>
      </c>
      <c r="C83" s="1870" t="str">
        <f>'9-A.Training Sub-Annex'!C47</f>
        <v>Onsite Mentoring for DAKSHATA</v>
      </c>
      <c r="D83" s="1871" t="str">
        <f>'9-A.Training Sub-Annex'!D47</f>
        <v>RCH</v>
      </c>
      <c r="E83" s="1871" t="str">
        <f>'9-A.Training Sub-Annex'!E47</f>
        <v>MH</v>
      </c>
      <c r="F83" s="1871">
        <f>'9-A.Training Sub-Annex'!F47</f>
        <v>264</v>
      </c>
      <c r="G83" s="1871">
        <f>'9-A.Training Sub-Annex'!G47</f>
        <v>0</v>
      </c>
      <c r="H83" s="1871">
        <f>'9-A.Training Sub-Annex'!H47</f>
        <v>5.28</v>
      </c>
      <c r="I83" s="1871">
        <f>'9-A.Training Sub-Annex'!I47</f>
        <v>0</v>
      </c>
      <c r="J83" s="1871">
        <f>'9-A.Training Sub-Annex'!J47</f>
        <v>0</v>
      </c>
      <c r="K83" s="1871">
        <f>'9-A.Training Sub-Annex'!K47</f>
        <v>0</v>
      </c>
      <c r="L83" s="962">
        <f>'9-A.Training Sub-Annex'!L47</f>
        <v>0</v>
      </c>
      <c r="M83" s="1871">
        <f>'9-A.Training Sub-Annex'!M47</f>
        <v>0</v>
      </c>
      <c r="N83" s="1871">
        <f>'9-A.Training Sub-Annex'!N47</f>
        <v>0</v>
      </c>
      <c r="O83" s="962">
        <f>'9-A.Training Sub-Annex'!O47</f>
        <v>0</v>
      </c>
      <c r="P83" s="1869">
        <f>'9-A.Training Sub-Annex'!P47</f>
        <v>0</v>
      </c>
      <c r="Q83" s="2739" t="s">
        <v>5521</v>
      </c>
      <c r="R83" s="2729">
        <v>0</v>
      </c>
    </row>
    <row r="84" spans="1:18" s="861" customFormat="1" ht="90">
      <c r="A84" s="4069"/>
      <c r="B84" s="1869">
        <f>'9-A.Training Sub-Annex'!B48</f>
        <v>0</v>
      </c>
      <c r="C84" s="1870" t="str">
        <f>'9-A.Training Sub-Annex'!C48</f>
        <v>LaQshya trainings/workshops</v>
      </c>
      <c r="D84" s="1871" t="str">
        <f>'9-A.Training Sub-Annex'!D48</f>
        <v>RCH</v>
      </c>
      <c r="E84" s="1871" t="str">
        <f>'9-A.Training Sub-Annex'!E48</f>
        <v>MH</v>
      </c>
      <c r="F84" s="1871">
        <f>'9-A.Training Sub-Annex'!F48</f>
        <v>5</v>
      </c>
      <c r="G84" s="1871">
        <f>'9-A.Training Sub-Annex'!G48</f>
        <v>0</v>
      </c>
      <c r="H84" s="1871">
        <f>'9-A.Training Sub-Annex'!H48</f>
        <v>4.88</v>
      </c>
      <c r="I84" s="1871" t="str">
        <f>'9-A.Training Sub-Annex'!I48</f>
        <v>Due to COVID, no training could be conducted</v>
      </c>
      <c r="J84" s="1871">
        <f>'9-A.Training Sub-Annex'!J48</f>
        <v>0</v>
      </c>
      <c r="K84" s="1871">
        <f>'9-A.Training Sub-Annex'!K48</f>
        <v>0</v>
      </c>
      <c r="L84" s="962">
        <f>'9-A.Training Sub-Annex'!L48</f>
        <v>97520</v>
      </c>
      <c r="M84" s="1871">
        <f>'9-A.Training Sub-Annex'!M48</f>
        <v>0.97519999999999996</v>
      </c>
      <c r="N84" s="1871">
        <f>'9-A.Training Sub-Annex'!N48</f>
        <v>5</v>
      </c>
      <c r="O84" s="962">
        <f>'9-A.Training Sub-Annex'!O48</f>
        <v>4.8759999999999994</v>
      </c>
      <c r="P84" s="1869" t="str">
        <f>'9-A.Training Sub-Annex'!P48</f>
        <v>For laQshya orientation on improving the quality of services at LR and OT in LaQshya facilities. The funds for one batch is Rs.97520. Therefore, the amount proposed is Rs. 97520 x 5 batches = Rs. 4,88,000</v>
      </c>
      <c r="Q84" s="2018" t="s">
        <v>5544</v>
      </c>
      <c r="R84" s="2765">
        <f>(97520*5)/100000</f>
        <v>4.8760000000000003</v>
      </c>
    </row>
    <row r="85" spans="1:18" s="861" customFormat="1" ht="90">
      <c r="A85" s="4069"/>
      <c r="B85" s="1869">
        <f>'9-A.Training Sub-Annex'!B49</f>
        <v>0</v>
      </c>
      <c r="C85" s="1870" t="str">
        <f>'9-A.Training Sub-Annex'!C49</f>
        <v>Training of MOs/SNs</v>
      </c>
      <c r="D85" s="1871" t="str">
        <f>'9-A.Training Sub-Annex'!D49</f>
        <v>RCH</v>
      </c>
      <c r="E85" s="1871" t="str">
        <f>'9-A.Training Sub-Annex'!E49</f>
        <v>MH</v>
      </c>
      <c r="F85" s="1871">
        <f>'9-A.Training Sub-Annex'!F49</f>
        <v>20</v>
      </c>
      <c r="G85" s="1871">
        <f>'9-A.Training Sub-Annex'!G49</f>
        <v>0</v>
      </c>
      <c r="H85" s="1871">
        <f>'9-A.Training Sub-Annex'!H49</f>
        <v>15.92</v>
      </c>
      <c r="I85" s="1871">
        <f>'9-A.Training Sub-Annex'!I49</f>
        <v>0</v>
      </c>
      <c r="J85" s="1871">
        <f>'9-A.Training Sub-Annex'!J49</f>
        <v>0</v>
      </c>
      <c r="K85" s="1871">
        <f>'9-A.Training Sub-Annex'!K49</f>
        <v>0</v>
      </c>
      <c r="L85" s="962">
        <f>'9-A.Training Sub-Annex'!L49</f>
        <v>79580</v>
      </c>
      <c r="M85" s="1871">
        <f>'9-A.Training Sub-Annex'!M49</f>
        <v>0.79579999999999995</v>
      </c>
      <c r="N85" s="1871">
        <f>'9-A.Training Sub-Annex'!N49</f>
        <v>20</v>
      </c>
      <c r="O85" s="962">
        <f>'9-A.Training Sub-Annex'!O49</f>
        <v>15.915999999999999</v>
      </c>
      <c r="P85" s="1869" t="str">
        <f>'9-A.Training Sub-Annex'!P49</f>
        <v>Dakshata training of MOs/SNs of LaQshya facilities with a batch size of 20 Medical Officers &amp; Staff Nurses. The funds for one batch is Rs.79580. Therefore the amount proposed is Rs.79580 x 20 batches = Rs. 15,91,600</v>
      </c>
      <c r="Q85" s="2018" t="s">
        <v>5545</v>
      </c>
      <c r="R85" s="2728">
        <f>(79580*20)/100000</f>
        <v>15.916</v>
      </c>
    </row>
    <row r="86" spans="1:18" s="861" customFormat="1">
      <c r="A86" s="4069"/>
      <c r="B86" s="1869">
        <f>'9-A.Training Sub-Annex'!B50</f>
        <v>0</v>
      </c>
      <c r="C86" s="1870" t="str">
        <f>'9-A.Training Sub-Annex'!C50</f>
        <v>Onsite mentoring at Delivery Points</v>
      </c>
      <c r="D86" s="1871" t="str">
        <f>'9-A.Training Sub-Annex'!D50</f>
        <v>RCH</v>
      </c>
      <c r="E86" s="1871" t="str">
        <f>'9-A.Training Sub-Annex'!E50</f>
        <v>MH</v>
      </c>
      <c r="F86" s="1871">
        <f>'9-A.Training Sub-Annex'!F50</f>
        <v>0</v>
      </c>
      <c r="G86" s="1871">
        <f>'9-A.Training Sub-Annex'!G50</f>
        <v>0</v>
      </c>
      <c r="H86" s="1871">
        <f>'9-A.Training Sub-Annex'!H50</f>
        <v>0</v>
      </c>
      <c r="I86" s="1871">
        <f>'9-A.Training Sub-Annex'!I50</f>
        <v>0</v>
      </c>
      <c r="J86" s="1871">
        <f>'9-A.Training Sub-Annex'!J50</f>
        <v>0</v>
      </c>
      <c r="K86" s="1871">
        <f>'9-A.Training Sub-Annex'!K50</f>
        <v>0</v>
      </c>
      <c r="L86" s="962">
        <f>'9-A.Training Sub-Annex'!L50</f>
        <v>0</v>
      </c>
      <c r="M86" s="1871">
        <f>'9-A.Training Sub-Annex'!M50</f>
        <v>0</v>
      </c>
      <c r="N86" s="1871">
        <f>'9-A.Training Sub-Annex'!N50</f>
        <v>0</v>
      </c>
      <c r="O86" s="962">
        <f>'9-A.Training Sub-Annex'!O50</f>
        <v>0</v>
      </c>
      <c r="P86" s="1869">
        <f>'9-A.Training Sub-Annex'!P50</f>
        <v>0</v>
      </c>
      <c r="Q86" s="2739" t="s">
        <v>5521</v>
      </c>
      <c r="R86" s="2729">
        <v>0</v>
      </c>
    </row>
    <row r="87" spans="1:18" s="861" customFormat="1" ht="105">
      <c r="A87" s="4069"/>
      <c r="B87" s="1869">
        <f>'9-A.Training Sub-Annex'!B51</f>
        <v>0</v>
      </c>
      <c r="C87" s="1870" t="str">
        <f>'9-A.Training Sub-Annex'!C51</f>
        <v>Travel Cost of State Midwifery Educators: State to National Institute</v>
      </c>
      <c r="D87" s="1871" t="str">
        <f>'9-A.Training Sub-Annex'!D51</f>
        <v>RCH</v>
      </c>
      <c r="E87" s="1871" t="str">
        <f>'9-A.Training Sub-Annex'!E51</f>
        <v>MH</v>
      </c>
      <c r="F87" s="1871">
        <f>'9-A.Training Sub-Annex'!F51</f>
        <v>6</v>
      </c>
      <c r="G87" s="1871">
        <f>'9-A.Training Sub-Annex'!G51</f>
        <v>0</v>
      </c>
      <c r="H87" s="1871">
        <f>'9-A.Training Sub-Annex'!H51</f>
        <v>24.72</v>
      </c>
      <c r="I87" s="1871">
        <f>'9-A.Training Sub-Annex'!I51</f>
        <v>0</v>
      </c>
      <c r="J87" s="1871">
        <f>'9-A.Training Sub-Annex'!J51</f>
        <v>0</v>
      </c>
      <c r="K87" s="1871">
        <f>'9-A.Training Sub-Annex'!K51</f>
        <v>0</v>
      </c>
      <c r="L87" s="962">
        <f>'9-A.Training Sub-Annex'!L51</f>
        <v>412000</v>
      </c>
      <c r="M87" s="1871">
        <f>'9-A.Training Sub-Annex'!M51</f>
        <v>4.12</v>
      </c>
      <c r="N87" s="1871">
        <f>'9-A.Training Sub-Annex'!N51</f>
        <v>6</v>
      </c>
      <c r="O87" s="962">
        <f>'9-A.Training Sub-Annex'!O51</f>
        <v>24.72</v>
      </c>
      <c r="P87" s="1869" t="str">
        <f>'9-A.Training Sub-Annex'!P51</f>
        <v>As discussed in the NPCC the state proposed to establish one Midwifery institution at ALBSGMC, Mandi.</v>
      </c>
      <c r="Q87" s="3134" t="s">
        <v>5939</v>
      </c>
      <c r="R87" s="2728">
        <v>24.72</v>
      </c>
    </row>
    <row r="88" spans="1:18" s="861" customFormat="1">
      <c r="A88" s="4069"/>
      <c r="B88" s="1869">
        <f>'9-A.Training Sub-Annex'!B52</f>
        <v>0</v>
      </c>
      <c r="C88" s="1870" t="str">
        <f>'9-A.Training Sub-Annex'!C52</f>
        <v xml:space="preserve">Training of Nurse Practitioners in Midwifery </v>
      </c>
      <c r="D88" s="1871" t="str">
        <f>'9-A.Training Sub-Annex'!D52</f>
        <v>RCH</v>
      </c>
      <c r="E88" s="1871" t="str">
        <f>'9-A.Training Sub-Annex'!E52</f>
        <v>MH</v>
      </c>
      <c r="F88" s="1871">
        <f>'9-A.Training Sub-Annex'!F52</f>
        <v>30</v>
      </c>
      <c r="G88" s="1871">
        <f>'9-A.Training Sub-Annex'!G52</f>
        <v>0</v>
      </c>
      <c r="H88" s="1871">
        <f>'9-A.Training Sub-Annex'!H52</f>
        <v>60</v>
      </c>
      <c r="I88" s="1871">
        <f>'9-A.Training Sub-Annex'!I52</f>
        <v>0</v>
      </c>
      <c r="J88" s="1871">
        <f>'9-A.Training Sub-Annex'!J52</f>
        <v>0</v>
      </c>
      <c r="K88" s="1871">
        <f>'9-A.Training Sub-Annex'!K52</f>
        <v>0</v>
      </c>
      <c r="L88" s="962">
        <f>'9-A.Training Sub-Annex'!L52</f>
        <v>0</v>
      </c>
      <c r="M88" s="1871">
        <f>'9-A.Training Sub-Annex'!M52</f>
        <v>0</v>
      </c>
      <c r="N88" s="1871">
        <f>'9-A.Training Sub-Annex'!N52</f>
        <v>0</v>
      </c>
      <c r="O88" s="962">
        <f>'9-A.Training Sub-Annex'!O52</f>
        <v>0</v>
      </c>
      <c r="P88" s="1869">
        <f>'9-A.Training Sub-Annex'!P52</f>
        <v>0</v>
      </c>
      <c r="Q88" s="2739" t="s">
        <v>5521</v>
      </c>
      <c r="R88" s="2729">
        <v>0</v>
      </c>
    </row>
    <row r="89" spans="1:18" s="861" customFormat="1">
      <c r="A89" s="4069"/>
      <c r="B89" s="1869" t="str">
        <f>'9-A.Training Sub-Annex'!B53</f>
        <v>A.9.3.7</v>
      </c>
      <c r="C89" s="1870" t="str">
        <f>'9-A.Training Sub-Annex'!C53</f>
        <v>Other maternal health trainings (please specify)</v>
      </c>
      <c r="D89" s="1871" t="str">
        <f>'9-A.Training Sub-Annex'!D53</f>
        <v>RCH</v>
      </c>
      <c r="E89" s="1871" t="str">
        <f>'9-A.Training Sub-Annex'!E53</f>
        <v>MH</v>
      </c>
      <c r="F89" s="1871">
        <f>'9-A.Training Sub-Annex'!F53</f>
        <v>0</v>
      </c>
      <c r="G89" s="1871">
        <f>'9-A.Training Sub-Annex'!G53</f>
        <v>0</v>
      </c>
      <c r="H89" s="1871">
        <f>'9-A.Training Sub-Annex'!H53</f>
        <v>0</v>
      </c>
      <c r="I89" s="1871">
        <f>'9-A.Training Sub-Annex'!I53</f>
        <v>0</v>
      </c>
      <c r="J89" s="1871">
        <f>'9-A.Training Sub-Annex'!J53</f>
        <v>0</v>
      </c>
      <c r="K89" s="1871">
        <f>'9-A.Training Sub-Annex'!K53</f>
        <v>0</v>
      </c>
      <c r="L89" s="962">
        <f>'9-A.Training Sub-Annex'!L53</f>
        <v>0</v>
      </c>
      <c r="M89" s="1871">
        <f>'9-A.Training Sub-Annex'!M53</f>
        <v>0</v>
      </c>
      <c r="N89" s="1871">
        <f>'9-A.Training Sub-Annex'!N53</f>
        <v>0</v>
      </c>
      <c r="O89" s="962">
        <f>'9-A.Training Sub-Annex'!O53</f>
        <v>0</v>
      </c>
      <c r="P89" s="1869">
        <f>'9-A.Training Sub-Annex'!P53</f>
        <v>0</v>
      </c>
      <c r="Q89" s="2739" t="s">
        <v>5521</v>
      </c>
      <c r="R89" s="2729">
        <v>0</v>
      </c>
    </row>
    <row r="90" spans="1:18" s="861" customFormat="1">
      <c r="A90" s="1858">
        <f>'10.Review Research &amp; Surveillen'!A7</f>
        <v>10</v>
      </c>
      <c r="B90" s="1865"/>
      <c r="C90" s="1859" t="str">
        <f>'10.Review Research &amp; Surveillen'!C7</f>
        <v>Reviews, Research, Surveys and Surveillance</v>
      </c>
      <c r="D90" s="1860"/>
      <c r="E90" s="1860"/>
      <c r="F90" s="1860"/>
      <c r="G90" s="1860"/>
      <c r="H90" s="994"/>
      <c r="I90" s="1860"/>
      <c r="J90" s="994"/>
      <c r="K90" s="1860"/>
      <c r="L90" s="994"/>
      <c r="M90" s="994"/>
      <c r="N90" s="1866"/>
      <c r="O90" s="1867">
        <f>SUM(O91)</f>
        <v>2.75</v>
      </c>
      <c r="P90" s="1868"/>
      <c r="Q90" s="1889"/>
      <c r="R90" s="2731">
        <f>SUM(R91)</f>
        <v>2.25</v>
      </c>
    </row>
    <row r="91" spans="1:18" s="861" customFormat="1" ht="150">
      <c r="A91" s="1872" t="str">
        <f>'10.Review Research &amp; Surveillen'!A9</f>
        <v>10.1.1</v>
      </c>
      <c r="B91" s="1872" t="str">
        <f>'10.Review Research &amp; Surveillen'!B9</f>
        <v>A.1.4</v>
      </c>
      <c r="C91" s="1873" t="str">
        <f>'10.Review Research &amp; Surveillen'!C9</f>
        <v>Maternal Death Review (both in institutions and community)</v>
      </c>
      <c r="D91" s="1874" t="str">
        <f>'10.Review Research &amp; Surveillen'!D9</f>
        <v>RCH</v>
      </c>
      <c r="E91" s="1874" t="str">
        <f>'10.Review Research &amp; Surveillen'!E9</f>
        <v>MH</v>
      </c>
      <c r="F91" s="1874">
        <f>'10.Review Research &amp; Surveillen'!F9</f>
        <v>125</v>
      </c>
      <c r="G91" s="1874">
        <f>'10.Review Research &amp; Surveillen'!G9</f>
        <v>0</v>
      </c>
      <c r="H91" s="1874">
        <f>'10.Review Research &amp; Surveillen'!H9</f>
        <v>1.5</v>
      </c>
      <c r="I91" s="1874">
        <f>'10.Review Research &amp; Surveillen'!I9</f>
        <v>0.05</v>
      </c>
      <c r="J91" s="1874">
        <f>'10.Review Research &amp; Surveillen'!J9</f>
        <v>1.45</v>
      </c>
      <c r="K91" s="1874">
        <f>'10.Review Research &amp; Surveillen'!K9</f>
        <v>0</v>
      </c>
      <c r="L91" s="962">
        <f>'10.Review Research &amp; Surveillen'!L9</f>
        <v>2200</v>
      </c>
      <c r="M91" s="1874">
        <f>'10.Review Research &amp; Surveillen'!M9</f>
        <v>2.1999999999999999E-2</v>
      </c>
      <c r="N91" s="1874">
        <f>'10.Review Research &amp; Surveillen'!N9</f>
        <v>125</v>
      </c>
      <c r="O91" s="962">
        <f>'10.Review Research &amp; Surveillen'!O9</f>
        <v>2.75</v>
      </c>
      <c r="P91" s="1872" t="str">
        <f>'10.Review Research &amp; Surveillen'!P9</f>
        <v>1) The state has build funds for 100 Maternal Deaths Review @ Rs.1250 per MDR i.e. Rs.1,25,000. 2) State has build funds for First Responder under SUMAN @ Rs.1000 per death for 150 deaths i.e. Rs. 1,50,000. Total funds proposed = Rs. 2,75,000</v>
      </c>
      <c r="Q91" s="2709" t="s">
        <v>5546</v>
      </c>
      <c r="R91" s="2728">
        <f>(125000+100000)/100000</f>
        <v>2.25</v>
      </c>
    </row>
    <row r="92" spans="1:18" s="861" customFormat="1">
      <c r="A92" s="1858">
        <f>'11.IEC-BCC Annex'!A7</f>
        <v>11</v>
      </c>
      <c r="B92" s="1865"/>
      <c r="C92" s="1859" t="str">
        <f>'11.IEC-BCC Annex'!C7</f>
        <v>IEC/BCC</v>
      </c>
      <c r="D92" s="1860"/>
      <c r="E92" s="1860"/>
      <c r="F92" s="1860"/>
      <c r="G92" s="1860"/>
      <c r="H92" s="994"/>
      <c r="I92" s="1860"/>
      <c r="J92" s="994"/>
      <c r="K92" s="1860"/>
      <c r="L92" s="994"/>
      <c r="M92" s="994"/>
      <c r="N92" s="1866"/>
      <c r="O92" s="1867">
        <f>SUM(O93:O95)</f>
        <v>52.7</v>
      </c>
      <c r="P92" s="1868"/>
      <c r="Q92" s="2740"/>
      <c r="R92" s="2769">
        <f>SUM(R93:R95)</f>
        <v>52.7</v>
      </c>
    </row>
    <row r="93" spans="1:18" s="861" customFormat="1">
      <c r="A93" s="4068" t="str">
        <f>'11.IEC-BCC Annex'!A9</f>
        <v>11.1.1</v>
      </c>
      <c r="B93" s="2763" t="str">
        <f>'11-A. IEC Sub-Annex'!B7</f>
        <v>B.10.3.1.1</v>
      </c>
      <c r="C93" s="1870" t="str">
        <f>'11-A. IEC Sub-Annex'!C7</f>
        <v>Media Mix of Mid Media/ Mass Media</v>
      </c>
      <c r="D93" s="1874" t="str">
        <f>'11-A. IEC Sub-Annex'!D7</f>
        <v>RCH</v>
      </c>
      <c r="E93" s="1874" t="str">
        <f>'11-A. IEC Sub-Annex'!E7</f>
        <v>MH</v>
      </c>
      <c r="F93" s="1871">
        <f>'11-A. IEC Sub-Annex'!F7</f>
        <v>1</v>
      </c>
      <c r="G93" s="1871">
        <f>'11-A. IEC Sub-Annex'!G7</f>
        <v>0</v>
      </c>
      <c r="H93" s="1871">
        <f>'11-A. IEC Sub-Annex'!H7</f>
        <v>78.45</v>
      </c>
      <c r="I93" s="1871">
        <f>'11-A. IEC Sub-Annex'!I7</f>
        <v>23.18</v>
      </c>
      <c r="J93" s="1871">
        <f>'11-A. IEC Sub-Annex'!J7</f>
        <v>55.27</v>
      </c>
      <c r="K93" s="1871">
        <f>'11-A. IEC Sub-Annex'!K7</f>
        <v>0</v>
      </c>
      <c r="L93" s="1871">
        <f>'11-A. IEC Sub-Annex'!L7</f>
        <v>5270000</v>
      </c>
      <c r="M93" s="1871">
        <f>'11-A. IEC Sub-Annex'!M7</f>
        <v>52.7</v>
      </c>
      <c r="N93" s="1871">
        <f>'11-A. IEC Sub-Annex'!N7</f>
        <v>1</v>
      </c>
      <c r="O93" s="1871">
        <f>'11-A. IEC Sub-Annex'!O7</f>
        <v>52.7</v>
      </c>
      <c r="P93" s="1871" t="str">
        <f>'11-A. IEC Sub-Annex'!P7</f>
        <v>as per annexures</v>
      </c>
      <c r="Q93" s="2018" t="s">
        <v>5835</v>
      </c>
      <c r="R93" s="2729">
        <v>52.7</v>
      </c>
    </row>
    <row r="94" spans="1:18" s="861" customFormat="1">
      <c r="A94" s="4068"/>
      <c r="B94" s="2763" t="str">
        <f>'11-A. IEC Sub-Annex'!B8</f>
        <v>B.10.3.1.2</v>
      </c>
      <c r="C94" s="1870" t="str">
        <f>'11-A. IEC Sub-Annex'!C8</f>
        <v>Inter Personal Communication</v>
      </c>
      <c r="D94" s="1874" t="str">
        <f>'11-A. IEC Sub-Annex'!D8</f>
        <v>RCH</v>
      </c>
      <c r="E94" s="1874" t="str">
        <f>'11-A. IEC Sub-Annex'!E8</f>
        <v>MH</v>
      </c>
      <c r="F94" s="1871">
        <f>'11-A. IEC Sub-Annex'!F8</f>
        <v>0</v>
      </c>
      <c r="G94" s="1871">
        <f>'11-A. IEC Sub-Annex'!G8</f>
        <v>0</v>
      </c>
      <c r="H94" s="1871">
        <f>'11-A. IEC Sub-Annex'!H8</f>
        <v>0</v>
      </c>
      <c r="I94" s="1871">
        <f>'11-A. IEC Sub-Annex'!I8</f>
        <v>0</v>
      </c>
      <c r="J94" s="1871">
        <f>'11-A. IEC Sub-Annex'!J8</f>
        <v>0</v>
      </c>
      <c r="K94" s="1871">
        <f>'11-A. IEC Sub-Annex'!K8</f>
        <v>0</v>
      </c>
      <c r="L94" s="1871">
        <f>'11-A. IEC Sub-Annex'!L8</f>
        <v>0</v>
      </c>
      <c r="M94" s="1871">
        <f>'11-A. IEC Sub-Annex'!M8</f>
        <v>0</v>
      </c>
      <c r="N94" s="1871">
        <f>'11-A. IEC Sub-Annex'!N8</f>
        <v>0</v>
      </c>
      <c r="O94" s="1871">
        <f>'11-A. IEC Sub-Annex'!O8</f>
        <v>0</v>
      </c>
      <c r="P94" s="1871">
        <f>'11-A. IEC Sub-Annex'!P8</f>
        <v>0</v>
      </c>
      <c r="Q94" s="2739" t="s">
        <v>5521</v>
      </c>
      <c r="R94" s="2729">
        <v>0</v>
      </c>
    </row>
    <row r="95" spans="1:18" s="861" customFormat="1">
      <c r="A95" s="4068"/>
      <c r="B95" s="2763">
        <f>'11-A. IEC Sub-Annex'!B9</f>
        <v>0</v>
      </c>
      <c r="C95" s="1870" t="str">
        <f>'11-A. IEC Sub-Annex'!C9</f>
        <v>Any other IEC/BCC activities (please specify)</v>
      </c>
      <c r="D95" s="1874" t="str">
        <f>'11-A. IEC Sub-Annex'!D9</f>
        <v>RCH</v>
      </c>
      <c r="E95" s="1874" t="str">
        <f>'11-A. IEC Sub-Annex'!E9</f>
        <v>MH</v>
      </c>
      <c r="F95" s="1871">
        <f>'11-A. IEC Sub-Annex'!F9</f>
        <v>0</v>
      </c>
      <c r="G95" s="1871">
        <f>'11-A. IEC Sub-Annex'!G9</f>
        <v>0</v>
      </c>
      <c r="H95" s="1871">
        <f>'11-A. IEC Sub-Annex'!H9</f>
        <v>0</v>
      </c>
      <c r="I95" s="1871">
        <f>'11-A. IEC Sub-Annex'!I9</f>
        <v>0</v>
      </c>
      <c r="J95" s="1871">
        <f>'11-A. IEC Sub-Annex'!J9</f>
        <v>0</v>
      </c>
      <c r="K95" s="1871">
        <f>'11-A. IEC Sub-Annex'!K9</f>
        <v>0</v>
      </c>
      <c r="L95" s="1871">
        <f>'11-A. IEC Sub-Annex'!L9</f>
        <v>0</v>
      </c>
      <c r="M95" s="1871">
        <f>'11-A. IEC Sub-Annex'!M9</f>
        <v>0</v>
      </c>
      <c r="N95" s="1871">
        <f>'11-A. IEC Sub-Annex'!N9</f>
        <v>0</v>
      </c>
      <c r="O95" s="1871">
        <f>'11-A. IEC Sub-Annex'!O9</f>
        <v>0</v>
      </c>
      <c r="P95" s="1871">
        <f>'11-A. IEC Sub-Annex'!P9</f>
        <v>0</v>
      </c>
      <c r="Q95" s="2739" t="s">
        <v>5521</v>
      </c>
      <c r="R95" s="2729">
        <v>0</v>
      </c>
    </row>
    <row r="96" spans="1:18" s="861" customFormat="1">
      <c r="A96" s="1858">
        <f>'12.Printing Annex'!A7</f>
        <v>12</v>
      </c>
      <c r="B96" s="1865"/>
      <c r="C96" s="1859" t="str">
        <f>'12.Printing Annex'!C7</f>
        <v>Printing</v>
      </c>
      <c r="D96" s="1860"/>
      <c r="E96" s="1860"/>
      <c r="F96" s="1860"/>
      <c r="G96" s="1860"/>
      <c r="H96" s="994"/>
      <c r="I96" s="1860"/>
      <c r="J96" s="994"/>
      <c r="K96" s="1860"/>
      <c r="L96" s="994"/>
      <c r="M96" s="994"/>
      <c r="N96" s="1866"/>
      <c r="O96" s="1867">
        <f>SUM(O97:O100)</f>
        <v>3.29352</v>
      </c>
      <c r="P96" s="1868"/>
      <c r="Q96" s="2740"/>
      <c r="R96" s="2769">
        <f>SUM(R97:R100)</f>
        <v>3.29</v>
      </c>
    </row>
    <row r="97" spans="1:18" s="861" customFormat="1">
      <c r="A97" s="4070" t="str">
        <f>'12.Printing Annex'!A9</f>
        <v>12.1.1</v>
      </c>
      <c r="B97" s="2763" t="str">
        <f>'12-A. Print Sub-Annex'!B7</f>
        <v>A.1.4</v>
      </c>
      <c r="C97" s="1870" t="str">
        <f>'12-A. Print Sub-Annex'!C7</f>
        <v>Printing of MDR formats</v>
      </c>
      <c r="D97" s="1874" t="str">
        <f>'12-A. Print Sub-Annex'!D7</f>
        <v>RCH</v>
      </c>
      <c r="E97" s="1874" t="str">
        <f>'12-A. Print Sub-Annex'!E7</f>
        <v>MH</v>
      </c>
      <c r="F97" s="1874">
        <f>'12-A. Print Sub-Annex'!F7</f>
        <v>0</v>
      </c>
      <c r="G97" s="1874">
        <f>'12-A. Print Sub-Annex'!G7</f>
        <v>0</v>
      </c>
      <c r="H97" s="1874">
        <f>'12-A. Print Sub-Annex'!H7</f>
        <v>0</v>
      </c>
      <c r="I97" s="1874">
        <f>'12-A. Print Sub-Annex'!I7</f>
        <v>0</v>
      </c>
      <c r="J97" s="1874">
        <f>'12-A. Print Sub-Annex'!J7</f>
        <v>0</v>
      </c>
      <c r="K97" s="1874">
        <f>'12-A. Print Sub-Annex'!K7</f>
        <v>0</v>
      </c>
      <c r="L97" s="1874">
        <f>'12-A. Print Sub-Annex'!L7</f>
        <v>0</v>
      </c>
      <c r="M97" s="1874">
        <f>'12-A. Print Sub-Annex'!M7</f>
        <v>0</v>
      </c>
      <c r="N97" s="1874">
        <f>'12-A. Print Sub-Annex'!N7</f>
        <v>0</v>
      </c>
      <c r="O97" s="1874">
        <f>'12-A. Print Sub-Annex'!O7</f>
        <v>0</v>
      </c>
      <c r="P97" s="1874">
        <f>'12-A. Print Sub-Annex'!P7</f>
        <v>0</v>
      </c>
      <c r="Q97" s="2739" t="s">
        <v>5521</v>
      </c>
      <c r="R97" s="2729">
        <v>0</v>
      </c>
    </row>
    <row r="98" spans="1:18" s="861" customFormat="1">
      <c r="A98" s="4071"/>
      <c r="B98" s="2763" t="str">
        <f>'12-A. Print Sub-Annex'!B8</f>
        <v>B.10.7.1</v>
      </c>
      <c r="C98" s="1870" t="str">
        <f>'12-A. Print Sub-Annex'!C8</f>
        <v>Printing of MCP cards,  safe motherhood booklets  etc.</v>
      </c>
      <c r="D98" s="1874" t="str">
        <f>'12-A. Print Sub-Annex'!D8</f>
        <v>RCH</v>
      </c>
      <c r="E98" s="1874" t="str">
        <f>'12-A. Print Sub-Annex'!E8</f>
        <v>MH</v>
      </c>
      <c r="F98" s="1874">
        <f>'12-A. Print Sub-Annex'!F8</f>
        <v>0</v>
      </c>
      <c r="G98" s="1874">
        <f>'12-A. Print Sub-Annex'!G8</f>
        <v>0</v>
      </c>
      <c r="H98" s="1874">
        <f>'12-A. Print Sub-Annex'!H8</f>
        <v>0</v>
      </c>
      <c r="I98" s="1874">
        <f>'12-A. Print Sub-Annex'!I8</f>
        <v>0</v>
      </c>
      <c r="J98" s="1874">
        <f>'12-A. Print Sub-Annex'!J8</f>
        <v>0</v>
      </c>
      <c r="K98" s="1874">
        <f>'12-A. Print Sub-Annex'!K8</f>
        <v>0</v>
      </c>
      <c r="L98" s="1874">
        <f>'12-A. Print Sub-Annex'!L8</f>
        <v>0</v>
      </c>
      <c r="M98" s="1874">
        <f>'12-A. Print Sub-Annex'!M8</f>
        <v>0</v>
      </c>
      <c r="N98" s="1874">
        <f>'12-A. Print Sub-Annex'!N8</f>
        <v>0</v>
      </c>
      <c r="O98" s="1874">
        <f>'12-A. Print Sub-Annex'!O8</f>
        <v>0</v>
      </c>
      <c r="P98" s="1874">
        <f>'12-A. Print Sub-Annex'!P8</f>
        <v>0</v>
      </c>
      <c r="Q98" s="2739" t="s">
        <v>5521</v>
      </c>
      <c r="R98" s="2729">
        <v>0</v>
      </c>
    </row>
    <row r="99" spans="1:18" s="861" customFormat="1" ht="45">
      <c r="A99" s="4071"/>
      <c r="B99" s="2763">
        <f>'12-A. Print Sub-Annex'!B9</f>
        <v>0</v>
      </c>
      <c r="C99" s="1870" t="str">
        <f>'12-A. Print Sub-Annex'!C9</f>
        <v xml:space="preserve">Printing of labour room registers and case sheets/ LaQshya related printing </v>
      </c>
      <c r="D99" s="1874" t="str">
        <f>'12-A. Print Sub-Annex'!D9</f>
        <v>RCH</v>
      </c>
      <c r="E99" s="1874" t="str">
        <f>'12-A. Print Sub-Annex'!E9</f>
        <v>MH</v>
      </c>
      <c r="F99" s="1874">
        <f>'12-A. Print Sub-Annex'!F9</f>
        <v>1</v>
      </c>
      <c r="G99" s="1874">
        <f>'12-A. Print Sub-Annex'!G9</f>
        <v>0</v>
      </c>
      <c r="H99" s="1874">
        <f>'12-A. Print Sub-Annex'!H9</f>
        <v>40</v>
      </c>
      <c r="I99" s="1874">
        <f>'12-A. Print Sub-Annex'!I9</f>
        <v>30.69</v>
      </c>
      <c r="J99" s="1874">
        <f>'12-A. Print Sub-Annex'!J9</f>
        <v>9.31</v>
      </c>
      <c r="K99" s="1874">
        <f>'12-A. Print Sub-Annex'!K9</f>
        <v>0</v>
      </c>
      <c r="L99" s="1874">
        <f>'12-A. Print Sub-Annex'!L9</f>
        <v>27446</v>
      </c>
      <c r="M99" s="1874">
        <f>'12-A. Print Sub-Annex'!M9</f>
        <v>0.27445999999999998</v>
      </c>
      <c r="N99" s="1874">
        <f>'12-A. Print Sub-Annex'!N9</f>
        <v>12</v>
      </c>
      <c r="O99" s="1874">
        <f>'12-A. Print Sub-Annex'!O9</f>
        <v>3.29352</v>
      </c>
      <c r="P99" s="1874" t="str">
        <f>'12-A. Print Sub-Annex'!P9</f>
        <v>Printing of PMSMA registers, OPD slips, HRP registers, LR registers, HRP Stickers, Birth Preparedness Plan</v>
      </c>
      <c r="Q99" s="2018" t="s">
        <v>5835</v>
      </c>
      <c r="R99" s="2729">
        <v>3.29</v>
      </c>
    </row>
    <row r="100" spans="1:18" s="861" customFormat="1">
      <c r="A100" s="4072"/>
      <c r="B100" s="2763">
        <f>'12-A. Print Sub-Annex'!B10</f>
        <v>0</v>
      </c>
      <c r="C100" s="1870" t="str">
        <f>'12-A. Print Sub-Annex'!C11</f>
        <v>Any other (please specify)</v>
      </c>
      <c r="D100" s="1874" t="str">
        <f>'12-A. Print Sub-Annex'!D11</f>
        <v>RCH</v>
      </c>
      <c r="E100" s="1874" t="str">
        <f>'12-A. Print Sub-Annex'!E11</f>
        <v>MH</v>
      </c>
      <c r="F100" s="1874">
        <f>'12-A. Print Sub-Annex'!F11</f>
        <v>0</v>
      </c>
      <c r="G100" s="1874">
        <f>'12-A. Print Sub-Annex'!G11</f>
        <v>0</v>
      </c>
      <c r="H100" s="1874">
        <f>'12-A. Print Sub-Annex'!H11</f>
        <v>0</v>
      </c>
      <c r="I100" s="1874">
        <f>'12-A. Print Sub-Annex'!I11</f>
        <v>0</v>
      </c>
      <c r="J100" s="1874">
        <f>'12-A. Print Sub-Annex'!J11</f>
        <v>0</v>
      </c>
      <c r="K100" s="1874">
        <f>'12-A. Print Sub-Annex'!K11</f>
        <v>0</v>
      </c>
      <c r="L100" s="1874">
        <f>'12-A. Print Sub-Annex'!L11</f>
        <v>0</v>
      </c>
      <c r="M100" s="1874">
        <f>'12-A. Print Sub-Annex'!M11</f>
        <v>0</v>
      </c>
      <c r="N100" s="1874">
        <f>'12-A. Print Sub-Annex'!N11</f>
        <v>0</v>
      </c>
      <c r="O100" s="1874">
        <f>'12-A. Print Sub-Annex'!O11</f>
        <v>0</v>
      </c>
      <c r="P100" s="1874">
        <f>'12-A. Print Sub-Annex'!P11</f>
        <v>0</v>
      </c>
      <c r="Q100" s="2739" t="s">
        <v>5521</v>
      </c>
      <c r="R100" s="2729">
        <v>0</v>
      </c>
    </row>
    <row r="101" spans="1:18" s="861" customFormat="1">
      <c r="A101" s="1852" t="s">
        <v>4214</v>
      </c>
      <c r="B101" s="1852"/>
      <c r="C101" s="1853" t="s">
        <v>3932</v>
      </c>
      <c r="D101" s="1854"/>
      <c r="E101" s="1854"/>
      <c r="F101" s="1854"/>
      <c r="G101" s="1854"/>
      <c r="H101" s="1855"/>
      <c r="I101" s="1854"/>
      <c r="J101" s="1855"/>
      <c r="K101" s="1854"/>
      <c r="L101" s="1855"/>
      <c r="M101" s="1855"/>
      <c r="N101" s="1875"/>
      <c r="O101" s="1876">
        <f>O102+O111+O113+O121+O126+O144+O146+O173+O175+O180</f>
        <v>1118.9609999999998</v>
      </c>
      <c r="P101" s="1877"/>
      <c r="Q101" s="1891"/>
      <c r="R101" s="2752">
        <f>R102+R111+R113+R121+R126+R144+R146+R173+R175+R180</f>
        <v>1115.366</v>
      </c>
    </row>
    <row r="102" spans="1:18" s="889" customFormat="1">
      <c r="A102" s="1858">
        <f>'1.SD Facility Based Annex'!A7</f>
        <v>1</v>
      </c>
      <c r="B102" s="1858">
        <f>'1.SD Facility Based Annex'!B7</f>
        <v>0</v>
      </c>
      <c r="C102" s="1859" t="str">
        <f>'1.SD Facility Based Annex'!C7</f>
        <v>Service Delivery - Facility Based</v>
      </c>
      <c r="D102" s="1860"/>
      <c r="E102" s="1860"/>
      <c r="F102" s="1860"/>
      <c r="G102" s="1860"/>
      <c r="H102" s="1860"/>
      <c r="I102" s="1860"/>
      <c r="J102" s="1860"/>
      <c r="K102" s="1860"/>
      <c r="L102" s="994"/>
      <c r="M102" s="1860"/>
      <c r="N102" s="1860"/>
      <c r="O102" s="994">
        <f>SUM(O103:O110)</f>
        <v>161.69999999999999</v>
      </c>
      <c r="P102" s="1858"/>
      <c r="Q102" s="692"/>
      <c r="R102" s="2731">
        <f>SUM(R103:R110)</f>
        <v>161.69999999999999</v>
      </c>
    </row>
    <row r="103" spans="1:18" s="861" customFormat="1" ht="90">
      <c r="A103" s="2735" t="str">
        <f>'1.SD Facility Based Annex'!A84</f>
        <v>1.3.1.1</v>
      </c>
      <c r="B103" s="2735" t="str">
        <f>'1.SD Facility Based Annex'!B84</f>
        <v>A.2.2.1</v>
      </c>
      <c r="C103" s="1861" t="str">
        <f>'1.SD Facility Based Annex'!C84</f>
        <v>Operating expenses for SNCU</v>
      </c>
      <c r="D103" s="1862" t="str">
        <f>'1.SD Facility Based Annex'!D84</f>
        <v>RCH</v>
      </c>
      <c r="E103" s="1862" t="str">
        <f>'1.SD Facility Based Annex'!E84</f>
        <v>CH</v>
      </c>
      <c r="F103" s="1862">
        <f>'1.SD Facility Based Annex'!F84</f>
        <v>13</v>
      </c>
      <c r="G103" s="1862">
        <f>'1.SD Facility Based Annex'!G84</f>
        <v>0</v>
      </c>
      <c r="H103" s="1862">
        <f>'1.SD Facility Based Annex'!H84</f>
        <v>130</v>
      </c>
      <c r="I103" s="1862">
        <f>'1.SD Facility Based Annex'!I84</f>
        <v>53.36</v>
      </c>
      <c r="J103" s="1862">
        <f>'1.SD Facility Based Annex'!J84</f>
        <v>76.64</v>
      </c>
      <c r="K103" s="1862">
        <f>'1.SD Facility Based Annex'!K84</f>
        <v>1</v>
      </c>
      <c r="L103" s="962">
        <f>'1.SD Facility Based Annex'!L84</f>
        <v>1000000</v>
      </c>
      <c r="M103" s="1862">
        <f>'1.SD Facility Based Annex'!M84</f>
        <v>10</v>
      </c>
      <c r="N103" s="1862">
        <f>'1.SD Facility Based Annex'!N84</f>
        <v>13</v>
      </c>
      <c r="O103" s="962">
        <f>'1.SD Facility Based Annex'!O84</f>
        <v>130</v>
      </c>
      <c r="P103" s="2735" t="str">
        <f>'1.SD Facility Based Annex'!P84</f>
        <v>On going activity. Fund proposed for operational costs of  13 SNCUs</v>
      </c>
      <c r="Q103" s="2018" t="s">
        <v>5547</v>
      </c>
      <c r="R103" s="2728">
        <f>13*10</f>
        <v>130</v>
      </c>
    </row>
    <row r="104" spans="1:18" s="861" customFormat="1" ht="105">
      <c r="A104" s="2735" t="str">
        <f>'1.SD Facility Based Annex'!A85</f>
        <v>1.3.1.2</v>
      </c>
      <c r="B104" s="2735" t="str">
        <f>'1.SD Facility Based Annex'!B85</f>
        <v>A.2.2.2</v>
      </c>
      <c r="C104" s="1861" t="str">
        <f>'1.SD Facility Based Annex'!C85</f>
        <v>Operating expenses for NBSU</v>
      </c>
      <c r="D104" s="1862" t="str">
        <f>'1.SD Facility Based Annex'!D85</f>
        <v>RCH</v>
      </c>
      <c r="E104" s="1862" t="str">
        <f>'1.SD Facility Based Annex'!E85</f>
        <v>CH</v>
      </c>
      <c r="F104" s="1862">
        <f>'1.SD Facility Based Annex'!F85</f>
        <v>10</v>
      </c>
      <c r="G104" s="1862">
        <f>'1.SD Facility Based Annex'!G85</f>
        <v>0</v>
      </c>
      <c r="H104" s="1862">
        <f>'1.SD Facility Based Annex'!H85</f>
        <v>2.9</v>
      </c>
      <c r="I104" s="1862">
        <f>'1.SD Facility Based Annex'!I85</f>
        <v>6</v>
      </c>
      <c r="J104" s="1862">
        <f>'1.SD Facility Based Annex'!J85</f>
        <v>0</v>
      </c>
      <c r="K104" s="1862">
        <f>'1.SD Facility Based Annex'!K85</f>
        <v>1</v>
      </c>
      <c r="L104" s="962">
        <f>'1.SD Facility Based Annex'!L85</f>
        <v>29000</v>
      </c>
      <c r="M104" s="1862">
        <f>'1.SD Facility Based Annex'!M85</f>
        <v>0.28999999999999998</v>
      </c>
      <c r="N104" s="1862">
        <f>'1.SD Facility Based Annex'!N85</f>
        <v>18</v>
      </c>
      <c r="O104" s="962">
        <f>'1.SD Facility Based Annex'!O85</f>
        <v>5.22</v>
      </c>
      <c r="P104" s="2735" t="str">
        <f>'1.SD Facility Based Annex'!P85</f>
        <v xml:space="preserve">On going activity. Fund proposed  for 18  NBSUs @ Rs. 29000. State plans to make 8 more NBSUs functional. </v>
      </c>
      <c r="Q104" s="2018" t="s">
        <v>5548</v>
      </c>
      <c r="R104" s="2728">
        <f>18*0.29</f>
        <v>5.22</v>
      </c>
    </row>
    <row r="105" spans="1:18" s="861" customFormat="1" ht="90">
      <c r="A105" s="2735" t="str">
        <f>'1.SD Facility Based Annex'!A86</f>
        <v>1.3.1.3</v>
      </c>
      <c r="B105" s="2735" t="str">
        <f>'1.SD Facility Based Annex'!B86</f>
        <v>A.2.2.3</v>
      </c>
      <c r="C105" s="1861" t="str">
        <f>'1.SD Facility Based Annex'!C86</f>
        <v>Operating expenses for NBCC</v>
      </c>
      <c r="D105" s="1862" t="str">
        <f>'1.SD Facility Based Annex'!D86</f>
        <v>RCH</v>
      </c>
      <c r="E105" s="1862" t="str">
        <f>'1.SD Facility Based Annex'!E86</f>
        <v>CH</v>
      </c>
      <c r="F105" s="1862">
        <f>'1.SD Facility Based Annex'!F86</f>
        <v>1</v>
      </c>
      <c r="G105" s="1862">
        <f>'1.SD Facility Based Annex'!G86</f>
        <v>0</v>
      </c>
      <c r="H105" s="1862">
        <f>'1.SD Facility Based Annex'!H86</f>
        <v>2</v>
      </c>
      <c r="I105" s="1862">
        <f>'1.SD Facility Based Annex'!I86</f>
        <v>0</v>
      </c>
      <c r="J105" s="1862">
        <f>'1.SD Facility Based Annex'!J86</f>
        <v>2</v>
      </c>
      <c r="K105" s="1862">
        <f>'1.SD Facility Based Annex'!K86</f>
        <v>1</v>
      </c>
      <c r="L105" s="962">
        <f>'1.SD Facility Based Annex'!L86</f>
        <v>2000</v>
      </c>
      <c r="M105" s="1862">
        <f>'1.SD Facility Based Annex'!M86</f>
        <v>0.02</v>
      </c>
      <c r="N105" s="1862">
        <f>'1.SD Facility Based Annex'!N86</f>
        <v>124</v>
      </c>
      <c r="O105" s="962">
        <f>'1.SD Facility Based Annex'!O86</f>
        <v>2.48</v>
      </c>
      <c r="P105" s="2735" t="str">
        <f>'1.SD Facility Based Annex'!P86</f>
        <v>On going activity for operational cost of 124 NBCC @2000 per NBCC except HR expenditure</v>
      </c>
      <c r="Q105" s="2018" t="s">
        <v>5549</v>
      </c>
      <c r="R105" s="2728">
        <f>124*2000/100000</f>
        <v>2.48</v>
      </c>
    </row>
    <row r="106" spans="1:18" s="861" customFormat="1" ht="120">
      <c r="A106" s="2735" t="str">
        <f>'1.SD Facility Based Annex'!A87</f>
        <v>1.3.1.4</v>
      </c>
      <c r="B106" s="2735" t="str">
        <f>'1.SD Facility Based Annex'!B87</f>
        <v>A.2.5</v>
      </c>
      <c r="C106" s="1861" t="str">
        <f>'1.SD Facility Based Annex'!C87</f>
        <v>Operating expenses for NRCs</v>
      </c>
      <c r="D106" s="1862" t="str">
        <f>'1.SD Facility Based Annex'!D87</f>
        <v>RCH</v>
      </c>
      <c r="E106" s="1862" t="str">
        <f>'1.SD Facility Based Annex'!E87</f>
        <v>CH</v>
      </c>
      <c r="F106" s="1862">
        <f>'1.SD Facility Based Annex'!F87</f>
        <v>3</v>
      </c>
      <c r="G106" s="1862">
        <f>'1.SD Facility Based Annex'!G87</f>
        <v>0</v>
      </c>
      <c r="H106" s="1862">
        <f>'1.SD Facility Based Annex'!H87</f>
        <v>6</v>
      </c>
      <c r="I106" s="1862">
        <f>'1.SD Facility Based Annex'!I87</f>
        <v>0</v>
      </c>
      <c r="J106" s="1862">
        <f>'1.SD Facility Based Annex'!J87</f>
        <v>6</v>
      </c>
      <c r="K106" s="1862">
        <f>'1.SD Facility Based Annex'!K87</f>
        <v>1</v>
      </c>
      <c r="L106" s="962">
        <f>'1.SD Facility Based Annex'!L87</f>
        <v>200000</v>
      </c>
      <c r="M106" s="1862">
        <f>'1.SD Facility Based Annex'!M87</f>
        <v>2</v>
      </c>
      <c r="N106" s="1862">
        <f>'1.SD Facility Based Annex'!N87</f>
        <v>3</v>
      </c>
      <c r="O106" s="962">
        <f>'1.SD Facility Based Annex'!O87</f>
        <v>6</v>
      </c>
      <c r="P106" s="2735" t="str">
        <f>'1.SD Facility Based Annex'!P87</f>
        <v>Fund proposed for operational cost of 3 NRCs @ 2 lacs</v>
      </c>
      <c r="Q106" s="2018" t="s">
        <v>5550</v>
      </c>
      <c r="R106" s="2728">
        <f>2*3</f>
        <v>6</v>
      </c>
    </row>
    <row r="107" spans="1:18" s="861" customFormat="1" ht="105">
      <c r="A107" s="2735" t="str">
        <f>'1.SD Facility Based Annex'!A88</f>
        <v>1.3.1.5</v>
      </c>
      <c r="B107" s="2735">
        <f>'1.SD Facility Based Annex'!B88</f>
        <v>0</v>
      </c>
      <c r="C107" s="1861" t="str">
        <f>'1.SD Facility Based Annex'!C88</f>
        <v>Operating expenses for Family participatory care (KMC)</v>
      </c>
      <c r="D107" s="1862" t="str">
        <f>'1.SD Facility Based Annex'!D88</f>
        <v>RCH</v>
      </c>
      <c r="E107" s="1862" t="str">
        <f>'1.SD Facility Based Annex'!E88</f>
        <v>CH</v>
      </c>
      <c r="F107" s="1862">
        <f>'1.SD Facility Based Annex'!F88</f>
        <v>6000</v>
      </c>
      <c r="G107" s="1862">
        <f>'1.SD Facility Based Annex'!G88</f>
        <v>0</v>
      </c>
      <c r="H107" s="1862">
        <f>'1.SD Facility Based Annex'!H88</f>
        <v>12</v>
      </c>
      <c r="I107" s="1862">
        <f>'1.SD Facility Based Annex'!I88</f>
        <v>7.5</v>
      </c>
      <c r="J107" s="1862">
        <f>'1.SD Facility Based Annex'!J88</f>
        <v>4.5</v>
      </c>
      <c r="K107" s="1862">
        <f>'1.SD Facility Based Annex'!K88</f>
        <v>1</v>
      </c>
      <c r="L107" s="962">
        <f>'1.SD Facility Based Annex'!L88</f>
        <v>200</v>
      </c>
      <c r="M107" s="1862">
        <f>'1.SD Facility Based Annex'!M88</f>
        <v>2E-3</v>
      </c>
      <c r="N107" s="1862">
        <f>'1.SD Facility Based Annex'!N88</f>
        <v>5000</v>
      </c>
      <c r="O107" s="962">
        <f>'1.SD Facility Based Annex'!O88</f>
        <v>10</v>
      </c>
      <c r="P107" s="2735" t="str">
        <f>'1.SD Facility Based Annex'!P88</f>
        <v>Fund proposed for FPC operational cost and KMC binders@ Rs. 200 for 5000 quantity.</v>
      </c>
      <c r="Q107" s="2018" t="s">
        <v>5551</v>
      </c>
      <c r="R107" s="2728">
        <f>5000*200/100000</f>
        <v>10</v>
      </c>
    </row>
    <row r="108" spans="1:18" s="861" customFormat="1">
      <c r="A108" s="2735" t="str">
        <f>'1.SD Facility Based Annex'!A96</f>
        <v>1.3.1.13</v>
      </c>
      <c r="B108" s="2735">
        <f>'1.SD Facility Based Annex'!B96</f>
        <v>0</v>
      </c>
      <c r="C108" s="1861" t="str">
        <f>'1.SD Facility Based Annex'!C96</f>
        <v>Operating expenses for Mother new-born Care Unit</v>
      </c>
      <c r="D108" s="1862" t="str">
        <f>'1.SD Facility Based Annex'!D96</f>
        <v>RCH</v>
      </c>
      <c r="E108" s="1862" t="str">
        <f>'1.SD Facility Based Annex'!E96</f>
        <v>CH</v>
      </c>
      <c r="F108" s="1862">
        <f>'1.SD Facility Based Annex'!F96</f>
        <v>0</v>
      </c>
      <c r="G108" s="1862">
        <f>'1.SD Facility Based Annex'!G96</f>
        <v>0</v>
      </c>
      <c r="H108" s="1862">
        <f>'1.SD Facility Based Annex'!H96</f>
        <v>0</v>
      </c>
      <c r="I108" s="1862">
        <f>'1.SD Facility Based Annex'!I96</f>
        <v>0</v>
      </c>
      <c r="J108" s="1862">
        <f>'1.SD Facility Based Annex'!J96</f>
        <v>0</v>
      </c>
      <c r="K108" s="1862">
        <f>'1.SD Facility Based Annex'!K96</f>
        <v>0</v>
      </c>
      <c r="L108" s="962">
        <f>'1.SD Facility Based Annex'!L96</f>
        <v>0</v>
      </c>
      <c r="M108" s="1862">
        <f>'1.SD Facility Based Annex'!M96</f>
        <v>0</v>
      </c>
      <c r="N108" s="1862">
        <f>'1.SD Facility Based Annex'!N96</f>
        <v>0</v>
      </c>
      <c r="O108" s="962">
        <f>'1.SD Facility Based Annex'!O96</f>
        <v>0</v>
      </c>
      <c r="P108" s="2735">
        <f>'1.SD Facility Based Annex'!P96</f>
        <v>0</v>
      </c>
      <c r="Q108" s="2739" t="s">
        <v>5521</v>
      </c>
      <c r="R108" s="2729">
        <v>0</v>
      </c>
    </row>
    <row r="109" spans="1:18" s="861" customFormat="1" ht="105">
      <c r="A109" s="2735" t="str">
        <f>'1.SD Facility Based Annex'!A97</f>
        <v>1.3.1.14</v>
      </c>
      <c r="B109" s="2735">
        <f>'1.SD Facility Based Annex'!B97</f>
        <v>0</v>
      </c>
      <c r="C109" s="1861" t="str">
        <f>'1.SD Facility Based Annex'!C97</f>
        <v>Operating expenses for State new-born resource centre</v>
      </c>
      <c r="D109" s="1862" t="str">
        <f>'1.SD Facility Based Annex'!D97</f>
        <v>RCH</v>
      </c>
      <c r="E109" s="1862" t="str">
        <f>'1.SD Facility Based Annex'!E97</f>
        <v>CH</v>
      </c>
      <c r="F109" s="1862">
        <f>'1.SD Facility Based Annex'!F97</f>
        <v>1</v>
      </c>
      <c r="G109" s="1862">
        <f>'1.SD Facility Based Annex'!G97</f>
        <v>0</v>
      </c>
      <c r="H109" s="1862">
        <f>'1.SD Facility Based Annex'!H97</f>
        <v>1</v>
      </c>
      <c r="I109" s="1862">
        <f>'1.SD Facility Based Annex'!I97</f>
        <v>0</v>
      </c>
      <c r="J109" s="1862">
        <f>'1.SD Facility Based Annex'!J97</f>
        <v>0</v>
      </c>
      <c r="K109" s="1862">
        <f>'1.SD Facility Based Annex'!K97</f>
        <v>1</v>
      </c>
      <c r="L109" s="962">
        <f>'1.SD Facility Based Annex'!L97</f>
        <v>100000</v>
      </c>
      <c r="M109" s="1862">
        <f>'1.SD Facility Based Annex'!M97</f>
        <v>1</v>
      </c>
      <c r="N109" s="1862">
        <f>'1.SD Facility Based Annex'!N97</f>
        <v>1</v>
      </c>
      <c r="O109" s="962">
        <f>'1.SD Facility Based Annex'!O97</f>
        <v>1</v>
      </c>
      <c r="P109" s="2735" t="str">
        <f>'1.SD Facility Based Annex'!P97</f>
        <v>Fund proposed for recurring cost of SRC</v>
      </c>
      <c r="Q109" s="2018" t="s">
        <v>5552</v>
      </c>
      <c r="R109" s="2728">
        <v>1</v>
      </c>
    </row>
    <row r="110" spans="1:18" s="861" customFormat="1" ht="135">
      <c r="A110" s="2735" t="str">
        <f>'1.SD Facility Based Annex'!A98</f>
        <v>1.3.1.15</v>
      </c>
      <c r="B110" s="2735">
        <f>'1.SD Facility Based Annex'!B98</f>
        <v>0</v>
      </c>
      <c r="C110" s="1861" t="str">
        <f>'1.SD Facility Based Annex'!C98</f>
        <v>Operating cost for Paediatric HDU, Emergency, OPD and Ward</v>
      </c>
      <c r="D110" s="1862" t="str">
        <f>'1.SD Facility Based Annex'!D98</f>
        <v>RCH</v>
      </c>
      <c r="E110" s="1862" t="str">
        <f>'1.SD Facility Based Annex'!E98</f>
        <v>CH</v>
      </c>
      <c r="F110" s="1862">
        <f>'1.SD Facility Based Annex'!F98</f>
        <v>7</v>
      </c>
      <c r="G110" s="1862">
        <f>'1.SD Facility Based Annex'!G98</f>
        <v>0</v>
      </c>
      <c r="H110" s="1862">
        <f>'1.SD Facility Based Annex'!H98</f>
        <v>7</v>
      </c>
      <c r="I110" s="1862">
        <f>'1.SD Facility Based Annex'!I98</f>
        <v>0</v>
      </c>
      <c r="J110" s="1862">
        <f>'1.SD Facility Based Annex'!J98</f>
        <v>0</v>
      </c>
      <c r="K110" s="1862">
        <f>'1.SD Facility Based Annex'!K98</f>
        <v>1</v>
      </c>
      <c r="L110" s="962">
        <f>'1.SD Facility Based Annex'!L98</f>
        <v>100000</v>
      </c>
      <c r="M110" s="1862">
        <f>'1.SD Facility Based Annex'!M98</f>
        <v>1</v>
      </c>
      <c r="N110" s="1862">
        <f>'1.SD Facility Based Annex'!N98</f>
        <v>7</v>
      </c>
      <c r="O110" s="962">
        <f>'1.SD Facility Based Annex'!O98</f>
        <v>7</v>
      </c>
      <c r="P110" s="2735" t="str">
        <f>'1.SD Facility Based Annex'!P98</f>
        <v>Fund proposed for recurring cost of  7HDUs</v>
      </c>
      <c r="Q110" s="2018" t="s">
        <v>5553</v>
      </c>
      <c r="R110" s="2728">
        <f>1*7</f>
        <v>7</v>
      </c>
    </row>
    <row r="111" spans="1:18" s="861" customFormat="1">
      <c r="A111" s="1858">
        <f>'2.SD Community Based Annex'!A7</f>
        <v>2</v>
      </c>
      <c r="B111" s="1858">
        <f>'2.SD Community Based Annex'!B7</f>
        <v>0</v>
      </c>
      <c r="C111" s="1859" t="str">
        <f>'2.SD Community Based Annex'!C7</f>
        <v>Service Delivery - Community Based</v>
      </c>
      <c r="D111" s="1860"/>
      <c r="E111" s="1860"/>
      <c r="F111" s="1860"/>
      <c r="G111" s="1860"/>
      <c r="H111" s="1860"/>
      <c r="I111" s="1860"/>
      <c r="J111" s="1860"/>
      <c r="K111" s="1860"/>
      <c r="L111" s="994"/>
      <c r="M111" s="1860"/>
      <c r="N111" s="1860"/>
      <c r="O111" s="994">
        <f>O112</f>
        <v>0</v>
      </c>
      <c r="P111" s="1858"/>
      <c r="Q111" s="692"/>
      <c r="R111" s="2767">
        <f>R112</f>
        <v>0</v>
      </c>
    </row>
    <row r="112" spans="1:18" s="861" customFormat="1" ht="45">
      <c r="A112" s="2735" t="str">
        <f>'2.SD Community Based Annex'!A56</f>
        <v>2.3.3.1</v>
      </c>
      <c r="B112" s="2735" t="str">
        <f>'2.SD Community Based Annex'!B56</f>
        <v>A.2.10.1</v>
      </c>
      <c r="C112" s="1861" t="str">
        <f>'2.SD Community Based Annex'!C56</f>
        <v>One time Screening to Identify the carriers of Sickle cell trait, β Thalassemia, Haemoglobin variants at school especially class 8 students and in newborns</v>
      </c>
      <c r="D112" s="1862" t="str">
        <f>'2.SD Community Based Annex'!D56</f>
        <v>RCH</v>
      </c>
      <c r="E112" s="1862" t="str">
        <f>'2.SD Community Based Annex'!E56</f>
        <v>CH</v>
      </c>
      <c r="F112" s="1862">
        <f>'2.SD Community Based Annex'!F56</f>
        <v>250000</v>
      </c>
      <c r="G112" s="1862">
        <f>'2.SD Community Based Annex'!G56</f>
        <v>0</v>
      </c>
      <c r="H112" s="1862">
        <f>'2.SD Community Based Annex'!H56</f>
        <v>243.125</v>
      </c>
      <c r="I112" s="1862">
        <f>'2.SD Community Based Annex'!I56</f>
        <v>0</v>
      </c>
      <c r="J112" s="1862">
        <f>'2.SD Community Based Annex'!J56</f>
        <v>243.125</v>
      </c>
      <c r="K112" s="1862">
        <f>'2.SD Community Based Annex'!K56</f>
        <v>0</v>
      </c>
      <c r="L112" s="962">
        <f>'2.SD Community Based Annex'!L56</f>
        <v>0</v>
      </c>
      <c r="M112" s="1862">
        <f>'2.SD Community Based Annex'!M56</f>
        <v>0</v>
      </c>
      <c r="N112" s="1862">
        <f>'2.SD Community Based Annex'!N56</f>
        <v>0</v>
      </c>
      <c r="O112" s="962">
        <f>'2.SD Community Based Annex'!O56</f>
        <v>0</v>
      </c>
      <c r="P112" s="2735">
        <f>'2.SD Community Based Annex'!P56</f>
        <v>0</v>
      </c>
      <c r="Q112" s="2739" t="s">
        <v>5521</v>
      </c>
      <c r="R112" s="2729">
        <v>0</v>
      </c>
    </row>
    <row r="113" spans="1:18" s="861" customFormat="1">
      <c r="A113" s="1858">
        <f>'3.Community Intervention Annexn'!A7</f>
        <v>3</v>
      </c>
      <c r="B113" s="1858"/>
      <c r="C113" s="1859" t="str">
        <f>'3.Community Intervention Annexn'!C7</f>
        <v>Community Interventions</v>
      </c>
      <c r="D113" s="1860"/>
      <c r="E113" s="1860"/>
      <c r="F113" s="1860"/>
      <c r="G113" s="1860"/>
      <c r="H113" s="994"/>
      <c r="I113" s="1860"/>
      <c r="J113" s="994"/>
      <c r="K113" s="1860"/>
      <c r="L113" s="994"/>
      <c r="M113" s="994"/>
      <c r="N113" s="1866"/>
      <c r="O113" s="1867">
        <f>SUM(O114:O120)</f>
        <v>316.14600000000002</v>
      </c>
      <c r="P113" s="1868"/>
      <c r="Q113" s="1889"/>
      <c r="R113" s="2731">
        <f>SUM(R114:R120)</f>
        <v>316.14600000000002</v>
      </c>
    </row>
    <row r="114" spans="1:18" s="861" customFormat="1" ht="60">
      <c r="A114" s="4068" t="str">
        <f>'3.Community Intervention Annexn'!A12</f>
        <v>3.1.1.1.2</v>
      </c>
      <c r="B114" s="2735" t="str">
        <f>'3-A. CI Sub-Annex'!B13</f>
        <v>B1.1.3.2.6</v>
      </c>
      <c r="C114" s="1861" t="str">
        <f>'3-A. CI Sub-Annex'!C13</f>
        <v xml:space="preserve">ASHA incentive under MAA programme @ Rs 100 per ASHA for quarterly mother's meeting </v>
      </c>
      <c r="D114" s="1862" t="str">
        <f>'3-A. CI Sub-Annex'!D13</f>
        <v>RCH</v>
      </c>
      <c r="E114" s="1862" t="str">
        <f>'3-A. CI Sub-Annex'!E13</f>
        <v>CH/NHSRC-CP</v>
      </c>
      <c r="F114" s="1862">
        <f>'3-A. CI Sub-Annex'!F13</f>
        <v>7964</v>
      </c>
      <c r="G114" s="1862">
        <f>'3-A. CI Sub-Annex'!G13</f>
        <v>0</v>
      </c>
      <c r="H114" s="1862">
        <f>'3-A. CI Sub-Annex'!H13</f>
        <v>31.86</v>
      </c>
      <c r="I114" s="1862">
        <f>'3-A. CI Sub-Annex'!I13</f>
        <v>7.42</v>
      </c>
      <c r="J114" s="1862">
        <f>'3-A. CI Sub-Annex'!J13</f>
        <v>24.439999999999998</v>
      </c>
      <c r="K114" s="1862">
        <f>'3-A. CI Sub-Annex'!K13</f>
        <v>1</v>
      </c>
      <c r="L114" s="962">
        <f>'3-A. CI Sub-Annex'!L13</f>
        <v>400</v>
      </c>
      <c r="M114" s="1862">
        <f>'3-A. CI Sub-Annex'!M13</f>
        <v>4.0000000000000001E-3</v>
      </c>
      <c r="N114" s="1862">
        <f>'3-A. CI Sub-Annex'!N13</f>
        <v>8066</v>
      </c>
      <c r="O114" s="962">
        <f>'3-A. CI Sub-Annex'!O13</f>
        <v>32.264000000000003</v>
      </c>
      <c r="P114" s="2735" t="str">
        <f>'3-A. CI Sub-Annex'!P13</f>
        <v>Fund proposed for conducting 10 mothers  meeting  per quarter</v>
      </c>
      <c r="Q114" s="2018" t="s">
        <v>5554</v>
      </c>
      <c r="R114" s="2728">
        <f>8066*100*4/100000</f>
        <v>32.264000000000003</v>
      </c>
    </row>
    <row r="115" spans="1:18" s="861" customFormat="1" ht="75">
      <c r="A115" s="4068"/>
      <c r="B115" s="2735" t="str">
        <f>'3-A. CI Sub-Annex'!B14</f>
        <v>B1.1.3.2.1</v>
      </c>
      <c r="C115" s="1861" t="str">
        <f>'3-A. CI Sub-Annex'!C14</f>
        <v>Incentive for Home Based New-born Care programme</v>
      </c>
      <c r="D115" s="1862" t="str">
        <f>'3-A. CI Sub-Annex'!D14</f>
        <v>RCH</v>
      </c>
      <c r="E115" s="1862" t="str">
        <f>'3-A. CI Sub-Annex'!E14</f>
        <v>CH/NHSRC-CP</v>
      </c>
      <c r="F115" s="1862">
        <f>'3-A. CI Sub-Annex'!F14</f>
        <v>81812</v>
      </c>
      <c r="G115" s="1862">
        <f>'3-A. CI Sub-Annex'!G14</f>
        <v>0</v>
      </c>
      <c r="H115" s="1862">
        <f>'3-A. CI Sub-Annex'!H14</f>
        <v>204.53</v>
      </c>
      <c r="I115" s="1862">
        <f>'3-A. CI Sub-Annex'!I14</f>
        <v>109.82</v>
      </c>
      <c r="J115" s="1862">
        <f>'3-A. CI Sub-Annex'!J14</f>
        <v>94.710000000000008</v>
      </c>
      <c r="K115" s="1862">
        <f>'3-A. CI Sub-Annex'!K14</f>
        <v>0</v>
      </c>
      <c r="L115" s="962">
        <f>'3-A. CI Sub-Annex'!L14</f>
        <v>250</v>
      </c>
      <c r="M115" s="1862">
        <f>'3-A. CI Sub-Annex'!M14</f>
        <v>2.5000000000000001E-3</v>
      </c>
      <c r="N115" s="1862">
        <f>'3-A. CI Sub-Annex'!N14</f>
        <v>80000</v>
      </c>
      <c r="O115" s="962">
        <f>'3-A. CI Sub-Annex'!O14</f>
        <v>200</v>
      </c>
      <c r="P115" s="2735" t="str">
        <f>'3-A. CI Sub-Annex'!P14</f>
        <v>Fund proposed for completion of 5 home visits under HBNC</v>
      </c>
      <c r="Q115" s="2018" t="s">
        <v>5555</v>
      </c>
      <c r="R115" s="2710">
        <f>80000*250/100000</f>
        <v>200</v>
      </c>
    </row>
    <row r="116" spans="1:18" s="861" customFormat="1" ht="180">
      <c r="A116" s="4068"/>
      <c r="B116" s="2735" t="str">
        <f>'3-A. CI Sub-Annex'!B15</f>
        <v>B1.1.3.2.2</v>
      </c>
      <c r="C116" s="1861" t="str">
        <f>'3-A. CI Sub-Annex'!C15</f>
        <v>Incentive to ASHA for follow up of SNCU discharge babies and for follow up of LBW babies</v>
      </c>
      <c r="D116" s="1862" t="str">
        <f>'3-A. CI Sub-Annex'!D15</f>
        <v>RCH</v>
      </c>
      <c r="E116" s="1862" t="str">
        <f>'3-A. CI Sub-Annex'!E15</f>
        <v>CH/NHSRC-CP</v>
      </c>
      <c r="F116" s="1862">
        <f>'3-A. CI Sub-Annex'!F15</f>
        <v>10000</v>
      </c>
      <c r="G116" s="1862">
        <f>'3-A. CI Sub-Annex'!G15</f>
        <v>0</v>
      </c>
      <c r="H116" s="1862">
        <f>'3-A. CI Sub-Annex'!H15</f>
        <v>20</v>
      </c>
      <c r="I116" s="1862">
        <f>'3-A. CI Sub-Annex'!I15</f>
        <v>0.2</v>
      </c>
      <c r="J116" s="1862">
        <f>'3-A. CI Sub-Annex'!J15</f>
        <v>19.8</v>
      </c>
      <c r="K116" s="1862">
        <f>'3-A. CI Sub-Annex'!K15</f>
        <v>0</v>
      </c>
      <c r="L116" s="962">
        <f>'3-A. CI Sub-Annex'!L15</f>
        <v>200</v>
      </c>
      <c r="M116" s="1862">
        <f>'3-A. CI Sub-Annex'!M15</f>
        <v>2E-3</v>
      </c>
      <c r="N116" s="1862">
        <f>'3-A. CI Sub-Annex'!N15</f>
        <v>5000</v>
      </c>
      <c r="O116" s="962">
        <f>'3-A. CI Sub-Annex'!O15</f>
        <v>10</v>
      </c>
      <c r="P116" s="2735" t="str">
        <f>'3-A. CI Sub-Annex'!P15</f>
        <v xml:space="preserve">Fund proposed  for folllwup of SNCU discharged  babies for 7 districts. As HBYC will be implemented in 6 districts in FY 2021-22 </v>
      </c>
      <c r="Q116" s="2018" t="s">
        <v>5556</v>
      </c>
      <c r="R116" s="2710">
        <f>5000*200/100000</f>
        <v>10</v>
      </c>
    </row>
    <row r="117" spans="1:18" s="861" customFormat="1" ht="60">
      <c r="A117" s="4068"/>
      <c r="B117" s="2735" t="str">
        <f>'3-A. CI Sub-Annex'!B16</f>
        <v>B1.1.3.2.4</v>
      </c>
      <c r="C117" s="1861" t="str">
        <f>'3-A. CI Sub-Annex'!C16</f>
        <v>Incentive for referral of SAM cases to NRC and for follow up of discharge SAM children from NRCs</v>
      </c>
      <c r="D117" s="1862" t="str">
        <f>'3-A. CI Sub-Annex'!D16</f>
        <v>RCH</v>
      </c>
      <c r="E117" s="1862" t="str">
        <f>'3-A. CI Sub-Annex'!E16</f>
        <v>CH/NHSRC-CP</v>
      </c>
      <c r="F117" s="1862">
        <f>'3-A. CI Sub-Annex'!F16</f>
        <v>500</v>
      </c>
      <c r="G117" s="1862">
        <f>'3-A. CI Sub-Annex'!G16</f>
        <v>0</v>
      </c>
      <c r="H117" s="1862">
        <f>'3-A. CI Sub-Annex'!H16</f>
        <v>0.75</v>
      </c>
      <c r="I117" s="1862">
        <f>'3-A. CI Sub-Annex'!I16</f>
        <v>0.02</v>
      </c>
      <c r="J117" s="1862">
        <f>'3-A. CI Sub-Annex'!J16</f>
        <v>0.73</v>
      </c>
      <c r="K117" s="1862">
        <f>'3-A. CI Sub-Annex'!K16</f>
        <v>0</v>
      </c>
      <c r="L117" s="962">
        <f>'3-A. CI Sub-Annex'!L16</f>
        <v>150</v>
      </c>
      <c r="M117" s="1862">
        <f>'3-A. CI Sub-Annex'!M16</f>
        <v>1.5E-3</v>
      </c>
      <c r="N117" s="1862">
        <f>'3-A. CI Sub-Annex'!N16</f>
        <v>500</v>
      </c>
      <c r="O117" s="962">
        <f>'3-A. CI Sub-Annex'!O16</f>
        <v>0.75</v>
      </c>
      <c r="P117" s="2735" t="str">
        <f>'3-A. CI Sub-Annex'!P16</f>
        <v>Fund proposed for referral and followup of SAM children</v>
      </c>
      <c r="Q117" s="2018" t="s">
        <v>5557</v>
      </c>
      <c r="R117" s="2728">
        <f>500*150/100000</f>
        <v>0.75</v>
      </c>
    </row>
    <row r="118" spans="1:18" s="861" customFormat="1" ht="60">
      <c r="A118" s="4068"/>
      <c r="B118" s="2735" t="str">
        <f>'3-A. CI Sub-Annex'!B17</f>
        <v>B1.1.3.2.7</v>
      </c>
      <c r="C118" s="1861" t="str">
        <f>'3-A. CI Sub-Annex'!C17</f>
        <v>Incentive for National Deworming Day  for mobilising out of school children</v>
      </c>
      <c r="D118" s="1862" t="str">
        <f>'3-A. CI Sub-Annex'!D17</f>
        <v>RCH</v>
      </c>
      <c r="E118" s="1862" t="str">
        <f>'3-A. CI Sub-Annex'!E17</f>
        <v>CH/NHSRC-CP</v>
      </c>
      <c r="F118" s="1862">
        <f>'3-A. CI Sub-Annex'!F17</f>
        <v>7964</v>
      </c>
      <c r="G118" s="1862">
        <f>'3-A. CI Sub-Annex'!G17</f>
        <v>0</v>
      </c>
      <c r="H118" s="1862">
        <f>'3-A. CI Sub-Annex'!H17</f>
        <v>15.93</v>
      </c>
      <c r="I118" s="1862">
        <f>'3-A. CI Sub-Annex'!I17</f>
        <v>0.66</v>
      </c>
      <c r="J118" s="1862">
        <f>'3-A. CI Sub-Annex'!J17</f>
        <v>15.27</v>
      </c>
      <c r="K118" s="1862">
        <f>'3-A. CI Sub-Annex'!K17</f>
        <v>0</v>
      </c>
      <c r="L118" s="962">
        <f>'3-A. CI Sub-Annex'!L17</f>
        <v>200</v>
      </c>
      <c r="M118" s="1862">
        <f>'3-A. CI Sub-Annex'!M17</f>
        <v>2E-3</v>
      </c>
      <c r="N118" s="1862">
        <f>'3-A. CI Sub-Annex'!N17</f>
        <v>8066</v>
      </c>
      <c r="O118" s="962">
        <f>'3-A. CI Sub-Annex'!O17</f>
        <v>16.132000000000001</v>
      </c>
      <c r="P118" s="2735" t="str">
        <f>'3-A. CI Sub-Annex'!P17</f>
        <v>Fund proposed for incentive to ASHA for two round of NDD for mobilizing out of school children</v>
      </c>
      <c r="Q118" s="2018" t="s">
        <v>5558</v>
      </c>
      <c r="R118" s="2711">
        <f>8066*100*2/100000</f>
        <v>16.132000000000001</v>
      </c>
    </row>
    <row r="119" spans="1:18" s="861" customFormat="1" ht="90">
      <c r="A119" s="4068"/>
      <c r="B119" s="2735" t="str">
        <f>'3-A. CI Sub-Annex'!B18</f>
        <v>B1.1.3.2.8</v>
      </c>
      <c r="C119" s="1861" t="str">
        <f>'3-A. CI Sub-Annex'!C18</f>
        <v xml:space="preserve">Incentive for IDCF for prophylactic distribution of ORS  to family with under-five children. </v>
      </c>
      <c r="D119" s="1862" t="str">
        <f>'3-A. CI Sub-Annex'!D18</f>
        <v>RCH</v>
      </c>
      <c r="E119" s="1862" t="str">
        <f>'3-A. CI Sub-Annex'!E18</f>
        <v>CH/NHSRC-CP</v>
      </c>
      <c r="F119" s="1862">
        <f>'3-A. CI Sub-Annex'!F18</f>
        <v>700000</v>
      </c>
      <c r="G119" s="1862">
        <f>'3-A. CI Sub-Annex'!G18</f>
        <v>0</v>
      </c>
      <c r="H119" s="1862">
        <f>'3-A. CI Sub-Annex'!H18</f>
        <v>7</v>
      </c>
      <c r="I119" s="1862">
        <f>'3-A. CI Sub-Annex'!I18</f>
        <v>4</v>
      </c>
      <c r="J119" s="1862">
        <f>'3-A. CI Sub-Annex'!J18</f>
        <v>3</v>
      </c>
      <c r="K119" s="1862">
        <f>'3-A. CI Sub-Annex'!K18</f>
        <v>0</v>
      </c>
      <c r="L119" s="962">
        <f>'3-A. CI Sub-Annex'!L18</f>
        <v>1</v>
      </c>
      <c r="M119" s="1862">
        <f>'3-A. CI Sub-Annex'!M18</f>
        <v>1.0000000000000001E-5</v>
      </c>
      <c r="N119" s="1862">
        <f>'3-A. CI Sub-Annex'!N18</f>
        <v>700000</v>
      </c>
      <c r="O119" s="962">
        <f>'3-A. CI Sub-Annex'!O18</f>
        <v>7.0000000000000009</v>
      </c>
      <c r="P119" s="2735" t="str">
        <f>'3-A. CI Sub-Annex'!P18</f>
        <v xml:space="preserve">Fund proposed for incentive @Rs. 1/pack of ORS distribution to family with under 5 children                                                                                </v>
      </c>
      <c r="Q119" s="2018" t="s">
        <v>5559</v>
      </c>
      <c r="R119" s="2728">
        <f>1*700000/100000</f>
        <v>7</v>
      </c>
    </row>
    <row r="120" spans="1:18" s="861" customFormat="1" ht="90">
      <c r="A120" s="4068"/>
      <c r="B120" s="2735">
        <f>'3-A. CI Sub-Annex'!B19</f>
        <v>0</v>
      </c>
      <c r="C120" s="1861" t="str">
        <f>'3-A. CI Sub-Annex'!C19</f>
        <v xml:space="preserve">Incentive to ASHA for quarterly visits under HBYC </v>
      </c>
      <c r="D120" s="1862" t="str">
        <f>'3-A. CI Sub-Annex'!D19</f>
        <v>RCH</v>
      </c>
      <c r="E120" s="1862" t="str">
        <f>'3-A. CI Sub-Annex'!E19</f>
        <v>CH/NHSRC-CP</v>
      </c>
      <c r="F120" s="1862">
        <f>'3-A. CI Sub-Annex'!F19</f>
        <v>15000</v>
      </c>
      <c r="G120" s="1862">
        <f>'3-A. CI Sub-Annex'!G19</f>
        <v>0</v>
      </c>
      <c r="H120" s="1862">
        <f>'3-A. CI Sub-Annex'!H19</f>
        <v>37.5</v>
      </c>
      <c r="I120" s="1862">
        <f>'3-A. CI Sub-Annex'!I19</f>
        <v>0.21</v>
      </c>
      <c r="J120" s="1862">
        <f>'3-A. CI Sub-Annex'!J19</f>
        <v>37.29</v>
      </c>
      <c r="K120" s="1862">
        <f>'3-A. CI Sub-Annex'!K19</f>
        <v>0</v>
      </c>
      <c r="L120" s="962">
        <f>'3-A. CI Sub-Annex'!L19</f>
        <v>250</v>
      </c>
      <c r="M120" s="1862">
        <f>'3-A. CI Sub-Annex'!M19</f>
        <v>2.5000000000000001E-3</v>
      </c>
      <c r="N120" s="1862">
        <f>'3-A. CI Sub-Annex'!N19</f>
        <v>20000</v>
      </c>
      <c r="O120" s="962">
        <f>'3-A. CI Sub-Annex'!O19</f>
        <v>50</v>
      </c>
      <c r="P120" s="2735" t="str">
        <f>'3-A. CI Sub-Annex'!P19</f>
        <v>Fund proposed for incentive for scheduled home visits  in 5 districts (Chamba, Sirmour, Mandi, Kullu and Shimla)</v>
      </c>
      <c r="Q120" s="2018" t="s">
        <v>5560</v>
      </c>
      <c r="R120" s="2710">
        <f>20000*250/100000</f>
        <v>50</v>
      </c>
    </row>
    <row r="121" spans="1:18" s="861" customFormat="1">
      <c r="A121" s="1858">
        <f>'5.Infrastructure Annex'!A7</f>
        <v>5</v>
      </c>
      <c r="B121" s="1858"/>
      <c r="C121" s="1859" t="str">
        <f>'5.Infrastructure Annex'!C7</f>
        <v>Infrastructure</v>
      </c>
      <c r="D121" s="1860"/>
      <c r="E121" s="1860"/>
      <c r="F121" s="1860"/>
      <c r="G121" s="1860"/>
      <c r="H121" s="994"/>
      <c r="I121" s="1860"/>
      <c r="J121" s="994"/>
      <c r="K121" s="1860"/>
      <c r="L121" s="994"/>
      <c r="M121" s="994"/>
      <c r="N121" s="1866"/>
      <c r="O121" s="1867">
        <f>SUM(O122:O125)</f>
        <v>8</v>
      </c>
      <c r="P121" s="1868"/>
      <c r="Q121" s="1889"/>
      <c r="R121" s="2731">
        <f>SUM(R122:R125)</f>
        <v>8</v>
      </c>
    </row>
    <row r="122" spans="1:18" s="861" customFormat="1" ht="45">
      <c r="A122" s="2735" t="str">
        <f>'5.Infrastructure Annex'!A43</f>
        <v>5.1.1.3.7</v>
      </c>
      <c r="B122" s="2735">
        <f>'5.Infrastructure Annex'!B43</f>
        <v>0</v>
      </c>
      <c r="C122" s="2735" t="str">
        <f>'5.Infrastructure Annex'!C43</f>
        <v>Spill over of Ongoing Upgradation-Facility based new-born care centres (SNCU/NBSU/NBCC/KMC unit)/MNCU &amp; State resource centre/CLMC units/Paediatric HDUs</v>
      </c>
      <c r="D122" s="1862" t="str">
        <f>'5.Infrastructure Annex'!D43</f>
        <v>HSS</v>
      </c>
      <c r="E122" s="1862" t="str">
        <f>'5.Infrastructure Annex'!E43</f>
        <v>HSS/ CH</v>
      </c>
      <c r="F122" s="1862">
        <f>'5.Infrastructure Annex'!F43</f>
        <v>0</v>
      </c>
      <c r="G122" s="1862">
        <f>'5.Infrastructure Annex'!G43</f>
        <v>0</v>
      </c>
      <c r="H122" s="1862">
        <f>'5.Infrastructure Annex'!H43</f>
        <v>0</v>
      </c>
      <c r="I122" s="1862">
        <f>'5.Infrastructure Annex'!I43</f>
        <v>0</v>
      </c>
      <c r="J122" s="1862">
        <f>'5.Infrastructure Annex'!J43</f>
        <v>0</v>
      </c>
      <c r="K122" s="1862">
        <f>'5.Infrastructure Annex'!K43</f>
        <v>0</v>
      </c>
      <c r="L122" s="962">
        <f>'5.Infrastructure Annex'!L43</f>
        <v>0</v>
      </c>
      <c r="M122" s="1862">
        <f>'5.Infrastructure Annex'!M43</f>
        <v>0</v>
      </c>
      <c r="N122" s="1862">
        <f>'5.Infrastructure Annex'!N43</f>
        <v>0</v>
      </c>
      <c r="O122" s="962">
        <f>'5.Infrastructure Annex'!O43</f>
        <v>0</v>
      </c>
      <c r="P122" s="2735">
        <f>'5.Infrastructure Annex'!P43</f>
        <v>0</v>
      </c>
      <c r="Q122" s="2739" t="s">
        <v>5521</v>
      </c>
      <c r="R122" s="2729">
        <v>0</v>
      </c>
    </row>
    <row r="123" spans="1:18" s="861" customFormat="1" ht="30">
      <c r="A123" s="2735" t="str">
        <f>'5.Infrastructure Annex'!A63</f>
        <v>5.2.1.7</v>
      </c>
      <c r="B123" s="2735" t="str">
        <f>'5.Infrastructure Annex'!B63</f>
        <v>B.5.6.1</v>
      </c>
      <c r="C123" s="2735" t="str">
        <f>'5.Infrastructure Annex'!C63</f>
        <v>New construction: Facility based new-born care centres (SNCU/NBSU/NBCC/KMC unit)</v>
      </c>
      <c r="D123" s="1862" t="str">
        <f>'5.Infrastructure Annex'!D63</f>
        <v>HSS</v>
      </c>
      <c r="E123" s="1862" t="str">
        <f>'5.Infrastructure Annex'!E63</f>
        <v>HSS/ CH</v>
      </c>
      <c r="F123" s="1862">
        <f>'5.Infrastructure Annex'!F63</f>
        <v>7</v>
      </c>
      <c r="G123" s="1862">
        <f>'5.Infrastructure Annex'!G63</f>
        <v>0</v>
      </c>
      <c r="H123" s="1862">
        <f>'5.Infrastructure Annex'!H63</f>
        <v>50</v>
      </c>
      <c r="I123" s="1862">
        <f>'5.Infrastructure Annex'!I63</f>
        <v>0</v>
      </c>
      <c r="J123" s="1862">
        <f>'5.Infrastructure Annex'!J63</f>
        <v>50</v>
      </c>
      <c r="K123" s="1862">
        <f>'5.Infrastructure Annex'!K63</f>
        <v>0</v>
      </c>
      <c r="L123" s="962">
        <f>'5.Infrastructure Annex'!L63</f>
        <v>0</v>
      </c>
      <c r="M123" s="1862">
        <f>'5.Infrastructure Annex'!M63</f>
        <v>0</v>
      </c>
      <c r="N123" s="1862">
        <f>'5.Infrastructure Annex'!N63</f>
        <v>0</v>
      </c>
      <c r="O123" s="962">
        <f>'5.Infrastructure Annex'!O63</f>
        <v>0</v>
      </c>
      <c r="P123" s="2735">
        <f>'5.Infrastructure Annex'!P63</f>
        <v>0</v>
      </c>
      <c r="Q123" s="2739" t="s">
        <v>5521</v>
      </c>
      <c r="R123" s="2729">
        <v>0</v>
      </c>
    </row>
    <row r="124" spans="1:18" s="861" customFormat="1" ht="75">
      <c r="A124" s="2735" t="str">
        <f>'5.Infrastructure Annex'!A66</f>
        <v>5.2.1.10</v>
      </c>
      <c r="B124" s="2735" t="str">
        <f>'5.Infrastructure Annex'!B66</f>
        <v>A.2.5</v>
      </c>
      <c r="C124" s="2735" t="str">
        <f>'5.Infrastructure Annex'!C66</f>
        <v>Establishment of NRCs</v>
      </c>
      <c r="D124" s="1862" t="str">
        <f>'5.Infrastructure Annex'!D66</f>
        <v>RCH</v>
      </c>
      <c r="E124" s="1862" t="str">
        <f>'5.Infrastructure Annex'!E66</f>
        <v>CH</v>
      </c>
      <c r="F124" s="1862">
        <f>'5.Infrastructure Annex'!F66</f>
        <v>0</v>
      </c>
      <c r="G124" s="1862">
        <f>'5.Infrastructure Annex'!G66</f>
        <v>0</v>
      </c>
      <c r="H124" s="1862">
        <f>'5.Infrastructure Annex'!H66</f>
        <v>0</v>
      </c>
      <c r="I124" s="1862">
        <f>'5.Infrastructure Annex'!I66</f>
        <v>0</v>
      </c>
      <c r="J124" s="1862">
        <f>'5.Infrastructure Annex'!J66</f>
        <v>0</v>
      </c>
      <c r="K124" s="1862">
        <f>'5.Infrastructure Annex'!K66</f>
        <v>1</v>
      </c>
      <c r="L124" s="962">
        <f>'5.Infrastructure Annex'!L66</f>
        <v>200000</v>
      </c>
      <c r="M124" s="1862">
        <f>'5.Infrastructure Annex'!M66</f>
        <v>2</v>
      </c>
      <c r="N124" s="1862">
        <f>'5.Infrastructure Annex'!N66</f>
        <v>4</v>
      </c>
      <c r="O124" s="962">
        <f>'5.Infrastructure Annex'!O66</f>
        <v>8</v>
      </c>
      <c r="P124" s="2735" t="str">
        <f>'5.Infrastructure Annex'!P66</f>
        <v>State plan to establish 4 more NRCs at Hamirpur, Chamba, Sirmour &amp; MC Nerchowk Mandi @ Rs. 2 lacs</v>
      </c>
      <c r="Q124" s="2018" t="s">
        <v>5561</v>
      </c>
      <c r="R124" s="2728">
        <f>2*4</f>
        <v>8</v>
      </c>
    </row>
    <row r="125" spans="1:18" s="861" customFormat="1" ht="45">
      <c r="A125" s="2735" t="str">
        <f>'5.Infrastructure Annex'!A77</f>
        <v>5.2.2.6</v>
      </c>
      <c r="B125" s="2735" t="str">
        <f>'5.Infrastructure Annex'!B77</f>
        <v>B.5.6.2</v>
      </c>
      <c r="C125" s="2735" t="str">
        <f>'5.Infrastructure Annex'!C77</f>
        <v>Carry forward: Facility based new-born care centres (SNCU/NBSU/NBCC/KMC unit/ Mother New-born Care Unit/ State Resource Centre/Paediatric HDU</v>
      </c>
      <c r="D125" s="1862" t="str">
        <f>'5.Infrastructure Annex'!D77</f>
        <v>HSS</v>
      </c>
      <c r="E125" s="1862" t="str">
        <f>'5.Infrastructure Annex'!E77</f>
        <v>HSS/ CH</v>
      </c>
      <c r="F125" s="1862">
        <f>'5.Infrastructure Annex'!F77</f>
        <v>0</v>
      </c>
      <c r="G125" s="1862">
        <f>'5.Infrastructure Annex'!G77</f>
        <v>0</v>
      </c>
      <c r="H125" s="1862">
        <f>'5.Infrastructure Annex'!H77</f>
        <v>0</v>
      </c>
      <c r="I125" s="1862">
        <f>'5.Infrastructure Annex'!I77</f>
        <v>0</v>
      </c>
      <c r="J125" s="1862">
        <f>'5.Infrastructure Annex'!J77</f>
        <v>0</v>
      </c>
      <c r="K125" s="1862">
        <f>'5.Infrastructure Annex'!K77</f>
        <v>0</v>
      </c>
      <c r="L125" s="962">
        <f>'5.Infrastructure Annex'!L77</f>
        <v>0</v>
      </c>
      <c r="M125" s="1862">
        <f>'5.Infrastructure Annex'!M77</f>
        <v>0</v>
      </c>
      <c r="N125" s="1862">
        <f>'5.Infrastructure Annex'!N77</f>
        <v>0</v>
      </c>
      <c r="O125" s="962">
        <f>'5.Infrastructure Annex'!O77</f>
        <v>0</v>
      </c>
      <c r="P125" s="2735">
        <f>'5.Infrastructure Annex'!P77</f>
        <v>0</v>
      </c>
      <c r="Q125" s="2739" t="s">
        <v>5521</v>
      </c>
      <c r="R125" s="2729">
        <v>0</v>
      </c>
    </row>
    <row r="126" spans="1:18" s="861" customFormat="1">
      <c r="A126" s="1858">
        <f>'6.Procurement Annex'!A7</f>
        <v>6</v>
      </c>
      <c r="B126" s="1858"/>
      <c r="C126" s="1859" t="str">
        <f>'6.Procurement Annex'!C7</f>
        <v>Procurement</v>
      </c>
      <c r="D126" s="1860"/>
      <c r="E126" s="1860"/>
      <c r="F126" s="1860"/>
      <c r="G126" s="1860"/>
      <c r="H126" s="994"/>
      <c r="I126" s="1860"/>
      <c r="J126" s="994"/>
      <c r="K126" s="1860"/>
      <c r="L126" s="994"/>
      <c r="M126" s="994"/>
      <c r="N126" s="1866"/>
      <c r="O126" s="1867">
        <f>SUM(O127:O143)</f>
        <v>432.06</v>
      </c>
      <c r="P126" s="1868"/>
      <c r="Q126" s="1889"/>
      <c r="R126" s="2731">
        <f>SUM(R127:R143)</f>
        <v>432.06</v>
      </c>
    </row>
    <row r="127" spans="1:18" s="861" customFormat="1">
      <c r="A127" s="4068" t="str">
        <f>'6.Procurement Annex'!A11</f>
        <v>6.1.1.2</v>
      </c>
      <c r="B127" s="2735" t="str">
        <f>'6-A. Proc. Sub-Annex'!B14</f>
        <v>B16.1.2.1</v>
      </c>
      <c r="C127" s="1861" t="str">
        <f>'6-A. Proc. Sub-Annex'!C14</f>
        <v>Equipment for Paediatric HDU, Emergency, OPD and Ward</v>
      </c>
      <c r="D127" s="1862" t="str">
        <f>'6-A. Proc. Sub-Annex'!D14</f>
        <v>RCH</v>
      </c>
      <c r="E127" s="1862" t="str">
        <f>'6-A. Proc. Sub-Annex'!E14</f>
        <v>CH</v>
      </c>
      <c r="F127" s="1862">
        <f>'6-A. Proc. Sub-Annex'!F14</f>
        <v>1</v>
      </c>
      <c r="G127" s="1862">
        <f>'6-A. Proc. Sub-Annex'!G14</f>
        <v>0</v>
      </c>
      <c r="H127" s="1862">
        <f>'6-A. Proc. Sub-Annex'!H14</f>
        <v>605.34</v>
      </c>
      <c r="I127" s="1862">
        <f>'6-A. Proc. Sub-Annex'!I14</f>
        <v>0</v>
      </c>
      <c r="J127" s="1862">
        <f>'6-A. Proc. Sub-Annex'!J14</f>
        <v>605.34</v>
      </c>
      <c r="K127" s="1862">
        <f>'6-A. Proc. Sub-Annex'!K14</f>
        <v>0</v>
      </c>
      <c r="L127" s="962">
        <f>'6-A. Proc. Sub-Annex'!L14</f>
        <v>0</v>
      </c>
      <c r="M127" s="1862">
        <f>'6-A. Proc. Sub-Annex'!M14</f>
        <v>0</v>
      </c>
      <c r="N127" s="1862">
        <f>'6-A. Proc. Sub-Annex'!N14</f>
        <v>0</v>
      </c>
      <c r="O127" s="962">
        <f>'6-A. Proc. Sub-Annex'!O14</f>
        <v>0</v>
      </c>
      <c r="P127" s="2735">
        <f>'6-A. Proc. Sub-Annex'!P14</f>
        <v>0</v>
      </c>
      <c r="Q127" s="2739" t="s">
        <v>5521</v>
      </c>
      <c r="R127" s="2729">
        <v>0</v>
      </c>
    </row>
    <row r="128" spans="1:18" s="861" customFormat="1" ht="150">
      <c r="A128" s="4068"/>
      <c r="B128" s="2735" t="str">
        <f>'6-A. Proc. Sub-Annex'!B15</f>
        <v>B16.1.2.2</v>
      </c>
      <c r="C128" s="1861" t="str">
        <f>'6-A. Proc. Sub-Annex'!C15</f>
        <v>Digital hemoglobinometer (One digital hemoglobinometer per RBSK Team and One at each Sub-centre/ testing strip)</v>
      </c>
      <c r="D128" s="1862" t="str">
        <f>'6-A. Proc. Sub-Annex'!D15</f>
        <v>RCH</v>
      </c>
      <c r="E128" s="1862" t="str">
        <f>'6-A. Proc. Sub-Annex'!E15</f>
        <v>CH</v>
      </c>
      <c r="F128" s="1862">
        <f>'6-A. Proc. Sub-Annex'!F15</f>
        <v>2246</v>
      </c>
      <c r="G128" s="1862">
        <f>'6-A. Proc. Sub-Annex'!G15</f>
        <v>0</v>
      </c>
      <c r="H128" s="1862">
        <f>'6-A. Proc. Sub-Annex'!H15</f>
        <v>0</v>
      </c>
      <c r="I128" s="1862">
        <f>'6-A. Proc. Sub-Annex'!I15</f>
        <v>0</v>
      </c>
      <c r="J128" s="1862">
        <f>'6-A. Proc. Sub-Annex'!J15</f>
        <v>0</v>
      </c>
      <c r="K128" s="1862">
        <f>'6-A. Proc. Sub-Annex'!K15</f>
        <v>0</v>
      </c>
      <c r="L128" s="962">
        <f>'6-A. Proc. Sub-Annex'!L15</f>
        <v>5000</v>
      </c>
      <c r="M128" s="1862">
        <f>'6-A. Proc. Sub-Annex'!M15</f>
        <v>0.05</v>
      </c>
      <c r="N128" s="1862">
        <f>'6-A. Proc. Sub-Annex'!N15</f>
        <v>2248</v>
      </c>
      <c r="O128" s="962">
        <f>'6-A. Proc. Sub-Annex'!O15</f>
        <v>112.4</v>
      </c>
      <c r="P128" s="2735" t="str">
        <f>'6-A. Proc. Sub-Annex'!P15</f>
        <v>Heamoglobinometers were approved iun 2019-20 at FMR 6.1.1.2.b for an amount of Rs.112.30 LAKH. The process of procurement had been initiated. Tenders have been called and are about to be finalised. Due to no unspent balance under HSS pool, this amount cannot be comitted hence, a fresh approval is being sought.</v>
      </c>
      <c r="Q128" s="2018" t="s">
        <v>5562</v>
      </c>
      <c r="R128" s="2728">
        <f>(2248*5000)/100000</f>
        <v>112.4</v>
      </c>
    </row>
    <row r="129" spans="1:18" s="861" customFormat="1" ht="120">
      <c r="A129" s="4068"/>
      <c r="B129" s="2735">
        <f>'6-A. Proc. Sub-Annex'!B16</f>
        <v>0</v>
      </c>
      <c r="C129" s="1861" t="str">
        <f>'6-A. Proc. Sub-Annex'!C16</f>
        <v>Handheld Pulse Oximeter and nebulizer under SAANS</v>
      </c>
      <c r="D129" s="1862" t="str">
        <f>'6-A. Proc. Sub-Annex'!D16</f>
        <v>RCH</v>
      </c>
      <c r="E129" s="1862" t="str">
        <f>'6-A. Proc. Sub-Annex'!E16</f>
        <v>CH</v>
      </c>
      <c r="F129" s="1862">
        <f>'6-A. Proc. Sub-Annex'!F16</f>
        <v>1</v>
      </c>
      <c r="G129" s="1862">
        <f>'6-A. Proc. Sub-Annex'!G16</f>
        <v>0</v>
      </c>
      <c r="H129" s="1862">
        <f>'6-A. Proc. Sub-Annex'!H16</f>
        <v>2.5</v>
      </c>
      <c r="I129" s="1862">
        <f>'6-A. Proc. Sub-Annex'!I16</f>
        <v>0</v>
      </c>
      <c r="J129" s="1862">
        <f>'6-A. Proc. Sub-Annex'!J16</f>
        <v>2.5</v>
      </c>
      <c r="K129" s="1862">
        <f>'6-A. Proc. Sub-Annex'!K16</f>
        <v>1</v>
      </c>
      <c r="L129" s="962">
        <f>'6-A. Proc. Sub-Annex'!L16</f>
        <v>35000</v>
      </c>
      <c r="M129" s="1862">
        <f>'6-A. Proc. Sub-Annex'!M16</f>
        <v>0.35</v>
      </c>
      <c r="N129" s="1862">
        <f>'6-A. Proc. Sub-Annex'!N16</f>
        <v>50</v>
      </c>
      <c r="O129" s="962">
        <f>'6-A. Proc. Sub-Annex'!O16</f>
        <v>17.5</v>
      </c>
      <c r="P129" s="2735" t="str">
        <f>'6-A. Proc. Sub-Annex'!P16</f>
        <v>State is planing to provide Multimodal  Pulse Oximeter @Rs 35000 for 50 HWCs with high load OPDs in Chamba and Mandi district to facilitate early identitification of pneumonia in age group of 2 months -5 yrs children.Hence reducing IMR and U5MR</v>
      </c>
      <c r="Q129" s="2018" t="s">
        <v>5924</v>
      </c>
      <c r="R129" s="2729">
        <v>17.5</v>
      </c>
    </row>
    <row r="130" spans="1:18" s="861" customFormat="1" ht="90">
      <c r="A130" s="4068"/>
      <c r="B130" s="2735">
        <f>'6-A. Proc. Sub-Annex'!B17</f>
        <v>0</v>
      </c>
      <c r="C130" s="1861" t="str">
        <f>'6-A. Proc. Sub-Annex'!C17</f>
        <v>Furniture for paediatric OPD and ward</v>
      </c>
      <c r="D130" s="1862" t="str">
        <f>'6-A. Proc. Sub-Annex'!D17</f>
        <v>RCH</v>
      </c>
      <c r="E130" s="1862" t="str">
        <f>'6-A. Proc. Sub-Annex'!E17</f>
        <v>CH</v>
      </c>
      <c r="F130" s="1862">
        <f>'6-A. Proc. Sub-Annex'!F17</f>
        <v>0</v>
      </c>
      <c r="G130" s="1862">
        <f>'6-A. Proc. Sub-Annex'!G17</f>
        <v>0</v>
      </c>
      <c r="H130" s="1862">
        <f>'6-A. Proc. Sub-Annex'!H17</f>
        <v>0</v>
      </c>
      <c r="I130" s="1862">
        <f>'6-A. Proc. Sub-Annex'!I17</f>
        <v>0</v>
      </c>
      <c r="J130" s="1862">
        <f>'6-A. Proc. Sub-Annex'!J17</f>
        <v>0</v>
      </c>
      <c r="K130" s="1862">
        <f>'6-A. Proc. Sub-Annex'!K17</f>
        <v>1</v>
      </c>
      <c r="L130" s="962">
        <f>'6-A. Proc. Sub-Annex'!L17</f>
        <v>20000</v>
      </c>
      <c r="M130" s="1862">
        <f>'6-A. Proc. Sub-Annex'!M17</f>
        <v>0.2</v>
      </c>
      <c r="N130" s="1862">
        <f>'6-A. Proc. Sub-Annex'!N17</f>
        <v>15</v>
      </c>
      <c r="O130" s="962">
        <f>'6-A. Proc. Sub-Annex'!O17</f>
        <v>3</v>
      </c>
      <c r="P130" s="2735" t="str">
        <f>'6-A. Proc. Sub-Annex'!P17</f>
        <v>Fund proposed for KMC chairs for the replacement of worn out KMC chairs in SNCUs</v>
      </c>
      <c r="Q130" s="2018" t="s">
        <v>5563</v>
      </c>
      <c r="R130" s="2728">
        <f>15*20000/100000</f>
        <v>3</v>
      </c>
    </row>
    <row r="131" spans="1:18" s="861" customFormat="1" ht="240">
      <c r="A131" s="4068"/>
      <c r="B131" s="2735" t="str">
        <f>'6-A. Proc. Sub-Annex'!B18</f>
        <v>B16.1.2.2</v>
      </c>
      <c r="C131" s="1861" t="str">
        <f>'6-A. Proc. Sub-Annex'!C18</f>
        <v>Any other equipment (including equipment for SRC/MNCU/SNCU/ NBSU/NBCC/NRC/ etc</v>
      </c>
      <c r="D131" s="1862" t="str">
        <f>'6-A. Proc. Sub-Annex'!D18</f>
        <v>RCH</v>
      </c>
      <c r="E131" s="1862" t="str">
        <f>'6-A. Proc. Sub-Annex'!E18</f>
        <v>CH</v>
      </c>
      <c r="F131" s="1862">
        <f>'6-A. Proc. Sub-Annex'!F18</f>
        <v>0</v>
      </c>
      <c r="G131" s="1862">
        <f>'6-A. Proc. Sub-Annex'!G18</f>
        <v>0</v>
      </c>
      <c r="H131" s="1862">
        <f>'6-A. Proc. Sub-Annex'!H18</f>
        <v>0</v>
      </c>
      <c r="I131" s="1862">
        <f>'6-A. Proc. Sub-Annex'!I18</f>
        <v>0</v>
      </c>
      <c r="J131" s="1862">
        <f>'6-A. Proc. Sub-Annex'!J18</f>
        <v>0</v>
      </c>
      <c r="K131" s="1862">
        <f>'6-A. Proc. Sub-Annex'!K18</f>
        <v>1</v>
      </c>
      <c r="L131" s="962">
        <f>'6-A. Proc. Sub-Annex'!L18</f>
        <v>5016000</v>
      </c>
      <c r="M131" s="1862">
        <f>'6-A. Proc. Sub-Annex'!M18</f>
        <v>50.16</v>
      </c>
      <c r="N131" s="1862">
        <f>'6-A. Proc. Sub-Annex'!N18</f>
        <v>1</v>
      </c>
      <c r="O131" s="962">
        <f>'6-A. Proc. Sub-Annex'!O18</f>
        <v>50.16</v>
      </c>
      <c r="P131" s="2735" t="str">
        <f>'6-A. Proc. Sub-Annex'!P18</f>
        <v>Annexure attahced</v>
      </c>
      <c r="Q131" s="2018" t="s">
        <v>5925</v>
      </c>
      <c r="R131" s="2729">
        <v>50.16</v>
      </c>
    </row>
    <row r="132" spans="1:18" s="861" customFormat="1" ht="75">
      <c r="A132" s="107" t="str">
        <f>'6.Procurement Annex'!A28</f>
        <v>6.1.3.2</v>
      </c>
      <c r="B132" s="2735" t="str">
        <f>'6-A. Proc. Sub-Annex'!B71</f>
        <v>A.2.9.1</v>
      </c>
      <c r="C132" s="1861" t="str">
        <f>'6-A. Proc. Sub-Annex'!C71</f>
        <v>Free Diagnostics for Sick infants under JSSK</v>
      </c>
      <c r="D132" s="1862" t="str">
        <f>'6-A. Proc. Sub-Annex'!D71</f>
        <v>RCH</v>
      </c>
      <c r="E132" s="1862" t="str">
        <f>'6-A. Proc. Sub-Annex'!E71</f>
        <v>CH</v>
      </c>
      <c r="F132" s="1862">
        <f>'6-A. Proc. Sub-Annex'!F71</f>
        <v>1</v>
      </c>
      <c r="G132" s="1862">
        <f>'6-A. Proc. Sub-Annex'!G71</f>
        <v>15224</v>
      </c>
      <c r="H132" s="1862">
        <f>'6-A. Proc. Sub-Annex'!H71</f>
        <v>102.49</v>
      </c>
      <c r="I132" s="1862">
        <f>'6-A. Proc. Sub-Annex'!I71</f>
        <v>45.72</v>
      </c>
      <c r="J132" s="1862">
        <f>'6-A. Proc. Sub-Annex'!J71</f>
        <v>56.77</v>
      </c>
      <c r="K132" s="1862">
        <f>'6-A. Proc. Sub-Annex'!K71</f>
        <v>0</v>
      </c>
      <c r="L132" s="962">
        <f>'6-A. Proc. Sub-Annex'!L71</f>
        <v>300</v>
      </c>
      <c r="M132" s="1862">
        <f>'6-A. Proc. Sub-Annex'!M71</f>
        <v>3.0000000000000001E-3</v>
      </c>
      <c r="N132" s="1862">
        <f>'6-A. Proc. Sub-Annex'!N71</f>
        <v>33000</v>
      </c>
      <c r="O132" s="962">
        <f>'6-A. Proc. Sub-Annex'!O71</f>
        <v>99</v>
      </c>
      <c r="P132" s="2735" t="str">
        <f>'6-A. Proc. Sub-Annex'!P71</f>
        <v>Estimated sick infant (50% of Live Births)= 33000. The funds proposed as per new guidelines @ Rs.300 per sick infant i.e. 33000 Sick infdants x Rs.300 = Rs. 99 Lakh</v>
      </c>
      <c r="Q132" s="2018" t="s">
        <v>5564</v>
      </c>
      <c r="R132" s="2728">
        <f>33000*300/100000</f>
        <v>99</v>
      </c>
    </row>
    <row r="133" spans="1:18" s="861" customFormat="1" ht="60">
      <c r="A133" s="4068" t="str">
        <f>'6.Procurement Annex'!A57</f>
        <v>6.2.1.2</v>
      </c>
      <c r="B133" s="2735" t="str">
        <f>'6-A. Proc. Sub-Annex'!B161</f>
        <v>B.16.2.2.1</v>
      </c>
      <c r="C133" s="1861" t="str">
        <f>'6-A. Proc. Sub-Annex'!C161</f>
        <v>JSSK drugs and consumables</v>
      </c>
      <c r="D133" s="1862" t="str">
        <f>'6-A. Proc. Sub-Annex'!D161</f>
        <v>RCH</v>
      </c>
      <c r="E133" s="1862" t="str">
        <f>'6-A. Proc. Sub-Annex'!E161</f>
        <v>CH</v>
      </c>
      <c r="F133" s="1862">
        <f>'6-A. Proc. Sub-Annex'!F161</f>
        <v>1</v>
      </c>
      <c r="G133" s="1862">
        <f>'6-A. Proc. Sub-Annex'!G161</f>
        <v>27880</v>
      </c>
      <c r="H133" s="1862">
        <f>'6-A. Proc. Sub-Annex'!H161</f>
        <v>104.06</v>
      </c>
      <c r="I133" s="1862">
        <f>'6-A. Proc. Sub-Annex'!I161</f>
        <v>114.42</v>
      </c>
      <c r="J133" s="1862">
        <f>'6-A. Proc. Sub-Annex'!J161</f>
        <v>-10.36</v>
      </c>
      <c r="K133" s="1862">
        <f>'6-A. Proc. Sub-Annex'!K161</f>
        <v>0</v>
      </c>
      <c r="L133" s="962">
        <f>'6-A. Proc. Sub-Annex'!L161</f>
        <v>400</v>
      </c>
      <c r="M133" s="1862">
        <f>'6-A. Proc. Sub-Annex'!M161</f>
        <v>4.0000000000000001E-3</v>
      </c>
      <c r="N133" s="1862">
        <f>'6-A. Proc. Sub-Annex'!N161</f>
        <v>37500</v>
      </c>
      <c r="O133" s="962">
        <f>'6-A. Proc. Sub-Annex'!O161</f>
        <v>150</v>
      </c>
      <c r="P133" s="2735" t="str">
        <f>'6-A. Proc. Sub-Annex'!P161</f>
        <v>As per D.O. estimated 0-1 yr children is 113570. The budget has been built @ RS.400 per infant i.e. Rs.400 x 37500 infants = Rs. 15000000</v>
      </c>
      <c r="Q133" s="2018" t="s">
        <v>5565</v>
      </c>
      <c r="R133" s="2728">
        <f>37500*400/100000</f>
        <v>150</v>
      </c>
    </row>
    <row r="134" spans="1:18" s="861" customFormat="1">
      <c r="A134" s="4068"/>
      <c r="B134" s="2735" t="str">
        <f>'6-A. Proc. Sub-Annex'!B162</f>
        <v>B.16.2.6</v>
      </c>
      <c r="C134" s="1861" t="str">
        <f>'6-A. Proc. Sub-Annex'!C162</f>
        <v>Drugs &amp; Supplies for NIPI and National Deworming Day</v>
      </c>
      <c r="D134" s="1862" t="str">
        <f>'6-A. Proc. Sub-Annex'!D162</f>
        <v>RCH</v>
      </c>
      <c r="E134" s="1862" t="str">
        <f>'6-A. Proc. Sub-Annex'!E162</f>
        <v>CH</v>
      </c>
      <c r="F134" s="1862">
        <f>'6-A. Proc. Sub-Annex'!F162</f>
        <v>0</v>
      </c>
      <c r="G134" s="1862">
        <f>'6-A. Proc. Sub-Annex'!G162</f>
        <v>0</v>
      </c>
      <c r="H134" s="1862">
        <f>'6-A. Proc. Sub-Annex'!H162</f>
        <v>0</v>
      </c>
      <c r="I134" s="1862">
        <f>'6-A. Proc. Sub-Annex'!I162</f>
        <v>0</v>
      </c>
      <c r="J134" s="1862">
        <f>'6-A. Proc. Sub-Annex'!J162</f>
        <v>0</v>
      </c>
      <c r="K134" s="1862">
        <f>'6-A. Proc. Sub-Annex'!K162</f>
        <v>0</v>
      </c>
      <c r="L134" s="962">
        <f>'6-A. Proc. Sub-Annex'!L162</f>
        <v>0</v>
      </c>
      <c r="M134" s="1862">
        <f>'6-A. Proc. Sub-Annex'!M162</f>
        <v>0</v>
      </c>
      <c r="N134" s="1862">
        <f>'6-A. Proc. Sub-Annex'!N162</f>
        <v>0</v>
      </c>
      <c r="O134" s="962">
        <f>'6-A. Proc. Sub-Annex'!O162</f>
        <v>0</v>
      </c>
      <c r="P134" s="2735">
        <f>'6-A. Proc. Sub-Annex'!P162</f>
        <v>0</v>
      </c>
      <c r="Q134" s="2018" t="s">
        <v>5521</v>
      </c>
      <c r="R134" s="2711">
        <v>0</v>
      </c>
    </row>
    <row r="135" spans="1:18" s="861" customFormat="1" ht="30">
      <c r="A135" s="4068"/>
      <c r="B135" s="2735" t="str">
        <f>'6-A. Proc. Sub-Annex'!B163</f>
        <v>B.16.2.6.1.a</v>
      </c>
      <c r="C135" s="1861" t="str">
        <f>'6-A. Proc. Sub-Annex'!C163</f>
        <v>IFA syrups (with auto dispenser) for children (6-60months)</v>
      </c>
      <c r="D135" s="1862" t="str">
        <f>'6-A. Proc. Sub-Annex'!D163</f>
        <v>RCH</v>
      </c>
      <c r="E135" s="1862" t="str">
        <f>'6-A. Proc. Sub-Annex'!E163</f>
        <v>CH</v>
      </c>
      <c r="F135" s="1862">
        <f>'6-A. Proc. Sub-Annex'!F163</f>
        <v>70000000</v>
      </c>
      <c r="G135" s="1862">
        <f>'6-A. Proc. Sub-Annex'!G163</f>
        <v>0</v>
      </c>
      <c r="H135" s="1862">
        <f>'6-A. Proc. Sub-Annex'!H163</f>
        <v>0</v>
      </c>
      <c r="I135" s="1862">
        <f>'6-A. Proc. Sub-Annex'!I163</f>
        <v>0</v>
      </c>
      <c r="J135" s="1862">
        <f>'6-A. Proc. Sub-Annex'!J163</f>
        <v>0</v>
      </c>
      <c r="K135" s="1862">
        <f>'6-A. Proc. Sub-Annex'!K163</f>
        <v>0</v>
      </c>
      <c r="L135" s="962">
        <f>'6-A. Proc. Sub-Annex'!L163</f>
        <v>0</v>
      </c>
      <c r="M135" s="1862">
        <f>'6-A. Proc. Sub-Annex'!M163</f>
        <v>0</v>
      </c>
      <c r="N135" s="1862">
        <f>'6-A. Proc. Sub-Annex'!N163</f>
        <v>0</v>
      </c>
      <c r="O135" s="962">
        <f>'6-A. Proc. Sub-Annex'!O163</f>
        <v>0</v>
      </c>
      <c r="P135" s="2735" t="str">
        <f>'6-A. Proc. Sub-Annex'!P163</f>
        <v xml:space="preserve">Central procurement to be received from GoI </v>
      </c>
      <c r="Q135" s="2018" t="s">
        <v>5566</v>
      </c>
      <c r="R135" s="2729">
        <v>0</v>
      </c>
    </row>
    <row r="136" spans="1:18" s="861" customFormat="1" ht="120">
      <c r="A136" s="4068"/>
      <c r="B136" s="2735" t="str">
        <f>'6-A. Proc. Sub-Annex'!B164</f>
        <v>B.16.2.6.1.b</v>
      </c>
      <c r="C136" s="1861" t="str">
        <f>'6-A. Proc. Sub-Annex'!C164</f>
        <v>Albendazole Tablets for children (6-60months)</v>
      </c>
      <c r="D136" s="1862" t="str">
        <f>'6-A. Proc. Sub-Annex'!D164</f>
        <v>RCH</v>
      </c>
      <c r="E136" s="1862" t="str">
        <f>'6-A. Proc. Sub-Annex'!E164</f>
        <v>CH</v>
      </c>
      <c r="F136" s="1862">
        <f>'6-A. Proc. Sub-Annex'!F164</f>
        <v>1400000</v>
      </c>
      <c r="G136" s="1862">
        <f>'6-A. Proc. Sub-Annex'!G164</f>
        <v>0</v>
      </c>
      <c r="H136" s="1862">
        <f>'6-A. Proc. Sub-Annex'!H164</f>
        <v>28</v>
      </c>
      <c r="I136" s="1862">
        <f>'6-A. Proc. Sub-Annex'!I164</f>
        <v>3.03</v>
      </c>
      <c r="J136" s="1862">
        <f>'6-A. Proc. Sub-Annex'!J164</f>
        <v>24.97</v>
      </c>
      <c r="K136" s="1862">
        <f>'6-A. Proc. Sub-Annex'!K164</f>
        <v>0</v>
      </c>
      <c r="L136" s="962">
        <f>'6-A. Proc. Sub-Annex'!L164</f>
        <v>0</v>
      </c>
      <c r="M136" s="1862">
        <f>'6-A. Proc. Sub-Annex'!M164</f>
        <v>0</v>
      </c>
      <c r="N136" s="1862">
        <f>'6-A. Proc. Sub-Annex'!N164</f>
        <v>0</v>
      </c>
      <c r="O136" s="962">
        <f>'6-A. Proc. Sub-Annex'!O164</f>
        <v>0</v>
      </c>
      <c r="P136" s="2735" t="str">
        <f>'6-A. Proc. Sub-Annex'!P164</f>
        <v xml:space="preserve">Since State STH prevalence rate is 0.3% as per survey report of GoI June 2019. Hence it is proposed that if one round of NDD is conducted then the procurement of Albendazole may be done from Free drugs (FMR 6.2.21.1) as it is part of essential drug list. </v>
      </c>
      <c r="Q136" s="2018" t="s">
        <v>5567</v>
      </c>
      <c r="R136" s="2729">
        <v>0</v>
      </c>
    </row>
    <row r="137" spans="1:18" s="861" customFormat="1" ht="30">
      <c r="A137" s="4068"/>
      <c r="B137" s="2735" t="str">
        <f>'6-A. Proc. Sub-Annex'!B165</f>
        <v>B.16.2.6.2.a</v>
      </c>
      <c r="C137" s="1861" t="str">
        <f>'6-A. Proc. Sub-Annex'!C165</f>
        <v>IFA tablets  (IFA WIFS Junior tablets- pink sugar coated) for children (5-10 yrs.)</v>
      </c>
      <c r="D137" s="1862" t="str">
        <f>'6-A. Proc. Sub-Annex'!D165</f>
        <v>RCH</v>
      </c>
      <c r="E137" s="1862" t="str">
        <f>'6-A. Proc. Sub-Annex'!E165</f>
        <v>CH</v>
      </c>
      <c r="F137" s="1862">
        <f>'6-A. Proc. Sub-Annex'!F165</f>
        <v>26000000</v>
      </c>
      <c r="G137" s="1862">
        <f>'6-A. Proc. Sub-Annex'!G165</f>
        <v>0</v>
      </c>
      <c r="H137" s="1862">
        <f>'6-A. Proc. Sub-Annex'!H165</f>
        <v>0</v>
      </c>
      <c r="I137" s="1862">
        <f>'6-A. Proc. Sub-Annex'!I165</f>
        <v>0</v>
      </c>
      <c r="J137" s="1862">
        <f>'6-A. Proc. Sub-Annex'!J165</f>
        <v>0</v>
      </c>
      <c r="K137" s="1862">
        <f>'6-A. Proc. Sub-Annex'!K165</f>
        <v>0</v>
      </c>
      <c r="L137" s="962">
        <f>'6-A. Proc. Sub-Annex'!L165</f>
        <v>0</v>
      </c>
      <c r="M137" s="1862">
        <f>'6-A. Proc. Sub-Annex'!M165</f>
        <v>0</v>
      </c>
      <c r="N137" s="1862">
        <f>'6-A. Proc. Sub-Annex'!N165</f>
        <v>0</v>
      </c>
      <c r="O137" s="962">
        <f>'6-A. Proc. Sub-Annex'!O165</f>
        <v>0</v>
      </c>
      <c r="P137" s="2735" t="str">
        <f>'6-A. Proc. Sub-Annex'!P165</f>
        <v xml:space="preserve">Central procurement to be received from GoI </v>
      </c>
      <c r="Q137" s="2018" t="s">
        <v>5566</v>
      </c>
      <c r="R137" s="2729">
        <v>0</v>
      </c>
    </row>
    <row r="138" spans="1:18" s="861" customFormat="1" ht="120">
      <c r="A138" s="4068"/>
      <c r="B138" s="2735" t="str">
        <f>'6-A. Proc. Sub-Annex'!B166</f>
        <v>B.16.2.6.2.b</v>
      </c>
      <c r="C138" s="1861" t="str">
        <f>'6-A. Proc. Sub-Annex'!C166</f>
        <v>Albendazole Tablets for children (5-10 yrs.)</v>
      </c>
      <c r="D138" s="1862" t="str">
        <f>'6-A. Proc. Sub-Annex'!D166</f>
        <v>RCH</v>
      </c>
      <c r="E138" s="1862" t="str">
        <f>'6-A. Proc. Sub-Annex'!E166</f>
        <v>CH</v>
      </c>
      <c r="F138" s="1862">
        <f>'6-A. Proc. Sub-Annex'!F166</f>
        <v>1000000</v>
      </c>
      <c r="G138" s="1862">
        <f>'6-A. Proc. Sub-Annex'!G166</f>
        <v>0</v>
      </c>
      <c r="H138" s="1862">
        <f>'6-A. Proc. Sub-Annex'!H166</f>
        <v>20</v>
      </c>
      <c r="I138" s="1862">
        <f>'6-A. Proc. Sub-Annex'!I166</f>
        <v>0.46</v>
      </c>
      <c r="J138" s="1862">
        <f>'6-A. Proc. Sub-Annex'!J166</f>
        <v>19.54</v>
      </c>
      <c r="K138" s="1862">
        <f>'6-A. Proc. Sub-Annex'!K166</f>
        <v>0</v>
      </c>
      <c r="L138" s="962">
        <f>'6-A. Proc. Sub-Annex'!L166</f>
        <v>0</v>
      </c>
      <c r="M138" s="1862">
        <f>'6-A. Proc. Sub-Annex'!M166</f>
        <v>0</v>
      </c>
      <c r="N138" s="1862">
        <f>'6-A. Proc. Sub-Annex'!N166</f>
        <v>0</v>
      </c>
      <c r="O138" s="962">
        <f>'6-A. Proc. Sub-Annex'!O166</f>
        <v>0</v>
      </c>
      <c r="P138" s="2735" t="str">
        <f>'6-A. Proc. Sub-Annex'!P166</f>
        <v xml:space="preserve">Since State STH prevalence rate is 0.3% as per survey report of GoI June 2019. Hence it is proposed that if one round of NDD is conducted then the procurement of Albendazole may be done from Free drugs (FMR 6.2.21.1) as it is part of essential drug list. </v>
      </c>
      <c r="Q138" s="2018" t="s">
        <v>5568</v>
      </c>
      <c r="R138" s="2729">
        <v>0</v>
      </c>
    </row>
    <row r="139" spans="1:18" s="861" customFormat="1" ht="45">
      <c r="A139" s="4068"/>
      <c r="B139" s="2735" t="str">
        <f>'6-A. Proc. Sub-Annex'!B167</f>
        <v>B.16.2.2.2</v>
      </c>
      <c r="C139" s="1861" t="str">
        <f>'6-A. Proc. Sub-Annex'!C167</f>
        <v>Vitamin A syrup</v>
      </c>
      <c r="D139" s="1862" t="str">
        <f>'6-A. Proc. Sub-Annex'!D167</f>
        <v>RCH</v>
      </c>
      <c r="E139" s="1862" t="str">
        <f>'6-A. Proc. Sub-Annex'!E167</f>
        <v>CH</v>
      </c>
      <c r="F139" s="1862">
        <f>'6-A. Proc. Sub-Annex'!F167</f>
        <v>70000</v>
      </c>
      <c r="G139" s="1862">
        <f>'6-A. Proc. Sub-Annex'!G167</f>
        <v>0</v>
      </c>
      <c r="H139" s="1862">
        <f>'6-A. Proc. Sub-Annex'!H167</f>
        <v>45.5</v>
      </c>
      <c r="I139" s="1862">
        <f>'6-A. Proc. Sub-Annex'!I167</f>
        <v>0</v>
      </c>
      <c r="J139" s="1862">
        <f>'6-A. Proc. Sub-Annex'!J167</f>
        <v>45.5</v>
      </c>
      <c r="K139" s="1862">
        <f>'6-A. Proc. Sub-Annex'!K167</f>
        <v>0</v>
      </c>
      <c r="L139" s="962">
        <f>'6-A. Proc. Sub-Annex'!L167</f>
        <v>0</v>
      </c>
      <c r="M139" s="1862">
        <f>'6-A. Proc. Sub-Annex'!M167</f>
        <v>0</v>
      </c>
      <c r="N139" s="1862">
        <f>'6-A. Proc. Sub-Annex'!N167</f>
        <v>0</v>
      </c>
      <c r="O139" s="962">
        <f>'6-A. Proc. Sub-Annex'!O167</f>
        <v>0</v>
      </c>
      <c r="P139" s="2735" t="str">
        <f>'6-A. Proc. Sub-Annex'!P167</f>
        <v xml:space="preserve">Funds have been proposed under FMR  6.2.21.1 Free Drugs </v>
      </c>
      <c r="Q139" s="2018" t="s">
        <v>5569</v>
      </c>
      <c r="R139" s="2729">
        <v>0</v>
      </c>
    </row>
    <row r="140" spans="1:18" s="861" customFormat="1" ht="45">
      <c r="A140" s="4068"/>
      <c r="B140" s="2735" t="str">
        <f>'6-A. Proc. Sub-Annex'!B169</f>
        <v>B.16.2.2.3</v>
      </c>
      <c r="C140" s="1861" t="str">
        <f>'6-A. Proc. Sub-Annex'!C169</f>
        <v>ORS</v>
      </c>
      <c r="D140" s="1862" t="str">
        <f>'6-A. Proc. Sub-Annex'!D169</f>
        <v>RCH</v>
      </c>
      <c r="E140" s="1862" t="str">
        <f>'6-A. Proc. Sub-Annex'!E169</f>
        <v>CH</v>
      </c>
      <c r="F140" s="1862">
        <f>'6-A. Proc. Sub-Annex'!F169</f>
        <v>700000</v>
      </c>
      <c r="G140" s="1862">
        <f>'6-A. Proc. Sub-Annex'!G169</f>
        <v>0</v>
      </c>
      <c r="H140" s="1862">
        <f>'6-A. Proc. Sub-Annex'!H169</f>
        <v>49</v>
      </c>
      <c r="I140" s="1862">
        <f>'6-A. Proc. Sub-Annex'!I169</f>
        <v>14.88</v>
      </c>
      <c r="J140" s="1862">
        <f>'6-A. Proc. Sub-Annex'!J169</f>
        <v>34.119999999999997</v>
      </c>
      <c r="K140" s="1862">
        <f>'6-A. Proc. Sub-Annex'!K169</f>
        <v>0</v>
      </c>
      <c r="L140" s="962">
        <f>'6-A. Proc. Sub-Annex'!L169</f>
        <v>0</v>
      </c>
      <c r="M140" s="1862">
        <f>'6-A. Proc. Sub-Annex'!M169</f>
        <v>0</v>
      </c>
      <c r="N140" s="1862">
        <f>'6-A. Proc. Sub-Annex'!N169</f>
        <v>0</v>
      </c>
      <c r="O140" s="962">
        <f>'6-A. Proc. Sub-Annex'!O169</f>
        <v>0</v>
      </c>
      <c r="P140" s="2735" t="str">
        <f>'6-A. Proc. Sub-Annex'!P169</f>
        <v xml:space="preserve">Funds have been proposed under FMR 6.2.21.1 Free Drugs </v>
      </c>
      <c r="Q140" s="2018" t="s">
        <v>5570</v>
      </c>
      <c r="R140" s="2729">
        <v>0</v>
      </c>
    </row>
    <row r="141" spans="1:18" s="861" customFormat="1" ht="45">
      <c r="A141" s="4068"/>
      <c r="B141" s="2735" t="str">
        <f>'6-A. Proc. Sub-Annex'!B170</f>
        <v>B.16.2.2.4</v>
      </c>
      <c r="C141" s="1861" t="str">
        <f>'6-A. Proc. Sub-Annex'!C170</f>
        <v>Zinc</v>
      </c>
      <c r="D141" s="1862" t="str">
        <f>'6-A. Proc. Sub-Annex'!D170</f>
        <v>RCH</v>
      </c>
      <c r="E141" s="1862" t="str">
        <f>'6-A. Proc. Sub-Annex'!E170</f>
        <v>CH</v>
      </c>
      <c r="F141" s="1862">
        <f>'6-A. Proc. Sub-Annex'!F170</f>
        <v>9800000</v>
      </c>
      <c r="G141" s="1862">
        <f>'6-A. Proc. Sub-Annex'!G170</f>
        <v>0</v>
      </c>
      <c r="H141" s="1862">
        <f>'6-A. Proc. Sub-Annex'!H170</f>
        <v>19.600000000000001</v>
      </c>
      <c r="I141" s="1862">
        <f>'6-A. Proc. Sub-Annex'!I170</f>
        <v>1.01</v>
      </c>
      <c r="J141" s="1862">
        <f>'6-A. Proc. Sub-Annex'!J170</f>
        <v>18.59</v>
      </c>
      <c r="K141" s="1862">
        <f>'6-A. Proc. Sub-Annex'!K170</f>
        <v>0</v>
      </c>
      <c r="L141" s="962">
        <f>'6-A. Proc. Sub-Annex'!L170</f>
        <v>0</v>
      </c>
      <c r="M141" s="1862">
        <f>'6-A. Proc. Sub-Annex'!M170</f>
        <v>0</v>
      </c>
      <c r="N141" s="1862">
        <f>'6-A. Proc. Sub-Annex'!N170</f>
        <v>0</v>
      </c>
      <c r="O141" s="962">
        <f>'6-A. Proc. Sub-Annex'!O170</f>
        <v>0</v>
      </c>
      <c r="P141" s="2735" t="str">
        <f>'6-A. Proc. Sub-Annex'!P170</f>
        <v xml:space="preserve">Funds have been proposed under FMR 6.2.21.1  Free Drugs </v>
      </c>
      <c r="Q141" s="2018" t="s">
        <v>5571</v>
      </c>
      <c r="R141" s="2729">
        <v>0</v>
      </c>
    </row>
    <row r="142" spans="1:18" s="861" customFormat="1">
      <c r="A142" s="4068"/>
      <c r="B142" s="2735">
        <f>'6-A. Proc. Sub-Annex'!B171</f>
        <v>0</v>
      </c>
      <c r="C142" s="1861" t="str">
        <f>'6-A. Proc. Sub-Annex'!C171</f>
        <v>Others (please specify)</v>
      </c>
      <c r="D142" s="1862" t="str">
        <f>'6-A. Proc. Sub-Annex'!D171</f>
        <v>RCH</v>
      </c>
      <c r="E142" s="1862" t="str">
        <f>'6-A. Proc. Sub-Annex'!E171</f>
        <v>CH</v>
      </c>
      <c r="F142" s="1862">
        <f>'6-A. Proc. Sub-Annex'!F171</f>
        <v>0</v>
      </c>
      <c r="G142" s="1862">
        <f>'6-A. Proc. Sub-Annex'!G171</f>
        <v>0</v>
      </c>
      <c r="H142" s="1862">
        <f>'6-A. Proc. Sub-Annex'!H171</f>
        <v>0</v>
      </c>
      <c r="I142" s="1862">
        <f>'6-A. Proc. Sub-Annex'!I171</f>
        <v>0</v>
      </c>
      <c r="J142" s="1862">
        <f>'6-A. Proc. Sub-Annex'!J171</f>
        <v>0</v>
      </c>
      <c r="K142" s="1862">
        <f>'6-A. Proc. Sub-Annex'!K171</f>
        <v>0</v>
      </c>
      <c r="L142" s="962">
        <f>'6-A. Proc. Sub-Annex'!L171</f>
        <v>0</v>
      </c>
      <c r="M142" s="1862">
        <f>'6-A. Proc. Sub-Annex'!M171</f>
        <v>0</v>
      </c>
      <c r="N142" s="1862">
        <f>'6-A. Proc. Sub-Annex'!N171</f>
        <v>0</v>
      </c>
      <c r="O142" s="962">
        <f>'6-A. Proc. Sub-Annex'!O171</f>
        <v>0</v>
      </c>
      <c r="P142" s="2735">
        <f>'6-A. Proc. Sub-Annex'!P171</f>
        <v>0</v>
      </c>
      <c r="Q142" s="108" t="s">
        <v>5521</v>
      </c>
      <c r="R142" s="2729">
        <v>0</v>
      </c>
    </row>
    <row r="143" spans="1:18" s="861" customFormat="1">
      <c r="A143" s="4068"/>
      <c r="B143" s="2735">
        <f>'6-A. Proc. Sub-Annex'!B172</f>
        <v>0</v>
      </c>
      <c r="C143" s="1861" t="str">
        <f>'6-A. Proc. Sub-Annex'!C172</f>
        <v>Any other Drugs &amp; Supplies (Please specify)</v>
      </c>
      <c r="D143" s="1862" t="str">
        <f>'6-A. Proc. Sub-Annex'!D172</f>
        <v>RCH</v>
      </c>
      <c r="E143" s="1862" t="str">
        <f>'6-A. Proc. Sub-Annex'!E172</f>
        <v>CH</v>
      </c>
      <c r="F143" s="1862">
        <f>'6-A. Proc. Sub-Annex'!F172</f>
        <v>0</v>
      </c>
      <c r="G143" s="1862">
        <f>'6-A. Proc. Sub-Annex'!G172</f>
        <v>0</v>
      </c>
      <c r="H143" s="1862">
        <f>'6-A. Proc. Sub-Annex'!H172</f>
        <v>0</v>
      </c>
      <c r="I143" s="1862">
        <f>'6-A. Proc. Sub-Annex'!I172</f>
        <v>0</v>
      </c>
      <c r="J143" s="1862">
        <f>'6-A. Proc. Sub-Annex'!J172</f>
        <v>0</v>
      </c>
      <c r="K143" s="1862">
        <f>'6-A. Proc. Sub-Annex'!K172</f>
        <v>0</v>
      </c>
      <c r="L143" s="962">
        <f>'6-A. Proc. Sub-Annex'!L172</f>
        <v>0</v>
      </c>
      <c r="M143" s="1862">
        <f>'6-A. Proc. Sub-Annex'!M172</f>
        <v>0</v>
      </c>
      <c r="N143" s="1862">
        <f>'6-A. Proc. Sub-Annex'!N172</f>
        <v>0</v>
      </c>
      <c r="O143" s="962">
        <f>'6-A. Proc. Sub-Annex'!O172</f>
        <v>0</v>
      </c>
      <c r="P143" s="2735">
        <f>'6-A. Proc. Sub-Annex'!P172</f>
        <v>0</v>
      </c>
      <c r="Q143" s="108" t="s">
        <v>5521</v>
      </c>
      <c r="R143" s="2729">
        <v>0</v>
      </c>
    </row>
    <row r="144" spans="1:18" s="861" customFormat="1">
      <c r="A144" s="1858">
        <f>'7.Referral Transport Annex'!A7</f>
        <v>7</v>
      </c>
      <c r="B144" s="1865"/>
      <c r="C144" s="1859" t="str">
        <f>'7.Referral Transport Annex'!C7</f>
        <v>Referral Transport</v>
      </c>
      <c r="D144" s="1860"/>
      <c r="E144" s="1860"/>
      <c r="F144" s="1860"/>
      <c r="G144" s="1860"/>
      <c r="H144" s="994"/>
      <c r="I144" s="1860"/>
      <c r="J144" s="994"/>
      <c r="K144" s="1860"/>
      <c r="L144" s="994"/>
      <c r="M144" s="994"/>
      <c r="N144" s="1866"/>
      <c r="O144" s="1867">
        <f>SUM(O145:O145)</f>
        <v>0</v>
      </c>
      <c r="P144" s="1868"/>
      <c r="Q144" s="1889"/>
      <c r="R144" s="2768">
        <f>SUM(R145:R145)</f>
        <v>0</v>
      </c>
    </row>
    <row r="145" spans="1:18" s="861" customFormat="1">
      <c r="A145" s="2735">
        <f>'7.Referral Transport Annex'!A9</f>
        <v>7.2</v>
      </c>
      <c r="B145" s="2735" t="str">
        <f>'7.Referral Transport Annex'!B9</f>
        <v>A.2.9.2</v>
      </c>
      <c r="C145" s="1861" t="str">
        <f>'7.Referral Transport Annex'!C9</f>
        <v>Free Referral Transport - JSSK for Sick Infants</v>
      </c>
      <c r="D145" s="1862" t="str">
        <f>'7.Referral Transport Annex'!D9</f>
        <v>RCH</v>
      </c>
      <c r="E145" s="1862" t="str">
        <f>'7.Referral Transport Annex'!E9</f>
        <v>CH</v>
      </c>
      <c r="F145" s="1862">
        <f>'7.Referral Transport Annex'!F9</f>
        <v>0</v>
      </c>
      <c r="G145" s="1862">
        <f>'7.Referral Transport Annex'!G9</f>
        <v>0</v>
      </c>
      <c r="H145" s="1862">
        <f>'7.Referral Transport Annex'!H9</f>
        <v>0</v>
      </c>
      <c r="I145" s="1862">
        <f>'7.Referral Transport Annex'!I9</f>
        <v>0</v>
      </c>
      <c r="J145" s="1862">
        <f>'7.Referral Transport Annex'!J9</f>
        <v>0</v>
      </c>
      <c r="K145" s="1862">
        <f>'7.Referral Transport Annex'!K9</f>
        <v>0</v>
      </c>
      <c r="L145" s="962">
        <f>'7.Referral Transport Annex'!L9</f>
        <v>0</v>
      </c>
      <c r="M145" s="1862">
        <f>'7.Referral Transport Annex'!M9</f>
        <v>0</v>
      </c>
      <c r="N145" s="1862">
        <f>'7.Referral Transport Annex'!N9</f>
        <v>0</v>
      </c>
      <c r="O145" s="962">
        <f>'7.Referral Transport Annex'!O9</f>
        <v>0</v>
      </c>
      <c r="P145" s="2735">
        <f>'7.Referral Transport Annex'!P9</f>
        <v>0</v>
      </c>
      <c r="Q145" s="108" t="s">
        <v>5521</v>
      </c>
      <c r="R145" s="2729">
        <v>0</v>
      </c>
    </row>
    <row r="146" spans="1:18" s="861" customFormat="1">
      <c r="A146" s="1858">
        <f>'9.Training Annex'!A7</f>
        <v>9</v>
      </c>
      <c r="B146" s="1858"/>
      <c r="C146" s="1859" t="str">
        <f>'9.Training Annex'!C7</f>
        <v>Training and Capacity Building</v>
      </c>
      <c r="D146" s="1860"/>
      <c r="E146" s="1860"/>
      <c r="F146" s="1860"/>
      <c r="G146" s="1860"/>
      <c r="H146" s="1860"/>
      <c r="I146" s="1860"/>
      <c r="J146" s="1860"/>
      <c r="K146" s="1860"/>
      <c r="L146" s="994"/>
      <c r="M146" s="1860"/>
      <c r="N146" s="1860"/>
      <c r="O146" s="994">
        <f>SUM(O147:O172)</f>
        <v>65.600000000000009</v>
      </c>
      <c r="P146" s="1858"/>
      <c r="Q146" s="692"/>
      <c r="R146" s="2731">
        <f>SUM(R147:R172)</f>
        <v>65.600000000000009</v>
      </c>
    </row>
    <row r="147" spans="1:18" s="861" customFormat="1" ht="45">
      <c r="A147" s="4068" t="str">
        <f>'9.Training Annex'!A22</f>
        <v>9.2.1.2</v>
      </c>
      <c r="B147" s="1869" t="str">
        <f>'9-A.Training Sub-Annex'!B55</f>
        <v>A.2.1</v>
      </c>
      <c r="C147" s="1870" t="str">
        <f>'9-A.Training Sub-Annex'!C55</f>
        <v>IMNCI (including F-IMNCI; primarily budget for  planning for pre-service IMNCI activities in medical colleges, nursing colleges, and ANMTCs other training)</v>
      </c>
      <c r="D147" s="1871" t="str">
        <f>'9-A.Training Sub-Annex'!D55</f>
        <v>RCH</v>
      </c>
      <c r="E147" s="1871" t="str">
        <f>'9-A.Training Sub-Annex'!E55</f>
        <v>CH</v>
      </c>
      <c r="F147" s="1871">
        <f>'9-A.Training Sub-Annex'!F55</f>
        <v>0</v>
      </c>
      <c r="G147" s="1871">
        <f>'9-A.Training Sub-Annex'!G55</f>
        <v>0</v>
      </c>
      <c r="H147" s="1871">
        <f>'9-A.Training Sub-Annex'!H55</f>
        <v>0</v>
      </c>
      <c r="I147" s="1871">
        <f>'9-A.Training Sub-Annex'!I55</f>
        <v>0</v>
      </c>
      <c r="J147" s="1871">
        <f>'9-A.Training Sub-Annex'!J55</f>
        <v>0</v>
      </c>
      <c r="K147" s="1871">
        <f>'9-A.Training Sub-Annex'!K55</f>
        <v>0</v>
      </c>
      <c r="L147" s="962">
        <f>'9-A.Training Sub-Annex'!L55</f>
        <v>0</v>
      </c>
      <c r="M147" s="1871">
        <f>'9-A.Training Sub-Annex'!M55</f>
        <v>0</v>
      </c>
      <c r="N147" s="1871">
        <f>'9-A.Training Sub-Annex'!N55</f>
        <v>0</v>
      </c>
      <c r="O147" s="962">
        <f>'9-A.Training Sub-Annex'!O55</f>
        <v>0</v>
      </c>
      <c r="P147" s="1869">
        <f>'9-A.Training Sub-Annex'!P55</f>
        <v>0</v>
      </c>
      <c r="Q147" s="108" t="s">
        <v>5521</v>
      </c>
      <c r="R147" s="2729">
        <v>0</v>
      </c>
    </row>
    <row r="148" spans="1:18" s="861" customFormat="1">
      <c r="A148" s="4068"/>
      <c r="B148" s="1869">
        <f>'9-A.Training Sub-Annex'!B56</f>
        <v>0</v>
      </c>
      <c r="C148" s="1870" t="str">
        <f>'9-A.Training Sub-Annex'!C56</f>
        <v>Development of SAANS training modules</v>
      </c>
      <c r="D148" s="1871" t="str">
        <f>'9-A.Training Sub-Annex'!D56</f>
        <v>RCH</v>
      </c>
      <c r="E148" s="1871" t="str">
        <f>'9-A.Training Sub-Annex'!E56</f>
        <v>CH</v>
      </c>
      <c r="F148" s="1871">
        <f>'9-A.Training Sub-Annex'!F56</f>
        <v>0</v>
      </c>
      <c r="G148" s="1871">
        <f>'9-A.Training Sub-Annex'!G56</f>
        <v>0</v>
      </c>
      <c r="H148" s="1871">
        <f>'9-A.Training Sub-Annex'!H56</f>
        <v>0</v>
      </c>
      <c r="I148" s="1871">
        <f>'9-A.Training Sub-Annex'!I56</f>
        <v>0</v>
      </c>
      <c r="J148" s="1871">
        <f>'9-A.Training Sub-Annex'!J56</f>
        <v>0</v>
      </c>
      <c r="K148" s="1871">
        <f>'9-A.Training Sub-Annex'!K56</f>
        <v>0</v>
      </c>
      <c r="L148" s="962">
        <f>'9-A.Training Sub-Annex'!L56</f>
        <v>0</v>
      </c>
      <c r="M148" s="1871">
        <f>'9-A.Training Sub-Annex'!M56</f>
        <v>0</v>
      </c>
      <c r="N148" s="1871">
        <f>'9-A.Training Sub-Annex'!N56</f>
        <v>0</v>
      </c>
      <c r="O148" s="962">
        <f>'9-A.Training Sub-Annex'!O56</f>
        <v>0</v>
      </c>
      <c r="P148" s="1869">
        <f>'9-A.Training Sub-Annex'!P56</f>
        <v>0</v>
      </c>
      <c r="Q148" s="108" t="s">
        <v>5521</v>
      </c>
      <c r="R148" s="2729">
        <v>0</v>
      </c>
    </row>
    <row r="149" spans="1:18" s="861" customFormat="1" ht="60">
      <c r="A149" s="4068"/>
      <c r="B149" s="1869" t="str">
        <f>'9-A.Training Sub-Annex'!B57</f>
        <v>A.2.6</v>
      </c>
      <c r="C149" s="1870" t="str">
        <f>'9-A.Training Sub-Annex'!C57</f>
        <v>Orientation/Planning Meeting/Launch on SAANS initiative at State or District (Pneumonia)/IDCF orientation</v>
      </c>
      <c r="D149" s="1871" t="str">
        <f>'9-A.Training Sub-Annex'!D57</f>
        <v>RCH</v>
      </c>
      <c r="E149" s="1871" t="str">
        <f>'9-A.Training Sub-Annex'!E57</f>
        <v>CH</v>
      </c>
      <c r="F149" s="1871">
        <f>'9-A.Training Sub-Annex'!F57</f>
        <v>12</v>
      </c>
      <c r="G149" s="1871">
        <f>'9-A.Training Sub-Annex'!G57</f>
        <v>0</v>
      </c>
      <c r="H149" s="1871">
        <f>'9-A.Training Sub-Annex'!H57</f>
        <v>9</v>
      </c>
      <c r="I149" s="1871">
        <f>'9-A.Training Sub-Annex'!I57</f>
        <v>0.66</v>
      </c>
      <c r="J149" s="1871">
        <f>'9-A.Training Sub-Annex'!J57</f>
        <v>4</v>
      </c>
      <c r="K149" s="1871">
        <f>'9-A.Training Sub-Annex'!K57</f>
        <v>1</v>
      </c>
      <c r="L149" s="962">
        <f>'9-A.Training Sub-Annex'!L57</f>
        <v>50000</v>
      </c>
      <c r="M149" s="1871">
        <f>'9-A.Training Sub-Annex'!M57</f>
        <v>0.5</v>
      </c>
      <c r="N149" s="1871">
        <f>'9-A.Training Sub-Annex'!N57</f>
        <v>6</v>
      </c>
      <c r="O149" s="962">
        <f>'9-A.Training Sub-Annex'!O57</f>
        <v>3</v>
      </c>
      <c r="P149" s="1869" t="str">
        <f>'9-A.Training Sub-Annex'!P57</f>
        <v xml:space="preserve">Sensitization of Health funtionaries during IDCF campaign </v>
      </c>
      <c r="Q149" s="2018" t="s">
        <v>5572</v>
      </c>
      <c r="R149" s="2728">
        <f>25000*12/100000</f>
        <v>3</v>
      </c>
    </row>
    <row r="150" spans="1:18" s="861" customFormat="1" ht="75">
      <c r="A150" s="4068"/>
      <c r="B150" s="1869" t="str">
        <f>'9-A.Training Sub-Annex'!B58</f>
        <v>A.2.7</v>
      </c>
      <c r="C150" s="1870" t="str">
        <f>'9-A.Training Sub-Annex'!C58</f>
        <v>Orientation activities on vitamin A supplementation and Anaemia Mukta Bharat Programme</v>
      </c>
      <c r="D150" s="1871" t="str">
        <f>'9-A.Training Sub-Annex'!D58</f>
        <v>RCH</v>
      </c>
      <c r="E150" s="1871" t="str">
        <f>'9-A.Training Sub-Annex'!E58</f>
        <v>CH</v>
      </c>
      <c r="F150" s="1871">
        <f>'9-A.Training Sub-Annex'!F58</f>
        <v>12</v>
      </c>
      <c r="G150" s="1871">
        <f>'9-A.Training Sub-Annex'!G58</f>
        <v>0</v>
      </c>
      <c r="H150" s="1871">
        <f>'9-A.Training Sub-Annex'!H58</f>
        <v>9.6</v>
      </c>
      <c r="I150" s="1871">
        <f>'9-A.Training Sub-Annex'!I58</f>
        <v>0</v>
      </c>
      <c r="J150" s="1871">
        <f>'9-A.Training Sub-Annex'!J58</f>
        <v>9.6</v>
      </c>
      <c r="K150" s="1871">
        <f>'9-A.Training Sub-Annex'!K58</f>
        <v>1</v>
      </c>
      <c r="L150" s="962">
        <f>'9-A.Training Sub-Annex'!L58</f>
        <v>50000</v>
      </c>
      <c r="M150" s="1871">
        <f>'9-A.Training Sub-Annex'!M58</f>
        <v>0.5</v>
      </c>
      <c r="N150" s="1871">
        <f>'9-A.Training Sub-Annex'!N58</f>
        <v>6</v>
      </c>
      <c r="O150" s="962">
        <f>'9-A.Training Sub-Annex'!O58</f>
        <v>3</v>
      </c>
      <c r="P150" s="1869" t="str">
        <f>'9-A.Training Sub-Annex'!P58</f>
        <v>Orientation of officials from Health Deptt, Education and WCD for 12 districts</v>
      </c>
      <c r="Q150" s="2018" t="s">
        <v>5573</v>
      </c>
      <c r="R150" s="2728">
        <f>(25000*12)/100000</f>
        <v>3</v>
      </c>
    </row>
    <row r="151" spans="1:18" s="861" customFormat="1" ht="45">
      <c r="A151" s="4068"/>
      <c r="B151" s="1869" t="str">
        <f>'9-A.Training Sub-Annex'!B59</f>
        <v>A.2.8</v>
      </c>
      <c r="C151" s="1870" t="str">
        <f>'9-A.Training Sub-Annex'!C59</f>
        <v xml:space="preserve">Child Death Review Trainings </v>
      </c>
      <c r="D151" s="1871" t="str">
        <f>'9-A.Training Sub-Annex'!D59</f>
        <v>RCH</v>
      </c>
      <c r="E151" s="1871" t="str">
        <f>'9-A.Training Sub-Annex'!E59</f>
        <v>CH</v>
      </c>
      <c r="F151" s="1871">
        <f>'9-A.Training Sub-Annex'!F59</f>
        <v>0</v>
      </c>
      <c r="G151" s="1871">
        <f>'9-A.Training Sub-Annex'!G59</f>
        <v>0</v>
      </c>
      <c r="H151" s="1871">
        <f>'9-A.Training Sub-Annex'!H59</f>
        <v>0</v>
      </c>
      <c r="I151" s="1871">
        <f>'9-A.Training Sub-Annex'!I59</f>
        <v>0</v>
      </c>
      <c r="J151" s="1871">
        <f>'9-A.Training Sub-Annex'!J59</f>
        <v>0</v>
      </c>
      <c r="K151" s="1871">
        <f>'9-A.Training Sub-Annex'!K59</f>
        <v>1</v>
      </c>
      <c r="L151" s="962">
        <f>'9-A.Training Sub-Annex'!L59</f>
        <v>50000</v>
      </c>
      <c r="M151" s="1871">
        <f>'9-A.Training Sub-Annex'!M59</f>
        <v>0.5</v>
      </c>
      <c r="N151" s="1871">
        <f>'9-A.Training Sub-Annex'!N59</f>
        <v>3</v>
      </c>
      <c r="O151" s="962">
        <f>'9-A.Training Sub-Annex'!O59</f>
        <v>1.5</v>
      </c>
      <c r="P151" s="1869" t="str">
        <f>'9-A.Training Sub-Annex'!P59</f>
        <v xml:space="preserve">State plans to reorient Mos and other health functionaires for Child death review </v>
      </c>
      <c r="Q151" s="2018" t="s">
        <v>5517</v>
      </c>
      <c r="R151" s="2728">
        <f>3*0.5</f>
        <v>1.5</v>
      </c>
    </row>
    <row r="152" spans="1:18" s="861" customFormat="1" ht="45">
      <c r="A152" s="4068"/>
      <c r="B152" s="1869" t="str">
        <f>'9-A.Training Sub-Annex'!B60</f>
        <v>A.2.11.1</v>
      </c>
      <c r="C152" s="1870" t="str">
        <f>'9-A.Training Sub-Annex'!C60</f>
        <v>Provision for State &amp; District level (Training and Workshops) (Dissemination to be budgeted under IEC; Meetings/ review meetings to be budgeted under PM)</v>
      </c>
      <c r="D152" s="1871" t="str">
        <f>'9-A.Training Sub-Annex'!D60</f>
        <v>RCH</v>
      </c>
      <c r="E152" s="1871" t="str">
        <f>'9-A.Training Sub-Annex'!E60</f>
        <v>CH</v>
      </c>
      <c r="F152" s="1871">
        <f>'9-A.Training Sub-Annex'!F60</f>
        <v>0</v>
      </c>
      <c r="G152" s="1871">
        <f>'9-A.Training Sub-Annex'!G60</f>
        <v>0</v>
      </c>
      <c r="H152" s="1871">
        <f>'9-A.Training Sub-Annex'!H60</f>
        <v>0</v>
      </c>
      <c r="I152" s="1871">
        <f>'9-A.Training Sub-Annex'!I60</f>
        <v>0</v>
      </c>
      <c r="J152" s="1871">
        <f>'9-A.Training Sub-Annex'!J60</f>
        <v>0</v>
      </c>
      <c r="K152" s="1871">
        <f>'9-A.Training Sub-Annex'!K60</f>
        <v>0</v>
      </c>
      <c r="L152" s="962">
        <f>'9-A.Training Sub-Annex'!L60</f>
        <v>0</v>
      </c>
      <c r="M152" s="1871">
        <f>'9-A.Training Sub-Annex'!M60</f>
        <v>0</v>
      </c>
      <c r="N152" s="1871">
        <f>'9-A.Training Sub-Annex'!N60</f>
        <v>0</v>
      </c>
      <c r="O152" s="962">
        <f>'9-A.Training Sub-Annex'!O60</f>
        <v>0</v>
      </c>
      <c r="P152" s="1869">
        <f>'9-A.Training Sub-Annex'!P60</f>
        <v>0</v>
      </c>
      <c r="Q152" s="2018" t="s">
        <v>5521</v>
      </c>
      <c r="R152" s="2729">
        <v>0</v>
      </c>
    </row>
    <row r="153" spans="1:18" s="861" customFormat="1" ht="105">
      <c r="A153" s="4068"/>
      <c r="B153" s="1869" t="str">
        <f>'9-A.Training Sub-Annex'!B61</f>
        <v>A.9.5.1.1</v>
      </c>
      <c r="C153" s="1870" t="str">
        <f>'9-A.Training Sub-Annex'!C61</f>
        <v>TOT on IMNCI (pre-service and in-service)</v>
      </c>
      <c r="D153" s="1871" t="str">
        <f>'9-A.Training Sub-Annex'!D61</f>
        <v>RCH</v>
      </c>
      <c r="E153" s="1871" t="str">
        <f>'9-A.Training Sub-Annex'!E61</f>
        <v>CH</v>
      </c>
      <c r="F153" s="1871">
        <f>'9-A.Training Sub-Annex'!F61</f>
        <v>0</v>
      </c>
      <c r="G153" s="1871">
        <f>'9-A.Training Sub-Annex'!G61</f>
        <v>0</v>
      </c>
      <c r="H153" s="1871">
        <f>'9-A.Training Sub-Annex'!H61</f>
        <v>0</v>
      </c>
      <c r="I153" s="1871">
        <f>'9-A.Training Sub-Annex'!I61</f>
        <v>0</v>
      </c>
      <c r="J153" s="1871">
        <f>'9-A.Training Sub-Annex'!J61</f>
        <v>0</v>
      </c>
      <c r="K153" s="1871">
        <f>'9-A.Training Sub-Annex'!K61</f>
        <v>1</v>
      </c>
      <c r="L153" s="962">
        <f>'9-A.Training Sub-Annex'!L61</f>
        <v>95000</v>
      </c>
      <c r="M153" s="1871">
        <f>'9-A.Training Sub-Annex'!M61</f>
        <v>0.95</v>
      </c>
      <c r="N153" s="1871">
        <f>'9-A.Training Sub-Annex'!N61</f>
        <v>2</v>
      </c>
      <c r="O153" s="962">
        <f>'9-A.Training Sub-Annex'!O61</f>
        <v>1.9</v>
      </c>
      <c r="P153" s="1869" t="str">
        <f>'9-A.Training Sub-Annex'!P61</f>
        <v>State plans to make ToTs on IMNCI. Fund proposed  for 2 batches @ 30 participants per batch</v>
      </c>
      <c r="Q153" s="2018" t="s">
        <v>5574</v>
      </c>
      <c r="R153" s="2728">
        <f>0.95*2</f>
        <v>1.9</v>
      </c>
    </row>
    <row r="154" spans="1:18" s="861" customFormat="1" ht="90">
      <c r="A154" s="4068"/>
      <c r="B154" s="1869" t="str">
        <f>'9-A.Training Sub-Annex'!B62</f>
        <v>A.9.5.1.2</v>
      </c>
      <c r="C154" s="1870" t="str">
        <f>'9-A.Training Sub-Annex'!C62</f>
        <v>IMNCI Training for ANMs / LHVs</v>
      </c>
      <c r="D154" s="1871" t="str">
        <f>'9-A.Training Sub-Annex'!D62</f>
        <v>RCH</v>
      </c>
      <c r="E154" s="1871" t="str">
        <f>'9-A.Training Sub-Annex'!E62</f>
        <v>CH</v>
      </c>
      <c r="F154" s="1871">
        <f>'9-A.Training Sub-Annex'!F62</f>
        <v>0</v>
      </c>
      <c r="G154" s="1871">
        <f>'9-A.Training Sub-Annex'!G62</f>
        <v>0</v>
      </c>
      <c r="H154" s="1871">
        <f>'9-A.Training Sub-Annex'!H62</f>
        <v>0</v>
      </c>
      <c r="I154" s="1871">
        <f>'9-A.Training Sub-Annex'!I62</f>
        <v>0</v>
      </c>
      <c r="J154" s="1871">
        <f>'9-A.Training Sub-Annex'!J62</f>
        <v>0</v>
      </c>
      <c r="K154" s="1871">
        <f>'9-A.Training Sub-Annex'!K62</f>
        <v>1</v>
      </c>
      <c r="L154" s="962">
        <f>'9-A.Training Sub-Annex'!L62</f>
        <v>100000</v>
      </c>
      <c r="M154" s="1871">
        <f>'9-A.Training Sub-Annex'!M62</f>
        <v>1</v>
      </c>
      <c r="N154" s="1871">
        <f>'9-A.Training Sub-Annex'!N62</f>
        <v>6</v>
      </c>
      <c r="O154" s="962">
        <f>'9-A.Training Sub-Annex'!O62</f>
        <v>6</v>
      </c>
      <c r="P154" s="1869" t="str">
        <f>'9-A.Training Sub-Annex'!P62</f>
        <v>Fund proposed for training of ANMs for newborn care services at community and public health facility</v>
      </c>
      <c r="Q154" s="2018" t="s">
        <v>5575</v>
      </c>
      <c r="R154" s="2728">
        <f>1*6</f>
        <v>6</v>
      </c>
    </row>
    <row r="155" spans="1:18" s="861" customFormat="1">
      <c r="A155" s="4068"/>
      <c r="B155" s="1869" t="str">
        <f>'9-A.Training Sub-Annex'!B63</f>
        <v>A.9.5.2.1</v>
      </c>
      <c r="C155" s="1870" t="str">
        <f>'9-A.Training Sub-Annex'!C63</f>
        <v>TOT on F-IMNCI</v>
      </c>
      <c r="D155" s="1871" t="str">
        <f>'9-A.Training Sub-Annex'!D63</f>
        <v>RCH</v>
      </c>
      <c r="E155" s="1871" t="str">
        <f>'9-A.Training Sub-Annex'!E63</f>
        <v>CH</v>
      </c>
      <c r="F155" s="1871">
        <f>'9-A.Training Sub-Annex'!F63</f>
        <v>0</v>
      </c>
      <c r="G155" s="1871">
        <f>'9-A.Training Sub-Annex'!G63</f>
        <v>0</v>
      </c>
      <c r="H155" s="1871">
        <f>'9-A.Training Sub-Annex'!H63</f>
        <v>0</v>
      </c>
      <c r="I155" s="1871">
        <f>'9-A.Training Sub-Annex'!I63</f>
        <v>0</v>
      </c>
      <c r="J155" s="1871">
        <f>'9-A.Training Sub-Annex'!J63</f>
        <v>0</v>
      </c>
      <c r="K155" s="1871">
        <f>'9-A.Training Sub-Annex'!K63</f>
        <v>0</v>
      </c>
      <c r="L155" s="962">
        <f>'9-A.Training Sub-Annex'!L63</f>
        <v>0</v>
      </c>
      <c r="M155" s="1871">
        <f>'9-A.Training Sub-Annex'!M63</f>
        <v>0</v>
      </c>
      <c r="N155" s="1871">
        <f>'9-A.Training Sub-Annex'!N63</f>
        <v>0</v>
      </c>
      <c r="O155" s="962">
        <f>'9-A.Training Sub-Annex'!O63</f>
        <v>0</v>
      </c>
      <c r="P155" s="1869">
        <f>'9-A.Training Sub-Annex'!P63</f>
        <v>0</v>
      </c>
      <c r="Q155" s="178" t="s">
        <v>5521</v>
      </c>
      <c r="R155" s="2729">
        <v>0</v>
      </c>
    </row>
    <row r="156" spans="1:18" s="861" customFormat="1">
      <c r="A156" s="4068"/>
      <c r="B156" s="1869" t="str">
        <f>'9-A.Training Sub-Annex'!B64</f>
        <v>A.9.5.2.2</v>
      </c>
      <c r="C156" s="1870" t="str">
        <f>'9-A.Training Sub-Annex'!C64</f>
        <v>F-IMNCI Training for Medical Officers</v>
      </c>
      <c r="D156" s="1871" t="str">
        <f>'9-A.Training Sub-Annex'!D64</f>
        <v>RCH</v>
      </c>
      <c r="E156" s="1871" t="str">
        <f>'9-A.Training Sub-Annex'!E64</f>
        <v>CH</v>
      </c>
      <c r="F156" s="1871">
        <f>'9-A.Training Sub-Annex'!F64</f>
        <v>0</v>
      </c>
      <c r="G156" s="1871">
        <f>'9-A.Training Sub-Annex'!G64</f>
        <v>0</v>
      </c>
      <c r="H156" s="1871">
        <f>'9-A.Training Sub-Annex'!H64</f>
        <v>0</v>
      </c>
      <c r="I156" s="1871">
        <f>'9-A.Training Sub-Annex'!I64</f>
        <v>0</v>
      </c>
      <c r="J156" s="1871">
        <f>'9-A.Training Sub-Annex'!J64</f>
        <v>0</v>
      </c>
      <c r="K156" s="1871">
        <f>'9-A.Training Sub-Annex'!K64</f>
        <v>0</v>
      </c>
      <c r="L156" s="962">
        <f>'9-A.Training Sub-Annex'!L64</f>
        <v>0</v>
      </c>
      <c r="M156" s="1871">
        <f>'9-A.Training Sub-Annex'!M64</f>
        <v>0</v>
      </c>
      <c r="N156" s="1871">
        <f>'9-A.Training Sub-Annex'!N64</f>
        <v>0</v>
      </c>
      <c r="O156" s="962">
        <f>'9-A.Training Sub-Annex'!O64</f>
        <v>0</v>
      </c>
      <c r="P156" s="1869">
        <f>'9-A.Training Sub-Annex'!P64</f>
        <v>0</v>
      </c>
      <c r="Q156" s="178" t="s">
        <v>5521</v>
      </c>
      <c r="R156" s="2729">
        <v>0</v>
      </c>
    </row>
    <row r="157" spans="1:18" s="861" customFormat="1">
      <c r="A157" s="4068"/>
      <c r="B157" s="1869" t="str">
        <f>'9-A.Training Sub-Annex'!B65</f>
        <v>A.9.5.2.3</v>
      </c>
      <c r="C157" s="1870" t="str">
        <f>'9-A.Training Sub-Annex'!C65</f>
        <v>F-IMNCI Training for Staff Nurses</v>
      </c>
      <c r="D157" s="1871" t="str">
        <f>'9-A.Training Sub-Annex'!D65</f>
        <v>RCH</v>
      </c>
      <c r="E157" s="1871" t="str">
        <f>'9-A.Training Sub-Annex'!E65</f>
        <v>CH</v>
      </c>
      <c r="F157" s="1871">
        <f>'9-A.Training Sub-Annex'!F65</f>
        <v>0</v>
      </c>
      <c r="G157" s="1871">
        <f>'9-A.Training Sub-Annex'!G65</f>
        <v>0</v>
      </c>
      <c r="H157" s="1871">
        <f>'9-A.Training Sub-Annex'!H65</f>
        <v>0</v>
      </c>
      <c r="I157" s="1871">
        <f>'9-A.Training Sub-Annex'!I65</f>
        <v>0</v>
      </c>
      <c r="J157" s="1871">
        <f>'9-A.Training Sub-Annex'!J65</f>
        <v>0</v>
      </c>
      <c r="K157" s="1871">
        <f>'9-A.Training Sub-Annex'!K65</f>
        <v>0</v>
      </c>
      <c r="L157" s="962">
        <f>'9-A.Training Sub-Annex'!L65</f>
        <v>0</v>
      </c>
      <c r="M157" s="1871">
        <f>'9-A.Training Sub-Annex'!M65</f>
        <v>0</v>
      </c>
      <c r="N157" s="1871">
        <f>'9-A.Training Sub-Annex'!N65</f>
        <v>0</v>
      </c>
      <c r="O157" s="962">
        <f>'9-A.Training Sub-Annex'!O65</f>
        <v>0</v>
      </c>
      <c r="P157" s="1869">
        <f>'9-A.Training Sub-Annex'!P65</f>
        <v>0</v>
      </c>
      <c r="Q157" s="178" t="s">
        <v>5521</v>
      </c>
      <c r="R157" s="2729">
        <v>0</v>
      </c>
    </row>
    <row r="158" spans="1:18" s="861" customFormat="1" ht="30">
      <c r="A158" s="4068"/>
      <c r="B158" s="1869" t="str">
        <f>'9-A.Training Sub-Annex'!B66</f>
        <v>A.9.5.4.1</v>
      </c>
      <c r="C158" s="1870" t="str">
        <f>'9-A.Training Sub-Annex'!C66</f>
        <v>Training on facility based management of Severe Acute Malnutrition (including refreshers)</v>
      </c>
      <c r="D158" s="1871" t="str">
        <f>'9-A.Training Sub-Annex'!D66</f>
        <v>RCH</v>
      </c>
      <c r="E158" s="1871" t="str">
        <f>'9-A.Training Sub-Annex'!E66</f>
        <v>CH</v>
      </c>
      <c r="F158" s="1871">
        <f>'9-A.Training Sub-Annex'!F66</f>
        <v>0</v>
      </c>
      <c r="G158" s="1871">
        <f>'9-A.Training Sub-Annex'!G66</f>
        <v>0</v>
      </c>
      <c r="H158" s="1871">
        <f>'9-A.Training Sub-Annex'!H66</f>
        <v>0</v>
      </c>
      <c r="I158" s="1871">
        <f>'9-A.Training Sub-Annex'!I66</f>
        <v>0</v>
      </c>
      <c r="J158" s="1871">
        <f>'9-A.Training Sub-Annex'!J66</f>
        <v>0</v>
      </c>
      <c r="K158" s="1871">
        <f>'9-A.Training Sub-Annex'!K66</f>
        <v>0</v>
      </c>
      <c r="L158" s="962">
        <f>'9-A.Training Sub-Annex'!L66</f>
        <v>0</v>
      </c>
      <c r="M158" s="1871">
        <f>'9-A.Training Sub-Annex'!M66</f>
        <v>0</v>
      </c>
      <c r="N158" s="1871">
        <f>'9-A.Training Sub-Annex'!N66</f>
        <v>0</v>
      </c>
      <c r="O158" s="962">
        <f>'9-A.Training Sub-Annex'!O66</f>
        <v>0</v>
      </c>
      <c r="P158" s="1869">
        <f>'9-A.Training Sub-Annex'!P66</f>
        <v>0</v>
      </c>
      <c r="Q158" s="178" t="s">
        <v>5521</v>
      </c>
      <c r="R158" s="2729">
        <v>0</v>
      </c>
    </row>
    <row r="159" spans="1:18" s="861" customFormat="1">
      <c r="A159" s="4068"/>
      <c r="B159" s="1869" t="str">
        <f>'9-A.Training Sub-Annex'!B67</f>
        <v>A.9.5.5.1.1</v>
      </c>
      <c r="C159" s="1870" t="str">
        <f>'9-A.Training Sub-Annex'!C67</f>
        <v>TOT for NSSK</v>
      </c>
      <c r="D159" s="1871" t="str">
        <f>'9-A.Training Sub-Annex'!D67</f>
        <v>RCH</v>
      </c>
      <c r="E159" s="1871" t="str">
        <f>'9-A.Training Sub-Annex'!E67</f>
        <v>CH</v>
      </c>
      <c r="F159" s="1871">
        <f>'9-A.Training Sub-Annex'!F67</f>
        <v>0</v>
      </c>
      <c r="G159" s="1871">
        <f>'9-A.Training Sub-Annex'!G67</f>
        <v>0</v>
      </c>
      <c r="H159" s="1871">
        <f>'9-A.Training Sub-Annex'!H67</f>
        <v>0</v>
      </c>
      <c r="I159" s="1871">
        <f>'9-A.Training Sub-Annex'!I67</f>
        <v>0</v>
      </c>
      <c r="J159" s="1871">
        <f>'9-A.Training Sub-Annex'!J67</f>
        <v>0</v>
      </c>
      <c r="K159" s="1871">
        <f>'9-A.Training Sub-Annex'!K67</f>
        <v>0</v>
      </c>
      <c r="L159" s="962">
        <f>'9-A.Training Sub-Annex'!L67</f>
        <v>0</v>
      </c>
      <c r="M159" s="1871">
        <f>'9-A.Training Sub-Annex'!M67</f>
        <v>0</v>
      </c>
      <c r="N159" s="1871">
        <f>'9-A.Training Sub-Annex'!N67</f>
        <v>0</v>
      </c>
      <c r="O159" s="962">
        <f>'9-A.Training Sub-Annex'!O67</f>
        <v>0</v>
      </c>
      <c r="P159" s="1869">
        <f>'9-A.Training Sub-Annex'!P67</f>
        <v>0</v>
      </c>
      <c r="Q159" s="178" t="s">
        <v>5521</v>
      </c>
      <c r="R159" s="2729">
        <v>0</v>
      </c>
    </row>
    <row r="160" spans="1:18" s="861" customFormat="1" ht="105">
      <c r="A160" s="4068"/>
      <c r="B160" s="1869" t="str">
        <f>'9-A.Training Sub-Annex'!B68</f>
        <v>A.9.5.5.1.2</v>
      </c>
      <c r="C160" s="1870" t="str">
        <f>'9-A.Training Sub-Annex'!C68</f>
        <v>NSSK Training for Medical Officers</v>
      </c>
      <c r="D160" s="1871" t="str">
        <f>'9-A.Training Sub-Annex'!D68</f>
        <v>RCH</v>
      </c>
      <c r="E160" s="1871" t="str">
        <f>'9-A.Training Sub-Annex'!E68</f>
        <v>CH</v>
      </c>
      <c r="F160" s="1871">
        <f>'9-A.Training Sub-Annex'!F68</f>
        <v>6</v>
      </c>
      <c r="G160" s="1871">
        <f>'9-A.Training Sub-Annex'!G68</f>
        <v>0</v>
      </c>
      <c r="H160" s="1871">
        <f>'9-A.Training Sub-Annex'!H68</f>
        <v>3</v>
      </c>
      <c r="I160" s="1871">
        <f>'9-A.Training Sub-Annex'!I68</f>
        <v>0</v>
      </c>
      <c r="J160" s="1871">
        <f>'9-A.Training Sub-Annex'!J68</f>
        <v>3</v>
      </c>
      <c r="K160" s="1871">
        <f>'9-A.Training Sub-Annex'!K68</f>
        <v>1</v>
      </c>
      <c r="L160" s="962">
        <f>'9-A.Training Sub-Annex'!L68</f>
        <v>70000</v>
      </c>
      <c r="M160" s="1871">
        <f>'9-A.Training Sub-Annex'!M68</f>
        <v>0.7</v>
      </c>
      <c r="N160" s="1871">
        <f>'9-A.Training Sub-Annex'!N68</f>
        <v>6</v>
      </c>
      <c r="O160" s="962">
        <f>'9-A.Training Sub-Annex'!O68</f>
        <v>4.1999999999999993</v>
      </c>
      <c r="P160" s="1869" t="str">
        <f>'9-A.Training Sub-Annex'!P68</f>
        <v>Orientation of Mos in NSSK for 12 districts (1 batch in each distt)</v>
      </c>
      <c r="Q160" s="2018" t="s">
        <v>5576</v>
      </c>
      <c r="R160" s="2728">
        <f>6*0.7</f>
        <v>4.1999999999999993</v>
      </c>
    </row>
    <row r="161" spans="1:18" s="861" customFormat="1" ht="90">
      <c r="A161" s="4068"/>
      <c r="B161" s="1869" t="str">
        <f>'9-A.Training Sub-Annex'!B69</f>
        <v>A.9.5.5.1.3</v>
      </c>
      <c r="C161" s="1870" t="str">
        <f>'9-A.Training Sub-Annex'!C69</f>
        <v>NSSK Training for SNs</v>
      </c>
      <c r="D161" s="1871" t="str">
        <f>'9-A.Training Sub-Annex'!D69</f>
        <v>RCH</v>
      </c>
      <c r="E161" s="1871" t="str">
        <f>'9-A.Training Sub-Annex'!E69</f>
        <v>CH</v>
      </c>
      <c r="F161" s="1871">
        <f>'9-A.Training Sub-Annex'!F69</f>
        <v>6</v>
      </c>
      <c r="G161" s="1871">
        <f>'9-A.Training Sub-Annex'!G69</f>
        <v>0</v>
      </c>
      <c r="H161" s="1871">
        <f>'9-A.Training Sub-Annex'!H69</f>
        <v>2.1</v>
      </c>
      <c r="I161" s="1871">
        <f>'9-A.Training Sub-Annex'!I69</f>
        <v>0</v>
      </c>
      <c r="J161" s="1871">
        <f>'9-A.Training Sub-Annex'!J69</f>
        <v>2.1</v>
      </c>
      <c r="K161" s="1871">
        <f>'9-A.Training Sub-Annex'!K69</f>
        <v>0</v>
      </c>
      <c r="L161" s="962">
        <f>'9-A.Training Sub-Annex'!L69</f>
        <v>50000</v>
      </c>
      <c r="M161" s="1871">
        <f>'9-A.Training Sub-Annex'!M69</f>
        <v>0.5</v>
      </c>
      <c r="N161" s="1871">
        <f>'9-A.Training Sub-Annex'!N69</f>
        <v>6</v>
      </c>
      <c r="O161" s="962">
        <f>'9-A.Training Sub-Annex'!O69</f>
        <v>3</v>
      </c>
      <c r="P161" s="1869" t="str">
        <f>'9-A.Training Sub-Annex'!P69</f>
        <v>Orientation of  SN in NSSK  for 12 districts (1 batch in each distt)</v>
      </c>
      <c r="Q161" s="2018" t="s">
        <v>5577</v>
      </c>
      <c r="R161" s="2728">
        <f>0.5*6</f>
        <v>3</v>
      </c>
    </row>
    <row r="162" spans="1:18" s="861" customFormat="1">
      <c r="A162" s="4068"/>
      <c r="B162" s="1869" t="str">
        <f>'9-A.Training Sub-Annex'!B70</f>
        <v>A.9.5.5.1.4</v>
      </c>
      <c r="C162" s="1870" t="str">
        <f>'9-A.Training Sub-Annex'!C70</f>
        <v>NSSK Training for ANMs</v>
      </c>
      <c r="D162" s="1871" t="str">
        <f>'9-A.Training Sub-Annex'!D70</f>
        <v>RCH</v>
      </c>
      <c r="E162" s="1871" t="str">
        <f>'9-A.Training Sub-Annex'!E70</f>
        <v>CH</v>
      </c>
      <c r="F162" s="1871">
        <f>'9-A.Training Sub-Annex'!F70</f>
        <v>0</v>
      </c>
      <c r="G162" s="1871">
        <f>'9-A.Training Sub-Annex'!G70</f>
        <v>0</v>
      </c>
      <c r="H162" s="1871">
        <f>'9-A.Training Sub-Annex'!H70</f>
        <v>0</v>
      </c>
      <c r="I162" s="1871">
        <f>'9-A.Training Sub-Annex'!I70</f>
        <v>0</v>
      </c>
      <c r="J162" s="1871">
        <f>'9-A.Training Sub-Annex'!J70</f>
        <v>0</v>
      </c>
      <c r="K162" s="1871">
        <f>'9-A.Training Sub-Annex'!K70</f>
        <v>0</v>
      </c>
      <c r="L162" s="962">
        <f>'9-A.Training Sub-Annex'!L70</f>
        <v>0</v>
      </c>
      <c r="M162" s="1871">
        <f>'9-A.Training Sub-Annex'!M70</f>
        <v>0</v>
      </c>
      <c r="N162" s="1871">
        <f>'9-A.Training Sub-Annex'!N70</f>
        <v>0</v>
      </c>
      <c r="O162" s="962">
        <f>'9-A.Training Sub-Annex'!O70</f>
        <v>0</v>
      </c>
      <c r="P162" s="1869">
        <f>'9-A.Training Sub-Annex'!P70</f>
        <v>0</v>
      </c>
      <c r="Q162" s="178" t="s">
        <v>5521</v>
      </c>
      <c r="R162" s="2729">
        <v>0</v>
      </c>
    </row>
    <row r="163" spans="1:18" s="861" customFormat="1" ht="105">
      <c r="A163" s="4068"/>
      <c r="B163" s="1869" t="str">
        <f>'9-A.Training Sub-Annex'!B71</f>
        <v>A.9.5.5.2.a</v>
      </c>
      <c r="C163" s="1870" t="str">
        <f>'9-A.Training Sub-Annex'!C71</f>
        <v xml:space="preserve">4 days Training for facility based new-born care </v>
      </c>
      <c r="D163" s="1871" t="str">
        <f>'9-A.Training Sub-Annex'!D71</f>
        <v>RCH</v>
      </c>
      <c r="E163" s="1871" t="str">
        <f>'9-A.Training Sub-Annex'!E71</f>
        <v>CH</v>
      </c>
      <c r="F163" s="1871">
        <f>'9-A.Training Sub-Annex'!F71</f>
        <v>4</v>
      </c>
      <c r="G163" s="1871">
        <f>'9-A.Training Sub-Annex'!G71</f>
        <v>0</v>
      </c>
      <c r="H163" s="1871">
        <f>'9-A.Training Sub-Annex'!H71</f>
        <v>2.4</v>
      </c>
      <c r="I163" s="1871">
        <f>'9-A.Training Sub-Annex'!I71</f>
        <v>0.12</v>
      </c>
      <c r="J163" s="1871">
        <f>'9-A.Training Sub-Annex'!J71</f>
        <v>2.2799999999999998</v>
      </c>
      <c r="K163" s="1871">
        <f>'9-A.Training Sub-Annex'!K71</f>
        <v>1</v>
      </c>
      <c r="L163" s="962">
        <f>'9-A.Training Sub-Annex'!L71</f>
        <v>280000</v>
      </c>
      <c r="M163" s="1871">
        <f>'9-A.Training Sub-Annex'!M71</f>
        <v>2.8</v>
      </c>
      <c r="N163" s="1871">
        <f>'9-A.Training Sub-Annex'!N71</f>
        <v>2</v>
      </c>
      <c r="O163" s="962">
        <f>'9-A.Training Sub-Annex'!O71</f>
        <v>5.6</v>
      </c>
      <c r="P163" s="1869" t="str">
        <f>'9-A.Training Sub-Annex'!P71</f>
        <v>Orientation of Mos in  FBNC at State</v>
      </c>
      <c r="Q163" s="2018" t="s">
        <v>5578</v>
      </c>
      <c r="R163" s="2728">
        <f>2.8*2</f>
        <v>5.6</v>
      </c>
    </row>
    <row r="164" spans="1:18" s="861" customFormat="1">
      <c r="A164" s="4068"/>
      <c r="B164" s="1869" t="str">
        <f>'9-A.Training Sub-Annex'!B72</f>
        <v>A.9.5.5.2.b</v>
      </c>
      <c r="C164" s="1870" t="str">
        <f>'9-A.Training Sub-Annex'!C72</f>
        <v>2 weeks observership for facility based new-born care</v>
      </c>
      <c r="D164" s="1871" t="str">
        <f>'9-A.Training Sub-Annex'!D72</f>
        <v>RCH</v>
      </c>
      <c r="E164" s="1871" t="str">
        <f>'9-A.Training Sub-Annex'!E72</f>
        <v>CH</v>
      </c>
      <c r="F164" s="1871">
        <f>'9-A.Training Sub-Annex'!F72</f>
        <v>2</v>
      </c>
      <c r="G164" s="1871">
        <f>'9-A.Training Sub-Annex'!G72</f>
        <v>0</v>
      </c>
      <c r="H164" s="1871">
        <f>'9-A.Training Sub-Annex'!H72</f>
        <v>5.21</v>
      </c>
      <c r="I164" s="1871">
        <f>'9-A.Training Sub-Annex'!I72</f>
        <v>0</v>
      </c>
      <c r="J164" s="1871">
        <f>'9-A.Training Sub-Annex'!J72</f>
        <v>0</v>
      </c>
      <c r="K164" s="1871">
        <f>'9-A.Training Sub-Annex'!K72</f>
        <v>0</v>
      </c>
      <c r="L164" s="962">
        <f>'9-A.Training Sub-Annex'!L72</f>
        <v>0</v>
      </c>
      <c r="M164" s="1871">
        <f>'9-A.Training Sub-Annex'!M72</f>
        <v>0</v>
      </c>
      <c r="N164" s="1871">
        <f>'9-A.Training Sub-Annex'!N72</f>
        <v>0</v>
      </c>
      <c r="O164" s="962">
        <f>'9-A.Training Sub-Annex'!O72</f>
        <v>0</v>
      </c>
      <c r="P164" s="1869">
        <f>'9-A.Training Sub-Annex'!P72</f>
        <v>0</v>
      </c>
      <c r="Q164" s="178" t="s">
        <v>5521</v>
      </c>
      <c r="R164" s="2729">
        <v>0</v>
      </c>
    </row>
    <row r="165" spans="1:18" s="861" customFormat="1" ht="90">
      <c r="A165" s="4068"/>
      <c r="B165" s="1869" t="str">
        <f>'9-A.Training Sub-Annex'!B73</f>
        <v>A.9.5.5.2.c</v>
      </c>
      <c r="C165" s="1870" t="str">
        <f>'9-A.Training Sub-Annex'!C73</f>
        <v>4 days Trainings on IYCF for MOs, SNs, ANMs of all DPs and SCs (ToT, 4 days IYCF Trainings &amp; 1 day Sensitisation on MAA Program)</v>
      </c>
      <c r="D165" s="1871" t="str">
        <f>'9-A.Training Sub-Annex'!D73</f>
        <v>RCH</v>
      </c>
      <c r="E165" s="1871" t="str">
        <f>'9-A.Training Sub-Annex'!E73</f>
        <v>CH</v>
      </c>
      <c r="F165" s="1871">
        <f>'9-A.Training Sub-Annex'!F73</f>
        <v>5</v>
      </c>
      <c r="G165" s="1871">
        <f>'9-A.Training Sub-Annex'!G73</f>
        <v>0</v>
      </c>
      <c r="H165" s="1871">
        <f>'9-A.Training Sub-Annex'!H73</f>
        <v>14.84</v>
      </c>
      <c r="I165" s="1871">
        <f>'9-A.Training Sub-Annex'!I73</f>
        <v>0</v>
      </c>
      <c r="J165" s="1871">
        <f>'9-A.Training Sub-Annex'!J73</f>
        <v>5</v>
      </c>
      <c r="K165" s="1871">
        <f>'9-A.Training Sub-Annex'!K73</f>
        <v>1</v>
      </c>
      <c r="L165" s="962">
        <f>'9-A.Training Sub-Annex'!L73</f>
        <v>280000</v>
      </c>
      <c r="M165" s="1871">
        <f>'9-A.Training Sub-Annex'!M73</f>
        <v>2.8</v>
      </c>
      <c r="N165" s="1871">
        <f>'9-A.Training Sub-Annex'!N73</f>
        <v>4</v>
      </c>
      <c r="O165" s="962">
        <f>'9-A.Training Sub-Annex'!O73</f>
        <v>11.2</v>
      </c>
      <c r="P165" s="1869" t="str">
        <f>'9-A.Training Sub-Annex'!P73</f>
        <v>For IYCF training of MIOs, SN, ANM at district level</v>
      </c>
      <c r="Q165" s="2018" t="s">
        <v>5579</v>
      </c>
      <c r="R165" s="2728">
        <f>2.8*4</f>
        <v>11.2</v>
      </c>
    </row>
    <row r="166" spans="1:18" s="861" customFormat="1" ht="150">
      <c r="A166" s="4068"/>
      <c r="B166" s="1869" t="str">
        <f>'9-A.Training Sub-Annex'!B74</f>
        <v>A.9.5.5.2.d</v>
      </c>
      <c r="C166" s="1870" t="str">
        <f>'9-A.Training Sub-Annex'!C74</f>
        <v>Orientation on National Deworming Day</v>
      </c>
      <c r="D166" s="1871" t="str">
        <f>'9-A.Training Sub-Annex'!D74</f>
        <v>RCH</v>
      </c>
      <c r="E166" s="1871" t="str">
        <f>'9-A.Training Sub-Annex'!E74</f>
        <v>CH</v>
      </c>
      <c r="F166" s="1871">
        <f>'9-A.Training Sub-Annex'!F74</f>
        <v>12</v>
      </c>
      <c r="G166" s="1871">
        <f>'9-A.Training Sub-Annex'!G74</f>
        <v>0</v>
      </c>
      <c r="H166" s="1871">
        <f>'9-A.Training Sub-Annex'!H74</f>
        <v>7.2</v>
      </c>
      <c r="I166" s="1871">
        <f>'9-A.Training Sub-Annex'!I74</f>
        <v>0.48</v>
      </c>
      <c r="J166" s="1871">
        <f>'9-A.Training Sub-Annex'!J74</f>
        <v>6.72</v>
      </c>
      <c r="K166" s="1871">
        <f>'9-A.Training Sub-Annex'!K74</f>
        <v>1</v>
      </c>
      <c r="L166" s="962">
        <f>'9-A.Training Sub-Annex'!L74</f>
        <v>60000</v>
      </c>
      <c r="M166" s="1871">
        <f>'9-A.Training Sub-Annex'!M74</f>
        <v>0.6</v>
      </c>
      <c r="N166" s="1871">
        <f>'9-A.Training Sub-Annex'!N74</f>
        <v>12</v>
      </c>
      <c r="O166" s="962">
        <f>'9-A.Training Sub-Annex'!O74</f>
        <v>7.1999999999999993</v>
      </c>
      <c r="P166" s="1869" t="str">
        <f>'9-A.Training Sub-Annex'!P74</f>
        <v>for two round of NDD, orientation of ANMS and Nodal teachers</v>
      </c>
      <c r="Q166" s="2018" t="s">
        <v>5580</v>
      </c>
      <c r="R166" s="2710">
        <f>3600*100*2/100000</f>
        <v>7.2</v>
      </c>
    </row>
    <row r="167" spans="1:18" s="861" customFormat="1">
      <c r="A167" s="4068"/>
      <c r="B167" s="1869">
        <f>'9-A.Training Sub-Annex'!B75</f>
        <v>0</v>
      </c>
      <c r="C167" s="1870" t="str">
        <f>'9-A.Training Sub-Annex'!C75</f>
        <v>TOT (MO, SN) for Family participatory care (KMC)</v>
      </c>
      <c r="D167" s="1871" t="str">
        <f>'9-A.Training Sub-Annex'!D75</f>
        <v>RCH</v>
      </c>
      <c r="E167" s="1871" t="str">
        <f>'9-A.Training Sub-Annex'!E75</f>
        <v>CH</v>
      </c>
      <c r="F167" s="1871">
        <f>'9-A.Training Sub-Annex'!F75</f>
        <v>10</v>
      </c>
      <c r="G167" s="1871">
        <f>'9-A.Training Sub-Annex'!G75</f>
        <v>0</v>
      </c>
      <c r="H167" s="1871">
        <f>'9-A.Training Sub-Annex'!H75</f>
        <v>8</v>
      </c>
      <c r="I167" s="1871">
        <f>'9-A.Training Sub-Annex'!I75</f>
        <v>0</v>
      </c>
      <c r="J167" s="1871">
        <f>'9-A.Training Sub-Annex'!J75</f>
        <v>0</v>
      </c>
      <c r="K167" s="1871">
        <f>'9-A.Training Sub-Annex'!K75</f>
        <v>0</v>
      </c>
      <c r="L167" s="962">
        <f>'9-A.Training Sub-Annex'!L75</f>
        <v>0</v>
      </c>
      <c r="M167" s="1871">
        <f>'9-A.Training Sub-Annex'!M75</f>
        <v>0</v>
      </c>
      <c r="N167" s="1871">
        <f>'9-A.Training Sub-Annex'!N75</f>
        <v>0</v>
      </c>
      <c r="O167" s="962">
        <f>'9-A.Training Sub-Annex'!O75</f>
        <v>0</v>
      </c>
      <c r="P167" s="1869">
        <f>'9-A.Training Sub-Annex'!P75</f>
        <v>0</v>
      </c>
      <c r="Q167" s="178" t="s">
        <v>5521</v>
      </c>
      <c r="R167" s="2729">
        <v>0</v>
      </c>
    </row>
    <row r="168" spans="1:18" s="861" customFormat="1">
      <c r="A168" s="4068"/>
      <c r="B168" s="1869">
        <f>'9-A.Training Sub-Annex'!B76</f>
        <v>0</v>
      </c>
      <c r="C168" s="1870" t="str">
        <f>'9-A.Training Sub-Annex'!C76</f>
        <v>Trainings for Family participatory care (KMC)</v>
      </c>
      <c r="D168" s="1871" t="str">
        <f>'9-A.Training Sub-Annex'!D76</f>
        <v>RCH</v>
      </c>
      <c r="E168" s="1871" t="str">
        <f>'9-A.Training Sub-Annex'!E76</f>
        <v>CH</v>
      </c>
      <c r="F168" s="1871">
        <f>'9-A.Training Sub-Annex'!F76</f>
        <v>6</v>
      </c>
      <c r="G168" s="1871">
        <f>'9-A.Training Sub-Annex'!G76</f>
        <v>0</v>
      </c>
      <c r="H168" s="1871">
        <f>'9-A.Training Sub-Annex'!H76</f>
        <v>2.1</v>
      </c>
      <c r="I168" s="1871">
        <f>'9-A.Training Sub-Annex'!I76</f>
        <v>0</v>
      </c>
      <c r="J168" s="1871">
        <f>'9-A.Training Sub-Annex'!J76</f>
        <v>0</v>
      </c>
      <c r="K168" s="1871">
        <f>'9-A.Training Sub-Annex'!K76</f>
        <v>1</v>
      </c>
      <c r="L168" s="962">
        <f>'9-A.Training Sub-Annex'!L76</f>
        <v>0</v>
      </c>
      <c r="M168" s="1871">
        <f>'9-A.Training Sub-Annex'!M76</f>
        <v>0</v>
      </c>
      <c r="N168" s="1871">
        <f>'9-A.Training Sub-Annex'!N76</f>
        <v>0</v>
      </c>
      <c r="O168" s="962">
        <f>'9-A.Training Sub-Annex'!O76</f>
        <v>0</v>
      </c>
      <c r="P168" s="1869">
        <f>'9-A.Training Sub-Annex'!P76</f>
        <v>0</v>
      </c>
      <c r="Q168" s="178" t="s">
        <v>5521</v>
      </c>
      <c r="R168" s="2729">
        <v>0</v>
      </c>
    </row>
    <row r="169" spans="1:18" s="861" customFormat="1" ht="105">
      <c r="A169" s="4068"/>
      <c r="B169" s="1869">
        <f>'9-A.Training Sub-Annex'!B77</f>
        <v>0</v>
      </c>
      <c r="C169" s="1870" t="str">
        <f>'9-A.Training Sub-Annex'!C77</f>
        <v>New Born Stabilization training Package for Medical Officers and Staff nurses</v>
      </c>
      <c r="D169" s="1871" t="str">
        <f>'9-A.Training Sub-Annex'!D77</f>
        <v>RCH</v>
      </c>
      <c r="E169" s="1871" t="str">
        <f>'9-A.Training Sub-Annex'!E77</f>
        <v>CH</v>
      </c>
      <c r="F169" s="1871">
        <f>'9-A.Training Sub-Annex'!F77</f>
        <v>0</v>
      </c>
      <c r="G169" s="1871">
        <f>'9-A.Training Sub-Annex'!G77</f>
        <v>0</v>
      </c>
      <c r="H169" s="1871">
        <f>'9-A.Training Sub-Annex'!H77</f>
        <v>0</v>
      </c>
      <c r="I169" s="1871">
        <f>'9-A.Training Sub-Annex'!I77</f>
        <v>0</v>
      </c>
      <c r="J169" s="1871">
        <f>'9-A.Training Sub-Annex'!J77</f>
        <v>0</v>
      </c>
      <c r="K169" s="1871">
        <f>'9-A.Training Sub-Annex'!K77</f>
        <v>1</v>
      </c>
      <c r="L169" s="962">
        <f>'9-A.Training Sub-Annex'!L77</f>
        <v>350000</v>
      </c>
      <c r="M169" s="1871">
        <f>'9-A.Training Sub-Annex'!M77</f>
        <v>3.5</v>
      </c>
      <c r="N169" s="1871">
        <f>'9-A.Training Sub-Annex'!N77</f>
        <v>4</v>
      </c>
      <c r="O169" s="962">
        <f>'9-A.Training Sub-Annex'!O77</f>
        <v>14</v>
      </c>
      <c r="P169" s="1869" t="str">
        <f>'9-A.Training Sub-Annex'!P77</f>
        <v>To make NBSUs functuional State plans to orient NBSU Mos/Staff nurses</v>
      </c>
      <c r="Q169" s="2018" t="s">
        <v>5581</v>
      </c>
      <c r="R169" s="2728">
        <f>4*3.5</f>
        <v>14</v>
      </c>
    </row>
    <row r="170" spans="1:18" s="861" customFormat="1" ht="45">
      <c r="A170" s="4068"/>
      <c r="B170" s="1869">
        <f>'9-A.Training Sub-Annex'!B78</f>
        <v>0</v>
      </c>
      <c r="C170" s="1870" t="str">
        <f>'9-A.Training Sub-Annex'!C78</f>
        <v>One day Orientation of frontline workers (ASHA/ANM) and allied department workers (Teachers/AWW) on Anaemia Mukt Bharat strategy. As per RCH training norms</v>
      </c>
      <c r="D170" s="1871" t="str">
        <f>'9-A.Training Sub-Annex'!D78</f>
        <v>RCH</v>
      </c>
      <c r="E170" s="1871" t="str">
        <f>'9-A.Training Sub-Annex'!E78</f>
        <v>CH</v>
      </c>
      <c r="F170" s="1871">
        <f>'9-A.Training Sub-Annex'!F78</f>
        <v>6</v>
      </c>
      <c r="G170" s="1871">
        <f>'9-A.Training Sub-Annex'!G78</f>
        <v>0</v>
      </c>
      <c r="H170" s="1871">
        <f>'9-A.Training Sub-Annex'!H78</f>
        <v>2.7</v>
      </c>
      <c r="I170" s="1871">
        <f>'9-A.Training Sub-Annex'!I78</f>
        <v>0</v>
      </c>
      <c r="J170" s="1871">
        <f>'9-A.Training Sub-Annex'!J78</f>
        <v>0</v>
      </c>
      <c r="K170" s="1871">
        <f>'9-A.Training Sub-Annex'!K78</f>
        <v>0</v>
      </c>
      <c r="L170" s="962">
        <f>'9-A.Training Sub-Annex'!L78</f>
        <v>0</v>
      </c>
      <c r="M170" s="1871">
        <f>'9-A.Training Sub-Annex'!M78</f>
        <v>0</v>
      </c>
      <c r="N170" s="1871">
        <f>'9-A.Training Sub-Annex'!N78</f>
        <v>0</v>
      </c>
      <c r="O170" s="962">
        <f>'9-A.Training Sub-Annex'!O78</f>
        <v>0</v>
      </c>
      <c r="P170" s="1869">
        <f>'9-A.Training Sub-Annex'!P78</f>
        <v>0</v>
      </c>
      <c r="Q170" s="2018" t="s">
        <v>5582</v>
      </c>
      <c r="R170" s="2729">
        <v>0</v>
      </c>
    </row>
    <row r="171" spans="1:18" s="861" customFormat="1" ht="105">
      <c r="A171" s="4068"/>
      <c r="B171" s="1869">
        <f>'9-A.Training Sub-Annex'!B79</f>
        <v>0</v>
      </c>
      <c r="C171" s="1870" t="str">
        <f>'9-A.Training Sub-Annex'!C79</f>
        <v>State/District ToT of SAANS, Skill Stations under SAANS</v>
      </c>
      <c r="D171" s="1871" t="str">
        <f>'9-A.Training Sub-Annex'!D79</f>
        <v>RCH</v>
      </c>
      <c r="E171" s="1871" t="str">
        <f>'9-A.Training Sub-Annex'!E79</f>
        <v>CH</v>
      </c>
      <c r="F171" s="1871">
        <f>'9-A.Training Sub-Annex'!F79</f>
        <v>12</v>
      </c>
      <c r="G171" s="1871">
        <f>'9-A.Training Sub-Annex'!G79</f>
        <v>0</v>
      </c>
      <c r="H171" s="1871">
        <f>'9-A.Training Sub-Annex'!H79</f>
        <v>12</v>
      </c>
      <c r="I171" s="1871">
        <f>'9-A.Training Sub-Annex'!I79</f>
        <v>0.02</v>
      </c>
      <c r="J171" s="1871">
        <f>'9-A.Training Sub-Annex'!J79</f>
        <v>11.98</v>
      </c>
      <c r="K171" s="1871">
        <f>'9-A.Training Sub-Annex'!K79</f>
        <v>1</v>
      </c>
      <c r="L171" s="962">
        <f>'9-A.Training Sub-Annex'!L79</f>
        <v>100000</v>
      </c>
      <c r="M171" s="1871">
        <f>'9-A.Training Sub-Annex'!M79</f>
        <v>1</v>
      </c>
      <c r="N171" s="1871">
        <f>'9-A.Training Sub-Annex'!N79</f>
        <v>5</v>
      </c>
      <c r="O171" s="962">
        <f>'9-A.Training Sub-Annex'!O79</f>
        <v>5</v>
      </c>
      <c r="P171" s="1869" t="str">
        <f>'9-A.Training Sub-Annex'!P79</f>
        <v>Sensatization training on pneumonia for front line workers</v>
      </c>
      <c r="Q171" s="2018" t="s">
        <v>5583</v>
      </c>
      <c r="R171" s="2762">
        <v>5</v>
      </c>
    </row>
    <row r="172" spans="1:18" s="861" customFormat="1">
      <c r="A172" s="4068"/>
      <c r="B172" s="1869" t="str">
        <f>'9-A.Training Sub-Annex'!B80</f>
        <v>9.5.2.23</v>
      </c>
      <c r="C172" s="1870" t="str">
        <f>'9-A.Training Sub-Annex'!C80</f>
        <v>Other Child Health trainings (please specify)</v>
      </c>
      <c r="D172" s="1871" t="str">
        <f>'9-A.Training Sub-Annex'!D80</f>
        <v>RCH</v>
      </c>
      <c r="E172" s="1871" t="str">
        <f>'9-A.Training Sub-Annex'!E80</f>
        <v>CH</v>
      </c>
      <c r="F172" s="1871">
        <f>'9-A.Training Sub-Annex'!F80</f>
        <v>0</v>
      </c>
      <c r="G172" s="1871">
        <f>'9-A.Training Sub-Annex'!G80</f>
        <v>0</v>
      </c>
      <c r="H172" s="1871">
        <f>'9-A.Training Sub-Annex'!H80</f>
        <v>0</v>
      </c>
      <c r="I172" s="1871">
        <f>'9-A.Training Sub-Annex'!I80</f>
        <v>0</v>
      </c>
      <c r="J172" s="1871">
        <f>'9-A.Training Sub-Annex'!J80</f>
        <v>0</v>
      </c>
      <c r="K172" s="1871">
        <f>'9-A.Training Sub-Annex'!K80</f>
        <v>0</v>
      </c>
      <c r="L172" s="962">
        <f>'9-A.Training Sub-Annex'!L80</f>
        <v>0</v>
      </c>
      <c r="M172" s="1871">
        <f>'9-A.Training Sub-Annex'!M80</f>
        <v>0</v>
      </c>
      <c r="N172" s="1871">
        <f>'9-A.Training Sub-Annex'!N80</f>
        <v>0</v>
      </c>
      <c r="O172" s="962">
        <f>'9-A.Training Sub-Annex'!O80</f>
        <v>0</v>
      </c>
      <c r="P172" s="1869">
        <f>'9-A.Training Sub-Annex'!P80</f>
        <v>0</v>
      </c>
      <c r="Q172" s="178" t="s">
        <v>5521</v>
      </c>
      <c r="R172" s="2729">
        <v>0</v>
      </c>
    </row>
    <row r="173" spans="1:18" s="861" customFormat="1">
      <c r="A173" s="1858">
        <f>'10.Review Research &amp; Surveillen'!A7</f>
        <v>10</v>
      </c>
      <c r="B173" s="1865"/>
      <c r="C173" s="1859" t="str">
        <f>'10.Review Research &amp; Surveillen'!C7</f>
        <v>Reviews, Research, Surveys and Surveillance</v>
      </c>
      <c r="D173" s="1860"/>
      <c r="E173" s="1860"/>
      <c r="F173" s="1860"/>
      <c r="G173" s="1860"/>
      <c r="H173" s="994"/>
      <c r="I173" s="1860"/>
      <c r="J173" s="994"/>
      <c r="K173" s="1860"/>
      <c r="L173" s="994"/>
      <c r="M173" s="994"/>
      <c r="N173" s="1866"/>
      <c r="O173" s="1867">
        <f>O174</f>
        <v>11.25</v>
      </c>
      <c r="P173" s="1868"/>
      <c r="Q173" s="2743"/>
      <c r="R173" s="2746">
        <f>R174</f>
        <v>11.25</v>
      </c>
    </row>
    <row r="174" spans="1:18" s="861" customFormat="1" ht="120">
      <c r="A174" s="1872" t="str">
        <f>'10.Review Research &amp; Surveillen'!A10</f>
        <v>10.1.2</v>
      </c>
      <c r="B174" s="1872" t="str">
        <f>'10.Review Research &amp; Surveillen'!B10</f>
        <v>A.2.8</v>
      </c>
      <c r="C174" s="1873" t="str">
        <f>'10.Review Research &amp; Surveillen'!C10</f>
        <v>Child Death Review</v>
      </c>
      <c r="D174" s="1874" t="str">
        <f>'10.Review Research &amp; Surveillen'!D10</f>
        <v>RCH</v>
      </c>
      <c r="E174" s="1874" t="str">
        <f>'10.Review Research &amp; Surveillen'!E10</f>
        <v>CH</v>
      </c>
      <c r="F174" s="1874">
        <f>'10.Review Research &amp; Surveillen'!F10</f>
        <v>500</v>
      </c>
      <c r="G174" s="1874">
        <f>'10.Review Research &amp; Surveillen'!G10</f>
        <v>0</v>
      </c>
      <c r="H174" s="1874">
        <f>'10.Review Research &amp; Surveillen'!H10</f>
        <v>3.25</v>
      </c>
      <c r="I174" s="1874">
        <f>'10.Review Research &amp; Surveillen'!I10</f>
        <v>0.56000000000000005</v>
      </c>
      <c r="J174" s="1874">
        <f>'10.Review Research &amp; Surveillen'!J10</f>
        <v>2.69</v>
      </c>
      <c r="K174" s="1874">
        <f>'10.Review Research &amp; Surveillen'!K10</f>
        <v>1</v>
      </c>
      <c r="L174" s="962">
        <f>'10.Review Research &amp; Surveillen'!L10</f>
        <v>750</v>
      </c>
      <c r="M174" s="1874">
        <f>'10.Review Research &amp; Surveillen'!M10</f>
        <v>7.4999999999999997E-3</v>
      </c>
      <c r="N174" s="1874">
        <f>'10.Review Research &amp; Surveillen'!N10</f>
        <v>1500</v>
      </c>
      <c r="O174" s="962">
        <f>'10.Review Research &amp; Surveillen'!O10</f>
        <v>11.25</v>
      </c>
      <c r="P174" s="1872" t="str">
        <f>'10.Review Research &amp; Surveillen'!P10</f>
        <v>Fund proposed for CDR of 1500 cases @ Rs. 750 per child (100 Rs, ANM,250 x2 (investigation team) 100 travel cost and Rs. 50 for ASHA).</v>
      </c>
      <c r="Q174" s="2018" t="s">
        <v>5584</v>
      </c>
      <c r="R174" s="2728">
        <f>1500*750/100000</f>
        <v>11.25</v>
      </c>
    </row>
    <row r="175" spans="1:18" s="861" customFormat="1">
      <c r="A175" s="1858">
        <f>'11.IEC-BCC Annex'!A7</f>
        <v>11</v>
      </c>
      <c r="B175" s="1865"/>
      <c r="C175" s="1859" t="str">
        <f>'11.IEC-BCC Annex'!C7</f>
        <v>IEC/BCC</v>
      </c>
      <c r="D175" s="1860"/>
      <c r="E175" s="1860"/>
      <c r="F175" s="1860"/>
      <c r="G175" s="1860"/>
      <c r="H175" s="994"/>
      <c r="I175" s="1860"/>
      <c r="J175" s="994"/>
      <c r="K175" s="1860"/>
      <c r="L175" s="994"/>
      <c r="M175" s="994"/>
      <c r="N175" s="1866"/>
      <c r="O175" s="1867">
        <f>SUM(O176:O179)</f>
        <v>52.7</v>
      </c>
      <c r="P175" s="1868"/>
      <c r="Q175" s="2743"/>
      <c r="R175" s="2770">
        <f>SUM(R176:R179)</f>
        <v>52.7</v>
      </c>
    </row>
    <row r="176" spans="1:18" s="861" customFormat="1" ht="30">
      <c r="A176" s="4068" t="str">
        <f>'11.IEC-BCC Annex'!A10</f>
        <v>11.1.2</v>
      </c>
      <c r="B176" s="2735" t="str">
        <f>'11-A. IEC Sub-Annex'!B11</f>
        <v>B.10.3.2.1</v>
      </c>
      <c r="C176" s="1861" t="str">
        <f>'11-A. IEC Sub-Annex'!C11</f>
        <v>Media Mix of Mid Media/ Mass Media</v>
      </c>
      <c r="D176" s="1862" t="str">
        <f>'11-A. IEC Sub-Annex'!D11</f>
        <v>RCH</v>
      </c>
      <c r="E176" s="1862" t="str">
        <f>'11-A. IEC Sub-Annex'!E11</f>
        <v>CH</v>
      </c>
      <c r="F176" s="1862">
        <f>'11-A. IEC Sub-Annex'!F11</f>
        <v>1</v>
      </c>
      <c r="G176" s="1862">
        <f>'11-A. IEC Sub-Annex'!G11</f>
        <v>0</v>
      </c>
      <c r="H176" s="1862">
        <f>'11-A. IEC Sub-Annex'!H11</f>
        <v>78.45</v>
      </c>
      <c r="I176" s="1862">
        <f>'11-A. IEC Sub-Annex'!I11</f>
        <v>54.24</v>
      </c>
      <c r="J176" s="1862">
        <f>'11-A. IEC Sub-Annex'!J11</f>
        <v>24.21</v>
      </c>
      <c r="K176" s="1862">
        <f>'11-A. IEC Sub-Annex'!K11</f>
        <v>0</v>
      </c>
      <c r="L176" s="962">
        <f>'11-A. IEC Sub-Annex'!L11</f>
        <v>5270000</v>
      </c>
      <c r="M176" s="1862">
        <f>'11-A. IEC Sub-Annex'!M11</f>
        <v>52.7</v>
      </c>
      <c r="N176" s="1862">
        <f>'11-A. IEC Sub-Annex'!N11</f>
        <v>1</v>
      </c>
      <c r="O176" s="962">
        <f>'11-A. IEC Sub-Annex'!O11</f>
        <v>52.7</v>
      </c>
      <c r="P176" s="2735" t="str">
        <f>'11-A. IEC Sub-Annex'!P11</f>
        <v>as per annexures</v>
      </c>
      <c r="Q176" s="2018" t="s">
        <v>5874</v>
      </c>
      <c r="R176" s="2729">
        <v>52.7</v>
      </c>
    </row>
    <row r="177" spans="1:18" s="861" customFormat="1">
      <c r="A177" s="4068"/>
      <c r="B177" s="2735" t="str">
        <f>'11-A. IEC Sub-Annex'!B12</f>
        <v>B.10.3.2.2</v>
      </c>
      <c r="C177" s="1861" t="str">
        <f>'11-A. IEC Sub-Annex'!C12</f>
        <v>Inter Personal Communication</v>
      </c>
      <c r="D177" s="1862" t="str">
        <f>'11-A. IEC Sub-Annex'!D12</f>
        <v>RCH</v>
      </c>
      <c r="E177" s="1862" t="str">
        <f>'11-A. IEC Sub-Annex'!E12</f>
        <v>CH</v>
      </c>
      <c r="F177" s="1862">
        <f>'11-A. IEC Sub-Annex'!F12</f>
        <v>0</v>
      </c>
      <c r="G177" s="1862">
        <f>'11-A. IEC Sub-Annex'!G12</f>
        <v>0</v>
      </c>
      <c r="H177" s="1862">
        <f>'11-A. IEC Sub-Annex'!H12</f>
        <v>0</v>
      </c>
      <c r="I177" s="1862">
        <f>'11-A. IEC Sub-Annex'!I12</f>
        <v>0</v>
      </c>
      <c r="J177" s="1862">
        <f>'11-A. IEC Sub-Annex'!J12</f>
        <v>0</v>
      </c>
      <c r="K177" s="1862">
        <f>'11-A. IEC Sub-Annex'!K12</f>
        <v>0</v>
      </c>
      <c r="L177" s="962">
        <f>'11-A. IEC Sub-Annex'!L12</f>
        <v>0</v>
      </c>
      <c r="M177" s="1862">
        <f>'11-A. IEC Sub-Annex'!M12</f>
        <v>0</v>
      </c>
      <c r="N177" s="1862">
        <f>'11-A. IEC Sub-Annex'!N12</f>
        <v>0</v>
      </c>
      <c r="O177" s="962">
        <f>'11-A. IEC Sub-Annex'!O12</f>
        <v>0</v>
      </c>
      <c r="P177" s="2735">
        <f>'11-A. IEC Sub-Annex'!P12</f>
        <v>0</v>
      </c>
      <c r="Q177" s="178" t="s">
        <v>5521</v>
      </c>
      <c r="R177" s="2729">
        <v>0</v>
      </c>
    </row>
    <row r="178" spans="1:18" s="861" customFormat="1">
      <c r="A178" s="4068"/>
      <c r="B178" s="2735">
        <f>'11-A. IEC Sub-Annex'!B13</f>
        <v>0</v>
      </c>
      <c r="C178" s="1861" t="str">
        <f>'11-A. IEC Sub-Annex'!C13</f>
        <v>IEC for family participatory care</v>
      </c>
      <c r="D178" s="1862" t="str">
        <f>'11-A. IEC Sub-Annex'!D13</f>
        <v>RCH</v>
      </c>
      <c r="E178" s="1862" t="str">
        <f>'11-A. IEC Sub-Annex'!E13</f>
        <v>CH</v>
      </c>
      <c r="F178" s="1862">
        <f>'11-A. IEC Sub-Annex'!F13</f>
        <v>0</v>
      </c>
      <c r="G178" s="1862">
        <f>'11-A. IEC Sub-Annex'!G13</f>
        <v>0</v>
      </c>
      <c r="H178" s="1862">
        <f>'11-A. IEC Sub-Annex'!H13</f>
        <v>0</v>
      </c>
      <c r="I178" s="1862">
        <f>'11-A. IEC Sub-Annex'!I13</f>
        <v>0</v>
      </c>
      <c r="J178" s="1862">
        <f>'11-A. IEC Sub-Annex'!J13</f>
        <v>0</v>
      </c>
      <c r="K178" s="1862">
        <f>'11-A. IEC Sub-Annex'!K13</f>
        <v>0</v>
      </c>
      <c r="L178" s="962">
        <f>'11-A. IEC Sub-Annex'!L13</f>
        <v>0</v>
      </c>
      <c r="M178" s="1862">
        <f>'11-A. IEC Sub-Annex'!M13</f>
        <v>0</v>
      </c>
      <c r="N178" s="1862">
        <f>'11-A. IEC Sub-Annex'!N13</f>
        <v>0</v>
      </c>
      <c r="O178" s="962">
        <f>'11-A. IEC Sub-Annex'!O13</f>
        <v>0</v>
      </c>
      <c r="P178" s="2735">
        <f>'11-A. IEC Sub-Annex'!P13</f>
        <v>0</v>
      </c>
      <c r="Q178" s="178" t="s">
        <v>5521</v>
      </c>
      <c r="R178" s="2729">
        <v>0</v>
      </c>
    </row>
    <row r="179" spans="1:18" s="861" customFormat="1" ht="30">
      <c r="A179" s="4068"/>
      <c r="B179" s="2735">
        <f>'11-A. IEC Sub-Annex'!B14</f>
        <v>0</v>
      </c>
      <c r="C179" s="1861" t="str">
        <f>'11-A. IEC Sub-Annex'!C14</f>
        <v>Any other IEC/BCC activities (please specify) including SAANS campaign IEC at state/district level</v>
      </c>
      <c r="D179" s="1862" t="str">
        <f>'11-A. IEC Sub-Annex'!D14</f>
        <v>RCH</v>
      </c>
      <c r="E179" s="1862" t="str">
        <f>'11-A. IEC Sub-Annex'!E14</f>
        <v>CH</v>
      </c>
      <c r="F179" s="1862">
        <f>'11-A. IEC Sub-Annex'!F14</f>
        <v>0</v>
      </c>
      <c r="G179" s="1862">
        <f>'11-A. IEC Sub-Annex'!G14</f>
        <v>0</v>
      </c>
      <c r="H179" s="1862">
        <f>'11-A. IEC Sub-Annex'!H14</f>
        <v>0</v>
      </c>
      <c r="I179" s="1862">
        <f>'11-A. IEC Sub-Annex'!I14</f>
        <v>0</v>
      </c>
      <c r="J179" s="1862">
        <f>'11-A. IEC Sub-Annex'!J14</f>
        <v>0</v>
      </c>
      <c r="K179" s="1862">
        <f>'11-A. IEC Sub-Annex'!K14</f>
        <v>0</v>
      </c>
      <c r="L179" s="962">
        <f>'11-A. IEC Sub-Annex'!L14</f>
        <v>0</v>
      </c>
      <c r="M179" s="1862">
        <f>'11-A. IEC Sub-Annex'!M14</f>
        <v>0</v>
      </c>
      <c r="N179" s="1862">
        <f>'11-A. IEC Sub-Annex'!N14</f>
        <v>0</v>
      </c>
      <c r="O179" s="962">
        <f>'11-A. IEC Sub-Annex'!O14</f>
        <v>0</v>
      </c>
      <c r="P179" s="2735">
        <f>'11-A. IEC Sub-Annex'!P14</f>
        <v>0</v>
      </c>
      <c r="Q179" s="178" t="s">
        <v>5521</v>
      </c>
      <c r="R179" s="2729">
        <v>0</v>
      </c>
    </row>
    <row r="180" spans="1:18" s="861" customFormat="1">
      <c r="A180" s="1858">
        <f>'12.Printing Annex'!A7</f>
        <v>12</v>
      </c>
      <c r="B180" s="1865"/>
      <c r="C180" s="1859" t="str">
        <f>'12.Printing Annex'!C7</f>
        <v>Printing</v>
      </c>
      <c r="D180" s="1860"/>
      <c r="E180" s="1860"/>
      <c r="F180" s="1860"/>
      <c r="G180" s="1860"/>
      <c r="H180" s="994"/>
      <c r="I180" s="1860"/>
      <c r="J180" s="994"/>
      <c r="K180" s="1860"/>
      <c r="L180" s="994"/>
      <c r="M180" s="994"/>
      <c r="N180" s="1866"/>
      <c r="O180" s="1867">
        <f>SUM(O181:O195)</f>
        <v>71.504999999999995</v>
      </c>
      <c r="P180" s="1868"/>
      <c r="Q180" s="2743"/>
      <c r="R180" s="2746">
        <f>SUM(R181:R195)</f>
        <v>67.91</v>
      </c>
    </row>
    <row r="181" spans="1:18" s="861" customFormat="1">
      <c r="A181" s="2735" t="str">
        <f>'12.Printing Annex'!A10</f>
        <v>12.1.2</v>
      </c>
      <c r="B181" s="2735">
        <f>'12-A. Print Sub-Annex'!B10</f>
        <v>0</v>
      </c>
      <c r="C181" s="1861" t="str">
        <f>'12-A. Print Sub-Annex'!C10</f>
        <v>Printing cost for MAA programme</v>
      </c>
      <c r="D181" s="1862" t="str">
        <f>'12-A. Print Sub-Annex'!D10</f>
        <v>RCH</v>
      </c>
      <c r="E181" s="1862" t="str">
        <f>'12-A. Print Sub-Annex'!E10</f>
        <v>CH</v>
      </c>
      <c r="F181" s="1862">
        <f>'12-A. Print Sub-Annex'!F10</f>
        <v>0</v>
      </c>
      <c r="G181" s="1862">
        <f>'12-A. Print Sub-Annex'!G10</f>
        <v>0</v>
      </c>
      <c r="H181" s="1862">
        <f>'12-A. Print Sub-Annex'!H10</f>
        <v>0</v>
      </c>
      <c r="I181" s="1862">
        <f>'12-A. Print Sub-Annex'!I10</f>
        <v>0</v>
      </c>
      <c r="J181" s="1862">
        <f>'12-A. Print Sub-Annex'!J10</f>
        <v>0</v>
      </c>
      <c r="K181" s="1862">
        <f>'12-A. Print Sub-Annex'!K10</f>
        <v>0</v>
      </c>
      <c r="L181" s="962">
        <f>'12-A. Print Sub-Annex'!L10</f>
        <v>0</v>
      </c>
      <c r="M181" s="1862">
        <f>'12-A. Print Sub-Annex'!M10</f>
        <v>0</v>
      </c>
      <c r="N181" s="1862">
        <f>'12-A. Print Sub-Annex'!N10</f>
        <v>0</v>
      </c>
      <c r="O181" s="962">
        <f>'12-A. Print Sub-Annex'!O10</f>
        <v>0</v>
      </c>
      <c r="P181" s="2735">
        <f>'12-A. Print Sub-Annex'!P10</f>
        <v>0</v>
      </c>
      <c r="Q181" s="178" t="s">
        <v>5521</v>
      </c>
      <c r="R181" s="2729">
        <v>0</v>
      </c>
    </row>
    <row r="182" spans="1:18" s="861" customFormat="1" ht="180">
      <c r="A182" s="2735"/>
      <c r="B182" s="2735" t="str">
        <f>'12-A. Print Sub-Annex'!B13</f>
        <v>A.2.1</v>
      </c>
      <c r="C182" s="1861" t="str">
        <f>'12-A. Print Sub-Annex'!C13</f>
        <v>Printing for IMNCI, FIMNCI, FBNC, NBSU training packages and the translation</v>
      </c>
      <c r="D182" s="1862" t="str">
        <f>'12-A. Print Sub-Annex'!D13</f>
        <v>RCH</v>
      </c>
      <c r="E182" s="1862" t="str">
        <f>'12-A. Print Sub-Annex'!E13</f>
        <v>CH</v>
      </c>
      <c r="F182" s="1862">
        <f>'12-A. Print Sub-Annex'!F13</f>
        <v>0</v>
      </c>
      <c r="G182" s="1862">
        <f>'12-A. Print Sub-Annex'!G13</f>
        <v>0</v>
      </c>
      <c r="H182" s="1862">
        <f>'12-A. Print Sub-Annex'!H13</f>
        <v>0</v>
      </c>
      <c r="I182" s="1862">
        <f>'12-A. Print Sub-Annex'!I13</f>
        <v>0</v>
      </c>
      <c r="J182" s="1862">
        <f>'12-A. Print Sub-Annex'!J13</f>
        <v>0</v>
      </c>
      <c r="K182" s="1862">
        <f>'12-A. Print Sub-Annex'!K13</f>
        <v>1</v>
      </c>
      <c r="L182" s="962">
        <f>'12-A. Print Sub-Annex'!L13</f>
        <v>450</v>
      </c>
      <c r="M182" s="1862">
        <f>'12-A. Print Sub-Annex'!M13</f>
        <v>4.4999999999999997E-3</v>
      </c>
      <c r="N182" s="1862">
        <f>'12-A. Print Sub-Annex'!N13</f>
        <v>350</v>
      </c>
      <c r="O182" s="962">
        <f>'12-A. Print Sub-Annex'!O13</f>
        <v>1.575</v>
      </c>
      <c r="P182" s="2735" t="str">
        <f>'12-A. Print Sub-Annex'!P13</f>
        <v>for pinting of NBSU training modules @ 450/- per book for 300 books</v>
      </c>
      <c r="Q182" s="2018" t="s">
        <v>5585</v>
      </c>
      <c r="R182" s="2728">
        <f>(100*450+20*150)/100000</f>
        <v>0.48</v>
      </c>
    </row>
    <row r="183" spans="1:18" s="861" customFormat="1" ht="30">
      <c r="A183" s="2735"/>
      <c r="B183" s="2735" t="str">
        <f>'12-A. Print Sub-Annex'!B14</f>
        <v>A.2.6</v>
      </c>
      <c r="C183" s="1861" t="str">
        <f>'12-A. Print Sub-Annex'!C14</f>
        <v>Printing for National Childhood Pneumonia Management Guidelines under SAANS</v>
      </c>
      <c r="D183" s="1862" t="str">
        <f>'12-A. Print Sub-Annex'!D14</f>
        <v>RCH</v>
      </c>
      <c r="E183" s="1862" t="str">
        <f>'12-A. Print Sub-Annex'!E14</f>
        <v>CH</v>
      </c>
      <c r="F183" s="1862">
        <f>'12-A. Print Sub-Annex'!F14</f>
        <v>3000</v>
      </c>
      <c r="G183" s="1862">
        <f>'12-A. Print Sub-Annex'!G14</f>
        <v>0</v>
      </c>
      <c r="H183" s="1862">
        <f>'12-A. Print Sub-Annex'!H14</f>
        <v>3</v>
      </c>
      <c r="I183" s="1862">
        <f>'12-A. Print Sub-Annex'!I14</f>
        <v>0.02</v>
      </c>
      <c r="J183" s="1862">
        <f>'12-A. Print Sub-Annex'!J14</f>
        <v>2.98</v>
      </c>
      <c r="K183" s="1862">
        <f>'12-A. Print Sub-Annex'!K14</f>
        <v>0</v>
      </c>
      <c r="L183" s="962">
        <f>'12-A. Print Sub-Annex'!L14</f>
        <v>0</v>
      </c>
      <c r="M183" s="1862">
        <f>'12-A. Print Sub-Annex'!M14</f>
        <v>0</v>
      </c>
      <c r="N183" s="1862">
        <f>'12-A. Print Sub-Annex'!N14</f>
        <v>0</v>
      </c>
      <c r="O183" s="962">
        <f>'12-A. Print Sub-Annex'!O14</f>
        <v>0</v>
      </c>
      <c r="P183" s="2735">
        <f>'12-A. Print Sub-Annex'!P14</f>
        <v>0</v>
      </c>
      <c r="Q183" s="2018" t="s">
        <v>5586</v>
      </c>
      <c r="R183" s="2729">
        <v>0</v>
      </c>
    </row>
    <row r="184" spans="1:18" s="861" customFormat="1" ht="45">
      <c r="A184" s="2735"/>
      <c r="B184" s="2735" t="str">
        <f>'12-A. Print Sub-Annex'!B15</f>
        <v>A.2.7</v>
      </c>
      <c r="C184" s="1861" t="str">
        <f>'12-A. Print Sub-Annex'!C15</f>
        <v>Printing for Micronutrient Supplementation Programme including IEC materials, reporting formats, guidelines / training materials etc. (For AMB and Vitamin A supplementation programmes)</v>
      </c>
      <c r="D184" s="1862" t="str">
        <f>'12-A. Print Sub-Annex'!D15</f>
        <v>RCH</v>
      </c>
      <c r="E184" s="1862" t="str">
        <f>'12-A. Print Sub-Annex'!E15</f>
        <v>CH</v>
      </c>
      <c r="F184" s="1862">
        <f>'12-A. Print Sub-Annex'!F15</f>
        <v>700000</v>
      </c>
      <c r="G184" s="1862">
        <f>'12-A. Print Sub-Annex'!G15</f>
        <v>0</v>
      </c>
      <c r="H184" s="1862">
        <f>'12-A. Print Sub-Annex'!H15</f>
        <v>7</v>
      </c>
      <c r="I184" s="1862">
        <f>'12-A. Print Sub-Annex'!I15</f>
        <v>0</v>
      </c>
      <c r="J184" s="1862">
        <f>'12-A. Print Sub-Annex'!J15</f>
        <v>7</v>
      </c>
      <c r="K184" s="1862">
        <f>'12-A. Print Sub-Annex'!K15</f>
        <v>0</v>
      </c>
      <c r="L184" s="962">
        <f>'12-A. Print Sub-Annex'!L15</f>
        <v>0</v>
      </c>
      <c r="M184" s="1862">
        <f>'12-A. Print Sub-Annex'!M15</f>
        <v>0</v>
      </c>
      <c r="N184" s="1862">
        <f>'12-A. Print Sub-Annex'!N15</f>
        <v>0</v>
      </c>
      <c r="O184" s="962">
        <f>'12-A. Print Sub-Annex'!O15</f>
        <v>0</v>
      </c>
      <c r="P184" s="2735">
        <f>'12-A. Print Sub-Annex'!P15</f>
        <v>0</v>
      </c>
      <c r="Q184" s="2018" t="s">
        <v>5587</v>
      </c>
      <c r="R184" s="2729">
        <v>0</v>
      </c>
    </row>
    <row r="185" spans="1:18" s="861" customFormat="1">
      <c r="A185" s="2735"/>
      <c r="B185" s="2735" t="str">
        <f>'12-A. Print Sub-Annex'!B16</f>
        <v>A.2.8</v>
      </c>
      <c r="C185" s="1861" t="str">
        <f>'12-A. Print Sub-Annex'!C16</f>
        <v>Printing of Child Death Review formats</v>
      </c>
      <c r="D185" s="1862" t="str">
        <f>'12-A. Print Sub-Annex'!D16</f>
        <v>RCH</v>
      </c>
      <c r="E185" s="1862" t="str">
        <f>'12-A. Print Sub-Annex'!E16</f>
        <v>CH</v>
      </c>
      <c r="F185" s="1862">
        <f>'12-A. Print Sub-Annex'!F16</f>
        <v>0</v>
      </c>
      <c r="G185" s="1862">
        <f>'12-A. Print Sub-Annex'!G16</f>
        <v>0</v>
      </c>
      <c r="H185" s="1862">
        <f>'12-A. Print Sub-Annex'!H16</f>
        <v>0</v>
      </c>
      <c r="I185" s="1862">
        <f>'12-A. Print Sub-Annex'!I16</f>
        <v>0</v>
      </c>
      <c r="J185" s="1862">
        <f>'12-A. Print Sub-Annex'!J16</f>
        <v>0</v>
      </c>
      <c r="K185" s="1862">
        <f>'12-A. Print Sub-Annex'!K16</f>
        <v>0</v>
      </c>
      <c r="L185" s="962">
        <f>'12-A. Print Sub-Annex'!L16</f>
        <v>0</v>
      </c>
      <c r="M185" s="1862">
        <f>'12-A. Print Sub-Annex'!M16</f>
        <v>0</v>
      </c>
      <c r="N185" s="1862">
        <f>'12-A. Print Sub-Annex'!N16</f>
        <v>0</v>
      </c>
      <c r="O185" s="962">
        <f>'12-A. Print Sub-Annex'!O16</f>
        <v>0</v>
      </c>
      <c r="P185" s="2735">
        <f>'12-A. Print Sub-Annex'!P16</f>
        <v>0</v>
      </c>
      <c r="Q185" s="2018" t="s">
        <v>5521</v>
      </c>
      <c r="R185" s="2729">
        <v>0</v>
      </c>
    </row>
    <row r="186" spans="1:18" s="861" customFormat="1" ht="45">
      <c r="A186" s="2735"/>
      <c r="B186" s="2735" t="str">
        <f>'12-A. Print Sub-Annex'!B17</f>
        <v>B.10.7.4.1</v>
      </c>
      <c r="C186" s="1861" t="str">
        <f>'12-A. Print Sub-Annex'!C17</f>
        <v>Printing of compliance cards and reporting formats for National Iron Plus Initiative-for 6-59 months  age group and for 5-10 years age group</v>
      </c>
      <c r="D186" s="1862" t="str">
        <f>'12-A. Print Sub-Annex'!D17</f>
        <v>RCH</v>
      </c>
      <c r="E186" s="1862" t="str">
        <f>'12-A. Print Sub-Annex'!E17</f>
        <v>CH</v>
      </c>
      <c r="F186" s="1862">
        <f>'12-A. Print Sub-Annex'!F17</f>
        <v>0</v>
      </c>
      <c r="G186" s="1862">
        <f>'12-A. Print Sub-Annex'!G17</f>
        <v>0</v>
      </c>
      <c r="H186" s="1862">
        <f>'12-A. Print Sub-Annex'!H17</f>
        <v>0</v>
      </c>
      <c r="I186" s="1862">
        <f>'12-A. Print Sub-Annex'!I17</f>
        <v>0</v>
      </c>
      <c r="J186" s="1862">
        <f>'12-A. Print Sub-Annex'!J17</f>
        <v>0</v>
      </c>
      <c r="K186" s="1862">
        <f>'12-A. Print Sub-Annex'!K17</f>
        <v>0</v>
      </c>
      <c r="L186" s="962">
        <f>'12-A. Print Sub-Annex'!L17</f>
        <v>0</v>
      </c>
      <c r="M186" s="1862">
        <f>'12-A. Print Sub-Annex'!M17</f>
        <v>0</v>
      </c>
      <c r="N186" s="1862">
        <f>'12-A. Print Sub-Annex'!N17</f>
        <v>0</v>
      </c>
      <c r="O186" s="962">
        <f>'12-A. Print Sub-Annex'!O17</f>
        <v>0</v>
      </c>
      <c r="P186" s="2735">
        <f>'12-A. Print Sub-Annex'!P17</f>
        <v>0</v>
      </c>
      <c r="Q186" s="2018" t="s">
        <v>5588</v>
      </c>
      <c r="R186" s="2729">
        <v>0</v>
      </c>
    </row>
    <row r="187" spans="1:18" s="861" customFormat="1" ht="60">
      <c r="A187" s="2735"/>
      <c r="B187" s="2735" t="str">
        <f>'12-A. Print Sub-Annex'!B18</f>
        <v>B.10.7.4.7</v>
      </c>
      <c r="C187" s="1861" t="str">
        <f>'12-A. Print Sub-Annex'!C18</f>
        <v>Printing of IEC materials and reporting formats etc.  for National Deworming Day</v>
      </c>
      <c r="D187" s="1862" t="str">
        <f>'12-A. Print Sub-Annex'!D18</f>
        <v>RCH</v>
      </c>
      <c r="E187" s="1862" t="str">
        <f>'12-A. Print Sub-Annex'!E18</f>
        <v>CH</v>
      </c>
      <c r="F187" s="1862">
        <f>'12-A. Print Sub-Annex'!F18</f>
        <v>300000</v>
      </c>
      <c r="G187" s="1862">
        <f>'12-A. Print Sub-Annex'!G18</f>
        <v>0</v>
      </c>
      <c r="H187" s="1862">
        <f>'12-A. Print Sub-Annex'!H18</f>
        <v>30</v>
      </c>
      <c r="I187" s="1862">
        <f>'12-A. Print Sub-Annex'!I18</f>
        <v>0.04</v>
      </c>
      <c r="J187" s="1862">
        <f>'12-A. Print Sub-Annex'!J18</f>
        <v>29.96</v>
      </c>
      <c r="K187" s="1862">
        <f>'12-A. Print Sub-Annex'!K18</f>
        <v>1</v>
      </c>
      <c r="L187" s="962">
        <f>'12-A. Print Sub-Annex'!L18</f>
        <v>10</v>
      </c>
      <c r="M187" s="1862">
        <f>'12-A. Print Sub-Annex'!M18</f>
        <v>1E-4</v>
      </c>
      <c r="N187" s="1862">
        <f>'12-A. Print Sub-Annex'!N18</f>
        <v>300000</v>
      </c>
      <c r="O187" s="962">
        <f>'12-A. Print Sub-Annex'!O18</f>
        <v>30</v>
      </c>
      <c r="P187" s="2735" t="str">
        <f>'12-A. Print Sub-Annex'!P18</f>
        <v>Printing of IEC and reporting formats  for one round</v>
      </c>
      <c r="Q187" s="2018" t="s">
        <v>5589</v>
      </c>
      <c r="R187" s="2728">
        <f>250000*1*12/100000</f>
        <v>30</v>
      </c>
    </row>
    <row r="188" spans="1:18" s="861" customFormat="1" ht="60">
      <c r="A188" s="2735"/>
      <c r="B188" s="2735" t="str">
        <f>'12-A. Print Sub-Annex'!B19</f>
        <v>B.10.7.4.8</v>
      </c>
      <c r="C188" s="1861" t="str">
        <f>'12-A. Print Sub-Annex'!C19</f>
        <v>Printing of IEC Materials and monitoring formats for IDCF</v>
      </c>
      <c r="D188" s="1862" t="str">
        <f>'12-A. Print Sub-Annex'!D19</f>
        <v>RCH</v>
      </c>
      <c r="E188" s="1862" t="str">
        <f>'12-A. Print Sub-Annex'!E19</f>
        <v>CH</v>
      </c>
      <c r="F188" s="1862">
        <f>'12-A. Print Sub-Annex'!F19</f>
        <v>200000</v>
      </c>
      <c r="G188" s="1862">
        <f>'12-A. Print Sub-Annex'!G19</f>
        <v>0</v>
      </c>
      <c r="H188" s="1862">
        <f>'12-A. Print Sub-Annex'!H19</f>
        <v>6</v>
      </c>
      <c r="I188" s="1862">
        <f>'12-A. Print Sub-Annex'!I19</f>
        <v>0</v>
      </c>
      <c r="J188" s="1862">
        <f>'12-A. Print Sub-Annex'!J19</f>
        <v>6</v>
      </c>
      <c r="K188" s="1862">
        <f>'12-A. Print Sub-Annex'!K19</f>
        <v>1</v>
      </c>
      <c r="L188" s="962">
        <f>'12-A. Print Sub-Annex'!L19</f>
        <v>3</v>
      </c>
      <c r="M188" s="1862">
        <f>'12-A. Print Sub-Annex'!M19</f>
        <v>3.0000000000000001E-5</v>
      </c>
      <c r="N188" s="1862">
        <f>'12-A. Print Sub-Annex'!N19</f>
        <v>200000</v>
      </c>
      <c r="O188" s="962">
        <f>'12-A. Print Sub-Annex'!O19</f>
        <v>6</v>
      </c>
      <c r="P188" s="2735" t="str">
        <f>'12-A. Print Sub-Annex'!P19</f>
        <v xml:space="preserve">Printing of IEC and reporting formats </v>
      </c>
      <c r="Q188" s="2018" t="s">
        <v>5590</v>
      </c>
      <c r="R188" s="2728">
        <f>0.5*12</f>
        <v>6</v>
      </c>
    </row>
    <row r="189" spans="1:18" s="861" customFormat="1" ht="30">
      <c r="A189" s="2735"/>
      <c r="B189" s="2735" t="str">
        <f>'12-A. Print Sub-Annex'!B20</f>
        <v>B.10.7.4.9</v>
      </c>
      <c r="C189" s="1861" t="str">
        <f>'12-A. Print Sub-Annex'!C20</f>
        <v>Printing cost of IEC materials, monitoring forms etc. for intensification of school health activities</v>
      </c>
      <c r="D189" s="1862" t="str">
        <f>'12-A. Print Sub-Annex'!D20</f>
        <v>RCH</v>
      </c>
      <c r="E189" s="1862" t="str">
        <f>'12-A. Print Sub-Annex'!E20</f>
        <v>CH</v>
      </c>
      <c r="F189" s="1862">
        <f>'12-A. Print Sub-Annex'!F20</f>
        <v>0</v>
      </c>
      <c r="G189" s="1862">
        <f>'12-A. Print Sub-Annex'!G20</f>
        <v>0</v>
      </c>
      <c r="H189" s="1862">
        <f>'12-A. Print Sub-Annex'!H20</f>
        <v>0</v>
      </c>
      <c r="I189" s="1862">
        <f>'12-A. Print Sub-Annex'!I20</f>
        <v>0</v>
      </c>
      <c r="J189" s="1862">
        <f>'12-A. Print Sub-Annex'!J20</f>
        <v>0</v>
      </c>
      <c r="K189" s="1862">
        <f>'12-A. Print Sub-Annex'!K20</f>
        <v>0</v>
      </c>
      <c r="L189" s="962">
        <f>'12-A. Print Sub-Annex'!L20</f>
        <v>0</v>
      </c>
      <c r="M189" s="1862">
        <f>'12-A. Print Sub-Annex'!M20</f>
        <v>0</v>
      </c>
      <c r="N189" s="1862">
        <f>'12-A. Print Sub-Annex'!N20</f>
        <v>0</v>
      </c>
      <c r="O189" s="962">
        <f>'12-A. Print Sub-Annex'!O20</f>
        <v>0</v>
      </c>
      <c r="P189" s="2735">
        <f>'12-A. Print Sub-Annex'!P20</f>
        <v>0</v>
      </c>
      <c r="Q189" s="2018" t="s">
        <v>5521</v>
      </c>
      <c r="R189" s="2729">
        <v>0</v>
      </c>
    </row>
    <row r="190" spans="1:18" s="861" customFormat="1" ht="60">
      <c r="A190" s="2735"/>
      <c r="B190" s="2735">
        <f>'12-A. Print Sub-Annex'!B21</f>
        <v>0</v>
      </c>
      <c r="C190" s="1861" t="str">
        <f>'12-A. Print Sub-Annex'!C21</f>
        <v>Printing &amp; translation cost for Family participatory care (KMC)</v>
      </c>
      <c r="D190" s="1862" t="str">
        <f>'12-A. Print Sub-Annex'!D21</f>
        <v>RCH</v>
      </c>
      <c r="E190" s="1862" t="str">
        <f>'12-A. Print Sub-Annex'!E21</f>
        <v>CH</v>
      </c>
      <c r="F190" s="1862">
        <f>'12-A. Print Sub-Annex'!F21</f>
        <v>25</v>
      </c>
      <c r="G190" s="1862">
        <f>'12-A. Print Sub-Annex'!G21</f>
        <v>0</v>
      </c>
      <c r="H190" s="1862">
        <f>'12-A. Print Sub-Annex'!H21</f>
        <v>0.15</v>
      </c>
      <c r="I190" s="1862">
        <f>'12-A. Print Sub-Annex'!I21</f>
        <v>0.27</v>
      </c>
      <c r="J190" s="1862">
        <f>'12-A. Print Sub-Annex'!J21</f>
        <v>-0.12</v>
      </c>
      <c r="K190" s="1862">
        <f>'12-A. Print Sub-Annex'!K21</f>
        <v>1</v>
      </c>
      <c r="L190" s="962">
        <f>'12-A. Print Sub-Annex'!L21</f>
        <v>600</v>
      </c>
      <c r="M190" s="1862">
        <f>'12-A. Print Sub-Annex'!M21</f>
        <v>6.0000000000000001E-3</v>
      </c>
      <c r="N190" s="1862">
        <f>'12-A. Print Sub-Annex'!N21</f>
        <v>30</v>
      </c>
      <c r="O190" s="962">
        <f>'12-A. Print Sub-Annex'!O21</f>
        <v>0.18</v>
      </c>
      <c r="P190" s="2735" t="str">
        <f>'12-A. Print Sub-Annex'!P21</f>
        <v>Printing of KMC registers for SNCU and NBSU</v>
      </c>
      <c r="Q190" s="2018" t="s">
        <v>5591</v>
      </c>
      <c r="R190" s="2728">
        <f>30*600/100000</f>
        <v>0.18</v>
      </c>
    </row>
    <row r="191" spans="1:18" s="861" customFormat="1" ht="75">
      <c r="A191" s="2735"/>
      <c r="B191" s="2735">
        <f>'12-A. Print Sub-Annex'!B22</f>
        <v>0</v>
      </c>
      <c r="C191" s="1861" t="str">
        <f>'12-A. Print Sub-Annex'!C22</f>
        <v>Printing (SNCU data management)</v>
      </c>
      <c r="D191" s="1862" t="str">
        <f>'12-A. Print Sub-Annex'!D22</f>
        <v>RCH</v>
      </c>
      <c r="E191" s="1862" t="str">
        <f>'12-A. Print Sub-Annex'!E22</f>
        <v>CH</v>
      </c>
      <c r="F191" s="1862">
        <f>'12-A. Print Sub-Annex'!F22</f>
        <v>40000</v>
      </c>
      <c r="G191" s="1862">
        <f>'12-A. Print Sub-Annex'!G22</f>
        <v>0</v>
      </c>
      <c r="H191" s="1862">
        <f>'12-A. Print Sub-Annex'!H22</f>
        <v>10</v>
      </c>
      <c r="I191" s="1862">
        <f>'12-A. Print Sub-Annex'!I22</f>
        <v>0</v>
      </c>
      <c r="J191" s="1862">
        <f>'12-A. Print Sub-Annex'!J22</f>
        <v>10</v>
      </c>
      <c r="K191" s="1862">
        <f>'12-A. Print Sub-Annex'!K22</f>
        <v>1</v>
      </c>
      <c r="L191" s="962">
        <f>'12-A. Print Sub-Annex'!L22</f>
        <v>25</v>
      </c>
      <c r="M191" s="1862">
        <f>'12-A. Print Sub-Annex'!M22</f>
        <v>2.5000000000000001E-4</v>
      </c>
      <c r="N191" s="1862">
        <f>'12-A. Print Sub-Annex'!N22</f>
        <v>40000</v>
      </c>
      <c r="O191" s="962">
        <f>'12-A. Print Sub-Annex'!O22</f>
        <v>10</v>
      </c>
      <c r="P191" s="2735" t="str">
        <f>'12-A. Print Sub-Annex'!P22</f>
        <v>Printing of SNCU case sheets.</v>
      </c>
      <c r="Q191" s="2018" t="s">
        <v>5592</v>
      </c>
      <c r="R191" s="2728">
        <f>40000*25/100000</f>
        <v>10</v>
      </c>
    </row>
    <row r="192" spans="1:18" s="861" customFormat="1" ht="45">
      <c r="A192" s="2735"/>
      <c r="B192" s="2735">
        <f>'12-A. Print Sub-Annex'!B23</f>
        <v>0</v>
      </c>
      <c r="C192" s="1861" t="str">
        <f>'12-A. Print Sub-Annex'!C23</f>
        <v>Printing of HBNC referral cards and other formats</v>
      </c>
      <c r="D192" s="1862" t="str">
        <f>'12-A. Print Sub-Annex'!D23</f>
        <v>RCH</v>
      </c>
      <c r="E192" s="1862" t="str">
        <f>'12-A. Print Sub-Annex'!E23</f>
        <v>CH</v>
      </c>
      <c r="F192" s="1862">
        <f>'12-A. Print Sub-Annex'!F23</f>
        <v>7964</v>
      </c>
      <c r="G192" s="1862">
        <f>'12-A. Print Sub-Annex'!G23</f>
        <v>0</v>
      </c>
      <c r="H192" s="1862">
        <f>'12-A. Print Sub-Annex'!H23</f>
        <v>15.93</v>
      </c>
      <c r="I192" s="1862">
        <f>'12-A. Print Sub-Annex'!I23</f>
        <v>5</v>
      </c>
      <c r="J192" s="1862">
        <f>'12-A. Print Sub-Annex'!J23</f>
        <v>0</v>
      </c>
      <c r="K192" s="1862">
        <f>'12-A. Print Sub-Annex'!K23</f>
        <v>1</v>
      </c>
      <c r="L192" s="962">
        <f>'12-A. Print Sub-Annex'!L23</f>
        <v>200</v>
      </c>
      <c r="M192" s="1862">
        <f>'12-A. Print Sub-Annex'!M23</f>
        <v>2E-3</v>
      </c>
      <c r="N192" s="1862">
        <f>'12-A. Print Sub-Annex'!N23</f>
        <v>8500</v>
      </c>
      <c r="O192" s="962">
        <f>'12-A. Print Sub-Annex'!O23</f>
        <v>17</v>
      </c>
      <c r="P192" s="2735" t="str">
        <f>'12-A. Print Sub-Annex'!P23</f>
        <v xml:space="preserve">Funds proposed for HBNC booklet @ Rs 200/ - per booklet </v>
      </c>
      <c r="Q192" s="2018" t="s">
        <v>5593</v>
      </c>
      <c r="R192" s="2711">
        <f>8500*200/100000</f>
        <v>17</v>
      </c>
    </row>
    <row r="193" spans="1:18" s="861" customFormat="1" ht="90">
      <c r="A193" s="2735"/>
      <c r="B193" s="2735">
        <f>'12-A. Print Sub-Annex'!B24</f>
        <v>0</v>
      </c>
      <c r="C193" s="1861" t="str">
        <f>'12-A. Print Sub-Annex'!C24</f>
        <v>Printing cost for HBYC</v>
      </c>
      <c r="D193" s="1862" t="str">
        <f>'12-A. Print Sub-Annex'!D24</f>
        <v>RCH</v>
      </c>
      <c r="E193" s="1862" t="str">
        <f>'12-A. Print Sub-Annex'!E24</f>
        <v>CH</v>
      </c>
      <c r="F193" s="1862">
        <f>'12-A. Print Sub-Annex'!F24</f>
        <v>1863</v>
      </c>
      <c r="G193" s="1862">
        <f>'12-A. Print Sub-Annex'!G24</f>
        <v>0</v>
      </c>
      <c r="H193" s="1862">
        <f>'12-A. Print Sub-Annex'!H24</f>
        <v>4.66</v>
      </c>
      <c r="I193" s="1862">
        <f>'12-A. Print Sub-Annex'!I24</f>
        <v>0</v>
      </c>
      <c r="J193" s="1862">
        <f>'12-A. Print Sub-Annex'!J24</f>
        <v>0</v>
      </c>
      <c r="K193" s="1862">
        <f>'12-A. Print Sub-Annex'!K24</f>
        <v>1</v>
      </c>
      <c r="L193" s="962">
        <f>'12-A. Print Sub-Annex'!L24</f>
        <v>250</v>
      </c>
      <c r="M193" s="1862">
        <f>'12-A. Print Sub-Annex'!M24</f>
        <v>2.5000000000000001E-3</v>
      </c>
      <c r="N193" s="1862">
        <f>'12-A. Print Sub-Annex'!N24</f>
        <v>1700</v>
      </c>
      <c r="O193" s="962">
        <f>'12-A. Print Sub-Annex'!O24</f>
        <v>4.25</v>
      </c>
      <c r="P193" s="2735" t="str">
        <f>'12-A. Print Sub-Annex'!P24</f>
        <v>PIP 2020-21 approved budget for HBYC Hand Book @ Rs. 125/- and Job Aid in Hindi @ Rs. 125/- and next phase training HBYC is to be conducted District Kullu &amp; Shimla for the FY 2021-22.</v>
      </c>
      <c r="Q193" s="2018" t="s">
        <v>5594</v>
      </c>
      <c r="R193" s="2711">
        <f>1700*125*2/100000</f>
        <v>4.25</v>
      </c>
    </row>
    <row r="194" spans="1:18" s="861" customFormat="1">
      <c r="A194" s="2735"/>
      <c r="B194" s="2735">
        <f>'12-A. Print Sub-Annex'!B25</f>
        <v>0</v>
      </c>
      <c r="C194" s="1861" t="str">
        <f>'12-A. Print Sub-Annex'!C25</f>
        <v>Printing for Paediatric HDU, Emergency, OPD and Ward</v>
      </c>
      <c r="D194" s="1862" t="str">
        <f>'12-A. Print Sub-Annex'!D25</f>
        <v>RCH</v>
      </c>
      <c r="E194" s="1862" t="str">
        <f>'12-A. Print Sub-Annex'!E25</f>
        <v>CH</v>
      </c>
      <c r="F194" s="1862">
        <f>'12-A. Print Sub-Annex'!F25</f>
        <v>0</v>
      </c>
      <c r="G194" s="1862">
        <f>'12-A. Print Sub-Annex'!G25</f>
        <v>0</v>
      </c>
      <c r="H194" s="1862">
        <f>'12-A. Print Sub-Annex'!H25</f>
        <v>0</v>
      </c>
      <c r="I194" s="1862">
        <f>'12-A. Print Sub-Annex'!I25</f>
        <v>0</v>
      </c>
      <c r="J194" s="1862">
        <f>'12-A. Print Sub-Annex'!J25</f>
        <v>0</v>
      </c>
      <c r="K194" s="1862">
        <f>'12-A. Print Sub-Annex'!K25</f>
        <v>0</v>
      </c>
      <c r="L194" s="962">
        <f>'12-A. Print Sub-Annex'!L25</f>
        <v>0</v>
      </c>
      <c r="M194" s="1862">
        <f>'12-A. Print Sub-Annex'!M25</f>
        <v>0</v>
      </c>
      <c r="N194" s="1862">
        <f>'12-A. Print Sub-Annex'!N25</f>
        <v>0</v>
      </c>
      <c r="O194" s="962">
        <f>'12-A. Print Sub-Annex'!O25</f>
        <v>0</v>
      </c>
      <c r="P194" s="2735">
        <f>'12-A. Print Sub-Annex'!P25</f>
        <v>0</v>
      </c>
      <c r="Q194" s="2018" t="s">
        <v>5521</v>
      </c>
      <c r="R194" s="2729">
        <v>0</v>
      </c>
    </row>
    <row r="195" spans="1:18" s="861" customFormat="1" ht="45">
      <c r="A195" s="2736"/>
      <c r="B195" s="2735" t="str">
        <f>'12-A. Print Sub-Annex'!B26</f>
        <v>12.2.12</v>
      </c>
      <c r="C195" s="1861" t="str">
        <f>'12-A. Print Sub-Annex'!C26</f>
        <v>Any other (please specify)</v>
      </c>
      <c r="D195" s="1862" t="str">
        <f>'12-A. Print Sub-Annex'!D26</f>
        <v>RCH</v>
      </c>
      <c r="E195" s="1862" t="str">
        <f>'12-A. Print Sub-Annex'!E26</f>
        <v>CH</v>
      </c>
      <c r="F195" s="1862">
        <f>'12-A. Print Sub-Annex'!F26</f>
        <v>0</v>
      </c>
      <c r="G195" s="1862">
        <f>'12-A. Print Sub-Annex'!G26</f>
        <v>0</v>
      </c>
      <c r="H195" s="1862">
        <f>'12-A. Print Sub-Annex'!H26</f>
        <v>0</v>
      </c>
      <c r="I195" s="1862">
        <f>'12-A. Print Sub-Annex'!I26</f>
        <v>0</v>
      </c>
      <c r="J195" s="1862">
        <f>'12-A. Print Sub-Annex'!J26</f>
        <v>0</v>
      </c>
      <c r="K195" s="1862">
        <f>'12-A. Print Sub-Annex'!K26</f>
        <v>0</v>
      </c>
      <c r="L195" s="962">
        <f>'12-A. Print Sub-Annex'!L26</f>
        <v>25</v>
      </c>
      <c r="M195" s="1862">
        <f>'12-A. Print Sub-Annex'!M26</f>
        <v>2.5000000000000001E-4</v>
      </c>
      <c r="N195" s="1862">
        <f>'12-A. Print Sub-Annex'!N26</f>
        <v>10000</v>
      </c>
      <c r="O195" s="962">
        <f>'12-A. Print Sub-Annex'!O26</f>
        <v>2.5</v>
      </c>
      <c r="P195" s="2735" t="str">
        <f>'12-A. Print Sub-Annex'!P26</f>
        <v>Printing of NBSU case sheets @ 25/set unit cost for 10000 case sheets.</v>
      </c>
      <c r="Q195" s="2018" t="s">
        <v>5595</v>
      </c>
      <c r="R195" s="2729">
        <v>0</v>
      </c>
    </row>
    <row r="196" spans="1:18" s="861" customFormat="1">
      <c r="A196" s="1852" t="s">
        <v>4215</v>
      </c>
      <c r="B196" s="1852"/>
      <c r="C196" s="1853" t="s">
        <v>2854</v>
      </c>
      <c r="D196" s="1854"/>
      <c r="E196" s="1854"/>
      <c r="F196" s="1854"/>
      <c r="G196" s="1854"/>
      <c r="H196" s="1855"/>
      <c r="I196" s="1854"/>
      <c r="J196" s="1855"/>
      <c r="K196" s="1854"/>
      <c r="L196" s="1855"/>
      <c r="M196" s="1855"/>
      <c r="N196" s="1875"/>
      <c r="O196" s="1876">
        <f>O197+O211+O213+O224+O234+O236+O241+O270+O277+O283+O285</f>
        <v>253.45973000000004</v>
      </c>
      <c r="P196" s="1877"/>
      <c r="Q196" s="1891"/>
      <c r="R196" s="2752">
        <f>R197+R211+R213+R224+R234+R236+R241+R270+R277+R283+R285</f>
        <v>243.98000000000002</v>
      </c>
    </row>
    <row r="197" spans="1:18" s="889" customFormat="1">
      <c r="A197" s="1858">
        <f>'1.SD Facility Based Annex'!A7</f>
        <v>1</v>
      </c>
      <c r="B197" s="1858">
        <f>'1.SD Facility Based Annex'!B7</f>
        <v>0</v>
      </c>
      <c r="C197" s="1859" t="str">
        <f>'1.SD Facility Based Annex'!C7</f>
        <v>Service Delivery - Facility Based</v>
      </c>
      <c r="D197" s="1860"/>
      <c r="E197" s="1860"/>
      <c r="F197" s="1860"/>
      <c r="G197" s="1860"/>
      <c r="H197" s="1860"/>
      <c r="I197" s="1860"/>
      <c r="J197" s="1860"/>
      <c r="K197" s="1860"/>
      <c r="L197" s="994"/>
      <c r="M197" s="1860"/>
      <c r="N197" s="1860"/>
      <c r="O197" s="994">
        <f>SUM(O198:O210)</f>
        <v>104.45</v>
      </c>
      <c r="P197" s="1858"/>
      <c r="Q197" s="692"/>
      <c r="R197" s="2731">
        <f>SUM(R198:R210)</f>
        <v>98.45</v>
      </c>
    </row>
    <row r="198" spans="1:18" s="861" customFormat="1" ht="90">
      <c r="A198" s="2735" t="str">
        <f>'1.SD Facility Based Annex'!A23</f>
        <v>1.1.3.1.1</v>
      </c>
      <c r="B198" s="2735" t="str">
        <f>'1.SD Facility Based Annex'!B23</f>
        <v>A.3.1.1</v>
      </c>
      <c r="C198" s="1861" t="str">
        <f>'1.SD Facility Based Annex'!C23</f>
        <v>Female sterilization fixed day services</v>
      </c>
      <c r="D198" s="1862" t="str">
        <f>'1.SD Facility Based Annex'!D23</f>
        <v>RCH</v>
      </c>
      <c r="E198" s="1862" t="str">
        <f>'1.SD Facility Based Annex'!E23</f>
        <v>FP</v>
      </c>
      <c r="F198" s="1862">
        <f>'1.SD Facility Based Annex'!F23</f>
        <v>32</v>
      </c>
      <c r="G198" s="1862">
        <f>'1.SD Facility Based Annex'!G23</f>
        <v>0</v>
      </c>
      <c r="H198" s="1862">
        <f>'1.SD Facility Based Annex'!H23</f>
        <v>3.2</v>
      </c>
      <c r="I198" s="1862">
        <f>'1.SD Facility Based Annex'!I23</f>
        <v>0.34</v>
      </c>
      <c r="J198" s="1862">
        <f>'1.SD Facility Based Annex'!J23</f>
        <v>2.86</v>
      </c>
      <c r="K198" s="1862">
        <f>'1.SD Facility Based Annex'!K23</f>
        <v>1</v>
      </c>
      <c r="L198" s="962">
        <f>'1.SD Facility Based Annex'!L23</f>
        <v>10000</v>
      </c>
      <c r="M198" s="1862">
        <f>'1.SD Facility Based Annex'!M23</f>
        <v>0.1</v>
      </c>
      <c r="N198" s="1862">
        <f>'1.SD Facility Based Annex'!N23</f>
        <v>32</v>
      </c>
      <c r="O198" s="962">
        <f>'1.SD Facility Based Annex'!O23</f>
        <v>3.2</v>
      </c>
      <c r="P198" s="2735" t="str">
        <f>'1.SD Facility Based Annex'!P23</f>
        <v xml:space="preserve">funds under this head has been proposed for Female Sterilization fixed day camp service. 2 camps in each district(except L&amp;S) and 2 camps at all 5 Medical Colleges i.e. 32 camps @Rs. 10000/- per FDS </v>
      </c>
      <c r="Q198" s="2018" t="s">
        <v>5596</v>
      </c>
      <c r="R198" s="2728">
        <f>32*10000/100000</f>
        <v>3.2</v>
      </c>
    </row>
    <row r="199" spans="1:18" s="861" customFormat="1" ht="75">
      <c r="A199" s="2735" t="str">
        <f>'1.SD Facility Based Annex'!A24</f>
        <v>1.1.3.1.2</v>
      </c>
      <c r="B199" s="2735" t="str">
        <f>'1.SD Facility Based Annex'!B24</f>
        <v>A.3.1.2</v>
      </c>
      <c r="C199" s="1861" t="str">
        <f>'1.SD Facility Based Annex'!C24</f>
        <v>Male Sterilization fixed day services</v>
      </c>
      <c r="D199" s="1862" t="str">
        <f>'1.SD Facility Based Annex'!D24</f>
        <v>RCH</v>
      </c>
      <c r="E199" s="1862" t="str">
        <f>'1.SD Facility Based Annex'!E24</f>
        <v>FP</v>
      </c>
      <c r="F199" s="1862">
        <f>'1.SD Facility Based Annex'!F24</f>
        <v>10</v>
      </c>
      <c r="G199" s="1862">
        <f>'1.SD Facility Based Annex'!G24</f>
        <v>0</v>
      </c>
      <c r="H199" s="1862">
        <f>'1.SD Facility Based Annex'!H24</f>
        <v>2</v>
      </c>
      <c r="I199" s="1862">
        <f>'1.SD Facility Based Annex'!I24</f>
        <v>0.15</v>
      </c>
      <c r="J199" s="1862">
        <f>'1.SD Facility Based Annex'!J24</f>
        <v>1.85</v>
      </c>
      <c r="K199" s="1862">
        <f>'1.SD Facility Based Annex'!K24</f>
        <v>0</v>
      </c>
      <c r="L199" s="962">
        <f>'1.SD Facility Based Annex'!L24</f>
        <v>20000</v>
      </c>
      <c r="M199" s="1862">
        <f>'1.SD Facility Based Annex'!M24</f>
        <v>0.2</v>
      </c>
      <c r="N199" s="1862">
        <f>'1.SD Facility Based Annex'!N24</f>
        <v>10</v>
      </c>
      <c r="O199" s="962">
        <f>'1.SD Facility Based Annex'!O24</f>
        <v>2</v>
      </c>
      <c r="P199" s="2735" t="str">
        <f>'1.SD Facility Based Annex'!P24</f>
        <v xml:space="preserve">Funds under this head has been proposed for Male sterilization fixed days camp services. 10 each district expect Kinnaur &amp; L&amp;S @ Rs. 20000/-per FDS. </v>
      </c>
      <c r="Q199" s="2018" t="s">
        <v>5597</v>
      </c>
      <c r="R199" s="2728">
        <f>10*20000/100000</f>
        <v>2</v>
      </c>
    </row>
    <row r="200" spans="1:18" s="861" customFormat="1">
      <c r="A200" s="2735" t="str">
        <f>'1.SD Facility Based Annex'!A26</f>
        <v>1.1.3.2.1</v>
      </c>
      <c r="B200" s="2735" t="str">
        <f>'1.SD Facility Based Annex'!B26</f>
        <v>A.3.2.1</v>
      </c>
      <c r="C200" s="1861" t="str">
        <f>'1.SD Facility Based Annex'!C26</f>
        <v>IUCD fixed day services</v>
      </c>
      <c r="D200" s="1862" t="str">
        <f>'1.SD Facility Based Annex'!D26</f>
        <v>RCH</v>
      </c>
      <c r="E200" s="1862" t="str">
        <f>'1.SD Facility Based Annex'!E26</f>
        <v>FP</v>
      </c>
      <c r="F200" s="1862">
        <f>'1.SD Facility Based Annex'!F26</f>
        <v>0</v>
      </c>
      <c r="G200" s="1862">
        <f>'1.SD Facility Based Annex'!G26</f>
        <v>0</v>
      </c>
      <c r="H200" s="1862">
        <f>'1.SD Facility Based Annex'!H26</f>
        <v>0</v>
      </c>
      <c r="I200" s="1862">
        <f>'1.SD Facility Based Annex'!I26</f>
        <v>0</v>
      </c>
      <c r="J200" s="1862">
        <f>'1.SD Facility Based Annex'!J26</f>
        <v>0</v>
      </c>
      <c r="K200" s="1862">
        <f>'1.SD Facility Based Annex'!K26</f>
        <v>0</v>
      </c>
      <c r="L200" s="962">
        <f>'1.SD Facility Based Annex'!L26</f>
        <v>0</v>
      </c>
      <c r="M200" s="1862">
        <f>'1.SD Facility Based Annex'!M26</f>
        <v>0</v>
      </c>
      <c r="N200" s="1862">
        <f>'1.SD Facility Based Annex'!N26</f>
        <v>0</v>
      </c>
      <c r="O200" s="962">
        <f>'1.SD Facility Based Annex'!O26</f>
        <v>0</v>
      </c>
      <c r="P200" s="2735">
        <f>'1.SD Facility Based Annex'!P26</f>
        <v>0</v>
      </c>
      <c r="Q200" s="2018" t="s">
        <v>5521</v>
      </c>
      <c r="R200" s="2729">
        <v>0</v>
      </c>
    </row>
    <row r="201" spans="1:18" s="861" customFormat="1" ht="30">
      <c r="A201" s="2735" t="str">
        <f>'1.SD Facility Based Annex'!A27</f>
        <v>1.1.3.2.1</v>
      </c>
      <c r="B201" s="2735" t="str">
        <f>'1.SD Facility Based Annex'!B27</f>
        <v>A.3.7.5</v>
      </c>
      <c r="C201" s="1861" t="str">
        <f>'1.SD Facility Based Annex'!C27</f>
        <v>Other activities (demand generation, strengthening service delivery etc.)</v>
      </c>
      <c r="D201" s="1862" t="str">
        <f>'1.SD Facility Based Annex'!D27</f>
        <v>RCH</v>
      </c>
      <c r="E201" s="1862" t="str">
        <f>'1.SD Facility Based Annex'!E27</f>
        <v>FP</v>
      </c>
      <c r="F201" s="1862">
        <f>'1.SD Facility Based Annex'!F27</f>
        <v>0</v>
      </c>
      <c r="G201" s="1862">
        <f>'1.SD Facility Based Annex'!G27</f>
        <v>0</v>
      </c>
      <c r="H201" s="1862">
        <f>'1.SD Facility Based Annex'!H27</f>
        <v>0</v>
      </c>
      <c r="I201" s="1862">
        <f>'1.SD Facility Based Annex'!I27</f>
        <v>0</v>
      </c>
      <c r="J201" s="1862">
        <f>'1.SD Facility Based Annex'!J27</f>
        <v>0</v>
      </c>
      <c r="K201" s="1862">
        <f>'1.SD Facility Based Annex'!K27</f>
        <v>0</v>
      </c>
      <c r="L201" s="962">
        <f>'1.SD Facility Based Annex'!L27</f>
        <v>0</v>
      </c>
      <c r="M201" s="1862">
        <f>'1.SD Facility Based Annex'!M27</f>
        <v>0</v>
      </c>
      <c r="N201" s="1862">
        <f>'1.SD Facility Based Annex'!N27</f>
        <v>0</v>
      </c>
      <c r="O201" s="962">
        <f>'1.SD Facility Based Annex'!O27</f>
        <v>0</v>
      </c>
      <c r="P201" s="2735">
        <f>'1.SD Facility Based Annex'!P27</f>
        <v>0</v>
      </c>
      <c r="Q201" s="2018" t="s">
        <v>5521</v>
      </c>
      <c r="R201" s="2729">
        <v>0</v>
      </c>
    </row>
    <row r="202" spans="1:18" s="861" customFormat="1">
      <c r="A202" s="2735" t="str">
        <f>'1.SD Facility Based Annex'!A28</f>
        <v>1.1.3.3</v>
      </c>
      <c r="B202" s="2735">
        <f>'1.SD Facility Based Annex'!B28</f>
        <v>0</v>
      </c>
      <c r="C202" s="1861" t="str">
        <f>'1.SD Facility Based Annex'!C28</f>
        <v>Any other (please specify)</v>
      </c>
      <c r="D202" s="1862" t="str">
        <f>'1.SD Facility Based Annex'!D28</f>
        <v>RCH</v>
      </c>
      <c r="E202" s="1862" t="str">
        <f>'1.SD Facility Based Annex'!E28</f>
        <v>FP</v>
      </c>
      <c r="F202" s="1862">
        <f>'1.SD Facility Based Annex'!F28</f>
        <v>0</v>
      </c>
      <c r="G202" s="1862">
        <f>'1.SD Facility Based Annex'!G28</f>
        <v>0</v>
      </c>
      <c r="H202" s="1862">
        <f>'1.SD Facility Based Annex'!H28</f>
        <v>0</v>
      </c>
      <c r="I202" s="1862">
        <f>'1.SD Facility Based Annex'!I28</f>
        <v>0</v>
      </c>
      <c r="J202" s="1862">
        <f>'1.SD Facility Based Annex'!J28</f>
        <v>0</v>
      </c>
      <c r="K202" s="1862">
        <f>'1.SD Facility Based Annex'!K28</f>
        <v>0</v>
      </c>
      <c r="L202" s="962">
        <f>'1.SD Facility Based Annex'!L28</f>
        <v>0</v>
      </c>
      <c r="M202" s="1862">
        <f>'1.SD Facility Based Annex'!M28</f>
        <v>0</v>
      </c>
      <c r="N202" s="1862">
        <f>'1.SD Facility Based Annex'!N28</f>
        <v>0</v>
      </c>
      <c r="O202" s="962">
        <f>'1.SD Facility Based Annex'!O28</f>
        <v>0</v>
      </c>
      <c r="P202" s="2735">
        <f>'1.SD Facility Based Annex'!P28</f>
        <v>0</v>
      </c>
      <c r="Q202" s="2018" t="s">
        <v>5521</v>
      </c>
      <c r="R202" s="2729">
        <v>0</v>
      </c>
    </row>
    <row r="203" spans="1:18" s="861" customFormat="1" ht="75">
      <c r="A203" s="2735" t="str">
        <f>'1.SD Facility Based Annex'!A68</f>
        <v>1.2.2.1.1</v>
      </c>
      <c r="B203" s="2735" t="str">
        <f>'1.SD Facility Based Annex'!B68</f>
        <v>A.3.1.3</v>
      </c>
      <c r="C203" s="1861" t="str">
        <f>'1.SD Facility Based Annex'!C68</f>
        <v>Compensation for female sterilization(Provide breakup for cases covered in public facility, private facility. Enhanced Compensation Scheme (if applicable) additionally provide number of PPS done. Female sterilization done in MPV districts may also be budgeted in this head and the break up to be reflected)</v>
      </c>
      <c r="D203" s="1862" t="str">
        <f>'1.SD Facility Based Annex'!D68</f>
        <v>RCH</v>
      </c>
      <c r="E203" s="1862" t="str">
        <f>'1.SD Facility Based Annex'!E68</f>
        <v>FP</v>
      </c>
      <c r="F203" s="1862">
        <f>'1.SD Facility Based Annex'!F68</f>
        <v>10000</v>
      </c>
      <c r="G203" s="1862">
        <f>'1.SD Facility Based Annex'!G68</f>
        <v>0</v>
      </c>
      <c r="H203" s="1862">
        <f>'1.SD Facility Based Annex'!H68</f>
        <v>100</v>
      </c>
      <c r="I203" s="1862">
        <f>'1.SD Facility Based Annex'!I68</f>
        <v>6.03</v>
      </c>
      <c r="J203" s="1862">
        <f>'1.SD Facility Based Annex'!J68</f>
        <v>93.97</v>
      </c>
      <c r="K203" s="1862">
        <f>'1.SD Facility Based Annex'!K68</f>
        <v>1</v>
      </c>
      <c r="L203" s="962">
        <f>'1.SD Facility Based Annex'!L68</f>
        <v>1000</v>
      </c>
      <c r="M203" s="1862">
        <f>'1.SD Facility Based Annex'!M68</f>
        <v>0.01</v>
      </c>
      <c r="N203" s="1862">
        <f>'1.SD Facility Based Annex'!N68</f>
        <v>5000</v>
      </c>
      <c r="O203" s="962">
        <f>'1.SD Facility Based Annex'!O68</f>
        <v>50</v>
      </c>
      <c r="P203" s="2735" t="str">
        <f>'1.SD Facility Based Annex'!P68</f>
        <v xml:space="preserve">Funds under this head has been proposed for compensation amount of female sterilization to the beneficiaries@Rs1000/-per case. </v>
      </c>
      <c r="Q203" s="2018" t="s">
        <v>5598</v>
      </c>
      <c r="R203" s="2728">
        <f>5000*1000/100000</f>
        <v>50</v>
      </c>
    </row>
    <row r="204" spans="1:18" s="861" customFormat="1" ht="60">
      <c r="A204" s="2735" t="str">
        <f>'1.SD Facility Based Annex'!A69</f>
        <v>1.2.2.1.2</v>
      </c>
      <c r="B204" s="2735" t="str">
        <f>'1.SD Facility Based Annex'!B69</f>
        <v>A.3.1.4</v>
      </c>
      <c r="C204" s="1861" t="str">
        <f>'1.SD Facility Based Annex'!C69</f>
        <v>Compensation for male sterilization/NSV (Provide breakup for cases covered in public facility, private facility. Male sterilization done in MPV districts may also be budgeted in this head and the break up to be reflected)</v>
      </c>
      <c r="D204" s="1862" t="str">
        <f>'1.SD Facility Based Annex'!D69</f>
        <v>RCH</v>
      </c>
      <c r="E204" s="1862" t="str">
        <f>'1.SD Facility Based Annex'!E69</f>
        <v>FP</v>
      </c>
      <c r="F204" s="1862">
        <f>'1.SD Facility Based Annex'!F69</f>
        <v>1250</v>
      </c>
      <c r="G204" s="1862">
        <f>'1.SD Facility Based Annex'!G69</f>
        <v>0</v>
      </c>
      <c r="H204" s="1862">
        <f>'1.SD Facility Based Annex'!H69</f>
        <v>18.75</v>
      </c>
      <c r="I204" s="1862">
        <f>'1.SD Facility Based Annex'!I69</f>
        <v>0.86</v>
      </c>
      <c r="J204" s="1862">
        <f>'1.SD Facility Based Annex'!J69</f>
        <v>17.89</v>
      </c>
      <c r="K204" s="1862">
        <f>'1.SD Facility Based Annex'!K69</f>
        <v>1</v>
      </c>
      <c r="L204" s="962">
        <f>'1.SD Facility Based Annex'!L69</f>
        <v>1500</v>
      </c>
      <c r="M204" s="1862">
        <f>'1.SD Facility Based Annex'!M69</f>
        <v>1.4999999999999999E-2</v>
      </c>
      <c r="N204" s="1862">
        <f>'1.SD Facility Based Annex'!N69</f>
        <v>1250</v>
      </c>
      <c r="O204" s="962">
        <f>'1.SD Facility Based Annex'!O69</f>
        <v>18.75</v>
      </c>
      <c r="P204" s="2735" t="str">
        <f>'1.SD Facility Based Annex'!P69</f>
        <v xml:space="preserve">Funds under this head has been proposed for compensation amount of Male Sterilization to the beneficiaries@Rs.1500/- per case </v>
      </c>
      <c r="Q204" s="2018" t="s">
        <v>5599</v>
      </c>
      <c r="R204" s="2728">
        <f>1250*1500/100000</f>
        <v>18.75</v>
      </c>
    </row>
    <row r="205" spans="1:18" s="861" customFormat="1" ht="90">
      <c r="A205" s="2735" t="str">
        <f>'1.SD Facility Based Annex'!A71</f>
        <v>1.2.2.2.1</v>
      </c>
      <c r="B205" s="2735" t="str">
        <f>'1.SD Facility Based Annex'!B71</f>
        <v>A.3.2.2</v>
      </c>
      <c r="C205" s="1861" t="str">
        <f>'1.SD Facility Based Annex'!C71</f>
        <v>Compensation for IUCD insertion at health facilities (including fixed day services at SHC and PHC)[Provide breakup: Private Sector]</v>
      </c>
      <c r="D205" s="1862" t="str">
        <f>'1.SD Facility Based Annex'!D71</f>
        <v>RCH</v>
      </c>
      <c r="E205" s="1862" t="str">
        <f>'1.SD Facility Based Annex'!E71</f>
        <v>FP</v>
      </c>
      <c r="F205" s="1862">
        <f>'1.SD Facility Based Annex'!F71</f>
        <v>10000</v>
      </c>
      <c r="G205" s="1862">
        <f>'1.SD Facility Based Annex'!G71</f>
        <v>0</v>
      </c>
      <c r="H205" s="1862">
        <f>'1.SD Facility Based Annex'!H71</f>
        <v>2</v>
      </c>
      <c r="I205" s="1862">
        <f>'1.SD Facility Based Annex'!I71</f>
        <v>0.79</v>
      </c>
      <c r="J205" s="1862">
        <f>'1.SD Facility Based Annex'!J71</f>
        <v>1.21</v>
      </c>
      <c r="K205" s="1862">
        <f>'1.SD Facility Based Annex'!K71</f>
        <v>1</v>
      </c>
      <c r="L205" s="962">
        <f>'1.SD Facility Based Annex'!L71</f>
        <v>20</v>
      </c>
      <c r="M205" s="1862">
        <f>'1.SD Facility Based Annex'!M71</f>
        <v>2.0000000000000001E-4</v>
      </c>
      <c r="N205" s="1862">
        <f>'1.SD Facility Based Annex'!N71</f>
        <v>10000</v>
      </c>
      <c r="O205" s="962">
        <f>'1.SD Facility Based Annex'!O71</f>
        <v>2</v>
      </c>
      <c r="P205" s="2735" t="str">
        <f>'1.SD Facility Based Annex'!P71</f>
        <v>Funds under this head has been proposed for compensation for IUCD Insertion at Health facility (including FDS services SHX &amp; PHC) to expecting 10000 IUCD insertion @20/IUCD insertion.</v>
      </c>
      <c r="Q205" s="2018" t="s">
        <v>5600</v>
      </c>
      <c r="R205" s="2728">
        <f>10000*20/100000</f>
        <v>2</v>
      </c>
    </row>
    <row r="206" spans="1:18" s="861" customFormat="1" ht="90">
      <c r="A206" s="2735" t="str">
        <f>'1.SD Facility Based Annex'!A72</f>
        <v>1.2.2.2.2</v>
      </c>
      <c r="B206" s="2735" t="str">
        <f>'1.SD Facility Based Annex'!B72</f>
        <v>A.3.2.3</v>
      </c>
      <c r="C206" s="1861" t="str">
        <f>'1.SD Facility Based Annex'!C72</f>
        <v>PPIUCD services: Compensation to beneficiary for PPIUCD insertion</v>
      </c>
      <c r="D206" s="1862" t="str">
        <f>'1.SD Facility Based Annex'!D72</f>
        <v>RCH</v>
      </c>
      <c r="E206" s="1862" t="str">
        <f>'1.SD Facility Based Annex'!E72</f>
        <v>FP</v>
      </c>
      <c r="F206" s="1862">
        <f>'1.SD Facility Based Annex'!F72</f>
        <v>5000</v>
      </c>
      <c r="G206" s="1862">
        <f>'1.SD Facility Based Annex'!G72</f>
        <v>0</v>
      </c>
      <c r="H206" s="1862">
        <f>'1.SD Facility Based Annex'!H72</f>
        <v>15</v>
      </c>
      <c r="I206" s="1862">
        <f>'1.SD Facility Based Annex'!I72</f>
        <v>0.5</v>
      </c>
      <c r="J206" s="1862">
        <f>'1.SD Facility Based Annex'!J72</f>
        <v>14.5</v>
      </c>
      <c r="K206" s="1862">
        <f>'1.SD Facility Based Annex'!K72</f>
        <v>1</v>
      </c>
      <c r="L206" s="962">
        <f>'1.SD Facility Based Annex'!L72</f>
        <v>300</v>
      </c>
      <c r="M206" s="1862">
        <f>'1.SD Facility Based Annex'!M72</f>
        <v>3.0000000000000001E-3</v>
      </c>
      <c r="N206" s="1862">
        <f>'1.SD Facility Based Annex'!N72</f>
        <v>5000</v>
      </c>
      <c r="O206" s="962">
        <f>'1.SD Facility Based Annex'!O72</f>
        <v>15</v>
      </c>
      <c r="P206" s="2735" t="str">
        <f>'1.SD Facility Based Annex'!P72</f>
        <v xml:space="preserve">Funds under this head has been proposed for PPIUCD Services: Compensation to beneficiary for PPIUCD insertion for expected 5000 PPIUCD insertion @Rs. 300/- PPIUCD insertion. </v>
      </c>
      <c r="Q206" s="2018" t="s">
        <v>5601</v>
      </c>
      <c r="R206" s="2728">
        <f>5000*300/100000</f>
        <v>15</v>
      </c>
    </row>
    <row r="207" spans="1:18" s="861" customFormat="1" ht="75">
      <c r="A207" s="2735" t="str">
        <f>'1.SD Facility Based Annex'!A73</f>
        <v>1.2.2.2.3</v>
      </c>
      <c r="B207" s="2735" t="str">
        <f>'1.SD Facility Based Annex'!B73</f>
        <v>A.3.2.4</v>
      </c>
      <c r="C207" s="1861" t="str">
        <f>'1.SD Facility Based Annex'!C73</f>
        <v>PAIUCD Services: Compensation to beneficiary per PAIUCD insertion</v>
      </c>
      <c r="D207" s="1862" t="str">
        <f>'1.SD Facility Based Annex'!D73</f>
        <v>RCH</v>
      </c>
      <c r="E207" s="1862" t="str">
        <f>'1.SD Facility Based Annex'!E73</f>
        <v>FP</v>
      </c>
      <c r="F207" s="1862">
        <f>'1.SD Facility Based Annex'!F73</f>
        <v>500</v>
      </c>
      <c r="G207" s="1862">
        <f>'1.SD Facility Based Annex'!G73</f>
        <v>0</v>
      </c>
      <c r="H207" s="1862">
        <f>'1.SD Facility Based Annex'!H73</f>
        <v>1.5</v>
      </c>
      <c r="I207" s="1862">
        <f>'1.SD Facility Based Annex'!I73</f>
        <v>0.02</v>
      </c>
      <c r="J207" s="1862">
        <f>'1.SD Facility Based Annex'!J73</f>
        <v>1.48</v>
      </c>
      <c r="K207" s="1862">
        <f>'1.SD Facility Based Annex'!K73</f>
        <v>1</v>
      </c>
      <c r="L207" s="962">
        <f>'1.SD Facility Based Annex'!L73</f>
        <v>300</v>
      </c>
      <c r="M207" s="1862">
        <f>'1.SD Facility Based Annex'!M73</f>
        <v>3.0000000000000001E-3</v>
      </c>
      <c r="N207" s="1862">
        <f>'1.SD Facility Based Annex'!N73</f>
        <v>500</v>
      </c>
      <c r="O207" s="962">
        <f>'1.SD Facility Based Annex'!O73</f>
        <v>1.5</v>
      </c>
      <c r="P207" s="2735" t="str">
        <f>'1.SD Facility Based Annex'!P73</f>
        <v xml:space="preserve">Funds under this head  has been proposed for  PAIUCD services. Compensation to beneficiary for PAIUCD insertion for expected 500 PAIUCD@300/- PAIUCD insertion. </v>
      </c>
      <c r="Q207" s="2018" t="s">
        <v>5602</v>
      </c>
      <c r="R207" s="2728">
        <f>500*300/100000</f>
        <v>1.5</v>
      </c>
    </row>
    <row r="208" spans="1:18" s="861" customFormat="1">
      <c r="A208" s="2735" t="str">
        <f>'1.SD Facility Based Annex'!A74</f>
        <v>1.2.2.2.4</v>
      </c>
      <c r="B208" s="2735" t="str">
        <f>'1.SD Facility Based Annex'!B74</f>
        <v>A.3.7.3</v>
      </c>
      <c r="C208" s="1861" t="str">
        <f>'1.SD Facility Based Annex'!C74</f>
        <v>Injectable contraceptive incentive for beneficiaries</v>
      </c>
      <c r="D208" s="1862" t="str">
        <f>'1.SD Facility Based Annex'!D74</f>
        <v>RCH</v>
      </c>
      <c r="E208" s="1862" t="str">
        <f>'1.SD Facility Based Annex'!E74</f>
        <v>FP</v>
      </c>
      <c r="F208" s="1862">
        <f>'1.SD Facility Based Annex'!F74</f>
        <v>0</v>
      </c>
      <c r="G208" s="1862">
        <f>'1.SD Facility Based Annex'!G74</f>
        <v>0</v>
      </c>
      <c r="H208" s="1862">
        <f>'1.SD Facility Based Annex'!H74</f>
        <v>0</v>
      </c>
      <c r="I208" s="1862">
        <f>'1.SD Facility Based Annex'!I74</f>
        <v>0</v>
      </c>
      <c r="J208" s="1862">
        <f>'1.SD Facility Based Annex'!J74</f>
        <v>0</v>
      </c>
      <c r="K208" s="1862">
        <f>'1.SD Facility Based Annex'!K74</f>
        <v>0</v>
      </c>
      <c r="L208" s="962">
        <f>'1.SD Facility Based Annex'!L74</f>
        <v>0</v>
      </c>
      <c r="M208" s="1862">
        <f>'1.SD Facility Based Annex'!M74</f>
        <v>0</v>
      </c>
      <c r="N208" s="1862">
        <f>'1.SD Facility Based Annex'!N74</f>
        <v>0</v>
      </c>
      <c r="O208" s="962">
        <f>'1.SD Facility Based Annex'!O74</f>
        <v>0</v>
      </c>
      <c r="P208" s="2735">
        <f>'1.SD Facility Based Annex'!P74</f>
        <v>0</v>
      </c>
      <c r="Q208" s="2772" t="s">
        <v>5520</v>
      </c>
      <c r="R208" s="2729">
        <v>0</v>
      </c>
    </row>
    <row r="209" spans="1:18" s="861" customFormat="1" ht="60">
      <c r="A209" s="2735" t="str">
        <f>'1.SD Facility Based Annex'!A75</f>
        <v>1.2.2.3</v>
      </c>
      <c r="B209" s="2735" t="str">
        <f>'1.SD Facility Based Annex'!B75</f>
        <v>A.3.6</v>
      </c>
      <c r="C209" s="1861" t="str">
        <f>'1.SD Facility Based Annex'!C75</f>
        <v>Family Planning Indemnity Scheme</v>
      </c>
      <c r="D209" s="1862" t="str">
        <f>'1.SD Facility Based Annex'!D75</f>
        <v>RCH</v>
      </c>
      <c r="E209" s="1862" t="str">
        <f>'1.SD Facility Based Annex'!E75</f>
        <v>FP</v>
      </c>
      <c r="F209" s="1862">
        <f>'1.SD Facility Based Annex'!F75</f>
        <v>80</v>
      </c>
      <c r="G209" s="1862">
        <f>'1.SD Facility Based Annex'!G75</f>
        <v>0</v>
      </c>
      <c r="H209" s="1862">
        <f>'1.SD Facility Based Annex'!H75</f>
        <v>6.82</v>
      </c>
      <c r="I209" s="1862">
        <f>'1.SD Facility Based Annex'!I75</f>
        <v>23.7</v>
      </c>
      <c r="J209" s="1862">
        <f>'1.SD Facility Based Annex'!J75</f>
        <v>-16.88</v>
      </c>
      <c r="K209" s="1862">
        <f>'1.SD Facility Based Annex'!K75</f>
        <v>1</v>
      </c>
      <c r="L209" s="962">
        <f>'1.SD Facility Based Annex'!L75</f>
        <v>30000</v>
      </c>
      <c r="M209" s="1862">
        <f>'1.SD Facility Based Annex'!M75</f>
        <v>0.3</v>
      </c>
      <c r="N209" s="1862">
        <f>'1.SD Facility Based Annex'!N75</f>
        <v>40</v>
      </c>
      <c r="O209" s="962">
        <f>'1.SD Facility Based Annex'!O75</f>
        <v>12</v>
      </c>
      <c r="P209" s="2735" t="str">
        <f>'1.SD Facility Based Annex'!P75</f>
        <v>Funds under this head has been proposed for Family Planning Indemnity Scheme expected 80 cases@Rs. 30000 per case.</v>
      </c>
      <c r="Q209" s="2018" t="s">
        <v>5603</v>
      </c>
      <c r="R209" s="2728">
        <f>12000*50/100000</f>
        <v>6</v>
      </c>
    </row>
    <row r="210" spans="1:18" s="861" customFormat="1">
      <c r="A210" s="2735" t="str">
        <f>'1.SD Facility Based Annex'!A76</f>
        <v>1.2.2.4</v>
      </c>
      <c r="B210" s="2735">
        <f>'1.SD Facility Based Annex'!B76</f>
        <v>0</v>
      </c>
      <c r="C210" s="1861" t="str">
        <f>'1.SD Facility Based Annex'!C76</f>
        <v>Any other (please specify)</v>
      </c>
      <c r="D210" s="1862" t="str">
        <f>'1.SD Facility Based Annex'!D76</f>
        <v>RCH</v>
      </c>
      <c r="E210" s="1862" t="str">
        <f>'1.SD Facility Based Annex'!E76</f>
        <v>FP</v>
      </c>
      <c r="F210" s="1862">
        <f>'1.SD Facility Based Annex'!F76</f>
        <v>0</v>
      </c>
      <c r="G210" s="1862">
        <f>'1.SD Facility Based Annex'!G76</f>
        <v>0</v>
      </c>
      <c r="H210" s="1862">
        <f>'1.SD Facility Based Annex'!H76</f>
        <v>0</v>
      </c>
      <c r="I210" s="1862">
        <f>'1.SD Facility Based Annex'!I76</f>
        <v>0</v>
      </c>
      <c r="J210" s="1862">
        <f>'1.SD Facility Based Annex'!J76</f>
        <v>0</v>
      </c>
      <c r="K210" s="1862">
        <f>'1.SD Facility Based Annex'!K76</f>
        <v>0</v>
      </c>
      <c r="L210" s="962">
        <f>'1.SD Facility Based Annex'!L76</f>
        <v>0</v>
      </c>
      <c r="M210" s="1862">
        <f>'1.SD Facility Based Annex'!M76</f>
        <v>0</v>
      </c>
      <c r="N210" s="1862">
        <f>'1.SD Facility Based Annex'!N76</f>
        <v>0</v>
      </c>
      <c r="O210" s="962">
        <f>'1.SD Facility Based Annex'!O76</f>
        <v>0</v>
      </c>
      <c r="P210" s="2735">
        <f>'1.SD Facility Based Annex'!P76</f>
        <v>0</v>
      </c>
      <c r="Q210" s="2772" t="s">
        <v>5520</v>
      </c>
      <c r="R210" s="2729">
        <v>0</v>
      </c>
    </row>
    <row r="211" spans="1:18" s="861" customFormat="1">
      <c r="A211" s="1858">
        <f>'2.SD Community Based Annex'!A7</f>
        <v>2</v>
      </c>
      <c r="B211" s="1858"/>
      <c r="C211" s="1859" t="str">
        <f>'2.SD Community Based Annex'!C7</f>
        <v>Service Delivery - Community Based</v>
      </c>
      <c r="D211" s="1860"/>
      <c r="E211" s="1860"/>
      <c r="F211" s="1860"/>
      <c r="G211" s="1860"/>
      <c r="H211" s="994"/>
      <c r="I211" s="1860"/>
      <c r="J211" s="994"/>
      <c r="K211" s="1860"/>
      <c r="L211" s="994"/>
      <c r="M211" s="994"/>
      <c r="N211" s="1866"/>
      <c r="O211" s="994">
        <f>O212</f>
        <v>15</v>
      </c>
      <c r="P211" s="1868"/>
      <c r="Q211" s="1889"/>
      <c r="R211" s="2746">
        <f>R212</f>
        <v>15</v>
      </c>
    </row>
    <row r="212" spans="1:18" s="861" customFormat="1" ht="45">
      <c r="A212" s="2735" t="str">
        <f>'2.SD Community Based Annex'!A20</f>
        <v>2.2.1</v>
      </c>
      <c r="B212" s="2735" t="str">
        <f>'2.SD Community Based Annex'!B20</f>
        <v>A.3.3</v>
      </c>
      <c r="C212" s="1861" t="str">
        <f>'2.SD Community Based Annex'!C20</f>
        <v>POL for Family Planning/ Others (including additional mobility support to surgeon's team if req)</v>
      </c>
      <c r="D212" s="1862" t="str">
        <f>'2.SD Community Based Annex'!D20</f>
        <v>RCH</v>
      </c>
      <c r="E212" s="1862" t="str">
        <f>'2.SD Community Based Annex'!E20</f>
        <v>FP</v>
      </c>
      <c r="F212" s="1862">
        <f>'2.SD Community Based Annex'!F20</f>
        <v>12</v>
      </c>
      <c r="G212" s="1862">
        <f>'2.SD Community Based Annex'!G20</f>
        <v>0</v>
      </c>
      <c r="H212" s="1862">
        <f>'2.SD Community Based Annex'!H20</f>
        <v>18</v>
      </c>
      <c r="I212" s="1862">
        <f>'2.SD Community Based Annex'!I20</f>
        <v>1.6</v>
      </c>
      <c r="J212" s="1862">
        <f>'2.SD Community Based Annex'!J20</f>
        <v>16.399999999999999</v>
      </c>
      <c r="K212" s="1862">
        <f>'2.SD Community Based Annex'!K20</f>
        <v>1</v>
      </c>
      <c r="L212" s="962">
        <f>'2.SD Community Based Annex'!L20</f>
        <v>150000</v>
      </c>
      <c r="M212" s="1862">
        <f>'2.SD Community Based Annex'!M20</f>
        <v>1.5</v>
      </c>
      <c r="N212" s="1862">
        <f>'2.SD Community Based Annex'!N20</f>
        <v>10</v>
      </c>
      <c r="O212" s="962">
        <f>'2.SD Community Based Annex'!O20</f>
        <v>15</v>
      </c>
      <c r="P212" s="2735" t="str">
        <f>'2.SD Community Based Annex'!P20</f>
        <v xml:space="preserve">Funds proposed under this head for POL for FP and additional mobility support to surgeon's team </v>
      </c>
      <c r="Q212" s="2018" t="s">
        <v>5604</v>
      </c>
      <c r="R212" s="2728">
        <f>150000*10/100000</f>
        <v>15</v>
      </c>
    </row>
    <row r="213" spans="1:18" s="861" customFormat="1">
      <c r="A213" s="1858">
        <f>'3.Community Intervention Annexn'!A7</f>
        <v>3</v>
      </c>
      <c r="B213" s="1858"/>
      <c r="C213" s="1859" t="str">
        <f>'3.Community Intervention Annexn'!C7</f>
        <v>Community Interventions</v>
      </c>
      <c r="D213" s="1860"/>
      <c r="E213" s="1860"/>
      <c r="F213" s="1860"/>
      <c r="G213" s="1860"/>
      <c r="H213" s="1860"/>
      <c r="I213" s="1860"/>
      <c r="J213" s="1860"/>
      <c r="K213" s="1860"/>
      <c r="L213" s="994"/>
      <c r="M213" s="1860"/>
      <c r="N213" s="1860"/>
      <c r="O213" s="994">
        <f>SUM(O214:O223)</f>
        <v>5.6999999999999993</v>
      </c>
      <c r="P213" s="1858"/>
      <c r="Q213" s="2745"/>
      <c r="R213" s="2746">
        <f>SUM(R214:R223)</f>
        <v>5.6999999999999993</v>
      </c>
    </row>
    <row r="214" spans="1:18" s="861" customFormat="1">
      <c r="A214" s="4068" t="str">
        <f>'3.Community Intervention Annexn'!A14</f>
        <v>3.1.1.1.4</v>
      </c>
      <c r="B214" s="2735" t="str">
        <f>'3-A. CI Sub-Annex'!B24</f>
        <v>A.3.7.1</v>
      </c>
      <c r="C214" s="1861" t="str">
        <f>'3-A. CI Sub-Annex'!C24</f>
        <v>ASHA Incentives under Saas Bahu Sammellan</v>
      </c>
      <c r="D214" s="1862" t="str">
        <f>'3-A. CI Sub-Annex'!D24</f>
        <v>RCH</v>
      </c>
      <c r="E214" s="1862" t="str">
        <f>'3-A. CI Sub-Annex'!E24</f>
        <v>FP/NHSRC-CP</v>
      </c>
      <c r="F214" s="1862">
        <f>'3-A. CI Sub-Annex'!F24</f>
        <v>0</v>
      </c>
      <c r="G214" s="1862">
        <f>'3-A. CI Sub-Annex'!G24</f>
        <v>0</v>
      </c>
      <c r="H214" s="1862">
        <f>'3-A. CI Sub-Annex'!H24</f>
        <v>0</v>
      </c>
      <c r="I214" s="1862">
        <f>'3-A. CI Sub-Annex'!I24</f>
        <v>0</v>
      </c>
      <c r="J214" s="1862">
        <f>'3-A. CI Sub-Annex'!J24</f>
        <v>0</v>
      </c>
      <c r="K214" s="1862">
        <f>'3-A. CI Sub-Annex'!K24</f>
        <v>0</v>
      </c>
      <c r="L214" s="962">
        <f>'3-A. CI Sub-Annex'!L24</f>
        <v>0</v>
      </c>
      <c r="M214" s="1862">
        <f>'3-A. CI Sub-Annex'!M24</f>
        <v>0</v>
      </c>
      <c r="N214" s="1862">
        <f>'3-A. CI Sub-Annex'!N24</f>
        <v>0</v>
      </c>
      <c r="O214" s="962">
        <f>'3-A. CI Sub-Annex'!O24</f>
        <v>0</v>
      </c>
      <c r="P214" s="2735">
        <f>'3-A. CI Sub-Annex'!P24</f>
        <v>0</v>
      </c>
      <c r="Q214" s="2772" t="s">
        <v>5520</v>
      </c>
      <c r="R214" s="2729">
        <v>0</v>
      </c>
    </row>
    <row r="215" spans="1:18" s="861" customFormat="1">
      <c r="A215" s="4068"/>
      <c r="B215" s="2735" t="str">
        <f>'3-A. CI Sub-Annex'!B25</f>
        <v>A.3.7.2</v>
      </c>
      <c r="C215" s="1861" t="str">
        <f>'3-A. CI Sub-Annex'!C25</f>
        <v>ASHA Incentives under Nayi Pehl Kit</v>
      </c>
      <c r="D215" s="1862" t="str">
        <f>'3-A. CI Sub-Annex'!D25</f>
        <v>RCH</v>
      </c>
      <c r="E215" s="1862" t="str">
        <f>'3-A. CI Sub-Annex'!E25</f>
        <v>FP/NHSRC-CP</v>
      </c>
      <c r="F215" s="1862">
        <f>'3-A. CI Sub-Annex'!F25</f>
        <v>0</v>
      </c>
      <c r="G215" s="1862">
        <f>'3-A. CI Sub-Annex'!G25</f>
        <v>0</v>
      </c>
      <c r="H215" s="1862">
        <f>'3-A. CI Sub-Annex'!H25</f>
        <v>0</v>
      </c>
      <c r="I215" s="1862">
        <f>'3-A. CI Sub-Annex'!I25</f>
        <v>0</v>
      </c>
      <c r="J215" s="1862">
        <f>'3-A. CI Sub-Annex'!J25</f>
        <v>0</v>
      </c>
      <c r="K215" s="1862">
        <f>'3-A. CI Sub-Annex'!K25</f>
        <v>0</v>
      </c>
      <c r="L215" s="962">
        <f>'3-A. CI Sub-Annex'!L25</f>
        <v>0</v>
      </c>
      <c r="M215" s="1862">
        <f>'3-A. CI Sub-Annex'!M25</f>
        <v>0</v>
      </c>
      <c r="N215" s="1862">
        <f>'3-A. CI Sub-Annex'!N25</f>
        <v>0</v>
      </c>
      <c r="O215" s="962">
        <f>'3-A. CI Sub-Annex'!O25</f>
        <v>0</v>
      </c>
      <c r="P215" s="2735">
        <f>'3-A. CI Sub-Annex'!P25</f>
        <v>0</v>
      </c>
      <c r="Q215" s="2772" t="s">
        <v>5520</v>
      </c>
      <c r="R215" s="2729">
        <v>0</v>
      </c>
    </row>
    <row r="216" spans="1:18" s="861" customFormat="1">
      <c r="A216" s="4068"/>
      <c r="B216" s="2735">
        <f>'3-A. CI Sub-Annex'!B26</f>
        <v>0</v>
      </c>
      <c r="C216" s="1861" t="str">
        <f>'3-A. CI Sub-Annex'!C26</f>
        <v>ASHA incentive for updation of EC survey before each MPV campaign</v>
      </c>
      <c r="D216" s="1862" t="str">
        <f>'3-A. CI Sub-Annex'!D26</f>
        <v>RCH</v>
      </c>
      <c r="E216" s="1862" t="str">
        <f>'3-A. CI Sub-Annex'!E26</f>
        <v>FP/NHSRC-CP</v>
      </c>
      <c r="F216" s="1862">
        <f>'3-A. CI Sub-Annex'!F26</f>
        <v>0</v>
      </c>
      <c r="G216" s="1862">
        <f>'3-A. CI Sub-Annex'!G26</f>
        <v>0</v>
      </c>
      <c r="H216" s="1862">
        <f>'3-A. CI Sub-Annex'!H26</f>
        <v>0</v>
      </c>
      <c r="I216" s="1862">
        <f>'3-A. CI Sub-Annex'!I26</f>
        <v>0</v>
      </c>
      <c r="J216" s="1862">
        <f>'3-A. CI Sub-Annex'!J26</f>
        <v>0</v>
      </c>
      <c r="K216" s="1862">
        <f>'3-A. CI Sub-Annex'!K26</f>
        <v>0</v>
      </c>
      <c r="L216" s="962">
        <f>'3-A. CI Sub-Annex'!L26</f>
        <v>0</v>
      </c>
      <c r="M216" s="1862">
        <f>'3-A. CI Sub-Annex'!M26</f>
        <v>0</v>
      </c>
      <c r="N216" s="1862">
        <f>'3-A. CI Sub-Annex'!N26</f>
        <v>0</v>
      </c>
      <c r="O216" s="962">
        <f>'3-A. CI Sub-Annex'!O26</f>
        <v>0</v>
      </c>
      <c r="P216" s="2735">
        <f>'3-A. CI Sub-Annex'!P26</f>
        <v>0</v>
      </c>
      <c r="Q216" s="2772" t="s">
        <v>5520</v>
      </c>
      <c r="R216" s="2729">
        <v>0</v>
      </c>
    </row>
    <row r="217" spans="1:18" s="861" customFormat="1" ht="60">
      <c r="A217" s="4068"/>
      <c r="B217" s="2735" t="str">
        <f>'3-A. CI Sub-Annex'!B27</f>
        <v>B1.1.3.3.1</v>
      </c>
      <c r="C217" s="1861" t="str">
        <f>'3-A. CI Sub-Annex'!C27</f>
        <v>ASHA PPIUCD incentive for accompanying the client for PPIUCD insertion (@ Rs. 150/ASHA/insertion)</v>
      </c>
      <c r="D217" s="1862" t="str">
        <f>'3-A. CI Sub-Annex'!D27</f>
        <v>RCH</v>
      </c>
      <c r="E217" s="1862" t="str">
        <f>'3-A. CI Sub-Annex'!E27</f>
        <v>FP/NHSRC-CP</v>
      </c>
      <c r="F217" s="1862">
        <f>'3-A. CI Sub-Annex'!F27</f>
        <v>1000</v>
      </c>
      <c r="G217" s="1862">
        <f>'3-A. CI Sub-Annex'!G27</f>
        <v>0</v>
      </c>
      <c r="H217" s="1862">
        <f>'3-A. CI Sub-Annex'!H27</f>
        <v>1.5</v>
      </c>
      <c r="I217" s="1862">
        <f>'3-A. CI Sub-Annex'!I27</f>
        <v>2.11</v>
      </c>
      <c r="J217" s="1862">
        <f>'3-A. CI Sub-Annex'!J27</f>
        <v>-0.61</v>
      </c>
      <c r="K217" s="1862">
        <f>'3-A. CI Sub-Annex'!K27</f>
        <v>1</v>
      </c>
      <c r="L217" s="962">
        <f>'3-A. CI Sub-Annex'!L27</f>
        <v>150</v>
      </c>
      <c r="M217" s="1862">
        <f>'3-A. CI Sub-Annex'!M27</f>
        <v>1.5E-3</v>
      </c>
      <c r="N217" s="1862">
        <f>'3-A. CI Sub-Annex'!N27</f>
        <v>2000</v>
      </c>
      <c r="O217" s="962">
        <f>'3-A. CI Sub-Annex'!O27</f>
        <v>3</v>
      </c>
      <c r="P217" s="2735" t="str">
        <f>'3-A. CI Sub-Annex'!P27</f>
        <v xml:space="preserve">Funds proposed under this head for ASHA PPIUCD  incentive for  accompanying the client for PPIUCD  insertion @Rs. 150/ASHA/ insertion </v>
      </c>
      <c r="Q217" s="2712" t="s">
        <v>5605</v>
      </c>
      <c r="R217" s="2728">
        <f>2000*150/100000</f>
        <v>3</v>
      </c>
    </row>
    <row r="218" spans="1:18" s="861" customFormat="1" ht="60">
      <c r="A218" s="4068"/>
      <c r="B218" s="2735" t="str">
        <f>'3-A. CI Sub-Annex'!B28</f>
        <v>B1.1.3.3.2</v>
      </c>
      <c r="C218" s="1861" t="str">
        <f>'3-A. CI Sub-Annex'!C28</f>
        <v>ASHA PAIUCD incentive for accompanying the client for PAIUCD insertion (@ Rs. 150/ASHA/insertion)</v>
      </c>
      <c r="D218" s="1862" t="str">
        <f>'3-A. CI Sub-Annex'!D28</f>
        <v>RCH</v>
      </c>
      <c r="E218" s="1862" t="str">
        <f>'3-A. CI Sub-Annex'!E28</f>
        <v>FP/NHSRC-CP</v>
      </c>
      <c r="F218" s="1862">
        <f>'3-A. CI Sub-Annex'!F28</f>
        <v>200</v>
      </c>
      <c r="G218" s="1862">
        <f>'3-A. CI Sub-Annex'!G28</f>
        <v>0</v>
      </c>
      <c r="H218" s="1862">
        <f>'3-A. CI Sub-Annex'!H28</f>
        <v>0.3</v>
      </c>
      <c r="I218" s="1862">
        <f>'3-A. CI Sub-Annex'!I28</f>
        <v>0.7</v>
      </c>
      <c r="J218" s="1862">
        <f>'3-A. CI Sub-Annex'!J28</f>
        <v>0.23</v>
      </c>
      <c r="K218" s="1862">
        <f>'3-A. CI Sub-Annex'!K28</f>
        <v>1</v>
      </c>
      <c r="L218" s="962">
        <f>'3-A. CI Sub-Annex'!L28</f>
        <v>150</v>
      </c>
      <c r="M218" s="1862">
        <f>'3-A. CI Sub-Annex'!M28</f>
        <v>1.5E-3</v>
      </c>
      <c r="N218" s="1862">
        <f>'3-A. CI Sub-Annex'!N28</f>
        <v>200</v>
      </c>
      <c r="O218" s="962">
        <f>'3-A. CI Sub-Annex'!O28</f>
        <v>0.3</v>
      </c>
      <c r="P218" s="2735" t="str">
        <f>'3-A. CI Sub-Annex'!P28</f>
        <v xml:space="preserve">Funds proposed under this head for ASHA PAIUCD  incentive for  accompanying the client for PAIUCD  insertion @Rs. 150/ASHA/ insertion </v>
      </c>
      <c r="Q218" s="2712" t="s">
        <v>5606</v>
      </c>
      <c r="R218" s="2728">
        <f>200*150/100000</f>
        <v>0.3</v>
      </c>
    </row>
    <row r="219" spans="1:18" s="861" customFormat="1">
      <c r="A219" s="4068"/>
      <c r="B219" s="2735" t="str">
        <f>'3-A. CI Sub-Annex'!B29</f>
        <v>B1.1.3.3.3</v>
      </c>
      <c r="C219" s="1861" t="str">
        <f>'3-A. CI Sub-Annex'!C29</f>
        <v>ASHA incentive under ESB scheme for promoting spacing of births</v>
      </c>
      <c r="D219" s="1862" t="str">
        <f>'3-A. CI Sub-Annex'!D29</f>
        <v>RCH</v>
      </c>
      <c r="E219" s="1862" t="str">
        <f>'3-A. CI Sub-Annex'!E29</f>
        <v>FP/NHSRC-CP</v>
      </c>
      <c r="F219" s="1862">
        <f>'3-A. CI Sub-Annex'!F29</f>
        <v>0</v>
      </c>
      <c r="G219" s="1862">
        <f>'3-A. CI Sub-Annex'!G29</f>
        <v>0</v>
      </c>
      <c r="H219" s="1862">
        <f>'3-A. CI Sub-Annex'!H29</f>
        <v>0</v>
      </c>
      <c r="I219" s="1862">
        <f>'3-A. CI Sub-Annex'!I29</f>
        <v>0</v>
      </c>
      <c r="J219" s="1862">
        <f>'3-A. CI Sub-Annex'!J29</f>
        <v>0</v>
      </c>
      <c r="K219" s="1862">
        <f>'3-A. CI Sub-Annex'!K29</f>
        <v>0</v>
      </c>
      <c r="L219" s="962">
        <f>'3-A. CI Sub-Annex'!L29</f>
        <v>0</v>
      </c>
      <c r="M219" s="1862">
        <f>'3-A. CI Sub-Annex'!M29</f>
        <v>0</v>
      </c>
      <c r="N219" s="1862">
        <f>'3-A. CI Sub-Annex'!N29</f>
        <v>0</v>
      </c>
      <c r="O219" s="962">
        <f>'3-A. CI Sub-Annex'!O29</f>
        <v>0</v>
      </c>
      <c r="P219" s="2735">
        <f>'3-A. CI Sub-Annex'!P29</f>
        <v>0</v>
      </c>
      <c r="Q219" s="2772" t="s">
        <v>5520</v>
      </c>
      <c r="R219" s="2729">
        <v>0</v>
      </c>
    </row>
    <row r="220" spans="1:18" s="861" customFormat="1" ht="30">
      <c r="A220" s="4068"/>
      <c r="B220" s="2735" t="str">
        <f>'3-A. CI Sub-Annex'!B30</f>
        <v>B1.1.3.3.4</v>
      </c>
      <c r="C220" s="1861" t="str">
        <f>'3-A. CI Sub-Annex'!C30</f>
        <v>ASHA Incentive under ESB scheme for promoting adoption of limiting method up to two children</v>
      </c>
      <c r="D220" s="1862" t="str">
        <f>'3-A. CI Sub-Annex'!D30</f>
        <v>RCH</v>
      </c>
      <c r="E220" s="1862" t="str">
        <f>'3-A. CI Sub-Annex'!E30</f>
        <v>FP/NHSRC-CP</v>
      </c>
      <c r="F220" s="1862">
        <f>'3-A. CI Sub-Annex'!F30</f>
        <v>0</v>
      </c>
      <c r="G220" s="1862">
        <f>'3-A. CI Sub-Annex'!G30</f>
        <v>0</v>
      </c>
      <c r="H220" s="1862">
        <f>'3-A. CI Sub-Annex'!H30</f>
        <v>0</v>
      </c>
      <c r="I220" s="1862">
        <f>'3-A. CI Sub-Annex'!I30</f>
        <v>0</v>
      </c>
      <c r="J220" s="1862">
        <f>'3-A. CI Sub-Annex'!J30</f>
        <v>0</v>
      </c>
      <c r="K220" s="1862">
        <f>'3-A. CI Sub-Annex'!K30</f>
        <v>0</v>
      </c>
      <c r="L220" s="962">
        <f>'3-A. CI Sub-Annex'!L30</f>
        <v>0</v>
      </c>
      <c r="M220" s="1862">
        <f>'3-A. CI Sub-Annex'!M30</f>
        <v>0</v>
      </c>
      <c r="N220" s="1862">
        <f>'3-A. CI Sub-Annex'!N30</f>
        <v>0</v>
      </c>
      <c r="O220" s="962">
        <f>'3-A. CI Sub-Annex'!O30</f>
        <v>0</v>
      </c>
      <c r="P220" s="2735">
        <f>'3-A. CI Sub-Annex'!P30</f>
        <v>0</v>
      </c>
      <c r="Q220" s="2772" t="s">
        <v>5520</v>
      </c>
      <c r="R220" s="2729">
        <v>0</v>
      </c>
    </row>
    <row r="221" spans="1:18" s="861" customFormat="1" ht="45">
      <c r="A221" s="4068"/>
      <c r="B221" s="2735" t="str">
        <f>'3-A. CI Sub-Annex'!B31</f>
        <v>A.3.7.3/ 3.1.1.2.8</v>
      </c>
      <c r="C221" s="1861" t="str">
        <f>'3-A. CI Sub-Annex'!C31</f>
        <v>ASHA incentive for accompanying the client for Injectable MPA (Antara Prog) administration ( @Rs 100/dose/beneficiary)- Only for 146 Mission Parivar Vikas districts</v>
      </c>
      <c r="D221" s="1862" t="str">
        <f>'3-A. CI Sub-Annex'!D31</f>
        <v>RCH</v>
      </c>
      <c r="E221" s="1862" t="str">
        <f>'3-A. CI Sub-Annex'!E31</f>
        <v>FP/ RC-CP</v>
      </c>
      <c r="F221" s="1862">
        <f>'3-A. CI Sub-Annex'!F31</f>
        <v>0</v>
      </c>
      <c r="G221" s="1862">
        <f>'3-A. CI Sub-Annex'!G31</f>
        <v>0</v>
      </c>
      <c r="H221" s="1862">
        <f>'3-A. CI Sub-Annex'!H31</f>
        <v>0</v>
      </c>
      <c r="I221" s="1862">
        <f>'3-A. CI Sub-Annex'!I31</f>
        <v>0</v>
      </c>
      <c r="J221" s="1862">
        <f>'3-A. CI Sub-Annex'!J31</f>
        <v>0</v>
      </c>
      <c r="K221" s="1862">
        <f>'3-A. CI Sub-Annex'!K31</f>
        <v>0</v>
      </c>
      <c r="L221" s="962">
        <f>'3-A. CI Sub-Annex'!L31</f>
        <v>0</v>
      </c>
      <c r="M221" s="1862">
        <f>'3-A. CI Sub-Annex'!M31</f>
        <v>0</v>
      </c>
      <c r="N221" s="1862">
        <f>'3-A. CI Sub-Annex'!N31</f>
        <v>0</v>
      </c>
      <c r="O221" s="962">
        <f>'3-A. CI Sub-Annex'!O31</f>
        <v>0</v>
      </c>
      <c r="P221" s="2735">
        <f>'3-A. CI Sub-Annex'!P31</f>
        <v>0</v>
      </c>
      <c r="Q221" s="2772" t="s">
        <v>5520</v>
      </c>
      <c r="R221" s="2729">
        <v>0</v>
      </c>
    </row>
    <row r="222" spans="1:18" s="861" customFormat="1" ht="73.5" customHeight="1">
      <c r="A222" s="4068"/>
      <c r="B222" s="2735">
        <f>'3-A. CI Sub-Annex'!B32</f>
        <v>0</v>
      </c>
      <c r="C222" s="1861" t="str">
        <f>'3-A. CI Sub-Annex'!C32</f>
        <v>Any other ASHA incentives (please specify)</v>
      </c>
      <c r="D222" s="1862" t="str">
        <f>'3-A. CI Sub-Annex'!D32</f>
        <v>RCH</v>
      </c>
      <c r="E222" s="1862" t="str">
        <f>'3-A. CI Sub-Annex'!E32</f>
        <v>FP/ RC-CP</v>
      </c>
      <c r="F222" s="1862">
        <f>'3-A. CI Sub-Annex'!F32</f>
        <v>0</v>
      </c>
      <c r="G222" s="1862">
        <f>'3-A. CI Sub-Annex'!G32</f>
        <v>0</v>
      </c>
      <c r="H222" s="1862">
        <f>'3-A. CI Sub-Annex'!H32</f>
        <v>0</v>
      </c>
      <c r="I222" s="1862">
        <f>'3-A. CI Sub-Annex'!I32</f>
        <v>0</v>
      </c>
      <c r="J222" s="1862">
        <f>'3-A. CI Sub-Annex'!J32</f>
        <v>0</v>
      </c>
      <c r="K222" s="1862">
        <f>'3-A. CI Sub-Annex'!K32</f>
        <v>0</v>
      </c>
      <c r="L222" s="962">
        <f>'3-A. CI Sub-Annex'!L32</f>
        <v>200</v>
      </c>
      <c r="M222" s="1862">
        <f>'3-A. CI Sub-Annex'!M32</f>
        <v>2E-3</v>
      </c>
      <c r="N222" s="1862">
        <f>'3-A. CI Sub-Annex'!N32</f>
        <v>1200</v>
      </c>
      <c r="O222" s="962">
        <f>'3-A. CI Sub-Annex'!O32</f>
        <v>2.4</v>
      </c>
      <c r="P222" s="2735" t="str">
        <f>'3-A. CI Sub-Annex'!P32</f>
        <v>Funds arenproposed for reporting of deaths women of reproductive age by ASHA on 104 call centre</v>
      </c>
      <c r="Q222" s="2018" t="s">
        <v>5833</v>
      </c>
      <c r="R222" s="2729">
        <v>2.4</v>
      </c>
    </row>
    <row r="223" spans="1:18" s="861" customFormat="1" ht="30">
      <c r="A223" s="2735" t="str">
        <f>'3.Community Intervention Annexn'!A35</f>
        <v>3.2.1.1</v>
      </c>
      <c r="B223" s="2735" t="str">
        <f>'3-A. CI Sub-Annex'!B89</f>
        <v>A.3.7.5</v>
      </c>
      <c r="C223" s="1861" t="str">
        <f>'3-A. CI Sub-Annex'!C89</f>
        <v>Other activities under Mission Parivar Vikas : Demand Generation (Saarthi, Saas Bahu Sammellan, Creating enabling environment)</v>
      </c>
      <c r="D223" s="1862" t="str">
        <f>'3-A. CI Sub-Annex'!D89</f>
        <v>RCH</v>
      </c>
      <c r="E223" s="1862" t="str">
        <f>'3-A. CI Sub-Annex'!E89</f>
        <v>FP</v>
      </c>
      <c r="F223" s="1862">
        <f>'3-A. CI Sub-Annex'!F89</f>
        <v>0</v>
      </c>
      <c r="G223" s="1862">
        <f>'3-A. CI Sub-Annex'!G89</f>
        <v>0</v>
      </c>
      <c r="H223" s="1862">
        <f>'3-A. CI Sub-Annex'!H89</f>
        <v>0</v>
      </c>
      <c r="I223" s="1862">
        <f>'3-A. CI Sub-Annex'!I89</f>
        <v>0</v>
      </c>
      <c r="J223" s="1862">
        <f>'3-A. CI Sub-Annex'!J89</f>
        <v>0</v>
      </c>
      <c r="K223" s="1862">
        <f>'3-A. CI Sub-Annex'!K89</f>
        <v>0</v>
      </c>
      <c r="L223" s="962">
        <f>'3-A. CI Sub-Annex'!L89</f>
        <v>0</v>
      </c>
      <c r="M223" s="1862">
        <f>'3-A. CI Sub-Annex'!M89</f>
        <v>0</v>
      </c>
      <c r="N223" s="1862">
        <f>'3-A. CI Sub-Annex'!N89</f>
        <v>0</v>
      </c>
      <c r="O223" s="962">
        <f>'3-A. CI Sub-Annex'!O89</f>
        <v>0</v>
      </c>
      <c r="P223" s="2735">
        <f>'3-A. CI Sub-Annex'!P89</f>
        <v>0</v>
      </c>
      <c r="Q223" s="2772" t="s">
        <v>5520</v>
      </c>
      <c r="R223" s="2729">
        <v>0</v>
      </c>
    </row>
    <row r="224" spans="1:18" s="861" customFormat="1">
      <c r="A224" s="1858">
        <f>'6.Procurement Annex'!A7</f>
        <v>6</v>
      </c>
      <c r="B224" s="1858"/>
      <c r="C224" s="1859" t="str">
        <f>'6.Procurement Annex'!C7</f>
        <v>Procurement</v>
      </c>
      <c r="D224" s="1860"/>
      <c r="E224" s="1860"/>
      <c r="F224" s="1860"/>
      <c r="G224" s="1860"/>
      <c r="H224" s="1860"/>
      <c r="I224" s="1860"/>
      <c r="J224" s="1860"/>
      <c r="K224" s="1860"/>
      <c r="L224" s="994"/>
      <c r="M224" s="1860"/>
      <c r="N224" s="1860"/>
      <c r="O224" s="994">
        <f>SUM(O225:O233)</f>
        <v>48</v>
      </c>
      <c r="P224" s="1858"/>
      <c r="Q224" s="2745"/>
      <c r="R224" s="2746">
        <f>SUM(R225:R233)</f>
        <v>48</v>
      </c>
    </row>
    <row r="225" spans="1:18" s="861" customFormat="1">
      <c r="A225" s="4068" t="str">
        <f>'6.Procurement Annex'!A12</f>
        <v>6.1.1.3</v>
      </c>
      <c r="B225" s="2735" t="str">
        <f>'6-A. Proc. Sub-Annex'!B20</f>
        <v>B16.1.3.1</v>
      </c>
      <c r="C225" s="1861" t="str">
        <f>'6-A. Proc. Sub-Annex'!C20</f>
        <v>NSV kits</v>
      </c>
      <c r="D225" s="1862" t="str">
        <f>'6-A. Proc. Sub-Annex'!D20</f>
        <v>RCH</v>
      </c>
      <c r="E225" s="1862" t="str">
        <f>'6-A. Proc. Sub-Annex'!E20</f>
        <v>FP</v>
      </c>
      <c r="F225" s="1862">
        <f>'6-A. Proc. Sub-Annex'!F20</f>
        <v>0</v>
      </c>
      <c r="G225" s="1862">
        <f>'6-A. Proc. Sub-Annex'!G20</f>
        <v>0</v>
      </c>
      <c r="H225" s="1862">
        <f>'6-A. Proc. Sub-Annex'!H20</f>
        <v>0</v>
      </c>
      <c r="I225" s="1862">
        <f>'6-A. Proc. Sub-Annex'!I20</f>
        <v>0</v>
      </c>
      <c r="J225" s="1862">
        <f>'6-A. Proc. Sub-Annex'!J20</f>
        <v>0</v>
      </c>
      <c r="K225" s="1862">
        <f>'6-A. Proc. Sub-Annex'!K20</f>
        <v>0</v>
      </c>
      <c r="L225" s="962">
        <f>'6-A. Proc. Sub-Annex'!L20</f>
        <v>0</v>
      </c>
      <c r="M225" s="1862">
        <f>'6-A. Proc. Sub-Annex'!M20</f>
        <v>0</v>
      </c>
      <c r="N225" s="1862">
        <f>'6-A. Proc. Sub-Annex'!N20</f>
        <v>0</v>
      </c>
      <c r="O225" s="962">
        <f>'6-A. Proc. Sub-Annex'!O20</f>
        <v>0</v>
      </c>
      <c r="P225" s="2735">
        <f>'6-A. Proc. Sub-Annex'!P20</f>
        <v>0</v>
      </c>
      <c r="Q225" s="2772" t="s">
        <v>5520</v>
      </c>
      <c r="R225" s="2729">
        <v>0</v>
      </c>
    </row>
    <row r="226" spans="1:18" s="861" customFormat="1">
      <c r="A226" s="4068"/>
      <c r="B226" s="2735" t="str">
        <f>'6-A. Proc. Sub-Annex'!B21</f>
        <v>B16.1.3.2</v>
      </c>
      <c r="C226" s="1861" t="str">
        <f>'6-A. Proc. Sub-Annex'!C21</f>
        <v>IUCD kits</v>
      </c>
      <c r="D226" s="1862" t="str">
        <f>'6-A. Proc. Sub-Annex'!D21</f>
        <v>RCH</v>
      </c>
      <c r="E226" s="1862" t="str">
        <f>'6-A. Proc. Sub-Annex'!E21</f>
        <v>FP</v>
      </c>
      <c r="F226" s="1862">
        <f>'6-A. Proc. Sub-Annex'!F21</f>
        <v>0</v>
      </c>
      <c r="G226" s="1862">
        <f>'6-A. Proc. Sub-Annex'!G21</f>
        <v>0</v>
      </c>
      <c r="H226" s="1862">
        <f>'6-A. Proc. Sub-Annex'!H21</f>
        <v>0</v>
      </c>
      <c r="I226" s="1862">
        <f>'6-A. Proc. Sub-Annex'!I21</f>
        <v>0</v>
      </c>
      <c r="J226" s="1862">
        <f>'6-A. Proc. Sub-Annex'!J21</f>
        <v>0</v>
      </c>
      <c r="K226" s="1862">
        <f>'6-A. Proc. Sub-Annex'!K21</f>
        <v>0</v>
      </c>
      <c r="L226" s="962">
        <f>'6-A. Proc. Sub-Annex'!L21</f>
        <v>0</v>
      </c>
      <c r="M226" s="1862">
        <f>'6-A. Proc. Sub-Annex'!M21</f>
        <v>0</v>
      </c>
      <c r="N226" s="1862">
        <f>'6-A. Proc. Sub-Annex'!N21</f>
        <v>0</v>
      </c>
      <c r="O226" s="962">
        <f>'6-A. Proc. Sub-Annex'!O21</f>
        <v>0</v>
      </c>
      <c r="P226" s="2735">
        <f>'6-A. Proc. Sub-Annex'!P21</f>
        <v>0</v>
      </c>
      <c r="Q226" s="2772" t="s">
        <v>5520</v>
      </c>
      <c r="R226" s="2729">
        <v>0</v>
      </c>
    </row>
    <row r="227" spans="1:18" s="861" customFormat="1">
      <c r="A227" s="4068"/>
      <c r="B227" s="2735" t="str">
        <f>'6-A. Proc. Sub-Annex'!B22</f>
        <v>B16.1.3.3</v>
      </c>
      <c r="C227" s="1861" t="str">
        <f>'6-A. Proc. Sub-Annex'!C22</f>
        <v>minilap kits</v>
      </c>
      <c r="D227" s="1862" t="str">
        <f>'6-A. Proc. Sub-Annex'!D22</f>
        <v>RCH</v>
      </c>
      <c r="E227" s="1862" t="str">
        <f>'6-A. Proc. Sub-Annex'!E22</f>
        <v>FP</v>
      </c>
      <c r="F227" s="1862">
        <f>'6-A. Proc. Sub-Annex'!F22</f>
        <v>0</v>
      </c>
      <c r="G227" s="1862">
        <f>'6-A. Proc. Sub-Annex'!G22</f>
        <v>0</v>
      </c>
      <c r="H227" s="1862">
        <f>'6-A. Proc. Sub-Annex'!H22</f>
        <v>0</v>
      </c>
      <c r="I227" s="1862">
        <f>'6-A. Proc. Sub-Annex'!I22</f>
        <v>0</v>
      </c>
      <c r="J227" s="1862">
        <f>'6-A. Proc. Sub-Annex'!J22</f>
        <v>0</v>
      </c>
      <c r="K227" s="1862">
        <f>'6-A. Proc. Sub-Annex'!K22</f>
        <v>0</v>
      </c>
      <c r="L227" s="962">
        <f>'6-A. Proc. Sub-Annex'!L22</f>
        <v>0</v>
      </c>
      <c r="M227" s="1862">
        <f>'6-A. Proc. Sub-Annex'!M22</f>
        <v>0</v>
      </c>
      <c r="N227" s="1862">
        <f>'6-A. Proc. Sub-Annex'!N22</f>
        <v>0</v>
      </c>
      <c r="O227" s="962">
        <f>'6-A. Proc. Sub-Annex'!O22</f>
        <v>0</v>
      </c>
      <c r="P227" s="2735">
        <f>'6-A. Proc. Sub-Annex'!P22</f>
        <v>0</v>
      </c>
      <c r="Q227" s="2772" t="s">
        <v>5520</v>
      </c>
      <c r="R227" s="2729">
        <v>0</v>
      </c>
    </row>
    <row r="228" spans="1:18" s="861" customFormat="1" ht="45">
      <c r="A228" s="4068"/>
      <c r="B228" s="2735" t="str">
        <f>'6-A. Proc. Sub-Annex'!B23</f>
        <v>B16.1.3.4</v>
      </c>
      <c r="C228" s="1861" t="str">
        <f>'6-A. Proc. Sub-Annex'!C23</f>
        <v>laparoscopes</v>
      </c>
      <c r="D228" s="1862" t="str">
        <f>'6-A. Proc. Sub-Annex'!D23</f>
        <v>RCH</v>
      </c>
      <c r="E228" s="1862" t="str">
        <f>'6-A. Proc. Sub-Annex'!E23</f>
        <v>FP</v>
      </c>
      <c r="F228" s="1862">
        <f>'6-A. Proc. Sub-Annex'!F23</f>
        <v>0</v>
      </c>
      <c r="G228" s="1862">
        <f>'6-A. Proc. Sub-Annex'!G23</f>
        <v>0</v>
      </c>
      <c r="H228" s="1862">
        <f>'6-A. Proc. Sub-Annex'!H23</f>
        <v>0</v>
      </c>
      <c r="I228" s="1862">
        <f>'6-A. Proc. Sub-Annex'!I23</f>
        <v>0</v>
      </c>
      <c r="J228" s="1862">
        <f>'6-A. Proc. Sub-Annex'!J23</f>
        <v>0</v>
      </c>
      <c r="K228" s="1862">
        <f>'6-A. Proc. Sub-Annex'!K23</f>
        <v>1</v>
      </c>
      <c r="L228" s="962">
        <f>'6-A. Proc. Sub-Annex'!L23</f>
        <v>800000</v>
      </c>
      <c r="M228" s="1862">
        <f>'6-A. Proc. Sub-Annex'!M23</f>
        <v>8</v>
      </c>
      <c r="N228" s="1862">
        <f>'6-A. Proc. Sub-Annex'!N23</f>
        <v>6</v>
      </c>
      <c r="O228" s="962">
        <f>'6-A. Proc. Sub-Annex'!O23</f>
        <v>48</v>
      </c>
      <c r="P228" s="2735" t="str">
        <f>'6-A. Proc. Sub-Annex'!P23</f>
        <v xml:space="preserve">Funds proposed under this head for purchase laparoscopes for six district @ Rs. 800000 approx. With Insuffator   </v>
      </c>
      <c r="Q228" s="2018" t="s">
        <v>5518</v>
      </c>
      <c r="R228" s="2728">
        <f>800000*6/100000</f>
        <v>48</v>
      </c>
    </row>
    <row r="229" spans="1:18" s="861" customFormat="1">
      <c r="A229" s="4068"/>
      <c r="B229" s="2735" t="str">
        <f>'6-A. Proc. Sub-Annex'!B24</f>
        <v>B16.1.3.5</v>
      </c>
      <c r="C229" s="1861" t="str">
        <f>'6-A. Proc. Sub-Annex'!C24</f>
        <v>PPIUCD forceps</v>
      </c>
      <c r="D229" s="1862" t="str">
        <f>'6-A. Proc. Sub-Annex'!D24</f>
        <v>RCH</v>
      </c>
      <c r="E229" s="1862" t="str">
        <f>'6-A. Proc. Sub-Annex'!E24</f>
        <v>FP</v>
      </c>
      <c r="F229" s="1862">
        <f>'6-A. Proc. Sub-Annex'!F24</f>
        <v>0</v>
      </c>
      <c r="G229" s="1862">
        <f>'6-A. Proc. Sub-Annex'!G24</f>
        <v>0</v>
      </c>
      <c r="H229" s="1862">
        <f>'6-A. Proc. Sub-Annex'!H24</f>
        <v>0</v>
      </c>
      <c r="I229" s="1862">
        <f>'6-A. Proc. Sub-Annex'!I24</f>
        <v>0</v>
      </c>
      <c r="J229" s="1862">
        <f>'6-A. Proc. Sub-Annex'!J24</f>
        <v>0</v>
      </c>
      <c r="K229" s="1862">
        <f>'6-A. Proc. Sub-Annex'!K24</f>
        <v>0</v>
      </c>
      <c r="L229" s="962">
        <f>'6-A. Proc. Sub-Annex'!L24</f>
        <v>0</v>
      </c>
      <c r="M229" s="1862">
        <f>'6-A. Proc. Sub-Annex'!M24</f>
        <v>0</v>
      </c>
      <c r="N229" s="1862">
        <f>'6-A. Proc. Sub-Annex'!N24</f>
        <v>0</v>
      </c>
      <c r="O229" s="962">
        <f>'6-A. Proc. Sub-Annex'!O24</f>
        <v>0</v>
      </c>
      <c r="P229" s="2735">
        <f>'6-A. Proc. Sub-Annex'!P24</f>
        <v>0</v>
      </c>
      <c r="Q229" s="2772" t="s">
        <v>5520</v>
      </c>
      <c r="R229" s="2729">
        <v>0</v>
      </c>
    </row>
    <row r="230" spans="1:18" s="861" customFormat="1">
      <c r="A230" s="4068"/>
      <c r="B230" s="2735" t="str">
        <f>'6-A. Proc. Sub-Annex'!B25</f>
        <v>B16.1.3.6</v>
      </c>
      <c r="C230" s="1861" t="str">
        <f>'6-A. Proc. Sub-Annex'!C25</f>
        <v>Any other equipment (please specify)</v>
      </c>
      <c r="D230" s="1862" t="str">
        <f>'6-A. Proc. Sub-Annex'!D25</f>
        <v>RCH</v>
      </c>
      <c r="E230" s="1862" t="str">
        <f>'6-A. Proc. Sub-Annex'!E25</f>
        <v>FP</v>
      </c>
      <c r="F230" s="1862">
        <f>'6-A. Proc. Sub-Annex'!F25</f>
        <v>0</v>
      </c>
      <c r="G230" s="1862">
        <f>'6-A. Proc. Sub-Annex'!G25</f>
        <v>0</v>
      </c>
      <c r="H230" s="1862">
        <f>'6-A. Proc. Sub-Annex'!H25</f>
        <v>0</v>
      </c>
      <c r="I230" s="1862">
        <f>'6-A. Proc. Sub-Annex'!I25</f>
        <v>0</v>
      </c>
      <c r="J230" s="1862">
        <f>'6-A. Proc. Sub-Annex'!J25</f>
        <v>0</v>
      </c>
      <c r="K230" s="1862">
        <f>'6-A. Proc. Sub-Annex'!K25</f>
        <v>0</v>
      </c>
      <c r="L230" s="962">
        <f>'6-A. Proc. Sub-Annex'!L25</f>
        <v>0</v>
      </c>
      <c r="M230" s="1862">
        <f>'6-A. Proc. Sub-Annex'!M25</f>
        <v>0</v>
      </c>
      <c r="N230" s="1862">
        <f>'6-A. Proc. Sub-Annex'!N25</f>
        <v>0</v>
      </c>
      <c r="O230" s="962">
        <f>'6-A. Proc. Sub-Annex'!O25</f>
        <v>0</v>
      </c>
      <c r="P230" s="2735">
        <f>'6-A. Proc. Sub-Annex'!P25</f>
        <v>0</v>
      </c>
      <c r="Q230" s="2772" t="s">
        <v>5520</v>
      </c>
      <c r="R230" s="2729">
        <v>0</v>
      </c>
    </row>
    <row r="231" spans="1:18" s="861" customFormat="1">
      <c r="A231" s="2735" t="str">
        <f>'6.Procurement Annex'!A47</f>
        <v>6.1.6.1</v>
      </c>
      <c r="B231" s="1869" t="str">
        <f>'6-A. Proc. Sub-Annex'!B137</f>
        <v>A.3.4</v>
      </c>
      <c r="C231" s="1870" t="str">
        <f>'6-A. Proc. Sub-Annex'!C137</f>
        <v>Repairs of Laparoscopes</v>
      </c>
      <c r="D231" s="1871" t="str">
        <f>'6-A. Proc. Sub-Annex'!D137</f>
        <v>RCH</v>
      </c>
      <c r="E231" s="1871" t="str">
        <f>'6-A. Proc. Sub-Annex'!E137</f>
        <v>FP</v>
      </c>
      <c r="F231" s="1871">
        <f>'6-A. Proc. Sub-Annex'!F137</f>
        <v>0</v>
      </c>
      <c r="G231" s="1871">
        <f>'6-A. Proc. Sub-Annex'!G137</f>
        <v>0</v>
      </c>
      <c r="H231" s="1871">
        <f>'6-A. Proc. Sub-Annex'!H137</f>
        <v>0</v>
      </c>
      <c r="I231" s="1871">
        <f>'6-A. Proc. Sub-Annex'!I137</f>
        <v>0</v>
      </c>
      <c r="J231" s="1871">
        <f>'6-A. Proc. Sub-Annex'!J137</f>
        <v>0</v>
      </c>
      <c r="K231" s="1871">
        <f>'6-A. Proc. Sub-Annex'!K137</f>
        <v>0</v>
      </c>
      <c r="L231" s="962">
        <f>'6-A. Proc. Sub-Annex'!L137</f>
        <v>0</v>
      </c>
      <c r="M231" s="1871">
        <f>'6-A. Proc. Sub-Annex'!M137</f>
        <v>0</v>
      </c>
      <c r="N231" s="1871">
        <f>'6-A. Proc. Sub-Annex'!N137</f>
        <v>0</v>
      </c>
      <c r="O231" s="962">
        <f>'6-A. Proc. Sub-Annex'!O137</f>
        <v>0</v>
      </c>
      <c r="P231" s="1869">
        <f>'6-A. Proc. Sub-Annex'!P137</f>
        <v>0</v>
      </c>
      <c r="Q231" s="2772" t="s">
        <v>5520</v>
      </c>
      <c r="R231" s="2729">
        <v>0</v>
      </c>
    </row>
    <row r="232" spans="1:18" s="861" customFormat="1">
      <c r="A232" s="4068" t="str">
        <f>'6.Procurement Annex'!A58</f>
        <v>6.2.1.3</v>
      </c>
      <c r="B232" s="1869" t="str">
        <f>'6-A. Proc. Sub-Annex'!B174</f>
        <v>A.3.7.2</v>
      </c>
      <c r="C232" s="1870" t="str">
        <f>'6-A. Proc. Sub-Annex'!C174</f>
        <v>Nayi Pehl Kit</v>
      </c>
      <c r="D232" s="1871" t="str">
        <f>'6-A. Proc. Sub-Annex'!D174</f>
        <v>RCH</v>
      </c>
      <c r="E232" s="1871" t="str">
        <f>'6-A. Proc. Sub-Annex'!E174</f>
        <v>FP</v>
      </c>
      <c r="F232" s="1871">
        <f>'6-A. Proc. Sub-Annex'!F174</f>
        <v>0</v>
      </c>
      <c r="G232" s="1871">
        <f>'6-A. Proc. Sub-Annex'!G174</f>
        <v>0</v>
      </c>
      <c r="H232" s="1871">
        <f>'6-A. Proc. Sub-Annex'!H174</f>
        <v>0</v>
      </c>
      <c r="I232" s="1871">
        <f>'6-A. Proc. Sub-Annex'!I174</f>
        <v>0</v>
      </c>
      <c r="J232" s="1871">
        <f>'6-A. Proc. Sub-Annex'!J174</f>
        <v>0</v>
      </c>
      <c r="K232" s="1871">
        <f>'6-A. Proc. Sub-Annex'!K174</f>
        <v>0</v>
      </c>
      <c r="L232" s="962">
        <f>'6-A. Proc. Sub-Annex'!L174</f>
        <v>0</v>
      </c>
      <c r="M232" s="1871">
        <f>'6-A. Proc. Sub-Annex'!M174</f>
        <v>0</v>
      </c>
      <c r="N232" s="1871">
        <f>'6-A. Proc. Sub-Annex'!N174</f>
        <v>0</v>
      </c>
      <c r="O232" s="962">
        <f>'6-A. Proc. Sub-Annex'!O174</f>
        <v>0</v>
      </c>
      <c r="P232" s="1869">
        <f>'6-A. Proc. Sub-Annex'!P174</f>
        <v>0</v>
      </c>
      <c r="Q232" s="2772" t="s">
        <v>5520</v>
      </c>
      <c r="R232" s="2729">
        <v>0</v>
      </c>
    </row>
    <row r="233" spans="1:18" s="861" customFormat="1">
      <c r="A233" s="4068"/>
      <c r="B233" s="1869" t="str">
        <f>'6-A. Proc. Sub-Annex'!B175</f>
        <v>B.16.2.3.1</v>
      </c>
      <c r="C233" s="1870" t="str">
        <f>'6-A. Proc. Sub-Annex'!C175</f>
        <v>Any other Drugs &amp; Supplies (Please specify)</v>
      </c>
      <c r="D233" s="1871" t="str">
        <f>'6-A. Proc. Sub-Annex'!D175</f>
        <v>RCH</v>
      </c>
      <c r="E233" s="1871" t="str">
        <f>'6-A. Proc. Sub-Annex'!E175</f>
        <v>FP</v>
      </c>
      <c r="F233" s="1871">
        <f>'6-A. Proc. Sub-Annex'!F175</f>
        <v>0</v>
      </c>
      <c r="G233" s="1871">
        <f>'6-A. Proc. Sub-Annex'!G175</f>
        <v>0</v>
      </c>
      <c r="H233" s="1871">
        <f>'6-A. Proc. Sub-Annex'!H175</f>
        <v>0</v>
      </c>
      <c r="I233" s="1871">
        <f>'6-A. Proc. Sub-Annex'!I175</f>
        <v>0</v>
      </c>
      <c r="J233" s="1871">
        <f>'6-A. Proc. Sub-Annex'!J175</f>
        <v>0</v>
      </c>
      <c r="K233" s="1871">
        <f>'6-A. Proc. Sub-Annex'!K175</f>
        <v>0</v>
      </c>
      <c r="L233" s="962">
        <f>'6-A. Proc. Sub-Annex'!L175</f>
        <v>0</v>
      </c>
      <c r="M233" s="1871">
        <f>'6-A. Proc. Sub-Annex'!M175</f>
        <v>0</v>
      </c>
      <c r="N233" s="1871">
        <f>'6-A. Proc. Sub-Annex'!N175</f>
        <v>0</v>
      </c>
      <c r="O233" s="962">
        <f>'6-A. Proc. Sub-Annex'!O175</f>
        <v>0</v>
      </c>
      <c r="P233" s="1869">
        <f>'6-A. Proc. Sub-Annex'!P175</f>
        <v>0</v>
      </c>
      <c r="Q233" s="2772" t="s">
        <v>5520</v>
      </c>
      <c r="R233" s="2729">
        <v>0</v>
      </c>
    </row>
    <row r="234" spans="1:18" s="861" customFormat="1">
      <c r="A234" s="1858">
        <f>'7.Referral Transport Annex'!A7</f>
        <v>7</v>
      </c>
      <c r="B234" s="1865"/>
      <c r="C234" s="1859" t="str">
        <f>'7.Referral Transport Annex'!C7</f>
        <v>Referral Transport</v>
      </c>
      <c r="D234" s="1860"/>
      <c r="E234" s="1860"/>
      <c r="F234" s="1860"/>
      <c r="G234" s="1860"/>
      <c r="H234" s="994"/>
      <c r="I234" s="1860"/>
      <c r="J234" s="994"/>
      <c r="K234" s="1860"/>
      <c r="L234" s="994"/>
      <c r="M234" s="994"/>
      <c r="N234" s="1866"/>
      <c r="O234" s="1867">
        <f>SUM(O235:O235)</f>
        <v>0</v>
      </c>
      <c r="P234" s="1868"/>
      <c r="Q234" s="2740"/>
      <c r="R234" s="2741"/>
    </row>
    <row r="235" spans="1:18" s="861" customFormat="1">
      <c r="A235" s="2735">
        <f>'7.Referral Transport Annex'!A10</f>
        <v>7.3</v>
      </c>
      <c r="B235" s="2735" t="str">
        <f>'7.Referral Transport Annex'!B10</f>
        <v>B12.2.9.1</v>
      </c>
      <c r="C235" s="1861" t="str">
        <f>'7.Referral Transport Annex'!C10</f>
        <v>Drop back scheme for sterilization clients</v>
      </c>
      <c r="D235" s="1862" t="str">
        <f>'7.Referral Transport Annex'!D10</f>
        <v>RCH</v>
      </c>
      <c r="E235" s="1862" t="str">
        <f>'7.Referral Transport Annex'!E10</f>
        <v>FP</v>
      </c>
      <c r="F235" s="1862">
        <f>'7.Referral Transport Annex'!F10</f>
        <v>0</v>
      </c>
      <c r="G235" s="1862">
        <f>'7.Referral Transport Annex'!G10</f>
        <v>0</v>
      </c>
      <c r="H235" s="1862">
        <f>'7.Referral Transport Annex'!H10</f>
        <v>0</v>
      </c>
      <c r="I235" s="1862">
        <f>'7.Referral Transport Annex'!I10</f>
        <v>0</v>
      </c>
      <c r="J235" s="1862">
        <f>'7.Referral Transport Annex'!J10</f>
        <v>0</v>
      </c>
      <c r="K235" s="1862">
        <f>'7.Referral Transport Annex'!K10</f>
        <v>0</v>
      </c>
      <c r="L235" s="962">
        <f>'7.Referral Transport Annex'!L10</f>
        <v>0</v>
      </c>
      <c r="M235" s="1862">
        <f>'7.Referral Transport Annex'!M10</f>
        <v>0</v>
      </c>
      <c r="N235" s="1862">
        <f>'7.Referral Transport Annex'!N10</f>
        <v>0</v>
      </c>
      <c r="O235" s="962">
        <f>'7.Referral Transport Annex'!O10</f>
        <v>0</v>
      </c>
      <c r="P235" s="2735">
        <f>'7.Referral Transport Annex'!P10</f>
        <v>0</v>
      </c>
      <c r="Q235" s="2772" t="s">
        <v>5520</v>
      </c>
      <c r="R235" s="2729">
        <v>0</v>
      </c>
    </row>
    <row r="236" spans="1:18" s="861" customFormat="1">
      <c r="A236" s="1858">
        <f>'8.Human Resources (SD) Annex'!A7</f>
        <v>8</v>
      </c>
      <c r="B236" s="1858"/>
      <c r="C236" s="1859" t="str">
        <f>'8.Human Resources (SD) Annex'!C7</f>
        <v>Human Resources</v>
      </c>
      <c r="D236" s="1860"/>
      <c r="E236" s="1860"/>
      <c r="F236" s="1860"/>
      <c r="G236" s="1860"/>
      <c r="H236" s="1860"/>
      <c r="I236" s="1860"/>
      <c r="J236" s="1860"/>
      <c r="K236" s="1860"/>
      <c r="L236" s="994"/>
      <c r="M236" s="1860"/>
      <c r="N236" s="1860"/>
      <c r="O236" s="994">
        <f>SUM(O237:O240)</f>
        <v>14.25</v>
      </c>
      <c r="P236" s="1858"/>
      <c r="Q236" s="2747"/>
      <c r="R236" s="2746">
        <f>SUM(R237:R240)</f>
        <v>14.25</v>
      </c>
    </row>
    <row r="237" spans="1:18" s="861" customFormat="1" ht="120">
      <c r="A237" s="2735" t="str">
        <f>'8.Human Resources (SD) Annex'!A168</f>
        <v>8.4.5</v>
      </c>
      <c r="B237" s="2735" t="str">
        <f>'8.Human Resources (SD) Annex'!B168</f>
        <v>A.3.5.3</v>
      </c>
      <c r="C237" s="1861" t="str">
        <f>'8.Human Resources (SD) Annex'!C168</f>
        <v>Performance reward if any</v>
      </c>
      <c r="D237" s="1862" t="str">
        <f>'8.Human Resources (SD) Annex'!D168</f>
        <v>RCH</v>
      </c>
      <c r="E237" s="1862" t="str">
        <f>'8.Human Resources (SD) Annex'!E168</f>
        <v>FP</v>
      </c>
      <c r="F237" s="1862">
        <f>'8.Human Resources (SD) Annex'!F168</f>
        <v>0</v>
      </c>
      <c r="G237" s="1862">
        <f>'8.Human Resources (SD) Annex'!G168</f>
        <v>0</v>
      </c>
      <c r="H237" s="1862">
        <f>'8.Human Resources (SD) Annex'!H168</f>
        <v>0</v>
      </c>
      <c r="I237" s="1862">
        <f>'8.Human Resources (SD) Annex'!I168</f>
        <v>0</v>
      </c>
      <c r="J237" s="1862">
        <f>'8.Human Resources (SD) Annex'!J168</f>
        <v>0</v>
      </c>
      <c r="K237" s="1862">
        <f>'8.Human Resources (SD) Annex'!K168</f>
        <v>0</v>
      </c>
      <c r="L237" s="962">
        <f>'8.Human Resources (SD) Annex'!L168</f>
        <v>300000</v>
      </c>
      <c r="M237" s="1862">
        <f>'8.Human Resources (SD) Annex'!M168</f>
        <v>3</v>
      </c>
      <c r="N237" s="1862">
        <f>'8.Human Resources (SD) Annex'!N168</f>
        <v>2</v>
      </c>
      <c r="O237" s="962">
        <f>'8.Human Resources (SD) Annex'!O168</f>
        <v>6</v>
      </c>
      <c r="P237" s="2735" t="str">
        <f>'8.Human Resources (SD) Annex'!P168</f>
        <v>PBIs for 4 HPDs in the state have been notified vide Letter No. HFW-H/NHM/PBI/2015-16 dated 18.9.2015 and 27.12.2017. Demand is being received for PBI for SNCU at MC Nahan and MC Chamba as they are not in the list of notified FRUs getting incentive for SNCUs.</v>
      </c>
      <c r="Q237" s="2771" t="s">
        <v>5873</v>
      </c>
      <c r="R237" s="2729">
        <v>6</v>
      </c>
    </row>
    <row r="238" spans="1:18" s="861" customFormat="1" ht="30">
      <c r="A238" s="2735" t="str">
        <f>'8.Human Resources (SD) Annex'!A169</f>
        <v>8.4.6</v>
      </c>
      <c r="B238" s="2735" t="str">
        <f>'8.Human Resources (SD) Annex'!B169</f>
        <v>A.3.2.2</v>
      </c>
      <c r="C238" s="1861" t="str">
        <f>'8.Human Resources (SD) Annex'!C169</f>
        <v>Incentive to provider for IUCD insertion at health facilities (including fixed day services at SHC and PHC) [Provide breakup: Public Sector]</v>
      </c>
      <c r="D238" s="1862" t="str">
        <f>'8.Human Resources (SD) Annex'!D169</f>
        <v>RCH</v>
      </c>
      <c r="E238" s="1862" t="str">
        <f>'8.Human Resources (SD) Annex'!E169</f>
        <v>FP</v>
      </c>
      <c r="F238" s="1862">
        <f>'8.Human Resources (SD) Annex'!F169</f>
        <v>0</v>
      </c>
      <c r="G238" s="1862">
        <f>'8.Human Resources (SD) Annex'!G169</f>
        <v>0</v>
      </c>
      <c r="H238" s="1862">
        <f>'8.Human Resources (SD) Annex'!H169</f>
        <v>0</v>
      </c>
      <c r="I238" s="1862">
        <f>'8.Human Resources (SD) Annex'!I169</f>
        <v>0</v>
      </c>
      <c r="J238" s="1862">
        <f>'8.Human Resources (SD) Annex'!J169</f>
        <v>0</v>
      </c>
      <c r="K238" s="1862">
        <f>'8.Human Resources (SD) Annex'!K169</f>
        <v>0</v>
      </c>
      <c r="L238" s="962">
        <f>'8.Human Resources (SD) Annex'!L169</f>
        <v>0</v>
      </c>
      <c r="M238" s="1862">
        <f>'8.Human Resources (SD) Annex'!M169</f>
        <v>0</v>
      </c>
      <c r="N238" s="1862">
        <f>'8.Human Resources (SD) Annex'!N169</f>
        <v>0</v>
      </c>
      <c r="O238" s="962">
        <f>'8.Human Resources (SD) Annex'!O169</f>
        <v>0</v>
      </c>
      <c r="P238" s="2735" t="str">
        <f>'8.Human Resources (SD) Annex'!P169</f>
        <v>Already buildup in FMR 1.2.2.2.1</v>
      </c>
      <c r="Q238" s="2018" t="s">
        <v>5607</v>
      </c>
      <c r="R238" s="2729">
        <v>0</v>
      </c>
    </row>
    <row r="239" spans="1:18" s="861" customFormat="1" ht="75">
      <c r="A239" s="2735" t="str">
        <f>'8.Human Resources (SD) Annex'!A170</f>
        <v>8.4.7</v>
      </c>
      <c r="B239" s="2735" t="str">
        <f>'8.Human Resources (SD) Annex'!B170</f>
        <v>A.3.2.3</v>
      </c>
      <c r="C239" s="1861" t="str">
        <f>'8.Human Resources (SD) Annex'!C170</f>
        <v>Incentive to provider for PPIUCD services</v>
      </c>
      <c r="D239" s="1862" t="str">
        <f>'8.Human Resources (SD) Annex'!D170</f>
        <v>RCH</v>
      </c>
      <c r="E239" s="1862" t="str">
        <f>'8.Human Resources (SD) Annex'!E170</f>
        <v>FP</v>
      </c>
      <c r="F239" s="1862">
        <f>'8.Human Resources (SD) Annex'!F170</f>
        <v>5000</v>
      </c>
      <c r="G239" s="1862">
        <f>'8.Human Resources (SD) Annex'!G170</f>
        <v>0</v>
      </c>
      <c r="H239" s="1862">
        <f>'8.Human Resources (SD) Annex'!H170</f>
        <v>7.5</v>
      </c>
      <c r="I239" s="1862">
        <f>'8.Human Resources (SD) Annex'!I170</f>
        <v>0.87</v>
      </c>
      <c r="J239" s="1862">
        <f>'8.Human Resources (SD) Annex'!J170</f>
        <v>6.63</v>
      </c>
      <c r="K239" s="1862">
        <f>'8.Human Resources (SD) Annex'!K170</f>
        <v>1</v>
      </c>
      <c r="L239" s="962">
        <f>'8.Human Resources (SD) Annex'!L170</f>
        <v>150</v>
      </c>
      <c r="M239" s="1862">
        <f>'8.Human Resources (SD) Annex'!M170</f>
        <v>1.5E-3</v>
      </c>
      <c r="N239" s="1862">
        <f>'8.Human Resources (SD) Annex'!N170</f>
        <v>5000</v>
      </c>
      <c r="O239" s="962">
        <f>'8.Human Resources (SD) Annex'!O170</f>
        <v>7.5</v>
      </c>
      <c r="P239" s="2735" t="str">
        <f>'8.Human Resources (SD) Annex'!P170</f>
        <v>Funds udner this head has been proposed for incentive to provider for PPIUCD services for expected 5000 PPIUCD insertions @Rs.150 per insertion</v>
      </c>
      <c r="Q239" s="2018" t="s">
        <v>5608</v>
      </c>
      <c r="R239" s="2728">
        <f>5000*150/100000</f>
        <v>7.5</v>
      </c>
    </row>
    <row r="240" spans="1:18" s="861" customFormat="1" ht="75">
      <c r="A240" s="2735" t="str">
        <f>'8.Human Resources (SD) Annex'!A171</f>
        <v>8.4.8</v>
      </c>
      <c r="B240" s="2735" t="str">
        <f>'8.Human Resources (SD) Annex'!B171</f>
        <v>A.3.2.4</v>
      </c>
      <c r="C240" s="1861" t="str">
        <f>'8.Human Resources (SD) Annex'!C171</f>
        <v>Incentive to provider for PAIUCD Services</v>
      </c>
      <c r="D240" s="1862" t="str">
        <f>'8.Human Resources (SD) Annex'!D171</f>
        <v>RCH</v>
      </c>
      <c r="E240" s="1862" t="str">
        <f>'8.Human Resources (SD) Annex'!E171</f>
        <v>FP</v>
      </c>
      <c r="F240" s="1862">
        <f>'8.Human Resources (SD) Annex'!F171</f>
        <v>500</v>
      </c>
      <c r="G240" s="1862">
        <f>'8.Human Resources (SD) Annex'!G171</f>
        <v>0</v>
      </c>
      <c r="H240" s="1862">
        <f>'8.Human Resources (SD) Annex'!H171</f>
        <v>0.75</v>
      </c>
      <c r="I240" s="1862">
        <f>'8.Human Resources (SD) Annex'!I171</f>
        <v>0.01</v>
      </c>
      <c r="J240" s="1862">
        <f>'8.Human Resources (SD) Annex'!J171</f>
        <v>0.74</v>
      </c>
      <c r="K240" s="1862">
        <f>'8.Human Resources (SD) Annex'!K171</f>
        <v>1</v>
      </c>
      <c r="L240" s="962">
        <f>'8.Human Resources (SD) Annex'!L171</f>
        <v>150</v>
      </c>
      <c r="M240" s="1862">
        <f>'8.Human Resources (SD) Annex'!M171</f>
        <v>1.5E-3</v>
      </c>
      <c r="N240" s="1862">
        <f>'8.Human Resources (SD) Annex'!N171</f>
        <v>500</v>
      </c>
      <c r="O240" s="962">
        <f>'8.Human Resources (SD) Annex'!O171</f>
        <v>0.75</v>
      </c>
      <c r="P240" s="2735" t="str">
        <f>'8.Human Resources (SD) Annex'!P171</f>
        <v>Funds udner this head has been proposed for incentive to provider for PAIUCD services for expected 5000 PAIUCD insertions @Rs.150 per insertion</v>
      </c>
      <c r="Q240" s="2018" t="s">
        <v>5610</v>
      </c>
      <c r="R240" s="2728">
        <f>500*150/100000</f>
        <v>0.75</v>
      </c>
    </row>
    <row r="241" spans="1:18" s="861" customFormat="1">
      <c r="A241" s="1858">
        <f>'9.Training Annex'!A7</f>
        <v>9</v>
      </c>
      <c r="B241" s="1858"/>
      <c r="C241" s="1859" t="str">
        <f>'9.Training Annex'!C7</f>
        <v>Training and Capacity Building</v>
      </c>
      <c r="D241" s="1860"/>
      <c r="E241" s="1860"/>
      <c r="F241" s="1860"/>
      <c r="G241" s="1860"/>
      <c r="H241" s="1860"/>
      <c r="I241" s="1860"/>
      <c r="J241" s="1860"/>
      <c r="K241" s="1860"/>
      <c r="L241" s="994"/>
      <c r="M241" s="1860"/>
      <c r="N241" s="1860"/>
      <c r="O241" s="994">
        <f>SUM(O242:O269)</f>
        <v>7.5992499999999996</v>
      </c>
      <c r="P241" s="1858"/>
      <c r="Q241" s="2745"/>
      <c r="R241" s="2746">
        <f>SUM(R242:R269)</f>
        <v>4.12</v>
      </c>
    </row>
    <row r="242" spans="1:18" s="861" customFormat="1">
      <c r="A242" s="2735" t="str">
        <f>'9.Training Annex'!A23</f>
        <v>9.2.1.3</v>
      </c>
      <c r="B242" s="2735" t="str">
        <f>'9-A.Training Sub-Annex'!B82</f>
        <v>A.9.6.8</v>
      </c>
      <c r="C242" s="1861" t="str">
        <f>'9-A.Training Sub-Annex'!C82</f>
        <v>Training / Orientation technical manuals</v>
      </c>
      <c r="D242" s="1862" t="str">
        <f>'9-A.Training Sub-Annex'!D82</f>
        <v>RCH</v>
      </c>
      <c r="E242" s="1862" t="str">
        <f>'9-A.Training Sub-Annex'!E82</f>
        <v>FP</v>
      </c>
      <c r="F242" s="1862">
        <f>'9-A.Training Sub-Annex'!F82</f>
        <v>0</v>
      </c>
      <c r="G242" s="1862">
        <f>'9-A.Training Sub-Annex'!G82</f>
        <v>0</v>
      </c>
      <c r="H242" s="1862">
        <f>'9-A.Training Sub-Annex'!H82</f>
        <v>0</v>
      </c>
      <c r="I242" s="1862">
        <f>'9-A.Training Sub-Annex'!I82</f>
        <v>0</v>
      </c>
      <c r="J242" s="1862">
        <f>'9-A.Training Sub-Annex'!J82</f>
        <v>0</v>
      </c>
      <c r="K242" s="1862">
        <f>'9-A.Training Sub-Annex'!K82</f>
        <v>0</v>
      </c>
      <c r="L242" s="962">
        <f>'9-A.Training Sub-Annex'!L82</f>
        <v>0</v>
      </c>
      <c r="M242" s="1862">
        <f>'9-A.Training Sub-Annex'!M82</f>
        <v>0</v>
      </c>
      <c r="N242" s="1862">
        <f>'9-A.Training Sub-Annex'!N82</f>
        <v>0</v>
      </c>
      <c r="O242" s="962">
        <f>'9-A.Training Sub-Annex'!O82</f>
        <v>0</v>
      </c>
      <c r="P242" s="2735">
        <f>'9-A.Training Sub-Annex'!P82</f>
        <v>0</v>
      </c>
      <c r="Q242" s="2772" t="s">
        <v>5520</v>
      </c>
      <c r="R242" s="2729">
        <v>0</v>
      </c>
    </row>
    <row r="243" spans="1:18" s="861" customFormat="1" ht="135">
      <c r="A243" s="2735"/>
      <c r="B243" s="2735" t="str">
        <f>'9-A.Training Sub-Annex'!B83</f>
        <v>A.3.2.6</v>
      </c>
      <c r="C243" s="1861" t="str">
        <f>'9-A.Training Sub-Annex'!C83</f>
        <v xml:space="preserve">Orientation/review  of ANM/AWW (as applicable) for New schemes, FP-LMIS, new contraceptives, Post partum and post abortion Family Planning, Scheme for home delivery of contraceptives (HDC), Ensuring spacing at birth (ESB {wherever applicable}), Pregnancy Testing Kits (PTK) </v>
      </c>
      <c r="D243" s="1862" t="str">
        <f>'9-A.Training Sub-Annex'!D83</f>
        <v>RCH</v>
      </c>
      <c r="E243" s="1862" t="str">
        <f>'9-A.Training Sub-Annex'!E83</f>
        <v>FP</v>
      </c>
      <c r="F243" s="1862">
        <f>'9-A.Training Sub-Annex'!F83</f>
        <v>10</v>
      </c>
      <c r="G243" s="1862">
        <f>'9-A.Training Sub-Annex'!G83</f>
        <v>0</v>
      </c>
      <c r="H243" s="1862">
        <f>'9-A.Training Sub-Annex'!H83</f>
        <v>6.24</v>
      </c>
      <c r="I243" s="1862">
        <f>'9-A.Training Sub-Annex'!I83</f>
        <v>0</v>
      </c>
      <c r="J243" s="1862">
        <f>'9-A.Training Sub-Annex'!J83</f>
        <v>0</v>
      </c>
      <c r="K243" s="1862">
        <f>'9-A.Training Sub-Annex'!K83</f>
        <v>1</v>
      </c>
      <c r="L243" s="962">
        <f>'9-A.Training Sub-Annex'!L83</f>
        <v>62445</v>
      </c>
      <c r="M243" s="1862">
        <f>'9-A.Training Sub-Annex'!M83</f>
        <v>0.62444999999999995</v>
      </c>
      <c r="N243" s="1862">
        <f>'9-A.Training Sub-Annex'!N83</f>
        <v>5</v>
      </c>
      <c r="O243" s="962">
        <f>'9-A.Training Sub-Annex'!O83</f>
        <v>3.1222499999999997</v>
      </c>
      <c r="P243" s="2735" t="str">
        <f>'9-A.Training Sub-Annex'!P83</f>
        <v xml:space="preserve">Funds under this head has been proposed for orientation/review of ANM/AWW (as applicable) for new schemes, FP-LMIS, new contraceptives, Post Partum and post abortion Family Planning, Scheme for home delivery of contraceptives, ensuring spacing at birth, Pregnancy Testing Kits as per NHM norms </v>
      </c>
      <c r="Q243" s="2018" t="s">
        <v>5609</v>
      </c>
      <c r="R243" s="2728">
        <f>62400*5/100000</f>
        <v>3.12</v>
      </c>
    </row>
    <row r="244" spans="1:18" s="861" customFormat="1">
      <c r="A244" s="2735"/>
      <c r="B244" s="2735" t="str">
        <f>'9-A.Training Sub-Annex'!B84</f>
        <v>A.3.2.7</v>
      </c>
      <c r="C244" s="1861" t="str">
        <f>'9-A.Training Sub-Annex'!C84</f>
        <v>Dissemination of FP manuals and guidelines (workshops only)</v>
      </c>
      <c r="D244" s="1862" t="str">
        <f>'9-A.Training Sub-Annex'!D84</f>
        <v>RCH</v>
      </c>
      <c r="E244" s="1862" t="str">
        <f>'9-A.Training Sub-Annex'!E84</f>
        <v>FP</v>
      </c>
      <c r="F244" s="1862">
        <f>'9-A.Training Sub-Annex'!F84</f>
        <v>43700</v>
      </c>
      <c r="G244" s="1862">
        <f>'9-A.Training Sub-Annex'!G84</f>
        <v>0</v>
      </c>
      <c r="H244" s="1862">
        <f>'9-A.Training Sub-Annex'!H84</f>
        <v>0.44</v>
      </c>
      <c r="I244" s="1862">
        <f>'9-A.Training Sub-Annex'!I84</f>
        <v>0</v>
      </c>
      <c r="J244" s="1862">
        <f>'9-A.Training Sub-Annex'!J84</f>
        <v>0</v>
      </c>
      <c r="K244" s="1862">
        <f>'9-A.Training Sub-Annex'!K84</f>
        <v>0</v>
      </c>
      <c r="L244" s="962">
        <f>'9-A.Training Sub-Annex'!L84</f>
        <v>0</v>
      </c>
      <c r="M244" s="1862">
        <f>'9-A.Training Sub-Annex'!M84</f>
        <v>0</v>
      </c>
      <c r="N244" s="1862">
        <f>'9-A.Training Sub-Annex'!N84</f>
        <v>0</v>
      </c>
      <c r="O244" s="962">
        <f>'9-A.Training Sub-Annex'!O84</f>
        <v>0</v>
      </c>
      <c r="P244" s="2735">
        <f>'9-A.Training Sub-Annex'!P84</f>
        <v>0</v>
      </c>
      <c r="Q244" s="2772" t="s">
        <v>5520</v>
      </c>
      <c r="R244" s="2729">
        <v>0</v>
      </c>
    </row>
    <row r="245" spans="1:18" s="861" customFormat="1">
      <c r="A245" s="2735"/>
      <c r="B245" s="2735" t="str">
        <f>'9-A.Training Sub-Annex'!B85</f>
        <v>A.9.6.1.1</v>
      </c>
      <c r="C245" s="1861" t="str">
        <f>'9-A.Training Sub-Annex'!C85</f>
        <v>TOT on laparoscopic sterilization</v>
      </c>
      <c r="D245" s="1862" t="str">
        <f>'9-A.Training Sub-Annex'!D85</f>
        <v>RCH</v>
      </c>
      <c r="E245" s="1862" t="str">
        <f>'9-A.Training Sub-Annex'!E85</f>
        <v>FP</v>
      </c>
      <c r="F245" s="1862">
        <f>'9-A.Training Sub-Annex'!F85</f>
        <v>0</v>
      </c>
      <c r="G245" s="1862">
        <f>'9-A.Training Sub-Annex'!G85</f>
        <v>0</v>
      </c>
      <c r="H245" s="1862">
        <f>'9-A.Training Sub-Annex'!H85</f>
        <v>0</v>
      </c>
      <c r="I245" s="1862">
        <f>'9-A.Training Sub-Annex'!I85</f>
        <v>0</v>
      </c>
      <c r="J245" s="1862">
        <f>'9-A.Training Sub-Annex'!J85</f>
        <v>0</v>
      </c>
      <c r="K245" s="1862">
        <f>'9-A.Training Sub-Annex'!K85</f>
        <v>0</v>
      </c>
      <c r="L245" s="962">
        <f>'9-A.Training Sub-Annex'!L85</f>
        <v>0</v>
      </c>
      <c r="M245" s="1862">
        <f>'9-A.Training Sub-Annex'!M85</f>
        <v>0</v>
      </c>
      <c r="N245" s="1862">
        <f>'9-A.Training Sub-Annex'!N85</f>
        <v>0</v>
      </c>
      <c r="O245" s="962">
        <f>'9-A.Training Sub-Annex'!O85</f>
        <v>0</v>
      </c>
      <c r="P245" s="2735">
        <f>'9-A.Training Sub-Annex'!P85</f>
        <v>0</v>
      </c>
      <c r="Q245" s="2772" t="s">
        <v>5520</v>
      </c>
      <c r="R245" s="2729">
        <v>0</v>
      </c>
    </row>
    <row r="246" spans="1:18" s="861" customFormat="1" ht="30">
      <c r="A246" s="2735"/>
      <c r="B246" s="2735" t="str">
        <f>'9-A.Training Sub-Annex'!B86</f>
        <v>A.9.6.1.2</v>
      </c>
      <c r="C246" s="1861" t="str">
        <f>'9-A.Training Sub-Annex'!C86</f>
        <v>Laparoscopic sterilization training for doctors (teams of doctor, SN and OT assistant)</v>
      </c>
      <c r="D246" s="1862" t="str">
        <f>'9-A.Training Sub-Annex'!D86</f>
        <v>RCH</v>
      </c>
      <c r="E246" s="1862" t="str">
        <f>'9-A.Training Sub-Annex'!E86</f>
        <v>FP</v>
      </c>
      <c r="F246" s="1862">
        <f>'9-A.Training Sub-Annex'!F86</f>
        <v>0</v>
      </c>
      <c r="G246" s="1862">
        <f>'9-A.Training Sub-Annex'!G86</f>
        <v>0</v>
      </c>
      <c r="H246" s="1862">
        <f>'9-A.Training Sub-Annex'!H86</f>
        <v>0</v>
      </c>
      <c r="I246" s="1862">
        <f>'9-A.Training Sub-Annex'!I86</f>
        <v>0</v>
      </c>
      <c r="J246" s="1862">
        <f>'9-A.Training Sub-Annex'!J86</f>
        <v>0</v>
      </c>
      <c r="K246" s="1862">
        <f>'9-A.Training Sub-Annex'!K86</f>
        <v>0</v>
      </c>
      <c r="L246" s="962">
        <f>'9-A.Training Sub-Annex'!L86</f>
        <v>0</v>
      </c>
      <c r="M246" s="1862">
        <f>'9-A.Training Sub-Annex'!M86</f>
        <v>0</v>
      </c>
      <c r="N246" s="1862">
        <f>'9-A.Training Sub-Annex'!N86</f>
        <v>0</v>
      </c>
      <c r="O246" s="962">
        <f>'9-A.Training Sub-Annex'!O86</f>
        <v>0</v>
      </c>
      <c r="P246" s="2735">
        <f>'9-A.Training Sub-Annex'!P86</f>
        <v>0</v>
      </c>
      <c r="Q246" s="2772" t="s">
        <v>5520</v>
      </c>
      <c r="R246" s="2729">
        <v>0</v>
      </c>
    </row>
    <row r="247" spans="1:18" s="861" customFormat="1" ht="60">
      <c r="A247" s="2735"/>
      <c r="B247" s="2735" t="str">
        <f>'9-A.Training Sub-Annex'!B87</f>
        <v>A.9.6.1.3</v>
      </c>
      <c r="C247" s="1861" t="str">
        <f>'9-A.Training Sub-Annex'!C87</f>
        <v>Refresher training on laparoscopic sterilization</v>
      </c>
      <c r="D247" s="1862" t="str">
        <f>'9-A.Training Sub-Annex'!D87</f>
        <v>RCH</v>
      </c>
      <c r="E247" s="1862" t="str">
        <f>'9-A.Training Sub-Annex'!E87</f>
        <v>FP</v>
      </c>
      <c r="F247" s="1862">
        <f>'9-A.Training Sub-Annex'!F87</f>
        <v>0</v>
      </c>
      <c r="G247" s="1862">
        <f>'9-A.Training Sub-Annex'!G87</f>
        <v>0</v>
      </c>
      <c r="H247" s="1862">
        <f>'9-A.Training Sub-Annex'!H87</f>
        <v>0</v>
      </c>
      <c r="I247" s="1862">
        <f>'9-A.Training Sub-Annex'!I87</f>
        <v>0</v>
      </c>
      <c r="J247" s="1862">
        <f>'9-A.Training Sub-Annex'!J87</f>
        <v>0</v>
      </c>
      <c r="K247" s="1862">
        <f>'9-A.Training Sub-Annex'!K87</f>
        <v>1</v>
      </c>
      <c r="L247" s="962">
        <f>'9-A.Training Sub-Annex'!L87</f>
        <v>223850</v>
      </c>
      <c r="M247" s="1862">
        <f>'9-A.Training Sub-Annex'!M87</f>
        <v>2.2385000000000002</v>
      </c>
      <c r="N247" s="1862">
        <f>'9-A.Training Sub-Annex'!N87</f>
        <v>2</v>
      </c>
      <c r="O247" s="962">
        <f>'9-A.Training Sub-Annex'!O87</f>
        <v>4.4770000000000003</v>
      </c>
      <c r="P247" s="2735" t="str">
        <f>'9-A.Training Sub-Annex'!P87</f>
        <v>Funds under this head has been proposed for Refresher training on laparoscopic sterilization  for 2 batches for 3 days @Rs. 223850 each</v>
      </c>
      <c r="Q247" s="2018" t="s">
        <v>5611</v>
      </c>
      <c r="R247" s="2728">
        <f>50000*2/100000</f>
        <v>1</v>
      </c>
    </row>
    <row r="248" spans="1:18" s="861" customFormat="1">
      <c r="A248" s="2735"/>
      <c r="B248" s="2735" t="str">
        <f>'9-A.Training Sub-Annex'!B88</f>
        <v>A.9.6.2.1</v>
      </c>
      <c r="C248" s="1861" t="str">
        <f>'9-A.Training Sub-Annex'!C88</f>
        <v>TOT on Minilap</v>
      </c>
      <c r="D248" s="1862" t="str">
        <f>'9-A.Training Sub-Annex'!D88</f>
        <v>RCH</v>
      </c>
      <c r="E248" s="1862" t="str">
        <f>'9-A.Training Sub-Annex'!E88</f>
        <v>FP</v>
      </c>
      <c r="F248" s="1862">
        <f>'9-A.Training Sub-Annex'!F88</f>
        <v>0</v>
      </c>
      <c r="G248" s="1862">
        <f>'9-A.Training Sub-Annex'!G88</f>
        <v>0</v>
      </c>
      <c r="H248" s="1862">
        <f>'9-A.Training Sub-Annex'!H88</f>
        <v>0</v>
      </c>
      <c r="I248" s="1862">
        <f>'9-A.Training Sub-Annex'!I88</f>
        <v>0</v>
      </c>
      <c r="J248" s="1862">
        <f>'9-A.Training Sub-Annex'!J88</f>
        <v>0</v>
      </c>
      <c r="K248" s="1862">
        <f>'9-A.Training Sub-Annex'!K88</f>
        <v>0</v>
      </c>
      <c r="L248" s="962">
        <f>'9-A.Training Sub-Annex'!L88</f>
        <v>0</v>
      </c>
      <c r="M248" s="1862">
        <f>'9-A.Training Sub-Annex'!M88</f>
        <v>0</v>
      </c>
      <c r="N248" s="1862">
        <f>'9-A.Training Sub-Annex'!N88</f>
        <v>0</v>
      </c>
      <c r="O248" s="962">
        <f>'9-A.Training Sub-Annex'!O88</f>
        <v>0</v>
      </c>
      <c r="P248" s="2735">
        <f>'9-A.Training Sub-Annex'!P88</f>
        <v>0</v>
      </c>
      <c r="Q248" s="2772" t="s">
        <v>5520</v>
      </c>
      <c r="R248" s="2729">
        <v>0</v>
      </c>
    </row>
    <row r="249" spans="1:18" s="861" customFormat="1">
      <c r="A249" s="2735"/>
      <c r="B249" s="2735" t="str">
        <f>'9-A.Training Sub-Annex'!B89</f>
        <v>A.9.6.2.2</v>
      </c>
      <c r="C249" s="1861" t="str">
        <f>'9-A.Training Sub-Annex'!C89</f>
        <v>Minilap training for medical officers</v>
      </c>
      <c r="D249" s="1862" t="str">
        <f>'9-A.Training Sub-Annex'!D89</f>
        <v>RCH</v>
      </c>
      <c r="E249" s="1862" t="str">
        <f>'9-A.Training Sub-Annex'!E89</f>
        <v>FP</v>
      </c>
      <c r="F249" s="1862">
        <f>'9-A.Training Sub-Annex'!F89</f>
        <v>0</v>
      </c>
      <c r="G249" s="1862">
        <f>'9-A.Training Sub-Annex'!G89</f>
        <v>0</v>
      </c>
      <c r="H249" s="1862">
        <f>'9-A.Training Sub-Annex'!H89</f>
        <v>0</v>
      </c>
      <c r="I249" s="1862">
        <f>'9-A.Training Sub-Annex'!I89</f>
        <v>0</v>
      </c>
      <c r="J249" s="1862">
        <f>'9-A.Training Sub-Annex'!J89</f>
        <v>0</v>
      </c>
      <c r="K249" s="1862">
        <f>'9-A.Training Sub-Annex'!K89</f>
        <v>0</v>
      </c>
      <c r="L249" s="962">
        <f>'9-A.Training Sub-Annex'!L89</f>
        <v>0</v>
      </c>
      <c r="M249" s="1862">
        <f>'9-A.Training Sub-Annex'!M89</f>
        <v>0</v>
      </c>
      <c r="N249" s="1862">
        <f>'9-A.Training Sub-Annex'!N89</f>
        <v>0</v>
      </c>
      <c r="O249" s="962">
        <f>'9-A.Training Sub-Annex'!O89</f>
        <v>0</v>
      </c>
      <c r="P249" s="2735">
        <f>'9-A.Training Sub-Annex'!P89</f>
        <v>0</v>
      </c>
      <c r="Q249" s="2772" t="s">
        <v>5520</v>
      </c>
      <c r="R249" s="2729">
        <v>0</v>
      </c>
    </row>
    <row r="250" spans="1:18" s="861" customFormat="1">
      <c r="A250" s="2735"/>
      <c r="B250" s="2735" t="str">
        <f>'9-A.Training Sub-Annex'!B90</f>
        <v>A.9.6.2.3</v>
      </c>
      <c r="C250" s="1861" t="str">
        <f>'9-A.Training Sub-Annex'!C90</f>
        <v>Refresher training on Minilap sterilization</v>
      </c>
      <c r="D250" s="1862" t="str">
        <f>'9-A.Training Sub-Annex'!D90</f>
        <v>RCH</v>
      </c>
      <c r="E250" s="1862" t="str">
        <f>'9-A.Training Sub-Annex'!E90</f>
        <v>FP</v>
      </c>
      <c r="F250" s="1862">
        <f>'9-A.Training Sub-Annex'!F90</f>
        <v>0</v>
      </c>
      <c r="G250" s="1862">
        <f>'9-A.Training Sub-Annex'!G90</f>
        <v>0</v>
      </c>
      <c r="H250" s="1862">
        <f>'9-A.Training Sub-Annex'!H90</f>
        <v>0</v>
      </c>
      <c r="I250" s="1862">
        <f>'9-A.Training Sub-Annex'!I90</f>
        <v>0</v>
      </c>
      <c r="J250" s="1862">
        <f>'9-A.Training Sub-Annex'!J90</f>
        <v>0</v>
      </c>
      <c r="K250" s="1862">
        <f>'9-A.Training Sub-Annex'!K90</f>
        <v>0</v>
      </c>
      <c r="L250" s="962">
        <f>'9-A.Training Sub-Annex'!L90</f>
        <v>0</v>
      </c>
      <c r="M250" s="1862">
        <f>'9-A.Training Sub-Annex'!M90</f>
        <v>0</v>
      </c>
      <c r="N250" s="1862">
        <f>'9-A.Training Sub-Annex'!N90</f>
        <v>0</v>
      </c>
      <c r="O250" s="962">
        <f>'9-A.Training Sub-Annex'!O90</f>
        <v>0</v>
      </c>
      <c r="P250" s="2735">
        <f>'9-A.Training Sub-Annex'!P90</f>
        <v>0</v>
      </c>
      <c r="Q250" s="2772" t="s">
        <v>5520</v>
      </c>
      <c r="R250" s="2729">
        <v>0</v>
      </c>
    </row>
    <row r="251" spans="1:18" s="861" customFormat="1">
      <c r="A251" s="2735"/>
      <c r="B251" s="2735" t="str">
        <f>'9-A.Training Sub-Annex'!B91</f>
        <v>A.9.6.3.1</v>
      </c>
      <c r="C251" s="1861" t="str">
        <f>'9-A.Training Sub-Annex'!C91</f>
        <v>TOT on NSV</v>
      </c>
      <c r="D251" s="1862" t="str">
        <f>'9-A.Training Sub-Annex'!D91</f>
        <v>RCH</v>
      </c>
      <c r="E251" s="1862" t="str">
        <f>'9-A.Training Sub-Annex'!E91</f>
        <v>FP</v>
      </c>
      <c r="F251" s="1862">
        <f>'9-A.Training Sub-Annex'!F91</f>
        <v>0</v>
      </c>
      <c r="G251" s="1862">
        <f>'9-A.Training Sub-Annex'!G91</f>
        <v>0</v>
      </c>
      <c r="H251" s="1862">
        <f>'9-A.Training Sub-Annex'!H91</f>
        <v>0</v>
      </c>
      <c r="I251" s="1862">
        <f>'9-A.Training Sub-Annex'!I91</f>
        <v>0</v>
      </c>
      <c r="J251" s="1862">
        <f>'9-A.Training Sub-Annex'!J91</f>
        <v>0</v>
      </c>
      <c r="K251" s="1862">
        <f>'9-A.Training Sub-Annex'!K91</f>
        <v>0</v>
      </c>
      <c r="L251" s="962">
        <f>'9-A.Training Sub-Annex'!L91</f>
        <v>0</v>
      </c>
      <c r="M251" s="1862">
        <f>'9-A.Training Sub-Annex'!M91</f>
        <v>0</v>
      </c>
      <c r="N251" s="1862">
        <f>'9-A.Training Sub-Annex'!N91</f>
        <v>0</v>
      </c>
      <c r="O251" s="962">
        <f>'9-A.Training Sub-Annex'!O91</f>
        <v>0</v>
      </c>
      <c r="P251" s="2735">
        <f>'9-A.Training Sub-Annex'!P91</f>
        <v>0</v>
      </c>
      <c r="Q251" s="2772" t="s">
        <v>5520</v>
      </c>
      <c r="R251" s="2729">
        <v>0</v>
      </c>
    </row>
    <row r="252" spans="1:18" s="861" customFormat="1">
      <c r="A252" s="2735"/>
      <c r="B252" s="2735" t="str">
        <f>'9-A.Training Sub-Annex'!B92</f>
        <v>A.9.6.3.3</v>
      </c>
      <c r="C252" s="1861" t="str">
        <f>'9-A.Training Sub-Annex'!C92</f>
        <v>Refresher training on NSV sterilization</v>
      </c>
      <c r="D252" s="1862" t="str">
        <f>'9-A.Training Sub-Annex'!D92</f>
        <v>RCH</v>
      </c>
      <c r="E252" s="1862" t="str">
        <f>'9-A.Training Sub-Annex'!E92</f>
        <v>FP</v>
      </c>
      <c r="F252" s="1862">
        <f>'9-A.Training Sub-Annex'!F92</f>
        <v>0</v>
      </c>
      <c r="G252" s="1862">
        <f>'9-A.Training Sub-Annex'!G92</f>
        <v>0</v>
      </c>
      <c r="H252" s="1862">
        <f>'9-A.Training Sub-Annex'!H92</f>
        <v>0</v>
      </c>
      <c r="I252" s="1862">
        <f>'9-A.Training Sub-Annex'!I92</f>
        <v>0</v>
      </c>
      <c r="J252" s="1862">
        <f>'9-A.Training Sub-Annex'!J92</f>
        <v>0</v>
      </c>
      <c r="K252" s="1862">
        <f>'9-A.Training Sub-Annex'!K92</f>
        <v>0</v>
      </c>
      <c r="L252" s="962">
        <f>'9-A.Training Sub-Annex'!L92</f>
        <v>0</v>
      </c>
      <c r="M252" s="1862">
        <f>'9-A.Training Sub-Annex'!M92</f>
        <v>0</v>
      </c>
      <c r="N252" s="1862">
        <f>'9-A.Training Sub-Annex'!N92</f>
        <v>0</v>
      </c>
      <c r="O252" s="962">
        <f>'9-A.Training Sub-Annex'!O92</f>
        <v>0</v>
      </c>
      <c r="P252" s="2735">
        <f>'9-A.Training Sub-Annex'!P92</f>
        <v>0</v>
      </c>
      <c r="Q252" s="2772" t="s">
        <v>5520</v>
      </c>
      <c r="R252" s="2729">
        <v>0</v>
      </c>
    </row>
    <row r="253" spans="1:18" s="861" customFormat="1">
      <c r="A253" s="2735"/>
      <c r="B253" s="2735" t="str">
        <f>'9-A.Training Sub-Annex'!B93</f>
        <v>A.9.6.4.1</v>
      </c>
      <c r="C253" s="1861" t="str">
        <f>'9-A.Training Sub-Annex'!C93</f>
        <v>TOT (IUCD insertion training)</v>
      </c>
      <c r="D253" s="1862" t="str">
        <f>'9-A.Training Sub-Annex'!D93</f>
        <v>RCH</v>
      </c>
      <c r="E253" s="1862" t="str">
        <f>'9-A.Training Sub-Annex'!E93</f>
        <v>FP</v>
      </c>
      <c r="F253" s="1862">
        <f>'9-A.Training Sub-Annex'!F93</f>
        <v>0</v>
      </c>
      <c r="G253" s="1862">
        <f>'9-A.Training Sub-Annex'!G93</f>
        <v>0</v>
      </c>
      <c r="H253" s="1862">
        <f>'9-A.Training Sub-Annex'!H93</f>
        <v>0</v>
      </c>
      <c r="I253" s="1862">
        <f>'9-A.Training Sub-Annex'!I93</f>
        <v>0</v>
      </c>
      <c r="J253" s="1862">
        <f>'9-A.Training Sub-Annex'!J93</f>
        <v>0</v>
      </c>
      <c r="K253" s="1862">
        <f>'9-A.Training Sub-Annex'!K93</f>
        <v>0</v>
      </c>
      <c r="L253" s="962">
        <f>'9-A.Training Sub-Annex'!L93</f>
        <v>0</v>
      </c>
      <c r="M253" s="1862">
        <f>'9-A.Training Sub-Annex'!M93</f>
        <v>0</v>
      </c>
      <c r="N253" s="1862">
        <f>'9-A.Training Sub-Annex'!N93</f>
        <v>0</v>
      </c>
      <c r="O253" s="962">
        <f>'9-A.Training Sub-Annex'!O93</f>
        <v>0</v>
      </c>
      <c r="P253" s="2735">
        <f>'9-A.Training Sub-Annex'!P93</f>
        <v>0</v>
      </c>
      <c r="Q253" s="2772" t="s">
        <v>5520</v>
      </c>
      <c r="R253" s="2729">
        <v>0</v>
      </c>
    </row>
    <row r="254" spans="1:18" s="861" customFormat="1">
      <c r="A254" s="2735"/>
      <c r="B254" s="2735" t="str">
        <f>'9-A.Training Sub-Annex'!B94</f>
        <v>A.9.6.4.2</v>
      </c>
      <c r="C254" s="1861" t="str">
        <f>'9-A.Training Sub-Annex'!C94</f>
        <v>Training of Medical officers  (IUCD insertion training)</v>
      </c>
      <c r="D254" s="1862" t="str">
        <f>'9-A.Training Sub-Annex'!D94</f>
        <v>RCH</v>
      </c>
      <c r="E254" s="1862" t="str">
        <f>'9-A.Training Sub-Annex'!E94</f>
        <v>FP</v>
      </c>
      <c r="F254" s="1862">
        <f>'9-A.Training Sub-Annex'!F94</f>
        <v>0</v>
      </c>
      <c r="G254" s="1862">
        <f>'9-A.Training Sub-Annex'!G94</f>
        <v>0</v>
      </c>
      <c r="H254" s="1862">
        <f>'9-A.Training Sub-Annex'!H94</f>
        <v>0</v>
      </c>
      <c r="I254" s="1862">
        <f>'9-A.Training Sub-Annex'!I94</f>
        <v>0</v>
      </c>
      <c r="J254" s="1862">
        <f>'9-A.Training Sub-Annex'!J94</f>
        <v>0</v>
      </c>
      <c r="K254" s="1862">
        <f>'9-A.Training Sub-Annex'!K94</f>
        <v>0</v>
      </c>
      <c r="L254" s="962">
        <f>'9-A.Training Sub-Annex'!L94</f>
        <v>0</v>
      </c>
      <c r="M254" s="1862">
        <f>'9-A.Training Sub-Annex'!M94</f>
        <v>0</v>
      </c>
      <c r="N254" s="1862">
        <f>'9-A.Training Sub-Annex'!N94</f>
        <v>0</v>
      </c>
      <c r="O254" s="962">
        <f>'9-A.Training Sub-Annex'!O94</f>
        <v>0</v>
      </c>
      <c r="P254" s="2735">
        <f>'9-A.Training Sub-Annex'!P94</f>
        <v>0</v>
      </c>
      <c r="Q254" s="2772" t="s">
        <v>5520</v>
      </c>
      <c r="R254" s="2729">
        <v>0</v>
      </c>
    </row>
    <row r="255" spans="1:18" s="861" customFormat="1">
      <c r="A255" s="2735"/>
      <c r="B255" s="2735" t="str">
        <f>'9-A.Training Sub-Annex'!B95</f>
        <v>A.9.6.4.3</v>
      </c>
      <c r="C255" s="1861" t="str">
        <f>'9-A.Training Sub-Annex'!C95</f>
        <v>Training of AYUSH doctors  (IUCD insertion training)</v>
      </c>
      <c r="D255" s="1862" t="str">
        <f>'9-A.Training Sub-Annex'!D95</f>
        <v>RCH</v>
      </c>
      <c r="E255" s="1862" t="str">
        <f>'9-A.Training Sub-Annex'!E95</f>
        <v>FP</v>
      </c>
      <c r="F255" s="1862">
        <f>'9-A.Training Sub-Annex'!F95</f>
        <v>0</v>
      </c>
      <c r="G255" s="1862">
        <f>'9-A.Training Sub-Annex'!G95</f>
        <v>0</v>
      </c>
      <c r="H255" s="1862">
        <f>'9-A.Training Sub-Annex'!H95</f>
        <v>0</v>
      </c>
      <c r="I255" s="1862">
        <f>'9-A.Training Sub-Annex'!I95</f>
        <v>0</v>
      </c>
      <c r="J255" s="1862">
        <f>'9-A.Training Sub-Annex'!J95</f>
        <v>0</v>
      </c>
      <c r="K255" s="1862">
        <f>'9-A.Training Sub-Annex'!K95</f>
        <v>0</v>
      </c>
      <c r="L255" s="962">
        <f>'9-A.Training Sub-Annex'!L95</f>
        <v>0</v>
      </c>
      <c r="M255" s="1862">
        <f>'9-A.Training Sub-Annex'!M95</f>
        <v>0</v>
      </c>
      <c r="N255" s="1862">
        <f>'9-A.Training Sub-Annex'!N95</f>
        <v>0</v>
      </c>
      <c r="O255" s="962">
        <f>'9-A.Training Sub-Annex'!O95</f>
        <v>0</v>
      </c>
      <c r="P255" s="2735">
        <f>'9-A.Training Sub-Annex'!P95</f>
        <v>0</v>
      </c>
      <c r="Q255" s="2772" t="s">
        <v>5520</v>
      </c>
      <c r="R255" s="2729">
        <v>0</v>
      </c>
    </row>
    <row r="256" spans="1:18" s="861" customFormat="1">
      <c r="A256" s="2735"/>
      <c r="B256" s="2735" t="str">
        <f>'9-A.Training Sub-Annex'!B96</f>
        <v>A.9.6.4.4</v>
      </c>
      <c r="C256" s="1861" t="str">
        <f>'9-A.Training Sub-Annex'!C96</f>
        <v>Training of Nurses (Staff Nurse/LHV/ANM)  (IUCD insertion training)</v>
      </c>
      <c r="D256" s="1862" t="str">
        <f>'9-A.Training Sub-Annex'!D96</f>
        <v>RCH</v>
      </c>
      <c r="E256" s="1862" t="str">
        <f>'9-A.Training Sub-Annex'!E96</f>
        <v>FP</v>
      </c>
      <c r="F256" s="1862">
        <f>'9-A.Training Sub-Annex'!F96</f>
        <v>0</v>
      </c>
      <c r="G256" s="1862">
        <f>'9-A.Training Sub-Annex'!G96</f>
        <v>0</v>
      </c>
      <c r="H256" s="1862">
        <f>'9-A.Training Sub-Annex'!H96</f>
        <v>0</v>
      </c>
      <c r="I256" s="1862">
        <f>'9-A.Training Sub-Annex'!I96</f>
        <v>0</v>
      </c>
      <c r="J256" s="1862">
        <f>'9-A.Training Sub-Annex'!J96</f>
        <v>0</v>
      </c>
      <c r="K256" s="1862">
        <f>'9-A.Training Sub-Annex'!K96</f>
        <v>0</v>
      </c>
      <c r="L256" s="962">
        <f>'9-A.Training Sub-Annex'!L96</f>
        <v>0</v>
      </c>
      <c r="M256" s="1862">
        <f>'9-A.Training Sub-Annex'!M96</f>
        <v>0</v>
      </c>
      <c r="N256" s="1862">
        <f>'9-A.Training Sub-Annex'!N96</f>
        <v>0</v>
      </c>
      <c r="O256" s="962">
        <f>'9-A.Training Sub-Annex'!O96</f>
        <v>0</v>
      </c>
      <c r="P256" s="2735">
        <f>'9-A.Training Sub-Annex'!P96</f>
        <v>0</v>
      </c>
      <c r="Q256" s="2772" t="s">
        <v>5520</v>
      </c>
      <c r="R256" s="2729">
        <v>0</v>
      </c>
    </row>
    <row r="257" spans="1:18" s="861" customFormat="1">
      <c r="A257" s="2735"/>
      <c r="B257" s="2735" t="str">
        <f>'9-A.Training Sub-Annex'!B97</f>
        <v>A.9.6.5.1</v>
      </c>
      <c r="C257" s="1861" t="str">
        <f>'9-A.Training Sub-Annex'!C97</f>
        <v>TOT (PPIUCD insertion training)</v>
      </c>
      <c r="D257" s="1862" t="str">
        <f>'9-A.Training Sub-Annex'!D97</f>
        <v>RCH</v>
      </c>
      <c r="E257" s="1862" t="str">
        <f>'9-A.Training Sub-Annex'!E97</f>
        <v>FP</v>
      </c>
      <c r="F257" s="1862">
        <f>'9-A.Training Sub-Annex'!F97</f>
        <v>0</v>
      </c>
      <c r="G257" s="1862">
        <f>'9-A.Training Sub-Annex'!G97</f>
        <v>0</v>
      </c>
      <c r="H257" s="1862">
        <f>'9-A.Training Sub-Annex'!H97</f>
        <v>0</v>
      </c>
      <c r="I257" s="1862">
        <f>'9-A.Training Sub-Annex'!I97</f>
        <v>0</v>
      </c>
      <c r="J257" s="1862">
        <f>'9-A.Training Sub-Annex'!J97</f>
        <v>0</v>
      </c>
      <c r="K257" s="1862">
        <f>'9-A.Training Sub-Annex'!K97</f>
        <v>0</v>
      </c>
      <c r="L257" s="962">
        <f>'9-A.Training Sub-Annex'!L97</f>
        <v>0</v>
      </c>
      <c r="M257" s="1862">
        <f>'9-A.Training Sub-Annex'!M97</f>
        <v>0</v>
      </c>
      <c r="N257" s="1862">
        <f>'9-A.Training Sub-Annex'!N97</f>
        <v>0</v>
      </c>
      <c r="O257" s="962">
        <f>'9-A.Training Sub-Annex'!O97</f>
        <v>0</v>
      </c>
      <c r="P257" s="2735">
        <f>'9-A.Training Sub-Annex'!P97</f>
        <v>0</v>
      </c>
      <c r="Q257" s="2772" t="s">
        <v>5520</v>
      </c>
      <c r="R257" s="2729">
        <v>0</v>
      </c>
    </row>
    <row r="258" spans="1:18" s="861" customFormat="1">
      <c r="A258" s="2735"/>
      <c r="B258" s="2735" t="str">
        <f>'9-A.Training Sub-Annex'!B98</f>
        <v>A.9.6.5.2</v>
      </c>
      <c r="C258" s="1861" t="str">
        <f>'9-A.Training Sub-Annex'!C98</f>
        <v>Training of Medical officers (PPIUCD insertion training)</v>
      </c>
      <c r="D258" s="1862" t="str">
        <f>'9-A.Training Sub-Annex'!D98</f>
        <v>RCH</v>
      </c>
      <c r="E258" s="1862" t="str">
        <f>'9-A.Training Sub-Annex'!E98</f>
        <v>FP</v>
      </c>
      <c r="F258" s="1862">
        <f>'9-A.Training Sub-Annex'!F98</f>
        <v>0</v>
      </c>
      <c r="G258" s="1862">
        <f>'9-A.Training Sub-Annex'!G98</f>
        <v>0</v>
      </c>
      <c r="H258" s="1862">
        <f>'9-A.Training Sub-Annex'!H98</f>
        <v>0</v>
      </c>
      <c r="I258" s="1862">
        <f>'9-A.Training Sub-Annex'!I98</f>
        <v>0</v>
      </c>
      <c r="J258" s="1862">
        <f>'9-A.Training Sub-Annex'!J98</f>
        <v>0</v>
      </c>
      <c r="K258" s="1862">
        <f>'9-A.Training Sub-Annex'!K98</f>
        <v>0</v>
      </c>
      <c r="L258" s="962">
        <f>'9-A.Training Sub-Annex'!L98</f>
        <v>0</v>
      </c>
      <c r="M258" s="1862">
        <f>'9-A.Training Sub-Annex'!M98</f>
        <v>0</v>
      </c>
      <c r="N258" s="1862">
        <f>'9-A.Training Sub-Annex'!N98</f>
        <v>0</v>
      </c>
      <c r="O258" s="962">
        <f>'9-A.Training Sub-Annex'!O98</f>
        <v>0</v>
      </c>
      <c r="P258" s="2735">
        <f>'9-A.Training Sub-Annex'!P98</f>
        <v>0</v>
      </c>
      <c r="Q258" s="2772" t="s">
        <v>5520</v>
      </c>
      <c r="R258" s="2729">
        <v>0</v>
      </c>
    </row>
    <row r="259" spans="1:18" s="861" customFormat="1">
      <c r="A259" s="2735"/>
      <c r="B259" s="2735" t="str">
        <f>'9-A.Training Sub-Annex'!B99</f>
        <v>A.9.6.5.3</v>
      </c>
      <c r="C259" s="1861" t="str">
        <f>'9-A.Training Sub-Annex'!C99</f>
        <v>Training of AYUSH doctors (PPIUCD insertion training)</v>
      </c>
      <c r="D259" s="1862" t="str">
        <f>'9-A.Training Sub-Annex'!D99</f>
        <v>RCH</v>
      </c>
      <c r="E259" s="1862" t="str">
        <f>'9-A.Training Sub-Annex'!E99</f>
        <v>FP</v>
      </c>
      <c r="F259" s="1862">
        <f>'9-A.Training Sub-Annex'!F99</f>
        <v>0</v>
      </c>
      <c r="G259" s="1862">
        <f>'9-A.Training Sub-Annex'!G99</f>
        <v>0</v>
      </c>
      <c r="H259" s="1862">
        <f>'9-A.Training Sub-Annex'!H99</f>
        <v>0</v>
      </c>
      <c r="I259" s="1862">
        <f>'9-A.Training Sub-Annex'!I99</f>
        <v>0</v>
      </c>
      <c r="J259" s="1862">
        <f>'9-A.Training Sub-Annex'!J99</f>
        <v>0</v>
      </c>
      <c r="K259" s="1862">
        <f>'9-A.Training Sub-Annex'!K99</f>
        <v>0</v>
      </c>
      <c r="L259" s="962">
        <f>'9-A.Training Sub-Annex'!L99</f>
        <v>0</v>
      </c>
      <c r="M259" s="1862">
        <f>'9-A.Training Sub-Annex'!M99</f>
        <v>0</v>
      </c>
      <c r="N259" s="1862">
        <f>'9-A.Training Sub-Annex'!N99</f>
        <v>0</v>
      </c>
      <c r="O259" s="962">
        <f>'9-A.Training Sub-Annex'!O99</f>
        <v>0</v>
      </c>
      <c r="P259" s="2735">
        <f>'9-A.Training Sub-Annex'!P99</f>
        <v>0</v>
      </c>
      <c r="Q259" s="2772" t="s">
        <v>5520</v>
      </c>
      <c r="R259" s="2729">
        <v>0</v>
      </c>
    </row>
    <row r="260" spans="1:18" s="861" customFormat="1">
      <c r="A260" s="2735"/>
      <c r="B260" s="2735" t="str">
        <f>'9-A.Training Sub-Annex'!B100</f>
        <v>A.9.6.5.4</v>
      </c>
      <c r="C260" s="1861" t="str">
        <f>'9-A.Training Sub-Annex'!C100</f>
        <v>Training of Nurses (Staff Nurse/LHV/ANM) (PPIUCD insertion training)</v>
      </c>
      <c r="D260" s="1862" t="str">
        <f>'9-A.Training Sub-Annex'!D100</f>
        <v>RCH</v>
      </c>
      <c r="E260" s="1862" t="str">
        <f>'9-A.Training Sub-Annex'!E100</f>
        <v>FP</v>
      </c>
      <c r="F260" s="1862">
        <f>'9-A.Training Sub-Annex'!F100</f>
        <v>0</v>
      </c>
      <c r="G260" s="1862">
        <f>'9-A.Training Sub-Annex'!G100</f>
        <v>0</v>
      </c>
      <c r="H260" s="1862">
        <f>'9-A.Training Sub-Annex'!H100</f>
        <v>0</v>
      </c>
      <c r="I260" s="1862">
        <f>'9-A.Training Sub-Annex'!I100</f>
        <v>0</v>
      </c>
      <c r="J260" s="1862">
        <f>'9-A.Training Sub-Annex'!J100</f>
        <v>0</v>
      </c>
      <c r="K260" s="1862">
        <f>'9-A.Training Sub-Annex'!K100</f>
        <v>0</v>
      </c>
      <c r="L260" s="962">
        <f>'9-A.Training Sub-Annex'!L100</f>
        <v>0</v>
      </c>
      <c r="M260" s="1862">
        <f>'9-A.Training Sub-Annex'!M100</f>
        <v>0</v>
      </c>
      <c r="N260" s="1862">
        <f>'9-A.Training Sub-Annex'!N100</f>
        <v>0</v>
      </c>
      <c r="O260" s="962">
        <f>'9-A.Training Sub-Annex'!O100</f>
        <v>0</v>
      </c>
      <c r="P260" s="2735">
        <f>'9-A.Training Sub-Annex'!P100</f>
        <v>0</v>
      </c>
      <c r="Q260" s="2772" t="s">
        <v>5520</v>
      </c>
      <c r="R260" s="2729">
        <v>0</v>
      </c>
    </row>
    <row r="261" spans="1:18" s="861" customFormat="1">
      <c r="A261" s="2735"/>
      <c r="B261" s="2735" t="str">
        <f>'9-A.Training Sub-Annex'!B101</f>
        <v>A.9.6.6.1</v>
      </c>
      <c r="C261" s="1861" t="str">
        <f>'9-A.Training Sub-Annex'!C101</f>
        <v xml:space="preserve">Training for Post abortion Family Planning </v>
      </c>
      <c r="D261" s="1862" t="str">
        <f>'9-A.Training Sub-Annex'!D101</f>
        <v>RCH</v>
      </c>
      <c r="E261" s="1862" t="str">
        <f>'9-A.Training Sub-Annex'!E101</f>
        <v>FP</v>
      </c>
      <c r="F261" s="1862">
        <f>'9-A.Training Sub-Annex'!F101</f>
        <v>0</v>
      </c>
      <c r="G261" s="1862">
        <f>'9-A.Training Sub-Annex'!G101</f>
        <v>0</v>
      </c>
      <c r="H261" s="1862">
        <f>'9-A.Training Sub-Annex'!H101</f>
        <v>0</v>
      </c>
      <c r="I261" s="1862">
        <f>'9-A.Training Sub-Annex'!I101</f>
        <v>0</v>
      </c>
      <c r="J261" s="1862">
        <f>'9-A.Training Sub-Annex'!J101</f>
        <v>0</v>
      </c>
      <c r="K261" s="1862">
        <f>'9-A.Training Sub-Annex'!K101</f>
        <v>0</v>
      </c>
      <c r="L261" s="962">
        <f>'9-A.Training Sub-Annex'!L101</f>
        <v>0</v>
      </c>
      <c r="M261" s="1862">
        <f>'9-A.Training Sub-Annex'!M101</f>
        <v>0</v>
      </c>
      <c r="N261" s="1862">
        <f>'9-A.Training Sub-Annex'!N101</f>
        <v>0</v>
      </c>
      <c r="O261" s="962">
        <f>'9-A.Training Sub-Annex'!O101</f>
        <v>0</v>
      </c>
      <c r="P261" s="2735">
        <f>'9-A.Training Sub-Annex'!P101</f>
        <v>0</v>
      </c>
      <c r="Q261" s="2772" t="s">
        <v>5520</v>
      </c>
      <c r="R261" s="2729">
        <v>0</v>
      </c>
    </row>
    <row r="262" spans="1:18" s="861" customFormat="1">
      <c r="A262" s="2735"/>
      <c r="B262" s="2735" t="str">
        <f>'9-A.Training Sub-Annex'!B102</f>
        <v>A.9.6.7</v>
      </c>
      <c r="C262" s="1861" t="str">
        <f>'9-A.Training Sub-Annex'!C102</f>
        <v>Training of RMNCH+A/ FP Counsellors</v>
      </c>
      <c r="D262" s="1862" t="str">
        <f>'9-A.Training Sub-Annex'!D102</f>
        <v>RCH</v>
      </c>
      <c r="E262" s="1862" t="str">
        <f>'9-A.Training Sub-Annex'!E102</f>
        <v>FP</v>
      </c>
      <c r="F262" s="1862">
        <f>'9-A.Training Sub-Annex'!F102</f>
        <v>0</v>
      </c>
      <c r="G262" s="1862">
        <f>'9-A.Training Sub-Annex'!G102</f>
        <v>0</v>
      </c>
      <c r="H262" s="1862">
        <f>'9-A.Training Sub-Annex'!H102</f>
        <v>0</v>
      </c>
      <c r="I262" s="1862">
        <f>'9-A.Training Sub-Annex'!I102</f>
        <v>0</v>
      </c>
      <c r="J262" s="1862">
        <f>'9-A.Training Sub-Annex'!J102</f>
        <v>0</v>
      </c>
      <c r="K262" s="1862">
        <f>'9-A.Training Sub-Annex'!K102</f>
        <v>0</v>
      </c>
      <c r="L262" s="962">
        <f>'9-A.Training Sub-Annex'!L102</f>
        <v>0</v>
      </c>
      <c r="M262" s="1862">
        <f>'9-A.Training Sub-Annex'!M102</f>
        <v>0</v>
      </c>
      <c r="N262" s="1862">
        <f>'9-A.Training Sub-Annex'!N102</f>
        <v>0</v>
      </c>
      <c r="O262" s="962">
        <f>'9-A.Training Sub-Annex'!O102</f>
        <v>0</v>
      </c>
      <c r="P262" s="2735">
        <f>'9-A.Training Sub-Annex'!P102</f>
        <v>0</v>
      </c>
      <c r="Q262" s="2772" t="s">
        <v>5520</v>
      </c>
      <c r="R262" s="2729">
        <v>0</v>
      </c>
    </row>
    <row r="263" spans="1:18" s="861" customFormat="1">
      <c r="A263" s="2735"/>
      <c r="B263" s="2735" t="str">
        <f>'9-A.Training Sub-Annex'!B103</f>
        <v>A.9.6.9.1</v>
      </c>
      <c r="C263" s="1861" t="str">
        <f>'9-A.Training Sub-Annex'!C103</f>
        <v>TOT (Injectable Contraceptive Trainings)</v>
      </c>
      <c r="D263" s="1862" t="str">
        <f>'9-A.Training Sub-Annex'!D103</f>
        <v>RCH</v>
      </c>
      <c r="E263" s="1862" t="str">
        <f>'9-A.Training Sub-Annex'!E103</f>
        <v>FP</v>
      </c>
      <c r="F263" s="1862">
        <f>'9-A.Training Sub-Annex'!F103</f>
        <v>0</v>
      </c>
      <c r="G263" s="1862">
        <f>'9-A.Training Sub-Annex'!G103</f>
        <v>0</v>
      </c>
      <c r="H263" s="1862">
        <f>'9-A.Training Sub-Annex'!H103</f>
        <v>0</v>
      </c>
      <c r="I263" s="1862">
        <f>'9-A.Training Sub-Annex'!I103</f>
        <v>0</v>
      </c>
      <c r="J263" s="1862">
        <f>'9-A.Training Sub-Annex'!J103</f>
        <v>0</v>
      </c>
      <c r="K263" s="1862">
        <f>'9-A.Training Sub-Annex'!K103</f>
        <v>0</v>
      </c>
      <c r="L263" s="962">
        <f>'9-A.Training Sub-Annex'!L103</f>
        <v>0</v>
      </c>
      <c r="M263" s="1862">
        <f>'9-A.Training Sub-Annex'!M103</f>
        <v>0</v>
      </c>
      <c r="N263" s="1862">
        <f>'9-A.Training Sub-Annex'!N103</f>
        <v>0</v>
      </c>
      <c r="O263" s="962">
        <f>'9-A.Training Sub-Annex'!O103</f>
        <v>0</v>
      </c>
      <c r="P263" s="2735">
        <f>'9-A.Training Sub-Annex'!P103</f>
        <v>0</v>
      </c>
      <c r="Q263" s="2772" t="s">
        <v>5520</v>
      </c>
      <c r="R263" s="2729">
        <v>0</v>
      </c>
    </row>
    <row r="264" spans="1:18" s="861" customFormat="1">
      <c r="A264" s="2735"/>
      <c r="B264" s="2735" t="str">
        <f>'9-A.Training Sub-Annex'!B104</f>
        <v>A.9.6.9.2</v>
      </c>
      <c r="C264" s="1861" t="str">
        <f>'9-A.Training Sub-Annex'!C104</f>
        <v>Training of Medical officers (Injectable Contraceptive Trainings)</v>
      </c>
      <c r="D264" s="1862" t="str">
        <f>'9-A.Training Sub-Annex'!D104</f>
        <v>RCH</v>
      </c>
      <c r="E264" s="1862" t="str">
        <f>'9-A.Training Sub-Annex'!E104</f>
        <v>FP</v>
      </c>
      <c r="F264" s="1862">
        <f>'9-A.Training Sub-Annex'!F104</f>
        <v>0</v>
      </c>
      <c r="G264" s="1862">
        <f>'9-A.Training Sub-Annex'!G104</f>
        <v>0</v>
      </c>
      <c r="H264" s="1862">
        <f>'9-A.Training Sub-Annex'!H104</f>
        <v>0</v>
      </c>
      <c r="I264" s="1862">
        <f>'9-A.Training Sub-Annex'!I104</f>
        <v>0</v>
      </c>
      <c r="J264" s="1862">
        <f>'9-A.Training Sub-Annex'!J104</f>
        <v>0</v>
      </c>
      <c r="K264" s="1862">
        <f>'9-A.Training Sub-Annex'!K104</f>
        <v>0</v>
      </c>
      <c r="L264" s="962">
        <f>'9-A.Training Sub-Annex'!L104</f>
        <v>0</v>
      </c>
      <c r="M264" s="1862">
        <f>'9-A.Training Sub-Annex'!M104</f>
        <v>0</v>
      </c>
      <c r="N264" s="1862">
        <f>'9-A.Training Sub-Annex'!N104</f>
        <v>0</v>
      </c>
      <c r="O264" s="962">
        <f>'9-A.Training Sub-Annex'!O104</f>
        <v>0</v>
      </c>
      <c r="P264" s="2735">
        <f>'9-A.Training Sub-Annex'!P104</f>
        <v>0</v>
      </c>
      <c r="Q264" s="2772" t="s">
        <v>5520</v>
      </c>
      <c r="R264" s="2729">
        <v>0</v>
      </c>
    </row>
    <row r="265" spans="1:18" s="861" customFormat="1">
      <c r="A265" s="2735"/>
      <c r="B265" s="2735" t="str">
        <f>'9-A.Training Sub-Annex'!B105</f>
        <v>A.9.6.9.3</v>
      </c>
      <c r="C265" s="1861" t="str">
        <f>'9-A.Training Sub-Annex'!C105</f>
        <v>Training of AYUSH doctors (Injectable Contraceptive Trainings)</v>
      </c>
      <c r="D265" s="1862" t="str">
        <f>'9-A.Training Sub-Annex'!D105</f>
        <v>RCH</v>
      </c>
      <c r="E265" s="1862" t="str">
        <f>'9-A.Training Sub-Annex'!E105</f>
        <v>FP</v>
      </c>
      <c r="F265" s="1862">
        <f>'9-A.Training Sub-Annex'!F105</f>
        <v>0</v>
      </c>
      <c r="G265" s="1862">
        <f>'9-A.Training Sub-Annex'!G105</f>
        <v>0</v>
      </c>
      <c r="H265" s="1862">
        <f>'9-A.Training Sub-Annex'!H105</f>
        <v>0</v>
      </c>
      <c r="I265" s="1862">
        <f>'9-A.Training Sub-Annex'!I105</f>
        <v>0</v>
      </c>
      <c r="J265" s="1862">
        <f>'9-A.Training Sub-Annex'!J105</f>
        <v>0</v>
      </c>
      <c r="K265" s="1862">
        <f>'9-A.Training Sub-Annex'!K105</f>
        <v>0</v>
      </c>
      <c r="L265" s="962">
        <f>'9-A.Training Sub-Annex'!L105</f>
        <v>0</v>
      </c>
      <c r="M265" s="1862">
        <f>'9-A.Training Sub-Annex'!M105</f>
        <v>0</v>
      </c>
      <c r="N265" s="1862">
        <f>'9-A.Training Sub-Annex'!N105</f>
        <v>0</v>
      </c>
      <c r="O265" s="962">
        <f>'9-A.Training Sub-Annex'!O105</f>
        <v>0</v>
      </c>
      <c r="P265" s="2735">
        <f>'9-A.Training Sub-Annex'!P105</f>
        <v>0</v>
      </c>
      <c r="Q265" s="2772" t="s">
        <v>5520</v>
      </c>
      <c r="R265" s="2729">
        <v>0</v>
      </c>
    </row>
    <row r="266" spans="1:18" s="861" customFormat="1" ht="30">
      <c r="A266" s="2735"/>
      <c r="B266" s="2735" t="str">
        <f>'9-A.Training Sub-Annex'!B106</f>
        <v>A.9.6.9.4</v>
      </c>
      <c r="C266" s="1861" t="str">
        <f>'9-A.Training Sub-Annex'!C106</f>
        <v>Training of Nurses (Staff Nurse/LHV/ANM) (Injectable Contraceptive Trainings)</v>
      </c>
      <c r="D266" s="1862" t="str">
        <f>'9-A.Training Sub-Annex'!D106</f>
        <v>RCH</v>
      </c>
      <c r="E266" s="1862" t="str">
        <f>'9-A.Training Sub-Annex'!E106</f>
        <v>FP</v>
      </c>
      <c r="F266" s="1862">
        <f>'9-A.Training Sub-Annex'!F106</f>
        <v>0</v>
      </c>
      <c r="G266" s="1862">
        <f>'9-A.Training Sub-Annex'!G106</f>
        <v>0</v>
      </c>
      <c r="H266" s="1862">
        <f>'9-A.Training Sub-Annex'!H106</f>
        <v>0</v>
      </c>
      <c r="I266" s="1862">
        <f>'9-A.Training Sub-Annex'!I106</f>
        <v>0</v>
      </c>
      <c r="J266" s="1862">
        <f>'9-A.Training Sub-Annex'!J106</f>
        <v>0</v>
      </c>
      <c r="K266" s="1862">
        <f>'9-A.Training Sub-Annex'!K106</f>
        <v>0</v>
      </c>
      <c r="L266" s="962">
        <f>'9-A.Training Sub-Annex'!L106</f>
        <v>0</v>
      </c>
      <c r="M266" s="1862">
        <f>'9-A.Training Sub-Annex'!M106</f>
        <v>0</v>
      </c>
      <c r="N266" s="1862">
        <f>'9-A.Training Sub-Annex'!N106</f>
        <v>0</v>
      </c>
      <c r="O266" s="962">
        <f>'9-A.Training Sub-Annex'!O106</f>
        <v>0</v>
      </c>
      <c r="P266" s="2735">
        <f>'9-A.Training Sub-Annex'!P106</f>
        <v>0</v>
      </c>
      <c r="Q266" s="2772" t="s">
        <v>5520</v>
      </c>
      <c r="R266" s="2729">
        <v>0</v>
      </c>
    </row>
    <row r="267" spans="1:18" s="861" customFormat="1">
      <c r="A267" s="2735"/>
      <c r="B267" s="2735" t="str">
        <f>'9-A.Training Sub-Annex'!B107</f>
        <v>A.9.6.10</v>
      </c>
      <c r="C267" s="1861" t="str">
        <f>'9-A.Training Sub-Annex'!C107</f>
        <v>Oral Pills Training</v>
      </c>
      <c r="D267" s="1862" t="str">
        <f>'9-A.Training Sub-Annex'!D107</f>
        <v>RCH</v>
      </c>
      <c r="E267" s="1862" t="str">
        <f>'9-A.Training Sub-Annex'!E107</f>
        <v>FP</v>
      </c>
      <c r="F267" s="1862">
        <f>'9-A.Training Sub-Annex'!F107</f>
        <v>0</v>
      </c>
      <c r="G267" s="1862">
        <f>'9-A.Training Sub-Annex'!G107</f>
        <v>0</v>
      </c>
      <c r="H267" s="1862">
        <f>'9-A.Training Sub-Annex'!H107</f>
        <v>0</v>
      </c>
      <c r="I267" s="1862">
        <f>'9-A.Training Sub-Annex'!I107</f>
        <v>0</v>
      </c>
      <c r="J267" s="1862">
        <f>'9-A.Training Sub-Annex'!J107</f>
        <v>0</v>
      </c>
      <c r="K267" s="1862">
        <f>'9-A.Training Sub-Annex'!K107</f>
        <v>0</v>
      </c>
      <c r="L267" s="962">
        <f>'9-A.Training Sub-Annex'!L107</f>
        <v>0</v>
      </c>
      <c r="M267" s="1862">
        <f>'9-A.Training Sub-Annex'!M107</f>
        <v>0</v>
      </c>
      <c r="N267" s="1862">
        <f>'9-A.Training Sub-Annex'!N107</f>
        <v>0</v>
      </c>
      <c r="O267" s="962">
        <f>'9-A.Training Sub-Annex'!O107</f>
        <v>0</v>
      </c>
      <c r="P267" s="2735">
        <f>'9-A.Training Sub-Annex'!P107</f>
        <v>0</v>
      </c>
      <c r="Q267" s="2772" t="s">
        <v>5520</v>
      </c>
      <c r="R267" s="2729">
        <v>0</v>
      </c>
    </row>
    <row r="268" spans="1:18" s="861" customFormat="1">
      <c r="A268" s="2735"/>
      <c r="B268" s="2735">
        <f>'9-A.Training Sub-Annex'!B108</f>
        <v>0</v>
      </c>
      <c r="C268" s="1861" t="str">
        <f>'9-A.Training Sub-Annex'!C108</f>
        <v>FP-LMIS training</v>
      </c>
      <c r="D268" s="1862" t="str">
        <f>'9-A.Training Sub-Annex'!D108</f>
        <v>RCH</v>
      </c>
      <c r="E268" s="1862" t="str">
        <f>'9-A.Training Sub-Annex'!E108</f>
        <v>FP</v>
      </c>
      <c r="F268" s="1862">
        <f>'9-A.Training Sub-Annex'!F108</f>
        <v>0</v>
      </c>
      <c r="G268" s="1862">
        <f>'9-A.Training Sub-Annex'!G108</f>
        <v>0</v>
      </c>
      <c r="H268" s="1862">
        <f>'9-A.Training Sub-Annex'!H108</f>
        <v>0</v>
      </c>
      <c r="I268" s="1862">
        <f>'9-A.Training Sub-Annex'!I108</f>
        <v>0</v>
      </c>
      <c r="J268" s="1862">
        <f>'9-A.Training Sub-Annex'!J108</f>
        <v>0</v>
      </c>
      <c r="K268" s="1862">
        <f>'9-A.Training Sub-Annex'!K108</f>
        <v>0</v>
      </c>
      <c r="L268" s="962">
        <f>'9-A.Training Sub-Annex'!L108</f>
        <v>0</v>
      </c>
      <c r="M268" s="1862">
        <f>'9-A.Training Sub-Annex'!M108</f>
        <v>0</v>
      </c>
      <c r="N268" s="1862">
        <f>'9-A.Training Sub-Annex'!N108</f>
        <v>0</v>
      </c>
      <c r="O268" s="962">
        <f>'9-A.Training Sub-Annex'!O108</f>
        <v>0</v>
      </c>
      <c r="P268" s="2735">
        <f>'9-A.Training Sub-Annex'!P108</f>
        <v>0</v>
      </c>
      <c r="Q268" s="2772" t="s">
        <v>5520</v>
      </c>
      <c r="R268" s="2729">
        <v>0</v>
      </c>
    </row>
    <row r="269" spans="1:18" s="861" customFormat="1">
      <c r="A269" s="2735"/>
      <c r="B269" s="2735">
        <f>'9-A.Training Sub-Annex'!B109</f>
        <v>0</v>
      </c>
      <c r="C269" s="1861" t="str">
        <f>'9-A.Training Sub-Annex'!C109</f>
        <v>Other Family Planning trainings (please specify)</v>
      </c>
      <c r="D269" s="1862" t="str">
        <f>'9-A.Training Sub-Annex'!D109</f>
        <v>RCH</v>
      </c>
      <c r="E269" s="1862" t="str">
        <f>'9-A.Training Sub-Annex'!E109</f>
        <v>FP</v>
      </c>
      <c r="F269" s="1862">
        <f>'9-A.Training Sub-Annex'!F109</f>
        <v>0</v>
      </c>
      <c r="G269" s="1862">
        <f>'9-A.Training Sub-Annex'!G109</f>
        <v>0</v>
      </c>
      <c r="H269" s="1862">
        <f>'9-A.Training Sub-Annex'!H109</f>
        <v>0</v>
      </c>
      <c r="I269" s="1862">
        <f>'9-A.Training Sub-Annex'!I109</f>
        <v>0</v>
      </c>
      <c r="J269" s="1862">
        <f>'9-A.Training Sub-Annex'!J109</f>
        <v>0</v>
      </c>
      <c r="K269" s="1862">
        <f>'9-A.Training Sub-Annex'!K109</f>
        <v>0</v>
      </c>
      <c r="L269" s="962">
        <f>'9-A.Training Sub-Annex'!L109</f>
        <v>0</v>
      </c>
      <c r="M269" s="1862">
        <f>'9-A.Training Sub-Annex'!M109</f>
        <v>0</v>
      </c>
      <c r="N269" s="1862">
        <f>'9-A.Training Sub-Annex'!N109</f>
        <v>0</v>
      </c>
      <c r="O269" s="962">
        <f>'9-A.Training Sub-Annex'!O109</f>
        <v>0</v>
      </c>
      <c r="P269" s="2735">
        <f>'9-A.Training Sub-Annex'!P109</f>
        <v>0</v>
      </c>
      <c r="Q269" s="2772" t="s">
        <v>5520</v>
      </c>
      <c r="R269" s="2729">
        <v>0</v>
      </c>
    </row>
    <row r="270" spans="1:18" s="861" customFormat="1">
      <c r="A270" s="1858">
        <f>'11.IEC-BCC Annex'!A7</f>
        <v>11</v>
      </c>
      <c r="B270" s="1865"/>
      <c r="C270" s="1859" t="str">
        <f>'11.IEC-BCC Annex'!C7</f>
        <v>IEC/BCC</v>
      </c>
      <c r="D270" s="1860"/>
      <c r="E270" s="1860"/>
      <c r="F270" s="1860"/>
      <c r="G270" s="1860"/>
      <c r="H270" s="994"/>
      <c r="I270" s="1860"/>
      <c r="J270" s="994"/>
      <c r="K270" s="1860"/>
      <c r="L270" s="994"/>
      <c r="M270" s="994"/>
      <c r="N270" s="1866"/>
      <c r="O270" s="1867">
        <f>SUM(O271:O276)</f>
        <v>58.460480000000004</v>
      </c>
      <c r="P270" s="1868"/>
      <c r="Q270" s="2743"/>
      <c r="R270" s="2746">
        <f>SUM(R271:R276)</f>
        <v>58.460000000000008</v>
      </c>
    </row>
    <row r="271" spans="1:18" s="861" customFormat="1">
      <c r="A271" s="4068" t="str">
        <f>'11.IEC-BCC Annex'!A11</f>
        <v>11.1.3</v>
      </c>
      <c r="B271" s="2735" t="str">
        <f>'11-A. IEC Sub-Annex'!B16</f>
        <v>B.10.3.3.1</v>
      </c>
      <c r="C271" s="1861" t="str">
        <f>'11-A. IEC Sub-Annex'!C16</f>
        <v>Media Mix of Mid Media/ Mass Media</v>
      </c>
      <c r="D271" s="1862" t="str">
        <f>'11-A. IEC Sub-Annex'!D16</f>
        <v>RCH</v>
      </c>
      <c r="E271" s="1862" t="str">
        <f>'11-A. IEC Sub-Annex'!E16</f>
        <v>FP</v>
      </c>
      <c r="F271" s="1862">
        <f>'11-A. IEC Sub-Annex'!F16</f>
        <v>1</v>
      </c>
      <c r="G271" s="1862">
        <f>'11-A. IEC Sub-Annex'!G16</f>
        <v>0</v>
      </c>
      <c r="H271" s="1862">
        <f>'11-A. IEC Sub-Annex'!H16</f>
        <v>78.45</v>
      </c>
      <c r="I271" s="1862">
        <f>'11-A. IEC Sub-Annex'!I16</f>
        <v>19.100000000000001</v>
      </c>
      <c r="J271" s="1862">
        <f>'11-A. IEC Sub-Annex'!J16</f>
        <v>59.35</v>
      </c>
      <c r="K271" s="1862">
        <f>'11-A. IEC Sub-Annex'!K16</f>
        <v>0</v>
      </c>
      <c r="L271" s="962">
        <f>'11-A. IEC Sub-Annex'!L16</f>
        <v>5270000</v>
      </c>
      <c r="M271" s="1862">
        <f>'11-A. IEC Sub-Annex'!M16</f>
        <v>52.7</v>
      </c>
      <c r="N271" s="1862">
        <f>'11-A. IEC Sub-Annex'!N16</f>
        <v>1</v>
      </c>
      <c r="O271" s="962">
        <f>'11-A. IEC Sub-Annex'!O16</f>
        <v>52.7</v>
      </c>
      <c r="P271" s="2735" t="str">
        <f>'11-A. IEC Sub-Annex'!P16</f>
        <v>as per annexures</v>
      </c>
      <c r="Q271" s="2018" t="s">
        <v>5835</v>
      </c>
      <c r="R271" s="2728">
        <v>52.7</v>
      </c>
    </row>
    <row r="272" spans="1:18" s="861" customFormat="1">
      <c r="A272" s="4068"/>
      <c r="B272" s="2735" t="str">
        <f>'11-A. IEC Sub-Annex'!B17</f>
        <v>B.10.3.3.2</v>
      </c>
      <c r="C272" s="1861" t="str">
        <f>'11-A. IEC Sub-Annex'!C17</f>
        <v>Inter Personal Communication</v>
      </c>
      <c r="D272" s="1862" t="str">
        <f>'11-A. IEC Sub-Annex'!D17</f>
        <v>RCH</v>
      </c>
      <c r="E272" s="1862" t="str">
        <f>'11-A. IEC Sub-Annex'!E17</f>
        <v>FP</v>
      </c>
      <c r="F272" s="1862">
        <f>'11-A. IEC Sub-Annex'!F17</f>
        <v>0</v>
      </c>
      <c r="G272" s="1862">
        <f>'11-A. IEC Sub-Annex'!G17</f>
        <v>0</v>
      </c>
      <c r="H272" s="1862">
        <f>'11-A. IEC Sub-Annex'!H17</f>
        <v>0</v>
      </c>
      <c r="I272" s="1862">
        <f>'11-A. IEC Sub-Annex'!I17</f>
        <v>0</v>
      </c>
      <c r="J272" s="1862">
        <f>'11-A. IEC Sub-Annex'!J17</f>
        <v>0</v>
      </c>
      <c r="K272" s="1862">
        <f>'11-A. IEC Sub-Annex'!K17</f>
        <v>0</v>
      </c>
      <c r="L272" s="962">
        <f>'11-A. IEC Sub-Annex'!L17</f>
        <v>0</v>
      </c>
      <c r="M272" s="1862">
        <f>'11-A. IEC Sub-Annex'!M17</f>
        <v>0</v>
      </c>
      <c r="N272" s="1862">
        <f>'11-A. IEC Sub-Annex'!N17</f>
        <v>0</v>
      </c>
      <c r="O272" s="962">
        <f>'11-A. IEC Sub-Annex'!O17</f>
        <v>0</v>
      </c>
      <c r="P272" s="2735">
        <f>'11-A. IEC Sub-Annex'!P17</f>
        <v>0</v>
      </c>
      <c r="Q272" s="2772" t="s">
        <v>5520</v>
      </c>
      <c r="R272" s="2729">
        <v>0</v>
      </c>
    </row>
    <row r="273" spans="1:18" s="861" customFormat="1" ht="60">
      <c r="A273" s="4068"/>
      <c r="B273" s="2735" t="str">
        <f>'11-A. IEC Sub-Annex'!B18</f>
        <v>A.3.5.4</v>
      </c>
      <c r="C273" s="1861" t="str">
        <f>'11-A. IEC Sub-Annex'!C18</f>
        <v>IEC &amp; promotional activities for World Population Day celebration</v>
      </c>
      <c r="D273" s="1862" t="str">
        <f>'11-A. IEC Sub-Annex'!D18</f>
        <v>RCH</v>
      </c>
      <c r="E273" s="1862" t="str">
        <f>'11-A. IEC Sub-Annex'!E18</f>
        <v>FP</v>
      </c>
      <c r="F273" s="1862">
        <f>'11-A. IEC Sub-Annex'!F18</f>
        <v>88</v>
      </c>
      <c r="G273" s="1862">
        <f>'11-A. IEC Sub-Annex'!G18</f>
        <v>0</v>
      </c>
      <c r="H273" s="1862">
        <f>'11-A. IEC Sub-Annex'!H18</f>
        <v>2.88</v>
      </c>
      <c r="I273" s="1862">
        <f>'11-A. IEC Sub-Annex'!I18</f>
        <v>1.05</v>
      </c>
      <c r="J273" s="1862">
        <f>'11-A. IEC Sub-Annex'!J18</f>
        <v>1.83</v>
      </c>
      <c r="K273" s="1862">
        <f>'11-A. IEC Sub-Annex'!K18</f>
        <v>1</v>
      </c>
      <c r="L273" s="962">
        <f>'11-A. IEC Sub-Annex'!L18</f>
        <v>3273</v>
      </c>
      <c r="M273" s="1862">
        <f>'11-A. IEC Sub-Annex'!M18</f>
        <v>3.2730000000000002E-2</v>
      </c>
      <c r="N273" s="1862">
        <f>'11-A. IEC Sub-Annex'!N18</f>
        <v>88</v>
      </c>
      <c r="O273" s="962">
        <f>'11-A. IEC Sub-Annex'!O18</f>
        <v>2.8802400000000001</v>
      </c>
      <c r="P273" s="2735" t="str">
        <f>'11-A. IEC Sub-Annex'!P18</f>
        <v>Funds under this head has been proposed for World Population Day celebration. 12 districts@Rs. 5000 and 76 blocks @ Rs. 3000.</v>
      </c>
      <c r="Q273" s="2018" t="s">
        <v>5612</v>
      </c>
      <c r="R273" s="2728">
        <f>((12*5000)+(76*3000))/100000</f>
        <v>2.88</v>
      </c>
    </row>
    <row r="274" spans="1:18" s="861" customFormat="1" ht="60">
      <c r="A274" s="4068"/>
      <c r="B274" s="2735" t="str">
        <f>'11-A. IEC Sub-Annex'!B19</f>
        <v>A.3.5.5</v>
      </c>
      <c r="C274" s="1861" t="str">
        <f>'11-A. IEC Sub-Annex'!C19</f>
        <v xml:space="preserve">IEC &amp; promotional activities for Vasectomy Fortnight celebration </v>
      </c>
      <c r="D274" s="1862" t="str">
        <f>'11-A. IEC Sub-Annex'!D19</f>
        <v>RCH</v>
      </c>
      <c r="E274" s="1862" t="str">
        <f>'11-A. IEC Sub-Annex'!E19</f>
        <v>FP</v>
      </c>
      <c r="F274" s="1862">
        <f>'11-A. IEC Sub-Annex'!F19</f>
        <v>88</v>
      </c>
      <c r="G274" s="1862">
        <f>'11-A. IEC Sub-Annex'!G19</f>
        <v>0</v>
      </c>
      <c r="H274" s="1862">
        <f>'11-A. IEC Sub-Annex'!H19</f>
        <v>2.88</v>
      </c>
      <c r="I274" s="1862">
        <f>'11-A. IEC Sub-Annex'!I19</f>
        <v>0.05</v>
      </c>
      <c r="J274" s="1862">
        <f>'11-A. IEC Sub-Annex'!J19</f>
        <v>2.83</v>
      </c>
      <c r="K274" s="1862">
        <f>'11-A. IEC Sub-Annex'!K19</f>
        <v>1</v>
      </c>
      <c r="L274" s="962">
        <f>'11-A. IEC Sub-Annex'!L19</f>
        <v>3273</v>
      </c>
      <c r="M274" s="1862">
        <f>'11-A. IEC Sub-Annex'!M19</f>
        <v>3.2730000000000002E-2</v>
      </c>
      <c r="N274" s="1862">
        <f>'11-A. IEC Sub-Annex'!N19</f>
        <v>88</v>
      </c>
      <c r="O274" s="962">
        <f>'11-A. IEC Sub-Annex'!O19</f>
        <v>2.8802400000000001</v>
      </c>
      <c r="P274" s="2735" t="str">
        <f>'11-A. IEC Sub-Annex'!P19</f>
        <v xml:space="preserve">Funds under this head has been proposed for IEC &amp; Promotional activities for Vasectomy Fortnight celebration  at district and block level. </v>
      </c>
      <c r="Q274" s="2018" t="s">
        <v>5613</v>
      </c>
      <c r="R274" s="2728">
        <f>((12*5000)+(76*3000))/100000</f>
        <v>2.88</v>
      </c>
    </row>
    <row r="275" spans="1:18" s="861" customFormat="1" ht="30">
      <c r="A275" s="4068"/>
      <c r="B275" s="2735" t="str">
        <f>'11-A. IEC Sub-Annex'!B20</f>
        <v>A.3.7.4</v>
      </c>
      <c r="C275" s="1861" t="str">
        <f>'11-A. IEC Sub-Annex'!C20</f>
        <v>IEC activities for Mission Parivar Vikas Campaign (Frequency-at least 4/year)</v>
      </c>
      <c r="D275" s="1862" t="str">
        <f>'11-A. IEC Sub-Annex'!D20</f>
        <v>RCH</v>
      </c>
      <c r="E275" s="1862" t="str">
        <f>'11-A. IEC Sub-Annex'!E20</f>
        <v>FP</v>
      </c>
      <c r="F275" s="1862">
        <f>'11-A. IEC Sub-Annex'!F20</f>
        <v>0</v>
      </c>
      <c r="G275" s="1862">
        <f>'11-A. IEC Sub-Annex'!G20</f>
        <v>0</v>
      </c>
      <c r="H275" s="1862">
        <f>'11-A. IEC Sub-Annex'!H20</f>
        <v>0</v>
      </c>
      <c r="I275" s="1862">
        <f>'11-A. IEC Sub-Annex'!I20</f>
        <v>0</v>
      </c>
      <c r="J275" s="1862">
        <f>'11-A. IEC Sub-Annex'!J20</f>
        <v>0</v>
      </c>
      <c r="K275" s="1862">
        <f>'11-A. IEC Sub-Annex'!K20</f>
        <v>0</v>
      </c>
      <c r="L275" s="962">
        <f>'11-A. IEC Sub-Annex'!L20</f>
        <v>0</v>
      </c>
      <c r="M275" s="1862">
        <f>'11-A. IEC Sub-Annex'!M20</f>
        <v>0</v>
      </c>
      <c r="N275" s="1862">
        <f>'11-A. IEC Sub-Annex'!N20</f>
        <v>0</v>
      </c>
      <c r="O275" s="962">
        <f>'11-A. IEC Sub-Annex'!O20</f>
        <v>0</v>
      </c>
      <c r="P275" s="2735">
        <f>'11-A. IEC Sub-Annex'!P20</f>
        <v>0</v>
      </c>
      <c r="Q275" s="2772" t="s">
        <v>5520</v>
      </c>
      <c r="R275" s="2729">
        <v>0</v>
      </c>
    </row>
    <row r="276" spans="1:18" s="861" customFormat="1">
      <c r="A276" s="4068"/>
      <c r="B276" s="2735">
        <f>'11-A. IEC Sub-Annex'!B21</f>
        <v>0</v>
      </c>
      <c r="C276" s="1861" t="str">
        <f>'11-A. IEC Sub-Annex'!C21</f>
        <v>Any other IEC/BCC activities (please specify)</v>
      </c>
      <c r="D276" s="1862" t="str">
        <f>'11-A. IEC Sub-Annex'!D21</f>
        <v>RCH</v>
      </c>
      <c r="E276" s="1862" t="str">
        <f>'11-A. IEC Sub-Annex'!E21</f>
        <v>FP</v>
      </c>
      <c r="F276" s="1862">
        <f>'11-A. IEC Sub-Annex'!F21</f>
        <v>800</v>
      </c>
      <c r="G276" s="1862">
        <f>'11-A. IEC Sub-Annex'!G21</f>
        <v>0</v>
      </c>
      <c r="H276" s="1862">
        <f>'11-A. IEC Sub-Annex'!H21</f>
        <v>2.54</v>
      </c>
      <c r="I276" s="1862">
        <f>'11-A. IEC Sub-Annex'!I21</f>
        <v>0</v>
      </c>
      <c r="J276" s="1862">
        <f>'11-A. IEC Sub-Annex'!J21</f>
        <v>0</v>
      </c>
      <c r="K276" s="1862">
        <f>'11-A. IEC Sub-Annex'!K21</f>
        <v>0</v>
      </c>
      <c r="L276" s="962">
        <f>'11-A. IEC Sub-Annex'!L21</f>
        <v>0</v>
      </c>
      <c r="M276" s="1862">
        <f>'11-A. IEC Sub-Annex'!M21</f>
        <v>0</v>
      </c>
      <c r="N276" s="1862">
        <f>'11-A. IEC Sub-Annex'!N21</f>
        <v>0</v>
      </c>
      <c r="O276" s="962">
        <f>'11-A. IEC Sub-Annex'!O21</f>
        <v>0</v>
      </c>
      <c r="P276" s="2735">
        <f>'11-A. IEC Sub-Annex'!P21</f>
        <v>0</v>
      </c>
      <c r="Q276" s="2772" t="s">
        <v>5520</v>
      </c>
      <c r="R276" s="2729">
        <v>0</v>
      </c>
    </row>
    <row r="277" spans="1:18" s="861" customFormat="1">
      <c r="A277" s="1858">
        <f>'12.Printing Annex'!A7</f>
        <v>12</v>
      </c>
      <c r="B277" s="1865"/>
      <c r="C277" s="1859" t="str">
        <f>'12.Printing Annex'!C7</f>
        <v>Printing</v>
      </c>
      <c r="D277" s="1860"/>
      <c r="E277" s="1860"/>
      <c r="F277" s="1860"/>
      <c r="G277" s="1860"/>
      <c r="H277" s="994"/>
      <c r="I277" s="1860"/>
      <c r="J277" s="994"/>
      <c r="K277" s="1860"/>
      <c r="L277" s="994"/>
      <c r="M277" s="994"/>
      <c r="N277" s="1866"/>
      <c r="O277" s="1867">
        <f>SUM(O278:O282)</f>
        <v>0</v>
      </c>
      <c r="P277" s="1868"/>
      <c r="Q277" s="2743"/>
      <c r="R277" s="2766">
        <f>SUM(R278:R282)</f>
        <v>0</v>
      </c>
    </row>
    <row r="278" spans="1:18" s="861" customFormat="1">
      <c r="A278" s="4068" t="str">
        <f>'12.Printing Annex'!A11</f>
        <v>12.1.3</v>
      </c>
      <c r="B278" s="2735" t="str">
        <f>'12-A. Print Sub-Annex'!B28</f>
        <v>A.3.2.7</v>
      </c>
      <c r="C278" s="1861" t="str">
        <f>'12-A. Print Sub-Annex'!C28</f>
        <v>Dissemination of FP manuals and guidelines</v>
      </c>
      <c r="D278" s="1862" t="str">
        <f>'12-A. Print Sub-Annex'!D28</f>
        <v>RCH</v>
      </c>
      <c r="E278" s="1862" t="str">
        <f>'12-A. Print Sub-Annex'!E28</f>
        <v>FP</v>
      </c>
      <c r="F278" s="1862">
        <f>'12-A. Print Sub-Annex'!F28</f>
        <v>0</v>
      </c>
      <c r="G278" s="1862">
        <f>'12-A. Print Sub-Annex'!G28</f>
        <v>0</v>
      </c>
      <c r="H278" s="1862">
        <f>'12-A. Print Sub-Annex'!H28</f>
        <v>0</v>
      </c>
      <c r="I278" s="1862">
        <f>'12-A. Print Sub-Annex'!I28</f>
        <v>0</v>
      </c>
      <c r="J278" s="1862">
        <f>'12-A. Print Sub-Annex'!J28</f>
        <v>0</v>
      </c>
      <c r="K278" s="1862">
        <f>'12-A. Print Sub-Annex'!K28</f>
        <v>0</v>
      </c>
      <c r="L278" s="962">
        <f>'12-A. Print Sub-Annex'!L28</f>
        <v>0</v>
      </c>
      <c r="M278" s="1862">
        <f>'12-A. Print Sub-Annex'!M28</f>
        <v>0</v>
      </c>
      <c r="N278" s="1862">
        <f>'12-A. Print Sub-Annex'!N28</f>
        <v>0</v>
      </c>
      <c r="O278" s="962">
        <f>'12-A. Print Sub-Annex'!O28</f>
        <v>0</v>
      </c>
      <c r="P278" s="2735">
        <f>'12-A. Print Sub-Annex'!P28</f>
        <v>0</v>
      </c>
      <c r="Q278" s="2772" t="s">
        <v>5520</v>
      </c>
      <c r="R278" s="2729">
        <v>0</v>
      </c>
    </row>
    <row r="279" spans="1:18" s="861" customFormat="1">
      <c r="A279" s="4068"/>
      <c r="B279" s="2735" t="str">
        <f>'12-A. Print Sub-Annex'!B29</f>
        <v>A.3.7.4</v>
      </c>
      <c r="C279" s="1861" t="str">
        <f>'12-A. Print Sub-Annex'!C29</f>
        <v xml:space="preserve">Printing for Mission Parivar Vikas Campaign </v>
      </c>
      <c r="D279" s="1862" t="str">
        <f>'12-A. Print Sub-Annex'!D29</f>
        <v>RCH</v>
      </c>
      <c r="E279" s="1862" t="str">
        <f>'12-A. Print Sub-Annex'!E29</f>
        <v>FP</v>
      </c>
      <c r="F279" s="1862">
        <f>'12-A. Print Sub-Annex'!F29</f>
        <v>0</v>
      </c>
      <c r="G279" s="1862">
        <f>'12-A. Print Sub-Annex'!G29</f>
        <v>0</v>
      </c>
      <c r="H279" s="1862">
        <f>'12-A. Print Sub-Annex'!H29</f>
        <v>0</v>
      </c>
      <c r="I279" s="1862">
        <f>'12-A. Print Sub-Annex'!I29</f>
        <v>0</v>
      </c>
      <c r="J279" s="1862">
        <f>'12-A. Print Sub-Annex'!J29</f>
        <v>0</v>
      </c>
      <c r="K279" s="1862">
        <f>'12-A. Print Sub-Annex'!K29</f>
        <v>0</v>
      </c>
      <c r="L279" s="962">
        <f>'12-A. Print Sub-Annex'!L29</f>
        <v>0</v>
      </c>
      <c r="M279" s="1862">
        <f>'12-A. Print Sub-Annex'!M29</f>
        <v>0</v>
      </c>
      <c r="N279" s="1862">
        <f>'12-A. Print Sub-Annex'!N29</f>
        <v>0</v>
      </c>
      <c r="O279" s="962">
        <f>'12-A. Print Sub-Annex'!O29</f>
        <v>0</v>
      </c>
      <c r="P279" s="2735">
        <f>'12-A. Print Sub-Annex'!P29</f>
        <v>0</v>
      </c>
      <c r="Q279" s="2772" t="s">
        <v>5520</v>
      </c>
      <c r="R279" s="2729">
        <v>0</v>
      </c>
    </row>
    <row r="280" spans="1:18" s="861" customFormat="1">
      <c r="A280" s="4068"/>
      <c r="B280" s="2735" t="str">
        <f>'12-A. Print Sub-Annex'!B30</f>
        <v>A.3.5.6.1</v>
      </c>
      <c r="C280" s="1861" t="str">
        <f>'12-A. Print Sub-Annex'!C30</f>
        <v>Printing of FP Manuals, Guidelines, etc.</v>
      </c>
      <c r="D280" s="1862" t="str">
        <f>'12-A. Print Sub-Annex'!D30</f>
        <v>RCH</v>
      </c>
      <c r="E280" s="1862" t="str">
        <f>'12-A. Print Sub-Annex'!E30</f>
        <v>FP</v>
      </c>
      <c r="F280" s="1862">
        <f>'12-A. Print Sub-Annex'!F30</f>
        <v>0</v>
      </c>
      <c r="G280" s="1862">
        <f>'12-A. Print Sub-Annex'!G30</f>
        <v>0</v>
      </c>
      <c r="H280" s="1862">
        <f>'12-A. Print Sub-Annex'!H30</f>
        <v>0</v>
      </c>
      <c r="I280" s="1862">
        <f>'12-A. Print Sub-Annex'!I30</f>
        <v>0</v>
      </c>
      <c r="J280" s="1862">
        <f>'12-A. Print Sub-Annex'!J30</f>
        <v>0</v>
      </c>
      <c r="K280" s="1862">
        <f>'12-A. Print Sub-Annex'!K30</f>
        <v>0</v>
      </c>
      <c r="L280" s="962">
        <f>'12-A. Print Sub-Annex'!L30</f>
        <v>0</v>
      </c>
      <c r="M280" s="1862">
        <f>'12-A. Print Sub-Annex'!M30</f>
        <v>0</v>
      </c>
      <c r="N280" s="1862">
        <f>'12-A. Print Sub-Annex'!N30</f>
        <v>0</v>
      </c>
      <c r="O280" s="962">
        <f>'12-A. Print Sub-Annex'!O30</f>
        <v>0</v>
      </c>
      <c r="P280" s="2735">
        <f>'12-A. Print Sub-Annex'!P30</f>
        <v>0</v>
      </c>
      <c r="Q280" s="2772" t="s">
        <v>5520</v>
      </c>
      <c r="R280" s="2729">
        <v>0</v>
      </c>
    </row>
    <row r="281" spans="1:18" s="861" customFormat="1">
      <c r="A281" s="4068"/>
      <c r="B281" s="2735" t="str">
        <f>'12-A. Print Sub-Annex'!B31</f>
        <v>B.10.7.3</v>
      </c>
      <c r="C281" s="1861" t="str">
        <f>'12-A. Print Sub-Annex'!C31</f>
        <v>Printing of IUCD cards, MPA Card, FP manuals, guidelines etc.</v>
      </c>
      <c r="D281" s="1862" t="str">
        <f>'12-A. Print Sub-Annex'!D31</f>
        <v>RCH</v>
      </c>
      <c r="E281" s="1862" t="str">
        <f>'12-A. Print Sub-Annex'!E31</f>
        <v>FP</v>
      </c>
      <c r="F281" s="1862">
        <f>'12-A. Print Sub-Annex'!F31</f>
        <v>0</v>
      </c>
      <c r="G281" s="1862">
        <f>'12-A. Print Sub-Annex'!G31</f>
        <v>0</v>
      </c>
      <c r="H281" s="1862">
        <f>'12-A. Print Sub-Annex'!H31</f>
        <v>0</v>
      </c>
      <c r="I281" s="1862">
        <f>'12-A. Print Sub-Annex'!I31</f>
        <v>0</v>
      </c>
      <c r="J281" s="1862">
        <f>'12-A. Print Sub-Annex'!J31</f>
        <v>0</v>
      </c>
      <c r="K281" s="1862">
        <f>'12-A. Print Sub-Annex'!K31</f>
        <v>0</v>
      </c>
      <c r="L281" s="962">
        <f>'12-A. Print Sub-Annex'!L31</f>
        <v>0</v>
      </c>
      <c r="M281" s="1862">
        <f>'12-A. Print Sub-Annex'!M31</f>
        <v>0</v>
      </c>
      <c r="N281" s="1862">
        <f>'12-A. Print Sub-Annex'!N31</f>
        <v>0</v>
      </c>
      <c r="O281" s="962">
        <f>'12-A. Print Sub-Annex'!O31</f>
        <v>0</v>
      </c>
      <c r="P281" s="2735">
        <f>'12-A. Print Sub-Annex'!P31</f>
        <v>0</v>
      </c>
      <c r="Q281" s="2772" t="s">
        <v>5520</v>
      </c>
      <c r="R281" s="2729">
        <v>0</v>
      </c>
    </row>
    <row r="282" spans="1:18" s="861" customFormat="1">
      <c r="A282" s="4068"/>
      <c r="B282" s="2735">
        <f>'12-A. Print Sub-Annex'!B32</f>
        <v>0</v>
      </c>
      <c r="C282" s="1861" t="str">
        <f>'12-A. Print Sub-Annex'!C32</f>
        <v>Any other (please specify)</v>
      </c>
      <c r="D282" s="1862" t="str">
        <f>'12-A. Print Sub-Annex'!D32</f>
        <v>RCH</v>
      </c>
      <c r="E282" s="1862" t="str">
        <f>'12-A. Print Sub-Annex'!E32</f>
        <v>FP</v>
      </c>
      <c r="F282" s="1862">
        <f>'12-A. Print Sub-Annex'!F32</f>
        <v>0</v>
      </c>
      <c r="G282" s="1862">
        <f>'12-A. Print Sub-Annex'!G32</f>
        <v>0</v>
      </c>
      <c r="H282" s="1862">
        <f>'12-A. Print Sub-Annex'!H32</f>
        <v>0</v>
      </c>
      <c r="I282" s="1862">
        <f>'12-A. Print Sub-Annex'!I32</f>
        <v>0</v>
      </c>
      <c r="J282" s="1862">
        <f>'12-A. Print Sub-Annex'!J32</f>
        <v>0</v>
      </c>
      <c r="K282" s="1862">
        <f>'12-A. Print Sub-Annex'!K32</f>
        <v>0</v>
      </c>
      <c r="L282" s="962">
        <f>'12-A. Print Sub-Annex'!L32</f>
        <v>0</v>
      </c>
      <c r="M282" s="1862">
        <f>'12-A. Print Sub-Annex'!M32</f>
        <v>0</v>
      </c>
      <c r="N282" s="1862">
        <f>'12-A. Print Sub-Annex'!N32</f>
        <v>0</v>
      </c>
      <c r="O282" s="962">
        <f>'12-A. Print Sub-Annex'!O32</f>
        <v>0</v>
      </c>
      <c r="P282" s="2735">
        <f>'12-A. Print Sub-Annex'!P32</f>
        <v>0</v>
      </c>
      <c r="Q282" s="2772" t="s">
        <v>5520</v>
      </c>
      <c r="R282" s="2729">
        <v>0</v>
      </c>
    </row>
    <row r="283" spans="1:18" s="861" customFormat="1">
      <c r="A283" s="1858">
        <f>'14.Drug warehouse &amp;Logistic Anx'!A7</f>
        <v>14</v>
      </c>
      <c r="B283" s="1865"/>
      <c r="C283" s="1859" t="str">
        <f>'14.Drug warehouse &amp;Logistic Anx'!C7</f>
        <v>Drug Warehousing and Logistics</v>
      </c>
      <c r="D283" s="1860"/>
      <c r="E283" s="1860"/>
      <c r="F283" s="1860"/>
      <c r="G283" s="1860"/>
      <c r="H283" s="994"/>
      <c r="I283" s="1860"/>
      <c r="J283" s="994"/>
      <c r="K283" s="1860"/>
      <c r="L283" s="994"/>
      <c r="M283" s="994"/>
      <c r="N283" s="1866"/>
      <c r="O283" s="1867">
        <f>SUM(O284)</f>
        <v>0</v>
      </c>
      <c r="P283" s="1868"/>
      <c r="Q283" s="2743"/>
      <c r="R283" s="2770">
        <f>SUM(R284)</f>
        <v>0</v>
      </c>
    </row>
    <row r="284" spans="1:18" s="861" customFormat="1">
      <c r="A284" s="2735" t="str">
        <f>'14.Drug warehouse &amp;Logistic Anx'!A19</f>
        <v>14.2.3</v>
      </c>
      <c r="B284" s="2735">
        <f>'14.Drug warehouse &amp;Logistic Anx'!B19</f>
        <v>0</v>
      </c>
      <c r="C284" s="1861" t="str">
        <f>'14.Drug warehouse &amp;Logistic Anx'!C19</f>
        <v>Implementation of FP-LMIS</v>
      </c>
      <c r="D284" s="1862" t="str">
        <f>'14.Drug warehouse &amp;Logistic Anx'!D19</f>
        <v>RCH</v>
      </c>
      <c r="E284" s="1862" t="str">
        <f>'14.Drug warehouse &amp;Logistic Anx'!E19</f>
        <v>FP</v>
      </c>
      <c r="F284" s="1862">
        <f>'14.Drug warehouse &amp;Logistic Anx'!F19</f>
        <v>0</v>
      </c>
      <c r="G284" s="1862">
        <f>'14.Drug warehouse &amp;Logistic Anx'!G19</f>
        <v>0</v>
      </c>
      <c r="H284" s="1862">
        <f>'14.Drug warehouse &amp;Logistic Anx'!H19</f>
        <v>0</v>
      </c>
      <c r="I284" s="1862">
        <f>'14.Drug warehouse &amp;Logistic Anx'!I19</f>
        <v>0</v>
      </c>
      <c r="J284" s="1862">
        <f>'14.Drug warehouse &amp;Logistic Anx'!J19</f>
        <v>0</v>
      </c>
      <c r="K284" s="1862">
        <f>'14.Drug warehouse &amp;Logistic Anx'!K19</f>
        <v>0</v>
      </c>
      <c r="L284" s="962">
        <f>'14.Drug warehouse &amp;Logistic Anx'!L19</f>
        <v>0</v>
      </c>
      <c r="M284" s="1862">
        <f>'14.Drug warehouse &amp;Logistic Anx'!M19</f>
        <v>0</v>
      </c>
      <c r="N284" s="1862">
        <f>'14.Drug warehouse &amp;Logistic Anx'!N19</f>
        <v>0</v>
      </c>
      <c r="O284" s="962">
        <f>'14.Drug warehouse &amp;Logistic Anx'!O19</f>
        <v>0</v>
      </c>
      <c r="P284" s="2735">
        <f>'14.Drug warehouse &amp;Logistic Anx'!P19</f>
        <v>0</v>
      </c>
      <c r="Q284" s="2772" t="s">
        <v>5520</v>
      </c>
      <c r="R284" s="2729">
        <v>0</v>
      </c>
    </row>
    <row r="285" spans="1:18" s="861" customFormat="1">
      <c r="A285" s="1878">
        <f>'15.PPP Annex'!A7</f>
        <v>15</v>
      </c>
      <c r="B285" s="1878"/>
      <c r="C285" s="1879" t="str">
        <f>'15.PPP Annex'!C7</f>
        <v>PPP</v>
      </c>
      <c r="D285" s="1880"/>
      <c r="E285" s="1880"/>
      <c r="F285" s="1880"/>
      <c r="G285" s="1880"/>
      <c r="H285" s="1880"/>
      <c r="I285" s="1880"/>
      <c r="J285" s="1880"/>
      <c r="K285" s="1880"/>
      <c r="L285" s="994"/>
      <c r="M285" s="994"/>
      <c r="N285" s="1880"/>
      <c r="O285" s="994">
        <f>SUM(O286:O287)</f>
        <v>0</v>
      </c>
      <c r="P285" s="1878"/>
      <c r="Q285" s="2748"/>
      <c r="R285" s="2770">
        <f>SUM(R286:R287)</f>
        <v>0</v>
      </c>
    </row>
    <row r="286" spans="1:18" s="861" customFormat="1" ht="30">
      <c r="A286" s="2735" t="str">
        <f>'15.PPP Annex'!A9</f>
        <v>15.1.1</v>
      </c>
      <c r="B286" s="2735" t="str">
        <f>'15.PPP Annex'!B9</f>
        <v>A.3.1.5</v>
      </c>
      <c r="C286" s="1861" t="str">
        <f>'15.PPP Annex'!C9</f>
        <v xml:space="preserve">Processing accreditation/empanelment for private facilities/providers to provide sterilization services </v>
      </c>
      <c r="D286" s="1862" t="str">
        <f>'15.PPP Annex'!D9</f>
        <v xml:space="preserve">RCH </v>
      </c>
      <c r="E286" s="1862" t="str">
        <f>'15.PPP Annex'!E9</f>
        <v>FP</v>
      </c>
      <c r="F286" s="1862">
        <f>'15.PPP Annex'!F9</f>
        <v>0</v>
      </c>
      <c r="G286" s="1862">
        <f>'15.PPP Annex'!G9</f>
        <v>0</v>
      </c>
      <c r="H286" s="1862">
        <f>'15.PPP Annex'!H9</f>
        <v>0</v>
      </c>
      <c r="I286" s="1862">
        <f>'15.PPP Annex'!I9</f>
        <v>0</v>
      </c>
      <c r="J286" s="1862">
        <f>'15.PPP Annex'!J9</f>
        <v>0</v>
      </c>
      <c r="K286" s="1862">
        <f>'15.PPP Annex'!K9</f>
        <v>0</v>
      </c>
      <c r="L286" s="962">
        <f>'15.PPP Annex'!L9</f>
        <v>0</v>
      </c>
      <c r="M286" s="1862">
        <f>'15.PPP Annex'!M9</f>
        <v>0</v>
      </c>
      <c r="N286" s="1862">
        <f>'15.PPP Annex'!N9</f>
        <v>0</v>
      </c>
      <c r="O286" s="962">
        <f>'15.PPP Annex'!O9</f>
        <v>0</v>
      </c>
      <c r="P286" s="2735">
        <f>'15.PPP Annex'!P9</f>
        <v>0</v>
      </c>
      <c r="Q286" s="2772" t="s">
        <v>5520</v>
      </c>
      <c r="R286" s="2729">
        <v>0</v>
      </c>
    </row>
    <row r="287" spans="1:18" s="861" customFormat="1">
      <c r="A287" s="2735" t="str">
        <f>'15.PPP Annex'!A10</f>
        <v>15.1.2</v>
      </c>
      <c r="B287" s="2735">
        <f>'15.PPP Annex'!B10</f>
        <v>0</v>
      </c>
      <c r="C287" s="1861" t="str">
        <f>'15.PPP Annex'!C10</f>
        <v>Any other (please specify)</v>
      </c>
      <c r="D287" s="1862" t="str">
        <f>'15.PPP Annex'!D10</f>
        <v xml:space="preserve">RCH </v>
      </c>
      <c r="E287" s="1862" t="str">
        <f>'15.PPP Annex'!E10</f>
        <v>FP</v>
      </c>
      <c r="F287" s="1862">
        <f>'15.PPP Annex'!F10</f>
        <v>0</v>
      </c>
      <c r="G287" s="1862">
        <f>'15.PPP Annex'!G10</f>
        <v>0</v>
      </c>
      <c r="H287" s="1862">
        <f>'15.PPP Annex'!H10</f>
        <v>0</v>
      </c>
      <c r="I287" s="1862">
        <f>'15.PPP Annex'!I10</f>
        <v>0</v>
      </c>
      <c r="J287" s="1862">
        <f>'15.PPP Annex'!J10</f>
        <v>0</v>
      </c>
      <c r="K287" s="1862">
        <f>'15.PPP Annex'!K10</f>
        <v>0</v>
      </c>
      <c r="L287" s="962">
        <f>'15.PPP Annex'!L10</f>
        <v>0</v>
      </c>
      <c r="M287" s="1862">
        <f>'15.PPP Annex'!M10</f>
        <v>0</v>
      </c>
      <c r="N287" s="1862">
        <f>'15.PPP Annex'!N10</f>
        <v>0</v>
      </c>
      <c r="O287" s="962">
        <f>'15.PPP Annex'!O10</f>
        <v>0</v>
      </c>
      <c r="P287" s="2735">
        <f>'15.PPP Annex'!P10</f>
        <v>0</v>
      </c>
      <c r="Q287" s="2772" t="s">
        <v>5520</v>
      </c>
      <c r="R287" s="2729">
        <v>0</v>
      </c>
    </row>
    <row r="288" spans="1:18" s="861" customFormat="1">
      <c r="A288" s="1852" t="s">
        <v>4216</v>
      </c>
      <c r="B288" s="1852"/>
      <c r="C288" s="1853" t="s">
        <v>5063</v>
      </c>
      <c r="D288" s="1854"/>
      <c r="E288" s="1854"/>
      <c r="F288" s="1854"/>
      <c r="G288" s="1854"/>
      <c r="H288" s="1855"/>
      <c r="I288" s="1854"/>
      <c r="J288" s="1855"/>
      <c r="K288" s="1854"/>
      <c r="L288" s="1855"/>
      <c r="M288" s="1855"/>
      <c r="N288" s="1875"/>
      <c r="O288" s="1876">
        <f>O289+O294+O298+O302+O304+O311+O313+O330+O334</f>
        <v>514.96136000000001</v>
      </c>
      <c r="P288" s="1877"/>
      <c r="Q288" s="1891"/>
      <c r="R288" s="2752">
        <f>R289+R294+R298+R302+R304+R311+R313+R330+R334</f>
        <v>514.41142400000001</v>
      </c>
    </row>
    <row r="289" spans="1:18" s="889" customFormat="1">
      <c r="A289" s="1858">
        <f>'1.SD Facility Based Annex'!A7</f>
        <v>1</v>
      </c>
      <c r="B289" s="1858">
        <f>'1.SD Facility Based Annex'!B7</f>
        <v>0</v>
      </c>
      <c r="C289" s="1859" t="str">
        <f>'1.SD Facility Based Annex'!C7</f>
        <v>Service Delivery - Facility Based</v>
      </c>
      <c r="D289" s="1860"/>
      <c r="E289" s="1860"/>
      <c r="F289" s="1860"/>
      <c r="G289" s="1860"/>
      <c r="H289" s="1860"/>
      <c r="I289" s="1860"/>
      <c r="J289" s="1860"/>
      <c r="K289" s="1860"/>
      <c r="L289" s="994"/>
      <c r="M289" s="1860"/>
      <c r="N289" s="1860"/>
      <c r="O289" s="994">
        <f>SUM(O290:O293)</f>
        <v>4.5500000000000007</v>
      </c>
      <c r="P289" s="1858"/>
      <c r="Q289" s="2747"/>
      <c r="R289" s="2746">
        <f>SUM(R290:R293)</f>
        <v>4.55</v>
      </c>
    </row>
    <row r="290" spans="1:18" s="861" customFormat="1" ht="75">
      <c r="A290" s="2735" t="str">
        <f>'1.SD Facility Based Annex'!A30</f>
        <v>1.1.4.1</v>
      </c>
      <c r="B290" s="2735">
        <f>'1.SD Facility Based Annex'!B30</f>
        <v>0</v>
      </c>
      <c r="C290" s="1861" t="str">
        <f>'1.SD Facility Based Annex'!C30</f>
        <v>Activity for Strengthening AH Services</v>
      </c>
      <c r="D290" s="1862" t="str">
        <f>'1.SD Facility Based Annex'!D30</f>
        <v>RCH</v>
      </c>
      <c r="E290" s="1862" t="str">
        <f>'1.SD Facility Based Annex'!E30</f>
        <v>AH</v>
      </c>
      <c r="F290" s="1862">
        <f>'1.SD Facility Based Annex'!F30</f>
        <v>0</v>
      </c>
      <c r="G290" s="1862">
        <f>'1.SD Facility Based Annex'!G30</f>
        <v>0</v>
      </c>
      <c r="H290" s="1862">
        <f>'1.SD Facility Based Annex'!H30</f>
        <v>0</v>
      </c>
      <c r="I290" s="1862">
        <f>'1.SD Facility Based Annex'!I30</f>
        <v>0</v>
      </c>
      <c r="J290" s="1862">
        <f>'1.SD Facility Based Annex'!J30</f>
        <v>0</v>
      </c>
      <c r="K290" s="1862">
        <f>'1.SD Facility Based Annex'!K30</f>
        <v>0</v>
      </c>
      <c r="L290" s="962">
        <f>'1.SD Facility Based Annex'!L30</f>
        <v>15000</v>
      </c>
      <c r="M290" s="1862">
        <f>'1.SD Facility Based Annex'!M30</f>
        <v>0.15</v>
      </c>
      <c r="N290" s="1862">
        <f>'1.SD Facility Based Annex'!N30</f>
        <v>6</v>
      </c>
      <c r="O290" s="962">
        <f>'1.SD Facility Based Annex'!O30</f>
        <v>0.89999999999999991</v>
      </c>
      <c r="P290" s="2735" t="str">
        <f>'1.SD Facility Based Annex'!P30</f>
        <v>KEY DELIVERABLE ACTIVITYBi-annual coordination meeting between Health and Education @ Rs. 7500 per meeting under SHP/ RKSK for six districts implementing SHP.</v>
      </c>
      <c r="Q290" s="2018" t="s">
        <v>5614</v>
      </c>
      <c r="R290" s="2728">
        <f>7500*2*6/100000</f>
        <v>0.9</v>
      </c>
    </row>
    <row r="291" spans="1:18" s="861" customFormat="1" ht="45">
      <c r="A291" s="2735" t="str">
        <f>'1.SD Facility Based Annex'!A31</f>
        <v>1.1.4.2</v>
      </c>
      <c r="B291" s="2735">
        <f>'1.SD Facility Based Annex'!B31</f>
        <v>0</v>
      </c>
      <c r="C291" s="1861" t="str">
        <f>'1.SD Facility Based Annex'!C31</f>
        <v>Any other (please specify)</v>
      </c>
      <c r="D291" s="1862" t="str">
        <f>'1.SD Facility Based Annex'!D31</f>
        <v>RCH</v>
      </c>
      <c r="E291" s="1862" t="str">
        <f>'1.SD Facility Based Annex'!E31</f>
        <v>AH</v>
      </c>
      <c r="F291" s="1862">
        <f>'1.SD Facility Based Annex'!F31</f>
        <v>0</v>
      </c>
      <c r="G291" s="1862">
        <f>'1.SD Facility Based Annex'!G31</f>
        <v>0</v>
      </c>
      <c r="H291" s="1862">
        <f>'1.SD Facility Based Annex'!H31</f>
        <v>0</v>
      </c>
      <c r="I291" s="1862">
        <f>'1.SD Facility Based Annex'!I31</f>
        <v>0</v>
      </c>
      <c r="J291" s="1862">
        <f>'1.SD Facility Based Annex'!J31</f>
        <v>0</v>
      </c>
      <c r="K291" s="1862">
        <f>'1.SD Facility Based Annex'!K31</f>
        <v>0</v>
      </c>
      <c r="L291" s="962">
        <f>'1.SD Facility Based Annex'!L31</f>
        <v>35000</v>
      </c>
      <c r="M291" s="1862">
        <f>'1.SD Facility Based Annex'!M31</f>
        <v>0.35</v>
      </c>
      <c r="N291" s="1862">
        <f>'1.SD Facility Based Annex'!N31</f>
        <v>1</v>
      </c>
      <c r="O291" s="962">
        <f>'1.SD Facility Based Annex'!O31</f>
        <v>0.35</v>
      </c>
      <c r="P291" s="2735" t="str">
        <f>'1.SD Facility Based Annex'!P31</f>
        <v>KEY DELIVERABLE ACTIVITYState level convergence meeting @ Rs 35,000 per meeting under SHP</v>
      </c>
      <c r="Q291" s="2018" t="s">
        <v>5615</v>
      </c>
      <c r="R291" s="2728">
        <f>35000/100000</f>
        <v>0.35</v>
      </c>
    </row>
    <row r="292" spans="1:18" s="861" customFormat="1">
      <c r="A292" s="2735" t="str">
        <f>'1.SD Facility Based Annex'!A89</f>
        <v>1.3.1.6</v>
      </c>
      <c r="B292" s="2735" t="str">
        <f>'1.SD Facility Based Annex'!B89</f>
        <v>A.4.1.3</v>
      </c>
      <c r="C292" s="1861" t="str">
        <f>'1.SD Facility Based Annex'!C89</f>
        <v>Operating expenses for AH/ RKSK Clinics</v>
      </c>
      <c r="D292" s="1862" t="str">
        <f>'1.SD Facility Based Annex'!D89</f>
        <v>RCH</v>
      </c>
      <c r="E292" s="1862" t="str">
        <f>'1.SD Facility Based Annex'!E89</f>
        <v>AH</v>
      </c>
      <c r="F292" s="1862">
        <f>'1.SD Facility Based Annex'!F89</f>
        <v>0</v>
      </c>
      <c r="G292" s="1862">
        <f>'1.SD Facility Based Annex'!G89</f>
        <v>0</v>
      </c>
      <c r="H292" s="1862">
        <f>'1.SD Facility Based Annex'!H89</f>
        <v>0</v>
      </c>
      <c r="I292" s="1862">
        <f>'1.SD Facility Based Annex'!I89</f>
        <v>0</v>
      </c>
      <c r="J292" s="1862">
        <f>'1.SD Facility Based Annex'!J89</f>
        <v>0</v>
      </c>
      <c r="K292" s="1862">
        <f>'1.SD Facility Based Annex'!K89</f>
        <v>0</v>
      </c>
      <c r="L292" s="962">
        <f>'1.SD Facility Based Annex'!L89</f>
        <v>0</v>
      </c>
      <c r="M292" s="1862">
        <f>'1.SD Facility Based Annex'!M89</f>
        <v>0</v>
      </c>
      <c r="N292" s="1862">
        <f>'1.SD Facility Based Annex'!N89</f>
        <v>0</v>
      </c>
      <c r="O292" s="962">
        <f>'1.SD Facility Based Annex'!O89</f>
        <v>0</v>
      </c>
      <c r="P292" s="2735">
        <f>'1.SD Facility Based Annex'!P89</f>
        <v>0</v>
      </c>
      <c r="Q292" s="2018" t="s">
        <v>5521</v>
      </c>
      <c r="R292" s="2758">
        <v>0</v>
      </c>
    </row>
    <row r="293" spans="1:18" s="861" customFormat="1" ht="75">
      <c r="A293" s="2735" t="str">
        <f>'1.SD Facility Based Annex'!A106</f>
        <v>1.3.1.19</v>
      </c>
      <c r="B293" s="2735">
        <f>'1.SD Facility Based Annex'!B106</f>
        <v>0</v>
      </c>
      <c r="C293" s="1861" t="str">
        <f>'1.SD Facility Based Annex'!C106</f>
        <v>Establishment of District level Adolescent Friendly Health Resource Centre (AFHRC)</v>
      </c>
      <c r="D293" s="1862" t="str">
        <f>'1.SD Facility Based Annex'!D106</f>
        <v>RCH</v>
      </c>
      <c r="E293" s="1862" t="str">
        <f>'1.SD Facility Based Annex'!E106</f>
        <v>AH</v>
      </c>
      <c r="F293" s="1862">
        <f>'1.SD Facility Based Annex'!F106</f>
        <v>0</v>
      </c>
      <c r="G293" s="1862">
        <f>'1.SD Facility Based Annex'!G106</f>
        <v>0</v>
      </c>
      <c r="H293" s="1862">
        <f>'1.SD Facility Based Annex'!H106</f>
        <v>0</v>
      </c>
      <c r="I293" s="1862">
        <f>'1.SD Facility Based Annex'!I106</f>
        <v>0</v>
      </c>
      <c r="J293" s="1862">
        <f>'1.SD Facility Based Annex'!J106</f>
        <v>0</v>
      </c>
      <c r="K293" s="1862">
        <f>'1.SD Facility Based Annex'!K106</f>
        <v>0</v>
      </c>
      <c r="L293" s="962">
        <f>'1.SD Facility Based Annex'!L106</f>
        <v>110000</v>
      </c>
      <c r="M293" s="1862">
        <f>'1.SD Facility Based Annex'!M106</f>
        <v>1.1000000000000001</v>
      </c>
      <c r="N293" s="1862">
        <f>'1.SD Facility Based Annex'!N106</f>
        <v>3</v>
      </c>
      <c r="O293" s="962">
        <f>'1.SD Facility Based Annex'!O106</f>
        <v>3.3000000000000003</v>
      </c>
      <c r="P293" s="2735" t="str">
        <f>'1.SD Facility Based Annex'!P106</f>
        <v>Budget proposed for establishment of 3 AFHRC- at ZH Shimla, RH Chamba and ZH Mandi @110000</v>
      </c>
      <c r="Q293" s="2018" t="s">
        <v>5616</v>
      </c>
      <c r="R293" s="2728">
        <f>3*110000/100000</f>
        <v>3.3</v>
      </c>
    </row>
    <row r="294" spans="1:18" s="861" customFormat="1">
      <c r="A294" s="1858">
        <f>'2.SD Community Based Annex'!A7</f>
        <v>2</v>
      </c>
      <c r="B294" s="1858">
        <f>'2.SD Community Based Annex'!B7</f>
        <v>0</v>
      </c>
      <c r="C294" s="1859" t="str">
        <f>'2.SD Community Based Annex'!C7</f>
        <v>Service Delivery - Community Based</v>
      </c>
      <c r="D294" s="1860"/>
      <c r="E294" s="1860"/>
      <c r="F294" s="1860"/>
      <c r="G294" s="1860"/>
      <c r="H294" s="1860"/>
      <c r="I294" s="1860"/>
      <c r="J294" s="1860"/>
      <c r="K294" s="1860"/>
      <c r="L294" s="994"/>
      <c r="M294" s="1860"/>
      <c r="N294" s="1860"/>
      <c r="O294" s="994">
        <f>SUM(O295:O297)</f>
        <v>33.003</v>
      </c>
      <c r="P294" s="1858"/>
      <c r="Q294" s="2747"/>
      <c r="R294" s="2746">
        <f>SUM(R295:R297)</f>
        <v>33.003</v>
      </c>
    </row>
    <row r="295" spans="1:18" s="861" customFormat="1" ht="165">
      <c r="A295" s="2735" t="str">
        <f>'2.SD Community Based Annex'!A21</f>
        <v>2.2.2</v>
      </c>
      <c r="B295" s="2735" t="str">
        <f>'2.SD Community Based Annex'!B21</f>
        <v>A.4.1.4</v>
      </c>
      <c r="C295" s="1861" t="str">
        <f>'2.SD Community Based Annex'!C21</f>
        <v>Mobility &amp; Communication support for AH counsellors</v>
      </c>
      <c r="D295" s="1862" t="str">
        <f>'2.SD Community Based Annex'!D21</f>
        <v>RCH</v>
      </c>
      <c r="E295" s="1862" t="str">
        <f>'2.SD Community Based Annex'!E21</f>
        <v>AH</v>
      </c>
      <c r="F295" s="1862">
        <f>'2.SD Community Based Annex'!F21</f>
        <v>39</v>
      </c>
      <c r="G295" s="1862">
        <f>'2.SD Community Based Annex'!G21</f>
        <v>0</v>
      </c>
      <c r="H295" s="1862">
        <f>'2.SD Community Based Annex'!H21</f>
        <v>4.68</v>
      </c>
      <c r="I295" s="1862">
        <f>'2.SD Community Based Annex'!I21</f>
        <v>0.59</v>
      </c>
      <c r="J295" s="1862">
        <f>'2.SD Community Based Annex'!J21</f>
        <v>4.09</v>
      </c>
      <c r="K295" s="1862">
        <f>'2.SD Community Based Annex'!K21</f>
        <v>0</v>
      </c>
      <c r="L295" s="962">
        <f>'2.SD Community Based Annex'!L21</f>
        <v>334800</v>
      </c>
      <c r="M295" s="1862">
        <f>'2.SD Community Based Annex'!M21</f>
        <v>3.3479999999999999</v>
      </c>
      <c r="N295" s="1862">
        <f>'2.SD Community Based Annex'!N21</f>
        <v>1</v>
      </c>
      <c r="O295" s="962">
        <f>'2.SD Community Based Annex'!O21</f>
        <v>3.3479999999999999</v>
      </c>
      <c r="P295" s="2735" t="str">
        <f>'2.SD Community Based Annex'!P21</f>
        <v>KEY DELIVERABLE ACTIVITYProposed for 21 AH Counsellors for 2 visits in a month @ Rs. 250/- per visit under RKSK and 2 visits in a month @ 200/- per visit under SHP for 12 monthsFor 18 AH Counsellors (vacant positions) for 6 months and for 2 AH Counselors(new) for 6 months</v>
      </c>
      <c r="Q295" s="2018" t="s">
        <v>5617</v>
      </c>
      <c r="R295" s="2732">
        <f xml:space="preserve"> (21*2*12*250/100000)+(21*2*12*200/100000)+(20*6*2*250/100000)+(20*6*2*200/100000)</f>
        <v>3.3479999999999999</v>
      </c>
    </row>
    <row r="296" spans="1:18" s="861" customFormat="1" ht="60">
      <c r="A296" s="2735" t="str">
        <f>'2.SD Community Based Annex'!A39</f>
        <v>2.3.1.5</v>
      </c>
      <c r="B296" s="2735" t="str">
        <f>'2.SD Community Based Annex'!B39</f>
        <v>A.4.2.2</v>
      </c>
      <c r="C296" s="1861" t="str">
        <f>'2.SD Community Based Annex'!C39</f>
        <v>Organizing Adolescent Health day</v>
      </c>
      <c r="D296" s="1862" t="str">
        <f>'2.SD Community Based Annex'!D39</f>
        <v>RCH</v>
      </c>
      <c r="E296" s="1862" t="str">
        <f>'2.SD Community Based Annex'!E39</f>
        <v>AH</v>
      </c>
      <c r="F296" s="1862">
        <f>'2.SD Community Based Annex'!F39</f>
        <v>912</v>
      </c>
      <c r="G296" s="1862">
        <f>'2.SD Community Based Annex'!G39</f>
        <v>144</v>
      </c>
      <c r="H296" s="1862">
        <f>'2.SD Community Based Annex'!H39</f>
        <v>22.8</v>
      </c>
      <c r="I296" s="1862">
        <f>'2.SD Community Based Annex'!I39</f>
        <v>2.17</v>
      </c>
      <c r="J296" s="1862">
        <f>'2.SD Community Based Annex'!J39</f>
        <v>20.63</v>
      </c>
      <c r="K296" s="1862">
        <f>'2.SD Community Based Annex'!K39</f>
        <v>0</v>
      </c>
      <c r="L296" s="962">
        <f>'2.SD Community Based Annex'!L39</f>
        <v>2500</v>
      </c>
      <c r="M296" s="1862">
        <f>'2.SD Community Based Annex'!M39</f>
        <v>2.5000000000000001E-2</v>
      </c>
      <c r="N296" s="1862">
        <f>'2.SD Community Based Annex'!N39</f>
        <v>900</v>
      </c>
      <c r="O296" s="962">
        <f>'2.SD Community Based Annex'!O39</f>
        <v>22.5</v>
      </c>
      <c r="P296" s="2735" t="str">
        <f>'2.SD Community Based Annex'!P39</f>
        <v>Ongoing activity; Amount proposed for AHDs in 3 schools/ block (75)  per quarter @ Rs 2500 each for one year</v>
      </c>
      <c r="Q296" s="2018" t="s">
        <v>5618</v>
      </c>
      <c r="R296" s="2732">
        <f>3*75*4*2500/100000</f>
        <v>22.5</v>
      </c>
    </row>
    <row r="297" spans="1:18" s="861" customFormat="1" ht="150">
      <c r="A297" s="2735" t="str">
        <f>'2.SD Community Based Annex'!A40</f>
        <v>2.3.1.6</v>
      </c>
      <c r="B297" s="2735" t="str">
        <f>'2.SD Community Based Annex'!B40</f>
        <v>A.4.2.3</v>
      </c>
      <c r="C297" s="1861" t="str">
        <f>'2.SD Community Based Annex'!C40</f>
        <v xml:space="preserve">Organising Adolescent Friendly Club  meetings at subcentre level </v>
      </c>
      <c r="D297" s="1862" t="str">
        <f>'2.SD Community Based Annex'!D40</f>
        <v>RCH</v>
      </c>
      <c r="E297" s="1862" t="str">
        <f>'2.SD Community Based Annex'!E40</f>
        <v>AH</v>
      </c>
      <c r="F297" s="1862">
        <f>'2.SD Community Based Annex'!F40</f>
        <v>2388</v>
      </c>
      <c r="G297" s="1862">
        <f>'2.SD Community Based Annex'!G40</f>
        <v>0</v>
      </c>
      <c r="H297" s="1862">
        <f>'2.SD Community Based Annex'!H40</f>
        <v>11.94</v>
      </c>
      <c r="I297" s="1862">
        <f>'2.SD Community Based Annex'!I40</f>
        <v>0.04</v>
      </c>
      <c r="J297" s="1862">
        <f>'2.SD Community Based Annex'!J40</f>
        <v>11.9</v>
      </c>
      <c r="K297" s="1862">
        <f>'2.SD Community Based Annex'!K40</f>
        <v>0</v>
      </c>
      <c r="L297" s="962">
        <f>'2.SD Community Based Annex'!L40</f>
        <v>1500</v>
      </c>
      <c r="M297" s="1862">
        <f>'2.SD Community Based Annex'!M40</f>
        <v>1.4999999999999999E-2</v>
      </c>
      <c r="N297" s="1862">
        <f>'2.SD Community Based Annex'!N40</f>
        <v>477</v>
      </c>
      <c r="O297" s="962">
        <f>'2.SD Community Based Annex'!O40</f>
        <v>7.1549999999999994</v>
      </c>
      <c r="P297" s="2735" t="str">
        <f>'2.SD Community Based Annex'!P40</f>
        <v>Proposed for monthly AFC meetings at sub centre @ Rs. 500 per AFCs for three months. There are 477 sub centres in selected 19 PE blocks i.e block mashobra,matiyana,sunni,chirgaon,nankhari,kumarsain,kotkhai,tikkar,rampur,nerwa,shimla urban rohanda,kataula,bagsiad,baldwara,paddar,phukri,samhote and kihar.</v>
      </c>
      <c r="Q297" s="2018" t="s">
        <v>5676</v>
      </c>
      <c r="R297" s="2728">
        <f>500*3*477/100000</f>
        <v>7.1550000000000002</v>
      </c>
    </row>
    <row r="298" spans="1:18" s="861" customFormat="1">
      <c r="A298" s="1858">
        <f>'3.Community Intervention Annexn'!A7</f>
        <v>3</v>
      </c>
      <c r="B298" s="1858"/>
      <c r="C298" s="1859" t="str">
        <f>'3.Community Intervention Annexn'!C7</f>
        <v>Community Interventions</v>
      </c>
      <c r="D298" s="1860"/>
      <c r="E298" s="1860"/>
      <c r="F298" s="1860"/>
      <c r="G298" s="1860"/>
      <c r="H298" s="994"/>
      <c r="I298" s="1860"/>
      <c r="J298" s="994"/>
      <c r="K298" s="1860"/>
      <c r="L298" s="994"/>
      <c r="M298" s="994"/>
      <c r="N298" s="1866"/>
      <c r="O298" s="1867">
        <f>SUM(O299:O301)</f>
        <v>12.696</v>
      </c>
      <c r="P298" s="1868"/>
      <c r="Q298" s="2743"/>
      <c r="R298" s="2744">
        <f>SUM(R299:R301)</f>
        <v>12.696</v>
      </c>
    </row>
    <row r="299" spans="1:18" s="861" customFormat="1">
      <c r="A299" s="4068" t="str">
        <f>'3.Community Intervention Annexn'!A15</f>
        <v>3.1.1.1.5</v>
      </c>
      <c r="B299" s="2735" t="str">
        <f>'3-A. CI Sub-Annex'!B34</f>
        <v>B.1.1.3.4.1</v>
      </c>
      <c r="C299" s="1861" t="str">
        <f>'3-A. CI Sub-Annex'!C34</f>
        <v>Incentive for support to Peer Educator</v>
      </c>
      <c r="D299" s="1862" t="str">
        <f>'3-A. CI Sub-Annex'!D34</f>
        <v>HSS</v>
      </c>
      <c r="E299" s="1862" t="str">
        <f>'3-A. CI Sub-Annex'!E34</f>
        <v>AH/NHSRC-CP</v>
      </c>
      <c r="F299" s="1862">
        <f>'3-A. CI Sub-Annex'!F34</f>
        <v>0</v>
      </c>
      <c r="G299" s="1862">
        <f>'3-A. CI Sub-Annex'!G34</f>
        <v>0</v>
      </c>
      <c r="H299" s="1862">
        <f>'3-A. CI Sub-Annex'!H34</f>
        <v>0</v>
      </c>
      <c r="I299" s="1862">
        <f>'3-A. CI Sub-Annex'!I34</f>
        <v>0.04</v>
      </c>
      <c r="J299" s="1862">
        <f>'3-A. CI Sub-Annex'!J34</f>
        <v>0</v>
      </c>
      <c r="K299" s="1862">
        <f>'3-A. CI Sub-Annex'!K34</f>
        <v>0</v>
      </c>
      <c r="L299" s="962">
        <f>'3-A. CI Sub-Annex'!L34</f>
        <v>0</v>
      </c>
      <c r="M299" s="1862">
        <f>'3-A. CI Sub-Annex'!M34</f>
        <v>0</v>
      </c>
      <c r="N299" s="1862">
        <f>'3-A. CI Sub-Annex'!N34</f>
        <v>0</v>
      </c>
      <c r="O299" s="962">
        <f>'3-A. CI Sub-Annex'!O34</f>
        <v>0</v>
      </c>
      <c r="P299" s="2735">
        <f>'3-A. CI Sub-Annex'!P34</f>
        <v>0</v>
      </c>
      <c r="Q299" s="2018" t="s">
        <v>5521</v>
      </c>
      <c r="R299" s="2758">
        <v>0</v>
      </c>
    </row>
    <row r="300" spans="1:18" s="861" customFormat="1">
      <c r="A300" s="4068"/>
      <c r="B300" s="2735" t="str">
        <f>'3-A. CI Sub-Annex'!B35</f>
        <v>B.1.1.3.4.2</v>
      </c>
      <c r="C300" s="1861" t="str">
        <f>'3-A. CI Sub-Annex'!C35</f>
        <v>Incentive for mobilizing adolescents  and community for AHD</v>
      </c>
      <c r="D300" s="1862" t="str">
        <f>'3-A. CI Sub-Annex'!D35</f>
        <v>HSS</v>
      </c>
      <c r="E300" s="1862" t="str">
        <f>'3-A. CI Sub-Annex'!E35</f>
        <v>AH/NHSRC-CP</v>
      </c>
      <c r="F300" s="1862">
        <f>'3-A. CI Sub-Annex'!F35</f>
        <v>0</v>
      </c>
      <c r="G300" s="1862">
        <f>'3-A. CI Sub-Annex'!G35</f>
        <v>0</v>
      </c>
      <c r="H300" s="1862">
        <f>'3-A. CI Sub-Annex'!H35</f>
        <v>0</v>
      </c>
      <c r="I300" s="1862">
        <f>'3-A. CI Sub-Annex'!I35</f>
        <v>0</v>
      </c>
      <c r="J300" s="1862">
        <f>'3-A. CI Sub-Annex'!J35</f>
        <v>0</v>
      </c>
      <c r="K300" s="1862">
        <f>'3-A. CI Sub-Annex'!K35</f>
        <v>0</v>
      </c>
      <c r="L300" s="962">
        <f>'3-A. CI Sub-Annex'!L35</f>
        <v>0</v>
      </c>
      <c r="M300" s="1862">
        <f>'3-A. CI Sub-Annex'!M35</f>
        <v>0</v>
      </c>
      <c r="N300" s="1862">
        <f>'3-A. CI Sub-Annex'!N35</f>
        <v>0</v>
      </c>
      <c r="O300" s="962">
        <f>'3-A. CI Sub-Annex'!O35</f>
        <v>0</v>
      </c>
      <c r="P300" s="2735">
        <f>'3-A. CI Sub-Annex'!P35</f>
        <v>0</v>
      </c>
      <c r="Q300" s="2018" t="s">
        <v>5521</v>
      </c>
      <c r="R300" s="2758">
        <v>0</v>
      </c>
    </row>
    <row r="301" spans="1:18" s="861" customFormat="1" ht="60">
      <c r="A301" s="2735" t="str">
        <f>'3.Community Intervention Annexn'!A36</f>
        <v>3.2.1.2</v>
      </c>
      <c r="B301" s="2735" t="str">
        <f>'3-A. CI Sub-Annex'!B91</f>
        <v>A.4.2.1</v>
      </c>
      <c r="C301" s="1861" t="str">
        <f>'3-A. CI Sub-Annex'!C91</f>
        <v>Incentives for Peer Educators</v>
      </c>
      <c r="D301" s="1862" t="str">
        <f>'3-A. CI Sub-Annex'!D91</f>
        <v>RCH</v>
      </c>
      <c r="E301" s="1862" t="str">
        <f>'3-A. CI Sub-Annex'!E91</f>
        <v>AH</v>
      </c>
      <c r="F301" s="1862">
        <f>'3-A. CI Sub-Annex'!F91</f>
        <v>852</v>
      </c>
      <c r="G301" s="1862">
        <f>'3-A. CI Sub-Annex'!G91</f>
        <v>0</v>
      </c>
      <c r="H301" s="1862">
        <f>'3-A. CI Sub-Annex'!H91</f>
        <v>5.1100000000000003</v>
      </c>
      <c r="I301" s="1862">
        <f>'3-A. CI Sub-Annex'!I91</f>
        <v>0</v>
      </c>
      <c r="J301" s="1862">
        <f>'3-A. CI Sub-Annex'!J91</f>
        <v>0</v>
      </c>
      <c r="K301" s="1862">
        <f>'3-A. CI Sub-Annex'!K91</f>
        <v>0</v>
      </c>
      <c r="L301" s="962">
        <f>'3-A. CI Sub-Annex'!L91</f>
        <v>600</v>
      </c>
      <c r="M301" s="1862">
        <f>'3-A. CI Sub-Annex'!M91</f>
        <v>6.0000000000000001E-3</v>
      </c>
      <c r="N301" s="1862">
        <f>'3-A. CI Sub-Annex'!N91</f>
        <v>2116</v>
      </c>
      <c r="O301" s="962">
        <f>'3-A. CI Sub-Annex'!O91</f>
        <v>12.696</v>
      </c>
      <c r="P301" s="2735" t="str">
        <f>'3-A. CI Sub-Annex'!P91</f>
        <v>Amount proposed for non monetory incentive for 2116 Peer Educator @ Rs. 50 for 12 months.</v>
      </c>
      <c r="Q301" s="2018" t="s">
        <v>5619</v>
      </c>
      <c r="R301" s="2728">
        <f>2116*50*12/100000</f>
        <v>12.696</v>
      </c>
    </row>
    <row r="302" spans="1:18" s="861" customFormat="1">
      <c r="A302" s="1858">
        <f>'5.Infrastructure Annex'!A7</f>
        <v>5</v>
      </c>
      <c r="B302" s="1858"/>
      <c r="C302" s="1859" t="str">
        <f>'5.Infrastructure Annex'!C7</f>
        <v>Infrastructure</v>
      </c>
      <c r="D302" s="1860"/>
      <c r="E302" s="1860"/>
      <c r="F302" s="1860"/>
      <c r="G302" s="1860"/>
      <c r="H302" s="994"/>
      <c r="I302" s="1860"/>
      <c r="J302" s="994"/>
      <c r="K302" s="1860"/>
      <c r="L302" s="994"/>
      <c r="M302" s="994"/>
      <c r="N302" s="1866"/>
      <c r="O302" s="1867">
        <f>O303</f>
        <v>10.4</v>
      </c>
      <c r="P302" s="1868"/>
      <c r="Q302" s="2743"/>
      <c r="R302" s="2744">
        <f>R303</f>
        <v>10.4</v>
      </c>
    </row>
    <row r="303" spans="1:18" s="2784" customFormat="1" ht="210.75" customHeight="1">
      <c r="A303" s="2779" t="str">
        <f>'5.Infrastructure Annex'!A65</f>
        <v>5.2.1.9</v>
      </c>
      <c r="B303" s="2779" t="str">
        <f>'5.Infrastructure Annex'!B65</f>
        <v>A.4.1.2</v>
      </c>
      <c r="C303" s="2780" t="str">
        <f>'5.Infrastructure Annex'!C65</f>
        <v xml:space="preserve">AFHCs at Medical college/ DH/CHC/PHC level  </v>
      </c>
      <c r="D303" s="2781" t="str">
        <f>'5.Infrastructure Annex'!D65</f>
        <v>RCH</v>
      </c>
      <c r="E303" s="2781" t="str">
        <f>'5.Infrastructure Annex'!E65</f>
        <v>AH</v>
      </c>
      <c r="F303" s="2781">
        <f>'5.Infrastructure Annex'!F65</f>
        <v>49</v>
      </c>
      <c r="G303" s="2781">
        <f>'5.Infrastructure Annex'!G65</f>
        <v>0</v>
      </c>
      <c r="H303" s="2781">
        <f>'5.Infrastructure Annex'!H65</f>
        <v>24.5</v>
      </c>
      <c r="I303" s="2781">
        <f>'5.Infrastructure Annex'!I65</f>
        <v>0.68</v>
      </c>
      <c r="J303" s="2781">
        <f>'5.Infrastructure Annex'!J65</f>
        <v>23.82</v>
      </c>
      <c r="K303" s="2781">
        <f>'5.Infrastructure Annex'!K65</f>
        <v>0</v>
      </c>
      <c r="L303" s="2782">
        <f>'5.Infrastructure Annex'!L65</f>
        <v>1040000</v>
      </c>
      <c r="M303" s="2781">
        <f>'5.Infrastructure Annex'!M65</f>
        <v>10.4</v>
      </c>
      <c r="N303" s="2781">
        <f>'5.Infrastructure Annex'!N65</f>
        <v>1</v>
      </c>
      <c r="O303" s="2782">
        <f>'5.Infrastructure Annex'!O65</f>
        <v>10.4</v>
      </c>
      <c r="P303" s="2779" t="str">
        <f>'5.Infrastructure Annex'!P65</f>
        <v>The amount is required for 99 clinics (Kangra 19, Bilaspur 5, Mandi 16, Chamba 8, 51 in non RKSK districts ) for contigencies including minor repair etc. @ Rs. 10000/- per clinic Amount of 50,000  is required for establishment of  new Nayi Disha Kendras at PHC Sanjauli, Shimla</v>
      </c>
      <c r="Q303" s="2785" t="s">
        <v>5679</v>
      </c>
      <c r="R303" s="2783">
        <f>(99*10000/100000)+(50000/100000)</f>
        <v>10.4</v>
      </c>
    </row>
    <row r="304" spans="1:18" s="861" customFormat="1">
      <c r="A304" s="1858">
        <f>'6.Procurement Annex'!A7</f>
        <v>6</v>
      </c>
      <c r="B304" s="1858"/>
      <c r="C304" s="1859" t="str">
        <f>'6.Procurement Annex'!C7</f>
        <v>Procurement</v>
      </c>
      <c r="D304" s="1860"/>
      <c r="E304" s="1860"/>
      <c r="F304" s="1860"/>
      <c r="G304" s="1860"/>
      <c r="H304" s="994"/>
      <c r="I304" s="1860"/>
      <c r="J304" s="994"/>
      <c r="K304" s="1860"/>
      <c r="L304" s="994"/>
      <c r="M304" s="994"/>
      <c r="N304" s="1866"/>
      <c r="O304" s="1867">
        <f>SUM(O305:O310)</f>
        <v>100</v>
      </c>
      <c r="P304" s="1868"/>
      <c r="Q304" s="2743"/>
      <c r="R304" s="2770">
        <f>SUM(R305:R310)</f>
        <v>99.447823999999997</v>
      </c>
    </row>
    <row r="305" spans="1:18" s="861" customFormat="1">
      <c r="A305" s="4068" t="str">
        <f>'6.Procurement Annex'!A13</f>
        <v>6.1.1.4</v>
      </c>
      <c r="B305" s="2735" t="str">
        <f>'6-A. Proc. Sub-Annex'!B27</f>
        <v>B16.1.6.1</v>
      </c>
      <c r="C305" s="1861" t="str">
        <f>'6-A. Proc. Sub-Annex'!C27</f>
        <v>Equipment for AFHCs</v>
      </c>
      <c r="D305" s="1862" t="str">
        <f>'6-A. Proc. Sub-Annex'!D27</f>
        <v>RCH</v>
      </c>
      <c r="E305" s="1862" t="str">
        <f>'6-A. Proc. Sub-Annex'!E27</f>
        <v>AH</v>
      </c>
      <c r="F305" s="1862">
        <f>'6-A. Proc. Sub-Annex'!F27</f>
        <v>0</v>
      </c>
      <c r="G305" s="1862">
        <f>'6-A. Proc. Sub-Annex'!G27</f>
        <v>0</v>
      </c>
      <c r="H305" s="1862">
        <f>'6-A. Proc. Sub-Annex'!H27</f>
        <v>0</v>
      </c>
      <c r="I305" s="1862">
        <f>'6-A. Proc. Sub-Annex'!I27</f>
        <v>0</v>
      </c>
      <c r="J305" s="1862">
        <f>'6-A. Proc. Sub-Annex'!J27</f>
        <v>0</v>
      </c>
      <c r="K305" s="1862">
        <f>'6-A. Proc. Sub-Annex'!K27</f>
        <v>0</v>
      </c>
      <c r="L305" s="962">
        <f>'6-A. Proc. Sub-Annex'!L27</f>
        <v>0</v>
      </c>
      <c r="M305" s="1862">
        <f>'6-A. Proc. Sub-Annex'!M27</f>
        <v>0</v>
      </c>
      <c r="N305" s="1862">
        <f>'6-A. Proc. Sub-Annex'!N27</f>
        <v>0</v>
      </c>
      <c r="O305" s="962">
        <f>'6-A. Proc. Sub-Annex'!O27</f>
        <v>0</v>
      </c>
      <c r="P305" s="2735">
        <f>'6-A. Proc. Sub-Annex'!P27</f>
        <v>0</v>
      </c>
      <c r="Q305" s="2018" t="s">
        <v>5521</v>
      </c>
      <c r="R305" s="2742">
        <v>0</v>
      </c>
    </row>
    <row r="306" spans="1:18" s="861" customFormat="1">
      <c r="A306" s="4068"/>
      <c r="B306" s="2735" t="str">
        <f>'6-A. Proc. Sub-Annex'!B28</f>
        <v>B16.1.6.2</v>
      </c>
      <c r="C306" s="1861" t="str">
        <f>'6-A. Proc. Sub-Annex'!C28</f>
        <v>Any other equipment (please specify)</v>
      </c>
      <c r="D306" s="1862" t="str">
        <f>'6-A. Proc. Sub-Annex'!D28</f>
        <v>RCH</v>
      </c>
      <c r="E306" s="1862" t="str">
        <f>'6-A. Proc. Sub-Annex'!E28</f>
        <v>AH</v>
      </c>
      <c r="F306" s="1862">
        <f>'6-A. Proc. Sub-Annex'!F28</f>
        <v>0</v>
      </c>
      <c r="G306" s="1862">
        <f>'6-A. Proc. Sub-Annex'!G28</f>
        <v>0</v>
      </c>
      <c r="H306" s="1862">
        <f>'6-A. Proc. Sub-Annex'!H28</f>
        <v>0</v>
      </c>
      <c r="I306" s="1862">
        <f>'6-A. Proc. Sub-Annex'!I28</f>
        <v>0</v>
      </c>
      <c r="J306" s="1862">
        <f>'6-A. Proc. Sub-Annex'!J28</f>
        <v>0</v>
      </c>
      <c r="K306" s="1862">
        <f>'6-A. Proc. Sub-Annex'!K28</f>
        <v>0</v>
      </c>
      <c r="L306" s="962">
        <f>'6-A. Proc. Sub-Annex'!L28</f>
        <v>0</v>
      </c>
      <c r="M306" s="1862">
        <f>'6-A. Proc. Sub-Annex'!M28</f>
        <v>0</v>
      </c>
      <c r="N306" s="1862">
        <f>'6-A. Proc. Sub-Annex'!N28</f>
        <v>0</v>
      </c>
      <c r="O306" s="962">
        <f>'6-A. Proc. Sub-Annex'!O28</f>
        <v>0</v>
      </c>
      <c r="P306" s="2735">
        <f>'6-A. Proc. Sub-Annex'!P28</f>
        <v>0</v>
      </c>
      <c r="Q306" s="2018" t="s">
        <v>5521</v>
      </c>
      <c r="R306" s="2742">
        <v>0</v>
      </c>
    </row>
    <row r="307" spans="1:18" s="861" customFormat="1" ht="30">
      <c r="A307" s="4068" t="str">
        <f>'6.Procurement Annex'!A59</f>
        <v>6.2.1.4</v>
      </c>
      <c r="B307" s="2735" t="str">
        <f>'6-A. Proc. Sub-Annex'!B177</f>
        <v>B.16.2.6.3.a</v>
      </c>
      <c r="C307" s="1861" t="str">
        <f>'6-A. Proc. Sub-Annex'!C177</f>
        <v>IFA tablets under WIFS (10-19 yrs.)</v>
      </c>
      <c r="D307" s="1862" t="str">
        <f>'6-A. Proc. Sub-Annex'!D177</f>
        <v>RCH</v>
      </c>
      <c r="E307" s="1862" t="str">
        <f>'6-A. Proc. Sub-Annex'!E177</f>
        <v>AH</v>
      </c>
      <c r="F307" s="1862">
        <f>'6-A. Proc. Sub-Annex'!F177</f>
        <v>38957568</v>
      </c>
      <c r="G307" s="1862">
        <f>'6-A. Proc. Sub-Annex'!G177</f>
        <v>0</v>
      </c>
      <c r="H307" s="1862">
        <f>'6-A. Proc. Sub-Annex'!H177</f>
        <v>0</v>
      </c>
      <c r="I307" s="1862">
        <f>'6-A. Proc. Sub-Annex'!I177</f>
        <v>0</v>
      </c>
      <c r="J307" s="1862">
        <f>'6-A. Proc. Sub-Annex'!J177</f>
        <v>0</v>
      </c>
      <c r="K307" s="1862">
        <f>'6-A. Proc. Sub-Annex'!K177</f>
        <v>0</v>
      </c>
      <c r="L307" s="962">
        <f>'6-A. Proc. Sub-Annex'!L177</f>
        <v>0</v>
      </c>
      <c r="M307" s="1862">
        <f>'6-A. Proc. Sub-Annex'!M177</f>
        <v>0</v>
      </c>
      <c r="N307" s="1862">
        <f>'6-A. Proc. Sub-Annex'!N177</f>
        <v>0</v>
      </c>
      <c r="O307" s="962">
        <f>'6-A. Proc. Sub-Annex'!O177</f>
        <v>0</v>
      </c>
      <c r="P307" s="2735">
        <f>'6-A. Proc. Sub-Annex'!P177</f>
        <v>0</v>
      </c>
      <c r="Q307" s="2018" t="s">
        <v>5566</v>
      </c>
      <c r="R307" s="2742">
        <v>0</v>
      </c>
    </row>
    <row r="308" spans="1:18" s="861" customFormat="1" ht="120">
      <c r="A308" s="4068"/>
      <c r="B308" s="2735" t="str">
        <f>'6-A. Proc. Sub-Annex'!B178</f>
        <v>B.16.2.6.3.b</v>
      </c>
      <c r="C308" s="1861" t="str">
        <f>'6-A. Proc. Sub-Annex'!C178</f>
        <v>Albendazole Tablets under WIFS (10-19 yrs.)</v>
      </c>
      <c r="D308" s="1862" t="str">
        <f>'6-A. Proc. Sub-Annex'!D178</f>
        <v>RCH</v>
      </c>
      <c r="E308" s="1862" t="str">
        <f>'6-A. Proc. Sub-Annex'!E178</f>
        <v>AH</v>
      </c>
      <c r="F308" s="1862">
        <f>'6-A. Proc. Sub-Annex'!F178</f>
        <v>1700000</v>
      </c>
      <c r="G308" s="1862">
        <f>'6-A. Proc. Sub-Annex'!G178</f>
        <v>0</v>
      </c>
      <c r="H308" s="1862">
        <f>'6-A. Proc. Sub-Annex'!H178</f>
        <v>34</v>
      </c>
      <c r="I308" s="1862">
        <f>'6-A. Proc. Sub-Annex'!I178</f>
        <v>0</v>
      </c>
      <c r="J308" s="1862">
        <f>'6-A. Proc. Sub-Annex'!J178</f>
        <v>34</v>
      </c>
      <c r="K308" s="1862">
        <f>'6-A. Proc. Sub-Annex'!K178</f>
        <v>0</v>
      </c>
      <c r="L308" s="962">
        <f>'6-A. Proc. Sub-Annex'!L178</f>
        <v>0</v>
      </c>
      <c r="M308" s="1862">
        <f>'6-A. Proc. Sub-Annex'!M178</f>
        <v>0</v>
      </c>
      <c r="N308" s="1862">
        <f>'6-A. Proc. Sub-Annex'!N178</f>
        <v>0</v>
      </c>
      <c r="O308" s="962">
        <f>'6-A. Proc. Sub-Annex'!O178</f>
        <v>0</v>
      </c>
      <c r="P308" s="2735">
        <f>'6-A. Proc. Sub-Annex'!P178</f>
        <v>0</v>
      </c>
      <c r="Q308" s="2018" t="s">
        <v>5620</v>
      </c>
      <c r="R308" s="2742">
        <v>0</v>
      </c>
    </row>
    <row r="309" spans="1:18" s="861" customFormat="1" ht="146.25" customHeight="1">
      <c r="A309" s="4068"/>
      <c r="B309" s="2735" t="str">
        <f>'6-A. Proc. Sub-Annex'!B179</f>
        <v>B.16.2.9.1</v>
      </c>
      <c r="C309" s="1861" t="str">
        <f>'6-A. Proc. Sub-Annex'!C179</f>
        <v>Sanitary napkins procurement</v>
      </c>
      <c r="D309" s="1862" t="str">
        <f>'6-A. Proc. Sub-Annex'!D179</f>
        <v>RCH</v>
      </c>
      <c r="E309" s="1862" t="str">
        <f>'6-A. Proc. Sub-Annex'!E179</f>
        <v>AH</v>
      </c>
      <c r="F309" s="1862">
        <f>'6-A. Proc. Sub-Annex'!F179</f>
        <v>1000000</v>
      </c>
      <c r="G309" s="1862">
        <f>'6-A. Proc. Sub-Annex'!G179</f>
        <v>0</v>
      </c>
      <c r="H309" s="1862">
        <f>'6-A. Proc. Sub-Annex'!H179</f>
        <v>98</v>
      </c>
      <c r="I309" s="1862">
        <f>'6-A. Proc. Sub-Annex'!I179</f>
        <v>263.66000000000003</v>
      </c>
      <c r="J309" s="1862">
        <f>'6-A. Proc. Sub-Annex'!J179</f>
        <v>0</v>
      </c>
      <c r="K309" s="1862">
        <f>'6-A. Proc. Sub-Annex'!K179</f>
        <v>0</v>
      </c>
      <c r="L309" s="962">
        <f>'6-A. Proc. Sub-Annex'!L179</f>
        <v>10000000</v>
      </c>
      <c r="M309" s="1862">
        <f>'6-A. Proc. Sub-Annex'!M179</f>
        <v>100</v>
      </c>
      <c r="N309" s="1862">
        <f>'6-A. Proc. Sub-Annex'!N179</f>
        <v>1</v>
      </c>
      <c r="O309" s="962">
        <f>'6-A. Proc. Sub-Annex'!O179</f>
        <v>100</v>
      </c>
      <c r="P309" s="2735" t="str">
        <f>'6-A. Proc. Sub-Annex'!P179</f>
        <v xml:space="preserve">There are 373864 adoloscent girls covered under the scheme. This includes all the girls in rural as well as urban areas.The state governement has commited to provide Rs 4 Crore per year for sanitary napkins @ Re 1 per pack of 6 pads </v>
      </c>
      <c r="Q309" s="2708" t="s">
        <v>5677</v>
      </c>
      <c r="R309" s="2786">
        <f>373864*1.33*20/100000</f>
        <v>99.447823999999997</v>
      </c>
    </row>
    <row r="310" spans="1:18" s="861" customFormat="1">
      <c r="A310" s="4068"/>
      <c r="B310" s="2735">
        <f>'6-A. Proc. Sub-Annex'!B180</f>
        <v>0</v>
      </c>
      <c r="C310" s="1861" t="str">
        <f>'6-A. Proc. Sub-Annex'!C180</f>
        <v>Any other Drugs &amp; Supplies (Please specify)</v>
      </c>
      <c r="D310" s="1862" t="str">
        <f>'6-A. Proc. Sub-Annex'!D180</f>
        <v>RCH</v>
      </c>
      <c r="E310" s="1862" t="str">
        <f>'6-A. Proc. Sub-Annex'!E180</f>
        <v>AH</v>
      </c>
      <c r="F310" s="1862">
        <f>'6-A. Proc. Sub-Annex'!F180</f>
        <v>0</v>
      </c>
      <c r="G310" s="1862">
        <f>'6-A. Proc. Sub-Annex'!G180</f>
        <v>0</v>
      </c>
      <c r="H310" s="1862">
        <f>'6-A. Proc. Sub-Annex'!H180</f>
        <v>0</v>
      </c>
      <c r="I310" s="1862">
        <f>'6-A. Proc. Sub-Annex'!I180</f>
        <v>0</v>
      </c>
      <c r="J310" s="1862">
        <f>'6-A. Proc. Sub-Annex'!J180</f>
        <v>0</v>
      </c>
      <c r="K310" s="1862">
        <f>'6-A. Proc. Sub-Annex'!K180</f>
        <v>0</v>
      </c>
      <c r="L310" s="962">
        <f>'6-A. Proc. Sub-Annex'!L180</f>
        <v>0</v>
      </c>
      <c r="M310" s="1862">
        <f>'6-A. Proc. Sub-Annex'!M180</f>
        <v>0</v>
      </c>
      <c r="N310" s="1862">
        <f>'6-A. Proc. Sub-Annex'!N180</f>
        <v>0</v>
      </c>
      <c r="O310" s="962">
        <f>'6-A. Proc. Sub-Annex'!O180</f>
        <v>0</v>
      </c>
      <c r="P310" s="2735">
        <f>'6-A. Proc. Sub-Annex'!P180</f>
        <v>0</v>
      </c>
      <c r="Q310" s="2772" t="s">
        <v>5520</v>
      </c>
      <c r="R310" s="2729">
        <v>0</v>
      </c>
    </row>
    <row r="311" spans="1:18" s="861" customFormat="1">
      <c r="A311" s="1858">
        <f>'8.Human Resources (SD) Annex'!A7</f>
        <v>8</v>
      </c>
      <c r="B311" s="1858"/>
      <c r="C311" s="1859" t="str">
        <f>'8.Human Resources (SD) Annex'!C7</f>
        <v>Human Resources</v>
      </c>
      <c r="D311" s="1860"/>
      <c r="E311" s="1860"/>
      <c r="F311" s="1860"/>
      <c r="G311" s="1860"/>
      <c r="H311" s="1860"/>
      <c r="I311" s="1860"/>
      <c r="J311" s="1860"/>
      <c r="K311" s="1860"/>
      <c r="L311" s="994"/>
      <c r="M311" s="1860"/>
      <c r="N311" s="1860"/>
      <c r="O311" s="994">
        <f>O312</f>
        <v>0</v>
      </c>
      <c r="P311" s="1858"/>
      <c r="Q311" s="2747"/>
      <c r="R311" s="2770">
        <f>R312</f>
        <v>0</v>
      </c>
    </row>
    <row r="312" spans="1:18" s="861" customFormat="1">
      <c r="A312" s="2735" t="str">
        <f>'8.Human Resources (SD) Annex'!A167</f>
        <v>8.4.4</v>
      </c>
      <c r="B312" s="2735" t="str">
        <f>'8.Human Resources (SD) Annex'!B167</f>
        <v>B.30.17.1</v>
      </c>
      <c r="C312" s="1861" t="str">
        <f>'8.Human Resources (SD) Annex'!C167</f>
        <v>Honorarium to ICTC and other Counsellors for outreach AH activities</v>
      </c>
      <c r="D312" s="1862" t="str">
        <f>'8.Human Resources (SD) Annex'!D167</f>
        <v>RCH</v>
      </c>
      <c r="E312" s="1862" t="str">
        <f>'8.Human Resources (SD) Annex'!E167</f>
        <v>AH</v>
      </c>
      <c r="F312" s="1862">
        <f>'8.Human Resources (SD) Annex'!F167</f>
        <v>0</v>
      </c>
      <c r="G312" s="1862">
        <f>'8.Human Resources (SD) Annex'!G167</f>
        <v>0</v>
      </c>
      <c r="H312" s="1862">
        <f>'8.Human Resources (SD) Annex'!H167</f>
        <v>0</v>
      </c>
      <c r="I312" s="1862">
        <f>'8.Human Resources (SD) Annex'!I167</f>
        <v>0</v>
      </c>
      <c r="J312" s="1862">
        <f>'8.Human Resources (SD) Annex'!J167</f>
        <v>0</v>
      </c>
      <c r="K312" s="1862">
        <f>'8.Human Resources (SD) Annex'!K167</f>
        <v>0</v>
      </c>
      <c r="L312" s="962">
        <f>'8.Human Resources (SD) Annex'!L167</f>
        <v>0</v>
      </c>
      <c r="M312" s="1862">
        <f>'8.Human Resources (SD) Annex'!M167</f>
        <v>0</v>
      </c>
      <c r="N312" s="1862">
        <f>'8.Human Resources (SD) Annex'!N167</f>
        <v>0</v>
      </c>
      <c r="O312" s="962">
        <f>'8.Human Resources (SD) Annex'!O167</f>
        <v>0</v>
      </c>
      <c r="P312" s="2735">
        <f>'8.Human Resources (SD) Annex'!P167</f>
        <v>0</v>
      </c>
      <c r="Q312" s="2772" t="s">
        <v>5520</v>
      </c>
      <c r="R312" s="2729">
        <v>0</v>
      </c>
    </row>
    <row r="313" spans="1:18" s="861" customFormat="1">
      <c r="A313" s="1858">
        <f>'9.Training Annex'!A7</f>
        <v>9</v>
      </c>
      <c r="B313" s="1858"/>
      <c r="C313" s="1859" t="str">
        <f>'9.Training Annex'!C7</f>
        <v>Training and Capacity Building</v>
      </c>
      <c r="D313" s="1860"/>
      <c r="E313" s="1860"/>
      <c r="F313" s="1860"/>
      <c r="G313" s="1860"/>
      <c r="H313" s="1860"/>
      <c r="I313" s="1860"/>
      <c r="J313" s="1860"/>
      <c r="K313" s="1860"/>
      <c r="L313" s="994"/>
      <c r="M313" s="1860"/>
      <c r="N313" s="1860"/>
      <c r="O313" s="994">
        <f>SUM(O314:O329)</f>
        <v>286.19659999999999</v>
      </c>
      <c r="P313" s="1858"/>
      <c r="Q313" s="2747"/>
      <c r="R313" s="2746">
        <f>SUM(R314:R329)</f>
        <v>286.19460000000004</v>
      </c>
    </row>
    <row r="314" spans="1:18" s="861" customFormat="1" ht="45">
      <c r="A314" s="4068" t="str">
        <f>'9.Training Annex'!A24</f>
        <v>9.2.1.4</v>
      </c>
      <c r="B314" s="2735" t="str">
        <f>'9-A.Training Sub-Annex'!B111</f>
        <v>A.4.1.1</v>
      </c>
      <c r="C314" s="1861" t="str">
        <f>'9-A.Training Sub-Annex'!C111</f>
        <v xml:space="preserve">Dissemination workshops under RKSK </v>
      </c>
      <c r="D314" s="1862" t="str">
        <f>'9-A.Training Sub-Annex'!D111</f>
        <v>RCH</v>
      </c>
      <c r="E314" s="1862" t="str">
        <f>'9-A.Training Sub-Annex'!E111</f>
        <v>AH</v>
      </c>
      <c r="F314" s="1862">
        <f>'9-A.Training Sub-Annex'!F111</f>
        <v>1</v>
      </c>
      <c r="G314" s="1862">
        <f>'9-A.Training Sub-Annex'!G111</f>
        <v>0</v>
      </c>
      <c r="H314" s="1862">
        <f>'9-A.Training Sub-Annex'!H111</f>
        <v>2</v>
      </c>
      <c r="I314" s="1862">
        <f>'9-A.Training Sub-Annex'!I111</f>
        <v>0</v>
      </c>
      <c r="J314" s="1862">
        <f>'9-A.Training Sub-Annex'!J111</f>
        <v>2</v>
      </c>
      <c r="K314" s="1862">
        <f>'9-A.Training Sub-Annex'!K111</f>
        <v>0</v>
      </c>
      <c r="L314" s="962">
        <f>'9-A.Training Sub-Annex'!L111</f>
        <v>200000</v>
      </c>
      <c r="M314" s="1862">
        <f>'9-A.Training Sub-Annex'!M111</f>
        <v>2</v>
      </c>
      <c r="N314" s="1862">
        <f>'9-A.Training Sub-Annex'!N111</f>
        <v>1</v>
      </c>
      <c r="O314" s="962">
        <f>'9-A.Training Sub-Annex'!O111</f>
        <v>2</v>
      </c>
      <c r="P314" s="2735" t="str">
        <f>'9-A.Training Sub-Annex'!P111</f>
        <v>Budget proposed for dissemination workshop under RKSK at state level @200000</v>
      </c>
      <c r="Q314" s="2713" t="s">
        <v>5621</v>
      </c>
      <c r="R314" s="2728">
        <f>2</f>
        <v>2</v>
      </c>
    </row>
    <row r="315" spans="1:18" s="861" customFormat="1">
      <c r="A315" s="4068"/>
      <c r="B315" s="2735" t="str">
        <f>'9-A.Training Sub-Annex'!B112</f>
        <v>A.9.7.1.1</v>
      </c>
      <c r="C315" s="1861" t="str">
        <f>'9-A.Training Sub-Annex'!C112</f>
        <v xml:space="preserve">TOT for Adolescent Friendly Health Service training </v>
      </c>
      <c r="D315" s="1862" t="str">
        <f>'9-A.Training Sub-Annex'!D112</f>
        <v>RCH</v>
      </c>
      <c r="E315" s="1862" t="str">
        <f>'9-A.Training Sub-Annex'!E112</f>
        <v>AH</v>
      </c>
      <c r="F315" s="1862">
        <f>'9-A.Training Sub-Annex'!F112</f>
        <v>0</v>
      </c>
      <c r="G315" s="1862">
        <f>'9-A.Training Sub-Annex'!G112</f>
        <v>0</v>
      </c>
      <c r="H315" s="1862">
        <f>'9-A.Training Sub-Annex'!H112</f>
        <v>0</v>
      </c>
      <c r="I315" s="1862">
        <f>'9-A.Training Sub-Annex'!I112</f>
        <v>0</v>
      </c>
      <c r="J315" s="1862">
        <f>'9-A.Training Sub-Annex'!J113</f>
        <v>0.45</v>
      </c>
      <c r="K315" s="1862">
        <f>'9-A.Training Sub-Annex'!K112</f>
        <v>0</v>
      </c>
      <c r="L315" s="962">
        <f>'9-A.Training Sub-Annex'!L112</f>
        <v>0</v>
      </c>
      <c r="M315" s="1862">
        <f>'9-A.Training Sub-Annex'!M112</f>
        <v>0</v>
      </c>
      <c r="N315" s="1862">
        <f>'9-A.Training Sub-Annex'!N112</f>
        <v>0</v>
      </c>
      <c r="O315" s="962">
        <f>'9-A.Training Sub-Annex'!O112</f>
        <v>0</v>
      </c>
      <c r="P315" s="2735">
        <f>'9-A.Training Sub-Annex'!P112</f>
        <v>0</v>
      </c>
      <c r="Q315" s="2772" t="s">
        <v>5520</v>
      </c>
      <c r="R315" s="2729">
        <v>0</v>
      </c>
    </row>
    <row r="316" spans="1:18" s="861" customFormat="1" ht="60">
      <c r="A316" s="4068"/>
      <c r="B316" s="2735" t="str">
        <f>'9-A.Training Sub-Annex'!B113</f>
        <v>A.9.7.1.2</v>
      </c>
      <c r="C316" s="1861" t="str">
        <f>'9-A.Training Sub-Annex'!C113</f>
        <v xml:space="preserve">AFHS training of Medical Officers </v>
      </c>
      <c r="D316" s="1862" t="str">
        <f>'9-A.Training Sub-Annex'!D113</f>
        <v>RCH</v>
      </c>
      <c r="E316" s="1862" t="str">
        <f>'9-A.Training Sub-Annex'!E113</f>
        <v>AH</v>
      </c>
      <c r="F316" s="1862">
        <f>'9-A.Training Sub-Annex'!F113</f>
        <v>3</v>
      </c>
      <c r="G316" s="1862">
        <f>'9-A.Training Sub-Annex'!G113</f>
        <v>0</v>
      </c>
      <c r="H316" s="1862">
        <f>'9-A.Training Sub-Annex'!H113</f>
        <v>4.3099999999999996</v>
      </c>
      <c r="I316" s="1862">
        <f>'9-A.Training Sub-Annex'!I113</f>
        <v>0</v>
      </c>
      <c r="J316" s="1862">
        <f>'9-A.Training Sub-Annex'!J114</f>
        <v>0.9</v>
      </c>
      <c r="K316" s="1862">
        <f>'9-A.Training Sub-Annex'!K113</f>
        <v>0</v>
      </c>
      <c r="L316" s="962">
        <f>'9-A.Training Sub-Annex'!L113</f>
        <v>255200</v>
      </c>
      <c r="M316" s="1862">
        <f>'9-A.Training Sub-Annex'!M113</f>
        <v>2.552</v>
      </c>
      <c r="N316" s="1862">
        <f>'9-A.Training Sub-Annex'!N113</f>
        <v>1</v>
      </c>
      <c r="O316" s="962">
        <f>'9-A.Training Sub-Annex'!O113</f>
        <v>2.552</v>
      </c>
      <c r="P316" s="2735" t="str">
        <f>'9-A.Training Sub-Annex'!P113</f>
        <v>Budget proposed for training of one batch of Medical Officers on Adolescent Friendly Health Services (each batch having 30 participants)</v>
      </c>
      <c r="Q316" s="2713" t="s">
        <v>5622</v>
      </c>
      <c r="R316" s="2728">
        <f>255000/100000</f>
        <v>2.5499999999999998</v>
      </c>
    </row>
    <row r="317" spans="1:18" s="861" customFormat="1" ht="75">
      <c r="A317" s="4068"/>
      <c r="B317" s="2735" t="str">
        <f>'9-A.Training Sub-Annex'!B114</f>
        <v>A.9.7.1.3</v>
      </c>
      <c r="C317" s="1861" t="str">
        <f>'9-A.Training Sub-Annex'!C114</f>
        <v>AFHS training of ANM/LHV/MPW</v>
      </c>
      <c r="D317" s="1862" t="str">
        <f>'9-A.Training Sub-Annex'!D114</f>
        <v>RCH</v>
      </c>
      <c r="E317" s="1862" t="str">
        <f>'9-A.Training Sub-Annex'!E114</f>
        <v>AH</v>
      </c>
      <c r="F317" s="1862">
        <f>'9-A.Training Sub-Annex'!F114</f>
        <v>6</v>
      </c>
      <c r="G317" s="1862">
        <f>'9-A.Training Sub-Annex'!G114</f>
        <v>0</v>
      </c>
      <c r="H317" s="1862">
        <f>'9-A.Training Sub-Annex'!H114</f>
        <v>12.08</v>
      </c>
      <c r="I317" s="1862">
        <f>'9-A.Training Sub-Annex'!I114</f>
        <v>0</v>
      </c>
      <c r="J317" s="1862">
        <f>'9-A.Training Sub-Annex'!J115</f>
        <v>0.15</v>
      </c>
      <c r="K317" s="1862">
        <f>'9-A.Training Sub-Annex'!K114</f>
        <v>0</v>
      </c>
      <c r="L317" s="962">
        <f>'9-A.Training Sub-Annex'!L114</f>
        <v>200000</v>
      </c>
      <c r="M317" s="1862">
        <f>'9-A.Training Sub-Annex'!M114</f>
        <v>2</v>
      </c>
      <c r="N317" s="1862">
        <f>'9-A.Training Sub-Annex'!N114</f>
        <v>6</v>
      </c>
      <c r="O317" s="962">
        <f>'9-A.Training Sub-Annex'!O114</f>
        <v>12</v>
      </c>
      <c r="P317" s="2735" t="str">
        <f>'9-A.Training Sub-Annex'!P114</f>
        <v>Budget proposed for training of 6 batches of ANM/LHV/MPW/Paramedics on Adolescent Friendly Health Services (each batch having 30 participants)</v>
      </c>
      <c r="Q317" s="2713" t="s">
        <v>5623</v>
      </c>
      <c r="R317" s="2728">
        <f>200000*6/100000</f>
        <v>12</v>
      </c>
    </row>
    <row r="318" spans="1:18" s="861" customFormat="1" ht="60">
      <c r="A318" s="4068"/>
      <c r="B318" s="2735" t="str">
        <f>'9-A.Training Sub-Annex'!B115</f>
        <v>A.9.7.1.5</v>
      </c>
      <c r="C318" s="1861" t="str">
        <f>'9-A.Training Sub-Annex'!C115</f>
        <v>Training of AH counsellors</v>
      </c>
      <c r="D318" s="1862" t="str">
        <f>'9-A.Training Sub-Annex'!D115</f>
        <v>RCH</v>
      </c>
      <c r="E318" s="1862" t="str">
        <f>'9-A.Training Sub-Annex'!E115</f>
        <v>AH</v>
      </c>
      <c r="F318" s="1862">
        <f>'9-A.Training Sub-Annex'!F115</f>
        <v>2</v>
      </c>
      <c r="G318" s="1862">
        <f>'9-A.Training Sub-Annex'!G115</f>
        <v>0</v>
      </c>
      <c r="H318" s="1862">
        <f>'9-A.Training Sub-Annex'!H115</f>
        <v>4.03</v>
      </c>
      <c r="I318" s="1862">
        <f>'9-A.Training Sub-Annex'!I115</f>
        <v>0</v>
      </c>
      <c r="J318" s="1862" t="e">
        <f>'9-A.Training Sub-Annex'!#REF!</f>
        <v>#REF!</v>
      </c>
      <c r="K318" s="1862">
        <f>'9-A.Training Sub-Annex'!K115</f>
        <v>0</v>
      </c>
      <c r="L318" s="962">
        <f>'9-A.Training Sub-Annex'!L115</f>
        <v>200000</v>
      </c>
      <c r="M318" s="1862">
        <f>'9-A.Training Sub-Annex'!M115</f>
        <v>2</v>
      </c>
      <c r="N318" s="1862">
        <f>'9-A.Training Sub-Annex'!N115</f>
        <v>1</v>
      </c>
      <c r="O318" s="962">
        <f>'9-A.Training Sub-Annex'!O115</f>
        <v>2</v>
      </c>
      <c r="P318" s="2735" t="str">
        <f>'9-A.Training Sub-Annex'!P115</f>
        <v xml:space="preserve">One batch of new AH Counsellors will be trained </v>
      </c>
      <c r="Q318" s="2713" t="s">
        <v>5624</v>
      </c>
      <c r="R318" s="2728">
        <f>2</f>
        <v>2</v>
      </c>
    </row>
    <row r="319" spans="1:18" s="861" customFormat="1" ht="60">
      <c r="A319" s="4068"/>
      <c r="B319" s="2735" t="str">
        <f>'9-A.Training Sub-Annex'!B116</f>
        <v>A.9.7.2.1</v>
      </c>
      <c r="C319" s="1861" t="str">
        <f>'9-A.Training Sub-Annex'!C116</f>
        <v>Training of Peer Educator (District level)</v>
      </c>
      <c r="D319" s="1862" t="str">
        <f>'9-A.Training Sub-Annex'!D116</f>
        <v>RCH</v>
      </c>
      <c r="E319" s="1862" t="str">
        <f>'9-A.Training Sub-Annex'!E116</f>
        <v>AH</v>
      </c>
      <c r="F319" s="1862">
        <f>'9-A.Training Sub-Annex'!F116</f>
        <v>1</v>
      </c>
      <c r="G319" s="1862">
        <f>'9-A.Training Sub-Annex'!G116</f>
        <v>0</v>
      </c>
      <c r="H319" s="1862">
        <f>'9-A.Training Sub-Annex'!H116</f>
        <v>2.0099999999999998</v>
      </c>
      <c r="I319" s="1862">
        <f>'9-A.Training Sub-Annex'!I116</f>
        <v>0</v>
      </c>
      <c r="J319" s="1862">
        <f>'9-A.Training Sub-Annex'!J116</f>
        <v>0</v>
      </c>
      <c r="K319" s="1862">
        <f>'9-A.Training Sub-Annex'!K116</f>
        <v>0</v>
      </c>
      <c r="L319" s="962">
        <f>'9-A.Training Sub-Annex'!L116</f>
        <v>200000</v>
      </c>
      <c r="M319" s="1862">
        <f>'9-A.Training Sub-Annex'!M116</f>
        <v>2</v>
      </c>
      <c r="N319" s="1862">
        <f>'9-A.Training Sub-Annex'!N116</f>
        <v>1</v>
      </c>
      <c r="O319" s="962">
        <f>'9-A.Training Sub-Annex'!O116</f>
        <v>2</v>
      </c>
      <c r="P319" s="2735" t="str">
        <f>'9-A.Training Sub-Annex'!P116</f>
        <v>Amount proposed for training of one batch of 15 Medical Officers and 15 Health Educators as Master Trainers to roll out PE programme in Shimla</v>
      </c>
      <c r="Q319" s="2713" t="s">
        <v>5625</v>
      </c>
      <c r="R319" s="2728">
        <v>2</v>
      </c>
    </row>
    <row r="320" spans="1:18" s="861" customFormat="1" ht="60">
      <c r="A320" s="4068"/>
      <c r="B320" s="2735" t="str">
        <f>'9-A.Training Sub-Annex'!B117</f>
        <v>A.9.7.2.2</v>
      </c>
      <c r="C320" s="1861" t="str">
        <f>'9-A.Training Sub-Annex'!C117</f>
        <v>Training of Peer Educator (Block Level)</v>
      </c>
      <c r="D320" s="1862" t="str">
        <f>'9-A.Training Sub-Annex'!D117</f>
        <v>RCH</v>
      </c>
      <c r="E320" s="1862" t="str">
        <f>'9-A.Training Sub-Annex'!E117</f>
        <v>AH</v>
      </c>
      <c r="F320" s="1862">
        <f>'9-A.Training Sub-Annex'!F117</f>
        <v>4</v>
      </c>
      <c r="G320" s="1862">
        <f>'9-A.Training Sub-Annex'!G117</f>
        <v>0</v>
      </c>
      <c r="H320" s="1862">
        <f>'9-A.Training Sub-Annex'!H117</f>
        <v>7.91</v>
      </c>
      <c r="I320" s="1862">
        <f>'9-A.Training Sub-Annex'!I117</f>
        <v>0</v>
      </c>
      <c r="J320" s="1862">
        <f>'9-A.Training Sub-Annex'!J117</f>
        <v>7.91</v>
      </c>
      <c r="K320" s="1862">
        <f>'9-A.Training Sub-Annex'!K117</f>
        <v>0</v>
      </c>
      <c r="L320" s="962">
        <f>'9-A.Training Sub-Annex'!L117</f>
        <v>197000</v>
      </c>
      <c r="M320" s="1862">
        <f>'9-A.Training Sub-Annex'!M117</f>
        <v>1.97</v>
      </c>
      <c r="N320" s="1862">
        <f>'9-A.Training Sub-Annex'!N117</f>
        <v>3</v>
      </c>
      <c r="O320" s="962">
        <f>'9-A.Training Sub-Annex'!O117</f>
        <v>5.91</v>
      </c>
      <c r="P320" s="2735" t="str">
        <f>'9-A.Training Sub-Annex'!P117</f>
        <v>Budget proposed for training of three batches of ANM for 11 new PE blocks in Shimla District and 1 old block in Chamba district</v>
      </c>
      <c r="Q320" s="2713" t="s">
        <v>5626</v>
      </c>
      <c r="R320" s="2728">
        <f>197000*3/100000</f>
        <v>5.91</v>
      </c>
    </row>
    <row r="321" spans="1:18" s="861" customFormat="1" ht="60">
      <c r="A321" s="4068"/>
      <c r="B321" s="2735" t="str">
        <f>'9-A.Training Sub-Annex'!B118</f>
        <v>A.9.7.2.3</v>
      </c>
      <c r="C321" s="1861" t="str">
        <f>'9-A.Training Sub-Annex'!C118</f>
        <v>Training of Peer Educator (Sub block level)</v>
      </c>
      <c r="D321" s="1862" t="str">
        <f>'9-A.Training Sub-Annex'!D118</f>
        <v>RCH</v>
      </c>
      <c r="E321" s="1862" t="str">
        <f>'9-A.Training Sub-Annex'!E118</f>
        <v>AH</v>
      </c>
      <c r="F321" s="1862">
        <f>'9-A.Training Sub-Annex'!F118</f>
        <v>37</v>
      </c>
      <c r="G321" s="1862">
        <f>'9-A.Training Sub-Annex'!G118</f>
        <v>0</v>
      </c>
      <c r="H321" s="1862">
        <f>'9-A.Training Sub-Annex'!H118</f>
        <v>25.9</v>
      </c>
      <c r="I321" s="1862">
        <f>'9-A.Training Sub-Annex'!I118</f>
        <v>0.41</v>
      </c>
      <c r="J321" s="1862">
        <f>'9-A.Training Sub-Annex'!J118</f>
        <v>25.49</v>
      </c>
      <c r="K321" s="1862">
        <f>'9-A.Training Sub-Annex'!K118</f>
        <v>0</v>
      </c>
      <c r="L321" s="962">
        <f>'9-A.Training Sub-Annex'!L118</f>
        <v>70000</v>
      </c>
      <c r="M321" s="1862">
        <f>'9-A.Training Sub-Annex'!M118</f>
        <v>0.7</v>
      </c>
      <c r="N321" s="1862">
        <f>'9-A.Training Sub-Annex'!N118</f>
        <v>66</v>
      </c>
      <c r="O321" s="962">
        <f>'9-A.Training Sub-Annex'!O118</f>
        <v>46.199999999999996</v>
      </c>
      <c r="P321" s="2735" t="str">
        <f>'9-A.Training Sub-Annex'!P118</f>
        <v>Budget proposed for training of 2116 Peer Educators in 66 batches where each batch will have 32 Peer Educators and 8 ASHAs</v>
      </c>
      <c r="Q321" s="2713" t="s">
        <v>5627</v>
      </c>
      <c r="R321" s="2728">
        <f>66*70000/100000</f>
        <v>46.2</v>
      </c>
    </row>
    <row r="322" spans="1:18" s="861" customFormat="1">
      <c r="A322" s="4068"/>
      <c r="B322" s="2735" t="str">
        <f>'9-A.Training Sub-Annex'!B119</f>
        <v>A.9.7.3.1</v>
      </c>
      <c r="C322" s="1861" t="str">
        <f>'9-A.Training Sub-Annex'!C119</f>
        <v>WIFS trainings (District)</v>
      </c>
      <c r="D322" s="1862" t="str">
        <f>'9-A.Training Sub-Annex'!D119</f>
        <v>RCH</v>
      </c>
      <c r="E322" s="1862" t="str">
        <f>'9-A.Training Sub-Annex'!E119</f>
        <v>AH</v>
      </c>
      <c r="F322" s="1862">
        <f>'9-A.Training Sub-Annex'!F119</f>
        <v>0</v>
      </c>
      <c r="G322" s="1862">
        <f>'9-A.Training Sub-Annex'!G119</f>
        <v>0</v>
      </c>
      <c r="H322" s="1862">
        <f>'9-A.Training Sub-Annex'!H119</f>
        <v>0</v>
      </c>
      <c r="I322" s="1862">
        <f>'9-A.Training Sub-Annex'!I119</f>
        <v>0</v>
      </c>
      <c r="J322" s="1862">
        <f>'9-A.Training Sub-Annex'!J119</f>
        <v>0</v>
      </c>
      <c r="K322" s="1862">
        <f>'9-A.Training Sub-Annex'!K119</f>
        <v>0</v>
      </c>
      <c r="L322" s="962">
        <f>'9-A.Training Sub-Annex'!L119</f>
        <v>0</v>
      </c>
      <c r="M322" s="1862">
        <f>'9-A.Training Sub-Annex'!M119</f>
        <v>0</v>
      </c>
      <c r="N322" s="1862">
        <f>'9-A.Training Sub-Annex'!N119</f>
        <v>0</v>
      </c>
      <c r="O322" s="962">
        <f>'9-A.Training Sub-Annex'!O119</f>
        <v>0</v>
      </c>
      <c r="P322" s="2735">
        <f>'9-A.Training Sub-Annex'!P119</f>
        <v>0</v>
      </c>
      <c r="Q322" s="2772" t="s">
        <v>5520</v>
      </c>
      <c r="R322" s="2729">
        <v>0</v>
      </c>
    </row>
    <row r="323" spans="1:18" s="861" customFormat="1" ht="75">
      <c r="A323" s="4068"/>
      <c r="B323" s="2735" t="str">
        <f>'9-A.Training Sub-Annex'!B120</f>
        <v>A.9.7.3.2</v>
      </c>
      <c r="C323" s="1861" t="str">
        <f>'9-A.Training Sub-Annex'!C120</f>
        <v>WIFS trainings (Block)</v>
      </c>
      <c r="D323" s="1862" t="str">
        <f>'9-A.Training Sub-Annex'!D120</f>
        <v>RCH</v>
      </c>
      <c r="E323" s="1862" t="str">
        <f>'9-A.Training Sub-Annex'!E120</f>
        <v>AH</v>
      </c>
      <c r="F323" s="1862">
        <f>'9-A.Training Sub-Annex'!F120</f>
        <v>76</v>
      </c>
      <c r="G323" s="1862">
        <f>'9-A.Training Sub-Annex'!G120</f>
        <v>0</v>
      </c>
      <c r="H323" s="1862">
        <f>'9-A.Training Sub-Annex'!H120</f>
        <v>15.2</v>
      </c>
      <c r="I323" s="1862">
        <f>'9-A.Training Sub-Annex'!I120</f>
        <v>0</v>
      </c>
      <c r="J323" s="1862">
        <f>'9-A.Training Sub-Annex'!J120</f>
        <v>5</v>
      </c>
      <c r="K323" s="1862">
        <f>'9-A.Training Sub-Annex'!K120</f>
        <v>0</v>
      </c>
      <c r="L323" s="962">
        <f>'9-A.Training Sub-Annex'!L120</f>
        <v>20000</v>
      </c>
      <c r="M323" s="1862">
        <f>'9-A.Training Sub-Annex'!M120</f>
        <v>0.2</v>
      </c>
      <c r="N323" s="1862">
        <f>'9-A.Training Sub-Annex'!N120</f>
        <v>75</v>
      </c>
      <c r="O323" s="962">
        <f>'9-A.Training Sub-Annex'!O120</f>
        <v>15</v>
      </c>
      <c r="P323" s="2735" t="str">
        <f>'9-A.Training Sub-Annex'!P120</f>
        <v>One batch of nodal teachers will be oriented for half day at block level (75 blocks) of each district.</v>
      </c>
      <c r="Q323" s="2713" t="s">
        <v>5628</v>
      </c>
      <c r="R323" s="2728">
        <f>20000*75/100000</f>
        <v>15</v>
      </c>
    </row>
    <row r="324" spans="1:18" s="861" customFormat="1">
      <c r="A324" s="4068"/>
      <c r="B324" s="2735" t="str">
        <f>'9-A.Training Sub-Annex'!B121</f>
        <v>A.9.7.4.1</v>
      </c>
      <c r="C324" s="1861" t="str">
        <f>'9-A.Training Sub-Annex'!C121</f>
        <v>MHS Trainings (District)</v>
      </c>
      <c r="D324" s="1862" t="str">
        <f>'9-A.Training Sub-Annex'!D121</f>
        <v>RCH</v>
      </c>
      <c r="E324" s="1862" t="str">
        <f>'9-A.Training Sub-Annex'!E121</f>
        <v>AH</v>
      </c>
      <c r="F324" s="1862">
        <f>'9-A.Training Sub-Annex'!F121</f>
        <v>0</v>
      </c>
      <c r="G324" s="1862">
        <f>'9-A.Training Sub-Annex'!G121</f>
        <v>0</v>
      </c>
      <c r="H324" s="1862">
        <f>'9-A.Training Sub-Annex'!H121</f>
        <v>0</v>
      </c>
      <c r="I324" s="1862">
        <f>'9-A.Training Sub-Annex'!I121</f>
        <v>0</v>
      </c>
      <c r="J324" s="1862">
        <f>'9-A.Training Sub-Annex'!J121</f>
        <v>0</v>
      </c>
      <c r="K324" s="1862">
        <f>'9-A.Training Sub-Annex'!K121</f>
        <v>0</v>
      </c>
      <c r="L324" s="962">
        <f>'9-A.Training Sub-Annex'!L121</f>
        <v>0</v>
      </c>
      <c r="M324" s="1862">
        <f>'9-A.Training Sub-Annex'!M121</f>
        <v>0</v>
      </c>
      <c r="N324" s="1862">
        <f>'9-A.Training Sub-Annex'!N121</f>
        <v>0</v>
      </c>
      <c r="O324" s="962">
        <f>'9-A.Training Sub-Annex'!O121</f>
        <v>0</v>
      </c>
      <c r="P324" s="2735">
        <f>'9-A.Training Sub-Annex'!P121</f>
        <v>0</v>
      </c>
      <c r="Q324" s="2772" t="s">
        <v>5520</v>
      </c>
      <c r="R324" s="2729">
        <v>0</v>
      </c>
    </row>
    <row r="325" spans="1:18" s="861" customFormat="1">
      <c r="A325" s="4068"/>
      <c r="B325" s="2735" t="str">
        <f>'9-A.Training Sub-Annex'!B122</f>
        <v>A.9.7.4.2</v>
      </c>
      <c r="C325" s="1861" t="str">
        <f>'9-A.Training Sub-Annex'!C122</f>
        <v>MHS Trainings (Block)</v>
      </c>
      <c r="D325" s="1862" t="str">
        <f>'9-A.Training Sub-Annex'!D122</f>
        <v>RCH</v>
      </c>
      <c r="E325" s="1862" t="str">
        <f>'9-A.Training Sub-Annex'!E122</f>
        <v>AH</v>
      </c>
      <c r="F325" s="1862">
        <f>'9-A.Training Sub-Annex'!F122</f>
        <v>0</v>
      </c>
      <c r="G325" s="1862">
        <f>'9-A.Training Sub-Annex'!G122</f>
        <v>0</v>
      </c>
      <c r="H325" s="1862">
        <f>'9-A.Training Sub-Annex'!H122</f>
        <v>0</v>
      </c>
      <c r="I325" s="1862">
        <f>'9-A.Training Sub-Annex'!I122</f>
        <v>0</v>
      </c>
      <c r="J325" s="1862">
        <f>'9-A.Training Sub-Annex'!J122</f>
        <v>0</v>
      </c>
      <c r="K325" s="1862">
        <f>'9-A.Training Sub-Annex'!K122</f>
        <v>0</v>
      </c>
      <c r="L325" s="962">
        <f>'9-A.Training Sub-Annex'!L122</f>
        <v>0</v>
      </c>
      <c r="M325" s="1862">
        <f>'9-A.Training Sub-Annex'!M122</f>
        <v>0</v>
      </c>
      <c r="N325" s="1862">
        <f>'9-A.Training Sub-Annex'!N122</f>
        <v>0</v>
      </c>
      <c r="O325" s="962">
        <f>'9-A.Training Sub-Annex'!O122</f>
        <v>0</v>
      </c>
      <c r="P325" s="2735">
        <f>'9-A.Training Sub-Annex'!P122</f>
        <v>0</v>
      </c>
      <c r="Q325" s="2772" t="s">
        <v>5520</v>
      </c>
      <c r="R325" s="2729">
        <v>0</v>
      </c>
    </row>
    <row r="326" spans="1:18" s="861" customFormat="1">
      <c r="A326" s="4068"/>
      <c r="B326" s="2735" t="str">
        <f>'9-A.Training Sub-Annex'!B124</f>
        <v>A.9.12.6.1</v>
      </c>
      <c r="C326" s="1861" t="str">
        <f>'9-A.Training Sub-Annex'!C124</f>
        <v xml:space="preserve">Training of master trainers at State, district and block level </v>
      </c>
      <c r="D326" s="1862" t="str">
        <f>'9-A.Training Sub-Annex'!D124</f>
        <v>RCH</v>
      </c>
      <c r="E326" s="1862" t="str">
        <f>'9-A.Training Sub-Annex'!E124</f>
        <v>AH</v>
      </c>
      <c r="F326" s="1862">
        <f>'9-A.Training Sub-Annex'!F124</f>
        <v>35</v>
      </c>
      <c r="G326" s="1862">
        <f>'9-A.Training Sub-Annex'!G124</f>
        <v>0</v>
      </c>
      <c r="H326" s="1862">
        <f>'9-A.Training Sub-Annex'!H124</f>
        <v>3.5</v>
      </c>
      <c r="I326" s="1862">
        <f>'9-A.Training Sub-Annex'!I124</f>
        <v>0</v>
      </c>
      <c r="J326" s="1862">
        <f>'9-A.Training Sub-Annex'!J124</f>
        <v>0</v>
      </c>
      <c r="K326" s="1862">
        <f>'9-A.Training Sub-Annex'!K124</f>
        <v>0</v>
      </c>
      <c r="L326" s="962">
        <f>'9-A.Training Sub-Annex'!L124</f>
        <v>0</v>
      </c>
      <c r="M326" s="1862">
        <f>'9-A.Training Sub-Annex'!M124</f>
        <v>0</v>
      </c>
      <c r="N326" s="1862">
        <f>'9-A.Training Sub-Annex'!N124</f>
        <v>0</v>
      </c>
      <c r="O326" s="962">
        <f>'9-A.Training Sub-Annex'!O124</f>
        <v>0</v>
      </c>
      <c r="P326" s="2735">
        <f>'9-A.Training Sub-Annex'!P124</f>
        <v>0</v>
      </c>
      <c r="Q326" s="2772" t="s">
        <v>5520</v>
      </c>
      <c r="R326" s="2729">
        <v>0</v>
      </c>
    </row>
    <row r="327" spans="1:18" s="861" customFormat="1" ht="75">
      <c r="A327" s="4068"/>
      <c r="B327" s="2735" t="str">
        <f>'9-A.Training Sub-Annex'!B125</f>
        <v>A.9.12.6.2</v>
      </c>
      <c r="C327" s="1861" t="str">
        <f>'9-A.Training Sub-Annex'!C125</f>
        <v xml:space="preserve">Training of two nodal teachers per school </v>
      </c>
      <c r="D327" s="1862" t="str">
        <f>'9-A.Training Sub-Annex'!D125</f>
        <v>RCH</v>
      </c>
      <c r="E327" s="1862" t="str">
        <f>'9-A.Training Sub-Annex'!E125</f>
        <v>AH</v>
      </c>
      <c r="F327" s="1862">
        <f>'9-A.Training Sub-Annex'!F125</f>
        <v>3176</v>
      </c>
      <c r="G327" s="1862">
        <f>'9-A.Training Sub-Annex'!G125</f>
        <v>0</v>
      </c>
      <c r="H327" s="1862">
        <f>'9-A.Training Sub-Annex'!H125</f>
        <v>222.32</v>
      </c>
      <c r="I327" s="1862">
        <f>'9-A.Training Sub-Annex'!I125</f>
        <v>0</v>
      </c>
      <c r="J327" s="1862">
        <f>'9-A.Training Sub-Annex'!J125</f>
        <v>100</v>
      </c>
      <c r="K327" s="1862">
        <f>'9-A.Training Sub-Annex'!K125</f>
        <v>0</v>
      </c>
      <c r="L327" s="962">
        <f>'9-A.Training Sub-Annex'!L125</f>
        <v>178860</v>
      </c>
      <c r="M327" s="1862">
        <f>'9-A.Training Sub-Annex'!M125</f>
        <v>1.7886</v>
      </c>
      <c r="N327" s="1862">
        <f>'9-A.Training Sub-Annex'!N125</f>
        <v>111</v>
      </c>
      <c r="O327" s="962">
        <f>'9-A.Training Sub-Annex'!O125</f>
        <v>198.53459999999998</v>
      </c>
      <c r="P327" s="2735" t="str">
        <f>'9-A.Training Sub-Annex'!P125</f>
        <v>KEY DELIVERABLE ACTIVITY111 batches of 30 nodal teachers are to be trained @178860 per batch  = 1.99 crore.</v>
      </c>
      <c r="Q327" s="2713" t="s">
        <v>5629</v>
      </c>
      <c r="R327" s="2728">
        <f>111*178860/100000</f>
        <v>198.53460000000001</v>
      </c>
    </row>
    <row r="328" spans="1:18" s="861" customFormat="1">
      <c r="A328" s="4068"/>
      <c r="B328" s="2735">
        <f>'9-A.Training Sub-Annex'!B126</f>
        <v>0</v>
      </c>
      <c r="C328" s="1861" t="str">
        <f>'9-A.Training Sub-Annex'!C126</f>
        <v>Any other (please specify)</v>
      </c>
      <c r="D328" s="1862" t="str">
        <f>'9-A.Training Sub-Annex'!D126</f>
        <v>RCH</v>
      </c>
      <c r="E328" s="1862" t="str">
        <f>'9-A.Training Sub-Annex'!E126</f>
        <v>AH</v>
      </c>
      <c r="F328" s="1862">
        <f>'9-A.Training Sub-Annex'!F126</f>
        <v>0</v>
      </c>
      <c r="G328" s="1862">
        <f>'9-A.Training Sub-Annex'!G126</f>
        <v>0</v>
      </c>
      <c r="H328" s="1862">
        <f>'9-A.Training Sub-Annex'!H126</f>
        <v>0</v>
      </c>
      <c r="I328" s="1862">
        <f>'9-A.Training Sub-Annex'!I126</f>
        <v>0</v>
      </c>
      <c r="J328" s="1862">
        <f>'9-A.Training Sub-Annex'!J126</f>
        <v>0</v>
      </c>
      <c r="K328" s="1862">
        <f>'9-A.Training Sub-Annex'!K126</f>
        <v>0</v>
      </c>
      <c r="L328" s="962">
        <f>'9-A.Training Sub-Annex'!L126</f>
        <v>0</v>
      </c>
      <c r="M328" s="1862">
        <f>'9-A.Training Sub-Annex'!M126</f>
        <v>0</v>
      </c>
      <c r="N328" s="1862">
        <f>'9-A.Training Sub-Annex'!N126</f>
        <v>0</v>
      </c>
      <c r="O328" s="962">
        <f>'9-A.Training Sub-Annex'!O126</f>
        <v>0</v>
      </c>
      <c r="P328" s="2735">
        <f>'9-A.Training Sub-Annex'!P126</f>
        <v>0</v>
      </c>
      <c r="Q328" s="2772" t="s">
        <v>5520</v>
      </c>
      <c r="R328" s="2729">
        <v>0</v>
      </c>
    </row>
    <row r="329" spans="1:18" s="861" customFormat="1">
      <c r="A329" s="4068"/>
      <c r="B329" s="2735" t="str">
        <f>'9-A.Training Sub-Annex'!B127</f>
        <v>A.9.7.5</v>
      </c>
      <c r="C329" s="1861" t="str">
        <f>'9-A.Training Sub-Annex'!C127</f>
        <v>Other Adolescent Health trainings (please specify)</v>
      </c>
      <c r="D329" s="1862" t="str">
        <f>'9-A.Training Sub-Annex'!D127</f>
        <v>RCH</v>
      </c>
      <c r="E329" s="1862" t="str">
        <f>'9-A.Training Sub-Annex'!E127</f>
        <v>AH</v>
      </c>
      <c r="F329" s="1862">
        <f>'9-A.Training Sub-Annex'!F127</f>
        <v>0</v>
      </c>
      <c r="G329" s="1862">
        <f>'9-A.Training Sub-Annex'!G127</f>
        <v>0</v>
      </c>
      <c r="H329" s="1862">
        <f>'9-A.Training Sub-Annex'!H127</f>
        <v>0</v>
      </c>
      <c r="I329" s="1862">
        <f>'9-A.Training Sub-Annex'!I127</f>
        <v>0</v>
      </c>
      <c r="J329" s="1862">
        <f>'9-A.Training Sub-Annex'!J127</f>
        <v>0</v>
      </c>
      <c r="K329" s="1862">
        <f>'9-A.Training Sub-Annex'!K127</f>
        <v>0</v>
      </c>
      <c r="L329" s="962">
        <f>'9-A.Training Sub-Annex'!L127</f>
        <v>0</v>
      </c>
      <c r="M329" s="1862">
        <f>'9-A.Training Sub-Annex'!M127</f>
        <v>0</v>
      </c>
      <c r="N329" s="1862">
        <f>'9-A.Training Sub-Annex'!N127</f>
        <v>0</v>
      </c>
      <c r="O329" s="962">
        <f>'9-A.Training Sub-Annex'!O127</f>
        <v>0</v>
      </c>
      <c r="P329" s="2735">
        <f>'9-A.Training Sub-Annex'!P127</f>
        <v>0</v>
      </c>
      <c r="Q329" s="2772" t="s">
        <v>5520</v>
      </c>
      <c r="R329" s="2729">
        <v>0</v>
      </c>
    </row>
    <row r="330" spans="1:18" s="861" customFormat="1">
      <c r="A330" s="1858">
        <f>'11.IEC-BCC Annex'!A7</f>
        <v>11</v>
      </c>
      <c r="B330" s="1865"/>
      <c r="C330" s="1859" t="str">
        <f>'11.IEC-BCC Annex'!C7</f>
        <v>IEC/BCC</v>
      </c>
      <c r="D330" s="1860"/>
      <c r="E330" s="1860"/>
      <c r="F330" s="1860"/>
      <c r="G330" s="1860"/>
      <c r="H330" s="994"/>
      <c r="I330" s="1860"/>
      <c r="J330" s="994"/>
      <c r="K330" s="1860"/>
      <c r="L330" s="994"/>
      <c r="M330" s="994"/>
      <c r="N330" s="1866"/>
      <c r="O330" s="1867">
        <f>SUM(O331:O333)</f>
        <v>52.7</v>
      </c>
      <c r="P330" s="1868"/>
      <c r="Q330" s="2743"/>
      <c r="R330" s="2746">
        <f>SUM(R331:R333)</f>
        <v>52.7</v>
      </c>
    </row>
    <row r="331" spans="1:18" s="861" customFormat="1" ht="30">
      <c r="A331" s="4068" t="str">
        <f>'11.IEC-BCC Annex'!A12</f>
        <v>11.1.4</v>
      </c>
      <c r="B331" s="2735" t="str">
        <f>'11-A. IEC Sub-Annex'!B23</f>
        <v>B.10.3.4.1</v>
      </c>
      <c r="C331" s="1861" t="str">
        <f>'11-A. IEC Sub-Annex'!C23</f>
        <v>Media Mix of Mass Media/ Mid Media including promotion of menstrual hygiene scheme</v>
      </c>
      <c r="D331" s="1862" t="str">
        <f>'11-A. IEC Sub-Annex'!D23</f>
        <v>RCH</v>
      </c>
      <c r="E331" s="1862" t="str">
        <f>'11-A. IEC Sub-Annex'!E23</f>
        <v>AH</v>
      </c>
      <c r="F331" s="1862">
        <f>'11-A. IEC Sub-Annex'!F23</f>
        <v>1</v>
      </c>
      <c r="G331" s="1862">
        <f>'11-A. IEC Sub-Annex'!G23</f>
        <v>0</v>
      </c>
      <c r="H331" s="1862">
        <f>'11-A. IEC Sub-Annex'!H23</f>
        <v>78.45</v>
      </c>
      <c r="I331" s="1862">
        <f>'11-A. IEC Sub-Annex'!I23</f>
        <v>20.309999999999999</v>
      </c>
      <c r="J331" s="1862">
        <f>'11-A. IEC Sub-Annex'!J23</f>
        <v>58.14</v>
      </c>
      <c r="K331" s="1862">
        <f>'11-A. IEC Sub-Annex'!K23</f>
        <v>0</v>
      </c>
      <c r="L331" s="962">
        <f>'11-A. IEC Sub-Annex'!L23</f>
        <v>5270000</v>
      </c>
      <c r="M331" s="1862">
        <f>'11-A. IEC Sub-Annex'!M23</f>
        <v>52.7</v>
      </c>
      <c r="N331" s="1862">
        <f>'11-A. IEC Sub-Annex'!N23</f>
        <v>1</v>
      </c>
      <c r="O331" s="962">
        <f>'11-A. IEC Sub-Annex'!O23</f>
        <v>52.7</v>
      </c>
      <c r="P331" s="2735" t="str">
        <f>'11-A. IEC Sub-Annex'!P23</f>
        <v>as per annexures</v>
      </c>
      <c r="Q331" s="2713" t="s">
        <v>5875</v>
      </c>
      <c r="R331" s="2728">
        <v>52.7</v>
      </c>
    </row>
    <row r="332" spans="1:18" s="861" customFormat="1">
      <c r="A332" s="4068"/>
      <c r="B332" s="2735" t="str">
        <f>'11-A. IEC Sub-Annex'!B24</f>
        <v>B.10.3.4.2</v>
      </c>
      <c r="C332" s="1861" t="str">
        <f>'11-A. IEC Sub-Annex'!C24</f>
        <v>Inter Personal Communication</v>
      </c>
      <c r="D332" s="1862" t="str">
        <f>'11-A. IEC Sub-Annex'!D24</f>
        <v>RCH</v>
      </c>
      <c r="E332" s="1862" t="str">
        <f>'11-A. IEC Sub-Annex'!E24</f>
        <v>AH</v>
      </c>
      <c r="F332" s="1862">
        <f>'11-A. IEC Sub-Annex'!F24</f>
        <v>0</v>
      </c>
      <c r="G332" s="1862">
        <f>'11-A. IEC Sub-Annex'!G24</f>
        <v>0</v>
      </c>
      <c r="H332" s="1862">
        <f>'11-A. IEC Sub-Annex'!H24</f>
        <v>0</v>
      </c>
      <c r="I332" s="1862">
        <f>'11-A. IEC Sub-Annex'!I24</f>
        <v>0</v>
      </c>
      <c r="J332" s="1862">
        <f>'11-A. IEC Sub-Annex'!J24</f>
        <v>0</v>
      </c>
      <c r="K332" s="1862">
        <f>'11-A. IEC Sub-Annex'!K24</f>
        <v>0</v>
      </c>
      <c r="L332" s="962">
        <f>'11-A. IEC Sub-Annex'!L24</f>
        <v>0</v>
      </c>
      <c r="M332" s="1862">
        <f>'11-A. IEC Sub-Annex'!M24</f>
        <v>0</v>
      </c>
      <c r="N332" s="1862">
        <f>'11-A. IEC Sub-Annex'!N24</f>
        <v>0</v>
      </c>
      <c r="O332" s="962">
        <f>'11-A. IEC Sub-Annex'!O24</f>
        <v>0</v>
      </c>
      <c r="P332" s="2735">
        <f>'11-A. IEC Sub-Annex'!P24</f>
        <v>0</v>
      </c>
      <c r="Q332" s="2713" t="s">
        <v>5521</v>
      </c>
      <c r="R332" s="2758">
        <v>0</v>
      </c>
    </row>
    <row r="333" spans="1:18" s="861" customFormat="1">
      <c r="A333" s="4068"/>
      <c r="B333" s="2735">
        <f>'11-A. IEC Sub-Annex'!B25</f>
        <v>0</v>
      </c>
      <c r="C333" s="1861" t="str">
        <f>'11-A. IEC Sub-Annex'!C25</f>
        <v>Any other IEC/BCC activities (please specify)</v>
      </c>
      <c r="D333" s="1862" t="str">
        <f>'11-A. IEC Sub-Annex'!D25</f>
        <v>RCH</v>
      </c>
      <c r="E333" s="1862" t="str">
        <f>'11-A. IEC Sub-Annex'!E25</f>
        <v>AH</v>
      </c>
      <c r="F333" s="1862">
        <f>'11-A. IEC Sub-Annex'!F25</f>
        <v>0</v>
      </c>
      <c r="G333" s="1862">
        <f>'11-A. IEC Sub-Annex'!G25</f>
        <v>0</v>
      </c>
      <c r="H333" s="1862">
        <f>'11-A. IEC Sub-Annex'!H25</f>
        <v>0</v>
      </c>
      <c r="I333" s="1862">
        <f>'11-A. IEC Sub-Annex'!I25</f>
        <v>0</v>
      </c>
      <c r="J333" s="1862">
        <f>'11-A. IEC Sub-Annex'!J25</f>
        <v>0</v>
      </c>
      <c r="K333" s="1862">
        <f>'11-A. IEC Sub-Annex'!K25</f>
        <v>0</v>
      </c>
      <c r="L333" s="962">
        <f>'11-A. IEC Sub-Annex'!L25</f>
        <v>0</v>
      </c>
      <c r="M333" s="1862">
        <f>'11-A. IEC Sub-Annex'!M25</f>
        <v>0</v>
      </c>
      <c r="N333" s="1862">
        <f>'11-A. IEC Sub-Annex'!N25</f>
        <v>0</v>
      </c>
      <c r="O333" s="962">
        <f>'11-A. IEC Sub-Annex'!O25</f>
        <v>0</v>
      </c>
      <c r="P333" s="2735">
        <f>'11-A. IEC Sub-Annex'!P25</f>
        <v>0</v>
      </c>
      <c r="Q333" s="2713" t="s">
        <v>5521</v>
      </c>
      <c r="R333" s="2758">
        <v>0</v>
      </c>
    </row>
    <row r="334" spans="1:18" s="861" customFormat="1">
      <c r="A334" s="1858">
        <f>'12.Printing Annex'!A7</f>
        <v>12</v>
      </c>
      <c r="B334" s="1865"/>
      <c r="C334" s="1859" t="str">
        <f>'12.Printing Annex'!C7</f>
        <v>Printing</v>
      </c>
      <c r="D334" s="1860"/>
      <c r="E334" s="1860"/>
      <c r="F334" s="1860"/>
      <c r="G334" s="1860"/>
      <c r="H334" s="994"/>
      <c r="I334" s="1860"/>
      <c r="J334" s="994"/>
      <c r="K334" s="1860"/>
      <c r="L334" s="994"/>
      <c r="M334" s="994"/>
      <c r="N334" s="1866"/>
      <c r="O334" s="1867">
        <f>SUM(O335:O340)</f>
        <v>15.415759999999999</v>
      </c>
      <c r="P334" s="1868"/>
      <c r="Q334" s="2743"/>
      <c r="R334" s="2746">
        <f>SUM(R335:R340)</f>
        <v>15.42</v>
      </c>
    </row>
    <row r="335" spans="1:18" s="861" customFormat="1" ht="45">
      <c r="A335" s="4068" t="str">
        <f>'12.Printing Annex'!A12</f>
        <v>12.1.4</v>
      </c>
      <c r="B335" s="2735" t="str">
        <f>'12-A. Print Sub-Annex'!B34</f>
        <v>A.4.2.4</v>
      </c>
      <c r="C335" s="1861" t="str">
        <f>'12-A. Print Sub-Annex'!C34</f>
        <v xml:space="preserve">PE Kit and PE Diary  </v>
      </c>
      <c r="D335" s="1862" t="str">
        <f>'12-A. Print Sub-Annex'!D34</f>
        <v>RCH</v>
      </c>
      <c r="E335" s="1862" t="str">
        <f>'12-A. Print Sub-Annex'!E34</f>
        <v>AH</v>
      </c>
      <c r="F335" s="1862">
        <f>'12-A. Print Sub-Annex'!F34</f>
        <v>400</v>
      </c>
      <c r="G335" s="1862">
        <f>'12-A. Print Sub-Annex'!G34</f>
        <v>0</v>
      </c>
      <c r="H335" s="1862">
        <f>'12-A. Print Sub-Annex'!H34</f>
        <v>2</v>
      </c>
      <c r="I335" s="1862">
        <f>'12-A. Print Sub-Annex'!I34</f>
        <v>0</v>
      </c>
      <c r="J335" s="1862">
        <f>'12-A. Print Sub-Annex'!J34</f>
        <v>0</v>
      </c>
      <c r="K335" s="1862">
        <f>'12-A. Print Sub-Annex'!K34</f>
        <v>0</v>
      </c>
      <c r="L335" s="962">
        <f>'12-A. Print Sub-Annex'!L34</f>
        <v>500</v>
      </c>
      <c r="M335" s="1862">
        <f>'12-A. Print Sub-Annex'!M34</f>
        <v>5.0000000000000001E-3</v>
      </c>
      <c r="N335" s="1862">
        <f>'12-A. Print Sub-Annex'!N34</f>
        <v>2116</v>
      </c>
      <c r="O335" s="962">
        <f>'12-A. Print Sub-Annex'!O34</f>
        <v>10.58</v>
      </c>
      <c r="P335" s="2735" t="str">
        <f>'12-A. Print Sub-Annex'!P34</f>
        <v xml:space="preserve">Budget proposed for PE Kita and PE diary @ 500 per PE for </v>
      </c>
      <c r="Q335" s="2713" t="s">
        <v>5630</v>
      </c>
      <c r="R335" s="2728">
        <f>2116*500/100000</f>
        <v>10.58</v>
      </c>
    </row>
    <row r="336" spans="1:18" s="861" customFormat="1">
      <c r="A336" s="4068"/>
      <c r="B336" s="2735" t="str">
        <f>'12-A. Print Sub-Annex'!B35</f>
        <v>B.10.7.2</v>
      </c>
      <c r="C336" s="1861" t="str">
        <f>'12-A. Print Sub-Annex'!C35</f>
        <v>Printing under WIFS -WIFS cards, WIFS registers, reporting  format etc</v>
      </c>
      <c r="D336" s="1862" t="str">
        <f>'12-A. Print Sub-Annex'!D35</f>
        <v>RCH</v>
      </c>
      <c r="E336" s="1862" t="str">
        <f>'12-A. Print Sub-Annex'!E35</f>
        <v>AH</v>
      </c>
      <c r="F336" s="1862">
        <f>'12-A. Print Sub-Annex'!F35</f>
        <v>0</v>
      </c>
      <c r="G336" s="1862">
        <f>'12-A. Print Sub-Annex'!G35</f>
        <v>0</v>
      </c>
      <c r="H336" s="1862">
        <f>'12-A. Print Sub-Annex'!H35</f>
        <v>0</v>
      </c>
      <c r="I336" s="1862">
        <f>'12-A. Print Sub-Annex'!I35</f>
        <v>0</v>
      </c>
      <c r="J336" s="1862">
        <f>'12-A. Print Sub-Annex'!J35</f>
        <v>0</v>
      </c>
      <c r="K336" s="1862">
        <f>'12-A. Print Sub-Annex'!K35</f>
        <v>0</v>
      </c>
      <c r="L336" s="962">
        <f>'12-A. Print Sub-Annex'!L35</f>
        <v>0</v>
      </c>
      <c r="M336" s="1862">
        <f>'12-A. Print Sub-Annex'!M35</f>
        <v>0</v>
      </c>
      <c r="N336" s="1862">
        <f>'12-A. Print Sub-Annex'!N35</f>
        <v>0</v>
      </c>
      <c r="O336" s="962">
        <f>'12-A. Print Sub-Annex'!O35</f>
        <v>0</v>
      </c>
      <c r="P336" s="2735">
        <f>'12-A. Print Sub-Annex'!P35</f>
        <v>0</v>
      </c>
      <c r="Q336" s="2772" t="s">
        <v>5520</v>
      </c>
      <c r="R336" s="2729">
        <v>0</v>
      </c>
    </row>
    <row r="337" spans="1:18" s="861" customFormat="1">
      <c r="A337" s="4068"/>
      <c r="B337" s="2735" t="str">
        <f>'12-A. Print Sub-Annex'!B36</f>
        <v>B.10.7.4.6</v>
      </c>
      <c r="C337" s="1861" t="str">
        <f>'12-A. Print Sub-Annex'!C36</f>
        <v>Printing for AFHC-AFHC Registers, reporting formats, AFHC cards etc</v>
      </c>
      <c r="D337" s="1862" t="str">
        <f>'12-A. Print Sub-Annex'!D36</f>
        <v>RCH</v>
      </c>
      <c r="E337" s="1862" t="str">
        <f>'12-A. Print Sub-Annex'!E36</f>
        <v>AH</v>
      </c>
      <c r="F337" s="1862">
        <f>'12-A. Print Sub-Annex'!F36</f>
        <v>36</v>
      </c>
      <c r="G337" s="1862">
        <f>'12-A. Print Sub-Annex'!G36</f>
        <v>0</v>
      </c>
      <c r="H337" s="1862">
        <f>'12-A. Print Sub-Annex'!H36</f>
        <v>7.0000000000000007E-2</v>
      </c>
      <c r="I337" s="1862">
        <f>'12-A. Print Sub-Annex'!I36</f>
        <v>3.77</v>
      </c>
      <c r="J337" s="1862">
        <f>'12-A. Print Sub-Annex'!J36</f>
        <v>-3.7</v>
      </c>
      <c r="K337" s="1862">
        <f>'12-A. Print Sub-Annex'!K36</f>
        <v>0</v>
      </c>
      <c r="L337" s="962">
        <f>'12-A. Print Sub-Annex'!L36</f>
        <v>0</v>
      </c>
      <c r="M337" s="1862">
        <f>'12-A. Print Sub-Annex'!M36</f>
        <v>0</v>
      </c>
      <c r="N337" s="1862">
        <f>'12-A. Print Sub-Annex'!N36</f>
        <v>0</v>
      </c>
      <c r="O337" s="962">
        <f>'12-A. Print Sub-Annex'!O36</f>
        <v>0</v>
      </c>
      <c r="P337" s="2735">
        <f>'12-A. Print Sub-Annex'!P36</f>
        <v>0</v>
      </c>
      <c r="Q337" s="2772" t="s">
        <v>5520</v>
      </c>
      <c r="R337" s="2729">
        <v>0</v>
      </c>
    </row>
    <row r="338" spans="1:18" s="861" customFormat="1" ht="75">
      <c r="A338" s="4068"/>
      <c r="B338" s="2735">
        <f>'12-A. Print Sub-Annex'!B37</f>
        <v>0</v>
      </c>
      <c r="C338" s="1861" t="str">
        <f>'12-A. Print Sub-Annex'!C37</f>
        <v xml:space="preserve">Printing of AFHS Training manuals for  MO,  ANM and Counsellor; ANM  training manual for PE training </v>
      </c>
      <c r="D338" s="1862" t="str">
        <f>'12-A. Print Sub-Annex'!D37</f>
        <v>RCH</v>
      </c>
      <c r="E338" s="1862" t="str">
        <f>'12-A. Print Sub-Annex'!E37</f>
        <v>AH</v>
      </c>
      <c r="F338" s="1862">
        <f>'12-A. Print Sub-Annex'!F37</f>
        <v>1</v>
      </c>
      <c r="G338" s="1862">
        <f>'12-A. Print Sub-Annex'!G37</f>
        <v>0</v>
      </c>
      <c r="H338" s="1862">
        <f>'12-A. Print Sub-Annex'!H37</f>
        <v>1.79</v>
      </c>
      <c r="I338" s="1862">
        <f>'12-A. Print Sub-Annex'!I37</f>
        <v>0</v>
      </c>
      <c r="J338" s="1862">
        <f>'12-A. Print Sub-Annex'!J37</f>
        <v>1.79</v>
      </c>
      <c r="K338" s="1862">
        <f>'12-A. Print Sub-Annex'!K37</f>
        <v>0</v>
      </c>
      <c r="L338" s="962">
        <f>'12-A. Print Sub-Annex'!L37</f>
        <v>483576</v>
      </c>
      <c r="M338" s="1862">
        <f>'12-A. Print Sub-Annex'!M37</f>
        <v>4.8357599999999996</v>
      </c>
      <c r="N338" s="1862">
        <f>'12-A. Print Sub-Annex'!N37</f>
        <v>1</v>
      </c>
      <c r="O338" s="962">
        <f>'12-A. Print Sub-Annex'!O37</f>
        <v>4.8357599999999996</v>
      </c>
      <c r="P338" s="2735" t="str">
        <f>'12-A. Print Sub-Annex'!P37</f>
        <v>Budget proposed for printing of training manuals for MO, ANM and Counsellor and ANM training manual for PE training. Detail attached in annexure Printing</v>
      </c>
      <c r="Q338" s="2713" t="s">
        <v>5631</v>
      </c>
      <c r="R338" s="2728">
        <v>4.84</v>
      </c>
    </row>
    <row r="339" spans="1:18" s="861" customFormat="1" ht="30">
      <c r="A339" s="4068"/>
      <c r="B339" s="2735">
        <f>'12-A. Print Sub-Annex'!B38</f>
        <v>0</v>
      </c>
      <c r="C339" s="1861" t="str">
        <f>'12-A. Print Sub-Annex'!C38</f>
        <v>Printing teachers training manual, training curriculum and facilitators guide</v>
      </c>
      <c r="D339" s="1862" t="str">
        <f>'12-A. Print Sub-Annex'!D38</f>
        <v>RCH</v>
      </c>
      <c r="E339" s="1862" t="str">
        <f>'12-A. Print Sub-Annex'!E38</f>
        <v>AH</v>
      </c>
      <c r="F339" s="1862">
        <f>'12-A. Print Sub-Annex'!F38</f>
        <v>0</v>
      </c>
      <c r="G339" s="1862">
        <f>'12-A. Print Sub-Annex'!G38</f>
        <v>0</v>
      </c>
      <c r="H339" s="1862">
        <f>'12-A. Print Sub-Annex'!H38</f>
        <v>0</v>
      </c>
      <c r="I339" s="1862">
        <f>'12-A. Print Sub-Annex'!I38</f>
        <v>0</v>
      </c>
      <c r="J339" s="1862">
        <f>'12-A. Print Sub-Annex'!J38</f>
        <v>0</v>
      </c>
      <c r="K339" s="1862">
        <f>'12-A. Print Sub-Annex'!K38</f>
        <v>0</v>
      </c>
      <c r="L339" s="962">
        <f>'12-A. Print Sub-Annex'!L38</f>
        <v>0</v>
      </c>
      <c r="M339" s="1862">
        <f>'12-A. Print Sub-Annex'!M38</f>
        <v>0</v>
      </c>
      <c r="N339" s="1862">
        <f>'12-A. Print Sub-Annex'!N38</f>
        <v>0</v>
      </c>
      <c r="O339" s="962">
        <f>'12-A. Print Sub-Annex'!O38</f>
        <v>0</v>
      </c>
      <c r="P339" s="2735">
        <f>'12-A. Print Sub-Annex'!P38</f>
        <v>0</v>
      </c>
      <c r="Q339" s="2759" t="s">
        <v>5521</v>
      </c>
      <c r="R339" s="2758">
        <v>0</v>
      </c>
    </row>
    <row r="340" spans="1:18" s="861" customFormat="1">
      <c r="A340" s="4068"/>
      <c r="B340" s="2735">
        <f>'12-A. Print Sub-Annex'!B39</f>
        <v>0</v>
      </c>
      <c r="C340" s="1861" t="str">
        <f>'12-A. Print Sub-Annex'!C39</f>
        <v>Any other (please specify)</v>
      </c>
      <c r="D340" s="1862" t="str">
        <f>'12-A. Print Sub-Annex'!D39</f>
        <v>RCH</v>
      </c>
      <c r="E340" s="1862" t="str">
        <f>'12-A. Print Sub-Annex'!E39</f>
        <v>AH</v>
      </c>
      <c r="F340" s="1862">
        <f>'12-A. Print Sub-Annex'!F39</f>
        <v>0</v>
      </c>
      <c r="G340" s="1862">
        <f>'12-A. Print Sub-Annex'!G39</f>
        <v>0</v>
      </c>
      <c r="H340" s="1862">
        <f>'12-A. Print Sub-Annex'!H39</f>
        <v>0</v>
      </c>
      <c r="I340" s="1862">
        <f>'12-A. Print Sub-Annex'!I39</f>
        <v>0</v>
      </c>
      <c r="J340" s="1862">
        <f>'12-A. Print Sub-Annex'!J39</f>
        <v>0</v>
      </c>
      <c r="K340" s="1862">
        <f>'12-A. Print Sub-Annex'!K39</f>
        <v>0</v>
      </c>
      <c r="L340" s="962">
        <f>'12-A. Print Sub-Annex'!L39</f>
        <v>0</v>
      </c>
      <c r="M340" s="1862">
        <f>'12-A. Print Sub-Annex'!M39</f>
        <v>0</v>
      </c>
      <c r="N340" s="1862">
        <f>'12-A. Print Sub-Annex'!N39</f>
        <v>0</v>
      </c>
      <c r="O340" s="962">
        <f>'12-A. Print Sub-Annex'!O39</f>
        <v>0</v>
      </c>
      <c r="P340" s="2735">
        <f>'12-A. Print Sub-Annex'!P39</f>
        <v>0</v>
      </c>
      <c r="Q340" s="2759" t="s">
        <v>5521</v>
      </c>
      <c r="R340" s="2758">
        <v>0</v>
      </c>
    </row>
    <row r="341" spans="1:18" s="861" customFormat="1">
      <c r="A341" s="1852" t="s">
        <v>4217</v>
      </c>
      <c r="B341" s="1852"/>
      <c r="C341" s="1853" t="s">
        <v>91</v>
      </c>
      <c r="D341" s="1854"/>
      <c r="E341" s="1854"/>
      <c r="F341" s="1854"/>
      <c r="G341" s="1854"/>
      <c r="H341" s="1855"/>
      <c r="I341" s="1854"/>
      <c r="J341" s="1855"/>
      <c r="K341" s="1854"/>
      <c r="L341" s="1855"/>
      <c r="M341" s="1855"/>
      <c r="N341" s="1875"/>
      <c r="O341" s="1876">
        <f>O342+O348+O354+O362+O364+O370+O351</f>
        <v>871.45999999999992</v>
      </c>
      <c r="P341" s="1877"/>
      <c r="Q341" s="1891"/>
      <c r="R341" s="2752">
        <f>R342+R348+R354+R362+R364+R370+R351</f>
        <v>839.95999999999992</v>
      </c>
    </row>
    <row r="342" spans="1:18" s="889" customFormat="1">
      <c r="A342" s="1858">
        <f>'1.SD Facility Based Annex'!A7</f>
        <v>1</v>
      </c>
      <c r="B342" s="1858">
        <f>'1.SD Facility Based Annex'!B7</f>
        <v>0</v>
      </c>
      <c r="C342" s="1859" t="str">
        <f>'1.SD Facility Based Annex'!C7</f>
        <v>Service Delivery - Facility Based</v>
      </c>
      <c r="D342" s="1860"/>
      <c r="E342" s="1860"/>
      <c r="F342" s="1860"/>
      <c r="G342" s="1860"/>
      <c r="H342" s="1860"/>
      <c r="I342" s="1860"/>
      <c r="J342" s="1860"/>
      <c r="K342" s="1860"/>
      <c r="L342" s="994"/>
      <c r="M342" s="1860"/>
      <c r="N342" s="1860"/>
      <c r="O342" s="994">
        <f>SUM(O343:O347)</f>
        <v>151.66</v>
      </c>
      <c r="P342" s="1858"/>
      <c r="Q342" s="2747"/>
      <c r="R342" s="2746">
        <f>SUM(R343:R347)</f>
        <v>151.66</v>
      </c>
    </row>
    <row r="343" spans="1:18" s="861" customFormat="1" ht="45">
      <c r="A343" s="2735" t="str">
        <f>'1.SD Facility Based Annex'!A17</f>
        <v>1.1.2.1</v>
      </c>
      <c r="B343" s="2735" t="str">
        <f>'1.SD Facility Based Annex'!B17</f>
        <v>A.5.1.5</v>
      </c>
      <c r="C343" s="1861" t="str">
        <f>'1.SD Facility Based Annex'!C17</f>
        <v>New born screening-  Inborn error of metabolism (please give details per unit cost of screening, number of children to be screened and the delivery points Add details)</v>
      </c>
      <c r="D343" s="1862" t="str">
        <f>'1.SD Facility Based Annex'!D17</f>
        <v>RCH</v>
      </c>
      <c r="E343" s="1862" t="str">
        <f>'1.SD Facility Based Annex'!E17</f>
        <v>RBSK</v>
      </c>
      <c r="F343" s="1862">
        <f>'1.SD Facility Based Annex'!F17</f>
        <v>0</v>
      </c>
      <c r="G343" s="1862">
        <f>'1.SD Facility Based Annex'!G17</f>
        <v>0</v>
      </c>
      <c r="H343" s="1862">
        <f>'1.SD Facility Based Annex'!H17</f>
        <v>0</v>
      </c>
      <c r="I343" s="1862">
        <f>'1.SD Facility Based Annex'!I17</f>
        <v>0</v>
      </c>
      <c r="J343" s="1862">
        <f>'1.SD Facility Based Annex'!J17</f>
        <v>0</v>
      </c>
      <c r="K343" s="1862">
        <f>'1.SD Facility Based Annex'!K17</f>
        <v>0</v>
      </c>
      <c r="L343" s="962">
        <f>'1.SD Facility Based Annex'!L17</f>
        <v>0</v>
      </c>
      <c r="M343" s="1862">
        <f>'1.SD Facility Based Annex'!M17</f>
        <v>0</v>
      </c>
      <c r="N343" s="1862">
        <f>'1.SD Facility Based Annex'!N17</f>
        <v>0</v>
      </c>
      <c r="O343" s="962">
        <f>'1.SD Facility Based Annex'!O17</f>
        <v>0</v>
      </c>
      <c r="P343" s="2735">
        <f>'1.SD Facility Based Annex'!P17</f>
        <v>0</v>
      </c>
      <c r="Q343" s="2018" t="s">
        <v>5521</v>
      </c>
      <c r="R343" s="2742">
        <v>0</v>
      </c>
    </row>
    <row r="344" spans="1:18" s="861" customFormat="1" ht="105">
      <c r="A344" s="2735" t="str">
        <f>'1.SD Facility Based Annex'!A18</f>
        <v>1.1.2.2</v>
      </c>
      <c r="B344" s="2735" t="str">
        <f>'1.SD Facility Based Annex'!B18</f>
        <v>A.5.1.6</v>
      </c>
      <c r="C344" s="1861" t="str">
        <f>'1.SD Facility Based Annex'!C18</f>
        <v>New born screening as per  RBSK Comprehensive New-born Screening: Handbook for screening visible birth defects at all delivery points (please give details per unit cost , number of deliveries to be screened and the delivery points Add details)</v>
      </c>
      <c r="D344" s="1862" t="str">
        <f>'1.SD Facility Based Annex'!D18</f>
        <v>RCH</v>
      </c>
      <c r="E344" s="1862" t="str">
        <f>'1.SD Facility Based Annex'!E18</f>
        <v>RBSK</v>
      </c>
      <c r="F344" s="1862">
        <f>'1.SD Facility Based Annex'!F18</f>
        <v>1</v>
      </c>
      <c r="G344" s="1862">
        <f>'1.SD Facility Based Annex'!G18</f>
        <v>0</v>
      </c>
      <c r="H344" s="1862">
        <f>'1.SD Facility Based Annex'!H18</f>
        <v>0</v>
      </c>
      <c r="I344" s="1862">
        <f>'1.SD Facility Based Annex'!I18</f>
        <v>0</v>
      </c>
      <c r="J344" s="1862">
        <f>'1.SD Facility Based Annex'!J18</f>
        <v>0</v>
      </c>
      <c r="K344" s="1862">
        <f>'1.SD Facility Based Annex'!K18</f>
        <v>0</v>
      </c>
      <c r="L344" s="962">
        <f>'1.SD Facility Based Annex'!L18</f>
        <v>70</v>
      </c>
      <c r="M344" s="1862">
        <f>'1.SD Facility Based Annex'!M18</f>
        <v>6.9999999999999999E-4</v>
      </c>
      <c r="N344" s="1862">
        <f>'1.SD Facility Based Annex'!N18</f>
        <v>1000</v>
      </c>
      <c r="O344" s="962">
        <f>'1.SD Facility Based Annex'!O18</f>
        <v>0.7</v>
      </c>
      <c r="P344" s="2735" t="str">
        <f>'1.SD Facility Based Annex'!P18</f>
        <v>Newborn screening hand book for SNs and ANMs posted at delievery points, SNCU &amp; NBSU.</v>
      </c>
      <c r="Q344" s="2018" t="s">
        <v>5632</v>
      </c>
      <c r="R344" s="2728">
        <f>70*1000/100000</f>
        <v>0.7</v>
      </c>
    </row>
    <row r="345" spans="1:18" s="861" customFormat="1" ht="195">
      <c r="A345" s="2735" t="str">
        <f>'1.SD Facility Based Annex'!A19</f>
        <v>1.1.2.3</v>
      </c>
      <c r="B345" s="2735" t="str">
        <f>'1.SD Facility Based Annex'!B19</f>
        <v>A.5.2</v>
      </c>
      <c r="C345" s="1861" t="str">
        <f>'1.SD Facility Based Annex'!C19</f>
        <v>Referral Support for Secondary/ Tertiary care (pl give unit cost and unit of measure as per RBSK guidelines) - RBSK</v>
      </c>
      <c r="D345" s="1862" t="str">
        <f>'1.SD Facility Based Annex'!D19</f>
        <v>RCH</v>
      </c>
      <c r="E345" s="1862" t="str">
        <f>'1.SD Facility Based Annex'!E19</f>
        <v>RBSK</v>
      </c>
      <c r="F345" s="1862">
        <f>'1.SD Facility Based Annex'!F19</f>
        <v>1</v>
      </c>
      <c r="G345" s="1862">
        <f>'1.SD Facility Based Annex'!G19</f>
        <v>10</v>
      </c>
      <c r="H345" s="1862">
        <f>'1.SD Facility Based Annex'!H19</f>
        <v>285.60000000000002</v>
      </c>
      <c r="I345" s="1862">
        <f>'1.SD Facility Based Annex'!I19</f>
        <v>8.5</v>
      </c>
      <c r="J345" s="1862">
        <f>'1.SD Facility Based Annex'!J19</f>
        <v>277.10000000000002</v>
      </c>
      <c r="K345" s="1862">
        <f>'1.SD Facility Based Annex'!K19</f>
        <v>1</v>
      </c>
      <c r="L345" s="962">
        <f>'1.SD Facility Based Annex'!L19</f>
        <v>15000000</v>
      </c>
      <c r="M345" s="1862">
        <f>'1.SD Facility Based Annex'!M19</f>
        <v>150</v>
      </c>
      <c r="N345" s="1862">
        <f>'1.SD Facility Based Annex'!N19</f>
        <v>1</v>
      </c>
      <c r="O345" s="962">
        <f>'1.SD Facility Based Annex'!O19</f>
        <v>150</v>
      </c>
      <c r="P345" s="2735" t="str">
        <f>'1.SD Facility Based Annex'!P19</f>
        <v>Justification Annexure attahced</v>
      </c>
      <c r="Q345" s="2714" t="s">
        <v>5633</v>
      </c>
      <c r="R345" s="2774">
        <v>150</v>
      </c>
    </row>
    <row r="346" spans="1:18" s="861" customFormat="1">
      <c r="A346" s="2735" t="str">
        <f>'1.SD Facility Based Annex'!A20</f>
        <v>1.1.2.4</v>
      </c>
      <c r="B346" s="2735">
        <f>'1.SD Facility Based Annex'!B20</f>
        <v>0</v>
      </c>
      <c r="C346" s="1861" t="str">
        <f>'1.SD Facility Based Annex'!C20</f>
        <v>Any other (please specify)</v>
      </c>
      <c r="D346" s="1862" t="str">
        <f>'1.SD Facility Based Annex'!D20</f>
        <v>RCH</v>
      </c>
      <c r="E346" s="1862" t="str">
        <f>'1.SD Facility Based Annex'!E20</f>
        <v>RBSK</v>
      </c>
      <c r="F346" s="1862">
        <f>'1.SD Facility Based Annex'!F20</f>
        <v>0</v>
      </c>
      <c r="G346" s="1862">
        <f>'1.SD Facility Based Annex'!G20</f>
        <v>0</v>
      </c>
      <c r="H346" s="1862">
        <f>'1.SD Facility Based Annex'!H20</f>
        <v>0</v>
      </c>
      <c r="I346" s="1862">
        <f>'1.SD Facility Based Annex'!I20</f>
        <v>0</v>
      </c>
      <c r="J346" s="1862">
        <f>'1.SD Facility Based Annex'!J20</f>
        <v>0</v>
      </c>
      <c r="K346" s="1862">
        <f>'1.SD Facility Based Annex'!K20</f>
        <v>0</v>
      </c>
      <c r="L346" s="962">
        <f>'1.SD Facility Based Annex'!L20</f>
        <v>0</v>
      </c>
      <c r="M346" s="1862">
        <f>'1.SD Facility Based Annex'!M20</f>
        <v>0</v>
      </c>
      <c r="N346" s="1862">
        <f>'1.SD Facility Based Annex'!N20</f>
        <v>0</v>
      </c>
      <c r="O346" s="962">
        <f>'1.SD Facility Based Annex'!O20</f>
        <v>0</v>
      </c>
      <c r="P346" s="2735">
        <f>'1.SD Facility Based Annex'!P20</f>
        <v>0</v>
      </c>
      <c r="Q346" s="2772" t="s">
        <v>5520</v>
      </c>
      <c r="R346" s="2729">
        <v>0</v>
      </c>
    </row>
    <row r="347" spans="1:18" s="861" customFormat="1" ht="180">
      <c r="A347" s="2735" t="str">
        <f>'1.SD Facility Based Annex'!A90</f>
        <v>1.3.1.7</v>
      </c>
      <c r="B347" s="2735" t="str">
        <f>'1.SD Facility Based Annex'!B90</f>
        <v>A.5.1.4/ B16.1.6.3.5</v>
      </c>
      <c r="C347" s="1861" t="str">
        <f>'1.SD Facility Based Annex'!C90</f>
        <v>DEIC (including Data card internet connection for laptops and rental)</v>
      </c>
      <c r="D347" s="1862" t="str">
        <f>'1.SD Facility Based Annex'!D90</f>
        <v>RCH</v>
      </c>
      <c r="E347" s="1862" t="str">
        <f>'1.SD Facility Based Annex'!E90</f>
        <v>RBSK</v>
      </c>
      <c r="F347" s="1862">
        <f>'1.SD Facility Based Annex'!F90</f>
        <v>10</v>
      </c>
      <c r="G347" s="1862">
        <f>'1.SD Facility Based Annex'!G90</f>
        <v>0</v>
      </c>
      <c r="H347" s="1862">
        <f>'1.SD Facility Based Annex'!H90</f>
        <v>0</v>
      </c>
      <c r="I347" s="1862">
        <f>'1.SD Facility Based Annex'!I90</f>
        <v>0</v>
      </c>
      <c r="J347" s="1862">
        <f>'1.SD Facility Based Annex'!J90</f>
        <v>0</v>
      </c>
      <c r="K347" s="1862">
        <f>'1.SD Facility Based Annex'!K90</f>
        <v>1</v>
      </c>
      <c r="L347" s="962">
        <f>'1.SD Facility Based Annex'!L90</f>
        <v>9600</v>
      </c>
      <c r="M347" s="1862">
        <f>'1.SD Facility Based Annex'!M90</f>
        <v>9.6000000000000002E-2</v>
      </c>
      <c r="N347" s="1862">
        <f>'1.SD Facility Based Annex'!N90</f>
        <v>10</v>
      </c>
      <c r="O347" s="962">
        <f>'1.SD Facility Based Annex'!O90</f>
        <v>0.96</v>
      </c>
      <c r="P347" s="2735" t="str">
        <f>'1.SD Facility Based Annex'!P90</f>
        <v>State has established 7 DEICs out of 10 and remaining DEICs  are in the pipeline to  be made functional. Hence funds proposed for internet connection of 10 DEICs</v>
      </c>
      <c r="Q347" s="2018" t="s">
        <v>5634</v>
      </c>
      <c r="R347" s="2728">
        <f>9600*10/100000</f>
        <v>0.96</v>
      </c>
    </row>
    <row r="348" spans="1:18" s="861" customFormat="1">
      <c r="A348" s="1858">
        <f>'2.SD Community Based Annex'!A7</f>
        <v>2</v>
      </c>
      <c r="B348" s="1858">
        <f>'2.SD Community Based Annex'!B7</f>
        <v>0</v>
      </c>
      <c r="C348" s="1859" t="str">
        <f>'2.SD Community Based Annex'!C7</f>
        <v>Service Delivery - Community Based</v>
      </c>
      <c r="D348" s="970"/>
      <c r="E348" s="970"/>
      <c r="F348" s="970"/>
      <c r="G348" s="970"/>
      <c r="H348" s="970"/>
      <c r="I348" s="970"/>
      <c r="J348" s="970"/>
      <c r="K348" s="970"/>
      <c r="L348" s="1867"/>
      <c r="M348" s="970"/>
      <c r="N348" s="970"/>
      <c r="O348" s="994">
        <f>SUM(O349:O350)</f>
        <v>609</v>
      </c>
      <c r="P348" s="1858"/>
      <c r="Q348" s="2747"/>
      <c r="R348" s="2746">
        <f>SUM(R349:R350)</f>
        <v>609</v>
      </c>
    </row>
    <row r="349" spans="1:18" s="861" customFormat="1" ht="135">
      <c r="A349" s="2735" t="str">
        <f>'2.SD Community Based Annex'!A22</f>
        <v>2.2.3</v>
      </c>
      <c r="B349" s="2735" t="str">
        <f>'2.SD Community Based Annex'!B22</f>
        <v>A.5.1.3</v>
      </c>
      <c r="C349" s="1861" t="str">
        <f>'2.SD Community Based Annex'!C22</f>
        <v>Mobility support  for RBSK Mobile health team</v>
      </c>
      <c r="D349" s="1862" t="str">
        <f>'2.SD Community Based Annex'!D22</f>
        <v>RCH</v>
      </c>
      <c r="E349" s="1862" t="str">
        <f>'2.SD Community Based Annex'!E22</f>
        <v>RBSK</v>
      </c>
      <c r="F349" s="1862">
        <f>'2.SD Community Based Annex'!F22</f>
        <v>150</v>
      </c>
      <c r="G349" s="1862">
        <f>'2.SD Community Based Annex'!G22</f>
        <v>0</v>
      </c>
      <c r="H349" s="1862">
        <f>'2.SD Community Based Annex'!H22</f>
        <v>600</v>
      </c>
      <c r="I349" s="1862">
        <f>'2.SD Community Based Annex'!I22</f>
        <v>171.41</v>
      </c>
      <c r="J349" s="1862">
        <f>'2.SD Community Based Annex'!J22</f>
        <v>428.59</v>
      </c>
      <c r="K349" s="1862">
        <f>'2.SD Community Based Annex'!K22</f>
        <v>1</v>
      </c>
      <c r="L349" s="962">
        <f>'2.SD Community Based Annex'!L22</f>
        <v>400000</v>
      </c>
      <c r="M349" s="1862">
        <f>'2.SD Community Based Annex'!M22</f>
        <v>4</v>
      </c>
      <c r="N349" s="1862">
        <f>'2.SD Community Based Annex'!N22</f>
        <v>150</v>
      </c>
      <c r="O349" s="962">
        <f>'2.SD Community Based Annex'!O22</f>
        <v>600</v>
      </c>
      <c r="P349" s="2735" t="str">
        <f>'2.SD Community Based Annex'!P22</f>
        <v>Fund proposed for hiring of dedicated RBSK vehicles for MHTs</v>
      </c>
      <c r="Q349" s="2714" t="s">
        <v>5635</v>
      </c>
      <c r="R349" s="2715">
        <f>150*4</f>
        <v>600</v>
      </c>
    </row>
    <row r="350" spans="1:18" s="861" customFormat="1" ht="60">
      <c r="A350" s="2735" t="str">
        <f>'2.SD Community Based Annex'!A23</f>
        <v>2.2.4</v>
      </c>
      <c r="B350" s="2735" t="str">
        <f>'2.SD Community Based Annex'!B23</f>
        <v>B16.1.6.3.6</v>
      </c>
      <c r="C350" s="1861" t="str">
        <f>'2.SD Community Based Annex'!C23</f>
        <v>Support for RBSK: CUG connection per team and rental</v>
      </c>
      <c r="D350" s="1862" t="str">
        <f>'2.SD Community Based Annex'!D23</f>
        <v>RCH</v>
      </c>
      <c r="E350" s="1862" t="str">
        <f>'2.SD Community Based Annex'!E23</f>
        <v>RBSK</v>
      </c>
      <c r="F350" s="1862">
        <f>'2.SD Community Based Annex'!F23</f>
        <v>150</v>
      </c>
      <c r="G350" s="1862">
        <f>'2.SD Community Based Annex'!G23</f>
        <v>0</v>
      </c>
      <c r="H350" s="1862">
        <f>'2.SD Community Based Annex'!H23</f>
        <v>9</v>
      </c>
      <c r="I350" s="1862">
        <f>'2.SD Community Based Annex'!I23</f>
        <v>0.35</v>
      </c>
      <c r="J350" s="1862">
        <f>'2.SD Community Based Annex'!J23</f>
        <v>8.65</v>
      </c>
      <c r="K350" s="1862">
        <f>'2.SD Community Based Annex'!K23</f>
        <v>1</v>
      </c>
      <c r="L350" s="962">
        <f>'2.SD Community Based Annex'!L23</f>
        <v>6000</v>
      </c>
      <c r="M350" s="1862">
        <f>'2.SD Community Based Annex'!M23</f>
        <v>0.06</v>
      </c>
      <c r="N350" s="1862">
        <f>'2.SD Community Based Annex'!N23</f>
        <v>150</v>
      </c>
      <c r="O350" s="962">
        <f>'2.SD Community Based Annex'!O23</f>
        <v>9</v>
      </c>
      <c r="P350" s="2735" t="str">
        <f>'2.SD Community Based Annex'!P23</f>
        <v>Fund proposed for rental of 150 data cards @ Rs. 6000 per annum</v>
      </c>
      <c r="Q350" s="2714" t="s">
        <v>5636</v>
      </c>
      <c r="R350" s="2733">
        <f>150*6000/100000</f>
        <v>9</v>
      </c>
    </row>
    <row r="351" spans="1:18" s="861" customFormat="1">
      <c r="A351" s="1858">
        <f>'5.Infrastructure Annex'!A7</f>
        <v>5</v>
      </c>
      <c r="B351" s="1858"/>
      <c r="C351" s="1858" t="str">
        <f>'5.Infrastructure Annex'!C7</f>
        <v>Infrastructure</v>
      </c>
      <c r="D351" s="970"/>
      <c r="E351" s="970"/>
      <c r="F351" s="970"/>
      <c r="G351" s="970"/>
      <c r="H351" s="970"/>
      <c r="I351" s="970"/>
      <c r="J351" s="970"/>
      <c r="K351" s="970"/>
      <c r="L351" s="1867"/>
      <c r="M351" s="970"/>
      <c r="N351" s="970"/>
      <c r="O351" s="994">
        <f>SUM(O352:O353)</f>
        <v>25</v>
      </c>
      <c r="P351" s="1858"/>
      <c r="Q351" s="2747"/>
      <c r="R351" s="2744">
        <f>SUM(R352:R353)</f>
        <v>25</v>
      </c>
    </row>
    <row r="352" spans="1:18" s="861" customFormat="1" ht="120">
      <c r="A352" s="2735" t="str">
        <f>'5.Infrastructure Annex'!A64</f>
        <v>5.2.1.8</v>
      </c>
      <c r="B352" s="2735" t="str">
        <f>'5.Infrastructure Annex'!B64</f>
        <v>B5.13.1</v>
      </c>
      <c r="C352" s="2735" t="str">
        <f>'5.Infrastructure Annex'!C64</f>
        <v>New construction: DEIC (RBSK)</v>
      </c>
      <c r="D352" s="1862" t="str">
        <f>'5.Infrastructure Annex'!D64</f>
        <v>HSS</v>
      </c>
      <c r="E352" s="1862" t="str">
        <f>'5.Infrastructure Annex'!E64</f>
        <v>RBSK</v>
      </c>
      <c r="F352" s="1862">
        <f>'5.Infrastructure Annex'!F64</f>
        <v>8</v>
      </c>
      <c r="G352" s="1862">
        <f>'5.Infrastructure Annex'!G64</f>
        <v>0</v>
      </c>
      <c r="H352" s="1862">
        <f>'5.Infrastructure Annex'!H64</f>
        <v>80</v>
      </c>
      <c r="I352" s="1862">
        <f>'5.Infrastructure Annex'!I64</f>
        <v>0.39</v>
      </c>
      <c r="J352" s="1862">
        <f>'5.Infrastructure Annex'!J64</f>
        <v>79.61</v>
      </c>
      <c r="K352" s="1862">
        <f>'5.Infrastructure Annex'!K64</f>
        <v>0</v>
      </c>
      <c r="L352" s="962">
        <f>'5.Infrastructure Annex'!L64</f>
        <v>2500000</v>
      </c>
      <c r="M352" s="1862">
        <f>'5.Infrastructure Annex'!M64</f>
        <v>25</v>
      </c>
      <c r="N352" s="1862">
        <f>'5.Infrastructure Annex'!N64</f>
        <v>1</v>
      </c>
      <c r="O352" s="962">
        <f>'5.Infrastructure Annex'!O64</f>
        <v>25</v>
      </c>
      <c r="P352" s="2735" t="str">
        <f>'5.Infrastructure Annex'!P64</f>
        <v>The state has identified a site for new construction of DEIC measuring 2500 Sq. feet as per thumb rule of Rs. 1000 per Sq. ft. proposal of Rs. 25 lac (2500*1000) has been built</v>
      </c>
      <c r="Q352" s="2717" t="s">
        <v>5866</v>
      </c>
      <c r="R352" s="2728">
        <v>25</v>
      </c>
    </row>
    <row r="353" spans="1:18" s="861" customFormat="1">
      <c r="A353" s="2735" t="str">
        <f>'5.Infrastructure Annex'!A78</f>
        <v>5.2.2.7</v>
      </c>
      <c r="B353" s="2735" t="str">
        <f>'5.Infrastructure Annex'!B78</f>
        <v>B.5.13.2</v>
      </c>
      <c r="C353" s="2735" t="str">
        <f>'5.Infrastructure Annex'!C78</f>
        <v>Carry forward: DEIC (RBSK)</v>
      </c>
      <c r="D353" s="1862" t="str">
        <f>'5.Infrastructure Annex'!D78</f>
        <v>HSS</v>
      </c>
      <c r="E353" s="1862" t="str">
        <f>'5.Infrastructure Annex'!E78</f>
        <v>RBSK</v>
      </c>
      <c r="F353" s="1862">
        <f>'5.Infrastructure Annex'!F78</f>
        <v>0</v>
      </c>
      <c r="G353" s="1862">
        <f>'5.Infrastructure Annex'!G78</f>
        <v>0</v>
      </c>
      <c r="H353" s="1862">
        <f>'5.Infrastructure Annex'!H78</f>
        <v>0</v>
      </c>
      <c r="I353" s="1862">
        <f>'5.Infrastructure Annex'!I78</f>
        <v>0</v>
      </c>
      <c r="J353" s="1862">
        <f>'5.Infrastructure Annex'!J78</f>
        <v>0</v>
      </c>
      <c r="K353" s="1862">
        <f>'5.Infrastructure Annex'!K78</f>
        <v>0</v>
      </c>
      <c r="L353" s="962">
        <f>'5.Infrastructure Annex'!L78</f>
        <v>0</v>
      </c>
      <c r="M353" s="1862">
        <f>'5.Infrastructure Annex'!M78</f>
        <v>0</v>
      </c>
      <c r="N353" s="1862">
        <f>'5.Infrastructure Annex'!N78</f>
        <v>0</v>
      </c>
      <c r="O353" s="962">
        <f>'5.Infrastructure Annex'!O78</f>
        <v>0</v>
      </c>
      <c r="P353" s="2735">
        <f>'5.Infrastructure Annex'!P78</f>
        <v>0</v>
      </c>
      <c r="Q353" s="2772" t="s">
        <v>5520</v>
      </c>
      <c r="R353" s="2729">
        <v>0</v>
      </c>
    </row>
    <row r="354" spans="1:18" s="861" customFormat="1">
      <c r="A354" s="1858">
        <f>'6.Procurement Annex'!A7</f>
        <v>6</v>
      </c>
      <c r="B354" s="1858"/>
      <c r="C354" s="1859" t="str">
        <f>'6.Procurement Annex'!C7</f>
        <v>Procurement</v>
      </c>
      <c r="D354" s="1860"/>
      <c r="E354" s="1860"/>
      <c r="F354" s="1860"/>
      <c r="G354" s="1860"/>
      <c r="H354" s="1860"/>
      <c r="I354" s="1860"/>
      <c r="J354" s="1860"/>
      <c r="K354" s="1860"/>
      <c r="L354" s="994"/>
      <c r="M354" s="1860"/>
      <c r="N354" s="1860"/>
      <c r="O354" s="994">
        <f>SUM(O355:O361)</f>
        <v>39.5</v>
      </c>
      <c r="P354" s="1858"/>
      <c r="Q354" s="2747"/>
      <c r="R354" s="2746">
        <f>SUM(R355:R361)</f>
        <v>39.5</v>
      </c>
    </row>
    <row r="355" spans="1:18" s="861" customFormat="1" ht="90">
      <c r="A355" s="4068" t="str">
        <f>'6.Procurement Annex'!A14</f>
        <v>6.1.1.5</v>
      </c>
      <c r="B355" s="2735" t="str">
        <f>'6-A. Proc. Sub-Annex'!B30</f>
        <v>B16.1.6.3.1</v>
      </c>
      <c r="C355" s="1861" t="str">
        <f>'6-A. Proc. Sub-Annex'!C30</f>
        <v xml:space="preserve">Equipment for Mobile health teams </v>
      </c>
      <c r="D355" s="1862" t="str">
        <f>'6-A. Proc. Sub-Annex'!D30</f>
        <v>RCH</v>
      </c>
      <c r="E355" s="1862" t="str">
        <f>'6-A. Proc. Sub-Annex'!E30</f>
        <v>RBSK</v>
      </c>
      <c r="F355" s="1862">
        <f>'6-A. Proc. Sub-Annex'!F30</f>
        <v>150</v>
      </c>
      <c r="G355" s="1862">
        <f>'6-A. Proc. Sub-Annex'!G30</f>
        <v>0</v>
      </c>
      <c r="H355" s="1862">
        <f>'6-A. Proc. Sub-Annex'!H30</f>
        <v>4.5</v>
      </c>
      <c r="I355" s="1862">
        <f>'6-A. Proc. Sub-Annex'!I30</f>
        <v>0.32</v>
      </c>
      <c r="J355" s="1862">
        <f>'6-A. Proc. Sub-Annex'!J30</f>
        <v>4.18</v>
      </c>
      <c r="K355" s="1862">
        <f>'6-A. Proc. Sub-Annex'!K30</f>
        <v>1</v>
      </c>
      <c r="L355" s="962">
        <f>'6-A. Proc. Sub-Annex'!L30</f>
        <v>3000</v>
      </c>
      <c r="M355" s="1862">
        <f>'6-A. Proc. Sub-Annex'!M30</f>
        <v>0.03</v>
      </c>
      <c r="N355" s="1862">
        <f>'6-A. Proc. Sub-Annex'!N30</f>
        <v>150</v>
      </c>
      <c r="O355" s="962">
        <f>'6-A. Proc. Sub-Annex'!O30</f>
        <v>4.5</v>
      </c>
      <c r="P355" s="2735" t="str">
        <f>'6-A. Proc. Sub-Annex'!P30</f>
        <v xml:space="preserve">Fund proposed for procurement of job aids screening  for MHTs </v>
      </c>
      <c r="Q355" s="2716" t="s">
        <v>5637</v>
      </c>
      <c r="R355" s="2774">
        <f>3000*150/100000</f>
        <v>4.5</v>
      </c>
    </row>
    <row r="356" spans="1:18" s="861" customFormat="1" ht="255">
      <c r="A356" s="4068"/>
      <c r="B356" s="2735" t="str">
        <f>'6-A. Proc. Sub-Annex'!B31</f>
        <v>B16.1.6.3.2</v>
      </c>
      <c r="C356" s="1861" t="str">
        <f>'6-A. Proc. Sub-Annex'!C31</f>
        <v xml:space="preserve">Equipment for DEIC </v>
      </c>
      <c r="D356" s="1862" t="str">
        <f>'6-A. Proc. Sub-Annex'!D31</f>
        <v>RCH</v>
      </c>
      <c r="E356" s="1862" t="str">
        <f>'6-A. Proc. Sub-Annex'!E31</f>
        <v>RBSK</v>
      </c>
      <c r="F356" s="1862">
        <f>'6-A. Proc. Sub-Annex'!F31</f>
        <v>5</v>
      </c>
      <c r="G356" s="1862">
        <f>'6-A. Proc. Sub-Annex'!G31</f>
        <v>0</v>
      </c>
      <c r="H356" s="1862">
        <f>'6-A. Proc. Sub-Annex'!H31</f>
        <v>50</v>
      </c>
      <c r="I356" s="1862">
        <f>'6-A. Proc. Sub-Annex'!I31</f>
        <v>0</v>
      </c>
      <c r="J356" s="1862">
        <f>'6-A. Proc. Sub-Annex'!J31</f>
        <v>50</v>
      </c>
      <c r="K356" s="1862">
        <f>'6-A. Proc. Sub-Annex'!K31</f>
        <v>0</v>
      </c>
      <c r="L356" s="962">
        <f>'6-A. Proc. Sub-Annex'!L31</f>
        <v>3500000</v>
      </c>
      <c r="M356" s="1862">
        <f>'6-A. Proc. Sub-Annex'!M31</f>
        <v>35</v>
      </c>
      <c r="N356" s="1862">
        <f>'6-A. Proc. Sub-Annex'!N31</f>
        <v>1</v>
      </c>
      <c r="O356" s="962">
        <f>'6-A. Proc. Sub-Annex'!O31</f>
        <v>35</v>
      </c>
      <c r="P356" s="2735" t="str">
        <f>'6-A. Proc. Sub-Annex'!P31</f>
        <v xml:space="preserve">The State is in the process of establishment of 8 DEICs in the state on a scaled down version as per the approval granted by Govt. of India in ROP 2020-21. The state now plans to establish a DEIC in RH Klllu as per Govt. of India guidelines in a PPP mode and besides proposing for equipment, the state has built in adequate HR for the same as well. Reference to the query raised by RBSK division, MoHFW vide email dated 16.03.2021 the proposal for equipment has been revised to Rs. 10 lac to Rs. 35 lac. The gap analysis is being sent by the state RBSK division to MOHFW directly. </v>
      </c>
      <c r="Q356" s="2787" t="s">
        <v>5678</v>
      </c>
      <c r="R356" s="2728">
        <v>35</v>
      </c>
    </row>
    <row r="357" spans="1:18" s="861" customFormat="1">
      <c r="A357" s="4068"/>
      <c r="B357" s="2735" t="str">
        <f>'6-A. Proc. Sub-Annex'!B32</f>
        <v>B16.1.6.3.3</v>
      </c>
      <c r="C357" s="1861" t="str">
        <f>'6-A. Proc. Sub-Annex'!C32</f>
        <v>Laptop for mobile health teams</v>
      </c>
      <c r="D357" s="1862" t="str">
        <f>'6-A. Proc. Sub-Annex'!D32</f>
        <v>RCH</v>
      </c>
      <c r="E357" s="1862" t="str">
        <f>'6-A. Proc. Sub-Annex'!E32</f>
        <v>RBSK</v>
      </c>
      <c r="F357" s="1862">
        <f>'6-A. Proc. Sub-Annex'!F32</f>
        <v>10</v>
      </c>
      <c r="G357" s="1862">
        <f>'6-A. Proc. Sub-Annex'!G32</f>
        <v>0</v>
      </c>
      <c r="H357" s="1862">
        <f>'6-A. Proc. Sub-Annex'!H32</f>
        <v>5</v>
      </c>
      <c r="I357" s="1862">
        <f>'6-A. Proc. Sub-Annex'!I32</f>
        <v>0</v>
      </c>
      <c r="J357" s="1862">
        <f>'6-A. Proc. Sub-Annex'!J32</f>
        <v>5</v>
      </c>
      <c r="K357" s="1862">
        <f>'6-A. Proc. Sub-Annex'!K32</f>
        <v>0</v>
      </c>
      <c r="L357" s="962">
        <f>'6-A. Proc. Sub-Annex'!L32</f>
        <v>0</v>
      </c>
      <c r="M357" s="1862">
        <f>'6-A. Proc. Sub-Annex'!M32</f>
        <v>0</v>
      </c>
      <c r="N357" s="1862">
        <f>'6-A. Proc. Sub-Annex'!N32</f>
        <v>0</v>
      </c>
      <c r="O357" s="962">
        <f>'6-A. Proc. Sub-Annex'!O32</f>
        <v>0</v>
      </c>
      <c r="P357" s="2735">
        <f>'6-A. Proc. Sub-Annex'!P32</f>
        <v>0</v>
      </c>
      <c r="Q357" s="2759" t="s">
        <v>5521</v>
      </c>
      <c r="R357" s="2758">
        <v>0</v>
      </c>
    </row>
    <row r="358" spans="1:18" s="861" customFormat="1">
      <c r="A358" s="4068"/>
      <c r="B358" s="2735" t="str">
        <f>'6-A. Proc. Sub-Annex'!B33</f>
        <v>B16.1.6.3.4</v>
      </c>
      <c r="C358" s="1861" t="str">
        <f>'6-A. Proc. Sub-Annex'!C33</f>
        <v>Desktop for DEIC</v>
      </c>
      <c r="D358" s="1862" t="str">
        <f>'6-A. Proc. Sub-Annex'!D33</f>
        <v>RCH</v>
      </c>
      <c r="E358" s="1862" t="str">
        <f>'6-A. Proc. Sub-Annex'!E33</f>
        <v>RBSK</v>
      </c>
      <c r="F358" s="1862">
        <f>'6-A. Proc. Sub-Annex'!F33</f>
        <v>5</v>
      </c>
      <c r="G358" s="1862">
        <f>'6-A. Proc. Sub-Annex'!G33</f>
        <v>0</v>
      </c>
      <c r="H358" s="1862">
        <f>'6-A. Proc. Sub-Annex'!H33</f>
        <v>2.5</v>
      </c>
      <c r="I358" s="1862">
        <f>'6-A. Proc. Sub-Annex'!I33</f>
        <v>0</v>
      </c>
      <c r="J358" s="1862">
        <f>'6-A. Proc. Sub-Annex'!J33</f>
        <v>2.5</v>
      </c>
      <c r="K358" s="1862">
        <f>'6-A. Proc. Sub-Annex'!K33</f>
        <v>0</v>
      </c>
      <c r="L358" s="962">
        <f>'6-A. Proc. Sub-Annex'!L33</f>
        <v>0</v>
      </c>
      <c r="M358" s="1862">
        <f>'6-A. Proc. Sub-Annex'!M33</f>
        <v>0</v>
      </c>
      <c r="N358" s="1862">
        <f>'6-A. Proc. Sub-Annex'!N33</f>
        <v>0</v>
      </c>
      <c r="O358" s="962">
        <f>'6-A. Proc. Sub-Annex'!O33</f>
        <v>0</v>
      </c>
      <c r="P358" s="2735">
        <f>'6-A. Proc. Sub-Annex'!P33</f>
        <v>0</v>
      </c>
      <c r="Q358" s="2759" t="s">
        <v>5521</v>
      </c>
      <c r="R358" s="2758">
        <v>0</v>
      </c>
    </row>
    <row r="359" spans="1:18" s="861" customFormat="1">
      <c r="A359" s="4068"/>
      <c r="B359" s="2735">
        <f>'6-A. Proc. Sub-Annex'!B34</f>
        <v>0</v>
      </c>
      <c r="C359" s="1861" t="str">
        <f>'6-A. Proc. Sub-Annex'!C34</f>
        <v>Any other equipment (please specify)</v>
      </c>
      <c r="D359" s="1862" t="str">
        <f>'6-A. Proc. Sub-Annex'!D34</f>
        <v>RCH</v>
      </c>
      <c r="E359" s="1862" t="str">
        <f>'6-A. Proc. Sub-Annex'!E34</f>
        <v>RBSK</v>
      </c>
      <c r="F359" s="1862">
        <f>'6-A. Proc. Sub-Annex'!F34</f>
        <v>0</v>
      </c>
      <c r="G359" s="1862">
        <f>'6-A. Proc. Sub-Annex'!G34</f>
        <v>0</v>
      </c>
      <c r="H359" s="1862">
        <f>'6-A. Proc. Sub-Annex'!H34</f>
        <v>0</v>
      </c>
      <c r="I359" s="1862">
        <f>'6-A. Proc. Sub-Annex'!I34</f>
        <v>0</v>
      </c>
      <c r="J359" s="1862">
        <f>'6-A. Proc. Sub-Annex'!J34</f>
        <v>0</v>
      </c>
      <c r="K359" s="1862">
        <f>'6-A. Proc. Sub-Annex'!K34</f>
        <v>0</v>
      </c>
      <c r="L359" s="962">
        <f>'6-A. Proc. Sub-Annex'!L34</f>
        <v>0</v>
      </c>
      <c r="M359" s="1862">
        <f>'6-A. Proc. Sub-Annex'!M34</f>
        <v>0</v>
      </c>
      <c r="N359" s="1862">
        <f>'6-A. Proc. Sub-Annex'!N34</f>
        <v>0</v>
      </c>
      <c r="O359" s="962">
        <f>'6-A. Proc. Sub-Annex'!O34</f>
        <v>0</v>
      </c>
      <c r="P359" s="2735">
        <f>'6-A. Proc. Sub-Annex'!P34</f>
        <v>0</v>
      </c>
      <c r="Q359" s="2759" t="s">
        <v>5521</v>
      </c>
      <c r="R359" s="2758">
        <v>0</v>
      </c>
    </row>
    <row r="360" spans="1:18" s="861" customFormat="1">
      <c r="A360" s="4068" t="str">
        <f>'6.Procurement Annex'!A60</f>
        <v>6.2.1.5</v>
      </c>
      <c r="B360" s="2735" t="str">
        <f>'6-A. Proc. Sub-Annex'!B182</f>
        <v>B.16.2.7.1</v>
      </c>
      <c r="C360" s="1861" t="str">
        <f>'6-A. Proc. Sub-Annex'!C182</f>
        <v>Medicine for Mobile health team</v>
      </c>
      <c r="D360" s="1862" t="str">
        <f>'6-A. Proc. Sub-Annex'!D182</f>
        <v>RCH</v>
      </c>
      <c r="E360" s="1862" t="str">
        <f>'6-A. Proc. Sub-Annex'!E182</f>
        <v>RBSK</v>
      </c>
      <c r="F360" s="1862">
        <f>'6-A. Proc. Sub-Annex'!F182</f>
        <v>0</v>
      </c>
      <c r="G360" s="1862">
        <f>'6-A. Proc. Sub-Annex'!G182</f>
        <v>0</v>
      </c>
      <c r="H360" s="1862">
        <f>'6-A. Proc. Sub-Annex'!H182</f>
        <v>0</v>
      </c>
      <c r="I360" s="1862">
        <f>'6-A. Proc. Sub-Annex'!I182</f>
        <v>0</v>
      </c>
      <c r="J360" s="1862">
        <f>'6-A. Proc. Sub-Annex'!J182</f>
        <v>0</v>
      </c>
      <c r="K360" s="1862">
        <f>'6-A. Proc. Sub-Annex'!K182</f>
        <v>0</v>
      </c>
      <c r="L360" s="962">
        <f>'6-A. Proc. Sub-Annex'!L182</f>
        <v>0</v>
      </c>
      <c r="M360" s="1862">
        <f>'6-A. Proc. Sub-Annex'!M182</f>
        <v>0</v>
      </c>
      <c r="N360" s="1862">
        <f>'6-A. Proc. Sub-Annex'!N182</f>
        <v>0</v>
      </c>
      <c r="O360" s="962">
        <f>'6-A. Proc. Sub-Annex'!O182</f>
        <v>0</v>
      </c>
      <c r="P360" s="2735">
        <f>'6-A. Proc. Sub-Annex'!P182</f>
        <v>0</v>
      </c>
      <c r="Q360" s="2759" t="s">
        <v>5521</v>
      </c>
      <c r="R360" s="2758">
        <v>0</v>
      </c>
    </row>
    <row r="361" spans="1:18" s="861" customFormat="1">
      <c r="A361" s="4068"/>
      <c r="B361" s="2735">
        <f>'6-A. Proc. Sub-Annex'!B183</f>
        <v>0</v>
      </c>
      <c r="C361" s="1861" t="str">
        <f>'6-A. Proc. Sub-Annex'!C183</f>
        <v>Any other Drugs &amp; Supplies (Please specify)</v>
      </c>
      <c r="D361" s="1862" t="str">
        <f>'6-A. Proc. Sub-Annex'!D183</f>
        <v>RCH</v>
      </c>
      <c r="E361" s="1862" t="str">
        <f>'6-A. Proc. Sub-Annex'!E183</f>
        <v>RBSK</v>
      </c>
      <c r="F361" s="1862">
        <f>'6-A. Proc. Sub-Annex'!F183</f>
        <v>0</v>
      </c>
      <c r="G361" s="1862">
        <f>'6-A. Proc. Sub-Annex'!G183</f>
        <v>0</v>
      </c>
      <c r="H361" s="1862">
        <f>'6-A. Proc. Sub-Annex'!H183</f>
        <v>0</v>
      </c>
      <c r="I361" s="1862">
        <f>'6-A. Proc. Sub-Annex'!I183</f>
        <v>0</v>
      </c>
      <c r="J361" s="1862">
        <f>'6-A. Proc. Sub-Annex'!J183</f>
        <v>0</v>
      </c>
      <c r="K361" s="1862">
        <f>'6-A. Proc. Sub-Annex'!K183</f>
        <v>0</v>
      </c>
      <c r="L361" s="962">
        <f>'6-A. Proc. Sub-Annex'!L183</f>
        <v>0</v>
      </c>
      <c r="M361" s="1862">
        <f>'6-A. Proc. Sub-Annex'!M183</f>
        <v>0</v>
      </c>
      <c r="N361" s="1862">
        <f>'6-A. Proc. Sub-Annex'!N183</f>
        <v>0</v>
      </c>
      <c r="O361" s="962">
        <f>'6-A. Proc. Sub-Annex'!O183</f>
        <v>0</v>
      </c>
      <c r="P361" s="2735">
        <f>'6-A. Proc. Sub-Annex'!P183</f>
        <v>0</v>
      </c>
      <c r="Q361" s="2759" t="s">
        <v>5521</v>
      </c>
      <c r="R361" s="2758">
        <v>0</v>
      </c>
    </row>
    <row r="362" spans="1:18" s="861" customFormat="1">
      <c r="A362" s="1858">
        <f>'8.Human Resources (SD) Annex'!A7</f>
        <v>8</v>
      </c>
      <c r="B362" s="1858"/>
      <c r="C362" s="1859" t="str">
        <f>'8.Human Resources (SD) Annex'!C7</f>
        <v>Human Resources</v>
      </c>
      <c r="D362" s="1860"/>
      <c r="E362" s="1860"/>
      <c r="F362" s="1860"/>
      <c r="G362" s="1860"/>
      <c r="H362" s="1860"/>
      <c r="I362" s="1860"/>
      <c r="J362" s="1860"/>
      <c r="K362" s="1860"/>
      <c r="L362" s="994"/>
      <c r="M362" s="1860"/>
      <c r="N362" s="1860"/>
      <c r="O362" s="994">
        <f>O363</f>
        <v>0</v>
      </c>
      <c r="P362" s="1858"/>
      <c r="Q362" s="2747"/>
      <c r="R362" s="2770">
        <f>R363</f>
        <v>0</v>
      </c>
    </row>
    <row r="363" spans="1:18" s="861" customFormat="1" ht="45">
      <c r="A363" s="2735" t="str">
        <f>'8.Human Resources (SD) Annex'!A166</f>
        <v>8.4.3</v>
      </c>
      <c r="B363" s="2735" t="str">
        <f>'8.Human Resources (SD) Annex'!B166</f>
        <v>B.30.16</v>
      </c>
      <c r="C363" s="1861" t="str">
        <f>'8.Human Resources (SD) Annex'!C166</f>
        <v>Honorarium for Paediatric ECO, ENT specialist, Orthopediatrician, Ophthalmologist, Psychiatrics</v>
      </c>
      <c r="D363" s="1862" t="str">
        <f>'8.Human Resources (SD) Annex'!D166</f>
        <v>RCH</v>
      </c>
      <c r="E363" s="1862" t="str">
        <f>'8.Human Resources (SD) Annex'!E166</f>
        <v>RBSK</v>
      </c>
      <c r="F363" s="1862">
        <f>'8.Human Resources (SD) Annex'!F166</f>
        <v>0</v>
      </c>
      <c r="G363" s="1862">
        <f>'8.Human Resources (SD) Annex'!G166</f>
        <v>0</v>
      </c>
      <c r="H363" s="1862">
        <f>'8.Human Resources (SD) Annex'!H166</f>
        <v>0</v>
      </c>
      <c r="I363" s="1862">
        <f>'8.Human Resources (SD) Annex'!I166</f>
        <v>0</v>
      </c>
      <c r="J363" s="1862">
        <f>'8.Human Resources (SD) Annex'!J166</f>
        <v>0</v>
      </c>
      <c r="K363" s="1862">
        <f>'8.Human Resources (SD) Annex'!K166</f>
        <v>0</v>
      </c>
      <c r="L363" s="962">
        <f>'8.Human Resources (SD) Annex'!L166</f>
        <v>0</v>
      </c>
      <c r="M363" s="1862">
        <f>'8.Human Resources (SD) Annex'!M166</f>
        <v>0</v>
      </c>
      <c r="N363" s="1862">
        <f>'8.Human Resources (SD) Annex'!N166</f>
        <v>0</v>
      </c>
      <c r="O363" s="962">
        <f>'8.Human Resources (SD) Annex'!O166</f>
        <v>0</v>
      </c>
      <c r="P363" s="2735">
        <f>'8.Human Resources (SD) Annex'!P166</f>
        <v>0</v>
      </c>
      <c r="Q363" s="2717" t="s">
        <v>5638</v>
      </c>
      <c r="R363" s="2728"/>
    </row>
    <row r="364" spans="1:18" s="861" customFormat="1">
      <c r="A364" s="1858">
        <f>'9.Training Annex'!A7</f>
        <v>9</v>
      </c>
      <c r="B364" s="1858"/>
      <c r="C364" s="1859" t="str">
        <f>'9.Training Annex'!C7</f>
        <v>Training and Capacity Building</v>
      </c>
      <c r="D364" s="1860"/>
      <c r="E364" s="1860"/>
      <c r="F364" s="1860"/>
      <c r="G364" s="1860"/>
      <c r="H364" s="1860"/>
      <c r="I364" s="1860"/>
      <c r="J364" s="1860"/>
      <c r="K364" s="1860"/>
      <c r="L364" s="994"/>
      <c r="M364" s="1860"/>
      <c r="N364" s="1860"/>
      <c r="O364" s="994">
        <f>SUM(O365:O369)</f>
        <v>14.8</v>
      </c>
      <c r="P364" s="1858"/>
      <c r="Q364" s="2747"/>
      <c r="R364" s="2746">
        <f>SUM(R365:R369)</f>
        <v>14.8</v>
      </c>
    </row>
    <row r="365" spans="1:18" s="861" customFormat="1" ht="120">
      <c r="A365" s="4068" t="str">
        <f>'9.Training Annex'!A25</f>
        <v>9.2.1.5</v>
      </c>
      <c r="B365" s="2735" t="str">
        <f>'9-A.Training Sub-Annex'!B129</f>
        <v>A.9.12.1</v>
      </c>
      <c r="C365" s="1861" t="str">
        <f>'9-A.Training Sub-Annex'!C129</f>
        <v>RBSK Training -Training of Mobile health team – technical and managerial (5 days)</v>
      </c>
      <c r="D365" s="1862" t="str">
        <f>'9-A.Training Sub-Annex'!D129</f>
        <v>RCH</v>
      </c>
      <c r="E365" s="1862" t="str">
        <f>'9-A.Training Sub-Annex'!E129</f>
        <v>RBSK</v>
      </c>
      <c r="F365" s="1862">
        <f>'9-A.Training Sub-Annex'!F129</f>
        <v>4</v>
      </c>
      <c r="G365" s="1862">
        <f>'9-A.Training Sub-Annex'!G129</f>
        <v>0</v>
      </c>
      <c r="H365" s="1862">
        <f>'9-A.Training Sub-Annex'!H129</f>
        <v>10.4</v>
      </c>
      <c r="I365" s="1862">
        <f>'9-A.Training Sub-Annex'!I129</f>
        <v>0</v>
      </c>
      <c r="J365" s="1862">
        <f>'9-A.Training Sub-Annex'!J129</f>
        <v>5</v>
      </c>
      <c r="K365" s="1862">
        <f>'9-A.Training Sub-Annex'!K129</f>
        <v>1</v>
      </c>
      <c r="L365" s="962">
        <f>'9-A.Training Sub-Annex'!L129</f>
        <v>320000</v>
      </c>
      <c r="M365" s="1862">
        <f>'9-A.Training Sub-Annex'!M129</f>
        <v>3.2</v>
      </c>
      <c r="N365" s="1862">
        <f>'9-A.Training Sub-Annex'!N129</f>
        <v>4</v>
      </c>
      <c r="O365" s="962">
        <f>'9-A.Training Sub-Annex'!O129</f>
        <v>12.8</v>
      </c>
      <c r="P365" s="2735" t="str">
        <f>'9-A.Training Sub-Annex'!P129</f>
        <v xml:space="preserve">Training of RBSK MHT </v>
      </c>
      <c r="Q365" s="2018" t="s">
        <v>5639</v>
      </c>
      <c r="R365" s="2711">
        <f>4*3.2</f>
        <v>12.8</v>
      </c>
    </row>
    <row r="366" spans="1:18" s="861" customFormat="1" ht="105">
      <c r="A366" s="4068"/>
      <c r="B366" s="2735" t="str">
        <f>'9-A.Training Sub-Annex'!B130</f>
        <v>A.9.12.2</v>
      </c>
      <c r="C366" s="1861" t="str">
        <f>'9-A.Training Sub-Annex'!C130</f>
        <v>RBSK DEIC Staff training (15 days)</v>
      </c>
      <c r="D366" s="1862" t="str">
        <f>'9-A.Training Sub-Annex'!D130</f>
        <v>RCH</v>
      </c>
      <c r="E366" s="1862" t="str">
        <f>'9-A.Training Sub-Annex'!E130</f>
        <v>RBSK</v>
      </c>
      <c r="F366" s="1862">
        <f>'9-A.Training Sub-Annex'!F130</f>
        <v>3</v>
      </c>
      <c r="G366" s="1862">
        <f>'9-A.Training Sub-Annex'!G130</f>
        <v>0</v>
      </c>
      <c r="H366" s="1862">
        <f>'9-A.Training Sub-Annex'!H130</f>
        <v>6</v>
      </c>
      <c r="I366" s="1862">
        <f>'9-A.Training Sub-Annex'!I130</f>
        <v>0</v>
      </c>
      <c r="J366" s="1862">
        <f>'9-A.Training Sub-Annex'!J130</f>
        <v>3</v>
      </c>
      <c r="K366" s="1862">
        <f>'9-A.Training Sub-Annex'!K130</f>
        <v>1</v>
      </c>
      <c r="L366" s="962">
        <f>'9-A.Training Sub-Annex'!L130</f>
        <v>200000</v>
      </c>
      <c r="M366" s="1862">
        <f>'9-A.Training Sub-Annex'!M130</f>
        <v>2</v>
      </c>
      <c r="N366" s="1862">
        <f>'9-A.Training Sub-Annex'!N130</f>
        <v>1</v>
      </c>
      <c r="O366" s="962">
        <f>'9-A.Training Sub-Annex'!O130</f>
        <v>2</v>
      </c>
      <c r="P366" s="2735" t="str">
        <f>'9-A.Training Sub-Annex'!P130</f>
        <v>Training of HR on managerial aspect as per state based guidelines</v>
      </c>
      <c r="Q366" s="2018" t="s">
        <v>5640</v>
      </c>
      <c r="R366" s="2711">
        <f>2</f>
        <v>2</v>
      </c>
    </row>
    <row r="367" spans="1:18" s="861" customFormat="1" ht="150">
      <c r="A367" s="4068"/>
      <c r="B367" s="2735" t="str">
        <f>'9-A.Training Sub-Annex'!B131</f>
        <v>A.9.12.3</v>
      </c>
      <c r="C367" s="1861" t="str">
        <f>'9-A.Training Sub-Annex'!C131</f>
        <v>One day orientation for  MO / other staff Delivery points (RBSK trainings)</v>
      </c>
      <c r="D367" s="1862" t="str">
        <f>'9-A.Training Sub-Annex'!D131</f>
        <v>RCH</v>
      </c>
      <c r="E367" s="1862" t="str">
        <f>'9-A.Training Sub-Annex'!E131</f>
        <v>RBSK</v>
      </c>
      <c r="F367" s="1862">
        <f>'9-A.Training Sub-Annex'!F131</f>
        <v>30</v>
      </c>
      <c r="G367" s="1862">
        <f>'9-A.Training Sub-Annex'!G131</f>
        <v>0</v>
      </c>
      <c r="H367" s="1862">
        <f>'9-A.Training Sub-Annex'!H131</f>
        <v>15</v>
      </c>
      <c r="I367" s="1862">
        <f>'9-A.Training Sub-Annex'!I131</f>
        <v>0</v>
      </c>
      <c r="J367" s="1862">
        <f>'9-A.Training Sub-Annex'!J131</f>
        <v>5</v>
      </c>
      <c r="K367" s="1862">
        <f>'9-A.Training Sub-Annex'!K131</f>
        <v>0</v>
      </c>
      <c r="L367" s="962">
        <f>'9-A.Training Sub-Annex'!L131</f>
        <v>0</v>
      </c>
      <c r="M367" s="1862">
        <f>'9-A.Training Sub-Annex'!M131</f>
        <v>0</v>
      </c>
      <c r="N367" s="1862">
        <f>'9-A.Training Sub-Annex'!N131</f>
        <v>0</v>
      </c>
      <c r="O367" s="962">
        <f>'9-A.Training Sub-Annex'!O131</f>
        <v>0</v>
      </c>
      <c r="P367" s="2735">
        <f>'9-A.Training Sub-Annex'!P131</f>
        <v>0</v>
      </c>
      <c r="Q367" s="2018" t="s">
        <v>5641</v>
      </c>
      <c r="R367" s="2742">
        <v>0</v>
      </c>
    </row>
    <row r="368" spans="1:18" s="861" customFormat="1">
      <c r="A368" s="4068"/>
      <c r="B368" s="2735" t="str">
        <f>'9-A.Training Sub-Annex'!B132</f>
        <v>A.9.12.4</v>
      </c>
      <c r="C368" s="1861" t="str">
        <f>'9-A.Training Sub-Annex'!C132</f>
        <v>Training/Refresher training -ANM (one day) (RBSK trainings)</v>
      </c>
      <c r="D368" s="1862" t="str">
        <f>'9-A.Training Sub-Annex'!D132</f>
        <v>RCH</v>
      </c>
      <c r="E368" s="1862" t="str">
        <f>'9-A.Training Sub-Annex'!E132</f>
        <v>RBSK</v>
      </c>
      <c r="F368" s="1862">
        <f>'9-A.Training Sub-Annex'!F132</f>
        <v>0</v>
      </c>
      <c r="G368" s="1862">
        <f>'9-A.Training Sub-Annex'!G132</f>
        <v>0</v>
      </c>
      <c r="H368" s="1862">
        <f>'9-A.Training Sub-Annex'!H132</f>
        <v>0</v>
      </c>
      <c r="I368" s="1862">
        <f>'9-A.Training Sub-Annex'!I132</f>
        <v>0</v>
      </c>
      <c r="J368" s="1862">
        <f>'9-A.Training Sub-Annex'!J132</f>
        <v>0</v>
      </c>
      <c r="K368" s="1862">
        <f>'9-A.Training Sub-Annex'!K132</f>
        <v>0</v>
      </c>
      <c r="L368" s="962">
        <f>'9-A.Training Sub-Annex'!L132</f>
        <v>0</v>
      </c>
      <c r="M368" s="1862">
        <f>'9-A.Training Sub-Annex'!M132</f>
        <v>0</v>
      </c>
      <c r="N368" s="1862">
        <f>'9-A.Training Sub-Annex'!N132</f>
        <v>0</v>
      </c>
      <c r="O368" s="962">
        <f>'9-A.Training Sub-Annex'!O132</f>
        <v>0</v>
      </c>
      <c r="P368" s="2735">
        <f>'9-A.Training Sub-Annex'!P132</f>
        <v>0</v>
      </c>
      <c r="Q368" s="2713" t="s">
        <v>5521</v>
      </c>
      <c r="R368" s="2758">
        <v>0</v>
      </c>
    </row>
    <row r="369" spans="1:18" s="861" customFormat="1">
      <c r="A369" s="4068"/>
      <c r="B369" s="2735">
        <f>'9-A.Training Sub-Annex'!B133</f>
        <v>0</v>
      </c>
      <c r="C369" s="1861" t="str">
        <f>'9-A.Training Sub-Annex'!C133</f>
        <v>Other RBSK trainings (please specify)</v>
      </c>
      <c r="D369" s="1862" t="str">
        <f>'9-A.Training Sub-Annex'!D133</f>
        <v>RCH</v>
      </c>
      <c r="E369" s="1862" t="str">
        <f>'9-A.Training Sub-Annex'!E133</f>
        <v>RBSK</v>
      </c>
      <c r="F369" s="1862">
        <f>'9-A.Training Sub-Annex'!F133</f>
        <v>7500</v>
      </c>
      <c r="G369" s="1862">
        <f>'9-A.Training Sub-Annex'!G133</f>
        <v>0</v>
      </c>
      <c r="H369" s="1862">
        <f>'9-A.Training Sub-Annex'!H133</f>
        <v>0</v>
      </c>
      <c r="I369" s="1862">
        <f>'9-A.Training Sub-Annex'!I133</f>
        <v>0</v>
      </c>
      <c r="J369" s="1862">
        <f>'9-A.Training Sub-Annex'!J133</f>
        <v>0</v>
      </c>
      <c r="K369" s="1862">
        <f>'9-A.Training Sub-Annex'!K133</f>
        <v>0</v>
      </c>
      <c r="L369" s="962">
        <f>'9-A.Training Sub-Annex'!L133</f>
        <v>0</v>
      </c>
      <c r="M369" s="1862">
        <f>'9-A.Training Sub-Annex'!M133</f>
        <v>0</v>
      </c>
      <c r="N369" s="1862">
        <f>'9-A.Training Sub-Annex'!N133</f>
        <v>0</v>
      </c>
      <c r="O369" s="962">
        <f>'9-A.Training Sub-Annex'!O133</f>
        <v>0</v>
      </c>
      <c r="P369" s="2735">
        <f>'9-A.Training Sub-Annex'!P133</f>
        <v>0</v>
      </c>
      <c r="Q369" s="2713" t="s">
        <v>5521</v>
      </c>
      <c r="R369" s="2758">
        <v>0</v>
      </c>
    </row>
    <row r="370" spans="1:18" s="861" customFormat="1">
      <c r="A370" s="1858">
        <f>'12.Printing Annex'!A7</f>
        <v>12</v>
      </c>
      <c r="B370" s="1865"/>
      <c r="C370" s="1859" t="str">
        <f>'12.Printing Annex'!C7</f>
        <v>Printing</v>
      </c>
      <c r="D370" s="1860"/>
      <c r="E370" s="1860"/>
      <c r="F370" s="1860"/>
      <c r="G370" s="1860"/>
      <c r="H370" s="994"/>
      <c r="I370" s="1860"/>
      <c r="J370" s="994"/>
      <c r="K370" s="1860"/>
      <c r="L370" s="994"/>
      <c r="M370" s="994"/>
      <c r="N370" s="1866"/>
      <c r="O370" s="1867">
        <f>SUM(O371:O376)</f>
        <v>31.5</v>
      </c>
      <c r="P370" s="1868"/>
      <c r="Q370" s="2743"/>
      <c r="R370" s="2770">
        <f>SUM(R371:R376)</f>
        <v>0</v>
      </c>
    </row>
    <row r="371" spans="1:18" s="861" customFormat="1">
      <c r="A371" s="2735" t="str">
        <f>'12.Printing Annex'!A13</f>
        <v>12.1.5</v>
      </c>
      <c r="B371" s="2735" t="str">
        <f>'12-A. Print Sub-Annex'!B41</f>
        <v>A.5.1.1</v>
      </c>
      <c r="C371" s="1861" t="str">
        <f>'12-A. Print Sub-Annex'!C41</f>
        <v>Prepare and disseminate guidelines for RBSK</v>
      </c>
      <c r="D371" s="1862" t="str">
        <f>'12-A. Print Sub-Annex'!D41</f>
        <v>RCH</v>
      </c>
      <c r="E371" s="1862" t="str">
        <f>'12-A. Print Sub-Annex'!E41</f>
        <v>RBSK</v>
      </c>
      <c r="F371" s="1862">
        <f>'12-A. Print Sub-Annex'!F41</f>
        <v>750</v>
      </c>
      <c r="G371" s="1862">
        <f>'12-A. Print Sub-Annex'!G41</f>
        <v>0</v>
      </c>
      <c r="H371" s="1862">
        <f>'12-A. Print Sub-Annex'!H41</f>
        <v>1.1299999999999999</v>
      </c>
      <c r="I371" s="1862">
        <f>'12-A. Print Sub-Annex'!I41</f>
        <v>0.41</v>
      </c>
      <c r="J371" s="1862">
        <f>'12-A. Print Sub-Annex'!J41</f>
        <v>0.72</v>
      </c>
      <c r="K371" s="1862">
        <f>'12-A. Print Sub-Annex'!K41</f>
        <v>0</v>
      </c>
      <c r="L371" s="962">
        <f>'12-A. Print Sub-Annex'!L41</f>
        <v>0</v>
      </c>
      <c r="M371" s="1862">
        <f>'12-A. Print Sub-Annex'!M41</f>
        <v>0</v>
      </c>
      <c r="N371" s="1862">
        <f>'12-A. Print Sub-Annex'!N41</f>
        <v>0</v>
      </c>
      <c r="O371" s="962">
        <f>'12-A. Print Sub-Annex'!O41</f>
        <v>0</v>
      </c>
      <c r="P371" s="2735">
        <f>'12-A. Print Sub-Annex'!P41</f>
        <v>0</v>
      </c>
      <c r="Q371" s="2713" t="s">
        <v>5521</v>
      </c>
      <c r="R371" s="2742">
        <v>0</v>
      </c>
    </row>
    <row r="372" spans="1:18" s="861" customFormat="1">
      <c r="A372" s="2735"/>
      <c r="B372" s="2735" t="str">
        <f>'12-A. Print Sub-Annex'!B42</f>
        <v>A 5.3.1</v>
      </c>
      <c r="C372" s="1861" t="str">
        <f>'12-A. Print Sub-Annex'!C42</f>
        <v xml:space="preserve">Training kits for teachers </v>
      </c>
      <c r="D372" s="1862" t="str">
        <f>'12-A. Print Sub-Annex'!D42</f>
        <v>RCH</v>
      </c>
      <c r="E372" s="1862" t="str">
        <f>'12-A. Print Sub-Annex'!E42</f>
        <v>RBSK</v>
      </c>
      <c r="F372" s="1862">
        <f>'12-A. Print Sub-Annex'!F42</f>
        <v>0</v>
      </c>
      <c r="G372" s="1862">
        <f>'12-A. Print Sub-Annex'!G42</f>
        <v>0</v>
      </c>
      <c r="H372" s="1862">
        <f>'12-A. Print Sub-Annex'!H42</f>
        <v>0</v>
      </c>
      <c r="I372" s="1862">
        <f>'12-A. Print Sub-Annex'!I42</f>
        <v>0</v>
      </c>
      <c r="J372" s="1862">
        <f>'12-A. Print Sub-Annex'!J42</f>
        <v>0</v>
      </c>
      <c r="K372" s="1862">
        <f>'12-A. Print Sub-Annex'!K42</f>
        <v>0</v>
      </c>
      <c r="L372" s="962">
        <f>'12-A. Print Sub-Annex'!L42</f>
        <v>0</v>
      </c>
      <c r="M372" s="1862">
        <f>'12-A. Print Sub-Annex'!M42</f>
        <v>0</v>
      </c>
      <c r="N372" s="1862">
        <f>'12-A. Print Sub-Annex'!N42</f>
        <v>0</v>
      </c>
      <c r="O372" s="962">
        <f>'12-A. Print Sub-Annex'!O42</f>
        <v>0</v>
      </c>
      <c r="P372" s="2735">
        <f>'12-A. Print Sub-Annex'!P42</f>
        <v>0</v>
      </c>
      <c r="Q372" s="2713" t="s">
        <v>5521</v>
      </c>
      <c r="R372" s="2742">
        <v>0</v>
      </c>
    </row>
    <row r="373" spans="1:18" s="861" customFormat="1">
      <c r="A373" s="2735"/>
      <c r="B373" s="2735" t="str">
        <f>'12-A. Print Sub-Annex'!B43</f>
        <v>A 5.3.2</v>
      </c>
      <c r="C373" s="1861" t="str">
        <f>'12-A. Print Sub-Annex'!C43</f>
        <v>School Kits</v>
      </c>
      <c r="D373" s="1862" t="str">
        <f>'12-A. Print Sub-Annex'!D43</f>
        <v>RCH</v>
      </c>
      <c r="E373" s="1862" t="str">
        <f>'12-A. Print Sub-Annex'!E43</f>
        <v>RBSK</v>
      </c>
      <c r="F373" s="1862">
        <f>'12-A. Print Sub-Annex'!F43</f>
        <v>0</v>
      </c>
      <c r="G373" s="1862">
        <f>'12-A. Print Sub-Annex'!G43</f>
        <v>0</v>
      </c>
      <c r="H373" s="1862">
        <f>'12-A. Print Sub-Annex'!H43</f>
        <v>0</v>
      </c>
      <c r="I373" s="1862">
        <f>'12-A. Print Sub-Annex'!I43</f>
        <v>0</v>
      </c>
      <c r="J373" s="1862">
        <f>'12-A. Print Sub-Annex'!J43</f>
        <v>0</v>
      </c>
      <c r="K373" s="1862">
        <f>'12-A. Print Sub-Annex'!K43</f>
        <v>0</v>
      </c>
      <c r="L373" s="962">
        <f>'12-A. Print Sub-Annex'!L43</f>
        <v>0</v>
      </c>
      <c r="M373" s="1862">
        <f>'12-A. Print Sub-Annex'!M43</f>
        <v>0</v>
      </c>
      <c r="N373" s="1862">
        <f>'12-A. Print Sub-Annex'!N43</f>
        <v>0</v>
      </c>
      <c r="O373" s="962">
        <f>'12-A. Print Sub-Annex'!O43</f>
        <v>0</v>
      </c>
      <c r="P373" s="2735">
        <f>'12-A. Print Sub-Annex'!P43</f>
        <v>0</v>
      </c>
      <c r="Q373" s="2713" t="s">
        <v>5521</v>
      </c>
      <c r="R373" s="2742">
        <v>0</v>
      </c>
    </row>
    <row r="374" spans="1:18" s="861" customFormat="1" ht="60">
      <c r="A374" s="2735"/>
      <c r="B374" s="2735" t="str">
        <f>'12-A. Print Sub-Annex'!B44</f>
        <v>B.10.7.4.3</v>
      </c>
      <c r="C374" s="1861" t="str">
        <f>'12-A. Print Sub-Annex'!C44</f>
        <v>Printing of RBSK card and registers</v>
      </c>
      <c r="D374" s="1862" t="str">
        <f>'12-A. Print Sub-Annex'!D44</f>
        <v>RCH</v>
      </c>
      <c r="E374" s="1862" t="str">
        <f>'12-A. Print Sub-Annex'!E44</f>
        <v>RBSK</v>
      </c>
      <c r="F374" s="1862">
        <f>'12-A. Print Sub-Annex'!F44</f>
        <v>200000</v>
      </c>
      <c r="G374" s="1862">
        <f>'12-A. Print Sub-Annex'!G44</f>
        <v>0</v>
      </c>
      <c r="H374" s="1862">
        <f>'12-A. Print Sub-Annex'!H44</f>
        <v>21.87</v>
      </c>
      <c r="I374" s="1862">
        <f>'12-A. Print Sub-Annex'!I44</f>
        <v>0</v>
      </c>
      <c r="J374" s="1862">
        <f>'12-A. Print Sub-Annex'!J44</f>
        <v>21.87</v>
      </c>
      <c r="K374" s="1862">
        <f>'12-A. Print Sub-Annex'!K44</f>
        <v>0</v>
      </c>
      <c r="L374" s="962">
        <f>'12-A. Print Sub-Annex'!L44</f>
        <v>0</v>
      </c>
      <c r="M374" s="1862">
        <f>'12-A. Print Sub-Annex'!M44</f>
        <v>0</v>
      </c>
      <c r="N374" s="1862">
        <f>'12-A. Print Sub-Annex'!N44</f>
        <v>0</v>
      </c>
      <c r="O374" s="962">
        <f>'12-A. Print Sub-Annex'!O44</f>
        <v>0</v>
      </c>
      <c r="P374" s="2735">
        <f>'12-A. Print Sub-Annex'!P44</f>
        <v>0</v>
      </c>
      <c r="Q374" s="2717" t="s">
        <v>5642</v>
      </c>
      <c r="R374" s="2742">
        <v>0</v>
      </c>
    </row>
    <row r="375" spans="1:18" s="861" customFormat="1" ht="45">
      <c r="A375" s="2735"/>
      <c r="B375" s="2735" t="str">
        <f>'12-A. Print Sub-Annex'!B45</f>
        <v>B.10.7.4.4</v>
      </c>
      <c r="C375" s="1861" t="str">
        <f>'12-A. Print Sub-Annex'!C45</f>
        <v>Printing cost for DEIC</v>
      </c>
      <c r="D375" s="1862" t="str">
        <f>'12-A. Print Sub-Annex'!D45</f>
        <v>RCH</v>
      </c>
      <c r="E375" s="1862" t="str">
        <f>'12-A. Print Sub-Annex'!E45</f>
        <v>RBSK</v>
      </c>
      <c r="F375" s="1862">
        <f>'12-A. Print Sub-Annex'!F45</f>
        <v>0</v>
      </c>
      <c r="G375" s="1862">
        <f>'12-A. Print Sub-Annex'!G45</f>
        <v>0</v>
      </c>
      <c r="H375" s="1862">
        <f>'12-A. Print Sub-Annex'!H45</f>
        <v>0</v>
      </c>
      <c r="I375" s="1862">
        <f>'12-A. Print Sub-Annex'!I45</f>
        <v>0</v>
      </c>
      <c r="J375" s="1862">
        <f>'12-A. Print Sub-Annex'!J45</f>
        <v>0</v>
      </c>
      <c r="K375" s="1862">
        <f>'12-A. Print Sub-Annex'!K45</f>
        <v>0</v>
      </c>
      <c r="L375" s="962">
        <f>'12-A. Print Sub-Annex'!L45</f>
        <v>0</v>
      </c>
      <c r="M375" s="1862">
        <f>'12-A. Print Sub-Annex'!M45</f>
        <v>0</v>
      </c>
      <c r="N375" s="1862">
        <f>'12-A. Print Sub-Annex'!N45</f>
        <v>0</v>
      </c>
      <c r="O375" s="962">
        <f>'12-A. Print Sub-Annex'!O45</f>
        <v>0</v>
      </c>
      <c r="P375" s="2735">
        <f>'12-A. Print Sub-Annex'!P45</f>
        <v>0</v>
      </c>
      <c r="Q375" s="2717" t="s">
        <v>5643</v>
      </c>
      <c r="R375" s="2742">
        <v>0</v>
      </c>
    </row>
    <row r="376" spans="1:18" s="861" customFormat="1" ht="60">
      <c r="A376" s="2735"/>
      <c r="B376" s="2735">
        <f>'12-A. Print Sub-Annex'!B46</f>
        <v>0</v>
      </c>
      <c r="C376" s="1861" t="str">
        <f>'12-A. Print Sub-Annex'!C46</f>
        <v>Any other (please specify)</v>
      </c>
      <c r="D376" s="1862" t="str">
        <f>'12-A. Print Sub-Annex'!D46</f>
        <v>RCH</v>
      </c>
      <c r="E376" s="1862" t="str">
        <f>'12-A. Print Sub-Annex'!E46</f>
        <v>RBSK</v>
      </c>
      <c r="F376" s="1862">
        <f>'12-A. Print Sub-Annex'!F46</f>
        <v>0</v>
      </c>
      <c r="G376" s="1862">
        <f>'12-A. Print Sub-Annex'!G46</f>
        <v>0</v>
      </c>
      <c r="H376" s="1862">
        <f>'12-A. Print Sub-Annex'!H46</f>
        <v>0</v>
      </c>
      <c r="I376" s="1862">
        <f>'12-A. Print Sub-Annex'!I46</f>
        <v>0</v>
      </c>
      <c r="J376" s="1862">
        <f>'12-A. Print Sub-Annex'!J46</f>
        <v>0</v>
      </c>
      <c r="K376" s="1862">
        <f>'12-A. Print Sub-Annex'!K46</f>
        <v>1</v>
      </c>
      <c r="L376" s="962">
        <f>'12-A. Print Sub-Annex'!L46</f>
        <v>90</v>
      </c>
      <c r="M376" s="1862">
        <f>'12-A. Print Sub-Annex'!M46</f>
        <v>8.9999999999999998E-4</v>
      </c>
      <c r="N376" s="1862">
        <f>'12-A. Print Sub-Annex'!N46</f>
        <v>35000</v>
      </c>
      <c r="O376" s="962">
        <f>'12-A. Print Sub-Annex'!O46</f>
        <v>31.5</v>
      </c>
      <c r="P376" s="2735" t="str">
        <f>'12-A. Print Sub-Annex'!P46</f>
        <v>Printing of 1000 days booklets</v>
      </c>
      <c r="Q376" s="2717" t="s">
        <v>5644</v>
      </c>
      <c r="R376" s="2758">
        <v>0</v>
      </c>
    </row>
    <row r="377" spans="1:18" s="861" customFormat="1">
      <c r="A377" s="1852" t="s">
        <v>4517</v>
      </c>
      <c r="B377" s="1852"/>
      <c r="C377" s="1853" t="s">
        <v>3933</v>
      </c>
      <c r="D377" s="1854"/>
      <c r="E377" s="1854"/>
      <c r="F377" s="1854"/>
      <c r="G377" s="1854"/>
      <c r="H377" s="1855"/>
      <c r="I377" s="1854"/>
      <c r="J377" s="1855"/>
      <c r="K377" s="1854"/>
      <c r="L377" s="1855"/>
      <c r="M377" s="1855"/>
      <c r="N377" s="1875"/>
      <c r="O377" s="1881">
        <f>O378+O383+O386</f>
        <v>2</v>
      </c>
      <c r="P377" s="1877"/>
      <c r="Q377" s="1891"/>
      <c r="R377" s="2752">
        <f>R378+R383+R386</f>
        <v>2</v>
      </c>
    </row>
    <row r="378" spans="1:18" s="861" customFormat="1">
      <c r="A378" s="1858">
        <f>'9.Training Annex'!A7</f>
        <v>9</v>
      </c>
      <c r="B378" s="1858"/>
      <c r="C378" s="1859" t="str">
        <f>'9.Training Annex'!C7</f>
        <v>Training and Capacity Building</v>
      </c>
      <c r="D378" s="1860"/>
      <c r="E378" s="1860"/>
      <c r="F378" s="1860"/>
      <c r="G378" s="1860"/>
      <c r="H378" s="1860"/>
      <c r="I378" s="1860"/>
      <c r="J378" s="1860"/>
      <c r="K378" s="1860"/>
      <c r="L378" s="994"/>
      <c r="M378" s="1860"/>
      <c r="N378" s="1860"/>
      <c r="O378" s="994">
        <f>SUM(O379:O382)</f>
        <v>0</v>
      </c>
      <c r="P378" s="1858"/>
      <c r="Q378" s="2745"/>
      <c r="R378" s="2770">
        <f>SUM(R379:R382)</f>
        <v>0</v>
      </c>
    </row>
    <row r="379" spans="1:18" s="861" customFormat="1" ht="30">
      <c r="A379" s="4068" t="str">
        <f>'9.Training Annex'!A26</f>
        <v>9.2.1.6</v>
      </c>
      <c r="B379" s="2735" t="str">
        <f>'9-A.Training Sub-Annex'!B135</f>
        <v>A.9.9.1</v>
      </c>
      <c r="C379" s="1861" t="str">
        <f>'9-A.Training Sub-Annex'!C135</f>
        <v>Training of district Appropriate Authorities and district PNDT Nodal Officers</v>
      </c>
      <c r="D379" s="1862" t="str">
        <f>'9-A.Training Sub-Annex'!D135</f>
        <v>RCH</v>
      </c>
      <c r="E379" s="1862" t="str">
        <f>'9-A.Training Sub-Annex'!E135</f>
        <v>PNDT</v>
      </c>
      <c r="F379" s="1862">
        <f>'9-A.Training Sub-Annex'!F135</f>
        <v>0</v>
      </c>
      <c r="G379" s="1862">
        <f>'9-A.Training Sub-Annex'!G135</f>
        <v>0</v>
      </c>
      <c r="H379" s="1862">
        <f>'9-A.Training Sub-Annex'!H135</f>
        <v>0</v>
      </c>
      <c r="I379" s="1862">
        <f>'9-A.Training Sub-Annex'!I135</f>
        <v>0</v>
      </c>
      <c r="J379" s="1862">
        <f>'9-A.Training Sub-Annex'!J135</f>
        <v>0</v>
      </c>
      <c r="K379" s="1862">
        <f>'9-A.Training Sub-Annex'!K135</f>
        <v>0</v>
      </c>
      <c r="L379" s="962">
        <f>'9-A.Training Sub-Annex'!L135</f>
        <v>0</v>
      </c>
      <c r="M379" s="1862">
        <f>'9-A.Training Sub-Annex'!M135</f>
        <v>0</v>
      </c>
      <c r="N379" s="1862">
        <f>'9-A.Training Sub-Annex'!N135</f>
        <v>0</v>
      </c>
      <c r="O379" s="962">
        <f>'9-A.Training Sub-Annex'!O135</f>
        <v>0</v>
      </c>
      <c r="P379" s="2735">
        <f>'9-A.Training Sub-Annex'!P135</f>
        <v>0</v>
      </c>
      <c r="Q379" s="2739" t="s">
        <v>5521</v>
      </c>
      <c r="R379" s="2742">
        <v>0</v>
      </c>
    </row>
    <row r="380" spans="1:18" s="861" customFormat="1" ht="30">
      <c r="A380" s="4068"/>
      <c r="B380" s="2735">
        <f>'9-A.Training Sub-Annex'!B136</f>
        <v>0</v>
      </c>
      <c r="C380" s="1861" t="str">
        <f>'9-A.Training Sub-Annex'!C136</f>
        <v>Training of Medical officers conducting pre-natal diagnostic procedures in public health facilities</v>
      </c>
      <c r="D380" s="1862" t="str">
        <f>'9-A.Training Sub-Annex'!D136</f>
        <v>RCH</v>
      </c>
      <c r="E380" s="1862" t="str">
        <f>'9-A.Training Sub-Annex'!E136</f>
        <v>PNDT</v>
      </c>
      <c r="F380" s="1862">
        <f>'9-A.Training Sub-Annex'!F136</f>
        <v>0</v>
      </c>
      <c r="G380" s="1862">
        <f>'9-A.Training Sub-Annex'!G136</f>
        <v>0</v>
      </c>
      <c r="H380" s="1862">
        <f>'9-A.Training Sub-Annex'!H136</f>
        <v>0</v>
      </c>
      <c r="I380" s="1862">
        <f>'9-A.Training Sub-Annex'!I136</f>
        <v>0</v>
      </c>
      <c r="J380" s="1862">
        <f>'9-A.Training Sub-Annex'!J136</f>
        <v>0</v>
      </c>
      <c r="K380" s="1862">
        <f>'9-A.Training Sub-Annex'!K136</f>
        <v>0</v>
      </c>
      <c r="L380" s="962">
        <f>'9-A.Training Sub-Annex'!L136</f>
        <v>0</v>
      </c>
      <c r="M380" s="1862">
        <f>'9-A.Training Sub-Annex'!M136</f>
        <v>0</v>
      </c>
      <c r="N380" s="1862">
        <f>'9-A.Training Sub-Annex'!N136</f>
        <v>0</v>
      </c>
      <c r="O380" s="962">
        <f>'9-A.Training Sub-Annex'!O136</f>
        <v>0</v>
      </c>
      <c r="P380" s="2735">
        <f>'9-A.Training Sub-Annex'!P136</f>
        <v>0</v>
      </c>
      <c r="Q380" s="2739" t="s">
        <v>5521</v>
      </c>
      <c r="R380" s="2742">
        <v>0</v>
      </c>
    </row>
    <row r="381" spans="1:18" s="861" customFormat="1">
      <c r="A381" s="4068"/>
      <c r="B381" s="2735">
        <f>'9-A.Training Sub-Annex'!B137</f>
        <v>0</v>
      </c>
      <c r="C381" s="1861" t="str">
        <f>'9-A.Training Sub-Annex'!C137</f>
        <v>Training of Public prosecutors</v>
      </c>
      <c r="D381" s="1862" t="str">
        <f>'9-A.Training Sub-Annex'!D137</f>
        <v>RCH</v>
      </c>
      <c r="E381" s="1862" t="str">
        <f>'9-A.Training Sub-Annex'!E137</f>
        <v>PNDT</v>
      </c>
      <c r="F381" s="1862">
        <f>'9-A.Training Sub-Annex'!F137</f>
        <v>0</v>
      </c>
      <c r="G381" s="1862">
        <f>'9-A.Training Sub-Annex'!G137</f>
        <v>0</v>
      </c>
      <c r="H381" s="1862">
        <f>'9-A.Training Sub-Annex'!H137</f>
        <v>0</v>
      </c>
      <c r="I381" s="1862">
        <f>'9-A.Training Sub-Annex'!I137</f>
        <v>0</v>
      </c>
      <c r="J381" s="1862">
        <f>'9-A.Training Sub-Annex'!J137</f>
        <v>0</v>
      </c>
      <c r="K381" s="1862">
        <f>'9-A.Training Sub-Annex'!K137</f>
        <v>0</v>
      </c>
      <c r="L381" s="962">
        <f>'9-A.Training Sub-Annex'!L137</f>
        <v>0</v>
      </c>
      <c r="M381" s="1862">
        <f>'9-A.Training Sub-Annex'!M137</f>
        <v>0</v>
      </c>
      <c r="N381" s="1862">
        <f>'9-A.Training Sub-Annex'!N137</f>
        <v>0</v>
      </c>
      <c r="O381" s="962">
        <f>'9-A.Training Sub-Annex'!O137</f>
        <v>0</v>
      </c>
      <c r="P381" s="2735">
        <f>'9-A.Training Sub-Annex'!P137</f>
        <v>0</v>
      </c>
      <c r="Q381" s="2739" t="s">
        <v>5521</v>
      </c>
      <c r="R381" s="2742">
        <v>0</v>
      </c>
    </row>
    <row r="382" spans="1:18" s="861" customFormat="1">
      <c r="A382" s="4068"/>
      <c r="B382" s="2735" t="str">
        <f>'9-A.Training Sub-Annex'!B138</f>
        <v>9.5.21.2</v>
      </c>
      <c r="C382" s="1861" t="str">
        <f>'9-A.Training Sub-Annex'!C138</f>
        <v>Any other (please specify)</v>
      </c>
      <c r="D382" s="1862" t="str">
        <f>'9-A.Training Sub-Annex'!D138</f>
        <v>RCH</v>
      </c>
      <c r="E382" s="1862" t="str">
        <f>'9-A.Training Sub-Annex'!E138</f>
        <v>PNDT</v>
      </c>
      <c r="F382" s="1862">
        <f>'9-A.Training Sub-Annex'!F138</f>
        <v>0</v>
      </c>
      <c r="G382" s="1862">
        <f>'9-A.Training Sub-Annex'!G138</f>
        <v>0</v>
      </c>
      <c r="H382" s="1862">
        <f>'9-A.Training Sub-Annex'!H138</f>
        <v>0</v>
      </c>
      <c r="I382" s="1862">
        <f>'9-A.Training Sub-Annex'!I138</f>
        <v>0</v>
      </c>
      <c r="J382" s="1862">
        <f>'9-A.Training Sub-Annex'!J138</f>
        <v>0</v>
      </c>
      <c r="K382" s="1862">
        <f>'9-A.Training Sub-Annex'!K138</f>
        <v>0</v>
      </c>
      <c r="L382" s="962">
        <f>'9-A.Training Sub-Annex'!L138</f>
        <v>0</v>
      </c>
      <c r="M382" s="1862">
        <f>'9-A.Training Sub-Annex'!M138</f>
        <v>0</v>
      </c>
      <c r="N382" s="1862">
        <f>'9-A.Training Sub-Annex'!N138</f>
        <v>0</v>
      </c>
      <c r="O382" s="962">
        <f>'9-A.Training Sub-Annex'!O138</f>
        <v>0</v>
      </c>
      <c r="P382" s="2735">
        <f>'9-A.Training Sub-Annex'!P138</f>
        <v>0</v>
      </c>
      <c r="Q382" s="2739" t="s">
        <v>5521</v>
      </c>
      <c r="R382" s="2742">
        <v>0</v>
      </c>
    </row>
    <row r="383" spans="1:18" s="861" customFormat="1">
      <c r="A383" s="1858">
        <f>'11.IEC-BCC Annex'!A7</f>
        <v>11</v>
      </c>
      <c r="B383" s="1858"/>
      <c r="C383" s="1859" t="str">
        <f>'11.IEC-BCC Annex'!C7</f>
        <v>IEC/BCC</v>
      </c>
      <c r="D383" s="1860"/>
      <c r="E383" s="1860"/>
      <c r="F383" s="1860"/>
      <c r="G383" s="1860"/>
      <c r="H383" s="1860"/>
      <c r="I383" s="1860"/>
      <c r="J383" s="1860"/>
      <c r="K383" s="1860"/>
      <c r="L383" s="994"/>
      <c r="M383" s="1860"/>
      <c r="N383" s="1860"/>
      <c r="O383" s="994">
        <f>SUM(O384:O385)</f>
        <v>2</v>
      </c>
      <c r="P383" s="1858"/>
      <c r="Q383" s="2745"/>
      <c r="R383" s="2746">
        <f>SUM(R384:R385)</f>
        <v>2</v>
      </c>
    </row>
    <row r="384" spans="1:18" s="861" customFormat="1" ht="30">
      <c r="A384" s="2735" t="str">
        <f>'11.IEC-BCC Annex'!A14</f>
        <v>11.1.6</v>
      </c>
      <c r="B384" s="2735" t="str">
        <f>'11-A. IEC Sub-Annex'!B30</f>
        <v>B.10.3.5</v>
      </c>
      <c r="C384" s="1861" t="str">
        <f>'11-A. IEC Sub-Annex'!C30</f>
        <v>Creating awareness on declining sex ratio issue (PNDT)</v>
      </c>
      <c r="D384" s="1862" t="str">
        <f>'11-A. IEC Sub-Annex'!D30</f>
        <v>RCH</v>
      </c>
      <c r="E384" s="1862" t="str">
        <f>'11-A. IEC Sub-Annex'!E30</f>
        <v>PNDT</v>
      </c>
      <c r="F384" s="1862">
        <f>'11-A. IEC Sub-Annex'!F30</f>
        <v>1</v>
      </c>
      <c r="G384" s="1862">
        <f>'11-A. IEC Sub-Annex'!G30</f>
        <v>0</v>
      </c>
      <c r="H384" s="1862">
        <f>'11-A. IEC Sub-Annex'!H30</f>
        <v>2</v>
      </c>
      <c r="I384" s="1862">
        <f>'11-A. IEC Sub-Annex'!I30</f>
        <v>0.04</v>
      </c>
      <c r="J384" s="1862">
        <f>'11-A. IEC Sub-Annex'!J30</f>
        <v>1.96</v>
      </c>
      <c r="K384" s="1862">
        <f>'11-A. IEC Sub-Annex'!K30</f>
        <v>0</v>
      </c>
      <c r="L384" s="962">
        <f>'11-A. IEC Sub-Annex'!L30</f>
        <v>200000</v>
      </c>
      <c r="M384" s="1862">
        <f>'11-A. IEC Sub-Annex'!M30</f>
        <v>2</v>
      </c>
      <c r="N384" s="1862">
        <f>'11-A. IEC Sub-Annex'!N30</f>
        <v>1</v>
      </c>
      <c r="O384" s="962">
        <f>'11-A. IEC Sub-Annex'!O30</f>
        <v>2</v>
      </c>
      <c r="P384" s="2735">
        <f>'11-A. IEC Sub-Annex'!P30</f>
        <v>0</v>
      </c>
      <c r="Q384" s="2718" t="s">
        <v>5645</v>
      </c>
      <c r="R384" s="2719">
        <v>2</v>
      </c>
    </row>
    <row r="385" spans="1:18" s="861" customFormat="1">
      <c r="A385" s="2735"/>
      <c r="B385" s="2735">
        <f>'11-A. IEC Sub-Annex'!B31</f>
        <v>0</v>
      </c>
      <c r="C385" s="1861" t="str">
        <f>'11-A. IEC Sub-Annex'!C31</f>
        <v>Any other IEC/BCC activities (please specify)</v>
      </c>
      <c r="D385" s="1862" t="str">
        <f>'11-A. IEC Sub-Annex'!D31</f>
        <v>RCH</v>
      </c>
      <c r="E385" s="1862" t="str">
        <f>'11-A. IEC Sub-Annex'!E31</f>
        <v>PNDT</v>
      </c>
      <c r="F385" s="1862">
        <f>'11-A. IEC Sub-Annex'!F31</f>
        <v>0</v>
      </c>
      <c r="G385" s="1862">
        <f>'11-A. IEC Sub-Annex'!G31</f>
        <v>0</v>
      </c>
      <c r="H385" s="1862">
        <f>'11-A. IEC Sub-Annex'!H31</f>
        <v>0</v>
      </c>
      <c r="I385" s="1862">
        <f>'11-A. IEC Sub-Annex'!I31</f>
        <v>0</v>
      </c>
      <c r="J385" s="1862">
        <f>'11-A. IEC Sub-Annex'!J31</f>
        <v>0</v>
      </c>
      <c r="K385" s="1862">
        <f>'11-A. IEC Sub-Annex'!K31</f>
        <v>0</v>
      </c>
      <c r="L385" s="962">
        <f>'11-A. IEC Sub-Annex'!L31</f>
        <v>0</v>
      </c>
      <c r="M385" s="1862">
        <f>'11-A. IEC Sub-Annex'!M31</f>
        <v>0</v>
      </c>
      <c r="N385" s="1862">
        <f>'11-A. IEC Sub-Annex'!N31</f>
        <v>0</v>
      </c>
      <c r="O385" s="962">
        <f>'11-A. IEC Sub-Annex'!O31</f>
        <v>0</v>
      </c>
      <c r="P385" s="2735">
        <f>'11-A. IEC Sub-Annex'!P31</f>
        <v>0</v>
      </c>
      <c r="Q385" s="2773" t="s">
        <v>5520</v>
      </c>
      <c r="R385" s="2729">
        <v>0</v>
      </c>
    </row>
    <row r="386" spans="1:18" s="861" customFormat="1">
      <c r="A386" s="1858">
        <f>'12.Printing Annex'!A7</f>
        <v>12</v>
      </c>
      <c r="B386" s="1865"/>
      <c r="C386" s="1859" t="str">
        <f>'12.Printing Annex'!C7</f>
        <v>Printing</v>
      </c>
      <c r="D386" s="1860"/>
      <c r="E386" s="1860"/>
      <c r="F386" s="1860"/>
      <c r="G386" s="1860"/>
      <c r="H386" s="994"/>
      <c r="I386" s="1860"/>
      <c r="J386" s="994"/>
      <c r="K386" s="1860"/>
      <c r="L386" s="994"/>
      <c r="M386" s="994"/>
      <c r="N386" s="1866"/>
      <c r="O386" s="1867">
        <f>SUM(O387:O389)</f>
        <v>0</v>
      </c>
      <c r="P386" s="1868"/>
      <c r="Q386" s="2743"/>
      <c r="R386" s="2770">
        <f>SUM(R387:R389)</f>
        <v>0</v>
      </c>
    </row>
    <row r="387" spans="1:18" s="861" customFormat="1">
      <c r="A387" s="2735" t="str">
        <f>'12.Printing Annex'!A15</f>
        <v>12.1.7</v>
      </c>
      <c r="B387" s="2735" t="str">
        <f>'12-A. Print Sub-Annex'!B51</f>
        <v>B.10.6.14.2</v>
      </c>
      <c r="C387" s="1861" t="str">
        <f>'12-A. Print Sub-Annex'!C51</f>
        <v>Printing of training material</v>
      </c>
      <c r="D387" s="1862" t="str">
        <f>'12-A. Print Sub-Annex'!D51</f>
        <v>RCH</v>
      </c>
      <c r="E387" s="1862" t="str">
        <f>'12-A. Print Sub-Annex'!E51</f>
        <v>PNDT</v>
      </c>
      <c r="F387" s="1862">
        <f>'12-A. Print Sub-Annex'!F51</f>
        <v>0</v>
      </c>
      <c r="G387" s="1862">
        <f>'12-A. Print Sub-Annex'!G51</f>
        <v>0</v>
      </c>
      <c r="H387" s="1862">
        <f>'12-A. Print Sub-Annex'!H51</f>
        <v>0</v>
      </c>
      <c r="I387" s="1862">
        <f>'12-A. Print Sub-Annex'!I51</f>
        <v>0</v>
      </c>
      <c r="J387" s="1862">
        <f>'12-A. Print Sub-Annex'!J51</f>
        <v>0</v>
      </c>
      <c r="K387" s="1862">
        <f>'12-A. Print Sub-Annex'!K51</f>
        <v>0</v>
      </c>
      <c r="L387" s="962">
        <f>'12-A. Print Sub-Annex'!L51</f>
        <v>0</v>
      </c>
      <c r="M387" s="1862">
        <f>'12-A. Print Sub-Annex'!M51</f>
        <v>0</v>
      </c>
      <c r="N387" s="1862">
        <f>'12-A. Print Sub-Annex'!N51</f>
        <v>0</v>
      </c>
      <c r="O387" s="962">
        <f>'12-A. Print Sub-Annex'!O51</f>
        <v>0</v>
      </c>
      <c r="P387" s="2735">
        <f>'12-A. Print Sub-Annex'!P51</f>
        <v>0</v>
      </c>
      <c r="Q387" s="2739" t="s">
        <v>5521</v>
      </c>
      <c r="R387" s="2742">
        <v>0</v>
      </c>
    </row>
    <row r="388" spans="1:18" s="861" customFormat="1">
      <c r="A388" s="2735"/>
      <c r="B388" s="2735">
        <f>'12-A. Print Sub-Annex'!B52</f>
        <v>0</v>
      </c>
      <c r="C388" s="1861" t="str">
        <f>'12-A. Print Sub-Annex'!C52</f>
        <v>Printing of PC&amp;PNDT Act and Rules</v>
      </c>
      <c r="D388" s="1862" t="str">
        <f>'12-A. Print Sub-Annex'!D52</f>
        <v>RCH</v>
      </c>
      <c r="E388" s="1862" t="str">
        <f>'12-A. Print Sub-Annex'!E52</f>
        <v>PNDT</v>
      </c>
      <c r="F388" s="1862">
        <f>'12-A. Print Sub-Annex'!F52</f>
        <v>0</v>
      </c>
      <c r="G388" s="1862">
        <f>'12-A. Print Sub-Annex'!G52</f>
        <v>0</v>
      </c>
      <c r="H388" s="1862">
        <f>'12-A. Print Sub-Annex'!H52</f>
        <v>0</v>
      </c>
      <c r="I388" s="1862">
        <f>'12-A. Print Sub-Annex'!I52</f>
        <v>0</v>
      </c>
      <c r="J388" s="1862">
        <f>'12-A. Print Sub-Annex'!J52</f>
        <v>0</v>
      </c>
      <c r="K388" s="1862">
        <f>'12-A. Print Sub-Annex'!K52</f>
        <v>0</v>
      </c>
      <c r="L388" s="962">
        <f>'12-A. Print Sub-Annex'!L52</f>
        <v>0</v>
      </c>
      <c r="M388" s="1862">
        <f>'12-A. Print Sub-Annex'!M52</f>
        <v>0</v>
      </c>
      <c r="N388" s="1862">
        <f>'12-A. Print Sub-Annex'!N52</f>
        <v>0</v>
      </c>
      <c r="O388" s="962">
        <f>'12-A. Print Sub-Annex'!O52</f>
        <v>0</v>
      </c>
      <c r="P388" s="2735">
        <f>'12-A. Print Sub-Annex'!P52</f>
        <v>0</v>
      </c>
      <c r="Q388" s="2739" t="s">
        <v>5521</v>
      </c>
      <c r="R388" s="2742">
        <v>0</v>
      </c>
    </row>
    <row r="389" spans="1:18" s="861" customFormat="1">
      <c r="A389" s="2735"/>
      <c r="B389" s="2735">
        <f>'12-A. Print Sub-Annex'!B53</f>
        <v>0</v>
      </c>
      <c r="C389" s="1861" t="str">
        <f>'12-A. Print Sub-Annex'!C53</f>
        <v>Any other (please specify)</v>
      </c>
      <c r="D389" s="1862" t="str">
        <f>'12-A. Print Sub-Annex'!D53</f>
        <v>RCH</v>
      </c>
      <c r="E389" s="1862" t="str">
        <f>'12-A. Print Sub-Annex'!E53</f>
        <v>PNDT</v>
      </c>
      <c r="F389" s="1862">
        <f>'12-A. Print Sub-Annex'!F53</f>
        <v>0</v>
      </c>
      <c r="G389" s="1862">
        <f>'12-A. Print Sub-Annex'!G53</f>
        <v>0</v>
      </c>
      <c r="H389" s="1862">
        <f>'12-A. Print Sub-Annex'!H53</f>
        <v>0</v>
      </c>
      <c r="I389" s="1862">
        <f>'12-A. Print Sub-Annex'!I53</f>
        <v>0</v>
      </c>
      <c r="J389" s="1862">
        <f>'12-A. Print Sub-Annex'!J53</f>
        <v>0</v>
      </c>
      <c r="K389" s="1862">
        <f>'12-A. Print Sub-Annex'!K53</f>
        <v>0</v>
      </c>
      <c r="L389" s="962">
        <f>'12-A. Print Sub-Annex'!L53</f>
        <v>0</v>
      </c>
      <c r="M389" s="1862">
        <f>'12-A. Print Sub-Annex'!M53</f>
        <v>0</v>
      </c>
      <c r="N389" s="1862">
        <f>'12-A. Print Sub-Annex'!N53</f>
        <v>0</v>
      </c>
      <c r="O389" s="962">
        <f>'12-A. Print Sub-Annex'!O53</f>
        <v>0</v>
      </c>
      <c r="P389" s="2735">
        <f>'12-A. Print Sub-Annex'!P53</f>
        <v>0</v>
      </c>
      <c r="Q389" s="2739" t="s">
        <v>5521</v>
      </c>
      <c r="R389" s="2742">
        <v>0</v>
      </c>
    </row>
    <row r="390" spans="1:18" s="861" customFormat="1">
      <c r="A390" s="1858">
        <f>'16.PM Annex'!A7</f>
        <v>16</v>
      </c>
      <c r="B390" s="1865"/>
      <c r="C390" s="1858" t="str">
        <f>'16.PM Annex'!C7</f>
        <v>Programme Management</v>
      </c>
      <c r="D390" s="1860"/>
      <c r="E390" s="1860"/>
      <c r="F390" s="1860"/>
      <c r="G390" s="1860"/>
      <c r="H390" s="994"/>
      <c r="I390" s="1860"/>
      <c r="J390" s="994"/>
      <c r="K390" s="1860"/>
      <c r="L390" s="994"/>
      <c r="M390" s="994"/>
      <c r="N390" s="1866"/>
      <c r="O390" s="1867">
        <f>SUM(O391:O393)</f>
        <v>0</v>
      </c>
      <c r="P390" s="1868"/>
      <c r="Q390" s="2743"/>
      <c r="R390" s="2770">
        <f>SUM(R391:R393)</f>
        <v>0</v>
      </c>
    </row>
    <row r="391" spans="1:18" s="861" customFormat="1">
      <c r="A391" s="2735" t="str">
        <f>'16.PM Annex'!A14</f>
        <v>16.2.1</v>
      </c>
      <c r="B391" s="2735" t="str">
        <f>'16.PM Annex'!B14</f>
        <v>A.7.1</v>
      </c>
      <c r="C391" s="2735" t="str">
        <f>'16.PM Annex'!C14</f>
        <v>HR Support for PC&amp;PNDT Cell</v>
      </c>
      <c r="D391" s="2735"/>
      <c r="E391" s="2735"/>
      <c r="F391" s="1862">
        <f>'16.PM Annex'!F14</f>
        <v>0</v>
      </c>
      <c r="G391" s="1862">
        <f>'16.PM Annex'!G14</f>
        <v>0</v>
      </c>
      <c r="H391" s="1862">
        <f>'16.PM Annex'!H14</f>
        <v>0</v>
      </c>
      <c r="I391" s="1862">
        <f>'16.PM Annex'!I14</f>
        <v>0</v>
      </c>
      <c r="J391" s="1862">
        <f>'16.PM Annex'!J14</f>
        <v>0</v>
      </c>
      <c r="K391" s="1862">
        <f>'16.PM Annex'!K14</f>
        <v>0</v>
      </c>
      <c r="L391" s="962">
        <f>'16.PM Annex'!L14</f>
        <v>0</v>
      </c>
      <c r="M391" s="1862">
        <f>'16.PM Annex'!M14</f>
        <v>0</v>
      </c>
      <c r="N391" s="1862">
        <f>'16.PM Annex'!N14</f>
        <v>0</v>
      </c>
      <c r="O391" s="962">
        <f>'16.PM Annex'!O14</f>
        <v>0</v>
      </c>
      <c r="P391" s="2735">
        <f>'16.PM Annex'!P14</f>
        <v>0</v>
      </c>
      <c r="Q391" s="2739" t="s">
        <v>5521</v>
      </c>
      <c r="R391" s="2742">
        <v>0</v>
      </c>
    </row>
    <row r="392" spans="1:18" s="861" customFormat="1">
      <c r="A392" s="2735" t="str">
        <f>'16.PM Annex'!A15</f>
        <v>16.2.2</v>
      </c>
      <c r="B392" s="2735" t="str">
        <f>'16.PM Annex'!B15</f>
        <v>A.7.3</v>
      </c>
      <c r="C392" s="2735" t="str">
        <f>'16.PM Annex'!C15</f>
        <v>Mobility support</v>
      </c>
      <c r="D392" s="2735"/>
      <c r="E392" s="2735"/>
      <c r="F392" s="1862">
        <f>'16.PM Annex'!F15</f>
        <v>0</v>
      </c>
      <c r="G392" s="1862">
        <f>'16.PM Annex'!G15</f>
        <v>0</v>
      </c>
      <c r="H392" s="1862">
        <f>'16.PM Annex'!H15</f>
        <v>0</v>
      </c>
      <c r="I392" s="1862">
        <f>'16.PM Annex'!I15</f>
        <v>0</v>
      </c>
      <c r="J392" s="1862">
        <f>'16.PM Annex'!J15</f>
        <v>0</v>
      </c>
      <c r="K392" s="1862">
        <f>'16.PM Annex'!K15</f>
        <v>0</v>
      </c>
      <c r="L392" s="962">
        <f>'16.PM Annex'!L15</f>
        <v>0</v>
      </c>
      <c r="M392" s="1862">
        <f>'16.PM Annex'!M15</f>
        <v>0</v>
      </c>
      <c r="N392" s="1862">
        <f>'16.PM Annex'!N15</f>
        <v>0</v>
      </c>
      <c r="O392" s="962">
        <f>'16.PM Annex'!O15</f>
        <v>0</v>
      </c>
      <c r="P392" s="2735">
        <f>'16.PM Annex'!P15</f>
        <v>0</v>
      </c>
      <c r="Q392" s="2739" t="s">
        <v>5521</v>
      </c>
      <c r="R392" s="2742">
        <v>0</v>
      </c>
    </row>
    <row r="393" spans="1:18" s="861" customFormat="1" ht="30">
      <c r="A393" s="2735" t="str">
        <f>'16.PM Annex'!A16</f>
        <v>16.2.3</v>
      </c>
      <c r="B393" s="2735" t="str">
        <f>'16.PM Annex'!B16</f>
        <v>A.7.2</v>
      </c>
      <c r="C393" s="2735" t="str">
        <f>'16.PM Annex'!C16</f>
        <v>Others (decoy operations, Mapping or surveys of ultrasound  machines etc )</v>
      </c>
      <c r="D393" s="2735"/>
      <c r="E393" s="2735"/>
      <c r="F393" s="1862">
        <f>'16.PM Annex'!F16</f>
        <v>0</v>
      </c>
      <c r="G393" s="1862">
        <f>'16.PM Annex'!G16</f>
        <v>0</v>
      </c>
      <c r="H393" s="1862">
        <f>'16.PM Annex'!H16</f>
        <v>0</v>
      </c>
      <c r="I393" s="1862">
        <f>'16.PM Annex'!I16</f>
        <v>0</v>
      </c>
      <c r="J393" s="1862">
        <f>'16.PM Annex'!J16</f>
        <v>0</v>
      </c>
      <c r="K393" s="1862">
        <f>'16.PM Annex'!K16</f>
        <v>0</v>
      </c>
      <c r="L393" s="962">
        <f>'16.PM Annex'!L16</f>
        <v>0</v>
      </c>
      <c r="M393" s="1862">
        <f>'16.PM Annex'!M16</f>
        <v>0</v>
      </c>
      <c r="N393" s="1862">
        <f>'16.PM Annex'!N16</f>
        <v>0</v>
      </c>
      <c r="O393" s="962">
        <f>'16.PM Annex'!O16</f>
        <v>0</v>
      </c>
      <c r="P393" s="2735">
        <f>'16.PM Annex'!P16</f>
        <v>0</v>
      </c>
      <c r="Q393" s="2739" t="s">
        <v>5521</v>
      </c>
      <c r="R393" s="2742">
        <v>0</v>
      </c>
    </row>
    <row r="394" spans="1:18" s="861" customFormat="1">
      <c r="A394" s="1852" t="s">
        <v>4518</v>
      </c>
      <c r="B394" s="1852"/>
      <c r="C394" s="1853" t="s">
        <v>3934</v>
      </c>
      <c r="D394" s="1854"/>
      <c r="E394" s="1854"/>
      <c r="F394" s="1854"/>
      <c r="G394" s="1854"/>
      <c r="H394" s="1855"/>
      <c r="I394" s="1854"/>
      <c r="J394" s="1855"/>
      <c r="K394" s="1854"/>
      <c r="L394" s="1855"/>
      <c r="M394" s="1855"/>
      <c r="N394" s="1875"/>
      <c r="O394" s="1876">
        <f>O395+O397+O404+O407+O409+O414+O417+O420+O423+O425</f>
        <v>586.03885000000002</v>
      </c>
      <c r="P394" s="1877"/>
      <c r="Q394" s="1891"/>
      <c r="R394" s="2775">
        <f>R395+R397+R404+R407+R409+R414+R417+R420+R423+R425</f>
        <v>565.33010000000002</v>
      </c>
    </row>
    <row r="395" spans="1:18" s="861" customFormat="1">
      <c r="A395" s="1858">
        <f>'1.SD Facility Based Annex'!A7</f>
        <v>1</v>
      </c>
      <c r="B395" s="1858"/>
      <c r="C395" s="1859" t="str">
        <f>'1.SD Facility Based Annex'!C7</f>
        <v>Service Delivery - Facility Based</v>
      </c>
      <c r="D395" s="1860"/>
      <c r="E395" s="1860"/>
      <c r="F395" s="1860"/>
      <c r="G395" s="1860"/>
      <c r="H395" s="1860"/>
      <c r="I395" s="1860"/>
      <c r="J395" s="1860"/>
      <c r="K395" s="1860"/>
      <c r="L395" s="994"/>
      <c r="M395" s="1860"/>
      <c r="N395" s="1860"/>
      <c r="O395" s="994">
        <f>O396</f>
        <v>1.44</v>
      </c>
      <c r="P395" s="1858"/>
      <c r="Q395" s="692"/>
      <c r="R395" s="2731">
        <f>R396</f>
        <v>1.44</v>
      </c>
    </row>
    <row r="396" spans="1:18" s="861" customFormat="1" ht="45">
      <c r="A396" s="2735" t="str">
        <f>'1.SD Facility Based Annex'!A112</f>
        <v>1.3.2.4</v>
      </c>
      <c r="B396" s="2735" t="str">
        <f>'1.SD Facility Based Annex'!B112</f>
        <v>C.1.m</v>
      </c>
      <c r="C396" s="1861" t="str">
        <f>'1.SD Facility Based Annex'!C112</f>
        <v>Consumables for computer including provision for internet access  for strengthening RI</v>
      </c>
      <c r="D396" s="1862" t="str">
        <f>'1.SD Facility Based Annex'!D112</f>
        <v>RCH</v>
      </c>
      <c r="E396" s="1862" t="str">
        <f>'1.SD Facility Based Annex'!E112</f>
        <v>RI</v>
      </c>
      <c r="F396" s="1862">
        <f>'1.SD Facility Based Annex'!F112</f>
        <v>12</v>
      </c>
      <c r="G396" s="1862">
        <f>'1.SD Facility Based Annex'!G112</f>
        <v>12</v>
      </c>
      <c r="H396" s="1862">
        <f>'1.SD Facility Based Annex'!H112</f>
        <v>0.12</v>
      </c>
      <c r="I396" s="1862">
        <f>'1.SD Facility Based Annex'!I112</f>
        <v>0.32</v>
      </c>
      <c r="J396" s="1862">
        <f>'1.SD Facility Based Annex'!J112</f>
        <v>-0.2</v>
      </c>
      <c r="K396" s="1862">
        <f>'1.SD Facility Based Annex'!K112</f>
        <v>1</v>
      </c>
      <c r="L396" s="962">
        <f>'1.SD Facility Based Annex'!L112</f>
        <v>12000</v>
      </c>
      <c r="M396" s="1862">
        <f>'1.SD Facility Based Annex'!M112</f>
        <v>0.12</v>
      </c>
      <c r="N396" s="1862">
        <f>'1.SD Facility Based Annex'!N112</f>
        <v>12</v>
      </c>
      <c r="O396" s="962">
        <f>'1.SD Facility Based Annex'!O112</f>
        <v>1.44</v>
      </c>
      <c r="P396" s="2735" t="str">
        <f>'1.SD Facility Based Annex'!P112</f>
        <v>fund proposed for  data management under RI @ Rs.1000/-  per district per month</v>
      </c>
      <c r="Q396" s="2764" t="s">
        <v>5646</v>
      </c>
      <c r="R396" s="2721">
        <v>1.44</v>
      </c>
    </row>
    <row r="397" spans="1:18" s="861" customFormat="1">
      <c r="A397" s="1858">
        <f>'2.SD Community Based Annex'!A7</f>
        <v>2</v>
      </c>
      <c r="B397" s="1858"/>
      <c r="C397" s="1859" t="str">
        <f>'2.SD Community Based Annex'!C7</f>
        <v>Service Delivery - Community Based</v>
      </c>
      <c r="D397" s="1860"/>
      <c r="E397" s="1860"/>
      <c r="F397" s="1860"/>
      <c r="G397" s="1860"/>
      <c r="H397" s="994"/>
      <c r="I397" s="1860"/>
      <c r="J397" s="994"/>
      <c r="K397" s="1860"/>
      <c r="L397" s="994"/>
      <c r="M397" s="994"/>
      <c r="N397" s="1882"/>
      <c r="O397" s="994">
        <f>SUM(O398:O403)</f>
        <v>111.78885</v>
      </c>
      <c r="P397" s="1863"/>
      <c r="Q397" s="2745"/>
      <c r="R397" s="2746">
        <f>SUM(R398:R403)</f>
        <v>111.7901</v>
      </c>
    </row>
    <row r="398" spans="1:18" s="861" customFormat="1">
      <c r="A398" s="2735" t="str">
        <f>'2.SD Community Based Annex'!A25</f>
        <v>2.2.6</v>
      </c>
      <c r="B398" s="2735" t="str">
        <f>'2.SD Community Based Annex'!B25</f>
        <v>C.1.r</v>
      </c>
      <c r="C398" s="1861" t="str">
        <f>'2.SD Community Based Annex'!C25</f>
        <v xml:space="preserve">Teeka Express Operational Cost </v>
      </c>
      <c r="D398" s="1862" t="str">
        <f>'2.SD Community Based Annex'!D25</f>
        <v>RCH</v>
      </c>
      <c r="E398" s="1862" t="str">
        <f>'2.SD Community Based Annex'!E25</f>
        <v>RI</v>
      </c>
      <c r="F398" s="1862">
        <f>'2.SD Community Based Annex'!F25</f>
        <v>0</v>
      </c>
      <c r="G398" s="1862">
        <f>'2.SD Community Based Annex'!G25</f>
        <v>0</v>
      </c>
      <c r="H398" s="1862">
        <f>'2.SD Community Based Annex'!H25</f>
        <v>0</v>
      </c>
      <c r="I398" s="1862">
        <f>'2.SD Community Based Annex'!I25</f>
        <v>0</v>
      </c>
      <c r="J398" s="1862">
        <f>'2.SD Community Based Annex'!J25</f>
        <v>0</v>
      </c>
      <c r="K398" s="1862">
        <f>'2.SD Community Based Annex'!K25</f>
        <v>0</v>
      </c>
      <c r="L398" s="962">
        <f>'2.SD Community Based Annex'!L25</f>
        <v>0</v>
      </c>
      <c r="M398" s="1862">
        <f>'2.SD Community Based Annex'!M25</f>
        <v>0</v>
      </c>
      <c r="N398" s="1862">
        <f>'2.SD Community Based Annex'!N25</f>
        <v>0</v>
      </c>
      <c r="O398" s="962">
        <f>'2.SD Community Based Annex'!O25</f>
        <v>0</v>
      </c>
      <c r="P398" s="2735">
        <f>'2.SD Community Based Annex'!P25</f>
        <v>0</v>
      </c>
      <c r="Q398" s="2739" t="s">
        <v>5521</v>
      </c>
      <c r="R398" s="2742">
        <v>0</v>
      </c>
    </row>
    <row r="399" spans="1:18" s="861" customFormat="1">
      <c r="A399" s="2735" t="str">
        <f>'2.SD Community Based Annex'!A26</f>
        <v>2.2.7</v>
      </c>
      <c r="B399" s="2735" t="str">
        <f>'2.SD Community Based Annex'!B26</f>
        <v>C.1.t</v>
      </c>
      <c r="C399" s="1861" t="str">
        <f>'2.SD Community Based Annex'!C26</f>
        <v xml:space="preserve">JE Campaign Operational Cost </v>
      </c>
      <c r="D399" s="1862" t="str">
        <f>'2.SD Community Based Annex'!D26</f>
        <v>RCH</v>
      </c>
      <c r="E399" s="1862" t="str">
        <f>'2.SD Community Based Annex'!E26</f>
        <v>RI</v>
      </c>
      <c r="F399" s="1862">
        <f>'2.SD Community Based Annex'!F26</f>
        <v>0</v>
      </c>
      <c r="G399" s="1862">
        <f>'2.SD Community Based Annex'!G26</f>
        <v>0</v>
      </c>
      <c r="H399" s="1862">
        <f>'2.SD Community Based Annex'!H26</f>
        <v>0</v>
      </c>
      <c r="I399" s="1862">
        <f>'2.SD Community Based Annex'!I26</f>
        <v>0</v>
      </c>
      <c r="J399" s="1862">
        <f>'2.SD Community Based Annex'!J26</f>
        <v>0</v>
      </c>
      <c r="K399" s="1862">
        <f>'2.SD Community Based Annex'!K26</f>
        <v>0</v>
      </c>
      <c r="L399" s="962">
        <f>'2.SD Community Based Annex'!L26</f>
        <v>0</v>
      </c>
      <c r="M399" s="1862">
        <f>'2.SD Community Based Annex'!M26</f>
        <v>0</v>
      </c>
      <c r="N399" s="1862">
        <f>'2.SD Community Based Annex'!N26</f>
        <v>0</v>
      </c>
      <c r="O399" s="962">
        <f>'2.SD Community Based Annex'!O26</f>
        <v>0</v>
      </c>
      <c r="P399" s="2735">
        <f>'2.SD Community Based Annex'!P26</f>
        <v>0</v>
      </c>
      <c r="Q399" s="2739" t="s">
        <v>5521</v>
      </c>
      <c r="R399" s="2742">
        <v>0</v>
      </c>
    </row>
    <row r="400" spans="1:18" s="861" customFormat="1" ht="60">
      <c r="A400" s="2735" t="str">
        <f>'2.SD Community Based Annex'!A27</f>
        <v>2.2.8</v>
      </c>
      <c r="B400" s="2735" t="str">
        <f>'2.SD Community Based Annex'!B27</f>
        <v>C.6</v>
      </c>
      <c r="C400" s="1861" t="str">
        <f>'2.SD Community Based Annex'!C27</f>
        <v>Pulse Polio operating costs</v>
      </c>
      <c r="D400" s="1862" t="str">
        <f>'2.SD Community Based Annex'!D27</f>
        <v>RCH</v>
      </c>
      <c r="E400" s="1862" t="str">
        <f>'2.SD Community Based Annex'!E27</f>
        <v>RI</v>
      </c>
      <c r="F400" s="1862">
        <f>'2.SD Community Based Annex'!F27</f>
        <v>5895</v>
      </c>
      <c r="G400" s="1862">
        <f>'2.SD Community Based Annex'!G27</f>
        <v>0</v>
      </c>
      <c r="H400" s="1862">
        <f>'2.SD Community Based Annex'!H27</f>
        <v>108.35</v>
      </c>
      <c r="I400" s="1862">
        <f>'2.SD Community Based Annex'!I27</f>
        <v>12.7</v>
      </c>
      <c r="J400" s="1862">
        <f>'2.SD Community Based Annex'!J27</f>
        <v>95.649999999999991</v>
      </c>
      <c r="K400" s="1862">
        <f>'2.SD Community Based Annex'!K27</f>
        <v>1</v>
      </c>
      <c r="L400" s="962">
        <f>'2.SD Community Based Annex'!L27</f>
        <v>1838</v>
      </c>
      <c r="M400" s="1862">
        <f>'2.SD Community Based Annex'!M27</f>
        <v>1.8380000000000001E-2</v>
      </c>
      <c r="N400" s="1862">
        <f>'2.SD Community Based Annex'!N27</f>
        <v>5895</v>
      </c>
      <c r="O400" s="962">
        <f>'2.SD Community Based Annex'!O27</f>
        <v>108.3501</v>
      </c>
      <c r="P400" s="2735" t="str">
        <f>'2.SD Community Based Annex'!P27</f>
        <v>fund proposed for operating cost for conducting Pulse Polio round as per GoI guidelines</v>
      </c>
      <c r="Q400" s="2764" t="s">
        <v>5647</v>
      </c>
      <c r="R400" s="2720">
        <v>108.3501</v>
      </c>
    </row>
    <row r="401" spans="1:18" s="861" customFormat="1">
      <c r="A401" s="2735" t="str">
        <f>'2.SD Community Based Annex'!A28</f>
        <v>2.2.9</v>
      </c>
      <c r="B401" s="2735" t="str">
        <f>'2.SD Community Based Annex'!B28</f>
        <v>C.1.s</v>
      </c>
      <c r="C401" s="1861" t="str">
        <f>'2.SD Community Based Annex'!C28</f>
        <v>Measles Rubella SIA operational Cost</v>
      </c>
      <c r="D401" s="1862" t="str">
        <f>'2.SD Community Based Annex'!D28</f>
        <v>RCH</v>
      </c>
      <c r="E401" s="1862" t="str">
        <f>'2.SD Community Based Annex'!E28</f>
        <v>RI</v>
      </c>
      <c r="F401" s="1862">
        <f>'2.SD Community Based Annex'!F28</f>
        <v>0</v>
      </c>
      <c r="G401" s="1862">
        <f>'2.SD Community Based Annex'!G28</f>
        <v>0</v>
      </c>
      <c r="H401" s="1862">
        <f>'2.SD Community Based Annex'!H28</f>
        <v>0</v>
      </c>
      <c r="I401" s="1862">
        <f>'2.SD Community Based Annex'!I28</f>
        <v>0</v>
      </c>
      <c r="J401" s="1862">
        <f>'2.SD Community Based Annex'!J28</f>
        <v>0</v>
      </c>
      <c r="K401" s="1862">
        <f>'2.SD Community Based Annex'!K28</f>
        <v>0</v>
      </c>
      <c r="L401" s="962">
        <f>'2.SD Community Based Annex'!L28</f>
        <v>0</v>
      </c>
      <c r="M401" s="1862">
        <f>'2.SD Community Based Annex'!M28</f>
        <v>0</v>
      </c>
      <c r="N401" s="1862">
        <f>'2.SD Community Based Annex'!N28</f>
        <v>0</v>
      </c>
      <c r="O401" s="962">
        <f>'2.SD Community Based Annex'!O28</f>
        <v>0</v>
      </c>
      <c r="P401" s="2735">
        <f>'2.SD Community Based Annex'!P28</f>
        <v>0</v>
      </c>
      <c r="Q401" s="2773" t="s">
        <v>5520</v>
      </c>
      <c r="R401" s="2729">
        <v>0</v>
      </c>
    </row>
    <row r="402" spans="1:18" s="861" customFormat="1" ht="45">
      <c r="A402" s="2735" t="str">
        <f>'2.SD Community Based Annex'!A43</f>
        <v>2.3.1.9</v>
      </c>
      <c r="B402" s="2735" t="str">
        <f>'2.SD Community Based Annex'!B43</f>
        <v>C.1.f</v>
      </c>
      <c r="C402" s="1861" t="str">
        <f>'2.SD Community Based Annex'!C43</f>
        <v>Focus on slum &amp; underserved areas in urban areas/alternative vaccinator for slums (only where regular ANM under NUHM not engaged)</v>
      </c>
      <c r="D402" s="1862" t="str">
        <f>'2.SD Community Based Annex'!D43</f>
        <v>RCH</v>
      </c>
      <c r="E402" s="1862" t="str">
        <f>'2.SD Community Based Annex'!E43</f>
        <v>RI</v>
      </c>
      <c r="F402" s="1862">
        <f>'2.SD Community Based Annex'!F43</f>
        <v>480</v>
      </c>
      <c r="G402" s="1862">
        <f>'2.SD Community Based Annex'!G43</f>
        <v>0</v>
      </c>
      <c r="H402" s="1862">
        <f>'2.SD Community Based Annex'!H43</f>
        <v>2.52</v>
      </c>
      <c r="I402" s="1862">
        <f>'2.SD Community Based Annex'!I43</f>
        <v>0</v>
      </c>
      <c r="J402" s="1862">
        <f>'2.SD Community Based Annex'!J43</f>
        <v>0</v>
      </c>
      <c r="K402" s="1862">
        <f>'2.SD Community Based Annex'!K43</f>
        <v>1</v>
      </c>
      <c r="L402" s="962">
        <f>'2.SD Community Based Annex'!L43</f>
        <v>525</v>
      </c>
      <c r="M402" s="1862">
        <f>'2.SD Community Based Annex'!M43</f>
        <v>5.2500000000000003E-3</v>
      </c>
      <c r="N402" s="1862">
        <f>'2.SD Community Based Annex'!N43</f>
        <v>480</v>
      </c>
      <c r="O402" s="962">
        <f>'2.SD Community Based Annex'!O43</f>
        <v>2.52</v>
      </c>
      <c r="P402" s="2735" t="str">
        <f>'2.SD Community Based Annex'!P43</f>
        <v>Fund proposed for alternative vaccinator for slum areas as per HRA sites</v>
      </c>
      <c r="Q402" s="2018" t="s">
        <v>5648</v>
      </c>
      <c r="R402" s="2721">
        <v>2.52</v>
      </c>
    </row>
    <row r="403" spans="1:18" s="861" customFormat="1" ht="30">
      <c r="A403" s="2735" t="str">
        <f>'2.SD Community Based Annex'!A44</f>
        <v>2.3.1.10</v>
      </c>
      <c r="B403" s="2735">
        <f>'2.SD Community Based Annex'!B44</f>
        <v>0</v>
      </c>
      <c r="C403" s="1861" t="str">
        <f>'2.SD Community Based Annex'!C44</f>
        <v>Mobility support for mobile health team/  TA/DA to vaccinators for coverage in vacant sub-centres</v>
      </c>
      <c r="D403" s="1862" t="str">
        <f>'2.SD Community Based Annex'!D44</f>
        <v>RCH</v>
      </c>
      <c r="E403" s="1862" t="str">
        <f>'2.SD Community Based Annex'!E44</f>
        <v>RI</v>
      </c>
      <c r="F403" s="1862">
        <f>'2.SD Community Based Annex'!F44</f>
        <v>175</v>
      </c>
      <c r="G403" s="1862">
        <f>'2.SD Community Based Annex'!G44</f>
        <v>0</v>
      </c>
      <c r="H403" s="1862">
        <f>'2.SD Community Based Annex'!H44</f>
        <v>0.92</v>
      </c>
      <c r="I403" s="1862">
        <f>'2.SD Community Based Annex'!I44</f>
        <v>0.03</v>
      </c>
      <c r="J403" s="1862">
        <f>'2.SD Community Based Annex'!J44</f>
        <v>0.89</v>
      </c>
      <c r="K403" s="1862">
        <f>'2.SD Community Based Annex'!K44</f>
        <v>1</v>
      </c>
      <c r="L403" s="962">
        <f>'2.SD Community Based Annex'!L44</f>
        <v>525</v>
      </c>
      <c r="M403" s="1862">
        <f>'2.SD Community Based Annex'!M44</f>
        <v>5.2500000000000003E-3</v>
      </c>
      <c r="N403" s="1862">
        <f>'2.SD Community Based Annex'!N44</f>
        <v>175</v>
      </c>
      <c r="O403" s="962">
        <f>'2.SD Community Based Annex'!O44</f>
        <v>0.91875000000000007</v>
      </c>
      <c r="P403" s="2735" t="str">
        <f>'2.SD Community Based Annex'!P44</f>
        <v>TA/DA to vaccinators in vacant sub centres</v>
      </c>
      <c r="Q403" s="2018" t="s">
        <v>5649</v>
      </c>
      <c r="R403" s="2721">
        <v>0.92</v>
      </c>
    </row>
    <row r="404" spans="1:18" s="861" customFormat="1">
      <c r="A404" s="1858">
        <f>'3.Community Intervention Annexn'!A7</f>
        <v>3</v>
      </c>
      <c r="B404" s="1858"/>
      <c r="C404" s="1859" t="str">
        <f>'3.Community Intervention Annexn'!C7</f>
        <v>Community Interventions</v>
      </c>
      <c r="D404" s="1860"/>
      <c r="E404" s="1860"/>
      <c r="F404" s="1860"/>
      <c r="G404" s="1860"/>
      <c r="H404" s="994"/>
      <c r="I404" s="1860"/>
      <c r="J404" s="994"/>
      <c r="K404" s="1860"/>
      <c r="L404" s="994"/>
      <c r="M404" s="994"/>
      <c r="N404" s="1866"/>
      <c r="O404" s="1867">
        <f>SUM(O405:O406)</f>
        <v>254.24999999999997</v>
      </c>
      <c r="P404" s="1868"/>
      <c r="Q404" s="2743"/>
      <c r="R404" s="115">
        <f>SUM(R405:R406)</f>
        <v>254.25</v>
      </c>
    </row>
    <row r="405" spans="1:18" s="861" customFormat="1" ht="75">
      <c r="A405" s="2735" t="str">
        <f>'3.Community Intervention Annexn'!A13</f>
        <v>3.1.1.1.3</v>
      </c>
      <c r="B405" s="2735" t="str">
        <f>'3-A. CI Sub-Annex'!B21</f>
        <v>C.5</v>
      </c>
      <c r="C405" s="1861" t="str">
        <f>'3-A. CI Sub-Annex'!C21</f>
        <v>ASHA Incentive under Immunization</v>
      </c>
      <c r="D405" s="1862" t="str">
        <f>'3-A. CI Sub-Annex'!D21</f>
        <v>RCH</v>
      </c>
      <c r="E405" s="1862" t="str">
        <f>'3-A. CI Sub-Annex'!E21</f>
        <v>RI/NHSRC-CP</v>
      </c>
      <c r="F405" s="1862">
        <f>'3-A. CI Sub-Annex'!F21</f>
        <v>115000</v>
      </c>
      <c r="G405" s="1862">
        <f>'3-A. CI Sub-Annex'!G21</f>
        <v>0</v>
      </c>
      <c r="H405" s="1862">
        <f>'3-A. CI Sub-Annex'!H21</f>
        <v>201.25</v>
      </c>
      <c r="I405" s="1862">
        <f>'3-A. CI Sub-Annex'!I21</f>
        <v>99.21</v>
      </c>
      <c r="J405" s="1862">
        <f>'3-A. CI Sub-Annex'!J21</f>
        <v>102.04</v>
      </c>
      <c r="K405" s="1862">
        <f>'3-A. CI Sub-Annex'!K21</f>
        <v>1</v>
      </c>
      <c r="L405" s="962">
        <f>'3-A. CI Sub-Annex'!L21</f>
        <v>225</v>
      </c>
      <c r="M405" s="1862">
        <f>'3-A. CI Sub-Annex'!M21</f>
        <v>2.2499999999999998E-3</v>
      </c>
      <c r="N405" s="1862">
        <f>'3-A. CI Sub-Annex'!N21</f>
        <v>113000</v>
      </c>
      <c r="O405" s="962">
        <f>'3-A. CI Sub-Annex'!O21</f>
        <v>254.24999999999997</v>
      </c>
      <c r="P405" s="2735" t="str">
        <f>'3-A. CI Sub-Annex'!P21</f>
        <v xml:space="preserve">Fund proposed for FIC @Rs.100/ child in 1st year, Rs 75/chid for complete immunisation upto 2nd year and DPT booster 5-6 years @ Rs. 50/ Child </v>
      </c>
      <c r="Q405" s="2764" t="s">
        <v>5650</v>
      </c>
      <c r="R405" s="2721">
        <v>254.25</v>
      </c>
    </row>
    <row r="406" spans="1:18" s="861" customFormat="1">
      <c r="A406" s="2736"/>
      <c r="B406" s="2735" t="str">
        <f>'3-A. CI Sub-Annex'!B22</f>
        <v>C.1.g</v>
      </c>
      <c r="C406" s="1861" t="str">
        <f>'3-A. CI Sub-Annex'!C22</f>
        <v>Mobilization of children through ASHA or other mobilizers</v>
      </c>
      <c r="D406" s="1862" t="str">
        <f>'3-A. CI Sub-Annex'!D22</f>
        <v>RCH</v>
      </c>
      <c r="E406" s="1862" t="str">
        <f>'3-A. CI Sub-Annex'!E22</f>
        <v>RI/NHSRC-CP</v>
      </c>
      <c r="F406" s="1862">
        <f>'3-A. CI Sub-Annex'!F22</f>
        <v>0</v>
      </c>
      <c r="G406" s="1862">
        <f>'3-A. CI Sub-Annex'!G22</f>
        <v>0</v>
      </c>
      <c r="H406" s="1862">
        <f>'3-A. CI Sub-Annex'!H22</f>
        <v>0</v>
      </c>
      <c r="I406" s="1862">
        <f>'3-A. CI Sub-Annex'!I22</f>
        <v>0</v>
      </c>
      <c r="J406" s="1862">
        <f>'3-A. CI Sub-Annex'!J22</f>
        <v>0</v>
      </c>
      <c r="K406" s="1862">
        <f>'3-A. CI Sub-Annex'!K22</f>
        <v>0</v>
      </c>
      <c r="L406" s="962">
        <f>'3-A. CI Sub-Annex'!L22</f>
        <v>0</v>
      </c>
      <c r="M406" s="1862">
        <f>'3-A. CI Sub-Annex'!M22</f>
        <v>0</v>
      </c>
      <c r="N406" s="1862">
        <f>'3-A. CI Sub-Annex'!N22</f>
        <v>0</v>
      </c>
      <c r="O406" s="962">
        <f>'3-A. CI Sub-Annex'!O22</f>
        <v>0</v>
      </c>
      <c r="P406" s="2735">
        <f>'3-A. CI Sub-Annex'!P22</f>
        <v>0</v>
      </c>
      <c r="Q406" s="2773" t="s">
        <v>5520</v>
      </c>
      <c r="R406" s="2729">
        <v>0</v>
      </c>
    </row>
    <row r="407" spans="1:18" s="861" customFormat="1">
      <c r="A407" s="1858">
        <f>'5.Infrastructure Annex'!A7</f>
        <v>5</v>
      </c>
      <c r="B407" s="1858"/>
      <c r="C407" s="1859" t="str">
        <f>'5.Infrastructure Annex'!C7</f>
        <v>Infrastructure</v>
      </c>
      <c r="D407" s="1860"/>
      <c r="E407" s="1860"/>
      <c r="F407" s="1860"/>
      <c r="G407" s="1860"/>
      <c r="H407" s="994"/>
      <c r="I407" s="1860"/>
      <c r="J407" s="994"/>
      <c r="K407" s="1860"/>
      <c r="L407" s="994"/>
      <c r="M407" s="994"/>
      <c r="N407" s="1866"/>
      <c r="O407" s="1867">
        <f>O408</f>
        <v>0</v>
      </c>
      <c r="P407" s="1868"/>
      <c r="Q407" s="2740"/>
      <c r="R407" s="2768">
        <f>R408</f>
        <v>0</v>
      </c>
    </row>
    <row r="408" spans="1:18" s="861" customFormat="1">
      <c r="A408" s="2735" t="str">
        <f>'5.Infrastructure Annex'!A89</f>
        <v>5.3.9</v>
      </c>
      <c r="B408" s="2735" t="str">
        <f>'5.Infrastructure Annex'!B89</f>
        <v>C.1.p</v>
      </c>
      <c r="C408" s="1861" t="str">
        <f>'5.Infrastructure Annex'!C89</f>
        <v>Safety Pits</v>
      </c>
      <c r="D408" s="1862" t="str">
        <f>'5.Infrastructure Annex'!D89</f>
        <v>RCH</v>
      </c>
      <c r="E408" s="1862" t="str">
        <f>'5.Infrastructure Annex'!E89</f>
        <v>RI</v>
      </c>
      <c r="F408" s="1862">
        <f>'5.Infrastructure Annex'!F89</f>
        <v>0</v>
      </c>
      <c r="G408" s="1862">
        <f>'5.Infrastructure Annex'!G89</f>
        <v>0</v>
      </c>
      <c r="H408" s="1862">
        <f>'5.Infrastructure Annex'!H89</f>
        <v>0</v>
      </c>
      <c r="I408" s="1862">
        <f>'5.Infrastructure Annex'!I89</f>
        <v>0</v>
      </c>
      <c r="J408" s="1862">
        <f>'5.Infrastructure Annex'!J89</f>
        <v>0</v>
      </c>
      <c r="K408" s="1862">
        <f>'5.Infrastructure Annex'!K89</f>
        <v>0</v>
      </c>
      <c r="L408" s="962">
        <f>'5.Infrastructure Annex'!L89</f>
        <v>0</v>
      </c>
      <c r="M408" s="1862">
        <f>'5.Infrastructure Annex'!M89</f>
        <v>0</v>
      </c>
      <c r="N408" s="1862">
        <f>'5.Infrastructure Annex'!N89</f>
        <v>0</v>
      </c>
      <c r="O408" s="962">
        <f>'5.Infrastructure Annex'!O89</f>
        <v>0</v>
      </c>
      <c r="P408" s="2735" t="str">
        <f>'5.Infrastructure Annex'!P89</f>
        <v>funds will be utilized from BMWM</v>
      </c>
      <c r="Q408" s="2018" t="s">
        <v>5651</v>
      </c>
      <c r="R408" s="2734">
        <v>0</v>
      </c>
    </row>
    <row r="409" spans="1:18" s="861" customFormat="1">
      <c r="A409" s="1858">
        <f>'6.Procurement Annex'!A7</f>
        <v>6</v>
      </c>
      <c r="B409" s="1858"/>
      <c r="C409" s="1859" t="str">
        <f>'6.Procurement Annex'!C7</f>
        <v>Procurement</v>
      </c>
      <c r="D409" s="1860"/>
      <c r="E409" s="1860"/>
      <c r="F409" s="1860"/>
      <c r="G409" s="1860"/>
      <c r="H409" s="994"/>
      <c r="I409" s="1860"/>
      <c r="J409" s="994"/>
      <c r="K409" s="1860"/>
      <c r="L409" s="994"/>
      <c r="M409" s="994"/>
      <c r="N409" s="1866"/>
      <c r="O409" s="1867">
        <f>SUM(O410:O413)</f>
        <v>0</v>
      </c>
      <c r="P409" s="1868"/>
      <c r="Q409" s="2740"/>
      <c r="R409" s="2768">
        <f>SUM(R410:R413)</f>
        <v>0</v>
      </c>
    </row>
    <row r="410" spans="1:18" s="861" customFormat="1">
      <c r="A410" s="4068" t="str">
        <f>'6.Procurement Annex'!A14</f>
        <v>6.1.1.5</v>
      </c>
      <c r="B410" s="2735" t="str">
        <f>'6-A. Proc. Sub-Annex'!B36</f>
        <v>C.1.o</v>
      </c>
      <c r="C410" s="1861" t="str">
        <f>'6-A. Proc. Sub-Annex'!C36</f>
        <v>Hub Cutter</v>
      </c>
      <c r="D410" s="1862" t="str">
        <f>'6-A. Proc. Sub-Annex'!D36</f>
        <v>RCH</v>
      </c>
      <c r="E410" s="1862" t="str">
        <f>'6-A. Proc. Sub-Annex'!E36</f>
        <v>RI</v>
      </c>
      <c r="F410" s="1862">
        <f>'6-A. Proc. Sub-Annex'!F36</f>
        <v>0</v>
      </c>
      <c r="G410" s="1862">
        <f>'6-A. Proc. Sub-Annex'!G36</f>
        <v>0</v>
      </c>
      <c r="H410" s="1862">
        <f>'6-A. Proc. Sub-Annex'!H36</f>
        <v>0</v>
      </c>
      <c r="I410" s="1862">
        <f>'6-A. Proc. Sub-Annex'!I36</f>
        <v>0</v>
      </c>
      <c r="J410" s="1862">
        <f>'6-A. Proc. Sub-Annex'!J36</f>
        <v>0</v>
      </c>
      <c r="K410" s="1862">
        <f>'6-A. Proc. Sub-Annex'!K36</f>
        <v>0</v>
      </c>
      <c r="L410" s="962">
        <f>'6-A. Proc. Sub-Annex'!L36</f>
        <v>0</v>
      </c>
      <c r="M410" s="1862">
        <f>'6-A. Proc. Sub-Annex'!M36</f>
        <v>0</v>
      </c>
      <c r="N410" s="1862">
        <f>'6-A. Proc. Sub-Annex'!N36</f>
        <v>0</v>
      </c>
      <c r="O410" s="962">
        <f>'6-A. Proc. Sub-Annex'!O36</f>
        <v>0</v>
      </c>
      <c r="P410" s="2735" t="str">
        <f>'6-A. Proc. Sub-Annex'!P36</f>
        <v>Fund from BMMP</v>
      </c>
      <c r="Q410" s="2773" t="s">
        <v>5520</v>
      </c>
      <c r="R410" s="2729">
        <v>0</v>
      </c>
    </row>
    <row r="411" spans="1:18" s="861" customFormat="1">
      <c r="A411" s="4068"/>
      <c r="B411" s="2735">
        <f>'6-A. Proc. Sub-Annex'!B37</f>
        <v>0</v>
      </c>
      <c r="C411" s="1861" t="str">
        <f>'6-A. Proc. Sub-Annex'!C37</f>
        <v>Any other equipment (please specify)</v>
      </c>
      <c r="D411" s="1862" t="str">
        <f>'6-A. Proc. Sub-Annex'!D37</f>
        <v>RCH</v>
      </c>
      <c r="E411" s="1862" t="str">
        <f>'6-A. Proc. Sub-Annex'!E37</f>
        <v>RI</v>
      </c>
      <c r="F411" s="1862">
        <f>'6-A. Proc. Sub-Annex'!F37</f>
        <v>0</v>
      </c>
      <c r="G411" s="1862">
        <f>'6-A. Proc. Sub-Annex'!G37</f>
        <v>0</v>
      </c>
      <c r="H411" s="1862">
        <f>'6-A. Proc. Sub-Annex'!H37</f>
        <v>0</v>
      </c>
      <c r="I411" s="1862">
        <f>'6-A. Proc. Sub-Annex'!I37</f>
        <v>0</v>
      </c>
      <c r="J411" s="1862">
        <f>'6-A. Proc. Sub-Annex'!J37</f>
        <v>0</v>
      </c>
      <c r="K411" s="1862">
        <f>'6-A. Proc. Sub-Annex'!K37</f>
        <v>0</v>
      </c>
      <c r="L411" s="962">
        <f>'6-A. Proc. Sub-Annex'!L37</f>
        <v>0</v>
      </c>
      <c r="M411" s="1862">
        <f>'6-A. Proc. Sub-Annex'!M37</f>
        <v>0</v>
      </c>
      <c r="N411" s="1862">
        <f>'6-A. Proc. Sub-Annex'!N37</f>
        <v>0</v>
      </c>
      <c r="O411" s="962">
        <f>'6-A. Proc. Sub-Annex'!O37</f>
        <v>0</v>
      </c>
      <c r="P411" s="2735">
        <f>'6-A. Proc. Sub-Annex'!P37</f>
        <v>0</v>
      </c>
      <c r="Q411" s="2773" t="s">
        <v>5520</v>
      </c>
      <c r="R411" s="2729">
        <v>0</v>
      </c>
    </row>
    <row r="412" spans="1:18" s="861" customFormat="1">
      <c r="A412" s="4068" t="str">
        <f>'6.Procurement Annex'!A60</f>
        <v>6.2.1.5</v>
      </c>
      <c r="B412" s="2735" t="str">
        <f>'6-A. Proc. Sub-Annex'!B185</f>
        <v>C.1.n</v>
      </c>
      <c r="C412" s="1861" t="str">
        <f>'6-A. Proc. Sub-Annex'!C185</f>
        <v>Red/Black plastic bags etc.</v>
      </c>
      <c r="D412" s="1862" t="str">
        <f>'6-A. Proc. Sub-Annex'!D185</f>
        <v>RCH</v>
      </c>
      <c r="E412" s="1862" t="str">
        <f>'6-A. Proc. Sub-Annex'!E185</f>
        <v>RI</v>
      </c>
      <c r="F412" s="1862">
        <f>'6-A. Proc. Sub-Annex'!F185</f>
        <v>0</v>
      </c>
      <c r="G412" s="1862">
        <f>'6-A. Proc. Sub-Annex'!G185</f>
        <v>0</v>
      </c>
      <c r="H412" s="1862">
        <f>'6-A. Proc. Sub-Annex'!H185</f>
        <v>0</v>
      </c>
      <c r="I412" s="1862">
        <f>'6-A. Proc. Sub-Annex'!I185</f>
        <v>0</v>
      </c>
      <c r="J412" s="1862">
        <f>'6-A. Proc. Sub-Annex'!J185</f>
        <v>0</v>
      </c>
      <c r="K412" s="1862">
        <f>'6-A. Proc. Sub-Annex'!K185</f>
        <v>0</v>
      </c>
      <c r="L412" s="962">
        <f>'6-A. Proc. Sub-Annex'!L185</f>
        <v>0</v>
      </c>
      <c r="M412" s="1862">
        <f>'6-A. Proc. Sub-Annex'!M185</f>
        <v>0</v>
      </c>
      <c r="N412" s="1862">
        <f>'6-A. Proc. Sub-Annex'!N185</f>
        <v>0</v>
      </c>
      <c r="O412" s="962">
        <f>'6-A. Proc. Sub-Annex'!O185</f>
        <v>0</v>
      </c>
      <c r="P412" s="2735" t="str">
        <f>'6-A. Proc. Sub-Annex'!P185</f>
        <v>Fund from BMWM</v>
      </c>
      <c r="Q412" s="2018" t="s">
        <v>5651</v>
      </c>
      <c r="R412" s="2734">
        <v>0</v>
      </c>
    </row>
    <row r="413" spans="1:18" s="861" customFormat="1">
      <c r="A413" s="4068"/>
      <c r="B413" s="2735" t="str">
        <f>'6-A. Proc. Sub-Annex'!B186</f>
        <v>C.1.o</v>
      </c>
      <c r="C413" s="1861" t="str">
        <f>'6-A. Proc. Sub-Annex'!C186</f>
        <v>Bleach/Hypochlorite solution/ Twin bucket</v>
      </c>
      <c r="D413" s="1862" t="str">
        <f>'6-A. Proc. Sub-Annex'!D186</f>
        <v>RCH</v>
      </c>
      <c r="E413" s="1862" t="str">
        <f>'6-A. Proc. Sub-Annex'!E186</f>
        <v>RI</v>
      </c>
      <c r="F413" s="1862">
        <f>'6-A. Proc. Sub-Annex'!F186</f>
        <v>0</v>
      </c>
      <c r="G413" s="1862">
        <f>'6-A. Proc. Sub-Annex'!G186</f>
        <v>0</v>
      </c>
      <c r="H413" s="1862">
        <f>'6-A. Proc. Sub-Annex'!H186</f>
        <v>0</v>
      </c>
      <c r="I413" s="1862">
        <f>'6-A. Proc. Sub-Annex'!I186</f>
        <v>0</v>
      </c>
      <c r="J413" s="1862">
        <f>'6-A. Proc. Sub-Annex'!J186</f>
        <v>0</v>
      </c>
      <c r="K413" s="1862">
        <f>'6-A. Proc. Sub-Annex'!K186</f>
        <v>0</v>
      </c>
      <c r="L413" s="962">
        <f>'6-A. Proc. Sub-Annex'!L186</f>
        <v>0</v>
      </c>
      <c r="M413" s="1862">
        <f>'6-A. Proc. Sub-Annex'!M186</f>
        <v>0</v>
      </c>
      <c r="N413" s="1862">
        <f>'6-A. Proc. Sub-Annex'!N186</f>
        <v>0</v>
      </c>
      <c r="O413" s="962">
        <f>'6-A. Proc. Sub-Annex'!O186</f>
        <v>0</v>
      </c>
      <c r="P413" s="2735" t="str">
        <f>'6-A. Proc. Sub-Annex'!P186</f>
        <v>Fund from BMMP</v>
      </c>
      <c r="Q413" s="2018" t="s">
        <v>5651</v>
      </c>
      <c r="R413" s="2734">
        <v>0</v>
      </c>
    </row>
    <row r="414" spans="1:18" s="861" customFormat="1">
      <c r="A414" s="1858">
        <f>'9.Training Annex'!A7</f>
        <v>9</v>
      </c>
      <c r="B414" s="1858"/>
      <c r="C414" s="1859" t="str">
        <f>'9.Training Annex'!C7</f>
        <v>Training and Capacity Building</v>
      </c>
      <c r="D414" s="1860"/>
      <c r="E414" s="1860"/>
      <c r="F414" s="1860"/>
      <c r="G414" s="1860"/>
      <c r="H414" s="1860"/>
      <c r="I414" s="1860"/>
      <c r="J414" s="1860"/>
      <c r="K414" s="1860"/>
      <c r="L414" s="994"/>
      <c r="M414" s="1860"/>
      <c r="N414" s="1860"/>
      <c r="O414" s="994">
        <f>SUM(O415:O416)</f>
        <v>75</v>
      </c>
      <c r="P414" s="1858"/>
      <c r="Q414" s="147"/>
      <c r="R414" s="115">
        <f>R415</f>
        <v>75</v>
      </c>
    </row>
    <row r="415" spans="1:18" s="861" customFormat="1" ht="60">
      <c r="A415" s="4068" t="str">
        <f>'9.Training Annex'!A27</f>
        <v>9.2.1.7</v>
      </c>
      <c r="B415" s="2735" t="str">
        <f>'9-A.Training Sub-Annex'!B140</f>
        <v>C.3</v>
      </c>
      <c r="C415" s="1861" t="str">
        <f>'9-A.Training Sub-Annex'!C140</f>
        <v>Training under Immunisation</v>
      </c>
      <c r="D415" s="1862" t="str">
        <f>'9-A.Training Sub-Annex'!D140</f>
        <v>RCH</v>
      </c>
      <c r="E415" s="1862" t="str">
        <f>'9-A.Training Sub-Annex'!E140</f>
        <v>RI</v>
      </c>
      <c r="F415" s="1862">
        <f>'9-A.Training Sub-Annex'!F140</f>
        <v>1</v>
      </c>
      <c r="G415" s="1862">
        <f>'9-A.Training Sub-Annex'!G140</f>
        <v>0</v>
      </c>
      <c r="H415" s="1862">
        <f>'9-A.Training Sub-Annex'!H140</f>
        <v>80</v>
      </c>
      <c r="I415" s="1862">
        <f>'9-A.Training Sub-Annex'!I140</f>
        <v>0</v>
      </c>
      <c r="J415" s="1862">
        <f>'9-A.Training Sub-Annex'!J140</f>
        <v>50</v>
      </c>
      <c r="K415" s="1862">
        <f>'9-A.Training Sub-Annex'!K140</f>
        <v>1</v>
      </c>
      <c r="L415" s="962">
        <f>'9-A.Training Sub-Annex'!L140</f>
        <v>375000</v>
      </c>
      <c r="M415" s="1862">
        <f>'9-A.Training Sub-Annex'!M140</f>
        <v>3.75</v>
      </c>
      <c r="N415" s="1862">
        <f>'9-A.Training Sub-Annex'!N140</f>
        <v>20</v>
      </c>
      <c r="O415" s="962">
        <f>'9-A.Training Sub-Annex'!O140</f>
        <v>75</v>
      </c>
      <c r="P415" s="2735" t="str">
        <f>'9-A.Training Sub-Annex'!P140</f>
        <v>Fund proposed for training of VCCM, Cold Chain handlers, MO and MPWs</v>
      </c>
      <c r="Q415" s="2717" t="s">
        <v>5652</v>
      </c>
      <c r="R415" s="2711">
        <v>75</v>
      </c>
    </row>
    <row r="416" spans="1:18" s="861" customFormat="1">
      <c r="A416" s="4068"/>
      <c r="B416" s="2735">
        <f>'9-A.Training Sub-Annex'!B141</f>
        <v>0</v>
      </c>
      <c r="C416" s="1861" t="str">
        <f>'9-A.Training Sub-Annex'!C141</f>
        <v>Any other (please specify)</v>
      </c>
      <c r="D416" s="1862" t="str">
        <f>'9-A.Training Sub-Annex'!D141</f>
        <v>RCH</v>
      </c>
      <c r="E416" s="1862" t="str">
        <f>'9-A.Training Sub-Annex'!E141</f>
        <v>RI</v>
      </c>
      <c r="F416" s="1862">
        <f>'9-A.Training Sub-Annex'!F141</f>
        <v>0</v>
      </c>
      <c r="G416" s="1862">
        <f>'9-A.Training Sub-Annex'!G141</f>
        <v>0</v>
      </c>
      <c r="H416" s="1862">
        <f>'9-A.Training Sub-Annex'!H141</f>
        <v>0</v>
      </c>
      <c r="I416" s="1862">
        <f>'9-A.Training Sub-Annex'!I141</f>
        <v>0</v>
      </c>
      <c r="J416" s="1862">
        <f>'9-A.Training Sub-Annex'!J141</f>
        <v>0</v>
      </c>
      <c r="K416" s="1862">
        <f>'9-A.Training Sub-Annex'!K141</f>
        <v>0</v>
      </c>
      <c r="L416" s="962">
        <f>'9-A.Training Sub-Annex'!L141</f>
        <v>0</v>
      </c>
      <c r="M416" s="1862">
        <f>'9-A.Training Sub-Annex'!M141</f>
        <v>0</v>
      </c>
      <c r="N416" s="1862">
        <f>'9-A.Training Sub-Annex'!N141</f>
        <v>0</v>
      </c>
      <c r="O416" s="962">
        <f>'9-A.Training Sub-Annex'!O141</f>
        <v>0</v>
      </c>
      <c r="P416" s="2735">
        <f>'9-A.Training Sub-Annex'!P141</f>
        <v>0</v>
      </c>
      <c r="Q416" s="2773" t="s">
        <v>5520</v>
      </c>
      <c r="R416" s="2729">
        <v>0</v>
      </c>
    </row>
    <row r="417" spans="1:18" s="861" customFormat="1">
      <c r="A417" s="1858">
        <f>'11.IEC-BCC Annex'!A7</f>
        <v>11</v>
      </c>
      <c r="B417" s="1858"/>
      <c r="C417" s="1859" t="str">
        <f>'11.IEC-BCC Annex'!C7</f>
        <v>IEC/BCC</v>
      </c>
      <c r="D417" s="1860"/>
      <c r="E417" s="1860"/>
      <c r="F417" s="1860"/>
      <c r="G417" s="1860"/>
      <c r="H417" s="1860"/>
      <c r="I417" s="1860"/>
      <c r="J417" s="1860"/>
      <c r="K417" s="1860"/>
      <c r="L417" s="994"/>
      <c r="M417" s="1860"/>
      <c r="N417" s="1860"/>
      <c r="O417" s="994">
        <f>SUM(O418:O419)</f>
        <v>27</v>
      </c>
      <c r="P417" s="1858"/>
      <c r="Q417" s="147"/>
      <c r="R417" s="2768">
        <f>SUM(R418:R419)</f>
        <v>27</v>
      </c>
    </row>
    <row r="418" spans="1:18" s="861" customFormat="1" ht="30">
      <c r="A418" s="4068" t="str">
        <f>'11.IEC-BCC Annex'!A13</f>
        <v>11.1.5</v>
      </c>
      <c r="B418" s="2735">
        <f>'11-A. IEC Sub-Annex'!B27</f>
        <v>0</v>
      </c>
      <c r="C418" s="1861" t="str">
        <f>'11-A. IEC Sub-Annex'!C27</f>
        <v>IEC activities for Immunization</v>
      </c>
      <c r="D418" s="1862" t="str">
        <f>'11-A. IEC Sub-Annex'!D27</f>
        <v>RCH</v>
      </c>
      <c r="E418" s="1862" t="str">
        <f>'11-A. IEC Sub-Annex'!E27</f>
        <v>RI</v>
      </c>
      <c r="F418" s="1862">
        <f>'11-A. IEC Sub-Annex'!F27</f>
        <v>1</v>
      </c>
      <c r="G418" s="1862">
        <f>'11-A. IEC Sub-Annex'!G27</f>
        <v>0</v>
      </c>
      <c r="H418" s="1862">
        <f>'11-A. IEC Sub-Annex'!H27</f>
        <v>5</v>
      </c>
      <c r="I418" s="1862">
        <f>'11-A. IEC Sub-Annex'!I27</f>
        <v>0.09</v>
      </c>
      <c r="J418" s="1862">
        <f>'11-A. IEC Sub-Annex'!J27</f>
        <v>4.91</v>
      </c>
      <c r="K418" s="1862">
        <f>'11-A. IEC Sub-Annex'!K27</f>
        <v>1</v>
      </c>
      <c r="L418" s="962">
        <f>'11-A. IEC Sub-Annex'!L27</f>
        <v>2700000</v>
      </c>
      <c r="M418" s="1862">
        <f>'11-A. IEC Sub-Annex'!M27</f>
        <v>27</v>
      </c>
      <c r="N418" s="1862">
        <f>'11-A. IEC Sub-Annex'!N27</f>
        <v>1</v>
      </c>
      <c r="O418" s="962">
        <f>'11-A. IEC Sub-Annex'!O27</f>
        <v>27</v>
      </c>
      <c r="P418" s="2735" t="str">
        <f>'11-A. IEC Sub-Annex'!P27</f>
        <v>Funds proposed for immunization activities, printing boards and posters.</v>
      </c>
      <c r="Q418" s="2018" t="s">
        <v>5835</v>
      </c>
      <c r="R418" s="2711">
        <v>27</v>
      </c>
    </row>
    <row r="419" spans="1:18" s="861" customFormat="1">
      <c r="A419" s="4068"/>
      <c r="B419" s="2735">
        <f>'11-A. IEC Sub-Annex'!B28</f>
        <v>0</v>
      </c>
      <c r="C419" s="1861" t="str">
        <f>'11-A. IEC Sub-Annex'!C28</f>
        <v>Any other IEC/BCC activities (please specify)</v>
      </c>
      <c r="D419" s="1862" t="str">
        <f>'11-A. IEC Sub-Annex'!D28</f>
        <v>RCH</v>
      </c>
      <c r="E419" s="1862" t="str">
        <f>'11-A. IEC Sub-Annex'!E28</f>
        <v>RI</v>
      </c>
      <c r="F419" s="1862">
        <f>'11-A. IEC Sub-Annex'!F28</f>
        <v>0</v>
      </c>
      <c r="G419" s="1862">
        <f>'11-A. IEC Sub-Annex'!G28</f>
        <v>0</v>
      </c>
      <c r="H419" s="1862">
        <f>'11-A. IEC Sub-Annex'!H28</f>
        <v>0</v>
      </c>
      <c r="I419" s="1862">
        <f>'11-A. IEC Sub-Annex'!I28</f>
        <v>0</v>
      </c>
      <c r="J419" s="1862">
        <f>'11-A. IEC Sub-Annex'!J28</f>
        <v>0</v>
      </c>
      <c r="K419" s="1862">
        <f>'11-A. IEC Sub-Annex'!K28</f>
        <v>0</v>
      </c>
      <c r="L419" s="962">
        <f>'11-A. IEC Sub-Annex'!L28</f>
        <v>0</v>
      </c>
      <c r="M419" s="1862">
        <f>'11-A. IEC Sub-Annex'!M28</f>
        <v>0</v>
      </c>
      <c r="N419" s="1862">
        <f>'11-A. IEC Sub-Annex'!N28</f>
        <v>0</v>
      </c>
      <c r="O419" s="962">
        <f>'11-A. IEC Sub-Annex'!O28</f>
        <v>0</v>
      </c>
      <c r="P419" s="2735">
        <f>'11-A. IEC Sub-Annex'!P28</f>
        <v>0</v>
      </c>
      <c r="Q419" s="2773" t="s">
        <v>5520</v>
      </c>
      <c r="R419" s="2729">
        <v>0</v>
      </c>
    </row>
    <row r="420" spans="1:18" s="861" customFormat="1">
      <c r="A420" s="1858">
        <f>'12.Printing Annex'!A7</f>
        <v>12</v>
      </c>
      <c r="B420" s="1865"/>
      <c r="C420" s="1859" t="str">
        <f>'12.Printing Annex'!C7</f>
        <v>Printing</v>
      </c>
      <c r="D420" s="1860"/>
      <c r="E420" s="1860"/>
      <c r="F420" s="1860"/>
      <c r="G420" s="1860"/>
      <c r="H420" s="994"/>
      <c r="I420" s="1860"/>
      <c r="J420" s="994"/>
      <c r="K420" s="1860"/>
      <c r="L420" s="994"/>
      <c r="M420" s="994"/>
      <c r="N420" s="1866"/>
      <c r="O420" s="1867">
        <f>SUM(O421:O422)</f>
        <v>27.6</v>
      </c>
      <c r="P420" s="1868"/>
      <c r="Q420" s="2740"/>
      <c r="R420" s="2749">
        <f>SUM(R421:R422)</f>
        <v>24</v>
      </c>
    </row>
    <row r="421" spans="1:18" s="861" customFormat="1" ht="45">
      <c r="A421" s="4068" t="str">
        <f>'12.Printing Annex'!A14</f>
        <v>12.1.6</v>
      </c>
      <c r="B421" s="2735" t="str">
        <f>'12-A. Print Sub-Annex'!B48</f>
        <v>B.10.7.4.10</v>
      </c>
      <c r="C421" s="1861" t="str">
        <f>'12-A. Print Sub-Annex'!C48</f>
        <v>Printing and dissemination of Immunization cards, tally sheets, monitoring forms etc.</v>
      </c>
      <c r="D421" s="1862" t="str">
        <f>'12-A. Print Sub-Annex'!D48</f>
        <v>RCH</v>
      </c>
      <c r="E421" s="1862" t="str">
        <f>'12-A. Print Sub-Annex'!E48</f>
        <v>RI</v>
      </c>
      <c r="F421" s="1862">
        <f>'12-A. Print Sub-Annex'!F48</f>
        <v>70000</v>
      </c>
      <c r="G421" s="1862">
        <f>'12-A. Print Sub-Annex'!G48</f>
        <v>0</v>
      </c>
      <c r="H421" s="1862">
        <f>'12-A. Print Sub-Annex'!H48</f>
        <v>14</v>
      </c>
      <c r="I421" s="1862">
        <f>'12-A. Print Sub-Annex'!I48</f>
        <v>27.22</v>
      </c>
      <c r="J421" s="1862">
        <f>'12-A. Print Sub-Annex'!J48</f>
        <v>-13.22</v>
      </c>
      <c r="K421" s="1862">
        <f>'12-A. Print Sub-Annex'!K48</f>
        <v>1</v>
      </c>
      <c r="L421" s="962">
        <f>'12-A. Print Sub-Annex'!L48</f>
        <v>23</v>
      </c>
      <c r="M421" s="1862">
        <f>'12-A. Print Sub-Annex'!M48</f>
        <v>2.3000000000000001E-4</v>
      </c>
      <c r="N421" s="1862">
        <f>'12-A. Print Sub-Annex'!N48</f>
        <v>120000</v>
      </c>
      <c r="O421" s="962">
        <f>'12-A. Print Sub-Annex'!O48</f>
        <v>27.6</v>
      </c>
      <c r="P421" s="2735" t="str">
        <f>'12-A. Print Sub-Annex'!P48</f>
        <v>for pritning of immunization cards@ Rs.23/ beneficiary as per estimated target of 120000 ANC cases</v>
      </c>
      <c r="Q421" s="2776" t="s">
        <v>5653</v>
      </c>
      <c r="R421" s="2774">
        <v>24</v>
      </c>
    </row>
    <row r="422" spans="1:18" s="861" customFormat="1">
      <c r="A422" s="4068"/>
      <c r="B422" s="2735">
        <f>'12-A. Print Sub-Annex'!B49</f>
        <v>0</v>
      </c>
      <c r="C422" s="1861" t="str">
        <f>'12-A. Print Sub-Annex'!C49</f>
        <v>Any other (please specify)</v>
      </c>
      <c r="D422" s="1862" t="str">
        <f>'12-A. Print Sub-Annex'!D49</f>
        <v>RCH</v>
      </c>
      <c r="E422" s="1862" t="str">
        <f>'12-A. Print Sub-Annex'!E49</f>
        <v>RI</v>
      </c>
      <c r="F422" s="1862">
        <f>'12-A. Print Sub-Annex'!F49</f>
        <v>0</v>
      </c>
      <c r="G422" s="1862">
        <f>'12-A. Print Sub-Annex'!G49</f>
        <v>0</v>
      </c>
      <c r="H422" s="1862">
        <f>'12-A. Print Sub-Annex'!H49</f>
        <v>0</v>
      </c>
      <c r="I422" s="1862">
        <f>'12-A. Print Sub-Annex'!I49</f>
        <v>0</v>
      </c>
      <c r="J422" s="1862">
        <f>'12-A. Print Sub-Annex'!J49</f>
        <v>0</v>
      </c>
      <c r="K422" s="1862">
        <f>'12-A. Print Sub-Annex'!K49</f>
        <v>0</v>
      </c>
      <c r="L422" s="962">
        <f>'12-A. Print Sub-Annex'!L49</f>
        <v>0</v>
      </c>
      <c r="M422" s="1862">
        <f>'12-A. Print Sub-Annex'!M49</f>
        <v>0</v>
      </c>
      <c r="N422" s="1862">
        <f>'12-A. Print Sub-Annex'!N49</f>
        <v>0</v>
      </c>
      <c r="O422" s="962">
        <f>'12-A. Print Sub-Annex'!O49</f>
        <v>0</v>
      </c>
      <c r="P422" s="2735">
        <f>'12-A. Print Sub-Annex'!P49</f>
        <v>0</v>
      </c>
      <c r="Q422" s="2773" t="s">
        <v>5520</v>
      </c>
      <c r="R422" s="2729">
        <v>0</v>
      </c>
    </row>
    <row r="423" spans="1:18" s="861" customFormat="1">
      <c r="A423" s="1858">
        <f>'13.Quality Assurance Annex'!A7</f>
        <v>13</v>
      </c>
      <c r="B423" s="1865"/>
      <c r="C423" s="1859" t="str">
        <f>'13.Quality Assurance Annex'!C7</f>
        <v>Quality Assurance</v>
      </c>
      <c r="D423" s="1860"/>
      <c r="E423" s="1860"/>
      <c r="F423" s="1860"/>
      <c r="G423" s="1860"/>
      <c r="H423" s="994"/>
      <c r="I423" s="1860"/>
      <c r="J423" s="994"/>
      <c r="K423" s="1860"/>
      <c r="L423" s="994"/>
      <c r="M423" s="994"/>
      <c r="N423" s="1866"/>
      <c r="O423" s="1867">
        <f>O424</f>
        <v>0</v>
      </c>
      <c r="P423" s="1868"/>
      <c r="Q423" s="2740"/>
      <c r="R423" s="2768">
        <f>R424</f>
        <v>0</v>
      </c>
    </row>
    <row r="424" spans="1:18" s="861" customFormat="1" ht="45">
      <c r="A424" s="2735" t="str">
        <f>'13.Quality Assurance Annex'!A34</f>
        <v>13.3.2</v>
      </c>
      <c r="B424" s="2735">
        <f>'13.Quality Assurance Annex'!B34</f>
        <v>0</v>
      </c>
      <c r="C424" s="1861" t="str">
        <f>'13.Quality Assurance Annex'!C34</f>
        <v>Quality Management System for AEFI surveillance under Universal Immunisation Programme</v>
      </c>
      <c r="D424" s="1862" t="str">
        <f>'13.Quality Assurance Annex'!D34</f>
        <v>RCH</v>
      </c>
      <c r="E424" s="1862" t="str">
        <f>'13.Quality Assurance Annex'!E34</f>
        <v>RI</v>
      </c>
      <c r="F424" s="1862">
        <f>'13.Quality Assurance Annex'!F34</f>
        <v>0</v>
      </c>
      <c r="G424" s="1862">
        <f>'13.Quality Assurance Annex'!G34</f>
        <v>0</v>
      </c>
      <c r="H424" s="1862">
        <f>'13.Quality Assurance Annex'!H34</f>
        <v>0</v>
      </c>
      <c r="I424" s="1862">
        <f>'13.Quality Assurance Annex'!I34</f>
        <v>0</v>
      </c>
      <c r="J424" s="1862">
        <f>'13.Quality Assurance Annex'!J34</f>
        <v>0</v>
      </c>
      <c r="K424" s="1862">
        <f>'13.Quality Assurance Annex'!K34</f>
        <v>0</v>
      </c>
      <c r="L424" s="962">
        <f>'13.Quality Assurance Annex'!L34</f>
        <v>0</v>
      </c>
      <c r="M424" s="1862">
        <f>'13.Quality Assurance Annex'!M34</f>
        <v>0</v>
      </c>
      <c r="N424" s="1862">
        <f>'13.Quality Assurance Annex'!N34</f>
        <v>0</v>
      </c>
      <c r="O424" s="962">
        <f>'13.Quality Assurance Annex'!O34</f>
        <v>0</v>
      </c>
      <c r="P424" s="2735" t="str">
        <f>'13.Quality Assurance Annex'!P34</f>
        <v>Budget for this activity will be met from 13.2.1 for district Chamba and Mandi</v>
      </c>
      <c r="Q424" s="2721" t="s">
        <v>5654</v>
      </c>
      <c r="R424" s="2760"/>
    </row>
    <row r="425" spans="1:18" s="861" customFormat="1">
      <c r="A425" s="1858">
        <f>'14.Drug warehouse &amp;Logistic Anx'!A7</f>
        <v>14</v>
      </c>
      <c r="B425" s="1865"/>
      <c r="C425" s="1859" t="str">
        <f>'14.Drug warehouse &amp;Logistic Anx'!C7</f>
        <v>Drug Warehousing and Logistics</v>
      </c>
      <c r="D425" s="1860"/>
      <c r="E425" s="1860"/>
      <c r="F425" s="1860"/>
      <c r="G425" s="1860"/>
      <c r="H425" s="994"/>
      <c r="I425" s="1860"/>
      <c r="J425" s="994"/>
      <c r="K425" s="1860"/>
      <c r="L425" s="994"/>
      <c r="M425" s="994"/>
      <c r="N425" s="1866"/>
      <c r="O425" s="1867">
        <f>SUM(O426:O431)</f>
        <v>88.960000000000008</v>
      </c>
      <c r="P425" s="1868"/>
      <c r="Q425" s="2740"/>
      <c r="R425" s="2749">
        <f>SUM(R426:R431)</f>
        <v>71.849999999999994</v>
      </c>
    </row>
    <row r="426" spans="1:18" s="861" customFormat="1" ht="30">
      <c r="A426" s="2735" t="str">
        <f>'14.Drug warehouse &amp;Logistic Anx'!A21</f>
        <v>14.2.4.1</v>
      </c>
      <c r="B426" s="2735" t="str">
        <f>'14.Drug warehouse &amp;Logistic Anx'!B21</f>
        <v>C.1.h</v>
      </c>
      <c r="C426" s="1861" t="str">
        <f>'14.Drug warehouse &amp;Logistic Anx'!C21</f>
        <v>Alternative vaccine delivery in hard to reach areas</v>
      </c>
      <c r="D426" s="1862" t="str">
        <f>'14.Drug warehouse &amp;Logistic Anx'!D21</f>
        <v>RCH</v>
      </c>
      <c r="E426" s="1862" t="str">
        <f>'14.Drug warehouse &amp;Logistic Anx'!E21</f>
        <v>RI</v>
      </c>
      <c r="F426" s="1862">
        <f>'14.Drug warehouse &amp;Logistic Anx'!F21</f>
        <v>5000</v>
      </c>
      <c r="G426" s="1862">
        <f>'14.Drug warehouse &amp;Logistic Anx'!G21</f>
        <v>0</v>
      </c>
      <c r="H426" s="1862">
        <f>'14.Drug warehouse &amp;Logistic Anx'!H21</f>
        <v>10</v>
      </c>
      <c r="I426" s="1862">
        <f>'14.Drug warehouse &amp;Logistic Anx'!I21</f>
        <v>4.72</v>
      </c>
      <c r="J426" s="1862">
        <f>'14.Drug warehouse &amp;Logistic Anx'!J21</f>
        <v>5.28</v>
      </c>
      <c r="K426" s="1862">
        <f>'14.Drug warehouse &amp;Logistic Anx'!K21</f>
        <v>0</v>
      </c>
      <c r="L426" s="962">
        <f>'14.Drug warehouse &amp;Logistic Anx'!L21</f>
        <v>200</v>
      </c>
      <c r="M426" s="1862">
        <f>'14.Drug warehouse &amp;Logistic Anx'!M21</f>
        <v>2E-3</v>
      </c>
      <c r="N426" s="1862">
        <f>'14.Drug warehouse &amp;Logistic Anx'!N21</f>
        <v>2500</v>
      </c>
      <c r="O426" s="962">
        <f>'14.Drug warehouse &amp;Logistic Anx'!O21</f>
        <v>5</v>
      </c>
      <c r="P426" s="2735" t="str">
        <f>'14.Drug warehouse &amp;Logistic Anx'!P21</f>
        <v>Fund proposed for 2500 sessions @200/session</v>
      </c>
      <c r="Q426" s="2764" t="s">
        <v>5655</v>
      </c>
      <c r="R426" s="2711">
        <v>5</v>
      </c>
    </row>
    <row r="427" spans="1:18" s="861" customFormat="1">
      <c r="A427" s="2735" t="str">
        <f>'14.Drug warehouse &amp;Logistic Anx'!A22</f>
        <v>14.2.4.2</v>
      </c>
      <c r="B427" s="2735">
        <f>'14.Drug warehouse &amp;Logistic Anx'!B22</f>
        <v>0</v>
      </c>
      <c r="C427" s="1861" t="str">
        <f>'14.Drug warehouse &amp;Logistic Anx'!C22</f>
        <v>AVD in very hard to reach areas esp. notified by States/districts</v>
      </c>
      <c r="D427" s="1862" t="str">
        <f>'14.Drug warehouse &amp;Logistic Anx'!D22</f>
        <v>RCH</v>
      </c>
      <c r="E427" s="1862" t="str">
        <f>'14.Drug warehouse &amp;Logistic Anx'!E22</f>
        <v>RI</v>
      </c>
      <c r="F427" s="1862">
        <f>'14.Drug warehouse &amp;Logistic Anx'!F22</f>
        <v>0</v>
      </c>
      <c r="G427" s="1862">
        <f>'14.Drug warehouse &amp;Logistic Anx'!G22</f>
        <v>0</v>
      </c>
      <c r="H427" s="1862">
        <f>'14.Drug warehouse &amp;Logistic Anx'!H22</f>
        <v>0</v>
      </c>
      <c r="I427" s="1862">
        <f>'14.Drug warehouse &amp;Logistic Anx'!I22</f>
        <v>0</v>
      </c>
      <c r="J427" s="1862">
        <f>'14.Drug warehouse &amp;Logistic Anx'!J22</f>
        <v>0</v>
      </c>
      <c r="K427" s="1862">
        <f>'14.Drug warehouse &amp;Logistic Anx'!K22</f>
        <v>0</v>
      </c>
      <c r="L427" s="962">
        <f>'14.Drug warehouse &amp;Logistic Anx'!L22</f>
        <v>0</v>
      </c>
      <c r="M427" s="1862">
        <f>'14.Drug warehouse &amp;Logistic Anx'!M22</f>
        <v>0</v>
      </c>
      <c r="N427" s="1862">
        <f>'14.Drug warehouse &amp;Logistic Anx'!N22</f>
        <v>0</v>
      </c>
      <c r="O427" s="962">
        <f>'14.Drug warehouse &amp;Logistic Anx'!O22</f>
        <v>0</v>
      </c>
      <c r="P427" s="2735">
        <f>'14.Drug warehouse &amp;Logistic Anx'!P22</f>
        <v>0</v>
      </c>
      <c r="Q427" s="2773" t="s">
        <v>5520</v>
      </c>
      <c r="R427" s="2729">
        <v>0</v>
      </c>
    </row>
    <row r="428" spans="1:18" s="861" customFormat="1" ht="30">
      <c r="A428" s="2735" t="str">
        <f>'14.Drug warehouse &amp;Logistic Anx'!A23</f>
        <v>14.2.5</v>
      </c>
      <c r="B428" s="2735" t="str">
        <f>'14.Drug warehouse &amp;Logistic Anx'!B23</f>
        <v>C.1.i</v>
      </c>
      <c r="C428" s="1861" t="str">
        <f>'14.Drug warehouse &amp;Logistic Anx'!C23</f>
        <v>Alternative Vaccine Delivery in other areas</v>
      </c>
      <c r="D428" s="1862" t="str">
        <f>'14.Drug warehouse &amp;Logistic Anx'!D23</f>
        <v>RCH</v>
      </c>
      <c r="E428" s="1862" t="str">
        <f>'14.Drug warehouse &amp;Logistic Anx'!E23</f>
        <v>RI</v>
      </c>
      <c r="F428" s="1862">
        <f>'14.Drug warehouse &amp;Logistic Anx'!F23</f>
        <v>15000</v>
      </c>
      <c r="G428" s="1862">
        <f>'14.Drug warehouse &amp;Logistic Anx'!G23</f>
        <v>0</v>
      </c>
      <c r="H428" s="1862">
        <f>'14.Drug warehouse &amp;Logistic Anx'!H23</f>
        <v>13.5</v>
      </c>
      <c r="I428" s="1862">
        <f>'14.Drug warehouse &amp;Logistic Anx'!I23</f>
        <v>4.1470000000000002</v>
      </c>
      <c r="J428" s="1862">
        <f>'14.Drug warehouse &amp;Logistic Anx'!J23</f>
        <v>1</v>
      </c>
      <c r="K428" s="1862">
        <f>'14.Drug warehouse &amp;Logistic Anx'!K23</f>
        <v>1</v>
      </c>
      <c r="L428" s="962">
        <f>'14.Drug warehouse &amp;Logistic Anx'!L23</f>
        <v>90</v>
      </c>
      <c r="M428" s="1862">
        <f>'14.Drug warehouse &amp;Logistic Anx'!M23</f>
        <v>8.9999999999999998E-4</v>
      </c>
      <c r="N428" s="1862">
        <f>'14.Drug warehouse &amp;Logistic Anx'!N23</f>
        <v>8500</v>
      </c>
      <c r="O428" s="962">
        <f>'14.Drug warehouse &amp;Logistic Anx'!O23</f>
        <v>7.6499999999999995</v>
      </c>
      <c r="P428" s="2735" t="str">
        <f>'14.Drug warehouse &amp;Logistic Anx'!P23</f>
        <v>Fund proposed for 8500 sessions @Rs. 90/session</v>
      </c>
      <c r="Q428" s="2764" t="s">
        <v>5656</v>
      </c>
      <c r="R428" s="2721">
        <v>7.6499999999999995</v>
      </c>
    </row>
    <row r="429" spans="1:18" s="861" customFormat="1" ht="45">
      <c r="A429" s="2735" t="str">
        <f>'14.Drug warehouse &amp;Logistic Anx'!A24</f>
        <v>14.2.6</v>
      </c>
      <c r="B429" s="2735" t="str">
        <f>'14.Drug warehouse &amp;Logistic Anx'!B24</f>
        <v>C.1.l</v>
      </c>
      <c r="C429" s="1861" t="str">
        <f>'14.Drug warehouse &amp;Logistic Anx'!C24</f>
        <v>POL for vaccine delivery from State to district and from district to PHC/CHCs</v>
      </c>
      <c r="D429" s="1862" t="str">
        <f>'14.Drug warehouse &amp;Logistic Anx'!D24</f>
        <v>RCH</v>
      </c>
      <c r="E429" s="1862" t="str">
        <f>'14.Drug warehouse &amp;Logistic Anx'!E24</f>
        <v>RI</v>
      </c>
      <c r="F429" s="1862">
        <f>'14.Drug warehouse &amp;Logistic Anx'!F24</f>
        <v>13</v>
      </c>
      <c r="G429" s="1862">
        <f>'14.Drug warehouse &amp;Logistic Anx'!G24</f>
        <v>0</v>
      </c>
      <c r="H429" s="1862">
        <f>'14.Drug warehouse &amp;Logistic Anx'!H24</f>
        <v>24</v>
      </c>
      <c r="I429" s="1862">
        <f>'14.Drug warehouse &amp;Logistic Anx'!I24</f>
        <v>5.13</v>
      </c>
      <c r="J429" s="1862">
        <f>'14.Drug warehouse &amp;Logistic Anx'!J24</f>
        <v>18.87</v>
      </c>
      <c r="K429" s="1862">
        <f>'14.Drug warehouse &amp;Logistic Anx'!K24</f>
        <v>1</v>
      </c>
      <c r="L429" s="962">
        <f>'14.Drug warehouse &amp;Logistic Anx'!L24</f>
        <v>200000</v>
      </c>
      <c r="M429" s="1862">
        <f>'14.Drug warehouse &amp;Logistic Anx'!M24</f>
        <v>2</v>
      </c>
      <c r="N429" s="1862">
        <f>'14.Drug warehouse &amp;Logistic Anx'!N24</f>
        <v>12</v>
      </c>
      <c r="O429" s="962">
        <f>'14.Drug warehouse &amp;Logistic Anx'!O24</f>
        <v>24</v>
      </c>
      <c r="P429" s="2735" t="str">
        <f>'14.Drug warehouse &amp;Logistic Anx'!P24</f>
        <v>Fund proposed for POL for vaccine delivery for 12 districts</v>
      </c>
      <c r="Q429" s="2764" t="s">
        <v>5657</v>
      </c>
      <c r="R429" s="2711">
        <v>24</v>
      </c>
    </row>
    <row r="430" spans="1:18" s="861" customFormat="1">
      <c r="A430" s="2735" t="str">
        <f>'14.Drug warehouse &amp;Logistic Anx'!A25</f>
        <v>14.2.7</v>
      </c>
      <c r="B430" s="2735" t="str">
        <f>'14.Drug warehouse &amp;Logistic Anx'!B25</f>
        <v>C.4</v>
      </c>
      <c r="C430" s="1861" t="str">
        <f>'14.Drug warehouse &amp;Logistic Anx'!C25</f>
        <v xml:space="preserve">Cold chain maintenance </v>
      </c>
      <c r="D430" s="1862" t="str">
        <f>'14.Drug warehouse &amp;Logistic Anx'!D25</f>
        <v>RCH</v>
      </c>
      <c r="E430" s="1862" t="str">
        <f>'14.Drug warehouse &amp;Logistic Anx'!E25</f>
        <v>RI</v>
      </c>
      <c r="F430" s="1862">
        <f>'14.Drug warehouse &amp;Logistic Anx'!F25</f>
        <v>0</v>
      </c>
      <c r="G430" s="1862">
        <f>'14.Drug warehouse &amp;Logistic Anx'!G25</f>
        <v>0</v>
      </c>
      <c r="H430" s="1862">
        <f>'14.Drug warehouse &amp;Logistic Anx'!H25</f>
        <v>0</v>
      </c>
      <c r="I430" s="1862">
        <f>'14.Drug warehouse &amp;Logistic Anx'!I25</f>
        <v>0</v>
      </c>
      <c r="J430" s="1862">
        <f>'14.Drug warehouse &amp;Logistic Anx'!J25</f>
        <v>0</v>
      </c>
      <c r="K430" s="1862">
        <f>'14.Drug warehouse &amp;Logistic Anx'!K25</f>
        <v>0</v>
      </c>
      <c r="L430" s="962">
        <f>'14.Drug warehouse &amp;Logistic Anx'!L25</f>
        <v>0</v>
      </c>
      <c r="M430" s="1862">
        <f>'14.Drug warehouse &amp;Logistic Anx'!M25</f>
        <v>0</v>
      </c>
      <c r="N430" s="1862">
        <f>'14.Drug warehouse &amp;Logistic Anx'!N25</f>
        <v>0</v>
      </c>
      <c r="O430" s="962">
        <f>'14.Drug warehouse &amp;Logistic Anx'!O25</f>
        <v>0</v>
      </c>
      <c r="P430" s="2735">
        <f>'14.Drug warehouse &amp;Logistic Anx'!P25</f>
        <v>0</v>
      </c>
      <c r="Q430" s="2773" t="s">
        <v>5520</v>
      </c>
      <c r="R430" s="2729">
        <v>0</v>
      </c>
    </row>
    <row r="431" spans="1:18" s="861" customFormat="1" ht="345">
      <c r="A431" s="2735" t="str">
        <f>'14.Drug warehouse &amp;Logistic Anx'!A26</f>
        <v>14.2.8</v>
      </c>
      <c r="B431" s="2735" t="str">
        <f>'14.Drug warehouse &amp;Logistic Anx'!B26</f>
        <v>C.1.u</v>
      </c>
      <c r="C431" s="1861" t="str">
        <f>'14.Drug warehouse &amp;Logistic Anx'!C26</f>
        <v>Operational cost of e-VIN (like temperature logger sim card and  Data sim card for e-VIN)</v>
      </c>
      <c r="D431" s="1862" t="str">
        <f>'14.Drug warehouse &amp;Logistic Anx'!D26</f>
        <v>RCH</v>
      </c>
      <c r="E431" s="1862" t="str">
        <f>'14.Drug warehouse &amp;Logistic Anx'!E26</f>
        <v>RI</v>
      </c>
      <c r="F431" s="1862">
        <f>'14.Drug warehouse &amp;Logistic Anx'!F26</f>
        <v>1</v>
      </c>
      <c r="G431" s="1862">
        <f>'14.Drug warehouse &amp;Logistic Anx'!G26</f>
        <v>0</v>
      </c>
      <c r="H431" s="1862">
        <f>'14.Drug warehouse &amp;Logistic Anx'!H26</f>
        <v>36.369999999999997</v>
      </c>
      <c r="I431" s="1862">
        <f>'14.Drug warehouse &amp;Logistic Anx'!I26</f>
        <v>22.83</v>
      </c>
      <c r="J431" s="1862">
        <f>'14.Drug warehouse &amp;Logistic Anx'!J26</f>
        <v>13.54</v>
      </c>
      <c r="K431" s="1862">
        <f>'14.Drug warehouse &amp;Logistic Anx'!K26</f>
        <v>0</v>
      </c>
      <c r="L431" s="962">
        <f>'14.Drug warehouse &amp;Logistic Anx'!L26</f>
        <v>5231000</v>
      </c>
      <c r="M431" s="1862">
        <f>'14.Drug warehouse &amp;Logistic Anx'!M26</f>
        <v>52.31</v>
      </c>
      <c r="N431" s="1862">
        <f>'14.Drug warehouse &amp;Logistic Anx'!N26</f>
        <v>1</v>
      </c>
      <c r="O431" s="962">
        <f>'14.Drug warehouse &amp;Logistic Anx'!O26</f>
        <v>52.31</v>
      </c>
      <c r="P431" s="2735" t="str">
        <f>'14.Drug warehouse &amp;Logistic Anx'!P26</f>
        <v>Fund proposed for operational cost of E-VIN i.e Salary of SPO (1), PO (1)  = 17.40. Data Sim Cards for CCH Mobile Phones (@ Rs177/CCH) for 390Data Sim Cards for Temperature Loggers (@ Rs 116.82/TL) for 430Mobile voice and data SIM for UNDP staff ( @ Rs 234.82 per head)  for 3Replacement of Temperature loggers (@20% loss/damage/New CCE) for 86Replacement of Mobile handset (@30% loss/damage/New CCP) for 117= 31.18 Mobile voice and data SIM for eVIN team ( @ Rs 295 per head) for 12 VCCM &amp;Laptop Maintainance for VCCM laptop (@Rs 5000 per VCCM per year) for 12 VCCM= 1.15, Management&amp; operational  fee 2.60</v>
      </c>
      <c r="Q431" s="3123" t="s">
        <v>5936</v>
      </c>
      <c r="R431" s="2711">
        <f>35.2</f>
        <v>35.200000000000003</v>
      </c>
    </row>
    <row r="432" spans="1:18" s="861" customFormat="1">
      <c r="A432" s="1852" t="s">
        <v>4519</v>
      </c>
      <c r="B432" s="1852"/>
      <c r="C432" s="1853" t="s">
        <v>5073</v>
      </c>
      <c r="D432" s="1854"/>
      <c r="E432" s="1854"/>
      <c r="F432" s="1854"/>
      <c r="G432" s="1854"/>
      <c r="H432" s="1855"/>
      <c r="I432" s="1854"/>
      <c r="J432" s="1855"/>
      <c r="K432" s="1854"/>
      <c r="L432" s="1855"/>
      <c r="M432" s="1855"/>
      <c r="N432" s="1875"/>
      <c r="O432" s="1876">
        <f>O433+O437+O440</f>
        <v>139</v>
      </c>
      <c r="P432" s="1877"/>
      <c r="Q432" s="2773" t="s">
        <v>5520</v>
      </c>
      <c r="R432" s="2729">
        <v>0</v>
      </c>
    </row>
    <row r="433" spans="1:18" s="861" customFormat="1">
      <c r="A433" s="1858">
        <f>'1.SD Facility Based Annex'!A7</f>
        <v>1</v>
      </c>
      <c r="B433" s="1858">
        <f>'1.SD Facility Based Annex'!B7</f>
        <v>0</v>
      </c>
      <c r="C433" s="1859" t="str">
        <f>'1.SD Facility Based Annex'!C7</f>
        <v>Service Delivery - Facility Based</v>
      </c>
      <c r="D433" s="1860"/>
      <c r="E433" s="1860"/>
      <c r="F433" s="1860"/>
      <c r="G433" s="1860"/>
      <c r="H433" s="1860"/>
      <c r="I433" s="1860"/>
      <c r="J433" s="1860"/>
      <c r="K433" s="1860"/>
      <c r="L433" s="994"/>
      <c r="M433" s="1860"/>
      <c r="N433" s="1860"/>
      <c r="O433" s="994">
        <f>SUM(O434:O436)</f>
        <v>0</v>
      </c>
      <c r="P433" s="1858"/>
      <c r="Q433" s="2750"/>
      <c r="R433" s="2769">
        <f>SUM(R434:R436)</f>
        <v>0</v>
      </c>
    </row>
    <row r="434" spans="1:18" s="861" customFormat="1">
      <c r="A434" s="2735" t="str">
        <f>'1.SD Facility Based Annex'!A51</f>
        <v>1.1.7.1</v>
      </c>
      <c r="B434" s="2735" t="str">
        <f>'1.SD Facility Based Annex'!B51</f>
        <v>A.6.1</v>
      </c>
      <c r="C434" s="1861" t="str">
        <f>'1.SD Facility Based Annex'!C51</f>
        <v>Special plans for tribal areas</v>
      </c>
      <c r="D434" s="1862" t="str">
        <f>'1.SD Facility Based Annex'!D51</f>
        <v>RCH</v>
      </c>
      <c r="E434" s="1862" t="str">
        <f>'1.SD Facility Based Annex'!E51</f>
        <v>RCH</v>
      </c>
      <c r="F434" s="1862">
        <f>'1.SD Facility Based Annex'!F51</f>
        <v>0</v>
      </c>
      <c r="G434" s="1862">
        <f>'1.SD Facility Based Annex'!G51</f>
        <v>0</v>
      </c>
      <c r="H434" s="1862">
        <f>'1.SD Facility Based Annex'!H51</f>
        <v>0</v>
      </c>
      <c r="I434" s="1862">
        <f>'1.SD Facility Based Annex'!I51</f>
        <v>0</v>
      </c>
      <c r="J434" s="1862">
        <f>'1.SD Facility Based Annex'!J51</f>
        <v>0</v>
      </c>
      <c r="K434" s="1862">
        <f>'1.SD Facility Based Annex'!K51</f>
        <v>0</v>
      </c>
      <c r="L434" s="962">
        <f>'1.SD Facility Based Annex'!L51</f>
        <v>0</v>
      </c>
      <c r="M434" s="1862">
        <f>'1.SD Facility Based Annex'!M51</f>
        <v>0</v>
      </c>
      <c r="N434" s="1862">
        <f>'1.SD Facility Based Annex'!N51</f>
        <v>0</v>
      </c>
      <c r="O434" s="962">
        <f>'1.SD Facility Based Annex'!O51</f>
        <v>0</v>
      </c>
      <c r="P434" s="2735">
        <f>'1.SD Facility Based Annex'!P51</f>
        <v>0</v>
      </c>
      <c r="Q434" s="2773" t="s">
        <v>5520</v>
      </c>
      <c r="R434" s="2729">
        <v>0</v>
      </c>
    </row>
    <row r="435" spans="1:18" s="861" customFormat="1">
      <c r="A435" s="2735" t="str">
        <f>'1.SD Facility Based Annex'!A52</f>
        <v>1.1.7.2</v>
      </c>
      <c r="B435" s="2735" t="str">
        <f>'1.SD Facility Based Annex'!B52</f>
        <v>A.11.3</v>
      </c>
      <c r="C435" s="1861" t="str">
        <f>'1.SD Facility Based Annex'!C52</f>
        <v>LWE affected areas special plan</v>
      </c>
      <c r="D435" s="1862" t="str">
        <f>'1.SD Facility Based Annex'!D52</f>
        <v>RCH</v>
      </c>
      <c r="E435" s="1862" t="str">
        <f>'1.SD Facility Based Annex'!E52</f>
        <v>RCH</v>
      </c>
      <c r="F435" s="1862">
        <f>'1.SD Facility Based Annex'!F52</f>
        <v>0</v>
      </c>
      <c r="G435" s="1862">
        <f>'1.SD Facility Based Annex'!G52</f>
        <v>0</v>
      </c>
      <c r="H435" s="1862">
        <f>'1.SD Facility Based Annex'!H52</f>
        <v>0</v>
      </c>
      <c r="I435" s="1862">
        <f>'1.SD Facility Based Annex'!I52</f>
        <v>0</v>
      </c>
      <c r="J435" s="1862">
        <f>'1.SD Facility Based Annex'!J52</f>
        <v>0</v>
      </c>
      <c r="K435" s="1862">
        <f>'1.SD Facility Based Annex'!K52</f>
        <v>0</v>
      </c>
      <c r="L435" s="962">
        <f>'1.SD Facility Based Annex'!L52</f>
        <v>0</v>
      </c>
      <c r="M435" s="1862">
        <f>'1.SD Facility Based Annex'!M52</f>
        <v>0</v>
      </c>
      <c r="N435" s="1862">
        <f>'1.SD Facility Based Annex'!N52</f>
        <v>0</v>
      </c>
      <c r="O435" s="962">
        <f>'1.SD Facility Based Annex'!O52</f>
        <v>0</v>
      </c>
      <c r="P435" s="2735">
        <f>'1.SD Facility Based Annex'!P52</f>
        <v>0</v>
      </c>
      <c r="Q435" s="2773" t="s">
        <v>5520</v>
      </c>
      <c r="R435" s="2729">
        <v>0</v>
      </c>
    </row>
    <row r="436" spans="1:18" s="861" customFormat="1" ht="30">
      <c r="A436" s="2735" t="str">
        <f>'1.SD Facility Based Annex'!A56</f>
        <v>1.1.7.6</v>
      </c>
      <c r="B436" s="2735">
        <f>'1.SD Facility Based Annex'!B56</f>
        <v>0</v>
      </c>
      <c r="C436" s="1861" t="str">
        <f>'1.SD Facility Based Annex'!C56</f>
        <v>Provision of free medical and surgical care to survivors of gender based violence</v>
      </c>
      <c r="D436" s="1862" t="str">
        <f>'1.SD Facility Based Annex'!D56</f>
        <v>RCH</v>
      </c>
      <c r="E436" s="1862" t="str">
        <f>'1.SD Facility Based Annex'!E56</f>
        <v>RCH</v>
      </c>
      <c r="F436" s="1862">
        <f>'1.SD Facility Based Annex'!F56</f>
        <v>0</v>
      </c>
      <c r="G436" s="1862">
        <f>'1.SD Facility Based Annex'!G56</f>
        <v>0</v>
      </c>
      <c r="H436" s="1862">
        <f>'1.SD Facility Based Annex'!H56</f>
        <v>0</v>
      </c>
      <c r="I436" s="1862">
        <f>'1.SD Facility Based Annex'!I56</f>
        <v>0</v>
      </c>
      <c r="J436" s="1862">
        <f>'1.SD Facility Based Annex'!J56</f>
        <v>0</v>
      </c>
      <c r="K436" s="1862">
        <f>'1.SD Facility Based Annex'!K56</f>
        <v>0</v>
      </c>
      <c r="L436" s="962">
        <f>'1.SD Facility Based Annex'!L56</f>
        <v>0</v>
      </c>
      <c r="M436" s="1862">
        <f>'1.SD Facility Based Annex'!M56</f>
        <v>0</v>
      </c>
      <c r="N436" s="1862">
        <f>'1.SD Facility Based Annex'!N56</f>
        <v>0</v>
      </c>
      <c r="O436" s="962">
        <f>'1.SD Facility Based Annex'!O56</f>
        <v>0</v>
      </c>
      <c r="P436" s="2735">
        <f>'1.SD Facility Based Annex'!P56</f>
        <v>0</v>
      </c>
      <c r="Q436" s="2773" t="s">
        <v>5520</v>
      </c>
      <c r="R436" s="2729">
        <v>0</v>
      </c>
    </row>
    <row r="437" spans="1:18" s="861" customFormat="1">
      <c r="A437" s="1858">
        <f>'2.SD Community Based Annex'!A7</f>
        <v>2</v>
      </c>
      <c r="B437" s="1858"/>
      <c r="C437" s="1859" t="str">
        <f>'2.SD Community Based Annex'!C7</f>
        <v>Service Delivery - Community Based</v>
      </c>
      <c r="D437" s="1860"/>
      <c r="E437" s="1860"/>
      <c r="F437" s="1860"/>
      <c r="G437" s="1860"/>
      <c r="H437" s="994"/>
      <c r="I437" s="1860"/>
      <c r="J437" s="994"/>
      <c r="K437" s="1860"/>
      <c r="L437" s="994"/>
      <c r="M437" s="994"/>
      <c r="N437" s="1882"/>
      <c r="O437" s="994">
        <f>SUM(O438:O439)</f>
        <v>139</v>
      </c>
      <c r="P437" s="1863"/>
      <c r="Q437" s="147"/>
      <c r="R437" s="2769">
        <f>SUM(R438:R439)</f>
        <v>0</v>
      </c>
    </row>
    <row r="438" spans="1:18" s="861" customFormat="1" ht="144.75" customHeight="1">
      <c r="A438" s="2735" t="str">
        <f>'2.SD Community Based Annex'!A41</f>
        <v>2.3.1.7</v>
      </c>
      <c r="B438" s="2735" t="str">
        <f>'2.SD Community Based Annex'!B41</f>
        <v>A.6.2</v>
      </c>
      <c r="C438" s="1861" t="str">
        <f>'2.SD Community Based Annex'!C41</f>
        <v xml:space="preserve">Tribal RCH: Outreach activities </v>
      </c>
      <c r="D438" s="1862" t="str">
        <f>'2.SD Community Based Annex'!D41</f>
        <v>RCH</v>
      </c>
      <c r="E438" s="1862" t="str">
        <f>'2.SD Community Based Annex'!E41</f>
        <v>RCH</v>
      </c>
      <c r="F438" s="1862">
        <f>'2.SD Community Based Annex'!F41</f>
        <v>6</v>
      </c>
      <c r="G438" s="1862">
        <f>'2.SD Community Based Annex'!G41</f>
        <v>0</v>
      </c>
      <c r="H438" s="1862">
        <f>'2.SD Community Based Annex'!H41</f>
        <v>54.75</v>
      </c>
      <c r="I438" s="1862">
        <f>'2.SD Community Based Annex'!I41</f>
        <v>0</v>
      </c>
      <c r="J438" s="1862">
        <f>'2.SD Community Based Annex'!J41</f>
        <v>0</v>
      </c>
      <c r="K438" s="1862">
        <f>'2.SD Community Based Annex'!K41</f>
        <v>1</v>
      </c>
      <c r="L438" s="962">
        <f>'2.SD Community Based Annex'!L41</f>
        <v>912500</v>
      </c>
      <c r="M438" s="1862">
        <f>'2.SD Community Based Annex'!M41</f>
        <v>9.125</v>
      </c>
      <c r="N438" s="1862">
        <f>'2.SD Community Based Annex'!N41</f>
        <v>6</v>
      </c>
      <c r="O438" s="962">
        <f>'2.SD Community Based Annex'!O41</f>
        <v>54.75</v>
      </c>
      <c r="P438" s="2735" t="str">
        <f>'2.SD Community Based Annex'!P41</f>
        <v xml:space="preserve">Augmentation of facility based surgical services at 6 tribal locations. </v>
      </c>
      <c r="Q438" s="108" t="s">
        <v>5855</v>
      </c>
      <c r="R438" s="2734">
        <v>0</v>
      </c>
    </row>
    <row r="439" spans="1:18" s="861" customFormat="1" ht="105">
      <c r="A439" s="2735" t="str">
        <f>'2.SD Community Based Annex'!A42</f>
        <v>2.3.1.8</v>
      </c>
      <c r="B439" s="2735" t="str">
        <f>'2.SD Community Based Annex'!B42</f>
        <v>A.11.2</v>
      </c>
      <c r="C439" s="1861" t="str">
        <f>'2.SD Community Based Annex'!C42</f>
        <v>Services for Vulnerable groups</v>
      </c>
      <c r="D439" s="1862" t="str">
        <f>'2.SD Community Based Annex'!D42</f>
        <v>RCH</v>
      </c>
      <c r="E439" s="1862" t="str">
        <f>'2.SD Community Based Annex'!E42</f>
        <v>RCH</v>
      </c>
      <c r="F439" s="1862">
        <f>'2.SD Community Based Annex'!F42</f>
        <v>10</v>
      </c>
      <c r="G439" s="1862">
        <f>'2.SD Community Based Annex'!G42</f>
        <v>0</v>
      </c>
      <c r="H439" s="1862">
        <f>'2.SD Community Based Annex'!H42</f>
        <v>84.25</v>
      </c>
      <c r="I439" s="1862">
        <f>'2.SD Community Based Annex'!I42</f>
        <v>139.09</v>
      </c>
      <c r="J439" s="1862">
        <f>'2.SD Community Based Annex'!J42</f>
        <v>-54.84</v>
      </c>
      <c r="K439" s="1862">
        <f>'2.SD Community Based Annex'!K42</f>
        <v>1</v>
      </c>
      <c r="L439" s="962">
        <f>'2.SD Community Based Annex'!L42</f>
        <v>842500</v>
      </c>
      <c r="M439" s="1862">
        <f>'2.SD Community Based Annex'!M42</f>
        <v>8.4250000000000007</v>
      </c>
      <c r="N439" s="1862">
        <f>'2.SD Community Based Annex'!N42</f>
        <v>10</v>
      </c>
      <c r="O439" s="962">
        <f>'2.SD Community Based Annex'!O42</f>
        <v>84.25</v>
      </c>
      <c r="P439" s="2735" t="str">
        <f>'2.SD Community Based Annex'!P42</f>
        <v>Minimum 60 major  surgeries to be performed  (20 General surgery, 20 Obstretics &amp; Gynae surgery, and 20 eye surgery) at existing facilities where augmentation of service delivery will be carried out in PPP mode.</v>
      </c>
      <c r="Q439" s="108" t="s">
        <v>5856</v>
      </c>
      <c r="R439" s="2734">
        <v>0</v>
      </c>
    </row>
    <row r="440" spans="1:18" s="861" customFormat="1">
      <c r="A440" s="1858">
        <f>'9.Training Annex'!A7</f>
        <v>9</v>
      </c>
      <c r="B440" s="1858"/>
      <c r="C440" s="1859" t="str">
        <f>'9.Training Annex'!C7</f>
        <v>Training and Capacity Building</v>
      </c>
      <c r="D440" s="1860"/>
      <c r="E440" s="1860"/>
      <c r="F440" s="1860"/>
      <c r="G440" s="1860"/>
      <c r="H440" s="1860"/>
      <c r="I440" s="1860"/>
      <c r="J440" s="1860"/>
      <c r="K440" s="1860"/>
      <c r="L440" s="994"/>
      <c r="M440" s="1860"/>
      <c r="N440" s="1860"/>
      <c r="O440" s="994">
        <f>SUM(O441:O442)</f>
        <v>0</v>
      </c>
      <c r="P440" s="1858"/>
      <c r="Q440" s="147"/>
      <c r="R440" s="2769">
        <f>SUM(R441:R442)</f>
        <v>0</v>
      </c>
    </row>
    <row r="441" spans="1:18" s="861" customFormat="1" ht="30">
      <c r="A441" s="4068" t="str">
        <f>'9.Training Annex'!A28</f>
        <v>9.2.1.8</v>
      </c>
      <c r="B441" s="2735">
        <f>'9-A.Training Sub-Annex'!B143</f>
        <v>0</v>
      </c>
      <c r="C441" s="1861" t="str">
        <f>'9-A.Training Sub-Annex'!C143</f>
        <v>Orientation and training of Human Resources for Health (HRH) and counsellors in public health response to Violence against women</v>
      </c>
      <c r="D441" s="1862" t="str">
        <f>'9-A.Training Sub-Annex'!D143</f>
        <v>RCH</v>
      </c>
      <c r="E441" s="1862" t="str">
        <f>'9-A.Training Sub-Annex'!E143</f>
        <v>RCH</v>
      </c>
      <c r="F441" s="1862">
        <f>'9-A.Training Sub-Annex'!F143</f>
        <v>0</v>
      </c>
      <c r="G441" s="1862">
        <f>'9-A.Training Sub-Annex'!G143</f>
        <v>0</v>
      </c>
      <c r="H441" s="1862">
        <f>'9-A.Training Sub-Annex'!H143</f>
        <v>0</v>
      </c>
      <c r="I441" s="1862">
        <f>'9-A.Training Sub-Annex'!I143</f>
        <v>0</v>
      </c>
      <c r="J441" s="1862">
        <f>'9-A.Training Sub-Annex'!J143</f>
        <v>0</v>
      </c>
      <c r="K441" s="1862">
        <f>'9-A.Training Sub-Annex'!K143</f>
        <v>0</v>
      </c>
      <c r="L441" s="962">
        <f>'9-A.Training Sub-Annex'!L143</f>
        <v>0</v>
      </c>
      <c r="M441" s="1862">
        <f>'9-A.Training Sub-Annex'!M143</f>
        <v>0</v>
      </c>
      <c r="N441" s="1862">
        <f>'9-A.Training Sub-Annex'!N143</f>
        <v>0</v>
      </c>
      <c r="O441" s="962">
        <f>'9-A.Training Sub-Annex'!O143</f>
        <v>0</v>
      </c>
      <c r="P441" s="2735">
        <f>'9-A.Training Sub-Annex'!P143</f>
        <v>0</v>
      </c>
      <c r="Q441" s="2773" t="s">
        <v>5520</v>
      </c>
      <c r="R441" s="2729">
        <v>0</v>
      </c>
    </row>
    <row r="442" spans="1:18" s="861" customFormat="1">
      <c r="A442" s="4068"/>
      <c r="B442" s="2735">
        <f>'9-A.Training Sub-Annex'!B144</f>
        <v>0</v>
      </c>
      <c r="C442" s="1861" t="str">
        <f>'9-A.Training Sub-Annex'!C144</f>
        <v>Any other (please specify)</v>
      </c>
      <c r="D442" s="1862" t="str">
        <f>'9-A.Training Sub-Annex'!D144</f>
        <v>RCH</v>
      </c>
      <c r="E442" s="1862" t="str">
        <f>'9-A.Training Sub-Annex'!E144</f>
        <v>RCH</v>
      </c>
      <c r="F442" s="1862">
        <f>'9-A.Training Sub-Annex'!F144</f>
        <v>0</v>
      </c>
      <c r="G442" s="1862">
        <f>'9-A.Training Sub-Annex'!G144</f>
        <v>0</v>
      </c>
      <c r="H442" s="1862">
        <f>'9-A.Training Sub-Annex'!H144</f>
        <v>0</v>
      </c>
      <c r="I442" s="1862">
        <f>'9-A.Training Sub-Annex'!I144</f>
        <v>0</v>
      </c>
      <c r="J442" s="1862">
        <f>'9-A.Training Sub-Annex'!J144</f>
        <v>0</v>
      </c>
      <c r="K442" s="1862">
        <f>'9-A.Training Sub-Annex'!K144</f>
        <v>0</v>
      </c>
      <c r="L442" s="962">
        <f>'9-A.Training Sub-Annex'!L144</f>
        <v>0</v>
      </c>
      <c r="M442" s="1862">
        <f>'9-A.Training Sub-Annex'!M144</f>
        <v>0</v>
      </c>
      <c r="N442" s="1862">
        <f>'9-A.Training Sub-Annex'!N144</f>
        <v>0</v>
      </c>
      <c r="O442" s="962">
        <f>'9-A.Training Sub-Annex'!O144</f>
        <v>0</v>
      </c>
      <c r="P442" s="2735">
        <f>'9-A.Training Sub-Annex'!P144</f>
        <v>0</v>
      </c>
      <c r="Q442" s="2773" t="s">
        <v>5520</v>
      </c>
      <c r="R442" s="2729">
        <v>0</v>
      </c>
    </row>
    <row r="443" spans="1:18" s="861" customFormat="1" ht="30">
      <c r="A443" s="2735" t="str">
        <f>'9.Training Annex'!A14</f>
        <v>9.1.4.2</v>
      </c>
      <c r="B443" s="2735" t="str">
        <f>'9-A.Training Sub-Annex'!B18</f>
        <v>A.9.1.1</v>
      </c>
      <c r="C443" s="2735" t="str">
        <f>'9-A.Training Sub-Annex'!C18</f>
        <v>HR for Nursing Schools/ Institutions/ Nursing Directorate/ SIHFW supported under NHM</v>
      </c>
      <c r="D443" s="1862" t="str">
        <f>'9-A.Training Sub-Annex'!D18</f>
        <v>HSS</v>
      </c>
      <c r="E443" s="1862" t="str">
        <f>'9-A.Training Sub-Annex'!E18</f>
        <v>Training division/ HRH</v>
      </c>
      <c r="F443" s="1862">
        <f>'9-A.Training Sub-Annex'!F18</f>
        <v>0</v>
      </c>
      <c r="G443" s="1862">
        <f>'9-A.Training Sub-Annex'!G18</f>
        <v>0</v>
      </c>
      <c r="H443" s="1862">
        <f>'9-A.Training Sub-Annex'!H18</f>
        <v>0</v>
      </c>
      <c r="I443" s="1862">
        <f>'9-A.Training Sub-Annex'!I18</f>
        <v>0</v>
      </c>
      <c r="J443" s="1862">
        <f>'9-A.Training Sub-Annex'!J18</f>
        <v>0</v>
      </c>
      <c r="K443" s="1862">
        <f>'9-A.Training Sub-Annex'!K18</f>
        <v>0</v>
      </c>
      <c r="L443" s="655">
        <f>'9-A.Training Sub-Annex'!L18</f>
        <v>0</v>
      </c>
      <c r="M443" s="1862">
        <f>'9-A.Training Sub-Annex'!M18</f>
        <v>0</v>
      </c>
      <c r="N443" s="1862">
        <f>'9-A.Training Sub-Annex'!N18</f>
        <v>0</v>
      </c>
      <c r="O443" s="655">
        <f>'9-A.Training Sub-Annex'!O18</f>
        <v>0</v>
      </c>
      <c r="P443" s="2735">
        <f>'9-A.Training Sub-Annex'!P18</f>
        <v>0</v>
      </c>
      <c r="Q443" s="2773" t="s">
        <v>5520</v>
      </c>
      <c r="R443" s="2729">
        <v>0</v>
      </c>
    </row>
    <row r="444" spans="1:18" s="861" customFormat="1">
      <c r="A444" s="1883">
        <f>'15.PPP Annex'!A7</f>
        <v>15</v>
      </c>
      <c r="B444" s="1883"/>
      <c r="C444" s="1884" t="str">
        <f>'15.PPP Annex'!C7</f>
        <v>PPP</v>
      </c>
      <c r="D444" s="1885"/>
      <c r="E444" s="1885"/>
      <c r="F444" s="1885"/>
      <c r="G444" s="1885"/>
      <c r="H444" s="1885"/>
      <c r="I444" s="1885"/>
      <c r="J444" s="1885"/>
      <c r="K444" s="1885"/>
      <c r="L444" s="1855"/>
      <c r="M444" s="1855"/>
      <c r="N444" s="1885"/>
      <c r="O444" s="1855">
        <f>O445</f>
        <v>0</v>
      </c>
      <c r="P444" s="1883"/>
      <c r="Q444" s="2751"/>
      <c r="R444" s="2777">
        <f>R445</f>
        <v>0</v>
      </c>
    </row>
    <row r="445" spans="1:18" s="861" customFormat="1">
      <c r="A445" s="2735" t="str">
        <f>'15.PPP Annex'!A11</f>
        <v>15.1.3</v>
      </c>
      <c r="B445" s="2735">
        <f>'15.PPP Annex'!B11</f>
        <v>0</v>
      </c>
      <c r="C445" s="1861" t="str">
        <f>'15.PPP Annex'!C11</f>
        <v>Any other PPP initiative under RMNCH+A</v>
      </c>
      <c r="D445" s="1862" t="str">
        <f>'15.PPP Annex'!D11</f>
        <v xml:space="preserve">RCH </v>
      </c>
      <c r="E445" s="1862" t="str">
        <f>'15.PPP Annex'!E11</f>
        <v>RMNCH+A</v>
      </c>
      <c r="F445" s="1862">
        <f>'15.PPP Annex'!F11</f>
        <v>0</v>
      </c>
      <c r="G445" s="1862">
        <f>'15.PPP Annex'!G11</f>
        <v>0</v>
      </c>
      <c r="H445" s="1862">
        <f>'15.PPP Annex'!H11</f>
        <v>0</v>
      </c>
      <c r="I445" s="1862">
        <f>'15.PPP Annex'!I11</f>
        <v>0</v>
      </c>
      <c r="J445" s="1862">
        <f>'15.PPP Annex'!J11</f>
        <v>0</v>
      </c>
      <c r="K445" s="1862">
        <f>'15.PPP Annex'!K11</f>
        <v>0</v>
      </c>
      <c r="L445" s="962">
        <f>'15.PPP Annex'!L11</f>
        <v>0</v>
      </c>
      <c r="M445" s="1862">
        <f>'15.PPP Annex'!M11</f>
        <v>0</v>
      </c>
      <c r="N445" s="1862">
        <f>'15.PPP Annex'!N11</f>
        <v>0</v>
      </c>
      <c r="O445" s="962">
        <f>'15.PPP Annex'!O11</f>
        <v>0</v>
      </c>
      <c r="P445" s="2735">
        <f>'15.PPP Annex'!P11</f>
        <v>0</v>
      </c>
      <c r="Q445" s="2773" t="s">
        <v>5520</v>
      </c>
      <c r="R445" s="2729">
        <v>0</v>
      </c>
    </row>
    <row r="446" spans="1:18">
      <c r="A446" s="1883">
        <f>'16.PM Annex'!A7</f>
        <v>16</v>
      </c>
      <c r="B446" s="1883"/>
      <c r="C446" s="1884" t="str">
        <f>'16.PM Annex'!C7</f>
        <v>Programme Management</v>
      </c>
      <c r="D446" s="1885"/>
      <c r="E446" s="1885"/>
      <c r="F446" s="1885"/>
      <c r="G446" s="1885"/>
      <c r="H446" s="1885"/>
      <c r="I446" s="1885"/>
      <c r="J446" s="1885"/>
      <c r="K446" s="1885"/>
      <c r="L446" s="1855"/>
      <c r="M446" s="1855"/>
      <c r="N446" s="1885"/>
      <c r="O446" s="1855">
        <f>O447</f>
        <v>42.454879999999996</v>
      </c>
      <c r="P446" s="1883"/>
      <c r="Q446" s="2751"/>
      <c r="R446" s="2752">
        <f>R447</f>
        <v>41.82</v>
      </c>
    </row>
    <row r="447" spans="1:18">
      <c r="A447" s="1863">
        <f>'16.PM Annex'!A8</f>
        <v>16.100000000000001</v>
      </c>
      <c r="B447" s="1863"/>
      <c r="C447" s="1886" t="str">
        <f>'16.PM Annex'!C8</f>
        <v>Programme Management Activities (as per PM sub annex)</v>
      </c>
      <c r="D447" s="1882"/>
      <c r="E447" s="1882"/>
      <c r="F447" s="1882"/>
      <c r="G447" s="1882"/>
      <c r="H447" s="1882"/>
      <c r="I447" s="1882"/>
      <c r="J447" s="1882"/>
      <c r="K447" s="1882"/>
      <c r="L447" s="994"/>
      <c r="M447" s="994"/>
      <c r="N447" s="1882"/>
      <c r="O447" s="994">
        <f>SUM(O448:O475)</f>
        <v>42.454879999999996</v>
      </c>
      <c r="P447" s="1863"/>
      <c r="Q447" s="147"/>
      <c r="R447" s="2749">
        <f>SUM(R448:R475)</f>
        <v>41.82</v>
      </c>
    </row>
    <row r="448" spans="1:18" ht="45">
      <c r="A448" s="2738" t="str">
        <f>'16-A. PM sub Annex'!A12</f>
        <v>16.1.1.2</v>
      </c>
      <c r="B448" s="2738" t="e">
        <f>'16-A. PM sub Annex'!#REF!</f>
        <v>#REF!</v>
      </c>
      <c r="C448" s="894" t="str">
        <f>'16-A. PM sub Annex'!C12</f>
        <v>IMNCI (including F-IMNCI; primarily budget for  planning for pre-service IMNCI activities in medical colleges, nursing colleges, and ANMTCs other training)</v>
      </c>
      <c r="D448" s="2737" t="str">
        <f>'16-A. PM sub Annex'!D12</f>
        <v>RCH</v>
      </c>
      <c r="E448" s="2737" t="str">
        <f>'16-A. PM sub Annex'!E12</f>
        <v>HRH&amp;HPIP/CH</v>
      </c>
      <c r="F448" s="2737">
        <f>'16-A. PM sub Annex'!F12</f>
        <v>0</v>
      </c>
      <c r="G448" s="2737">
        <f>'16-A. PM sub Annex'!G12</f>
        <v>0</v>
      </c>
      <c r="H448" s="2737">
        <f>'16-A. PM sub Annex'!H12</f>
        <v>0</v>
      </c>
      <c r="I448" s="2737">
        <f>'16-A. PM sub Annex'!I12</f>
        <v>0</v>
      </c>
      <c r="J448" s="2737">
        <f>'16-A. PM sub Annex'!J12</f>
        <v>0</v>
      </c>
      <c r="K448" s="2737">
        <f>'16-A. PM sub Annex'!K12</f>
        <v>0</v>
      </c>
      <c r="L448" s="162">
        <f>'16-A. PM sub Annex'!L12</f>
        <v>0</v>
      </c>
      <c r="M448" s="162">
        <f>'16-A. PM sub Annex'!M12</f>
        <v>0</v>
      </c>
      <c r="N448" s="2737">
        <f>'16-A. PM sub Annex'!N12</f>
        <v>0</v>
      </c>
      <c r="O448" s="162">
        <f>'16-A. PM sub Annex'!O12</f>
        <v>0</v>
      </c>
      <c r="P448" s="2738">
        <f>'16-A. PM sub Annex'!P12</f>
        <v>0</v>
      </c>
      <c r="Q448" s="2773" t="s">
        <v>5520</v>
      </c>
      <c r="R448" s="2729">
        <v>0</v>
      </c>
    </row>
    <row r="449" spans="1:18">
      <c r="A449" s="2738" t="str">
        <f>'16-A. PM sub Annex'!A13</f>
        <v>16.1.1.3</v>
      </c>
      <c r="B449" s="2738" t="e">
        <f>'16-A. PM sub Annex'!#REF!</f>
        <v>#REF!</v>
      </c>
      <c r="C449" s="894" t="str">
        <f>'16-A. PM sub Annex'!C13</f>
        <v>Prepare and disseminate guidelines for RBSK</v>
      </c>
      <c r="D449" s="2737" t="str">
        <f>'16-A. PM sub Annex'!D13</f>
        <v>RCH</v>
      </c>
      <c r="E449" s="2737" t="str">
        <f>'16-A. PM sub Annex'!E13</f>
        <v>HRH&amp;HPIP/RBSK</v>
      </c>
      <c r="F449" s="2737">
        <f>'16-A. PM sub Annex'!F13</f>
        <v>0</v>
      </c>
      <c r="G449" s="2737">
        <f>'16-A. PM sub Annex'!G13</f>
        <v>0</v>
      </c>
      <c r="H449" s="2737">
        <f>'16-A. PM sub Annex'!H13</f>
        <v>0</v>
      </c>
      <c r="I449" s="2737">
        <f>'16-A. PM sub Annex'!I13</f>
        <v>0</v>
      </c>
      <c r="J449" s="2737">
        <f>'16-A. PM sub Annex'!J13</f>
        <v>0</v>
      </c>
      <c r="K449" s="2737">
        <f>'16-A. PM sub Annex'!K13</f>
        <v>0</v>
      </c>
      <c r="L449" s="162">
        <f>'16-A. PM sub Annex'!L13</f>
        <v>0</v>
      </c>
      <c r="M449" s="162">
        <f>'16-A. PM sub Annex'!M13</f>
        <v>0</v>
      </c>
      <c r="N449" s="2737">
        <f>'16-A. PM sub Annex'!N13</f>
        <v>0</v>
      </c>
      <c r="O449" s="162">
        <f>'16-A. PM sub Annex'!O13</f>
        <v>0</v>
      </c>
      <c r="P449" s="2738">
        <f>'16-A. PM sub Annex'!P13</f>
        <v>0</v>
      </c>
      <c r="Q449" s="2773" t="s">
        <v>5520</v>
      </c>
      <c r="R449" s="2729">
        <v>0</v>
      </c>
    </row>
    <row r="450" spans="1:18" ht="60">
      <c r="A450" s="2738" t="str">
        <f>'16-A. PM sub Annex'!A14</f>
        <v>16.1.1.4</v>
      </c>
      <c r="B450" s="2738" t="e">
        <f>'16-A. PM sub Annex'!#REF!</f>
        <v>#REF!</v>
      </c>
      <c r="C450" s="894" t="str">
        <f>'16-A. PM sub Annex'!C14</f>
        <v>Prepare detailed operational plan for RBSK across districts (including cost of plan)</v>
      </c>
      <c r="D450" s="2737" t="str">
        <f>'16-A. PM sub Annex'!D14</f>
        <v>RCH</v>
      </c>
      <c r="E450" s="2737" t="str">
        <f>'16-A. PM sub Annex'!E14</f>
        <v>HRH&amp;HPIP/RBSK</v>
      </c>
      <c r="F450" s="2737">
        <f>'16-A. PM sub Annex'!F14</f>
        <v>100</v>
      </c>
      <c r="G450" s="2737">
        <f>'16-A. PM sub Annex'!G14</f>
        <v>0</v>
      </c>
      <c r="H450" s="2737">
        <f>'16-A. PM sub Annex'!H14</f>
        <v>0</v>
      </c>
      <c r="I450" s="2737">
        <f>'16-A. PM sub Annex'!I14</f>
        <v>0</v>
      </c>
      <c r="J450" s="2737">
        <f>'16-A. PM sub Annex'!J14</f>
        <v>0</v>
      </c>
      <c r="K450" s="2737">
        <f>'16-A. PM sub Annex'!K14</f>
        <v>1</v>
      </c>
      <c r="L450" s="162">
        <f>'16-A. PM sub Annex'!L14</f>
        <v>1000</v>
      </c>
      <c r="M450" s="162">
        <f>'16-A. PM sub Annex'!M14</f>
        <v>0.01</v>
      </c>
      <c r="N450" s="2737">
        <f>'16-A. PM sub Annex'!N14</f>
        <v>100</v>
      </c>
      <c r="O450" s="162">
        <f>'16-A. PM sub Annex'!O14</f>
        <v>1</v>
      </c>
      <c r="P450" s="2738" t="str">
        <f>'16-A. PM sub Annex'!P14</f>
        <v>fund proposed for preparing of operational plan/ microplan  at block level</v>
      </c>
      <c r="Q450" s="2018" t="s">
        <v>5658</v>
      </c>
      <c r="R450" s="2728">
        <v>1</v>
      </c>
    </row>
    <row r="451" spans="1:18">
      <c r="A451" s="2738" t="str">
        <f>'16-A. PM sub Annex'!A15</f>
        <v>16.1.1.5</v>
      </c>
      <c r="B451" s="2738" t="e">
        <f>'16-A. PM sub Annex'!#REF!</f>
        <v>#REF!</v>
      </c>
      <c r="C451" s="894" t="str">
        <f>'16-A. PM sub Annex'!C15</f>
        <v>Planning, including mapping and co-ordination with other departments</v>
      </c>
      <c r="D451" s="2737" t="str">
        <f>'16-A. PM sub Annex'!D15</f>
        <v>RCH</v>
      </c>
      <c r="E451" s="2737" t="str">
        <f>'16-A. PM sub Annex'!E15</f>
        <v>HRH&amp;HPIP/RCH</v>
      </c>
      <c r="F451" s="2737">
        <f>'16-A. PM sub Annex'!F15</f>
        <v>0</v>
      </c>
      <c r="G451" s="2737">
        <f>'16-A. PM sub Annex'!G15</f>
        <v>0</v>
      </c>
      <c r="H451" s="2737">
        <f>'16-A. PM sub Annex'!H15</f>
        <v>0</v>
      </c>
      <c r="I451" s="2737">
        <f>'16-A. PM sub Annex'!I15</f>
        <v>0</v>
      </c>
      <c r="J451" s="2737">
        <f>'16-A. PM sub Annex'!J15</f>
        <v>0</v>
      </c>
      <c r="K451" s="2737">
        <f>'16-A. PM sub Annex'!K15</f>
        <v>0</v>
      </c>
      <c r="L451" s="162">
        <f>'16-A. PM sub Annex'!L15</f>
        <v>0</v>
      </c>
      <c r="M451" s="162">
        <f>'16-A. PM sub Annex'!M15</f>
        <v>0</v>
      </c>
      <c r="N451" s="2737">
        <f>'16-A. PM sub Annex'!N15</f>
        <v>0</v>
      </c>
      <c r="O451" s="162">
        <f>'16-A. PM sub Annex'!O15</f>
        <v>0</v>
      </c>
      <c r="P451" s="2738">
        <f>'16-A. PM sub Annex'!P15</f>
        <v>0</v>
      </c>
      <c r="Q451" s="2773" t="s">
        <v>5520</v>
      </c>
      <c r="R451" s="2729">
        <v>0</v>
      </c>
    </row>
    <row r="452" spans="1:18" ht="30">
      <c r="A452" s="2738" t="str">
        <f>'16-A. PM sub Annex'!A16</f>
        <v>16.1.1.6</v>
      </c>
      <c r="B452" s="2738" t="e">
        <f>'16-A. PM sub Annex'!#REF!</f>
        <v>#REF!</v>
      </c>
      <c r="C452" s="894" t="str">
        <f>'16-A. PM sub Annex'!C16</f>
        <v>To develop micro plan at sub-centre level</v>
      </c>
      <c r="D452" s="2737" t="str">
        <f>'16-A. PM sub Annex'!D16</f>
        <v>RCH</v>
      </c>
      <c r="E452" s="2737" t="str">
        <f>'16-A. PM sub Annex'!E16</f>
        <v>HRH&amp;HPIP/RI</v>
      </c>
      <c r="F452" s="2737">
        <f>'16-A. PM sub Annex'!F16</f>
        <v>2083</v>
      </c>
      <c r="G452" s="2737">
        <f>'16-A. PM sub Annex'!G16</f>
        <v>0</v>
      </c>
      <c r="H452" s="2737">
        <f>'16-A. PM sub Annex'!H16</f>
        <v>2.08</v>
      </c>
      <c r="I452" s="2737">
        <f>'16-A. PM sub Annex'!I16</f>
        <v>0.09</v>
      </c>
      <c r="J452" s="2737">
        <f>'16-A. PM sub Annex'!J16</f>
        <v>1.99</v>
      </c>
      <c r="K452" s="2737">
        <f>'16-A. PM sub Annex'!K16</f>
        <v>1</v>
      </c>
      <c r="L452" s="162">
        <f>'16-A. PM sub Annex'!L16</f>
        <v>100</v>
      </c>
      <c r="M452" s="162">
        <f>'16-A. PM sub Annex'!M16</f>
        <v>1E-3</v>
      </c>
      <c r="N452" s="2737">
        <f>'16-A. PM sub Annex'!N16</f>
        <v>2083</v>
      </c>
      <c r="O452" s="162">
        <f>'16-A. PM sub Annex'!O16</f>
        <v>2.0830000000000002</v>
      </c>
      <c r="P452" s="2738" t="str">
        <f>'16-A. PM sub Annex'!P16</f>
        <v>Fund proposed for microplan of 2083 HSCs @ Rs. 100</v>
      </c>
      <c r="Q452" s="2764" t="s">
        <v>5659</v>
      </c>
      <c r="R452" s="2711">
        <v>2.08</v>
      </c>
    </row>
    <row r="453" spans="1:18" ht="45">
      <c r="A453" s="2738" t="str">
        <f>'16-A. PM sub Annex'!A17</f>
        <v>16.1.1.7</v>
      </c>
      <c r="B453" s="2738" t="e">
        <f>'16-A. PM sub Annex'!#REF!</f>
        <v>#REF!</v>
      </c>
      <c r="C453" s="894" t="str">
        <f>'16-A. PM sub Annex'!C17</f>
        <v>For consolidation of micro plans at block level</v>
      </c>
      <c r="D453" s="2737" t="str">
        <f>'16-A. PM sub Annex'!D17</f>
        <v>RCH</v>
      </c>
      <c r="E453" s="2737" t="str">
        <f>'16-A. PM sub Annex'!E17</f>
        <v>HRH&amp;HPIP/RI</v>
      </c>
      <c r="F453" s="2737">
        <f>'16-A. PM sub Annex'!F17</f>
        <v>83</v>
      </c>
      <c r="G453" s="2737">
        <f>'16-A. PM sub Annex'!G17</f>
        <v>0</v>
      </c>
      <c r="H453" s="2737">
        <f>'16-A. PM sub Annex'!H17</f>
        <v>1</v>
      </c>
      <c r="I453" s="2737">
        <f>'16-A. PM sub Annex'!I17</f>
        <v>0.04</v>
      </c>
      <c r="J453" s="2737">
        <f>'16-A. PM sub Annex'!J17</f>
        <v>0.96</v>
      </c>
      <c r="K453" s="2737">
        <f>'16-A. PM sub Annex'!K17</f>
        <v>1</v>
      </c>
      <c r="L453" s="162">
        <f>'16-A. PM sub Annex'!L17</f>
        <v>1200</v>
      </c>
      <c r="M453" s="162">
        <f>'16-A. PM sub Annex'!M17</f>
        <v>1.2E-2</v>
      </c>
      <c r="N453" s="2737">
        <f>'16-A. PM sub Annex'!N17</f>
        <v>83</v>
      </c>
      <c r="O453" s="162">
        <f>'16-A. PM sub Annex'!O17</f>
        <v>0.996</v>
      </c>
      <c r="P453" s="2738" t="str">
        <f>'16-A. PM sub Annex'!P17</f>
        <v>Fund proposed for consolidation of microplan at block and district level</v>
      </c>
      <c r="Q453" s="2764" t="s">
        <v>5660</v>
      </c>
      <c r="R453" s="2711">
        <v>1</v>
      </c>
    </row>
    <row r="454" spans="1:18">
      <c r="A454" s="2738" t="str">
        <f>'16-A. PM sub Annex'!A22</f>
        <v>16.1.2.1.1</v>
      </c>
      <c r="B454" s="2738" t="e">
        <f>'16-A. PM sub Annex'!#REF!</f>
        <v>#REF!</v>
      </c>
      <c r="C454" s="894" t="str">
        <f>'16-A. PM sub Annex'!C22</f>
        <v>Provision for State &amp; District level (Meetings/ review meetings)</v>
      </c>
      <c r="D454" s="2737" t="str">
        <f>'16-A. PM sub Annex'!D22</f>
        <v>RCH</v>
      </c>
      <c r="E454" s="2737" t="str">
        <f>'16-A. PM sub Annex'!E22</f>
        <v>HRH&amp;HPIP/CH</v>
      </c>
      <c r="F454" s="2737">
        <f>'16-A. PM sub Annex'!F22</f>
        <v>3</v>
      </c>
      <c r="G454" s="2737">
        <f>'16-A. PM sub Annex'!G22</f>
        <v>0</v>
      </c>
      <c r="H454" s="2737">
        <f>'16-A. PM sub Annex'!H22</f>
        <v>0</v>
      </c>
      <c r="I454" s="2737">
        <f>'16-A. PM sub Annex'!I22</f>
        <v>0</v>
      </c>
      <c r="J454" s="2737">
        <f>'16-A. PM sub Annex'!J22</f>
        <v>0</v>
      </c>
      <c r="K454" s="2737">
        <f>'16-A. PM sub Annex'!K22</f>
        <v>0</v>
      </c>
      <c r="L454" s="162">
        <f>'16-A. PM sub Annex'!L22</f>
        <v>0</v>
      </c>
      <c r="M454" s="162">
        <f>'16-A. PM sub Annex'!M22</f>
        <v>0</v>
      </c>
      <c r="N454" s="2737">
        <f>'16-A. PM sub Annex'!N22</f>
        <v>0</v>
      </c>
      <c r="O454" s="162">
        <f>'16-A. PM sub Annex'!O22</f>
        <v>0</v>
      </c>
      <c r="P454" s="2738">
        <f>'16-A. PM sub Annex'!P22</f>
        <v>0</v>
      </c>
      <c r="Q454" s="2773" t="s">
        <v>5520</v>
      </c>
      <c r="R454" s="2729">
        <v>0</v>
      </c>
    </row>
    <row r="455" spans="1:18">
      <c r="A455" s="2738" t="str">
        <f>'16-A. PM sub Annex'!A23</f>
        <v>16.1.2.1.2</v>
      </c>
      <c r="B455" s="2738" t="e">
        <f>'16-A. PM sub Annex'!#REF!</f>
        <v>#REF!</v>
      </c>
      <c r="C455" s="894" t="str">
        <f>'16-A. PM sub Annex'!C23</f>
        <v>Review/orientation meetings for HBNC</v>
      </c>
      <c r="D455" s="2737" t="str">
        <f>'16-A. PM sub Annex'!D23</f>
        <v>RCH</v>
      </c>
      <c r="E455" s="2737" t="str">
        <f>'16-A. PM sub Annex'!E23</f>
        <v>HRH&amp;HPIP/CH</v>
      </c>
      <c r="F455" s="2737">
        <f>'16-A. PM sub Annex'!F23</f>
        <v>0</v>
      </c>
      <c r="G455" s="2737">
        <f>'16-A. PM sub Annex'!G23</f>
        <v>0</v>
      </c>
      <c r="H455" s="2737">
        <f>'16-A. PM sub Annex'!H23</f>
        <v>0</v>
      </c>
      <c r="I455" s="2737">
        <f>'16-A. PM sub Annex'!I23</f>
        <v>0</v>
      </c>
      <c r="J455" s="2737">
        <f>'16-A. PM sub Annex'!J23</f>
        <v>0</v>
      </c>
      <c r="K455" s="2737">
        <f>'16-A. PM sub Annex'!K23</f>
        <v>0</v>
      </c>
      <c r="L455" s="162">
        <f>'16-A. PM sub Annex'!L23</f>
        <v>0</v>
      </c>
      <c r="M455" s="162">
        <f>'16-A. PM sub Annex'!M23</f>
        <v>0</v>
      </c>
      <c r="N455" s="2737">
        <f>'16-A. PM sub Annex'!N23</f>
        <v>0</v>
      </c>
      <c r="O455" s="162">
        <f>'16-A. PM sub Annex'!O23</f>
        <v>0</v>
      </c>
      <c r="P455" s="2738">
        <f>'16-A. PM sub Annex'!P23</f>
        <v>0</v>
      </c>
      <c r="Q455" s="2773" t="s">
        <v>5520</v>
      </c>
      <c r="R455" s="2729">
        <v>0</v>
      </c>
    </row>
    <row r="456" spans="1:18">
      <c r="A456" s="2738" t="str">
        <f>'16-A. PM sub Annex'!A24</f>
        <v>16.1.2.1.3</v>
      </c>
      <c r="B456" s="2738" t="e">
        <f>'16-A. PM sub Annex'!#REF!</f>
        <v>#REF!</v>
      </c>
      <c r="C456" s="894" t="str">
        <f>'16-A. PM sub Annex'!C24</f>
        <v>Review/orientation meetings for child health programmes</v>
      </c>
      <c r="D456" s="2737" t="str">
        <f>'16-A. PM sub Annex'!D24</f>
        <v>RCH</v>
      </c>
      <c r="E456" s="2737" t="str">
        <f>'16-A. PM sub Annex'!E24</f>
        <v>HRH&amp;HPIP/CH</v>
      </c>
      <c r="F456" s="2737">
        <f>'16-A. PM sub Annex'!F24</f>
        <v>10</v>
      </c>
      <c r="G456" s="2737">
        <f>'16-A. PM sub Annex'!G24</f>
        <v>0</v>
      </c>
      <c r="H456" s="2737">
        <f>'16-A. PM sub Annex'!H24</f>
        <v>5</v>
      </c>
      <c r="I456" s="2737">
        <f>'16-A. PM sub Annex'!I24</f>
        <v>0.01</v>
      </c>
      <c r="J456" s="2737">
        <f>'16-A. PM sub Annex'!J24</f>
        <v>4.99</v>
      </c>
      <c r="K456" s="2737">
        <f>'16-A. PM sub Annex'!K24</f>
        <v>0</v>
      </c>
      <c r="L456" s="162">
        <f>'16-A. PM sub Annex'!L24</f>
        <v>0</v>
      </c>
      <c r="M456" s="162">
        <f>'16-A. PM sub Annex'!M24</f>
        <v>0</v>
      </c>
      <c r="N456" s="2737">
        <f>'16-A. PM sub Annex'!N24</f>
        <v>0</v>
      </c>
      <c r="O456" s="162">
        <f>'16-A. PM sub Annex'!O24</f>
        <v>0</v>
      </c>
      <c r="P456" s="2738">
        <f>'16-A. PM sub Annex'!P24</f>
        <v>0</v>
      </c>
      <c r="Q456" s="2773" t="s">
        <v>5520</v>
      </c>
      <c r="R456" s="2729">
        <v>0</v>
      </c>
    </row>
    <row r="457" spans="1:18" ht="75">
      <c r="A457" s="2738" t="str">
        <f>'16-A. PM sub Annex'!A25</f>
        <v>16.1.2.1.4</v>
      </c>
      <c r="B457" s="2738" t="e">
        <f>'16-A. PM sub Annex'!#REF!</f>
        <v>#REF!</v>
      </c>
      <c r="C457" s="894" t="str">
        <f>'16-A. PM sub Annex'!C25</f>
        <v>FP QAC meetings (Minimum frequency of QAC meetings as per Supreme court mandate: State level - Biannual meeting; District level - Quarterly)</v>
      </c>
      <c r="D457" s="2737" t="str">
        <f>'16-A. PM sub Annex'!D25</f>
        <v>RCH</v>
      </c>
      <c r="E457" s="2737" t="str">
        <f>'16-A. PM sub Annex'!E25</f>
        <v>HRH&amp;HPIP/FP</v>
      </c>
      <c r="F457" s="2737">
        <f>'16-A. PM sub Annex'!F25</f>
        <v>48</v>
      </c>
      <c r="G457" s="2737">
        <f>'16-A. PM sub Annex'!G25</f>
        <v>0</v>
      </c>
      <c r="H457" s="2737">
        <f>'16-A. PM sub Annex'!H25</f>
        <v>2.4</v>
      </c>
      <c r="I457" s="2737">
        <f>'16-A. PM sub Annex'!I25</f>
        <v>0</v>
      </c>
      <c r="J457" s="2737">
        <f>'16-A. PM sub Annex'!J25</f>
        <v>0</v>
      </c>
      <c r="K457" s="2737">
        <f>'16-A. PM sub Annex'!K25</f>
        <v>1</v>
      </c>
      <c r="L457" s="162">
        <f>'16-A. PM sub Annex'!L25</f>
        <v>5000</v>
      </c>
      <c r="M457" s="162">
        <f>'16-A. PM sub Annex'!M25</f>
        <v>0.05</v>
      </c>
      <c r="N457" s="2737">
        <f>'16-A. PM sub Annex'!N25</f>
        <v>48</v>
      </c>
      <c r="O457" s="162">
        <f>'16-A. PM sub Annex'!O25</f>
        <v>2.4000000000000004</v>
      </c>
      <c r="P457" s="2738" t="str">
        <f>'16-A. PM sub Annex'!P25</f>
        <v xml:space="preserve">Funds proposed for FPQAC meeting  State level biannual and district level - quartely . </v>
      </c>
      <c r="Q457" s="2018" t="s">
        <v>5661</v>
      </c>
      <c r="R457" s="2728">
        <f>5000*48/100000</f>
        <v>2.4</v>
      </c>
    </row>
    <row r="458" spans="1:18" ht="30">
      <c r="A458" s="2738" t="str">
        <f>'16-A. PM sub Annex'!A26</f>
        <v>16.1.2.1.5</v>
      </c>
      <c r="B458" s="2738" t="e">
        <f>'16-A. PM sub Annex'!#REF!</f>
        <v>#REF!</v>
      </c>
      <c r="C458" s="894" t="str">
        <f>'16-A. PM sub Annex'!C26</f>
        <v>FP review meetings (As per Hon'ble SC judgement)</v>
      </c>
      <c r="D458" s="2737" t="str">
        <f>'16-A. PM sub Annex'!D26</f>
        <v>RCH</v>
      </c>
      <c r="E458" s="2737" t="str">
        <f>'16-A. PM sub Annex'!E26</f>
        <v>HRH&amp;HPIP/FP</v>
      </c>
      <c r="F458" s="2737">
        <f>'16-A. PM sub Annex'!F26</f>
        <v>2</v>
      </c>
      <c r="G458" s="2737">
        <f>'16-A. PM sub Annex'!G26</f>
        <v>0</v>
      </c>
      <c r="H458" s="2737">
        <f>'16-A. PM sub Annex'!H26</f>
        <v>0</v>
      </c>
      <c r="I458" s="2737">
        <f>'16-A. PM sub Annex'!I26</f>
        <v>0</v>
      </c>
      <c r="J458" s="2737">
        <f>'16-A. PM sub Annex'!J26</f>
        <v>0</v>
      </c>
      <c r="K458" s="2737">
        <f>'16-A. PM sub Annex'!K26</f>
        <v>1</v>
      </c>
      <c r="L458" s="162">
        <f>'16-A. PM sub Annex'!L26</f>
        <v>10000</v>
      </c>
      <c r="M458" s="162">
        <f>'16-A. PM sub Annex'!M26</f>
        <v>0.1</v>
      </c>
      <c r="N458" s="2737">
        <f>'16-A. PM sub Annex'!N26</f>
        <v>2</v>
      </c>
      <c r="O458" s="162">
        <f>'16-A. PM sub Annex'!O26</f>
        <v>0.2</v>
      </c>
      <c r="P458" s="2738" t="str">
        <f>'16-A. PM sub Annex'!P26</f>
        <v xml:space="preserve">Funds proposed for FP review meeting  State level </v>
      </c>
      <c r="Q458" s="2018" t="s">
        <v>5662</v>
      </c>
      <c r="R458" s="2728">
        <f>10000*2/100000</f>
        <v>0.2</v>
      </c>
    </row>
    <row r="459" spans="1:18">
      <c r="A459" s="2738" t="str">
        <f>'16-A. PM sub Annex'!A27</f>
        <v>16.1.2.1.6</v>
      </c>
      <c r="B459" s="2738" t="e">
        <f>'16-A. PM sub Annex'!#REF!</f>
        <v>#REF!</v>
      </c>
      <c r="C459" s="894" t="str">
        <f>'16-A. PM sub Annex'!C27</f>
        <v xml:space="preserve">Review meetings/ workshops under RKSK </v>
      </c>
      <c r="D459" s="2737" t="str">
        <f>'16-A. PM sub Annex'!D27</f>
        <v>RCH</v>
      </c>
      <c r="E459" s="2737" t="str">
        <f>'16-A. PM sub Annex'!E27</f>
        <v>HRH&amp;HPIP/AH</v>
      </c>
      <c r="F459" s="2737">
        <f>'16-A. PM sub Annex'!F27</f>
        <v>1</v>
      </c>
      <c r="G459" s="2737">
        <f>'16-A. PM sub Annex'!G27</f>
        <v>0</v>
      </c>
      <c r="H459" s="2737">
        <f>'16-A. PM sub Annex'!H27</f>
        <v>2</v>
      </c>
      <c r="I459" s="2737">
        <f>'16-A. PM sub Annex'!I27</f>
        <v>0.03</v>
      </c>
      <c r="J459" s="2737">
        <f>'16-A. PM sub Annex'!J27</f>
        <v>1.97</v>
      </c>
      <c r="K459" s="2737">
        <f>'16-A. PM sub Annex'!K27</f>
        <v>0</v>
      </c>
      <c r="L459" s="162">
        <f>'16-A. PM sub Annex'!L27</f>
        <v>0</v>
      </c>
      <c r="M459" s="162">
        <f>'16-A. PM sub Annex'!M27</f>
        <v>0</v>
      </c>
      <c r="N459" s="2737">
        <f>'16-A. PM sub Annex'!N27</f>
        <v>0</v>
      </c>
      <c r="O459" s="162">
        <f>'16-A. PM sub Annex'!O27</f>
        <v>0</v>
      </c>
      <c r="P459" s="2738">
        <f>'16-A. PM sub Annex'!P27</f>
        <v>0</v>
      </c>
      <c r="Q459" s="2773" t="s">
        <v>5520</v>
      </c>
      <c r="R459" s="2729">
        <v>0</v>
      </c>
    </row>
    <row r="460" spans="1:18" ht="45">
      <c r="A460" s="2738" t="str">
        <f>'16-A. PM sub Annex'!A28</f>
        <v>16.1.2.1.7</v>
      </c>
      <c r="B460" s="2738" t="e">
        <f>'16-A. PM sub Annex'!#REF!</f>
        <v>#REF!</v>
      </c>
      <c r="C460" s="894" t="str">
        <f>'16-A. PM sub Annex'!C28</f>
        <v xml:space="preserve">RBSK Convergence/Monitoring meetings   </v>
      </c>
      <c r="D460" s="2737" t="str">
        <f>'16-A. PM sub Annex'!D28</f>
        <v>RCH</v>
      </c>
      <c r="E460" s="2737" t="str">
        <f>'16-A. PM sub Annex'!E28</f>
        <v>HRH&amp;HPIP/RBSK</v>
      </c>
      <c r="F460" s="2737">
        <f>'16-A. PM sub Annex'!F28</f>
        <v>200</v>
      </c>
      <c r="G460" s="2737">
        <f>'16-A. PM sub Annex'!G28</f>
        <v>0</v>
      </c>
      <c r="H460" s="2737">
        <f>'16-A. PM sub Annex'!H28</f>
        <v>0</v>
      </c>
      <c r="I460" s="2737">
        <f>'16-A. PM sub Annex'!I28</f>
        <v>0</v>
      </c>
      <c r="J460" s="2737">
        <f>'16-A. PM sub Annex'!J28</f>
        <v>0</v>
      </c>
      <c r="K460" s="2737">
        <f>'16-A. PM sub Annex'!K28</f>
        <v>0</v>
      </c>
      <c r="L460" s="162">
        <f>'16-A. PM sub Annex'!L28</f>
        <v>0</v>
      </c>
      <c r="M460" s="162">
        <f>'16-A. PM sub Annex'!M28</f>
        <v>0</v>
      </c>
      <c r="N460" s="2737">
        <f>'16-A. PM sub Annex'!N28</f>
        <v>0</v>
      </c>
      <c r="O460" s="162">
        <f>'16-A. PM sub Annex'!O28</f>
        <v>0</v>
      </c>
      <c r="P460" s="2738">
        <f>'16-A. PM sub Annex'!P28</f>
        <v>0</v>
      </c>
      <c r="Q460" s="2018" t="s">
        <v>5663</v>
      </c>
      <c r="R460" s="2734">
        <v>0</v>
      </c>
    </row>
    <row r="461" spans="1:18">
      <c r="A461" s="2738" t="str">
        <f>'16-A. PM sub Annex'!A34</f>
        <v>16.1.2.1.13</v>
      </c>
      <c r="B461" s="2738" t="e">
        <f>'16-A. PM sub Annex'!#REF!</f>
        <v>#REF!</v>
      </c>
      <c r="C461" s="894" t="str">
        <f>'16-A. PM sub Annex'!C34</f>
        <v>Support for Quarterly State level review meetings of district officer</v>
      </c>
      <c r="D461" s="2737" t="str">
        <f>'16-A. PM sub Annex'!D34</f>
        <v>RCH</v>
      </c>
      <c r="E461" s="2737" t="str">
        <f>'16-A. PM sub Annex'!E34</f>
        <v>HRH&amp;HPIP/RI</v>
      </c>
      <c r="F461" s="2737">
        <f>'16-A. PM sub Annex'!F34</f>
        <v>144</v>
      </c>
      <c r="G461" s="2737">
        <f>'16-A. PM sub Annex'!G34</f>
        <v>0</v>
      </c>
      <c r="H461" s="2737">
        <f>'16-A. PM sub Annex'!H34</f>
        <v>0</v>
      </c>
      <c r="I461" s="2737">
        <f>'16-A. PM sub Annex'!I34</f>
        <v>0</v>
      </c>
      <c r="J461" s="2737">
        <f>'16-A. PM sub Annex'!J34</f>
        <v>0</v>
      </c>
      <c r="K461" s="2737">
        <f>'16-A. PM sub Annex'!K34</f>
        <v>1</v>
      </c>
      <c r="L461" s="162">
        <f>'16-A. PM sub Annex'!L34</f>
        <v>0</v>
      </c>
      <c r="M461" s="162">
        <f>'16-A. PM sub Annex'!M34</f>
        <v>0</v>
      </c>
      <c r="N461" s="2737">
        <f>'16-A. PM sub Annex'!N34</f>
        <v>0</v>
      </c>
      <c r="O461" s="162">
        <f>'16-A. PM sub Annex'!O34</f>
        <v>0</v>
      </c>
      <c r="P461" s="2738">
        <f>'16-A. PM sub Annex'!P34</f>
        <v>0</v>
      </c>
      <c r="Q461" s="2773" t="s">
        <v>5520</v>
      </c>
      <c r="R461" s="2729">
        <v>0</v>
      </c>
    </row>
    <row r="462" spans="1:18" ht="30">
      <c r="A462" s="2738" t="str">
        <f>'16-A. PM sub Annex'!A35</f>
        <v>16.1.2.1.14</v>
      </c>
      <c r="B462" s="2738" t="e">
        <f>'16-A. PM sub Annex'!#REF!</f>
        <v>#REF!</v>
      </c>
      <c r="C462" s="894" t="str">
        <f>'16-A. PM sub Annex'!C35</f>
        <v>Quarterly review meetings exclusive for RI at district level with Block MOs, CDPO, and other stake holders</v>
      </c>
      <c r="D462" s="2737" t="str">
        <f>'16-A. PM sub Annex'!D35</f>
        <v>RCH</v>
      </c>
      <c r="E462" s="2737" t="str">
        <f>'16-A. PM sub Annex'!E35</f>
        <v>HRH&amp;HPIP/RI</v>
      </c>
      <c r="F462" s="2737">
        <f>'16-A. PM sub Annex'!F35</f>
        <v>240</v>
      </c>
      <c r="G462" s="2737">
        <f>'16-A. PM sub Annex'!G35</f>
        <v>0</v>
      </c>
      <c r="H462" s="2737">
        <f>'16-A. PM sub Annex'!H35</f>
        <v>0.36</v>
      </c>
      <c r="I462" s="2737">
        <f>'16-A. PM sub Annex'!I35</f>
        <v>0.34</v>
      </c>
      <c r="J462" s="2737">
        <f>'16-A. PM sub Annex'!J35</f>
        <v>1.9999999999999962E-2</v>
      </c>
      <c r="K462" s="2737">
        <f>'16-A. PM sub Annex'!K35</f>
        <v>1</v>
      </c>
      <c r="L462" s="162">
        <f>'16-A. PM sub Annex'!L35</f>
        <v>0</v>
      </c>
      <c r="M462" s="162">
        <f>'16-A. PM sub Annex'!M35</f>
        <v>0</v>
      </c>
      <c r="N462" s="2737">
        <f>'16-A. PM sub Annex'!N35</f>
        <v>0</v>
      </c>
      <c r="O462" s="162">
        <f>'16-A. PM sub Annex'!O35</f>
        <v>0</v>
      </c>
      <c r="P462" s="2738">
        <f>'16-A. PM sub Annex'!P35</f>
        <v>0</v>
      </c>
      <c r="Q462" s="2773" t="s">
        <v>5520</v>
      </c>
      <c r="R462" s="2729">
        <v>0</v>
      </c>
    </row>
    <row r="463" spans="1:18" ht="30">
      <c r="A463" s="2738" t="str">
        <f>'16-A. PM sub Annex'!A36</f>
        <v>16.1.2.1.15</v>
      </c>
      <c r="B463" s="2738" t="e">
        <f>'16-A. PM sub Annex'!#REF!</f>
        <v>#REF!</v>
      </c>
      <c r="C463" s="894" t="str">
        <f>'16-A. PM sub Annex'!C36</f>
        <v>Quarterly review meetings exclusive for RI at block level</v>
      </c>
      <c r="D463" s="2737" t="str">
        <f>'16-A. PM sub Annex'!D36</f>
        <v>RCH</v>
      </c>
      <c r="E463" s="2737" t="str">
        <f>'16-A. PM sub Annex'!E36</f>
        <v>HRH&amp;HPIP/RI</v>
      </c>
      <c r="F463" s="2737">
        <f>'16-A. PM sub Annex'!F36</f>
        <v>288</v>
      </c>
      <c r="G463" s="2737">
        <f>'16-A. PM sub Annex'!G36</f>
        <v>0</v>
      </c>
      <c r="H463" s="2737">
        <f>'16-A. PM sub Annex'!H36</f>
        <v>0</v>
      </c>
      <c r="I463" s="2737">
        <f>'16-A. PM sub Annex'!I36</f>
        <v>0</v>
      </c>
      <c r="J463" s="2737">
        <f>'16-A. PM sub Annex'!J36</f>
        <v>0</v>
      </c>
      <c r="K463" s="2737">
        <f>'16-A. PM sub Annex'!K36</f>
        <v>1</v>
      </c>
      <c r="L463" s="162">
        <f>'16-A. PM sub Annex'!L36</f>
        <v>75</v>
      </c>
      <c r="M463" s="162">
        <f>'16-A. PM sub Annex'!M36</f>
        <v>7.5000000000000002E-4</v>
      </c>
      <c r="N463" s="2737">
        <f>'16-A. PM sub Annex'!N36</f>
        <v>288</v>
      </c>
      <c r="O463" s="162">
        <f>'16-A. PM sub Annex'!O36</f>
        <v>0.216</v>
      </c>
      <c r="P463" s="2738" t="str">
        <f>'16-A. PM sub Annex'!P36</f>
        <v xml:space="preserve">For quaterly review meeting at block level </v>
      </c>
      <c r="Q463" s="2764" t="s">
        <v>5664</v>
      </c>
      <c r="R463" s="2721">
        <v>0.22</v>
      </c>
    </row>
    <row r="464" spans="1:18">
      <c r="A464" s="2738" t="str">
        <f>'16-A. PM sub Annex'!A51</f>
        <v>16.1.2.2.1</v>
      </c>
      <c r="B464" s="2738" t="e">
        <f>'16-A. PM sub Annex'!#REF!</f>
        <v>#REF!</v>
      </c>
      <c r="C464" s="894" t="str">
        <f>'16-A. PM sub Annex'!C51</f>
        <v>Monitoring and Award/ Recognition  for MAA programme</v>
      </c>
      <c r="D464" s="2737" t="str">
        <f>'16-A. PM sub Annex'!D51</f>
        <v>RCH</v>
      </c>
      <c r="E464" s="2737" t="str">
        <f>'16-A. PM sub Annex'!E51</f>
        <v>HRH&amp;HPIP/CH</v>
      </c>
      <c r="F464" s="2737">
        <f>'16-A. PM sub Annex'!F51</f>
        <v>0</v>
      </c>
      <c r="G464" s="2737">
        <f>'16-A. PM sub Annex'!G51</f>
        <v>0</v>
      </c>
      <c r="H464" s="2737">
        <f>'16-A. PM sub Annex'!H51</f>
        <v>0</v>
      </c>
      <c r="I464" s="2737">
        <f>'16-A. PM sub Annex'!I51</f>
        <v>0</v>
      </c>
      <c r="J464" s="2737">
        <f>'16-A. PM sub Annex'!J51</f>
        <v>0</v>
      </c>
      <c r="K464" s="2737">
        <f>'16-A. PM sub Annex'!K51</f>
        <v>0</v>
      </c>
      <c r="L464" s="162">
        <f>'16-A. PM sub Annex'!L51</f>
        <v>0</v>
      </c>
      <c r="M464" s="162">
        <f>'16-A. PM sub Annex'!M51</f>
        <v>0</v>
      </c>
      <c r="N464" s="2737">
        <f>'16-A. PM sub Annex'!N51</f>
        <v>0</v>
      </c>
      <c r="O464" s="162">
        <f>'16-A. PM sub Annex'!O51</f>
        <v>0</v>
      </c>
      <c r="P464" s="2738">
        <f>'16-A. PM sub Annex'!P51</f>
        <v>0</v>
      </c>
      <c r="Q464" s="2773" t="s">
        <v>5520</v>
      </c>
      <c r="R464" s="2729">
        <v>0</v>
      </c>
    </row>
    <row r="465" spans="1:18" ht="30">
      <c r="A465" s="2738" t="str">
        <f>'16-A. PM sub Annex'!A71</f>
        <v>16.1.3.1.2</v>
      </c>
      <c r="B465" s="2738" t="e">
        <f>'16-A. PM sub Annex'!#REF!</f>
        <v>#REF!</v>
      </c>
      <c r="C465" s="894" t="str">
        <f>'16-A. PM sub Annex'!C71</f>
        <v>Mobility and communication support for RKSK district coordinator/ consultant</v>
      </c>
      <c r="D465" s="2737" t="str">
        <f>'16-A. PM sub Annex'!D71</f>
        <v>RCH</v>
      </c>
      <c r="E465" s="2737" t="str">
        <f>'16-A. PM sub Annex'!E71</f>
        <v>HRH&amp;HPIP/AH</v>
      </c>
      <c r="F465" s="2737">
        <f>'16-A. PM sub Annex'!F71</f>
        <v>0</v>
      </c>
      <c r="G465" s="2737">
        <f>'16-A. PM sub Annex'!G71</f>
        <v>0</v>
      </c>
      <c r="H465" s="2737">
        <f>'16-A. PM sub Annex'!H71</f>
        <v>0</v>
      </c>
      <c r="I465" s="2737">
        <f>'16-A. PM sub Annex'!I71</f>
        <v>0</v>
      </c>
      <c r="J465" s="2737">
        <f>'16-A. PM sub Annex'!J71</f>
        <v>0</v>
      </c>
      <c r="K465" s="2737">
        <f>'16-A. PM sub Annex'!K71</f>
        <v>0</v>
      </c>
      <c r="L465" s="162">
        <f>'16-A. PM sub Annex'!L71</f>
        <v>0</v>
      </c>
      <c r="M465" s="162">
        <f>'16-A. PM sub Annex'!M71</f>
        <v>0</v>
      </c>
      <c r="N465" s="2737">
        <f>'16-A. PM sub Annex'!N71</f>
        <v>0</v>
      </c>
      <c r="O465" s="162">
        <f>'16-A. PM sub Annex'!O71</f>
        <v>0</v>
      </c>
      <c r="P465" s="2738">
        <f>'16-A. PM sub Annex'!P71</f>
        <v>0</v>
      </c>
      <c r="Q465" s="2773" t="s">
        <v>5520</v>
      </c>
      <c r="R465" s="2729">
        <v>0</v>
      </c>
    </row>
    <row r="466" spans="1:18" ht="45">
      <c r="A466" s="2738" t="str">
        <f>'16-A. PM sub Annex'!A74</f>
        <v>16.1.3.1.5</v>
      </c>
      <c r="B466" s="2738" t="e">
        <f>'16-A. PM sub Annex'!#REF!</f>
        <v>#REF!</v>
      </c>
      <c r="C466" s="894" t="str">
        <f>'16-A. PM sub Annex'!C74</f>
        <v>Mobility support for supervision at State level (including SAANS supportive supervision)</v>
      </c>
      <c r="D466" s="2737" t="str">
        <f>'16-A. PM sub Annex'!D74</f>
        <v>RCH</v>
      </c>
      <c r="E466" s="2737" t="str">
        <f>'16-A. PM sub Annex'!E74</f>
        <v>HRH&amp;HPIP/RI/CH</v>
      </c>
      <c r="F466" s="2737">
        <f>'16-A. PM sub Annex'!F74</f>
        <v>1</v>
      </c>
      <c r="G466" s="2737">
        <f>'16-A. PM sub Annex'!G74</f>
        <v>0</v>
      </c>
      <c r="H466" s="2737">
        <f>'16-A. PM sub Annex'!H74</f>
        <v>3.6</v>
      </c>
      <c r="I466" s="2737">
        <f>'16-A. PM sub Annex'!I74</f>
        <v>0.84</v>
      </c>
      <c r="J466" s="2737">
        <f>'16-A. PM sub Annex'!J74</f>
        <v>2.76</v>
      </c>
      <c r="K466" s="2737">
        <f>'16-A. PM sub Annex'!K74</f>
        <v>1</v>
      </c>
      <c r="L466" s="162">
        <f>'16-A. PM sub Annex'!L74</f>
        <v>360000</v>
      </c>
      <c r="M466" s="162">
        <f>'16-A. PM sub Annex'!M74</f>
        <v>3.6</v>
      </c>
      <c r="N466" s="2737">
        <f>'16-A. PM sub Annex'!N74</f>
        <v>1</v>
      </c>
      <c r="O466" s="162">
        <f>'16-A. PM sub Annex'!O74</f>
        <v>3.6</v>
      </c>
      <c r="P466" s="2738" t="str">
        <f>'16-A. PM sub Annex'!P74</f>
        <v>Fund proposed for mobility support</v>
      </c>
      <c r="Q466" s="2764" t="s">
        <v>5665</v>
      </c>
      <c r="R466" s="2711">
        <v>3.6</v>
      </c>
    </row>
    <row r="467" spans="1:18">
      <c r="A467" s="2738" t="str">
        <f>'16-A. PM sub Annex'!A75</f>
        <v>16.1.3.1.6</v>
      </c>
      <c r="B467" s="2738" t="e">
        <f>'16-A. PM sub Annex'!#REF!</f>
        <v>#REF!</v>
      </c>
      <c r="C467" s="894" t="str">
        <f>'16-A. PM sub Annex'!C75</f>
        <v>Mobility support for staff for E-Vin (VCCM)</v>
      </c>
      <c r="D467" s="2737" t="str">
        <f>'16-A. PM sub Annex'!D75</f>
        <v>RCH</v>
      </c>
      <c r="E467" s="2737" t="str">
        <f>'16-A. PM sub Annex'!E75</f>
        <v>HRH&amp;HPIP/RI</v>
      </c>
      <c r="F467" s="2737">
        <f>'16-A. PM sub Annex'!F75</f>
        <v>1</v>
      </c>
      <c r="G467" s="2737">
        <f>'16-A. PM sub Annex'!G75</f>
        <v>0</v>
      </c>
      <c r="H467" s="2737">
        <f>'16-A. PM sub Annex'!H75</f>
        <v>0</v>
      </c>
      <c r="I467" s="2737">
        <f>'16-A. PM sub Annex'!I75</f>
        <v>0</v>
      </c>
      <c r="J467" s="2737">
        <f>'16-A. PM sub Annex'!J75</f>
        <v>0</v>
      </c>
      <c r="K467" s="2737">
        <f>'16-A. PM sub Annex'!K75</f>
        <v>0</v>
      </c>
      <c r="L467" s="162">
        <f>'16-A. PM sub Annex'!L75</f>
        <v>0</v>
      </c>
      <c r="M467" s="162">
        <f>'16-A. PM sub Annex'!M75</f>
        <v>0</v>
      </c>
      <c r="N467" s="2737">
        <f>'16-A. PM sub Annex'!N75</f>
        <v>0</v>
      </c>
      <c r="O467" s="162">
        <f>'16-A. PM sub Annex'!O75</f>
        <v>0</v>
      </c>
      <c r="P467" s="2738">
        <f>'16-A. PM sub Annex'!P75</f>
        <v>0</v>
      </c>
      <c r="Q467" s="2773" t="s">
        <v>5520</v>
      </c>
      <c r="R467" s="2729">
        <v>0</v>
      </c>
    </row>
    <row r="468" spans="1:18" ht="45">
      <c r="A468" s="2738" t="str">
        <f>'16-A. PM sub Annex'!A95</f>
        <v>16.1.3.3.1</v>
      </c>
      <c r="B468" s="2738" t="e">
        <f>'16-A. PM sub Annex'!#REF!</f>
        <v>#REF!</v>
      </c>
      <c r="C468" s="894" t="str">
        <f>'16-A. PM sub Annex'!C95</f>
        <v>PM activities for World Population Day’ celebration (Only mobility cost): funds earmarked for district level activities</v>
      </c>
      <c r="D468" s="2737" t="str">
        <f>'16-A. PM sub Annex'!D95</f>
        <v>RCH</v>
      </c>
      <c r="E468" s="2737" t="str">
        <f>'16-A. PM sub Annex'!E95</f>
        <v>HRH&amp;HPIP/FP</v>
      </c>
      <c r="F468" s="2737">
        <f>'16-A. PM sub Annex'!F95</f>
        <v>1</v>
      </c>
      <c r="G468" s="2737">
        <f>'16-A. PM sub Annex'!G95</f>
        <v>0</v>
      </c>
      <c r="H468" s="2737">
        <f>'16-A. PM sub Annex'!H95</f>
        <v>0.48</v>
      </c>
      <c r="I468" s="2737">
        <f>'16-A. PM sub Annex'!I95</f>
        <v>0.4</v>
      </c>
      <c r="J468" s="2737">
        <f>'16-A. PM sub Annex'!J95</f>
        <v>0.08</v>
      </c>
      <c r="K468" s="2737">
        <f>'16-A. PM sub Annex'!K95</f>
        <v>1</v>
      </c>
      <c r="L468" s="162">
        <f>'16-A. PM sub Annex'!L95</f>
        <v>48000</v>
      </c>
      <c r="M468" s="162">
        <f>'16-A. PM sub Annex'!M95</f>
        <v>0.48</v>
      </c>
      <c r="N468" s="2737">
        <f>'16-A. PM sub Annex'!N95</f>
        <v>1</v>
      </c>
      <c r="O468" s="162">
        <f>'16-A. PM sub Annex'!O95</f>
        <v>0.48</v>
      </c>
      <c r="P468" s="2738" t="str">
        <f>'16-A. PM sub Annex'!P95</f>
        <v xml:space="preserve">Funds under this head has been proposed for World Population Day celebration at district level. </v>
      </c>
      <c r="Q468" s="2018" t="s">
        <v>5666</v>
      </c>
      <c r="R468" s="2728">
        <f>12*4000/100000</f>
        <v>0.48</v>
      </c>
    </row>
    <row r="469" spans="1:18" ht="45">
      <c r="A469" s="2738" t="str">
        <f>'16-A. PM sub Annex'!A96</f>
        <v>16.1.3.3.2</v>
      </c>
      <c r="B469" s="2738" t="e">
        <f>'16-A. PM sub Annex'!#REF!</f>
        <v>#REF!</v>
      </c>
      <c r="C469" s="894" t="str">
        <f>'16-A. PM sub Annex'!C96</f>
        <v>PM activities for Vasectomy Fortnight celebration  (Only mobility cost): funds earmarked for district level activities</v>
      </c>
      <c r="D469" s="2737" t="str">
        <f>'16-A. PM sub Annex'!D96</f>
        <v>RCH</v>
      </c>
      <c r="E469" s="2737" t="str">
        <f>'16-A. PM sub Annex'!E96</f>
        <v>HRH&amp;HPIP/FP</v>
      </c>
      <c r="F469" s="2737">
        <f>'16-A. PM sub Annex'!F96</f>
        <v>1</v>
      </c>
      <c r="G469" s="2737">
        <f>'16-A. PM sub Annex'!G96</f>
        <v>0</v>
      </c>
      <c r="H469" s="2737">
        <f>'16-A. PM sub Annex'!H96</f>
        <v>0.24</v>
      </c>
      <c r="I469" s="2737">
        <f>'16-A. PM sub Annex'!I96</f>
        <v>0.03</v>
      </c>
      <c r="J469" s="2737">
        <f>'16-A. PM sub Annex'!J96</f>
        <v>0.21</v>
      </c>
      <c r="K469" s="2737">
        <f>'16-A. PM sub Annex'!K96</f>
        <v>1</v>
      </c>
      <c r="L469" s="162">
        <f>'16-A. PM sub Annex'!L96</f>
        <v>24000</v>
      </c>
      <c r="M469" s="162">
        <f>'16-A. PM sub Annex'!M96</f>
        <v>0.24</v>
      </c>
      <c r="N469" s="2737">
        <f>'16-A. PM sub Annex'!N96</f>
        <v>1</v>
      </c>
      <c r="O469" s="162">
        <f>'16-A. PM sub Annex'!O96</f>
        <v>0.24</v>
      </c>
      <c r="P469" s="2738" t="str">
        <f>'16-A. PM sub Annex'!P96</f>
        <v xml:space="preserve">Funds under this head has been proposed for vasectomy fortnight celebration at district level. </v>
      </c>
      <c r="Q469" s="2018" t="s">
        <v>5667</v>
      </c>
      <c r="R469" s="2728">
        <f>12*2000/100000</f>
        <v>0.24</v>
      </c>
    </row>
    <row r="470" spans="1:18">
      <c r="A470" s="2738" t="str">
        <f>'16-A. PM sub Annex'!A101</f>
        <v>16.1.3.3.7</v>
      </c>
      <c r="B470" s="2738" t="e">
        <f>'16-A. PM sub Annex'!#REF!</f>
        <v>#REF!</v>
      </c>
      <c r="C470" s="894" t="str">
        <f>'16-A. PM sub Annex'!C101</f>
        <v>Mobility Support for supervision for district level officers.</v>
      </c>
      <c r="D470" s="2737" t="str">
        <f>'16-A. PM sub Annex'!D101</f>
        <v>RCH</v>
      </c>
      <c r="E470" s="2737" t="str">
        <f>'16-A. PM sub Annex'!E101</f>
        <v>HRH&amp;HPIP/RI</v>
      </c>
      <c r="F470" s="2737">
        <f>'16-A. PM sub Annex'!F101</f>
        <v>12</v>
      </c>
      <c r="G470" s="2737">
        <f>'16-A. PM sub Annex'!G101</f>
        <v>0</v>
      </c>
      <c r="H470" s="2737">
        <f>'16-A. PM sub Annex'!H101</f>
        <v>36</v>
      </c>
      <c r="I470" s="2737">
        <f>'16-A. PM sub Annex'!I101</f>
        <v>1.76</v>
      </c>
      <c r="J470" s="2737">
        <f>'16-A. PM sub Annex'!J101</f>
        <v>34.24</v>
      </c>
      <c r="K470" s="2737">
        <f>'16-A. PM sub Annex'!K101</f>
        <v>1</v>
      </c>
      <c r="L470" s="162">
        <f>'16-A. PM sub Annex'!L101</f>
        <v>205000</v>
      </c>
      <c r="M470" s="162">
        <f>'16-A. PM sub Annex'!M101</f>
        <v>2.0499999999999998</v>
      </c>
      <c r="N470" s="2737">
        <f>'16-A. PM sub Annex'!N101</f>
        <v>12</v>
      </c>
      <c r="O470" s="162">
        <f>'16-A. PM sub Annex'!O101</f>
        <v>24.599999999999998</v>
      </c>
      <c r="P470" s="2738" t="str">
        <f>'16-A. PM sub Annex'!P101</f>
        <v>Mobility support to DPOs/SPO</v>
      </c>
      <c r="Q470" s="2772" t="s">
        <v>5943</v>
      </c>
      <c r="R470" s="2729">
        <v>24.599999999999998</v>
      </c>
    </row>
    <row r="471" spans="1:18" ht="27.6" customHeight="1">
      <c r="A471" s="2738" t="str">
        <f>'16-A. PM sub Annex'!A112</f>
        <v>16.1.3.4.1</v>
      </c>
      <c r="B471" s="2738" t="e">
        <f>'16-A. PM sub Annex'!#REF!</f>
        <v>#REF!</v>
      </c>
      <c r="C471" s="894" t="str">
        <f>'16-A. PM sub Annex'!C112</f>
        <v>PM activities for World Population Day’ celebration (Only mobility cost): funds earmarked for block level activities</v>
      </c>
      <c r="D471" s="2737" t="str">
        <f>'16-A. PM sub Annex'!D112</f>
        <v>RCH</v>
      </c>
      <c r="E471" s="2737" t="str">
        <f>'16-A. PM sub Annex'!E112</f>
        <v>HRH&amp;HPIP/FP</v>
      </c>
      <c r="F471" s="2737">
        <f>'16-A. PM sub Annex'!F112</f>
        <v>0</v>
      </c>
      <c r="G471" s="2737">
        <f>'16-A. PM sub Annex'!G112</f>
        <v>0</v>
      </c>
      <c r="H471" s="2737">
        <f>'16-A. PM sub Annex'!H112</f>
        <v>0</v>
      </c>
      <c r="I471" s="2737">
        <f>'16-A. PM sub Annex'!I112</f>
        <v>0</v>
      </c>
      <c r="J471" s="2737">
        <f>'16-A. PM sub Annex'!J112</f>
        <v>0</v>
      </c>
      <c r="K471" s="2737">
        <f>'16-A. PM sub Annex'!K112</f>
        <v>0</v>
      </c>
      <c r="L471" s="162">
        <f>'16-A. PM sub Annex'!L112</f>
        <v>0</v>
      </c>
      <c r="M471" s="162">
        <f>'16-A. PM sub Annex'!M112</f>
        <v>0</v>
      </c>
      <c r="N471" s="2737">
        <f>'16-A. PM sub Annex'!N112</f>
        <v>0</v>
      </c>
      <c r="O471" s="162">
        <f>'16-A. PM sub Annex'!O112</f>
        <v>0</v>
      </c>
      <c r="P471" s="2738">
        <f>'16-A. PM sub Annex'!P112</f>
        <v>0</v>
      </c>
      <c r="Q471" s="2773" t="s">
        <v>5520</v>
      </c>
      <c r="R471" s="2729">
        <v>0</v>
      </c>
    </row>
    <row r="472" spans="1:18" ht="30">
      <c r="A472" s="2738" t="str">
        <f>'16-A. PM sub Annex'!A113</f>
        <v>16.1.3.4.2</v>
      </c>
      <c r="B472" s="2738" t="e">
        <f>'16-A. PM sub Annex'!#REF!</f>
        <v>#REF!</v>
      </c>
      <c r="C472" s="894" t="str">
        <f>'16-A. PM sub Annex'!C113</f>
        <v>PM activities for Vasectomy Fortnight celebration  (Only mobility cost): funds earmarked for block level activities</v>
      </c>
      <c r="D472" s="2737" t="str">
        <f>'16-A. PM sub Annex'!D113</f>
        <v>RCH</v>
      </c>
      <c r="E472" s="2737" t="str">
        <f>'16-A. PM sub Annex'!E113</f>
        <v>HRH&amp;HPIP/FP</v>
      </c>
      <c r="F472" s="2737">
        <f>'16-A. PM sub Annex'!F113</f>
        <v>0</v>
      </c>
      <c r="G472" s="2737">
        <f>'16-A. PM sub Annex'!G113</f>
        <v>0</v>
      </c>
      <c r="H472" s="2737">
        <f>'16-A. PM sub Annex'!H113</f>
        <v>0</v>
      </c>
      <c r="I472" s="2737">
        <f>'16-A. PM sub Annex'!I113</f>
        <v>0</v>
      </c>
      <c r="J472" s="2737">
        <f>'16-A. PM sub Annex'!J113</f>
        <v>0</v>
      </c>
      <c r="K472" s="2737">
        <f>'16-A. PM sub Annex'!K113</f>
        <v>0</v>
      </c>
      <c r="L472" s="162">
        <f>'16-A. PM sub Annex'!L113</f>
        <v>0</v>
      </c>
      <c r="M472" s="162">
        <f>'16-A. PM sub Annex'!M113</f>
        <v>0</v>
      </c>
      <c r="N472" s="2737">
        <f>'16-A. PM sub Annex'!N113</f>
        <v>0</v>
      </c>
      <c r="O472" s="162">
        <f>'16-A. PM sub Annex'!O113</f>
        <v>0</v>
      </c>
      <c r="P472" s="2738">
        <f>'16-A. PM sub Annex'!P113</f>
        <v>0</v>
      </c>
      <c r="Q472" s="2773" t="s">
        <v>5520</v>
      </c>
      <c r="R472" s="2729">
        <v>0</v>
      </c>
    </row>
    <row r="473" spans="1:18">
      <c r="A473" s="2738" t="str">
        <f>'16-A. PM sub Annex'!A121</f>
        <v>16.1.4.1.1</v>
      </c>
      <c r="B473" s="2738" t="e">
        <f>'16-A. PM sub Annex'!#REF!</f>
        <v>#REF!</v>
      </c>
      <c r="C473" s="894" t="str">
        <f>'16-A. PM sub Annex'!C121</f>
        <v xml:space="preserve">JSY Administrative Expenses </v>
      </c>
      <c r="D473" s="2737" t="str">
        <f>'16-A. PM sub Annex'!D121</f>
        <v>RCH</v>
      </c>
      <c r="E473" s="2737" t="str">
        <f>'16-A. PM sub Annex'!E121</f>
        <v>HRH&amp;HPIP/MH</v>
      </c>
      <c r="F473" s="2737">
        <f>'16-A. PM sub Annex'!F121</f>
        <v>0</v>
      </c>
      <c r="G473" s="2737">
        <f>'16-A. PM sub Annex'!G121</f>
        <v>0</v>
      </c>
      <c r="H473" s="2737">
        <f>'16-A. PM sub Annex'!H121</f>
        <v>0</v>
      </c>
      <c r="I473" s="2737">
        <f>'16-A. PM sub Annex'!I121</f>
        <v>0</v>
      </c>
      <c r="J473" s="2737">
        <f>'16-A. PM sub Annex'!J121</f>
        <v>0</v>
      </c>
      <c r="K473" s="2737">
        <f>'16-A. PM sub Annex'!K121</f>
        <v>0</v>
      </c>
      <c r="L473" s="162">
        <f>'16-A. PM sub Annex'!L121</f>
        <v>0</v>
      </c>
      <c r="M473" s="2737">
        <f>'16-A. PM sub Annex'!M121</f>
        <v>0</v>
      </c>
      <c r="N473" s="2737">
        <f>'16-A. PM sub Annex'!N121</f>
        <v>0</v>
      </c>
      <c r="O473" s="162">
        <f>'16-A. PM sub Annex'!O121</f>
        <v>0</v>
      </c>
      <c r="P473" s="2738">
        <f>'16-A. PM sub Annex'!P121</f>
        <v>0</v>
      </c>
      <c r="Q473" s="2773" t="s">
        <v>5520</v>
      </c>
      <c r="R473" s="2729">
        <v>0</v>
      </c>
    </row>
    <row r="474" spans="1:18" ht="135">
      <c r="A474" s="2738" t="str">
        <f>'16-A. PM sub Annex'!A147</f>
        <v>16.1.4.3.1</v>
      </c>
      <c r="B474" s="2738" t="e">
        <f>'16-A. PM sub Annex'!#REF!</f>
        <v>#REF!</v>
      </c>
      <c r="C474" s="894" t="str">
        <f>'16-A. PM sub Annex'!C147</f>
        <v>SNCU Data management (excluding HR)</v>
      </c>
      <c r="D474" s="2737" t="str">
        <f>'16-A. PM sub Annex'!D147</f>
        <v>RCH</v>
      </c>
      <c r="E474" s="2737" t="str">
        <f>'16-A. PM sub Annex'!E147</f>
        <v>HRH&amp;HPIP/CH</v>
      </c>
      <c r="F474" s="2737">
        <f>'16-A. PM sub Annex'!F147</f>
        <v>15</v>
      </c>
      <c r="G474" s="2737">
        <f>'16-A. PM sub Annex'!G147</f>
        <v>0</v>
      </c>
      <c r="H474" s="2737">
        <f>'16-A. PM sub Annex'!H147</f>
        <v>4.5</v>
      </c>
      <c r="I474" s="2737">
        <f>'16-A. PM sub Annex'!I147</f>
        <v>1.1100000000000001</v>
      </c>
      <c r="J474" s="2737">
        <f>'16-A. PM sub Annex'!J147</f>
        <v>3.3899999999999997</v>
      </c>
      <c r="K474" s="2737">
        <f>'16-A. PM sub Annex'!K147</f>
        <v>1</v>
      </c>
      <c r="L474" s="162">
        <f>'16-A. PM sub Annex'!L147</f>
        <v>25538</v>
      </c>
      <c r="M474" s="2737">
        <f>'16-A. PM sub Annex'!M147</f>
        <v>0.25538</v>
      </c>
      <c r="N474" s="2737">
        <f>'16-A. PM sub Annex'!N147</f>
        <v>26</v>
      </c>
      <c r="O474" s="162">
        <f>'16-A. PM sub Annex'!O147</f>
        <v>6.6398799999999998</v>
      </c>
      <c r="P474" s="2738" t="str">
        <f>'16-A. PM sub Annex'!P147</f>
        <v>Fund proposed for SNCU data management for 20 SNCUs and rs. 2000 per month for 3 months for 8 NBSUs data management.</v>
      </c>
      <c r="Q474" s="2018" t="s">
        <v>5668</v>
      </c>
      <c r="R474" s="2728">
        <f>20*0.3</f>
        <v>6</v>
      </c>
    </row>
    <row r="475" spans="1:18">
      <c r="A475" s="2738" t="str">
        <f>'16-A. PM sub Annex'!A164</f>
        <v>16.1.5.3.1</v>
      </c>
      <c r="B475" s="2738" t="e">
        <f>'16-A. PM sub Annex'!#REF!</f>
        <v>#REF!</v>
      </c>
      <c r="C475" s="894" t="str">
        <f>'16-A. PM sub Annex'!C164</f>
        <v>PM activities under Micronutrient Supplementation Programme</v>
      </c>
      <c r="D475" s="2737" t="str">
        <f>'16-A. PM sub Annex'!D164</f>
        <v>RCH</v>
      </c>
      <c r="E475" s="2737" t="str">
        <f>'16-A. PM sub Annex'!E164</f>
        <v>HRH&amp;HPIP/CH</v>
      </c>
      <c r="F475" s="2737">
        <f>'16-A. PM sub Annex'!F164</f>
        <v>10</v>
      </c>
      <c r="G475" s="2737">
        <f>'16-A. PM sub Annex'!G164</f>
        <v>0</v>
      </c>
      <c r="H475" s="2737">
        <f>'16-A. PM sub Annex'!H164</f>
        <v>0.5</v>
      </c>
      <c r="I475" s="2737">
        <f>'16-A. PM sub Annex'!I164</f>
        <v>0</v>
      </c>
      <c r="J475" s="2737">
        <f>'16-A. PM sub Annex'!J164</f>
        <v>0.5</v>
      </c>
      <c r="K475" s="2737">
        <f>'16-A. PM sub Annex'!K164</f>
        <v>0</v>
      </c>
      <c r="L475" s="162">
        <f>'16-A. PM sub Annex'!L164</f>
        <v>0</v>
      </c>
      <c r="M475" s="2737">
        <f>'16-A. PM sub Annex'!M164</f>
        <v>0</v>
      </c>
      <c r="N475" s="2737">
        <f>'16-A. PM sub Annex'!N164</f>
        <v>0</v>
      </c>
      <c r="O475" s="162">
        <f>'16-A. PM sub Annex'!O164</f>
        <v>0</v>
      </c>
      <c r="P475" s="2738">
        <f>'16-A. PM sub Annex'!P164</f>
        <v>0</v>
      </c>
      <c r="Q475" s="2773" t="s">
        <v>5520</v>
      </c>
      <c r="R475" s="2729">
        <v>0</v>
      </c>
    </row>
    <row r="476" spans="1:18">
      <c r="A476" s="1883">
        <f>'18.Innovation'!A7</f>
        <v>18</v>
      </c>
      <c r="B476" s="1883"/>
      <c r="C476" s="1884" t="str">
        <f>'18.Innovation'!C7</f>
        <v>Innovations (if any)</v>
      </c>
      <c r="D476" s="1885"/>
      <c r="E476" s="1885"/>
      <c r="F476" s="1885"/>
      <c r="G476" s="1885"/>
      <c r="H476" s="1885"/>
      <c r="I476" s="1885"/>
      <c r="J476" s="1885"/>
      <c r="K476" s="1885"/>
      <c r="L476" s="1855"/>
      <c r="M476" s="1855"/>
      <c r="N476" s="1885"/>
      <c r="O476" s="1855">
        <f>SUM(O477:O481)</f>
        <v>0</v>
      </c>
      <c r="P476" s="1883"/>
      <c r="Q476" s="2751"/>
      <c r="R476" s="2777">
        <f>SUM(R477:R481)</f>
        <v>0</v>
      </c>
    </row>
    <row r="477" spans="1:18">
      <c r="A477" s="2738" t="str">
        <f>'18.Innovation'!A9</f>
        <v>18.1.1</v>
      </c>
      <c r="B477" s="2738">
        <f>'18.Innovation'!B9</f>
        <v>0</v>
      </c>
      <c r="C477" s="894">
        <f>'18.Innovation'!C9</f>
        <v>0</v>
      </c>
      <c r="D477" s="2737" t="str">
        <f>'18.Innovation'!D9</f>
        <v>RCH</v>
      </c>
      <c r="E477" s="2737">
        <f>'18.Innovation'!E9</f>
        <v>0</v>
      </c>
      <c r="F477" s="2737">
        <f>'18.Innovation'!F9</f>
        <v>0</v>
      </c>
      <c r="G477" s="2737">
        <f>'18.Innovation'!G9</f>
        <v>0</v>
      </c>
      <c r="H477" s="2737">
        <f>'18.Innovation'!H9</f>
        <v>0</v>
      </c>
      <c r="I477" s="2737">
        <f>'18.Innovation'!I9</f>
        <v>0</v>
      </c>
      <c r="J477" s="2737">
        <f>'18.Innovation'!J9</f>
        <v>0</v>
      </c>
      <c r="K477" s="2737">
        <f>'18.Innovation'!K9</f>
        <v>0</v>
      </c>
      <c r="L477" s="162">
        <f>'18.Innovation'!L9</f>
        <v>0</v>
      </c>
      <c r="M477" s="2737">
        <f>'18.Innovation'!M9</f>
        <v>0</v>
      </c>
      <c r="N477" s="2737">
        <f>'18.Innovation'!N9</f>
        <v>0</v>
      </c>
      <c r="O477" s="162">
        <f>'18.Innovation'!O9</f>
        <v>0</v>
      </c>
      <c r="P477" s="2738">
        <f>'18.Innovation'!P9</f>
        <v>0</v>
      </c>
      <c r="Q477" s="2773" t="s">
        <v>5520</v>
      </c>
      <c r="R477" s="2729">
        <v>0</v>
      </c>
    </row>
    <row r="478" spans="1:18">
      <c r="A478" s="2738" t="str">
        <f>'18.Innovation'!A10</f>
        <v>18.1.2</v>
      </c>
      <c r="B478" s="2738">
        <f>'18.Innovation'!B10</f>
        <v>0</v>
      </c>
      <c r="C478" s="894">
        <f>'18.Innovation'!C10</f>
        <v>0</v>
      </c>
      <c r="D478" s="2737" t="str">
        <f>'18.Innovation'!D10</f>
        <v>RCH</v>
      </c>
      <c r="E478" s="2737">
        <f>'18.Innovation'!E10</f>
        <v>0</v>
      </c>
      <c r="F478" s="2737">
        <f>'18.Innovation'!F10</f>
        <v>131.44</v>
      </c>
      <c r="G478" s="2737">
        <f>'18.Innovation'!G10</f>
        <v>0</v>
      </c>
      <c r="H478" s="2737">
        <f>'18.Innovation'!H10</f>
        <v>0</v>
      </c>
      <c r="I478" s="2737">
        <f>'18.Innovation'!I10</f>
        <v>0</v>
      </c>
      <c r="J478" s="2737">
        <f>'18.Innovation'!J10</f>
        <v>0</v>
      </c>
      <c r="K478" s="2737">
        <f>'18.Innovation'!K10</f>
        <v>0</v>
      </c>
      <c r="L478" s="162">
        <f>'18.Innovation'!L10</f>
        <v>0</v>
      </c>
      <c r="M478" s="2737">
        <f>'18.Innovation'!M10</f>
        <v>0</v>
      </c>
      <c r="N478" s="2737">
        <f>'18.Innovation'!N10</f>
        <v>0</v>
      </c>
      <c r="O478" s="162">
        <f>'18.Innovation'!O10</f>
        <v>0</v>
      </c>
      <c r="P478" s="2738">
        <f>'18.Innovation'!P10</f>
        <v>0</v>
      </c>
      <c r="Q478" s="2773" t="s">
        <v>5520</v>
      </c>
      <c r="R478" s="2729">
        <v>0</v>
      </c>
    </row>
    <row r="479" spans="1:18">
      <c r="A479" s="2738" t="str">
        <f>'18.Innovation'!A11</f>
        <v>18.1.3</v>
      </c>
      <c r="B479" s="2738">
        <f>'18.Innovation'!B11</f>
        <v>0</v>
      </c>
      <c r="C479" s="894">
        <f>'18.Innovation'!C11</f>
        <v>0</v>
      </c>
      <c r="D479" s="2737" t="str">
        <f>'18.Innovation'!D11</f>
        <v>RCH</v>
      </c>
      <c r="E479" s="2737">
        <f>'18.Innovation'!E11</f>
        <v>0</v>
      </c>
      <c r="F479" s="2737">
        <f>'18.Innovation'!F11</f>
        <v>0</v>
      </c>
      <c r="G479" s="2737">
        <f>'18.Innovation'!G11</f>
        <v>0</v>
      </c>
      <c r="H479" s="2737">
        <f>'18.Innovation'!H11</f>
        <v>0</v>
      </c>
      <c r="I479" s="2737">
        <f>'18.Innovation'!I11</f>
        <v>0</v>
      </c>
      <c r="J479" s="2737">
        <f>'18.Innovation'!J11</f>
        <v>0</v>
      </c>
      <c r="K479" s="2737">
        <f>'18.Innovation'!K11</f>
        <v>0</v>
      </c>
      <c r="L479" s="162">
        <f>'18.Innovation'!L11</f>
        <v>0</v>
      </c>
      <c r="M479" s="2737">
        <f>'18.Innovation'!M11</f>
        <v>0</v>
      </c>
      <c r="N479" s="2737">
        <f>'18.Innovation'!N11</f>
        <v>0</v>
      </c>
      <c r="O479" s="162">
        <f>'18.Innovation'!O11</f>
        <v>0</v>
      </c>
      <c r="P479" s="2738">
        <f>'18.Innovation'!P11</f>
        <v>0</v>
      </c>
      <c r="Q479" s="2773" t="s">
        <v>5520</v>
      </c>
      <c r="R479" s="2729">
        <v>0</v>
      </c>
    </row>
    <row r="480" spans="1:18">
      <c r="A480" s="2738" t="str">
        <f>'18.Innovation'!A12</f>
        <v>18.1.4</v>
      </c>
      <c r="B480" s="2738">
        <f>'18.Innovation'!B12</f>
        <v>0</v>
      </c>
      <c r="C480" s="894">
        <f>'18.Innovation'!C12</f>
        <v>0</v>
      </c>
      <c r="D480" s="2737" t="str">
        <f>'18.Innovation'!D12</f>
        <v>RCH</v>
      </c>
      <c r="E480" s="2737">
        <f>'18.Innovation'!E12</f>
        <v>0</v>
      </c>
      <c r="F480" s="2737">
        <f>'18.Innovation'!F12</f>
        <v>0</v>
      </c>
      <c r="G480" s="2737">
        <f>'18.Innovation'!G12</f>
        <v>0</v>
      </c>
      <c r="H480" s="2737">
        <f>'18.Innovation'!H12</f>
        <v>0</v>
      </c>
      <c r="I480" s="2737">
        <f>'18.Innovation'!I12</f>
        <v>0</v>
      </c>
      <c r="J480" s="2737">
        <f>'18.Innovation'!J12</f>
        <v>0</v>
      </c>
      <c r="K480" s="2737">
        <f>'18.Innovation'!K12</f>
        <v>0</v>
      </c>
      <c r="L480" s="162">
        <f>'18.Innovation'!L12</f>
        <v>0</v>
      </c>
      <c r="M480" s="2737">
        <f>'18.Innovation'!M12</f>
        <v>0</v>
      </c>
      <c r="N480" s="2737">
        <f>'18.Innovation'!N12</f>
        <v>0</v>
      </c>
      <c r="O480" s="162">
        <f>'18.Innovation'!O12</f>
        <v>0</v>
      </c>
      <c r="P480" s="2738">
        <f>'18.Innovation'!P12</f>
        <v>0</v>
      </c>
      <c r="Q480" s="2773" t="s">
        <v>5520</v>
      </c>
      <c r="R480" s="2729">
        <v>0</v>
      </c>
    </row>
    <row r="481" spans="1:18">
      <c r="A481" s="2738" t="str">
        <f>'18.Innovation'!A13</f>
        <v>18.1.5</v>
      </c>
      <c r="B481" s="2738">
        <f>'18.Innovation'!B13</f>
        <v>0</v>
      </c>
      <c r="C481" s="894">
        <f>'18.Innovation'!C13</f>
        <v>0</v>
      </c>
      <c r="D481" s="2737" t="str">
        <f>'18.Innovation'!D13</f>
        <v>RCH</v>
      </c>
      <c r="E481" s="2737">
        <f>'18.Innovation'!E13</f>
        <v>0</v>
      </c>
      <c r="F481" s="2737">
        <f>'18.Innovation'!F13</f>
        <v>0</v>
      </c>
      <c r="G481" s="2737">
        <f>'18.Innovation'!G13</f>
        <v>0</v>
      </c>
      <c r="H481" s="2737">
        <f>'18.Innovation'!H13</f>
        <v>0</v>
      </c>
      <c r="I481" s="2737">
        <f>'18.Innovation'!I13</f>
        <v>0</v>
      </c>
      <c r="J481" s="2737">
        <f>'18.Innovation'!J13</f>
        <v>0</v>
      </c>
      <c r="K481" s="2737">
        <f>'18.Innovation'!K13</f>
        <v>0</v>
      </c>
      <c r="L481" s="162">
        <f>'18.Innovation'!L13</f>
        <v>0</v>
      </c>
      <c r="M481" s="2737">
        <f>'18.Innovation'!M13</f>
        <v>0</v>
      </c>
      <c r="N481" s="2737">
        <f>'18.Innovation'!N13</f>
        <v>0</v>
      </c>
      <c r="O481" s="162">
        <f>'18.Innovation'!O13</f>
        <v>0</v>
      </c>
      <c r="P481" s="2738">
        <f>'18.Innovation'!P13</f>
        <v>0</v>
      </c>
      <c r="Q481" s="2773" t="s">
        <v>5520</v>
      </c>
      <c r="R481" s="2729">
        <v>0</v>
      </c>
    </row>
  </sheetData>
  <sheetProtection sheet="1" formatCells="0" formatColumns="0" formatRows="0" autoFilter="0"/>
  <autoFilter ref="A5:M481"/>
  <mergeCells count="42">
    <mergeCell ref="A97:A100"/>
    <mergeCell ref="A1:C1"/>
    <mergeCell ref="D4:D5"/>
    <mergeCell ref="A4:A5"/>
    <mergeCell ref="B4:B5"/>
    <mergeCell ref="C4:C5"/>
    <mergeCell ref="Q4:R4"/>
    <mergeCell ref="A27:A30"/>
    <mergeCell ref="A114:A120"/>
    <mergeCell ref="A214:A222"/>
    <mergeCell ref="A299:A300"/>
    <mergeCell ref="A42:A53"/>
    <mergeCell ref="A36:A40"/>
    <mergeCell ref="A57:A60"/>
    <mergeCell ref="A63:A89"/>
    <mergeCell ref="E4:E5"/>
    <mergeCell ref="F4:J4"/>
    <mergeCell ref="K4:P4"/>
    <mergeCell ref="A271:A276"/>
    <mergeCell ref="A176:A179"/>
    <mergeCell ref="A93:A95"/>
    <mergeCell ref="A278:A282"/>
    <mergeCell ref="A127:A131"/>
    <mergeCell ref="A133:A143"/>
    <mergeCell ref="A225:A230"/>
    <mergeCell ref="A232:A233"/>
    <mergeCell ref="A147:A172"/>
    <mergeCell ref="A314:A329"/>
    <mergeCell ref="A379:A382"/>
    <mergeCell ref="A365:A369"/>
    <mergeCell ref="A305:A306"/>
    <mergeCell ref="A307:A310"/>
    <mergeCell ref="A331:A333"/>
    <mergeCell ref="A335:A340"/>
    <mergeCell ref="A415:A416"/>
    <mergeCell ref="A441:A442"/>
    <mergeCell ref="A360:A361"/>
    <mergeCell ref="A355:A359"/>
    <mergeCell ref="A410:A411"/>
    <mergeCell ref="A412:A413"/>
    <mergeCell ref="A418:A419"/>
    <mergeCell ref="A421:A422"/>
  </mergeCells>
  <phoneticPr fontId="68" type="noConversion"/>
  <pageMargins left="0.7" right="0.7" top="0.75" bottom="0.75" header="0.3" footer="0.3"/>
  <pageSetup orientation="portrait" horizontalDpi="4294967295" verticalDpi="4294967295" r:id="rId1"/>
</worksheet>
</file>

<file path=xl/worksheets/sheet29.xml><?xml version="1.0" encoding="utf-8"?>
<worksheet xmlns="http://schemas.openxmlformats.org/spreadsheetml/2006/main" xmlns:r="http://schemas.openxmlformats.org/officeDocument/2006/relationships">
  <sheetPr codeName="Sheet23">
    <tabColor rgb="FF92D050"/>
  </sheetPr>
  <dimension ref="A1:V24"/>
  <sheetViews>
    <sheetView zoomScale="70" zoomScaleNormal="70" workbookViewId="0">
      <pane xSplit="3" ySplit="5" topLeftCell="H6" activePane="bottomRight" state="frozen"/>
      <selection activeCell="A4" sqref="A4:R5"/>
      <selection pane="topRight" activeCell="A4" sqref="A4:R5"/>
      <selection pane="bottomLeft" activeCell="A4" sqref="A4:R5"/>
      <selection pane="bottomRight" activeCell="R6" sqref="R6"/>
    </sheetView>
  </sheetViews>
  <sheetFormatPr defaultColWidth="11.85546875" defaultRowHeight="15"/>
  <cols>
    <col min="1" max="1" width="11.85546875" style="128"/>
    <col min="2" max="2" width="16.28515625" style="128" customWidth="1"/>
    <col min="3" max="3" width="40.5703125" style="128" customWidth="1"/>
    <col min="4" max="4" width="5.5703125" style="130" bestFit="1" customWidth="1"/>
    <col min="5" max="5" width="17.5703125" style="130" customWidth="1"/>
    <col min="6" max="6" width="22.7109375" style="130" customWidth="1"/>
    <col min="7" max="7" width="16.85546875" style="130" bestFit="1" customWidth="1"/>
    <col min="8" max="8" width="18.28515625" style="135" customWidth="1"/>
    <col min="9" max="9" width="11.85546875" style="130"/>
    <col min="10" max="10" width="14.42578125" style="135" customWidth="1"/>
    <col min="11" max="11" width="16.5703125" style="110" customWidth="1"/>
    <col min="12" max="12" width="11.42578125" style="110" customWidth="1"/>
    <col min="13" max="13" width="14" style="138" customWidth="1"/>
    <col min="14" max="14" width="11.85546875" style="127"/>
    <col min="15" max="15" width="16" style="2845" customWidth="1"/>
    <col min="16" max="16" width="23.7109375" style="127" customWidth="1"/>
    <col min="17" max="17" width="26.140625" style="127" customWidth="1"/>
    <col min="18" max="18" width="11.85546875" style="2845"/>
    <col min="19" max="16384" width="11.85546875" style="127"/>
  </cols>
  <sheetData>
    <row r="1" spans="1:22" s="1901" customFormat="1">
      <c r="A1" s="4077" t="s">
        <v>2122</v>
      </c>
      <c r="B1" s="4078"/>
      <c r="C1" s="4079"/>
      <c r="D1" s="1893"/>
      <c r="E1" s="1894"/>
      <c r="F1" s="1895" t="s">
        <v>3787</v>
      </c>
      <c r="G1" s="1896"/>
      <c r="H1" s="1897"/>
      <c r="I1" s="1893"/>
      <c r="J1" s="1898"/>
      <c r="K1" s="1899"/>
      <c r="L1" s="1899"/>
      <c r="M1" s="1900"/>
      <c r="O1" s="2841"/>
      <c r="R1" s="2841"/>
    </row>
    <row r="2" spans="1:22" s="124" customFormat="1" ht="30">
      <c r="A2" s="111" t="str">
        <f>HYPERLINK("#Index!F3", "Index Pg")</f>
        <v>Index Pg</v>
      </c>
      <c r="B2" s="261" t="str">
        <f>HYPERLINK("#'Summary of Abstracts'!A2", "Summary of Abst.")</f>
        <v>Summary of Abst.</v>
      </c>
      <c r="C2" s="260" t="str">
        <f>HYPERLINK("#'Budget Summary I'!A1:AL1", "Budget Summary I")</f>
        <v>Budget Summary I</v>
      </c>
      <c r="D2" s="91"/>
      <c r="E2" s="123" t="s">
        <v>4460</v>
      </c>
      <c r="F2" s="140">
        <f>R6+R8+R10+R15+R18</f>
        <v>48.777000000000001</v>
      </c>
      <c r="G2" s="121"/>
      <c r="H2" s="120"/>
      <c r="I2" s="70"/>
      <c r="J2" s="133"/>
      <c r="K2" s="43"/>
      <c r="L2" s="43"/>
      <c r="M2" s="136"/>
      <c r="O2" s="2842"/>
      <c r="R2" s="2842"/>
    </row>
    <row r="3" spans="1:22" s="124" customFormat="1">
      <c r="A3" s="122"/>
      <c r="B3" s="119"/>
      <c r="C3" s="260" t="str">
        <f>HYPERLINK("#'Budget Summary II'!A3:B5", "Budget Summary II")</f>
        <v>Budget Summary II</v>
      </c>
      <c r="D3" s="129"/>
      <c r="E3" s="123" t="s">
        <v>4461</v>
      </c>
      <c r="F3" s="139">
        <f>O6+O8+O10+O15+O18</f>
        <v>50.077039999999997</v>
      </c>
      <c r="G3" s="121"/>
      <c r="H3" s="120"/>
      <c r="I3" s="132"/>
      <c r="J3" s="134"/>
      <c r="K3" s="125"/>
      <c r="L3" s="126"/>
      <c r="M3" s="137"/>
      <c r="O3" s="2842"/>
      <c r="R3" s="2842"/>
    </row>
    <row r="4" spans="1:22" s="130" customFormat="1" ht="12.75" customHeight="1">
      <c r="A4" s="4047" t="s">
        <v>48</v>
      </c>
      <c r="B4" s="4047" t="s">
        <v>49</v>
      </c>
      <c r="C4" s="4047" t="s">
        <v>50</v>
      </c>
      <c r="D4" s="4047" t="s">
        <v>51</v>
      </c>
      <c r="E4" s="4047" t="s">
        <v>52</v>
      </c>
      <c r="F4" s="4080" t="s">
        <v>4478</v>
      </c>
      <c r="G4" s="4080"/>
      <c r="H4" s="4080"/>
      <c r="I4" s="4080"/>
      <c r="J4" s="4080"/>
      <c r="K4" s="4080" t="s">
        <v>4484</v>
      </c>
      <c r="L4" s="4080"/>
      <c r="M4" s="4080"/>
      <c r="N4" s="4080"/>
      <c r="O4" s="4080"/>
      <c r="P4" s="4080"/>
      <c r="Q4" s="4076" t="s">
        <v>4514</v>
      </c>
      <c r="R4" s="4076"/>
    </row>
    <row r="5" spans="1:22" s="48" customFormat="1" ht="60">
      <c r="A5" s="4047"/>
      <c r="B5" s="4047"/>
      <c r="C5" s="4047"/>
      <c r="D5" s="4047"/>
      <c r="E5" s="4047"/>
      <c r="F5" s="44" t="s">
        <v>4479</v>
      </c>
      <c r="G5" s="44" t="s">
        <v>4482</v>
      </c>
      <c r="H5" s="44" t="s">
        <v>4480</v>
      </c>
      <c r="I5" s="44" t="s">
        <v>4483</v>
      </c>
      <c r="J5" s="45" t="s">
        <v>2448</v>
      </c>
      <c r="K5" s="46" t="s">
        <v>53</v>
      </c>
      <c r="L5" s="46" t="s">
        <v>54</v>
      </c>
      <c r="M5" s="113" t="s">
        <v>55</v>
      </c>
      <c r="N5" s="46" t="s">
        <v>56</v>
      </c>
      <c r="O5" s="2840" t="s">
        <v>57</v>
      </c>
      <c r="P5" s="46" t="s">
        <v>58</v>
      </c>
      <c r="Q5" s="47" t="s">
        <v>2450</v>
      </c>
      <c r="R5" s="2838" t="s">
        <v>4515</v>
      </c>
    </row>
    <row r="6" spans="1:22">
      <c r="A6" s="106">
        <f>'3.Community Intervention Annexn'!A7</f>
        <v>3</v>
      </c>
      <c r="B6" s="696"/>
      <c r="C6" s="106" t="str">
        <f>'3.Community Intervention Annexn'!C7</f>
        <v>Community Interventions</v>
      </c>
      <c r="D6" s="696"/>
      <c r="E6" s="696"/>
      <c r="F6" s="696"/>
      <c r="G6" s="696"/>
      <c r="H6" s="696"/>
      <c r="I6" s="696"/>
      <c r="J6" s="696"/>
      <c r="K6" s="697"/>
      <c r="L6" s="697"/>
      <c r="M6" s="114"/>
      <c r="N6" s="697"/>
      <c r="O6" s="2839">
        <f>O7</f>
        <v>23.427</v>
      </c>
      <c r="P6" s="697"/>
      <c r="Q6" s="697"/>
      <c r="R6" s="2839">
        <f>R7</f>
        <v>23.427</v>
      </c>
    </row>
    <row r="7" spans="1:22" ht="285">
      <c r="A7" s="695" t="str">
        <f>'3.Community Intervention Annexn'!A17</f>
        <v>3.1.1.2</v>
      </c>
      <c r="B7" s="695" t="str">
        <f>'3-A. CI Sub-Annex'!B37</f>
        <v>D.5</v>
      </c>
      <c r="C7" s="695" t="str">
        <f>'3-A. CI Sub-Annex'!C37</f>
        <v>ASHA Incentive under NIDDCP</v>
      </c>
      <c r="D7" s="695" t="str">
        <f>'3-A. CI Sub-Annex'!D37</f>
        <v>RCH</v>
      </c>
      <c r="E7" s="695" t="str">
        <f>'3-A. CI Sub-Annex'!E37</f>
        <v>NIDDCP/NHSRC-CP</v>
      </c>
      <c r="F7" s="695">
        <f>'3-A. CI Sub-Annex'!F37</f>
        <v>7809</v>
      </c>
      <c r="G7" s="695">
        <f>'3-A. CI Sub-Annex'!G37</f>
        <v>0</v>
      </c>
      <c r="H7" s="695">
        <f>'3-A. CI Sub-Annex'!H37</f>
        <v>23.43</v>
      </c>
      <c r="I7" s="695">
        <f>'3-A. CI Sub-Annex'!I37</f>
        <v>2.29</v>
      </c>
      <c r="J7" s="695">
        <f>'3-A. CI Sub-Annex'!J37</f>
        <v>10</v>
      </c>
      <c r="K7" s="695">
        <f>'3-A. CI Sub-Annex'!K37</f>
        <v>0</v>
      </c>
      <c r="L7" s="695">
        <f>'3-A. CI Sub-Annex'!L37</f>
        <v>300</v>
      </c>
      <c r="M7" s="695">
        <f>'3-A. CI Sub-Annex'!M37</f>
        <v>3.0000000000000001E-3</v>
      </c>
      <c r="N7" s="695">
        <f>'3-A. CI Sub-Annex'!N37</f>
        <v>7809</v>
      </c>
      <c r="O7" s="2843">
        <f>'3-A. CI Sub-Annex'!O37</f>
        <v>23.427</v>
      </c>
      <c r="P7" s="695" t="str">
        <f>'3-A. CI Sub-Annex'!P37</f>
        <v xml:space="preserve">State proposes for Asha Incentive for carrying out salt testing in 10 endemic district. Rs. 23.43 lakh fund is recommended for Asha Incentive @. 25/- per month (@ Rs. 0.50  for one salt sample test, at least 50 sample are to be tested in month for 12 month of 10 endemic district. </v>
      </c>
      <c r="Q7" s="2778" t="s">
        <v>5669</v>
      </c>
      <c r="R7" s="2826">
        <v>23.427</v>
      </c>
      <c r="S7" s="124"/>
      <c r="T7" s="124"/>
      <c r="U7" s="124"/>
      <c r="V7" s="124"/>
    </row>
    <row r="8" spans="1:22">
      <c r="A8" s="106">
        <f>'5.Infrastructure Annex'!A7</f>
        <v>5</v>
      </c>
      <c r="B8" s="106"/>
      <c r="C8" s="106" t="str">
        <f>'5.Infrastructure Annex'!C7</f>
        <v>Infrastructure</v>
      </c>
      <c r="D8" s="112"/>
      <c r="E8" s="112"/>
      <c r="F8" s="112"/>
      <c r="G8" s="112"/>
      <c r="H8" s="112"/>
      <c r="I8" s="112"/>
      <c r="J8" s="112"/>
      <c r="K8" s="698"/>
      <c r="L8" s="698"/>
      <c r="M8" s="699"/>
      <c r="N8" s="698"/>
      <c r="O8" s="2839">
        <f>O9</f>
        <v>0</v>
      </c>
      <c r="P8" s="700"/>
      <c r="Q8" s="2724"/>
      <c r="R8" s="2816">
        <f>R9</f>
        <v>0</v>
      </c>
      <c r="S8" s="124"/>
      <c r="T8" s="124"/>
      <c r="U8" s="124"/>
      <c r="V8" s="124"/>
    </row>
    <row r="9" spans="1:22">
      <c r="A9" s="75" t="str">
        <f>'5.Infrastructure Annex'!A90</f>
        <v>5.3.10</v>
      </c>
      <c r="B9" s="75" t="str">
        <f>'5.Infrastructure Annex'!B90</f>
        <v>D.2</v>
      </c>
      <c r="C9" s="75" t="str">
        <f>'5.Infrastructure Annex'!C90</f>
        <v>Establishment of IDD Monitoring Lab</v>
      </c>
      <c r="D9" s="75" t="str">
        <f>'5.Infrastructure Annex'!D90</f>
        <v>RCH</v>
      </c>
      <c r="E9" s="75" t="str">
        <f>'5.Infrastructure Annex'!E90</f>
        <v>NIDDCP</v>
      </c>
      <c r="F9" s="75">
        <f>'5.Infrastructure Annex'!F90</f>
        <v>0</v>
      </c>
      <c r="G9" s="75">
        <f>'5.Infrastructure Annex'!G90</f>
        <v>0</v>
      </c>
      <c r="H9" s="75">
        <f>'5.Infrastructure Annex'!H90</f>
        <v>0</v>
      </c>
      <c r="I9" s="75">
        <f>'5.Infrastructure Annex'!I90</f>
        <v>0</v>
      </c>
      <c r="J9" s="75">
        <f>'5.Infrastructure Annex'!J90</f>
        <v>0</v>
      </c>
      <c r="K9" s="75">
        <f>'5.Infrastructure Annex'!K90</f>
        <v>0</v>
      </c>
      <c r="L9" s="75">
        <f>'5.Infrastructure Annex'!L90</f>
        <v>0</v>
      </c>
      <c r="M9" s="75">
        <f>'5.Infrastructure Annex'!M90</f>
        <v>0</v>
      </c>
      <c r="N9" s="75">
        <f>'5.Infrastructure Annex'!N90</f>
        <v>0</v>
      </c>
      <c r="O9" s="2844">
        <f>'5.Infrastructure Annex'!O90</f>
        <v>0</v>
      </c>
      <c r="P9" s="75">
        <f>'[1]5.Infrastructure Annex'!P92</f>
        <v>0</v>
      </c>
      <c r="Q9" s="54"/>
      <c r="R9" s="2825"/>
      <c r="S9" s="124"/>
      <c r="T9" s="124"/>
      <c r="U9" s="124"/>
      <c r="V9" s="124"/>
    </row>
    <row r="10" spans="1:22">
      <c r="A10" s="106">
        <f>'6.Procurement Annex'!A7</f>
        <v>6</v>
      </c>
      <c r="B10" s="106"/>
      <c r="C10" s="106" t="str">
        <f>'6.Procurement Annex'!C7</f>
        <v>Procurement</v>
      </c>
      <c r="D10" s="112"/>
      <c r="E10" s="112"/>
      <c r="F10" s="112"/>
      <c r="G10" s="112"/>
      <c r="H10" s="112"/>
      <c r="I10" s="112"/>
      <c r="J10" s="112"/>
      <c r="K10" s="698"/>
      <c r="L10" s="698"/>
      <c r="M10" s="699"/>
      <c r="N10" s="698"/>
      <c r="O10" s="2816">
        <f>SUM(O11:O14)</f>
        <v>20.65</v>
      </c>
      <c r="P10" s="700"/>
      <c r="Q10" s="2724"/>
      <c r="R10" s="2816">
        <f>SUM(R11:R14)</f>
        <v>19.350000000000001</v>
      </c>
      <c r="S10" s="124"/>
      <c r="T10" s="124"/>
      <c r="U10" s="124"/>
      <c r="V10" s="124"/>
    </row>
    <row r="11" spans="1:22" ht="165">
      <c r="A11" s="75" t="str">
        <f>'6.Procurement Annex'!A16</f>
        <v>6.1.1.7</v>
      </c>
      <c r="B11" s="75">
        <f>'6-A. Proc. Sub-Annex'!B39</f>
        <v>0</v>
      </c>
      <c r="C11" s="75" t="str">
        <f>'6-A. Proc. Sub-Annex'!C39</f>
        <v>Procurement of lab equipment</v>
      </c>
      <c r="D11" s="75" t="str">
        <f>'6-A. Proc. Sub-Annex'!D39</f>
        <v>RCH</v>
      </c>
      <c r="E11" s="75" t="str">
        <f>'6-A. Proc. Sub-Annex'!E39</f>
        <v>NIDDCP</v>
      </c>
      <c r="F11" s="75">
        <f>'6-A. Proc. Sub-Annex'!F39</f>
        <v>0</v>
      </c>
      <c r="G11" s="75">
        <f>'6-A. Proc. Sub-Annex'!G39</f>
        <v>0</v>
      </c>
      <c r="H11" s="75">
        <f>'6-A. Proc. Sub-Annex'!H39</f>
        <v>0</v>
      </c>
      <c r="I11" s="75">
        <f>'6-A. Proc. Sub-Annex'!I39</f>
        <v>0</v>
      </c>
      <c r="J11" s="75">
        <f>'6-A. Proc. Sub-Annex'!J39</f>
        <v>0</v>
      </c>
      <c r="K11" s="75">
        <f>'6-A. Proc. Sub-Annex'!K39</f>
        <v>0</v>
      </c>
      <c r="L11" s="75">
        <f>'6-A. Proc. Sub-Annex'!L39</f>
        <v>0</v>
      </c>
      <c r="M11" s="75">
        <f>'6-A. Proc. Sub-Annex'!M39</f>
        <v>0</v>
      </c>
      <c r="N11" s="75">
        <f>'6-A. Proc. Sub-Annex'!N39</f>
        <v>0</v>
      </c>
      <c r="O11" s="2844">
        <f>'6-A. Proc. Sub-Annex'!O39</f>
        <v>0</v>
      </c>
      <c r="P11" s="75" t="str">
        <f>'6-A. Proc. Sub-Annex'!P39</f>
        <v>Funds proposed by State for State IDD lab inder Fmr 10.4.1 have been considered here as the proposal is for procurement of lab equipment to replace existing functonal lab equipment in the State IDD Monitoring Lab at Kanga District.</v>
      </c>
      <c r="Q11" s="54" t="s">
        <v>5670</v>
      </c>
      <c r="R11" s="2825">
        <v>0</v>
      </c>
      <c r="S11" s="124"/>
      <c r="T11" s="124"/>
      <c r="U11" s="124"/>
      <c r="V11" s="124"/>
    </row>
    <row r="12" spans="1:22">
      <c r="A12" s="75"/>
      <c r="B12" s="75">
        <f>'6-A. Proc. Sub-Annex'!B40</f>
        <v>0</v>
      </c>
      <c r="C12" s="75" t="str">
        <f>'6-A. Proc. Sub-Annex'!C40</f>
        <v>Any other equipment (please specify)</v>
      </c>
      <c r="D12" s="75" t="str">
        <f>'6-A. Proc. Sub-Annex'!D40</f>
        <v>RCH</v>
      </c>
      <c r="E12" s="75" t="str">
        <f>'6-A. Proc. Sub-Annex'!E40</f>
        <v>NIDDCP</v>
      </c>
      <c r="F12" s="75">
        <f>'6-A. Proc. Sub-Annex'!F40</f>
        <v>0</v>
      </c>
      <c r="G12" s="75">
        <f>'6-A. Proc. Sub-Annex'!G40</f>
        <v>0</v>
      </c>
      <c r="H12" s="75">
        <f>'6-A. Proc. Sub-Annex'!H40</f>
        <v>0</v>
      </c>
      <c r="I12" s="75">
        <f>'6-A. Proc. Sub-Annex'!I40</f>
        <v>0</v>
      </c>
      <c r="J12" s="75">
        <f>'6-A. Proc. Sub-Annex'!J40</f>
        <v>0</v>
      </c>
      <c r="K12" s="75">
        <f>'6-A. Proc. Sub-Annex'!K40</f>
        <v>0</v>
      </c>
      <c r="L12" s="75">
        <f>'6-A. Proc. Sub-Annex'!L40</f>
        <v>0</v>
      </c>
      <c r="M12" s="75">
        <f>'6-A. Proc. Sub-Annex'!M40</f>
        <v>0</v>
      </c>
      <c r="N12" s="75">
        <f>'6-A. Proc. Sub-Annex'!N40</f>
        <v>0</v>
      </c>
      <c r="O12" s="2844">
        <f>'6-A. Proc. Sub-Annex'!O40</f>
        <v>0</v>
      </c>
      <c r="P12" s="75">
        <f>'6-A. Proc. Sub-Annex'!P40</f>
        <v>0</v>
      </c>
      <c r="Q12" s="54"/>
      <c r="R12" s="2825"/>
      <c r="S12" s="124"/>
      <c r="T12" s="124"/>
      <c r="U12" s="124"/>
      <c r="V12" s="124"/>
    </row>
    <row r="13" spans="1:22" ht="409.5">
      <c r="A13" s="75" t="str">
        <f>'6.Procurement Annex'!A62</f>
        <v>6.2.1.7</v>
      </c>
      <c r="B13" s="75" t="str">
        <f>'6-A. Proc. Sub-Annex'!B188</f>
        <v>D.4</v>
      </c>
      <c r="C13" s="75" t="str">
        <f>'6-A. Proc. Sub-Annex'!C188</f>
        <v xml:space="preserve">Supply of Salt Testing Kit </v>
      </c>
      <c r="D13" s="75" t="str">
        <f>'6-A. Proc. Sub-Annex'!D188</f>
        <v>RCH</v>
      </c>
      <c r="E13" s="75" t="str">
        <f>'6-A. Proc. Sub-Annex'!E188</f>
        <v>NIDDCP</v>
      </c>
      <c r="F13" s="75">
        <f>'6-A. Proc. Sub-Annex'!F188</f>
        <v>96852</v>
      </c>
      <c r="G13" s="75">
        <f>'6-A. Proc. Sub-Annex'!G188</f>
        <v>0</v>
      </c>
      <c r="H13" s="75">
        <f>'6-A. Proc. Sub-Annex'!H188</f>
        <v>19.350000000000001</v>
      </c>
      <c r="I13" s="75">
        <f>'6-A. Proc. Sub-Annex'!I188</f>
        <v>5.2</v>
      </c>
      <c r="J13" s="75">
        <f>'6-A. Proc. Sub-Annex'!J188</f>
        <v>14.15</v>
      </c>
      <c r="K13" s="75">
        <f>'6-A. Proc. Sub-Annex'!K188</f>
        <v>1</v>
      </c>
      <c r="L13" s="75">
        <f>'6-A. Proc. Sub-Annex'!L188</f>
        <v>206500</v>
      </c>
      <c r="M13" s="75">
        <f>'6-A. Proc. Sub-Annex'!M188</f>
        <v>2.0649999999999999</v>
      </c>
      <c r="N13" s="75">
        <f>'6-A. Proc. Sub-Annex'!N188</f>
        <v>10</v>
      </c>
      <c r="O13" s="2844">
        <f>'6-A. Proc. Sub-Annex'!O188</f>
        <v>20.65</v>
      </c>
      <c r="P13" s="75" t="str">
        <f>'6-A. Proc. Sub-Annex'!P188</f>
        <v>State proposes Rs. 2065000/- for procurement of STK kitsfor the year 2021-22 for the 10 endemic  district in the State. Bilaspur, Chamba, Kangra, Kullu, Hamirpur, Mandi, Shimla, Solan, Sirmour, Una.</v>
      </c>
      <c r="Q13" s="54" t="s">
        <v>5671</v>
      </c>
      <c r="R13" s="2825">
        <v>19.350000000000001</v>
      </c>
      <c r="S13" s="124"/>
      <c r="T13" s="124"/>
      <c r="U13" s="124"/>
      <c r="V13" s="124"/>
    </row>
    <row r="14" spans="1:22">
      <c r="A14" s="75"/>
      <c r="B14" s="75">
        <f>'6-A. Proc. Sub-Annex'!B189</f>
        <v>0</v>
      </c>
      <c r="C14" s="75" t="str">
        <f>'6-A. Proc. Sub-Annex'!C189</f>
        <v>Any other supplies (please specify)</v>
      </c>
      <c r="D14" s="75" t="str">
        <f>'6-A. Proc. Sub-Annex'!D189</f>
        <v>RCH</v>
      </c>
      <c r="E14" s="75" t="str">
        <f>'6-A. Proc. Sub-Annex'!E189</f>
        <v>NIDDCP</v>
      </c>
      <c r="F14" s="75">
        <f>'6-A. Proc. Sub-Annex'!F189</f>
        <v>0</v>
      </c>
      <c r="G14" s="75">
        <f>'6-A. Proc. Sub-Annex'!G189</f>
        <v>0</v>
      </c>
      <c r="H14" s="75">
        <f>'6-A. Proc. Sub-Annex'!H189</f>
        <v>0</v>
      </c>
      <c r="I14" s="75">
        <f>'6-A. Proc. Sub-Annex'!I189</f>
        <v>0</v>
      </c>
      <c r="J14" s="75">
        <f>'6-A. Proc. Sub-Annex'!J189</f>
        <v>0</v>
      </c>
      <c r="K14" s="75">
        <f>'6-A. Proc. Sub-Annex'!K189</f>
        <v>0</v>
      </c>
      <c r="L14" s="75">
        <f>'6-A. Proc. Sub-Annex'!L189</f>
        <v>0</v>
      </c>
      <c r="M14" s="75">
        <f>'6-A. Proc. Sub-Annex'!M189</f>
        <v>0</v>
      </c>
      <c r="N14" s="75">
        <f>'6-A. Proc. Sub-Annex'!N189</f>
        <v>0</v>
      </c>
      <c r="O14" s="2844">
        <f>'6-A. Proc. Sub-Annex'!O189</f>
        <v>0</v>
      </c>
      <c r="P14" s="75">
        <f>'6-A. Proc. Sub-Annex'!P189</f>
        <v>0</v>
      </c>
      <c r="Q14" s="54"/>
      <c r="R14" s="2825"/>
      <c r="S14" s="124"/>
      <c r="T14" s="124"/>
      <c r="U14" s="124"/>
      <c r="V14" s="124"/>
    </row>
    <row r="15" spans="1:22" ht="30">
      <c r="A15" s="106">
        <f>'10.Review Research &amp; Surveillen'!A7</f>
        <v>10</v>
      </c>
      <c r="B15" s="106"/>
      <c r="C15" s="106" t="str">
        <f>'10.Review Research &amp; Surveillen'!C7</f>
        <v>Reviews, Research, Surveys and Surveillance</v>
      </c>
      <c r="D15" s="112"/>
      <c r="E15" s="112"/>
      <c r="F15" s="112"/>
      <c r="G15" s="112"/>
      <c r="H15" s="112"/>
      <c r="I15" s="112"/>
      <c r="J15" s="112"/>
      <c r="K15" s="698"/>
      <c r="L15" s="698"/>
      <c r="M15" s="699"/>
      <c r="N15" s="698"/>
      <c r="O15" s="2839">
        <f>SUM(O16:O17)</f>
        <v>1</v>
      </c>
      <c r="P15" s="700"/>
      <c r="Q15" s="2724"/>
      <c r="R15" s="2816">
        <f>SUM(R16:R17)</f>
        <v>1</v>
      </c>
      <c r="S15" s="124"/>
      <c r="T15" s="124"/>
      <c r="U15" s="124"/>
      <c r="V15" s="124"/>
    </row>
    <row r="16" spans="1:22" ht="120">
      <c r="A16" s="100" t="str">
        <f>'10.Review Research &amp; Surveillen'!A14</f>
        <v>10.2.2</v>
      </c>
      <c r="B16" s="100" t="str">
        <f>'10.Review Research &amp; Surveillen'!B14</f>
        <v>D.3</v>
      </c>
      <c r="C16" s="100" t="str">
        <f>'10.Review Research &amp; Surveillen'!C14</f>
        <v>IDD Surveys/Re-surveys</v>
      </c>
      <c r="D16" s="100" t="str">
        <f>'10.Review Research &amp; Surveillen'!D14</f>
        <v>RCH</v>
      </c>
      <c r="E16" s="100" t="str">
        <f>'10.Review Research &amp; Surveillen'!E14</f>
        <v>NIDDCP</v>
      </c>
      <c r="F16" s="75">
        <f>'10.Review Research &amp; Surveillen'!F14</f>
        <v>0</v>
      </c>
      <c r="G16" s="75">
        <f>'10.Review Research &amp; Surveillen'!G14</f>
        <v>0</v>
      </c>
      <c r="H16" s="75">
        <f>'10.Review Research &amp; Surveillen'!H14</f>
        <v>0</v>
      </c>
      <c r="I16" s="75">
        <f>'10.Review Research &amp; Surveillen'!I14</f>
        <v>0</v>
      </c>
      <c r="J16" s="75">
        <f>'10.Review Research &amp; Surveillen'!J14</f>
        <v>0</v>
      </c>
      <c r="K16" s="75">
        <f>'10.Review Research &amp; Surveillen'!K14</f>
        <v>0</v>
      </c>
      <c r="L16" s="75">
        <f>'10.Review Research &amp; Surveillen'!L14</f>
        <v>0</v>
      </c>
      <c r="M16" s="75">
        <f>'10.Review Research &amp; Surveillen'!M14</f>
        <v>0</v>
      </c>
      <c r="N16" s="75">
        <f>'10.Review Research &amp; Surveillen'!N14</f>
        <v>0</v>
      </c>
      <c r="O16" s="2844">
        <f>'10.Review Research &amp; Surveillen'!O14</f>
        <v>0</v>
      </c>
      <c r="P16" s="75">
        <f>'10.Review Research &amp; Surveillen'!P14</f>
        <v>0</v>
      </c>
      <c r="Q16" s="104" t="s">
        <v>5672</v>
      </c>
      <c r="R16" s="2825">
        <v>0</v>
      </c>
      <c r="S16" s="124"/>
      <c r="T16" s="124"/>
      <c r="U16" s="124"/>
      <c r="V16" s="124"/>
    </row>
    <row r="17" spans="1:22" ht="120">
      <c r="A17" s="100" t="str">
        <f>'10.Review Research &amp; Surveillen'!A48</f>
        <v>10.4.1</v>
      </c>
      <c r="B17" s="100" t="str">
        <f>'10.Review Research &amp; Surveillen'!B48</f>
        <v>D.6</v>
      </c>
      <c r="C17" s="100" t="str">
        <f>'10.Review Research &amp; Surveillen'!C48</f>
        <v>Management of IDD Monitoring Laboratory</v>
      </c>
      <c r="D17" s="100" t="str">
        <f>'10.Review Research &amp; Surveillen'!D48</f>
        <v>RCH</v>
      </c>
      <c r="E17" s="100" t="str">
        <f>'10.Review Research &amp; Surveillen'!E48</f>
        <v>NIDDCP</v>
      </c>
      <c r="F17" s="75">
        <f>'10.Review Research &amp; Surveillen'!F48</f>
        <v>1</v>
      </c>
      <c r="G17" s="75">
        <f>'10.Review Research &amp; Surveillen'!G48</f>
        <v>0</v>
      </c>
      <c r="H17" s="75">
        <f>'10.Review Research &amp; Surveillen'!H48</f>
        <v>1</v>
      </c>
      <c r="I17" s="75">
        <f>'10.Review Research &amp; Surveillen'!I48</f>
        <v>0</v>
      </c>
      <c r="J17" s="75">
        <f>'10.Review Research &amp; Surveillen'!J48</f>
        <v>1</v>
      </c>
      <c r="K17" s="75">
        <f>'10.Review Research &amp; Surveillen'!K48</f>
        <v>0</v>
      </c>
      <c r="L17" s="75">
        <f>'10.Review Research &amp; Surveillen'!L48</f>
        <v>100000</v>
      </c>
      <c r="M17" s="75">
        <f>'10.Review Research &amp; Surveillen'!M48</f>
        <v>1</v>
      </c>
      <c r="N17" s="75">
        <f>'10.Review Research &amp; Surveillen'!N48</f>
        <v>1</v>
      </c>
      <c r="O17" s="2844">
        <f>'10.Review Research &amp; Surveillen'!O48</f>
        <v>1</v>
      </c>
      <c r="P17" s="75" t="str">
        <f>'10.Review Research &amp; Surveillen'!P48</f>
        <v xml:space="preserve">State proposes Rs. 1.00 lakh for Laboratory chemicals / reagents, glassware, disposables etc. for testing salt &amp; urine samples in the State IDD Monitoring Lab. </v>
      </c>
      <c r="Q17" s="104" t="s">
        <v>5673</v>
      </c>
      <c r="R17" s="2825">
        <v>1</v>
      </c>
      <c r="S17" s="124"/>
      <c r="T17" s="124"/>
      <c r="U17" s="124"/>
      <c r="V17" s="124"/>
    </row>
    <row r="18" spans="1:22">
      <c r="A18" s="106">
        <f>'11.IEC-BCC Annex'!A7</f>
        <v>11</v>
      </c>
      <c r="B18" s="106"/>
      <c r="C18" s="106" t="str">
        <f>'11.IEC-BCC Annex'!C7</f>
        <v>IEC/BCC</v>
      </c>
      <c r="D18" s="112"/>
      <c r="E18" s="112"/>
      <c r="F18" s="112"/>
      <c r="G18" s="112"/>
      <c r="H18" s="112"/>
      <c r="I18" s="112"/>
      <c r="J18" s="112"/>
      <c r="K18" s="698"/>
      <c r="L18" s="698"/>
      <c r="M18" s="699"/>
      <c r="N18" s="698"/>
      <c r="O18" s="2839">
        <f>SUM(O19:O20)</f>
        <v>5.0000400000000003</v>
      </c>
      <c r="P18" s="700"/>
      <c r="Q18" s="2724"/>
      <c r="R18" s="2816">
        <f>SUM(R19:R20)</f>
        <v>5</v>
      </c>
      <c r="S18" s="124"/>
      <c r="T18" s="124"/>
      <c r="U18" s="124"/>
      <c r="V18" s="124"/>
    </row>
    <row r="19" spans="1:22" ht="210">
      <c r="A19" s="75" t="str">
        <f>'11.IEC-BCC Annex'!A15</f>
        <v>11.1.7</v>
      </c>
      <c r="B19" s="75" t="str">
        <f>'11-A. IEC Sub-Annex'!B33</f>
        <v>B.10.6.7</v>
      </c>
      <c r="C19" s="75" t="str">
        <f>'11-A. IEC Sub-Annex'!C33</f>
        <v>Health Education &amp; Publicity for NIDDCP</v>
      </c>
      <c r="D19" s="75" t="str">
        <f>'11-A. IEC Sub-Annex'!D33</f>
        <v>RCH</v>
      </c>
      <c r="E19" s="75" t="str">
        <f>'11-A. IEC Sub-Annex'!E33</f>
        <v>NIDDCP</v>
      </c>
      <c r="F19" s="75">
        <f>'11-A. IEC Sub-Annex'!F33</f>
        <v>1</v>
      </c>
      <c r="G19" s="75">
        <f>'11-A. IEC Sub-Annex'!G33</f>
        <v>0</v>
      </c>
      <c r="H19" s="75">
        <f>'11-A. IEC Sub-Annex'!H33</f>
        <v>5</v>
      </c>
      <c r="I19" s="75">
        <f>'11-A. IEC Sub-Annex'!I33</f>
        <v>0</v>
      </c>
      <c r="J19" s="75">
        <f>'11-A. IEC Sub-Annex'!J33</f>
        <v>0</v>
      </c>
      <c r="K19" s="75">
        <f>'11-A. IEC Sub-Annex'!K33</f>
        <v>0</v>
      </c>
      <c r="L19" s="75">
        <f>'11-A. IEC Sub-Annex'!L33</f>
        <v>41667</v>
      </c>
      <c r="M19" s="75">
        <f>'11-A. IEC Sub-Annex'!M33</f>
        <v>0.41666999999999998</v>
      </c>
      <c r="N19" s="75">
        <f>'11-A. IEC Sub-Annex'!N33</f>
        <v>12</v>
      </c>
      <c r="O19" s="2844">
        <f>'11-A. IEC Sub-Annex'!O33</f>
        <v>5.0000400000000003</v>
      </c>
      <c r="P19" s="75" t="str">
        <f>'11-A. IEC Sub-Annex'!P33</f>
        <v>State proposes Rs. 5.00 lakh for the celebration of Global Idd Day &amp; other IEC activites in all the 12 districts of the State @ Rs. 41667 per district.</v>
      </c>
      <c r="Q19" s="54" t="s">
        <v>5674</v>
      </c>
      <c r="R19" s="2825">
        <v>5</v>
      </c>
      <c r="S19" s="124"/>
      <c r="T19" s="124"/>
      <c r="U19" s="124"/>
      <c r="V19" s="124"/>
    </row>
    <row r="20" spans="1:22" ht="30">
      <c r="A20" s="75"/>
      <c r="B20" s="75">
        <f>'11-A. IEC Sub-Annex'!B34</f>
        <v>0</v>
      </c>
      <c r="C20" s="75" t="str">
        <f>'11-A. IEC Sub-Annex'!C34</f>
        <v>Any other IEC/BCC activities (please specify)</v>
      </c>
      <c r="D20" s="75" t="str">
        <f>'11-A. IEC Sub-Annex'!D34</f>
        <v>RCH</v>
      </c>
      <c r="E20" s="75" t="str">
        <f>'11-A. IEC Sub-Annex'!E34</f>
        <v>NIDDCP</v>
      </c>
      <c r="F20" s="75">
        <f>'11-A. IEC Sub-Annex'!F34</f>
        <v>0</v>
      </c>
      <c r="G20" s="75">
        <f>'11-A. IEC Sub-Annex'!G34</f>
        <v>0</v>
      </c>
      <c r="H20" s="75">
        <f>'11-A. IEC Sub-Annex'!H34</f>
        <v>0</v>
      </c>
      <c r="I20" s="75">
        <f>'11-A. IEC Sub-Annex'!I34</f>
        <v>0</v>
      </c>
      <c r="J20" s="75">
        <f>'11-A. IEC Sub-Annex'!J34</f>
        <v>0</v>
      </c>
      <c r="K20" s="75">
        <f>'11-A. IEC Sub-Annex'!K34</f>
        <v>0</v>
      </c>
      <c r="L20" s="75">
        <f>'11-A. IEC Sub-Annex'!L34</f>
        <v>0</v>
      </c>
      <c r="M20" s="75">
        <f>'11-A. IEC Sub-Annex'!M34</f>
        <v>0</v>
      </c>
      <c r="N20" s="75">
        <f>'11-A. IEC Sub-Annex'!N34</f>
        <v>0</v>
      </c>
      <c r="O20" s="2844">
        <f>'11-A. IEC Sub-Annex'!O34</f>
        <v>0</v>
      </c>
      <c r="P20" s="75">
        <f>'11-A. IEC Sub-Annex'!P34</f>
        <v>0</v>
      </c>
      <c r="Q20" s="54"/>
      <c r="R20" s="2825"/>
      <c r="S20" s="124"/>
      <c r="T20" s="124"/>
      <c r="U20" s="124"/>
      <c r="V20" s="124"/>
    </row>
    <row r="21" spans="1:22">
      <c r="S21" s="124"/>
      <c r="T21" s="124"/>
      <c r="U21" s="124"/>
      <c r="V21" s="124"/>
    </row>
    <row r="22" spans="1:22">
      <c r="S22" s="124"/>
      <c r="T22" s="124"/>
      <c r="U22" s="124"/>
      <c r="V22" s="124"/>
    </row>
    <row r="23" spans="1:22">
      <c r="S23" s="124"/>
      <c r="T23" s="124"/>
      <c r="U23" s="124"/>
      <c r="V23" s="124"/>
    </row>
    <row r="24" spans="1:22">
      <c r="S24" s="124"/>
      <c r="T24" s="124"/>
      <c r="U24" s="124"/>
      <c r="V24" s="124"/>
    </row>
  </sheetData>
  <sheetProtection sheet="1" formatCells="0" formatColumns="0" formatRows="0" autoFilter="0"/>
  <autoFilter ref="A5:M20"/>
  <mergeCells count="9">
    <mergeCell ref="Q4:R4"/>
    <mergeCell ref="E4:E5"/>
    <mergeCell ref="A1:C1"/>
    <mergeCell ref="A4:A5"/>
    <mergeCell ref="B4:B5"/>
    <mergeCell ref="C4:C5"/>
    <mergeCell ref="D4:D5"/>
    <mergeCell ref="F4:J4"/>
    <mergeCell ref="K4:P4"/>
  </mergeCells>
  <pageMargins left="0.7" right="0.7" top="0.75" bottom="0.75" header="0.3" footer="0.3"/>
</worksheet>
</file>

<file path=xl/worksheets/sheet3.xml><?xml version="1.0" encoding="utf-8"?>
<worksheet xmlns="http://schemas.openxmlformats.org/spreadsheetml/2006/main" xmlns:r="http://schemas.openxmlformats.org/officeDocument/2006/relationships">
  <sheetPr codeName="Sheet2">
    <tabColor rgb="FF00B050"/>
  </sheetPr>
  <dimension ref="A1:CI81"/>
  <sheetViews>
    <sheetView zoomScale="80" zoomScaleNormal="80" workbookViewId="0">
      <pane xSplit="5" ySplit="7" topLeftCell="P37" activePane="bottomRight" state="frozen"/>
      <selection pane="topRight" activeCell="F1" sqref="F1"/>
      <selection pane="bottomLeft" activeCell="A8" sqref="A8"/>
      <selection pane="bottomRight" activeCell="CJ1" sqref="CJ1:CK1048576"/>
    </sheetView>
  </sheetViews>
  <sheetFormatPr defaultColWidth="9.140625" defaultRowHeight="15"/>
  <cols>
    <col min="1" max="1" width="10" style="1020" customWidth="1"/>
    <col min="2" max="2" width="9.140625" style="1020" customWidth="1"/>
    <col min="3" max="3" width="51.7109375" style="1020" customWidth="1"/>
    <col min="4" max="4" width="9.140625" style="987" bestFit="1" customWidth="1"/>
    <col min="5" max="5" width="11.140625" style="987" customWidth="1"/>
    <col min="6" max="6" width="24.42578125" style="987" hidden="1" customWidth="1"/>
    <col min="7" max="7" width="32.85546875" style="987" hidden="1" customWidth="1"/>
    <col min="8" max="8" width="24.140625" style="987" hidden="1" customWidth="1"/>
    <col min="9" max="9" width="30.7109375" style="987" hidden="1" customWidth="1"/>
    <col min="10" max="10" width="28.7109375" style="987" hidden="1" customWidth="1"/>
    <col min="11" max="11" width="22.85546875" style="987" hidden="1" customWidth="1"/>
    <col min="12" max="12" width="21.42578125" style="987" hidden="1" customWidth="1"/>
    <col min="13" max="13" width="29.5703125" style="1021" hidden="1" customWidth="1"/>
    <col min="14" max="14" width="22.5703125" style="987" hidden="1" customWidth="1"/>
    <col min="15" max="15" width="17.140625" style="2984" hidden="1" customWidth="1"/>
    <col min="16" max="16" width="29.5703125" style="1020" customWidth="1"/>
    <col min="17" max="17" width="40" style="1020" customWidth="1"/>
    <col min="18" max="18" width="11.85546875" style="2984" customWidth="1"/>
    <col min="19" max="19" width="10" style="981" hidden="1" customWidth="1"/>
    <col min="20" max="22" width="6.28515625" style="981" hidden="1" customWidth="1"/>
    <col min="23" max="23" width="6.7109375" style="981" hidden="1" customWidth="1"/>
    <col min="24" max="24" width="8.140625" style="981" hidden="1" customWidth="1"/>
    <col min="25" max="25" width="9.42578125" style="981" hidden="1" customWidth="1"/>
    <col min="26" max="26" width="14.42578125" style="981" hidden="1" customWidth="1"/>
    <col min="27" max="27" width="6.28515625" style="981" hidden="1" customWidth="1"/>
    <col min="28" max="28" width="11.28515625" style="981" hidden="1" customWidth="1"/>
    <col min="29" max="30" width="6.7109375" style="981" hidden="1" customWidth="1"/>
    <col min="31" max="32" width="18.140625" style="981" hidden="1" customWidth="1"/>
    <col min="33" max="34" width="11" style="981" hidden="1" customWidth="1"/>
    <col min="35" max="35" width="10.42578125" style="981" hidden="1" customWidth="1"/>
    <col min="36" max="36" width="9.85546875" style="981" hidden="1" customWidth="1"/>
    <col min="37" max="38" width="10.85546875" style="981" hidden="1" customWidth="1"/>
    <col min="39" max="39" width="12.140625" style="981" hidden="1" customWidth="1"/>
    <col min="40" max="40" width="7.85546875" style="981" hidden="1" customWidth="1"/>
    <col min="41" max="41" width="12.5703125" style="981" hidden="1" customWidth="1"/>
    <col min="42" max="43" width="8.5703125" style="981" hidden="1" customWidth="1"/>
    <col min="44" max="45" width="10.85546875" style="981" hidden="1" customWidth="1"/>
    <col min="46" max="46" width="0" style="981" hidden="1" customWidth="1"/>
    <col min="47" max="47" width="8.7109375" style="981" hidden="1" customWidth="1"/>
    <col min="48" max="48" width="0" style="981" hidden="1" customWidth="1"/>
    <col min="49" max="49" width="9.5703125" style="981" hidden="1" customWidth="1"/>
    <col min="50" max="50" width="10.85546875" style="981" hidden="1" customWidth="1"/>
    <col min="51" max="51" width="12.5703125" style="981" hidden="1" customWidth="1"/>
    <col min="52" max="52" width="11.42578125" style="981" hidden="1" customWidth="1"/>
    <col min="53" max="53" width="12.85546875" style="981" hidden="1" customWidth="1"/>
    <col min="54" max="54" width="12.85546875" style="981" bestFit="1" customWidth="1"/>
    <col min="55" max="55" width="15.140625" style="981" bestFit="1" customWidth="1"/>
    <col min="56" max="56" width="14" style="981" bestFit="1" customWidth="1"/>
    <col min="57" max="57" width="17" style="981" customWidth="1"/>
    <col min="58" max="58" width="13.28515625" style="981" bestFit="1" customWidth="1"/>
    <col min="59" max="59" width="13.7109375" style="981" bestFit="1" customWidth="1"/>
    <col min="60" max="60" width="9.85546875" style="981" bestFit="1" customWidth="1"/>
    <col min="61" max="61" width="12.5703125" style="981" bestFit="1" customWidth="1"/>
    <col min="62" max="62" width="10.85546875" style="981" bestFit="1" customWidth="1"/>
    <col min="63" max="63" width="12" style="981" bestFit="1" customWidth="1"/>
    <col min="64" max="64" width="14.140625" style="981" bestFit="1" customWidth="1"/>
    <col min="65" max="65" width="10.85546875" style="981" bestFit="1" customWidth="1"/>
    <col min="66" max="66" width="9.140625" style="981"/>
    <col min="67" max="67" width="13.7109375" style="981" bestFit="1" customWidth="1"/>
    <col min="68" max="68" width="17" style="981" bestFit="1" customWidth="1"/>
    <col min="69" max="69" width="14.85546875" style="981" bestFit="1" customWidth="1"/>
    <col min="70" max="70" width="21.28515625" style="981" bestFit="1" customWidth="1"/>
    <col min="71" max="71" width="20.5703125" style="981" bestFit="1" customWidth="1"/>
    <col min="72" max="72" width="13.42578125" style="981" customWidth="1"/>
    <col min="73" max="73" width="12.28515625" style="981" bestFit="1" customWidth="1"/>
    <col min="74" max="75" width="13.28515625" style="981" bestFit="1" customWidth="1"/>
    <col min="76" max="76" width="15.140625" style="981" bestFit="1" customWidth="1"/>
    <col min="77" max="77" width="14.7109375" style="981" bestFit="1" customWidth="1"/>
    <col min="78" max="78" width="10.85546875" style="981" customWidth="1"/>
    <col min="79" max="79" width="12.28515625" style="981" bestFit="1" customWidth="1"/>
    <col min="80" max="80" width="13.7109375" style="981" bestFit="1" customWidth="1"/>
    <col min="81" max="81" width="11.28515625" style="981" bestFit="1" customWidth="1"/>
    <col min="82" max="82" width="10.85546875" style="981" bestFit="1" customWidth="1"/>
    <col min="83" max="83" width="14" style="981" bestFit="1" customWidth="1"/>
    <col min="84" max="84" width="12.28515625" style="981" bestFit="1" customWidth="1"/>
    <col min="85" max="86" width="12.28515625" style="981" customWidth="1"/>
    <col min="87" max="87" width="10.5703125" style="981" bestFit="1" customWidth="1"/>
    <col min="88" max="16384" width="9.140625" style="981"/>
  </cols>
  <sheetData>
    <row r="1" spans="1:87">
      <c r="A1" s="3865" t="s">
        <v>2127</v>
      </c>
      <c r="B1" s="3865"/>
      <c r="C1" s="3865"/>
      <c r="D1" s="980"/>
      <c r="E1" s="3858" t="s">
        <v>4534</v>
      </c>
      <c r="F1" s="3792" t="s">
        <v>4532</v>
      </c>
      <c r="G1" s="3792"/>
      <c r="H1" s="3792"/>
      <c r="I1" s="3792"/>
      <c r="J1" s="3792"/>
      <c r="K1" s="3792"/>
      <c r="L1" s="3792"/>
      <c r="M1" s="3792"/>
      <c r="N1" s="3792"/>
      <c r="O1" s="3793" t="s">
        <v>65</v>
      </c>
      <c r="P1" s="3794"/>
      <c r="Q1" s="3794"/>
      <c r="R1" s="3794"/>
      <c r="S1" s="3794"/>
      <c r="T1" s="3794"/>
      <c r="U1" s="3794"/>
      <c r="V1" s="3794"/>
      <c r="W1" s="3794"/>
      <c r="X1" s="3794"/>
      <c r="Y1" s="3794"/>
      <c r="Z1" s="3794"/>
      <c r="AA1" s="3794"/>
      <c r="AB1" s="3794"/>
      <c r="AC1" s="3794"/>
      <c r="AD1" s="3794"/>
      <c r="AE1" s="3794"/>
      <c r="AF1" s="3794"/>
      <c r="AG1" s="3794"/>
      <c r="AH1" s="3795"/>
      <c r="AI1" s="3859" t="s">
        <v>4219</v>
      </c>
      <c r="AJ1" s="3860"/>
      <c r="AK1" s="3860"/>
      <c r="AL1" s="3860"/>
      <c r="AM1" s="3860"/>
      <c r="AN1" s="3860"/>
      <c r="AO1" s="3861"/>
      <c r="AP1" s="3863" t="s">
        <v>80</v>
      </c>
      <c r="AQ1" s="3864"/>
      <c r="AR1" s="3864"/>
      <c r="AS1" s="3864"/>
      <c r="AT1" s="3864"/>
      <c r="AU1" s="3864"/>
      <c r="AV1" s="3864"/>
      <c r="AW1" s="3864"/>
      <c r="AX1" s="3864"/>
      <c r="AY1" s="3864"/>
      <c r="AZ1" s="3864"/>
      <c r="BA1" s="3864"/>
    </row>
    <row r="2" spans="1:87" s="983" customFormat="1">
      <c r="A2" s="3855" t="str">
        <f>HYPERLINK("#Index!A4", "Index Pg")</f>
        <v>Index Pg</v>
      </c>
      <c r="B2" s="982"/>
      <c r="C2" s="982"/>
      <c r="D2" s="982"/>
      <c r="E2" s="3858"/>
      <c r="F2" s="906" t="s">
        <v>113</v>
      </c>
      <c r="G2" s="906" t="s">
        <v>126</v>
      </c>
      <c r="H2" s="906" t="s">
        <v>86</v>
      </c>
      <c r="I2" s="906" t="s">
        <v>4530</v>
      </c>
      <c r="J2" s="906" t="s">
        <v>91</v>
      </c>
      <c r="K2" s="906" t="s">
        <v>3933</v>
      </c>
      <c r="L2" s="907" t="s">
        <v>4531</v>
      </c>
      <c r="M2" s="906" t="s">
        <v>4535</v>
      </c>
      <c r="N2" s="907" t="s">
        <v>203</v>
      </c>
      <c r="O2" s="2974" t="s">
        <v>4218</v>
      </c>
      <c r="P2" s="909" t="s">
        <v>3751</v>
      </c>
      <c r="Q2" s="909" t="s">
        <v>4543</v>
      </c>
      <c r="R2" s="2985" t="s">
        <v>4540</v>
      </c>
      <c r="S2" s="909" t="s">
        <v>4541</v>
      </c>
      <c r="T2" s="909" t="s">
        <v>4542</v>
      </c>
      <c r="U2" s="909" t="s">
        <v>4544</v>
      </c>
      <c r="V2" s="909" t="s">
        <v>4528</v>
      </c>
      <c r="W2" s="909" t="s">
        <v>4545</v>
      </c>
      <c r="X2" s="909" t="s">
        <v>29</v>
      </c>
      <c r="Y2" s="909" t="s">
        <v>4546</v>
      </c>
      <c r="Z2" s="909" t="s">
        <v>4547</v>
      </c>
      <c r="AA2" s="909" t="s">
        <v>4537</v>
      </c>
      <c r="AB2" s="909" t="s">
        <v>737</v>
      </c>
      <c r="AC2" s="909" t="s">
        <v>4538</v>
      </c>
      <c r="AD2" s="909" t="s">
        <v>4539</v>
      </c>
      <c r="AE2" s="909" t="s">
        <v>2293</v>
      </c>
      <c r="AF2" s="909" t="s">
        <v>4548</v>
      </c>
      <c r="AG2" s="909" t="s">
        <v>3750</v>
      </c>
      <c r="AH2" s="909" t="s">
        <v>302</v>
      </c>
      <c r="AI2" s="910" t="s">
        <v>288</v>
      </c>
      <c r="AJ2" s="910" t="s">
        <v>109</v>
      </c>
      <c r="AK2" s="910" t="s">
        <v>141</v>
      </c>
      <c r="AL2" s="910" t="s">
        <v>4525</v>
      </c>
      <c r="AM2" s="910" t="s">
        <v>3223</v>
      </c>
      <c r="AN2" s="910" t="s">
        <v>3855</v>
      </c>
      <c r="AO2" s="910" t="s">
        <v>4405</v>
      </c>
      <c r="AP2" s="911" t="s">
        <v>81</v>
      </c>
      <c r="AQ2" s="911" t="s">
        <v>145</v>
      </c>
      <c r="AR2" s="911" t="s">
        <v>394</v>
      </c>
      <c r="AS2" s="911" t="s">
        <v>147</v>
      </c>
      <c r="AT2" s="911" t="s">
        <v>410</v>
      </c>
      <c r="AU2" s="911" t="s">
        <v>4459</v>
      </c>
      <c r="AV2" s="911" t="s">
        <v>3989</v>
      </c>
      <c r="AW2" s="912" t="s">
        <v>307</v>
      </c>
      <c r="AX2" s="913" t="s">
        <v>309</v>
      </c>
      <c r="AY2" s="913" t="s">
        <v>1028</v>
      </c>
      <c r="AZ2" s="913" t="s">
        <v>1014</v>
      </c>
      <c r="BA2" s="913" t="s">
        <v>4533</v>
      </c>
    </row>
    <row r="3" spans="1:87" s="986" customFormat="1">
      <c r="A3" s="3856"/>
      <c r="B3" s="914" t="str">
        <f>HYPERLINK("#'Budget Summary I'!A1:AL1", "Budget Summary I")</f>
        <v>Budget Summary I</v>
      </c>
      <c r="C3" s="865" t="s">
        <v>4460</v>
      </c>
      <c r="D3" s="161"/>
      <c r="E3" s="984">
        <f>R7</f>
        <v>1127.8831</v>
      </c>
      <c r="F3" s="161">
        <f>R34+R35+R36+R37+R38</f>
        <v>96</v>
      </c>
      <c r="G3" s="161">
        <f>R56</f>
        <v>0</v>
      </c>
      <c r="H3" s="161">
        <f>R20</f>
        <v>15</v>
      </c>
      <c r="I3" s="161">
        <f>R21+R39+R40</f>
        <v>33.003</v>
      </c>
      <c r="J3" s="161">
        <f>R22+R23</f>
        <v>609</v>
      </c>
      <c r="K3" s="985"/>
      <c r="L3" s="161">
        <f>R25+R26+R27+R28+R43+R44</f>
        <v>111.7901</v>
      </c>
      <c r="M3" s="161">
        <f>R41+R42</f>
        <v>0</v>
      </c>
      <c r="N3" s="985"/>
      <c r="O3" s="2981"/>
      <c r="P3" s="985"/>
      <c r="Q3" s="985"/>
      <c r="R3" s="2981"/>
      <c r="S3" s="985">
        <f>R10+R11+R13+R14+R24+R30</f>
        <v>189.7</v>
      </c>
      <c r="T3" s="985"/>
      <c r="U3" s="985"/>
      <c r="V3" s="985"/>
      <c r="W3" s="985"/>
      <c r="X3" s="985"/>
      <c r="Y3" s="985"/>
      <c r="Z3" s="985"/>
      <c r="AA3" s="985"/>
      <c r="AB3" s="985"/>
      <c r="AC3" s="985"/>
      <c r="AD3" s="985"/>
      <c r="AE3" s="985"/>
      <c r="AF3" s="985">
        <f>R16</f>
        <v>0</v>
      </c>
      <c r="AG3" s="985"/>
      <c r="AH3" s="985">
        <f>R18+R65</f>
        <v>0</v>
      </c>
      <c r="AI3" s="985"/>
      <c r="AJ3" s="985">
        <f>R29+R53</f>
        <v>0</v>
      </c>
      <c r="AK3" s="985">
        <f>R48</f>
        <v>0</v>
      </c>
      <c r="AL3" s="985">
        <f>R54</f>
        <v>0</v>
      </c>
      <c r="AM3" s="985">
        <f>R45</f>
        <v>0</v>
      </c>
      <c r="AN3" s="985"/>
      <c r="AO3" s="985"/>
      <c r="AP3" s="985">
        <f>R17+R50+R57+R58</f>
        <v>45.99</v>
      </c>
      <c r="AQ3" s="985">
        <f>R49</f>
        <v>2.4</v>
      </c>
      <c r="AR3" s="985">
        <f>R52</f>
        <v>0</v>
      </c>
      <c r="AS3" s="985">
        <f>R51+R60+R61+R62+R63+R64</f>
        <v>25</v>
      </c>
      <c r="AT3" s="985">
        <f>R47</f>
        <v>0</v>
      </c>
      <c r="AU3" s="985"/>
      <c r="AV3" s="985"/>
      <c r="AW3" s="985"/>
      <c r="AX3" s="985"/>
      <c r="AY3" s="985"/>
      <c r="AZ3" s="985"/>
      <c r="BA3" s="985"/>
    </row>
    <row r="4" spans="1:87" s="986" customFormat="1">
      <c r="A4" s="3857"/>
      <c r="B4" s="864" t="str">
        <f>HYPERLINK("#'Budget Summary II'!A3:B5", "Budget Summary II")</f>
        <v>Budget Summary II</v>
      </c>
      <c r="C4" s="865" t="s">
        <v>4461</v>
      </c>
      <c r="D4" s="985"/>
      <c r="E4" s="984">
        <f>O7</f>
        <v>1266.8818495999999</v>
      </c>
      <c r="F4" s="161">
        <f>O34+O35+O36+O37+O38</f>
        <v>96</v>
      </c>
      <c r="G4" s="161">
        <f>O56</f>
        <v>0</v>
      </c>
      <c r="H4" s="161">
        <f>O20</f>
        <v>15</v>
      </c>
      <c r="I4" s="161">
        <f>O21+O39+O40</f>
        <v>33.003</v>
      </c>
      <c r="J4" s="161">
        <f>O22+O23</f>
        <v>609</v>
      </c>
      <c r="K4" s="985"/>
      <c r="L4" s="161">
        <f>O25+O26+O27+O28+O43+O44</f>
        <v>111.78885</v>
      </c>
      <c r="M4" s="161">
        <f>O41+O42</f>
        <v>139</v>
      </c>
      <c r="N4" s="985"/>
      <c r="O4" s="2981"/>
      <c r="P4" s="985"/>
      <c r="Q4" s="985"/>
      <c r="R4" s="2981"/>
      <c r="S4" s="985">
        <f>O10+O11+O13+O14+O24+O30</f>
        <v>189.69999960000001</v>
      </c>
      <c r="T4" s="985"/>
      <c r="U4" s="985"/>
      <c r="V4" s="985"/>
      <c r="W4" s="985"/>
      <c r="X4" s="985"/>
      <c r="Y4" s="985"/>
      <c r="Z4" s="985"/>
      <c r="AA4" s="985"/>
      <c r="AB4" s="985"/>
      <c r="AC4" s="985"/>
      <c r="AD4" s="985"/>
      <c r="AE4" s="985"/>
      <c r="AF4" s="985">
        <f>O16</f>
        <v>0</v>
      </c>
      <c r="AG4" s="985"/>
      <c r="AH4" s="985">
        <f>O18+O65</f>
        <v>0</v>
      </c>
      <c r="AI4" s="985"/>
      <c r="AJ4" s="985">
        <f>O29+O53</f>
        <v>0</v>
      </c>
      <c r="AK4" s="985">
        <f>O48</f>
        <v>0</v>
      </c>
      <c r="AL4" s="985">
        <f>O54</f>
        <v>0</v>
      </c>
      <c r="AM4" s="985">
        <f>O45</f>
        <v>0</v>
      </c>
      <c r="AN4" s="985"/>
      <c r="AO4" s="985"/>
      <c r="AP4" s="985">
        <f>O17+O50+O57+O58</f>
        <v>45.99</v>
      </c>
      <c r="AQ4" s="985">
        <f>O49</f>
        <v>2.4000000000000004</v>
      </c>
      <c r="AR4" s="985">
        <f>O52</f>
        <v>0</v>
      </c>
      <c r="AS4" s="985">
        <f>O51+O60+O61+O62+O63+O64</f>
        <v>25</v>
      </c>
      <c r="AT4" s="985">
        <f>O47</f>
        <v>0</v>
      </c>
      <c r="AU4" s="985"/>
      <c r="AV4" s="985"/>
      <c r="AW4" s="985"/>
      <c r="AX4" s="985"/>
      <c r="AY4" s="985"/>
      <c r="AZ4" s="985"/>
      <c r="BA4" s="985"/>
    </row>
    <row r="5" spans="1:87" s="987" customFormat="1">
      <c r="A5" s="3801" t="s">
        <v>48</v>
      </c>
      <c r="B5" s="3801" t="s">
        <v>49</v>
      </c>
      <c r="C5" s="3801" t="s">
        <v>50</v>
      </c>
      <c r="D5" s="3801" t="s">
        <v>51</v>
      </c>
      <c r="E5" s="3801" t="s">
        <v>52</v>
      </c>
      <c r="F5" s="3866" t="s">
        <v>4478</v>
      </c>
      <c r="G5" s="3866"/>
      <c r="H5" s="3866"/>
      <c r="I5" s="3866"/>
      <c r="J5" s="3866"/>
      <c r="K5" s="3867" t="s">
        <v>4484</v>
      </c>
      <c r="L5" s="3868"/>
      <c r="M5" s="3868"/>
      <c r="N5" s="3868"/>
      <c r="O5" s="3868"/>
      <c r="P5" s="3868"/>
      <c r="Q5" s="3862" t="s">
        <v>4514</v>
      </c>
      <c r="R5" s="3862"/>
    </row>
    <row r="6" spans="1:87" s="987" customFormat="1" ht="45">
      <c r="A6" s="3801"/>
      <c r="B6" s="3801"/>
      <c r="C6" s="3801"/>
      <c r="D6" s="3801"/>
      <c r="E6" s="3801"/>
      <c r="F6" s="918" t="s">
        <v>4479</v>
      </c>
      <c r="G6" s="918" t="s">
        <v>4482</v>
      </c>
      <c r="H6" s="918" t="s">
        <v>4480</v>
      </c>
      <c r="I6" s="918" t="s">
        <v>4483</v>
      </c>
      <c r="J6" s="918" t="s">
        <v>2448</v>
      </c>
      <c r="K6" s="919" t="s">
        <v>53</v>
      </c>
      <c r="L6" s="919" t="s">
        <v>54</v>
      </c>
      <c r="M6" s="920" t="s">
        <v>55</v>
      </c>
      <c r="N6" s="919" t="s">
        <v>56</v>
      </c>
      <c r="O6" s="2821" t="s">
        <v>57</v>
      </c>
      <c r="P6" s="988" t="s">
        <v>5069</v>
      </c>
      <c r="Q6" s="989" t="s">
        <v>2450</v>
      </c>
      <c r="R6" s="2918" t="s">
        <v>4515</v>
      </c>
      <c r="S6" s="3104" t="s">
        <v>4538</v>
      </c>
      <c r="BB6" s="886" t="s">
        <v>5973</v>
      </c>
      <c r="BC6" s="886" t="s">
        <v>5432</v>
      </c>
      <c r="BD6" s="886" t="s">
        <v>5433</v>
      </c>
      <c r="BE6" s="886" t="s">
        <v>5434</v>
      </c>
      <c r="BF6" s="886" t="s">
        <v>5435</v>
      </c>
      <c r="BG6" s="886" t="s">
        <v>5436</v>
      </c>
      <c r="BH6" s="886" t="s">
        <v>5437</v>
      </c>
      <c r="BI6" s="886" t="s">
        <v>5959</v>
      </c>
      <c r="BJ6" s="886" t="s">
        <v>5438</v>
      </c>
      <c r="BK6" s="886" t="s">
        <v>5439</v>
      </c>
      <c r="BL6" s="886" t="s">
        <v>5960</v>
      </c>
      <c r="BM6" s="886" t="s">
        <v>5440</v>
      </c>
      <c r="BN6" s="886" t="s">
        <v>5441</v>
      </c>
      <c r="BO6" s="886" t="s">
        <v>5961</v>
      </c>
      <c r="BP6" s="886" t="s">
        <v>5974</v>
      </c>
      <c r="BQ6" s="886" t="s">
        <v>5975</v>
      </c>
      <c r="BR6" s="886" t="s">
        <v>5976</v>
      </c>
      <c r="BS6" s="886" t="s">
        <v>5977</v>
      </c>
      <c r="BT6" s="886" t="s">
        <v>5978</v>
      </c>
      <c r="BU6" s="886" t="s">
        <v>5979</v>
      </c>
      <c r="BV6" s="886" t="s">
        <v>5962</v>
      </c>
      <c r="BW6" s="886" t="s">
        <v>5963</v>
      </c>
      <c r="BX6" s="886" t="s">
        <v>5964</v>
      </c>
      <c r="BY6" s="886" t="s">
        <v>5965</v>
      </c>
      <c r="BZ6" s="886" t="s">
        <v>5966</v>
      </c>
      <c r="CA6" s="886" t="s">
        <v>5967</v>
      </c>
      <c r="CB6" s="886" t="s">
        <v>5968</v>
      </c>
      <c r="CC6" s="886" t="s">
        <v>5969</v>
      </c>
      <c r="CD6" s="886" t="s">
        <v>5970</v>
      </c>
      <c r="CE6" s="886" t="s">
        <v>5980</v>
      </c>
      <c r="CF6" s="886" t="s">
        <v>5971</v>
      </c>
      <c r="CG6" s="886" t="s">
        <v>5981</v>
      </c>
      <c r="CH6" s="886" t="s">
        <v>5982</v>
      </c>
      <c r="CI6" s="886" t="s">
        <v>5972</v>
      </c>
    </row>
    <row r="7" spans="1:87">
      <c r="A7" s="217">
        <v>2</v>
      </c>
      <c r="B7" s="990"/>
      <c r="C7" s="217" t="s">
        <v>2</v>
      </c>
      <c r="D7" s="991"/>
      <c r="E7" s="991"/>
      <c r="F7" s="991"/>
      <c r="G7" s="991"/>
      <c r="H7" s="991"/>
      <c r="I7" s="991"/>
      <c r="J7" s="991"/>
      <c r="K7" s="991"/>
      <c r="L7" s="991"/>
      <c r="M7" s="160"/>
      <c r="N7" s="991"/>
      <c r="O7" s="2948">
        <f>O8+O19+O31</f>
        <v>1266.8818495999999</v>
      </c>
      <c r="P7" s="992"/>
      <c r="Q7" s="993"/>
      <c r="R7" s="2956">
        <f>R8+R19+R31</f>
        <v>1127.8831</v>
      </c>
      <c r="S7" s="981">
        <v>0</v>
      </c>
      <c r="BB7" s="3302"/>
      <c r="BC7" s="3302"/>
      <c r="BD7" s="3302"/>
      <c r="BE7" s="3302"/>
      <c r="BF7" s="3302"/>
      <c r="BG7" s="3302"/>
      <c r="BH7" s="3302"/>
      <c r="BI7" s="3302"/>
      <c r="BJ7" s="3302"/>
      <c r="BK7" s="3302"/>
      <c r="BL7" s="3302"/>
      <c r="BM7" s="3302"/>
      <c r="BN7" s="3302"/>
      <c r="BO7" s="3302"/>
      <c r="BP7" s="3302"/>
      <c r="BQ7" s="3302"/>
      <c r="BR7" s="3302"/>
      <c r="BS7" s="3302"/>
      <c r="BT7" s="3302"/>
      <c r="BU7" s="3302"/>
      <c r="BV7" s="3302"/>
      <c r="BW7" s="3302"/>
      <c r="BX7" s="3302"/>
      <c r="BY7" s="3302"/>
      <c r="BZ7" s="3302"/>
      <c r="CA7" s="3302"/>
      <c r="CB7" s="3302"/>
      <c r="CC7" s="3302"/>
      <c r="CD7" s="3302"/>
      <c r="CE7" s="3302"/>
      <c r="CF7" s="3302"/>
      <c r="CG7" s="3302"/>
      <c r="CH7" s="3302"/>
      <c r="CI7" s="3302">
        <f t="shared" ref="CI7:CI10" si="0">SUM(BB7:CH7)</f>
        <v>0</v>
      </c>
    </row>
    <row r="8" spans="1:87">
      <c r="A8" s="84">
        <v>2.1</v>
      </c>
      <c r="B8" s="928"/>
      <c r="C8" s="84" t="s">
        <v>3</v>
      </c>
      <c r="D8" s="929"/>
      <c r="E8" s="929"/>
      <c r="F8" s="929"/>
      <c r="G8" s="929"/>
      <c r="H8" s="929"/>
      <c r="I8" s="929"/>
      <c r="J8" s="929"/>
      <c r="K8" s="929"/>
      <c r="L8" s="929"/>
      <c r="M8" s="994"/>
      <c r="N8" s="929"/>
      <c r="O8" s="2859">
        <f>O9+O12+O15</f>
        <v>189.69999960000001</v>
      </c>
      <c r="P8" s="995"/>
      <c r="Q8" s="996"/>
      <c r="R8" s="2957">
        <f>R9+R12+R15</f>
        <v>189.7</v>
      </c>
      <c r="BB8" s="3302"/>
      <c r="BC8" s="3302"/>
      <c r="BD8" s="3302"/>
      <c r="BE8" s="3302"/>
      <c r="BF8" s="3302"/>
      <c r="BG8" s="3302"/>
      <c r="BH8" s="3302"/>
      <c r="BI8" s="3302"/>
      <c r="BJ8" s="3302"/>
      <c r="BK8" s="3302"/>
      <c r="BL8" s="3302"/>
      <c r="BM8" s="3302"/>
      <c r="BN8" s="3302"/>
      <c r="BO8" s="3302"/>
      <c r="BP8" s="3302"/>
      <c r="BQ8" s="3302"/>
      <c r="BR8" s="3302"/>
      <c r="BS8" s="3302"/>
      <c r="BT8" s="3302"/>
      <c r="BU8" s="3302"/>
      <c r="BV8" s="3302"/>
      <c r="BW8" s="3302"/>
      <c r="BX8" s="3302"/>
      <c r="BY8" s="3302"/>
      <c r="BZ8" s="3302"/>
      <c r="CA8" s="3302"/>
      <c r="CB8" s="3302"/>
      <c r="CC8" s="3302"/>
      <c r="CD8" s="3302"/>
      <c r="CE8" s="3302"/>
      <c r="CF8" s="3302"/>
      <c r="CG8" s="3302"/>
      <c r="CH8" s="3302"/>
      <c r="CI8" s="3302">
        <f t="shared" si="0"/>
        <v>0</v>
      </c>
    </row>
    <row r="9" spans="1:87">
      <c r="A9" s="880" t="s">
        <v>59</v>
      </c>
      <c r="B9" s="936" t="s">
        <v>60</v>
      </c>
      <c r="C9" s="85" t="s">
        <v>61</v>
      </c>
      <c r="D9" s="997"/>
      <c r="E9" s="997"/>
      <c r="F9" s="997"/>
      <c r="G9" s="997"/>
      <c r="H9" s="997"/>
      <c r="I9" s="997"/>
      <c r="J9" s="997"/>
      <c r="K9" s="997"/>
      <c r="L9" s="997"/>
      <c r="M9" s="998"/>
      <c r="N9" s="997"/>
      <c r="O9" s="2976">
        <f>SUM(O10:O11)</f>
        <v>189.69999960000001</v>
      </c>
      <c r="P9" s="999"/>
      <c r="Q9" s="1000"/>
      <c r="R9" s="2986">
        <f>SUM(R10:R11)</f>
        <v>189.7</v>
      </c>
      <c r="BB9" s="3302"/>
      <c r="BC9" s="3302"/>
      <c r="BD9" s="3302"/>
      <c r="BE9" s="3302"/>
      <c r="BF9" s="3302"/>
      <c r="BG9" s="3302"/>
      <c r="BH9" s="3302"/>
      <c r="BI9" s="3302"/>
      <c r="BJ9" s="3302"/>
      <c r="BK9" s="3302"/>
      <c r="BL9" s="3302"/>
      <c r="BM9" s="3302"/>
      <c r="BN9" s="3302"/>
      <c r="BO9" s="3302"/>
      <c r="BP9" s="3302"/>
      <c r="BQ9" s="3302"/>
      <c r="BR9" s="3302"/>
      <c r="BS9" s="3302"/>
      <c r="BT9" s="3302"/>
      <c r="BU9" s="3302"/>
      <c r="BV9" s="3302"/>
      <c r="BW9" s="3302"/>
      <c r="BX9" s="3302"/>
      <c r="BY9" s="3302"/>
      <c r="BZ9" s="3302"/>
      <c r="CA9" s="3302"/>
      <c r="CB9" s="3302"/>
      <c r="CC9" s="3302"/>
      <c r="CD9" s="3302"/>
      <c r="CE9" s="3302"/>
      <c r="CF9" s="3302"/>
      <c r="CG9" s="3302"/>
      <c r="CH9" s="3302"/>
      <c r="CI9" s="3302">
        <f t="shared" si="0"/>
        <v>0</v>
      </c>
    </row>
    <row r="10" spans="1:87">
      <c r="A10" s="1001" t="s">
        <v>62</v>
      </c>
      <c r="B10" s="431" t="s">
        <v>63</v>
      </c>
      <c r="C10" s="431" t="s">
        <v>64</v>
      </c>
      <c r="D10" s="908" t="s">
        <v>65</v>
      </c>
      <c r="E10" s="946" t="s">
        <v>4541</v>
      </c>
      <c r="F10" s="170">
        <v>0</v>
      </c>
      <c r="G10" s="170"/>
      <c r="H10" s="170">
        <v>0</v>
      </c>
      <c r="I10" s="170"/>
      <c r="J10" s="170"/>
      <c r="K10" s="170"/>
      <c r="L10" s="170"/>
      <c r="M10" s="193">
        <f>L10/100000</f>
        <v>0</v>
      </c>
      <c r="N10" s="170"/>
      <c r="O10" s="2977">
        <f>M10*N10</f>
        <v>0</v>
      </c>
      <c r="P10" s="171"/>
      <c r="Q10" s="1022"/>
      <c r="R10" s="2973"/>
      <c r="BB10" s="3302"/>
      <c r="BC10" s="3302"/>
      <c r="BD10" s="3302"/>
      <c r="BE10" s="3302"/>
      <c r="BF10" s="3302"/>
      <c r="BG10" s="3302"/>
      <c r="BH10" s="3302"/>
      <c r="BI10" s="3302"/>
      <c r="BJ10" s="3302"/>
      <c r="BK10" s="3302"/>
      <c r="BL10" s="3302"/>
      <c r="BM10" s="3302"/>
      <c r="BN10" s="3302"/>
      <c r="BO10" s="3302"/>
      <c r="BP10" s="3302"/>
      <c r="BQ10" s="3302"/>
      <c r="BR10" s="3302"/>
      <c r="BS10" s="3302"/>
      <c r="BT10" s="3302"/>
      <c r="BU10" s="3302"/>
      <c r="BV10" s="3302"/>
      <c r="BW10" s="3302"/>
      <c r="BX10" s="3302"/>
      <c r="BY10" s="3302"/>
      <c r="BZ10" s="3302"/>
      <c r="CA10" s="3302"/>
      <c r="CB10" s="3302"/>
      <c r="CC10" s="3302"/>
      <c r="CD10" s="3302"/>
      <c r="CE10" s="3302"/>
      <c r="CF10" s="3302"/>
      <c r="CG10" s="3302"/>
      <c r="CH10" s="3302"/>
      <c r="CI10" s="3302">
        <f t="shared" si="0"/>
        <v>0</v>
      </c>
    </row>
    <row r="11" spans="1:87" ht="123" customHeight="1">
      <c r="A11" s="1001" t="s">
        <v>66</v>
      </c>
      <c r="B11" s="431" t="s">
        <v>67</v>
      </c>
      <c r="C11" s="431" t="s">
        <v>68</v>
      </c>
      <c r="D11" s="908" t="s">
        <v>65</v>
      </c>
      <c r="E11" s="946" t="s">
        <v>4541</v>
      </c>
      <c r="F11" s="224">
        <v>13</v>
      </c>
      <c r="G11" s="221">
        <v>12</v>
      </c>
      <c r="H11" s="238">
        <v>215.4</v>
      </c>
      <c r="I11" s="238"/>
      <c r="J11" s="184">
        <v>2154</v>
      </c>
      <c r="K11" s="2655">
        <v>1</v>
      </c>
      <c r="L11" s="2312">
        <v>1580833.33</v>
      </c>
      <c r="M11" s="193">
        <f>L11/100000</f>
        <v>15.808333300000001</v>
      </c>
      <c r="N11" s="170">
        <v>12</v>
      </c>
      <c r="O11" s="2977">
        <f>M11*N11</f>
        <v>189.69999960000001</v>
      </c>
      <c r="P11" s="2835" t="s">
        <v>5161</v>
      </c>
      <c r="Q11" s="1022" t="s">
        <v>5770</v>
      </c>
      <c r="R11" s="2973">
        <v>189.7</v>
      </c>
      <c r="BB11" s="3302">
        <v>189.7</v>
      </c>
      <c r="BC11" s="3302"/>
      <c r="BD11" s="3302"/>
      <c r="BE11" s="3302">
        <v>0</v>
      </c>
      <c r="BF11" s="3302"/>
      <c r="BG11" s="3302"/>
      <c r="BH11" s="3302"/>
      <c r="BI11" s="3302"/>
      <c r="BJ11" s="3302"/>
      <c r="BK11" s="3302"/>
      <c r="BL11" s="3302"/>
      <c r="BM11" s="3302"/>
      <c r="BN11" s="3302">
        <v>0</v>
      </c>
      <c r="BO11" s="3302"/>
      <c r="BP11" s="3302"/>
      <c r="BQ11" s="3302"/>
      <c r="BR11" s="3302"/>
      <c r="BS11" s="3302"/>
      <c r="BT11" s="3302"/>
      <c r="BU11" s="3302"/>
      <c r="BV11" s="3302"/>
      <c r="BW11" s="3302"/>
      <c r="BX11" s="3302"/>
      <c r="BY11" s="3302"/>
      <c r="BZ11" s="3302"/>
      <c r="CA11" s="3302"/>
      <c r="CB11" s="3302"/>
      <c r="CC11" s="3302"/>
      <c r="CD11" s="3302"/>
      <c r="CE11" s="3302"/>
      <c r="CF11" s="3302"/>
      <c r="CG11" s="3302"/>
      <c r="CH11" s="3302"/>
      <c r="CI11" s="3302">
        <f>SUM(BB11:CH11)</f>
        <v>189.7</v>
      </c>
    </row>
    <row r="12" spans="1:87" ht="30">
      <c r="A12" s="880" t="s">
        <v>69</v>
      </c>
      <c r="B12" s="936" t="s">
        <v>70</v>
      </c>
      <c r="C12" s="85" t="s">
        <v>71</v>
      </c>
      <c r="D12" s="997"/>
      <c r="E12" s="997"/>
      <c r="F12" s="237"/>
      <c r="G12" s="237"/>
      <c r="H12" s="237"/>
      <c r="I12" s="237"/>
      <c r="J12" s="237"/>
      <c r="K12" s="237"/>
      <c r="L12" s="237"/>
      <c r="M12" s="998"/>
      <c r="N12" s="237"/>
      <c r="O12" s="2976">
        <f>SUM(O13:O14)</f>
        <v>0</v>
      </c>
      <c r="P12" s="706"/>
      <c r="Q12" s="1000"/>
      <c r="R12" s="2986">
        <f>SUM(R13:R14)</f>
        <v>0</v>
      </c>
      <c r="BB12" s="3302"/>
      <c r="BC12" s="3302"/>
      <c r="BD12" s="3302"/>
      <c r="BE12" s="3302"/>
      <c r="BF12" s="3302"/>
      <c r="BG12" s="3302"/>
      <c r="BH12" s="3302"/>
      <c r="BI12" s="3302"/>
      <c r="BJ12" s="3302"/>
      <c r="BK12" s="3302"/>
      <c r="BL12" s="3302"/>
      <c r="BM12" s="3302"/>
      <c r="BN12" s="3302"/>
      <c r="BO12" s="3302"/>
      <c r="BP12" s="3302"/>
      <c r="BQ12" s="3302"/>
      <c r="BR12" s="3302"/>
      <c r="BS12" s="3302"/>
      <c r="BT12" s="3302"/>
      <c r="BU12" s="3302"/>
      <c r="BV12" s="3302"/>
      <c r="BW12" s="3302"/>
      <c r="BX12" s="3302"/>
      <c r="BY12" s="3302"/>
      <c r="BZ12" s="3302"/>
      <c r="CA12" s="3302"/>
      <c r="CB12" s="3302"/>
      <c r="CC12" s="3302"/>
      <c r="CD12" s="3302"/>
      <c r="CE12" s="3302"/>
      <c r="CF12" s="3302"/>
      <c r="CG12" s="3302"/>
      <c r="CH12" s="3302"/>
      <c r="CI12" s="3302">
        <f t="shared" ref="CI12:CI66" si="1">SUM(BB12:CH12)</f>
        <v>0</v>
      </c>
    </row>
    <row r="13" spans="1:87">
      <c r="A13" s="1001" t="s">
        <v>72</v>
      </c>
      <c r="B13" s="1002" t="s">
        <v>73</v>
      </c>
      <c r="C13" s="1002" t="s">
        <v>64</v>
      </c>
      <c r="D13" s="908" t="s">
        <v>65</v>
      </c>
      <c r="E13" s="946" t="s">
        <v>4541</v>
      </c>
      <c r="F13" s="224">
        <v>0</v>
      </c>
      <c r="G13" s="224"/>
      <c r="H13" s="238">
        <v>0</v>
      </c>
      <c r="I13" s="238"/>
      <c r="J13" s="224"/>
      <c r="K13" s="224"/>
      <c r="L13" s="170"/>
      <c r="M13" s="193">
        <f>L13/100000</f>
        <v>0</v>
      </c>
      <c r="N13" s="170"/>
      <c r="O13" s="2977">
        <f>M13*N13</f>
        <v>0</v>
      </c>
      <c r="P13" s="171"/>
      <c r="Q13" s="1022"/>
      <c r="R13" s="2973"/>
      <c r="BB13" s="3302"/>
      <c r="BC13" s="3302"/>
      <c r="BD13" s="3302"/>
      <c r="BE13" s="3302"/>
      <c r="BF13" s="3302"/>
      <c r="BG13" s="3302"/>
      <c r="BH13" s="3302"/>
      <c r="BI13" s="3302"/>
      <c r="BJ13" s="3302"/>
      <c r="BK13" s="3302"/>
      <c r="BL13" s="3302"/>
      <c r="BM13" s="3302"/>
      <c r="BN13" s="3302"/>
      <c r="BO13" s="3302"/>
      <c r="BP13" s="3302"/>
      <c r="BQ13" s="3302"/>
      <c r="BR13" s="3302"/>
      <c r="BS13" s="3302"/>
      <c r="BT13" s="3302"/>
      <c r="BU13" s="3302"/>
      <c r="BV13" s="3302"/>
      <c r="BW13" s="3302"/>
      <c r="BX13" s="3302"/>
      <c r="BY13" s="3302"/>
      <c r="BZ13" s="3302"/>
      <c r="CA13" s="3302"/>
      <c r="CB13" s="3302"/>
      <c r="CC13" s="3302"/>
      <c r="CD13" s="3302"/>
      <c r="CE13" s="3302"/>
      <c r="CF13" s="3302"/>
      <c r="CG13" s="3302"/>
      <c r="CH13" s="3302"/>
      <c r="CI13" s="3302">
        <f t="shared" si="1"/>
        <v>0</v>
      </c>
    </row>
    <row r="14" spans="1:87" s="1016" customFormat="1" ht="21">
      <c r="A14" s="1001" t="s">
        <v>74</v>
      </c>
      <c r="B14" s="1001" t="s">
        <v>75</v>
      </c>
      <c r="C14" s="1001" t="s">
        <v>68</v>
      </c>
      <c r="D14" s="982" t="s">
        <v>65</v>
      </c>
      <c r="E14" s="2309" t="s">
        <v>4541</v>
      </c>
      <c r="F14" s="231"/>
      <c r="G14" s="2310"/>
      <c r="H14" s="242"/>
      <c r="I14" s="242"/>
      <c r="J14" s="2311"/>
      <c r="K14" s="2311"/>
      <c r="L14" s="2312"/>
      <c r="M14" s="957">
        <f>L14/100000</f>
        <v>0</v>
      </c>
      <c r="N14" s="2313"/>
      <c r="O14" s="2978">
        <f>M14*N14</f>
        <v>0</v>
      </c>
      <c r="P14" s="2314"/>
      <c r="Q14" s="2315"/>
      <c r="R14" s="2987"/>
      <c r="BB14" s="3303"/>
      <c r="BC14" s="3303"/>
      <c r="BD14" s="3303"/>
      <c r="BE14" s="3303"/>
      <c r="BF14" s="3303"/>
      <c r="BG14" s="3303"/>
      <c r="BH14" s="3303"/>
      <c r="BI14" s="3303"/>
      <c r="BJ14" s="3303"/>
      <c r="BK14" s="3303"/>
      <c r="BL14" s="3303"/>
      <c r="BM14" s="3303"/>
      <c r="BN14" s="3303"/>
      <c r="BO14" s="3303"/>
      <c r="BP14" s="3303"/>
      <c r="BQ14" s="3303"/>
      <c r="BR14" s="3303"/>
      <c r="BS14" s="3303"/>
      <c r="BT14" s="3303"/>
      <c r="BU14" s="3303"/>
      <c r="BV14" s="3303"/>
      <c r="BW14" s="3303"/>
      <c r="BX14" s="3303"/>
      <c r="BY14" s="3303"/>
      <c r="BZ14" s="3303"/>
      <c r="CA14" s="3303"/>
      <c r="CB14" s="3303"/>
      <c r="CC14" s="3303"/>
      <c r="CD14" s="3303"/>
      <c r="CE14" s="3303"/>
      <c r="CF14" s="3303"/>
      <c r="CG14" s="3303"/>
      <c r="CH14" s="3303"/>
      <c r="CI14" s="3302">
        <f t="shared" si="1"/>
        <v>0</v>
      </c>
    </row>
    <row r="15" spans="1:87">
      <c r="A15" s="880" t="s">
        <v>76</v>
      </c>
      <c r="B15" s="936"/>
      <c r="C15" s="85" t="s">
        <v>2598</v>
      </c>
      <c r="D15" s="997"/>
      <c r="E15" s="997"/>
      <c r="F15" s="237"/>
      <c r="G15" s="237"/>
      <c r="H15" s="237"/>
      <c r="I15" s="237"/>
      <c r="J15" s="237"/>
      <c r="K15" s="237"/>
      <c r="L15" s="237"/>
      <c r="M15" s="998"/>
      <c r="N15" s="237"/>
      <c r="O15" s="2976">
        <f>SUM(O16:O18)</f>
        <v>0</v>
      </c>
      <c r="P15" s="706"/>
      <c r="Q15" s="1000"/>
      <c r="R15" s="2986">
        <f>SUM(R16:R18)</f>
        <v>0</v>
      </c>
      <c r="BB15" s="3302"/>
      <c r="BC15" s="3302"/>
      <c r="BD15" s="3302"/>
      <c r="BE15" s="3302"/>
      <c r="BF15" s="3302"/>
      <c r="BG15" s="3302"/>
      <c r="BH15" s="3302"/>
      <c r="BI15" s="3302"/>
      <c r="BJ15" s="3302"/>
      <c r="BK15" s="3302"/>
      <c r="BL15" s="3302"/>
      <c r="BM15" s="3302"/>
      <c r="BN15" s="3302"/>
      <c r="BO15" s="3302"/>
      <c r="BP15" s="3302"/>
      <c r="BQ15" s="3302"/>
      <c r="BR15" s="3302"/>
      <c r="BS15" s="3302"/>
      <c r="BT15" s="3302"/>
      <c r="BU15" s="3302"/>
      <c r="BV15" s="3302"/>
      <c r="BW15" s="3302"/>
      <c r="BX15" s="3302"/>
      <c r="BY15" s="3302"/>
      <c r="BZ15" s="3302"/>
      <c r="CA15" s="3302"/>
      <c r="CB15" s="3302"/>
      <c r="CC15" s="3302"/>
      <c r="CD15" s="3302"/>
      <c r="CE15" s="3302"/>
      <c r="CF15" s="3302"/>
      <c r="CG15" s="3302"/>
      <c r="CH15" s="3302"/>
      <c r="CI15" s="3302">
        <f t="shared" si="1"/>
        <v>0</v>
      </c>
    </row>
    <row r="16" spans="1:87" ht="30">
      <c r="A16" s="233" t="s">
        <v>2599</v>
      </c>
      <c r="B16" s="431" t="s">
        <v>77</v>
      </c>
      <c r="C16" s="942" t="s">
        <v>3942</v>
      </c>
      <c r="D16" s="908" t="s">
        <v>65</v>
      </c>
      <c r="E16" s="945" t="s">
        <v>2081</v>
      </c>
      <c r="F16" s="224">
        <v>0</v>
      </c>
      <c r="G16" s="224"/>
      <c r="H16" s="238">
        <v>0</v>
      </c>
      <c r="I16" s="238"/>
      <c r="J16" s="239"/>
      <c r="K16" s="224"/>
      <c r="L16" s="170"/>
      <c r="M16" s="193">
        <f>L16/100000</f>
        <v>0</v>
      </c>
      <c r="N16" s="170"/>
      <c r="O16" s="2977">
        <f>M16*N16</f>
        <v>0</v>
      </c>
      <c r="P16" s="171"/>
      <c r="Q16" s="1003">
        <f>'Abs5. Blood services &amp; Disorder'!Q10</f>
        <v>0</v>
      </c>
      <c r="R16" s="2988">
        <f>'Abs5. Blood services &amp; Disorder'!R10</f>
        <v>0</v>
      </c>
      <c r="BB16" s="3302"/>
      <c r="BC16" s="3302"/>
      <c r="BD16" s="3302"/>
      <c r="BE16" s="3302"/>
      <c r="BF16" s="3302"/>
      <c r="BG16" s="3302"/>
      <c r="BH16" s="3302"/>
      <c r="BI16" s="3302"/>
      <c r="BJ16" s="3302"/>
      <c r="BK16" s="3302"/>
      <c r="BL16" s="3302"/>
      <c r="BM16" s="3302"/>
      <c r="BN16" s="3302"/>
      <c r="BO16" s="3302"/>
      <c r="BP16" s="3302"/>
      <c r="BQ16" s="3302"/>
      <c r="BR16" s="3302"/>
      <c r="BS16" s="3302"/>
      <c r="BT16" s="3302"/>
      <c r="BU16" s="3302"/>
      <c r="BV16" s="3302"/>
      <c r="BW16" s="3302"/>
      <c r="BX16" s="3302"/>
      <c r="BY16" s="3302"/>
      <c r="BZ16" s="3302"/>
      <c r="CA16" s="3302"/>
      <c r="CB16" s="3302"/>
      <c r="CC16" s="3302"/>
      <c r="CD16" s="3302"/>
      <c r="CE16" s="3302"/>
      <c r="CF16" s="3302"/>
      <c r="CG16" s="3302"/>
      <c r="CH16" s="3302"/>
      <c r="CI16" s="3302">
        <f t="shared" si="1"/>
        <v>0</v>
      </c>
    </row>
    <row r="17" spans="1:87">
      <c r="A17" s="233" t="s">
        <v>2600</v>
      </c>
      <c r="B17" s="431" t="s">
        <v>78</v>
      </c>
      <c r="C17" s="431" t="s">
        <v>79</v>
      </c>
      <c r="D17" s="911" t="s">
        <v>80</v>
      </c>
      <c r="E17" s="945" t="s">
        <v>81</v>
      </c>
      <c r="F17" s="168">
        <v>0</v>
      </c>
      <c r="G17" s="168"/>
      <c r="H17" s="168">
        <v>0</v>
      </c>
      <c r="I17" s="168"/>
      <c r="J17" s="168"/>
      <c r="K17" s="168"/>
      <c r="L17" s="170"/>
      <c r="M17" s="193">
        <f>L17/100000</f>
        <v>0</v>
      </c>
      <c r="N17" s="170"/>
      <c r="O17" s="2977">
        <f>M17*N17</f>
        <v>0</v>
      </c>
      <c r="P17" s="171"/>
      <c r="Q17" s="1003">
        <f>'Abs15. NPCB'!Q7</f>
        <v>0</v>
      </c>
      <c r="R17" s="2988">
        <f>'Abs15. NPCB'!R7</f>
        <v>0</v>
      </c>
      <c r="BB17" s="3302"/>
      <c r="BC17" s="3302"/>
      <c r="BD17" s="3302"/>
      <c r="BE17" s="3302"/>
      <c r="BF17" s="3302"/>
      <c r="BG17" s="3302"/>
      <c r="BH17" s="3302"/>
      <c r="BI17" s="3302"/>
      <c r="BJ17" s="3302"/>
      <c r="BK17" s="3302"/>
      <c r="BL17" s="3302"/>
      <c r="BM17" s="3302"/>
      <c r="BN17" s="3302"/>
      <c r="BO17" s="3302"/>
      <c r="BP17" s="3302"/>
      <c r="BQ17" s="3302"/>
      <c r="BR17" s="3302"/>
      <c r="BS17" s="3302"/>
      <c r="BT17" s="3302"/>
      <c r="BU17" s="3302"/>
      <c r="BV17" s="3302"/>
      <c r="BW17" s="3302"/>
      <c r="BX17" s="3302"/>
      <c r="BY17" s="3302"/>
      <c r="BZ17" s="3302"/>
      <c r="CA17" s="3302"/>
      <c r="CB17" s="3302"/>
      <c r="CC17" s="3302"/>
      <c r="CD17" s="3302"/>
      <c r="CE17" s="3302"/>
      <c r="CF17" s="3302"/>
      <c r="CG17" s="3302"/>
      <c r="CH17" s="3302"/>
      <c r="CI17" s="3302">
        <f t="shared" si="1"/>
        <v>0</v>
      </c>
    </row>
    <row r="18" spans="1:87">
      <c r="A18" s="233" t="s">
        <v>2601</v>
      </c>
      <c r="B18" s="1004"/>
      <c r="C18" s="431" t="s">
        <v>1304</v>
      </c>
      <c r="D18" s="908" t="s">
        <v>65</v>
      </c>
      <c r="E18" s="945" t="s">
        <v>65</v>
      </c>
      <c r="F18" s="224">
        <v>0</v>
      </c>
      <c r="G18" s="224"/>
      <c r="H18" s="238">
        <v>0</v>
      </c>
      <c r="I18" s="238"/>
      <c r="J18" s="224"/>
      <c r="K18" s="224"/>
      <c r="L18" s="170"/>
      <c r="M18" s="193">
        <f>L18/100000</f>
        <v>0</v>
      </c>
      <c r="N18" s="170"/>
      <c r="O18" s="2977">
        <f>M18*N18</f>
        <v>0</v>
      </c>
      <c r="P18" s="171"/>
      <c r="Q18" s="1022"/>
      <c r="R18" s="2973"/>
      <c r="BB18" s="3302"/>
      <c r="BC18" s="3302"/>
      <c r="BD18" s="3302"/>
      <c r="BE18" s="3302"/>
      <c r="BF18" s="3302"/>
      <c r="BG18" s="3302"/>
      <c r="BH18" s="3302"/>
      <c r="BI18" s="3302"/>
      <c r="BJ18" s="3302"/>
      <c r="BK18" s="3302"/>
      <c r="BL18" s="3302"/>
      <c r="BM18" s="3302"/>
      <c r="BN18" s="3302"/>
      <c r="BO18" s="3302"/>
      <c r="BP18" s="3302"/>
      <c r="BQ18" s="3302"/>
      <c r="BR18" s="3302"/>
      <c r="BS18" s="3302"/>
      <c r="BT18" s="3302"/>
      <c r="BU18" s="3302"/>
      <c r="BV18" s="3302"/>
      <c r="BW18" s="3302"/>
      <c r="BX18" s="3302"/>
      <c r="BY18" s="3302"/>
      <c r="BZ18" s="3302"/>
      <c r="CA18" s="3302"/>
      <c r="CB18" s="3302"/>
      <c r="CC18" s="3302"/>
      <c r="CD18" s="3302"/>
      <c r="CE18" s="3302"/>
      <c r="CF18" s="3302"/>
      <c r="CG18" s="3302"/>
      <c r="CH18" s="3302"/>
      <c r="CI18" s="3302">
        <f t="shared" si="1"/>
        <v>0</v>
      </c>
    </row>
    <row r="19" spans="1:87">
      <c r="A19" s="84">
        <v>2.2000000000000002</v>
      </c>
      <c r="B19" s="928"/>
      <c r="C19" s="84" t="s">
        <v>4</v>
      </c>
      <c r="D19" s="929"/>
      <c r="E19" s="929"/>
      <c r="F19" s="150"/>
      <c r="G19" s="150"/>
      <c r="H19" s="150"/>
      <c r="I19" s="150"/>
      <c r="J19" s="150"/>
      <c r="K19" s="150"/>
      <c r="L19" s="150"/>
      <c r="M19" s="994"/>
      <c r="N19" s="150"/>
      <c r="O19" s="2859">
        <f>SUM(O20:O30)</f>
        <v>735.69809999999995</v>
      </c>
      <c r="P19" s="705"/>
      <c r="Q19" s="996"/>
      <c r="R19" s="2957">
        <f>SUM(R20:R30)</f>
        <v>735.69809999999995</v>
      </c>
      <c r="BB19" s="3302"/>
      <c r="BC19" s="3302"/>
      <c r="BD19" s="3302"/>
      <c r="BE19" s="3302"/>
      <c r="BF19" s="3302"/>
      <c r="BG19" s="3302"/>
      <c r="BH19" s="3302"/>
      <c r="BI19" s="3302"/>
      <c r="BJ19" s="3302"/>
      <c r="BK19" s="3302"/>
      <c r="BL19" s="3302"/>
      <c r="BM19" s="3302"/>
      <c r="BN19" s="3302"/>
      <c r="BO19" s="3302"/>
      <c r="BP19" s="3302"/>
      <c r="BQ19" s="3302"/>
      <c r="BR19" s="3302"/>
      <c r="BS19" s="3302"/>
      <c r="BT19" s="3302"/>
      <c r="BU19" s="3302"/>
      <c r="BV19" s="3302"/>
      <c r="BW19" s="3302"/>
      <c r="BX19" s="3302"/>
      <c r="BY19" s="3302"/>
      <c r="BZ19" s="3302"/>
      <c r="CA19" s="3302"/>
      <c r="CB19" s="3302"/>
      <c r="CC19" s="3302"/>
      <c r="CD19" s="3302"/>
      <c r="CE19" s="3302"/>
      <c r="CF19" s="3302"/>
      <c r="CG19" s="3302"/>
      <c r="CH19" s="3302"/>
      <c r="CI19" s="3302">
        <f t="shared" si="1"/>
        <v>0</v>
      </c>
    </row>
    <row r="20" spans="1:87" s="1016" customFormat="1" ht="93.75">
      <c r="A20" s="1001" t="s">
        <v>82</v>
      </c>
      <c r="B20" s="233" t="s">
        <v>83</v>
      </c>
      <c r="C20" s="233" t="s">
        <v>84</v>
      </c>
      <c r="D20" s="2254" t="s">
        <v>85</v>
      </c>
      <c r="E20" s="2512" t="s">
        <v>86</v>
      </c>
      <c r="F20" s="231">
        <v>12</v>
      </c>
      <c r="G20" s="231"/>
      <c r="H20" s="242">
        <v>18</v>
      </c>
      <c r="I20" s="2534">
        <v>1.6</v>
      </c>
      <c r="J20" s="2536">
        <v>16.399999999999999</v>
      </c>
      <c r="K20" s="2535">
        <v>1</v>
      </c>
      <c r="L20" s="2536">
        <v>150000</v>
      </c>
      <c r="M20" s="957">
        <f t="shared" ref="M20:M30" si="2">L20/100000</f>
        <v>1.5</v>
      </c>
      <c r="N20" s="2536">
        <v>10</v>
      </c>
      <c r="O20" s="2978">
        <f t="shared" ref="O20:O30" si="3">M20*N20</f>
        <v>15</v>
      </c>
      <c r="P20" s="2537" t="s">
        <v>5323</v>
      </c>
      <c r="Q20" s="2257" t="str">
        <f>'Ab1. RMNCH+A'!Q212</f>
        <v>Ongoing activity : Rs 15.00 lakhs is recommended for approval  for POL for mobility support for 10 Districts  to surgeon's team  for  FP services @ Rs.150000/District</v>
      </c>
      <c r="R20" s="2935">
        <f>'Ab1. RMNCH+A'!R212</f>
        <v>15</v>
      </c>
      <c r="BB20" s="3303"/>
      <c r="BC20" s="3303">
        <v>1.5</v>
      </c>
      <c r="BD20" s="3303">
        <v>1.5</v>
      </c>
      <c r="BE20" s="3303">
        <v>1.5</v>
      </c>
      <c r="BF20" s="3303">
        <v>2</v>
      </c>
      <c r="BG20" s="3303">
        <v>0.5</v>
      </c>
      <c r="BH20" s="3303">
        <v>1</v>
      </c>
      <c r="BI20" s="3303">
        <v>0.5</v>
      </c>
      <c r="BJ20" s="3303">
        <v>1.5</v>
      </c>
      <c r="BK20" s="3303">
        <v>1.5</v>
      </c>
      <c r="BL20" s="3303">
        <v>1</v>
      </c>
      <c r="BM20" s="3303">
        <v>1</v>
      </c>
      <c r="BN20" s="3303">
        <v>1.5</v>
      </c>
      <c r="BO20" s="3303"/>
      <c r="BP20" s="3303"/>
      <c r="BQ20" s="3303"/>
      <c r="BR20" s="3303"/>
      <c r="BS20" s="3303"/>
      <c r="BT20" s="3303"/>
      <c r="BU20" s="3303"/>
      <c r="BV20" s="3303"/>
      <c r="BW20" s="3303"/>
      <c r="BX20" s="3303"/>
      <c r="BY20" s="3303"/>
      <c r="BZ20" s="3303"/>
      <c r="CA20" s="3303"/>
      <c r="CB20" s="3303"/>
      <c r="CC20" s="3303"/>
      <c r="CD20" s="3303"/>
      <c r="CE20" s="3303"/>
      <c r="CF20" s="3303"/>
      <c r="CG20" s="3303"/>
      <c r="CH20" s="3303"/>
      <c r="CI20" s="3302">
        <f t="shared" si="1"/>
        <v>15</v>
      </c>
    </row>
    <row r="21" spans="1:87" s="1016" customFormat="1" ht="99" customHeight="1">
      <c r="A21" s="1001" t="s">
        <v>87</v>
      </c>
      <c r="B21" s="233" t="s">
        <v>88</v>
      </c>
      <c r="C21" s="233" t="s">
        <v>3031</v>
      </c>
      <c r="D21" s="2254" t="s">
        <v>85</v>
      </c>
      <c r="E21" s="2439" t="s">
        <v>188</v>
      </c>
      <c r="F21" s="243">
        <v>39</v>
      </c>
      <c r="G21" s="243"/>
      <c r="H21" s="243">
        <v>4.68</v>
      </c>
      <c r="I21" s="243">
        <v>0.59</v>
      </c>
      <c r="J21" s="243">
        <v>4.09</v>
      </c>
      <c r="K21" s="231"/>
      <c r="L21" s="2448">
        <f>(900*12*21)+(900*20*6)</f>
        <v>334800</v>
      </c>
      <c r="M21" s="957">
        <f t="shared" si="2"/>
        <v>3.3479999999999999</v>
      </c>
      <c r="N21" s="2313">
        <v>1</v>
      </c>
      <c r="O21" s="2978">
        <f t="shared" si="3"/>
        <v>3.3479999999999999</v>
      </c>
      <c r="P21" s="2256" t="s">
        <v>5227</v>
      </c>
      <c r="Q21" s="2257" t="str">
        <f>'Ab1. RMNCH+A'!Q295</f>
        <v>Continued activityRecommended for approval of Rs 3.35 lakh for outreach activities as follows:1. for existing 21 counselors for 2 visits/month for 12 months @ Rs 250/visit2. for existing 21 counselors for 2 visits/month for 12 months @ Rs 200/visit for supporting SHP3. for 20 new AH counselors for 2 visits  per month for 12 months @ Rs 250/visit4. for 20 new AH counselors for 2 visits  per month for 12 months @ Rs 200/visit for supporting SHP</v>
      </c>
      <c r="R21" s="2935">
        <f>'Ab1. RMNCH+A'!R295</f>
        <v>3.3479999999999999</v>
      </c>
      <c r="BB21" s="3303">
        <v>1.1499999999999999</v>
      </c>
      <c r="BC21" s="3303">
        <v>0.22</v>
      </c>
      <c r="BD21" s="3303">
        <v>0.11</v>
      </c>
      <c r="BE21" s="3303">
        <v>0.22</v>
      </c>
      <c r="BF21" s="3303">
        <v>0.22</v>
      </c>
      <c r="BG21" s="3303">
        <v>0.11</v>
      </c>
      <c r="BH21" s="3303">
        <v>0.22</v>
      </c>
      <c r="BI21" s="3303">
        <v>0.11</v>
      </c>
      <c r="BJ21" s="3303">
        <v>0.11</v>
      </c>
      <c r="BK21" s="3303">
        <v>0.22</v>
      </c>
      <c r="BL21" s="3303">
        <v>0.22</v>
      </c>
      <c r="BM21" s="3303">
        <v>0.22</v>
      </c>
      <c r="BN21" s="3303">
        <v>0.22</v>
      </c>
      <c r="BO21" s="3303"/>
      <c r="BP21" s="3303"/>
      <c r="BQ21" s="3303"/>
      <c r="BR21" s="3303"/>
      <c r="BS21" s="3303"/>
      <c r="BT21" s="3303"/>
      <c r="BU21" s="3303"/>
      <c r="BV21" s="3303"/>
      <c r="BW21" s="3303"/>
      <c r="BX21" s="3303"/>
      <c r="BY21" s="3303"/>
      <c r="BZ21" s="3303"/>
      <c r="CA21" s="3303"/>
      <c r="CB21" s="3303"/>
      <c r="CC21" s="3303"/>
      <c r="CD21" s="3303"/>
      <c r="CE21" s="3303"/>
      <c r="CF21" s="3303"/>
      <c r="CG21" s="3303"/>
      <c r="CH21" s="3303"/>
      <c r="CI21" s="3302">
        <f t="shared" si="1"/>
        <v>3.3500000000000005</v>
      </c>
    </row>
    <row r="22" spans="1:87" s="1016" customFormat="1" ht="101.25" customHeight="1">
      <c r="A22" s="1001" t="s">
        <v>89</v>
      </c>
      <c r="B22" s="1004" t="s">
        <v>90</v>
      </c>
      <c r="C22" s="1004" t="s">
        <v>2602</v>
      </c>
      <c r="D22" s="2254" t="s">
        <v>85</v>
      </c>
      <c r="E22" s="2512" t="s">
        <v>91</v>
      </c>
      <c r="F22" s="243">
        <v>150</v>
      </c>
      <c r="G22" s="243"/>
      <c r="H22" s="243">
        <v>600</v>
      </c>
      <c r="I22" s="243">
        <v>171.41</v>
      </c>
      <c r="J22" s="2538">
        <v>428.59</v>
      </c>
      <c r="K22" s="243">
        <v>1</v>
      </c>
      <c r="L22" s="2504">
        <v>400000</v>
      </c>
      <c r="M22" s="957">
        <f t="shared" si="2"/>
        <v>4</v>
      </c>
      <c r="N22" s="2504">
        <v>150</v>
      </c>
      <c r="O22" s="2978">
        <f t="shared" si="3"/>
        <v>600</v>
      </c>
      <c r="P22" s="2256" t="s">
        <v>5347</v>
      </c>
      <c r="Q22" s="2257" t="str">
        <f>'Ab1. RMNCH+A'!Q349</f>
        <v xml:space="preserve">Continued activityRecommended for approval of Rs.600 lakhs for hiring of 150 dedicated vehicles one per RBSK Mobile Health Team on monthly basis @ Rs 4.00 lakhs per annum as proposed by the State. Expenditure will be as per actuals. State rules and regulations are applicable for hiring of vehicles. The State to ensure that each vehicle bears RBSK visibility branding on vehicle as per GoI guidelines for vehicle branding. </v>
      </c>
      <c r="R22" s="2935">
        <f>'Ab1. RMNCH+A'!R349</f>
        <v>600</v>
      </c>
      <c r="BC22" s="3303">
        <v>29.17</v>
      </c>
      <c r="BD22" s="3303">
        <v>54.17</v>
      </c>
      <c r="BE22" s="3303">
        <v>45.83</v>
      </c>
      <c r="BF22" s="3303">
        <v>133.33000000000001</v>
      </c>
      <c r="BG22" s="3303">
        <v>12.5</v>
      </c>
      <c r="BH22" s="3303">
        <v>37.5</v>
      </c>
      <c r="BI22" s="3303">
        <v>8.33</v>
      </c>
      <c r="BJ22" s="3303">
        <v>91.67</v>
      </c>
      <c r="BK22" s="3303">
        <v>58.33</v>
      </c>
      <c r="BL22" s="3303">
        <v>50</v>
      </c>
      <c r="BM22" s="3303">
        <v>37.5</v>
      </c>
      <c r="BN22" s="3303">
        <v>41.67</v>
      </c>
      <c r="BO22" s="3303"/>
      <c r="BP22" s="3303"/>
      <c r="BQ22" s="3303"/>
      <c r="BR22" s="3303"/>
      <c r="BS22" s="3303"/>
      <c r="BT22" s="3303"/>
      <c r="BU22" s="3303"/>
      <c r="BV22" s="3303"/>
      <c r="BW22" s="3303"/>
      <c r="BX22" s="3303"/>
      <c r="BY22" s="3303"/>
      <c r="BZ22" s="3303"/>
      <c r="CA22" s="3303"/>
      <c r="CB22" s="3303"/>
      <c r="CC22" s="3303"/>
      <c r="CD22" s="3303"/>
      <c r="CE22" s="3303"/>
      <c r="CF22" s="3303"/>
      <c r="CG22" s="3303"/>
      <c r="CH22" s="3303"/>
      <c r="CI22" s="3302">
        <f>SUM(BC22:CH22)</f>
        <v>599.99999999999989</v>
      </c>
    </row>
    <row r="23" spans="1:87" s="1016" customFormat="1" ht="75">
      <c r="A23" s="1001" t="s">
        <v>92</v>
      </c>
      <c r="B23" s="1004" t="s">
        <v>2393</v>
      </c>
      <c r="C23" s="1004" t="s">
        <v>2603</v>
      </c>
      <c r="D23" s="2254" t="s">
        <v>85</v>
      </c>
      <c r="E23" s="2512" t="s">
        <v>91</v>
      </c>
      <c r="F23" s="243">
        <v>150</v>
      </c>
      <c r="G23" s="243"/>
      <c r="H23" s="243">
        <v>9</v>
      </c>
      <c r="I23" s="243">
        <v>0.35</v>
      </c>
      <c r="J23" s="2538">
        <v>8.65</v>
      </c>
      <c r="K23" s="243">
        <v>1</v>
      </c>
      <c r="L23" s="2504">
        <v>6000</v>
      </c>
      <c r="M23" s="957">
        <f t="shared" si="2"/>
        <v>0.06</v>
      </c>
      <c r="N23" s="2504">
        <v>150</v>
      </c>
      <c r="O23" s="2978">
        <f t="shared" si="3"/>
        <v>9</v>
      </c>
      <c r="P23" s="2256" t="s">
        <v>5348</v>
      </c>
      <c r="Q23" s="2257" t="str">
        <f>'Ab1. RMNCH+A'!Q350</f>
        <v xml:space="preserve">Continued activityRecommended for approval of Rs.9.00 lakhs for rental of 150 data cards @ Rs 6000 per annum. The State to ensure that each RBSK team upload data in the online RBSK MIS. </v>
      </c>
      <c r="R23" s="2935">
        <f>'Ab1. RMNCH+A'!R350</f>
        <v>9</v>
      </c>
      <c r="BB23" s="3303">
        <v>0.36</v>
      </c>
      <c r="BC23" s="3303">
        <v>0.42</v>
      </c>
      <c r="BD23" s="3303">
        <v>0.78</v>
      </c>
      <c r="BE23" s="3303">
        <v>0.66</v>
      </c>
      <c r="BF23" s="3303">
        <v>1.92</v>
      </c>
      <c r="BG23" s="3303">
        <v>0.18</v>
      </c>
      <c r="BH23" s="3303">
        <v>0.54</v>
      </c>
      <c r="BI23" s="3303">
        <v>0.12</v>
      </c>
      <c r="BJ23" s="3303">
        <v>1.32</v>
      </c>
      <c r="BK23" s="3303">
        <v>0.84</v>
      </c>
      <c r="BL23" s="3303">
        <v>0.72</v>
      </c>
      <c r="BM23" s="3303">
        <v>0.54</v>
      </c>
      <c r="BN23" s="3303">
        <v>0.6</v>
      </c>
      <c r="BO23" s="3303"/>
      <c r="BP23" s="3303"/>
      <c r="BQ23" s="3303"/>
      <c r="BR23" s="3303"/>
      <c r="BS23" s="3303"/>
      <c r="BT23" s="3303"/>
      <c r="BU23" s="3303"/>
      <c r="BV23" s="3303"/>
      <c r="BW23" s="3303"/>
      <c r="BX23" s="3303"/>
      <c r="BY23" s="3303"/>
      <c r="BZ23" s="3303"/>
      <c r="CA23" s="3303"/>
      <c r="CB23" s="3303"/>
      <c r="CC23" s="3303"/>
      <c r="CD23" s="3303"/>
      <c r="CE23" s="3303"/>
      <c r="CF23" s="3303"/>
      <c r="CG23" s="3303"/>
      <c r="CH23" s="3303"/>
      <c r="CI23" s="3302">
        <f t="shared" si="1"/>
        <v>9</v>
      </c>
    </row>
    <row r="24" spans="1:87" ht="45">
      <c r="A24" s="1001" t="s">
        <v>94</v>
      </c>
      <c r="B24" s="431" t="s">
        <v>93</v>
      </c>
      <c r="C24" s="225" t="s">
        <v>2604</v>
      </c>
      <c r="D24" s="908" t="s">
        <v>65</v>
      </c>
      <c r="E24" s="945" t="s">
        <v>4541</v>
      </c>
      <c r="F24" s="168">
        <v>0</v>
      </c>
      <c r="G24" s="168"/>
      <c r="H24" s="168">
        <v>0</v>
      </c>
      <c r="I24" s="168"/>
      <c r="J24" s="168"/>
      <c r="K24" s="168"/>
      <c r="L24" s="170"/>
      <c r="M24" s="193">
        <f t="shared" si="2"/>
        <v>0</v>
      </c>
      <c r="N24" s="170"/>
      <c r="O24" s="2977">
        <f t="shared" si="3"/>
        <v>0</v>
      </c>
      <c r="P24" s="171"/>
      <c r="Q24" s="1022"/>
      <c r="R24" s="2973"/>
      <c r="BB24" s="3302"/>
      <c r="BC24" s="3302"/>
      <c r="BD24" s="3302"/>
      <c r="BE24" s="3302"/>
      <c r="BF24" s="3302"/>
      <c r="BG24" s="3302"/>
      <c r="BH24" s="3302"/>
      <c r="BI24" s="3302"/>
      <c r="BJ24" s="3302"/>
      <c r="BK24" s="3302"/>
      <c r="BL24" s="3302"/>
      <c r="BM24" s="3302"/>
      <c r="BN24" s="3302"/>
      <c r="BO24" s="3302"/>
      <c r="BP24" s="3302"/>
      <c r="BQ24" s="3302"/>
      <c r="BR24" s="3302"/>
      <c r="BS24" s="3302"/>
      <c r="BT24" s="3302"/>
      <c r="BU24" s="3302"/>
      <c r="BV24" s="3302"/>
      <c r="BW24" s="3302"/>
      <c r="BX24" s="3302"/>
      <c r="BY24" s="3302"/>
      <c r="BZ24" s="3302"/>
      <c r="CA24" s="3302"/>
      <c r="CB24" s="3302"/>
      <c r="CC24" s="3302"/>
      <c r="CD24" s="3302"/>
      <c r="CE24" s="3302"/>
      <c r="CF24" s="3302"/>
      <c r="CG24" s="3302"/>
      <c r="CH24" s="3302"/>
      <c r="CI24" s="3302">
        <f t="shared" si="1"/>
        <v>0</v>
      </c>
    </row>
    <row r="25" spans="1:87">
      <c r="A25" s="1001" t="s">
        <v>97</v>
      </c>
      <c r="B25" s="431" t="s">
        <v>95</v>
      </c>
      <c r="C25" s="431" t="s">
        <v>96</v>
      </c>
      <c r="D25" s="1005" t="s">
        <v>85</v>
      </c>
      <c r="E25" s="1006" t="s">
        <v>200</v>
      </c>
      <c r="F25" s="224">
        <v>0</v>
      </c>
      <c r="G25" s="224"/>
      <c r="H25" s="238">
        <v>0</v>
      </c>
      <c r="I25" s="238"/>
      <c r="J25" s="224"/>
      <c r="K25" s="224"/>
      <c r="L25" s="170"/>
      <c r="M25" s="193">
        <f t="shared" si="2"/>
        <v>0</v>
      </c>
      <c r="N25" s="170"/>
      <c r="O25" s="2977">
        <f t="shared" si="3"/>
        <v>0</v>
      </c>
      <c r="P25" s="171"/>
      <c r="Q25" s="1003" t="str">
        <f>'Ab1. RMNCH+A'!Q398</f>
        <v>-</v>
      </c>
      <c r="R25" s="2936">
        <f>'Ab1. RMNCH+A'!R398</f>
        <v>0</v>
      </c>
      <c r="BB25" s="3302"/>
      <c r="BC25" s="3302"/>
      <c r="BD25" s="3302"/>
      <c r="BE25" s="3302"/>
      <c r="BF25" s="3302"/>
      <c r="BG25" s="3302"/>
      <c r="BH25" s="3302"/>
      <c r="BI25" s="3302"/>
      <c r="BJ25" s="3302"/>
      <c r="BK25" s="3302"/>
      <c r="BL25" s="3302"/>
      <c r="BM25" s="3302"/>
      <c r="BN25" s="3302"/>
      <c r="BO25" s="3302"/>
      <c r="BP25" s="3302"/>
      <c r="BQ25" s="3302"/>
      <c r="BR25" s="3302"/>
      <c r="BS25" s="3302"/>
      <c r="BT25" s="3302"/>
      <c r="BU25" s="3302"/>
      <c r="BV25" s="3302"/>
      <c r="BW25" s="3302"/>
      <c r="BX25" s="3302"/>
      <c r="BY25" s="3302"/>
      <c r="BZ25" s="3302"/>
      <c r="CA25" s="3302"/>
      <c r="CB25" s="3302"/>
      <c r="CC25" s="3302"/>
      <c r="CD25" s="3302"/>
      <c r="CE25" s="3302"/>
      <c r="CF25" s="3302"/>
      <c r="CG25" s="3302"/>
      <c r="CH25" s="3302"/>
      <c r="CI25" s="3302">
        <f t="shared" si="1"/>
        <v>0</v>
      </c>
    </row>
    <row r="26" spans="1:87">
      <c r="A26" s="1001" t="s">
        <v>100</v>
      </c>
      <c r="B26" s="431" t="s">
        <v>98</v>
      </c>
      <c r="C26" s="431" t="s">
        <v>99</v>
      </c>
      <c r="D26" s="1005" t="s">
        <v>85</v>
      </c>
      <c r="E26" s="1006" t="s">
        <v>200</v>
      </c>
      <c r="F26" s="224">
        <v>0</v>
      </c>
      <c r="G26" s="224"/>
      <c r="H26" s="238">
        <v>0</v>
      </c>
      <c r="I26" s="238"/>
      <c r="J26" s="224"/>
      <c r="K26" s="224"/>
      <c r="L26" s="170"/>
      <c r="M26" s="193">
        <f t="shared" si="2"/>
        <v>0</v>
      </c>
      <c r="N26" s="170"/>
      <c r="O26" s="2977">
        <f t="shared" si="3"/>
        <v>0</v>
      </c>
      <c r="P26" s="171"/>
      <c r="Q26" s="1003" t="str">
        <f>'Ab1. RMNCH+A'!Q399</f>
        <v>-</v>
      </c>
      <c r="R26" s="2936">
        <f>'Ab1. RMNCH+A'!R399</f>
        <v>0</v>
      </c>
      <c r="BB26" s="3302"/>
      <c r="BC26" s="3302"/>
      <c r="BD26" s="3302"/>
      <c r="BE26" s="3302"/>
      <c r="BF26" s="3302"/>
      <c r="BG26" s="3302"/>
      <c r="BH26" s="3302"/>
      <c r="BI26" s="3302"/>
      <c r="BJ26" s="3302"/>
      <c r="BK26" s="3302"/>
      <c r="BL26" s="3302"/>
      <c r="BM26" s="3302"/>
      <c r="BN26" s="3302"/>
      <c r="BO26" s="3302"/>
      <c r="BP26" s="3302"/>
      <c r="BQ26" s="3302"/>
      <c r="BR26" s="3302"/>
      <c r="BS26" s="3302"/>
      <c r="BT26" s="3302"/>
      <c r="BU26" s="3302"/>
      <c r="BV26" s="3302"/>
      <c r="BW26" s="3302"/>
      <c r="BX26" s="3302"/>
      <c r="BY26" s="3302"/>
      <c r="BZ26" s="3302"/>
      <c r="CA26" s="3302"/>
      <c r="CB26" s="3302"/>
      <c r="CC26" s="3302"/>
      <c r="CD26" s="3302"/>
      <c r="CE26" s="3302"/>
      <c r="CF26" s="3302"/>
      <c r="CG26" s="3302"/>
      <c r="CH26" s="3302"/>
      <c r="CI26" s="3302">
        <f t="shared" si="1"/>
        <v>0</v>
      </c>
    </row>
    <row r="27" spans="1:87" s="1016" customFormat="1" ht="75">
      <c r="A27" s="1001" t="s">
        <v>103</v>
      </c>
      <c r="B27" s="1004" t="s">
        <v>101</v>
      </c>
      <c r="C27" s="1004" t="s">
        <v>102</v>
      </c>
      <c r="D27" s="2254" t="s">
        <v>85</v>
      </c>
      <c r="E27" s="1015" t="s">
        <v>200</v>
      </c>
      <c r="F27" s="231">
        <v>5895</v>
      </c>
      <c r="G27" s="231"/>
      <c r="H27" s="2450">
        <v>108.35</v>
      </c>
      <c r="I27" s="2450">
        <v>12.7</v>
      </c>
      <c r="J27" s="2450">
        <f>H27-I27</f>
        <v>95.649999999999991</v>
      </c>
      <c r="K27" s="243">
        <v>1</v>
      </c>
      <c r="L27" s="2520">
        <v>1838</v>
      </c>
      <c r="M27" s="957">
        <f t="shared" si="2"/>
        <v>1.8380000000000001E-2</v>
      </c>
      <c r="N27" s="2313">
        <v>5895</v>
      </c>
      <c r="O27" s="2978">
        <f t="shared" si="3"/>
        <v>108.3501</v>
      </c>
      <c r="P27" s="2256" t="s">
        <v>5400</v>
      </c>
      <c r="Q27" s="2257" t="str">
        <f>'Ab1. RMNCH+A'!Q400</f>
        <v>Recommended for approval of Rs.108.35 lakhs for pulse polio operating cost (POL-TPT, booth mobilization, supervision, contingency, stationary, IEC, training, cold chain). Provision of budget is tentative</v>
      </c>
      <c r="R27" s="2935">
        <f>'Ab1. RMNCH+A'!R400</f>
        <v>108.3501</v>
      </c>
      <c r="BB27" s="3303">
        <v>108.35</v>
      </c>
      <c r="BC27" s="3303"/>
      <c r="BD27" s="3303"/>
      <c r="BE27" s="3303"/>
      <c r="BF27" s="3303"/>
      <c r="BG27" s="3303"/>
      <c r="BH27" s="3303"/>
      <c r="BI27" s="3303"/>
      <c r="BJ27" s="3303"/>
      <c r="BK27" s="3303"/>
      <c r="BL27" s="3303"/>
      <c r="BM27" s="3303"/>
      <c r="BN27" s="3303"/>
      <c r="BO27" s="3303"/>
      <c r="BP27" s="3303"/>
      <c r="BQ27" s="3303"/>
      <c r="BR27" s="3303"/>
      <c r="BS27" s="3303"/>
      <c r="BT27" s="3303"/>
      <c r="BU27" s="3303"/>
      <c r="BV27" s="3303"/>
      <c r="BW27" s="3303"/>
      <c r="BX27" s="3303"/>
      <c r="BY27" s="3303"/>
      <c r="BZ27" s="3303"/>
      <c r="CA27" s="3303"/>
      <c r="CB27" s="3303"/>
      <c r="CC27" s="3303"/>
      <c r="CD27" s="3303"/>
      <c r="CE27" s="3303"/>
      <c r="CF27" s="3303"/>
      <c r="CG27" s="3303"/>
      <c r="CH27" s="3303"/>
      <c r="CI27" s="3302">
        <f t="shared" si="1"/>
        <v>108.35</v>
      </c>
    </row>
    <row r="28" spans="1:87">
      <c r="A28" s="1001" t="s">
        <v>106</v>
      </c>
      <c r="B28" s="225" t="s">
        <v>104</v>
      </c>
      <c r="C28" s="225" t="s">
        <v>105</v>
      </c>
      <c r="D28" s="1005" t="s">
        <v>85</v>
      </c>
      <c r="E28" s="1006" t="s">
        <v>200</v>
      </c>
      <c r="F28" s="224">
        <v>0</v>
      </c>
      <c r="G28" s="224"/>
      <c r="H28" s="240">
        <v>0</v>
      </c>
      <c r="I28" s="240"/>
      <c r="J28" s="168"/>
      <c r="K28" s="168"/>
      <c r="L28" s="170"/>
      <c r="M28" s="193">
        <f t="shared" si="2"/>
        <v>0</v>
      </c>
      <c r="N28" s="170"/>
      <c r="O28" s="2977">
        <f t="shared" si="3"/>
        <v>0</v>
      </c>
      <c r="P28" s="171"/>
      <c r="Q28" s="1003" t="str">
        <f>'Ab1. RMNCH+A'!Q401</f>
        <v>--</v>
      </c>
      <c r="R28" s="2936">
        <f>'Ab1. RMNCH+A'!R401</f>
        <v>0</v>
      </c>
      <c r="BB28" s="3302"/>
      <c r="BC28" s="3302"/>
      <c r="BD28" s="3302"/>
      <c r="BE28" s="3302"/>
      <c r="BF28" s="3302"/>
      <c r="BG28" s="3302"/>
      <c r="BH28" s="3302"/>
      <c r="BI28" s="3302"/>
      <c r="BJ28" s="3302"/>
      <c r="BK28" s="3302"/>
      <c r="BL28" s="3302"/>
      <c r="BM28" s="3302"/>
      <c r="BN28" s="3302"/>
      <c r="BO28" s="3302"/>
      <c r="BP28" s="3302"/>
      <c r="BQ28" s="3302"/>
      <c r="BR28" s="3302"/>
      <c r="BS28" s="3302"/>
      <c r="BT28" s="3302"/>
      <c r="BU28" s="3302"/>
      <c r="BV28" s="3302"/>
      <c r="BW28" s="3302"/>
      <c r="BX28" s="3302"/>
      <c r="BY28" s="3302"/>
      <c r="BZ28" s="3302"/>
      <c r="CA28" s="3302"/>
      <c r="CB28" s="3302"/>
      <c r="CC28" s="3302"/>
      <c r="CD28" s="3302"/>
      <c r="CE28" s="3302"/>
      <c r="CF28" s="3302"/>
      <c r="CG28" s="3302"/>
      <c r="CH28" s="3302"/>
      <c r="CI28" s="3302">
        <f t="shared" si="1"/>
        <v>0</v>
      </c>
    </row>
    <row r="29" spans="1:87" ht="30">
      <c r="A29" s="1001" t="s">
        <v>2470</v>
      </c>
      <c r="B29" s="225" t="s">
        <v>107</v>
      </c>
      <c r="C29" s="225" t="s">
        <v>2605</v>
      </c>
      <c r="D29" s="1007" t="s">
        <v>4219</v>
      </c>
      <c r="E29" s="945" t="s">
        <v>4712</v>
      </c>
      <c r="F29" s="168">
        <v>0</v>
      </c>
      <c r="G29" s="168"/>
      <c r="H29" s="168">
        <v>0</v>
      </c>
      <c r="I29" s="168"/>
      <c r="J29" s="168"/>
      <c r="K29" s="168"/>
      <c r="L29" s="170"/>
      <c r="M29" s="193">
        <f t="shared" si="2"/>
        <v>0</v>
      </c>
      <c r="N29" s="170"/>
      <c r="O29" s="2977">
        <f t="shared" si="3"/>
        <v>0</v>
      </c>
      <c r="P29" s="171"/>
      <c r="Q29" s="1003">
        <f>'Abs9. NVBDCP'!Q12</f>
        <v>0</v>
      </c>
      <c r="R29" s="2988">
        <f>'Abs9. NVBDCP'!R12</f>
        <v>0</v>
      </c>
      <c r="BB29" s="3302"/>
      <c r="BC29" s="3302"/>
      <c r="BD29" s="3302"/>
      <c r="BE29" s="3302"/>
      <c r="BF29" s="3302"/>
      <c r="BG29" s="3302"/>
      <c r="BH29" s="3302"/>
      <c r="BI29" s="3302"/>
      <c r="BJ29" s="3302"/>
      <c r="BK29" s="3302"/>
      <c r="BL29" s="3302"/>
      <c r="BM29" s="3302"/>
      <c r="BN29" s="3302"/>
      <c r="BO29" s="3302"/>
      <c r="BP29" s="3302"/>
      <c r="BQ29" s="3302"/>
      <c r="BR29" s="3302"/>
      <c r="BS29" s="3302"/>
      <c r="BT29" s="3302"/>
      <c r="BU29" s="3302"/>
      <c r="BV29" s="3302"/>
      <c r="BW29" s="3302"/>
      <c r="BX29" s="3302"/>
      <c r="BY29" s="3302"/>
      <c r="BZ29" s="3302"/>
      <c r="CA29" s="3302"/>
      <c r="CB29" s="3302"/>
      <c r="CC29" s="3302"/>
      <c r="CD29" s="3302"/>
      <c r="CE29" s="3302"/>
      <c r="CF29" s="3302"/>
      <c r="CG29" s="3302"/>
      <c r="CH29" s="3302"/>
      <c r="CI29" s="3302">
        <f t="shared" si="1"/>
        <v>0</v>
      </c>
    </row>
    <row r="30" spans="1:87">
      <c r="A30" s="1001" t="s">
        <v>2471</v>
      </c>
      <c r="B30" s="233"/>
      <c r="C30" s="225" t="s">
        <v>1304</v>
      </c>
      <c r="D30" s="908" t="s">
        <v>65</v>
      </c>
      <c r="E30" s="945" t="s">
        <v>4541</v>
      </c>
      <c r="F30" s="168">
        <v>0</v>
      </c>
      <c r="G30" s="168"/>
      <c r="H30" s="168">
        <v>0</v>
      </c>
      <c r="I30" s="168"/>
      <c r="J30" s="168"/>
      <c r="K30" s="168"/>
      <c r="L30" s="170"/>
      <c r="M30" s="193">
        <f t="shared" si="2"/>
        <v>0</v>
      </c>
      <c r="N30" s="170"/>
      <c r="O30" s="2977">
        <f t="shared" si="3"/>
        <v>0</v>
      </c>
      <c r="P30" s="171"/>
      <c r="Q30" s="1022"/>
      <c r="R30" s="2973"/>
      <c r="BB30" s="3302"/>
      <c r="BC30" s="3302"/>
      <c r="BD30" s="3302"/>
      <c r="BE30" s="3302"/>
      <c r="BF30" s="3302"/>
      <c r="BG30" s="3302"/>
      <c r="BH30" s="3302"/>
      <c r="BI30" s="3302"/>
      <c r="BJ30" s="3302"/>
      <c r="BK30" s="3302"/>
      <c r="BL30" s="3302"/>
      <c r="BM30" s="3302"/>
      <c r="BN30" s="3302"/>
      <c r="BO30" s="3302"/>
      <c r="BP30" s="3302"/>
      <c r="BQ30" s="3302"/>
      <c r="BR30" s="3302"/>
      <c r="BS30" s="3302"/>
      <c r="BT30" s="3302"/>
      <c r="BU30" s="3302"/>
      <c r="BV30" s="3302"/>
      <c r="BW30" s="3302"/>
      <c r="BX30" s="3302"/>
      <c r="BY30" s="3302"/>
      <c r="BZ30" s="3302"/>
      <c r="CA30" s="3302"/>
      <c r="CB30" s="3302"/>
      <c r="CC30" s="3302"/>
      <c r="CD30" s="3302"/>
      <c r="CE30" s="3302"/>
      <c r="CF30" s="3302"/>
      <c r="CG30" s="3302"/>
      <c r="CH30" s="3302"/>
      <c r="CI30" s="3302">
        <f t="shared" si="1"/>
        <v>0</v>
      </c>
    </row>
    <row r="31" spans="1:87">
      <c r="A31" s="84">
        <v>2.2999999999999998</v>
      </c>
      <c r="B31" s="928"/>
      <c r="C31" s="84" t="s">
        <v>5</v>
      </c>
      <c r="D31" s="929"/>
      <c r="E31" s="929"/>
      <c r="F31" s="150"/>
      <c r="G31" s="150"/>
      <c r="H31" s="150"/>
      <c r="I31" s="150"/>
      <c r="J31" s="150"/>
      <c r="K31" s="150"/>
      <c r="L31" s="150"/>
      <c r="M31" s="994"/>
      <c r="N31" s="150"/>
      <c r="O31" s="2859">
        <f>O32+O46+O55+O65</f>
        <v>341.48374999999999</v>
      </c>
      <c r="P31" s="705"/>
      <c r="Q31" s="996"/>
      <c r="R31" s="2957">
        <f>R32+R46+R55+R65</f>
        <v>202.48500000000001</v>
      </c>
      <c r="S31" s="3081"/>
      <c r="BB31" s="3302"/>
      <c r="BC31" s="3302"/>
      <c r="BD31" s="3302"/>
      <c r="BE31" s="3302"/>
      <c r="BF31" s="3302"/>
      <c r="BG31" s="3302"/>
      <c r="BH31" s="3302"/>
      <c r="BI31" s="3302"/>
      <c r="BJ31" s="3302"/>
      <c r="BK31" s="3302"/>
      <c r="BL31" s="3302"/>
      <c r="BM31" s="3302"/>
      <c r="BN31" s="3302"/>
      <c r="BO31" s="3302"/>
      <c r="BP31" s="3302"/>
      <c r="BQ31" s="3302"/>
      <c r="BR31" s="3302"/>
      <c r="BS31" s="3302"/>
      <c r="BT31" s="3302"/>
      <c r="BU31" s="3302"/>
      <c r="BV31" s="3302"/>
      <c r="BW31" s="3302"/>
      <c r="BX31" s="3302"/>
      <c r="BY31" s="3302"/>
      <c r="BZ31" s="3302"/>
      <c r="CA31" s="3302"/>
      <c r="CB31" s="3302"/>
      <c r="CC31" s="3302"/>
      <c r="CD31" s="3302"/>
      <c r="CE31" s="3302"/>
      <c r="CF31" s="3302"/>
      <c r="CG31" s="3302"/>
      <c r="CH31" s="3302"/>
      <c r="CI31" s="3302">
        <f t="shared" si="1"/>
        <v>0</v>
      </c>
    </row>
    <row r="32" spans="1:87">
      <c r="A32" s="880" t="s">
        <v>110</v>
      </c>
      <c r="B32" s="880"/>
      <c r="C32" s="880" t="s">
        <v>2607</v>
      </c>
      <c r="D32" s="1008"/>
      <c r="E32" s="1008"/>
      <c r="F32" s="152"/>
      <c r="G32" s="152"/>
      <c r="H32" s="152"/>
      <c r="I32" s="152"/>
      <c r="J32" s="152"/>
      <c r="K32" s="152"/>
      <c r="L32" s="152"/>
      <c r="M32" s="940"/>
      <c r="N32" s="152"/>
      <c r="O32" s="2976">
        <f>O33+SUM(O36:O45)</f>
        <v>268.09375</v>
      </c>
      <c r="P32" s="706"/>
      <c r="Q32" s="1000"/>
      <c r="R32" s="2976">
        <f>R33+SUM(R36:R45)</f>
        <v>129.095</v>
      </c>
      <c r="BB32" s="3302"/>
      <c r="BC32" s="3302"/>
      <c r="BD32" s="3302"/>
      <c r="BE32" s="3302"/>
      <c r="BF32" s="3302"/>
      <c r="BG32" s="3302"/>
      <c r="BH32" s="3302"/>
      <c r="BI32" s="3302"/>
      <c r="BJ32" s="3302"/>
      <c r="BK32" s="3302"/>
      <c r="BL32" s="3302"/>
      <c r="BM32" s="3302"/>
      <c r="BN32" s="3302"/>
      <c r="BO32" s="3302"/>
      <c r="BP32" s="3302"/>
      <c r="BQ32" s="3302"/>
      <c r="BR32" s="3302"/>
      <c r="BS32" s="3302"/>
      <c r="BT32" s="3302"/>
      <c r="BU32" s="3302"/>
      <c r="BV32" s="3302"/>
      <c r="BW32" s="3302"/>
      <c r="BX32" s="3302"/>
      <c r="BY32" s="3302"/>
      <c r="BZ32" s="3302"/>
      <c r="CA32" s="3302"/>
      <c r="CB32" s="3302"/>
      <c r="CC32" s="3302"/>
      <c r="CD32" s="3302"/>
      <c r="CE32" s="3302"/>
      <c r="CF32" s="3302"/>
      <c r="CG32" s="3302"/>
      <c r="CH32" s="3302"/>
      <c r="CI32" s="3302">
        <f t="shared" si="1"/>
        <v>0</v>
      </c>
    </row>
    <row r="33" spans="1:87" s="1013" customFormat="1" ht="60">
      <c r="A33" s="1009" t="s">
        <v>2596</v>
      </c>
      <c r="B33" s="1009" t="s">
        <v>111</v>
      </c>
      <c r="C33" s="1009" t="s">
        <v>112</v>
      </c>
      <c r="D33" s="1010"/>
      <c r="E33" s="1010"/>
      <c r="F33" s="241">
        <v>0</v>
      </c>
      <c r="G33" s="241"/>
      <c r="H33" s="241">
        <v>96</v>
      </c>
      <c r="I33" s="241"/>
      <c r="J33" s="241"/>
      <c r="K33" s="241"/>
      <c r="L33" s="241"/>
      <c r="M33" s="1011"/>
      <c r="N33" s="241"/>
      <c r="O33" s="2982">
        <f>SUM(O34:O35)</f>
        <v>96</v>
      </c>
      <c r="P33" s="710"/>
      <c r="Q33" s="1012"/>
      <c r="R33" s="2989">
        <f>SUM(R34:R35)</f>
        <v>96</v>
      </c>
      <c r="BB33" s="3255"/>
      <c r="BC33" s="3255"/>
      <c r="BD33" s="3255"/>
      <c r="BE33" s="3255"/>
      <c r="BF33" s="3255"/>
      <c r="BG33" s="3255"/>
      <c r="BH33" s="3255"/>
      <c r="BI33" s="3255"/>
      <c r="BJ33" s="3255"/>
      <c r="BK33" s="3255"/>
      <c r="BL33" s="3255"/>
      <c r="BM33" s="3255"/>
      <c r="BN33" s="3255"/>
      <c r="BO33" s="3255"/>
      <c r="BP33" s="3255"/>
      <c r="BQ33" s="3255"/>
      <c r="BR33" s="3255"/>
      <c r="BS33" s="3255"/>
      <c r="BT33" s="3255"/>
      <c r="BU33" s="3255"/>
      <c r="BV33" s="3255"/>
      <c r="BW33" s="3255"/>
      <c r="BX33" s="3255"/>
      <c r="BY33" s="3255"/>
      <c r="BZ33" s="3255"/>
      <c r="CA33" s="3255"/>
      <c r="CB33" s="3255"/>
      <c r="CC33" s="3255"/>
      <c r="CD33" s="3255"/>
      <c r="CE33" s="3255"/>
      <c r="CF33" s="3255"/>
      <c r="CG33" s="3255"/>
      <c r="CH33" s="3255"/>
      <c r="CI33" s="3302">
        <f t="shared" si="1"/>
        <v>0</v>
      </c>
    </row>
    <row r="34" spans="1:87">
      <c r="A34" s="1001" t="s">
        <v>4024</v>
      </c>
      <c r="B34" s="1014" t="s">
        <v>115</v>
      </c>
      <c r="C34" s="431" t="s">
        <v>116</v>
      </c>
      <c r="D34" s="1005" t="s">
        <v>85</v>
      </c>
      <c r="E34" s="945" t="s">
        <v>113</v>
      </c>
      <c r="F34" s="168">
        <v>0</v>
      </c>
      <c r="G34" s="168"/>
      <c r="H34" s="168">
        <v>0</v>
      </c>
      <c r="I34" s="168"/>
      <c r="J34" s="168"/>
      <c r="K34" s="168"/>
      <c r="L34" s="170"/>
      <c r="M34" s="193">
        <f t="shared" ref="M34:M45" si="4">L34/100000</f>
        <v>0</v>
      </c>
      <c r="N34" s="170"/>
      <c r="O34" s="2977">
        <f t="shared" ref="O34:O45" si="5">M34*N34</f>
        <v>0</v>
      </c>
      <c r="P34" s="171"/>
      <c r="Q34" s="1003" t="str">
        <f>'Ab1. RMNCH+A'!Q21</f>
        <v>--</v>
      </c>
      <c r="R34" s="2936">
        <f>'Ab1. RMNCH+A'!R21</f>
        <v>0</v>
      </c>
      <c r="BB34" s="3302"/>
      <c r="BC34" s="3302"/>
      <c r="BD34" s="3302"/>
      <c r="BE34" s="3302"/>
      <c r="BF34" s="3302"/>
      <c r="BG34" s="3302"/>
      <c r="BH34" s="3302"/>
      <c r="BI34" s="3302"/>
      <c r="BJ34" s="3302"/>
      <c r="BK34" s="3302"/>
      <c r="BL34" s="3302"/>
      <c r="BM34" s="3302"/>
      <c r="BN34" s="3302"/>
      <c r="BO34" s="3302"/>
      <c r="BP34" s="3302"/>
      <c r="BQ34" s="3302"/>
      <c r="BR34" s="3302"/>
      <c r="BS34" s="3302"/>
      <c r="BT34" s="3302"/>
      <c r="BU34" s="3302"/>
      <c r="BV34" s="3302"/>
      <c r="BW34" s="3302"/>
      <c r="BX34" s="3302"/>
      <c r="BY34" s="3302"/>
      <c r="BZ34" s="3302"/>
      <c r="CA34" s="3302"/>
      <c r="CB34" s="3302"/>
      <c r="CC34" s="3302"/>
      <c r="CD34" s="3302"/>
      <c r="CE34" s="3302"/>
      <c r="CF34" s="3302"/>
      <c r="CG34" s="3302"/>
      <c r="CH34" s="3302"/>
      <c r="CI34" s="3302">
        <f t="shared" si="1"/>
        <v>0</v>
      </c>
    </row>
    <row r="35" spans="1:87" s="1016" customFormat="1" ht="45">
      <c r="A35" s="1001" t="s">
        <v>4025</v>
      </c>
      <c r="B35" s="1004" t="s">
        <v>118</v>
      </c>
      <c r="C35" s="1004" t="s">
        <v>119</v>
      </c>
      <c r="D35" s="2254" t="s">
        <v>85</v>
      </c>
      <c r="E35" s="3508" t="s">
        <v>113</v>
      </c>
      <c r="F35" s="243">
        <v>8000</v>
      </c>
      <c r="G35" s="243"/>
      <c r="H35" s="243">
        <v>96</v>
      </c>
      <c r="I35" s="243">
        <v>19.649999999999999</v>
      </c>
      <c r="J35" s="243">
        <v>76.349999999999994</v>
      </c>
      <c r="K35" s="243">
        <v>1</v>
      </c>
      <c r="L35" s="2318">
        <v>1200</v>
      </c>
      <c r="M35" s="957">
        <f t="shared" si="4"/>
        <v>1.2E-2</v>
      </c>
      <c r="N35" s="2318">
        <v>8000</v>
      </c>
      <c r="O35" s="2978">
        <f t="shared" si="5"/>
        <v>96</v>
      </c>
      <c r="P35" s="2256"/>
      <c r="Q35" s="2257" t="str">
        <f>'Ab1. RMNCH+A'!Q22</f>
        <v>Ongoing activity; Recommended for approval for Rs. 96 lakhs @Rs. 1200/- per camp for 8000 camps.</v>
      </c>
      <c r="R35" s="2935">
        <f>'Ab1. RMNCH+A'!R22</f>
        <v>96</v>
      </c>
      <c r="BB35" s="3303">
        <v>0.42</v>
      </c>
      <c r="BC35" s="3303">
        <v>5.99</v>
      </c>
      <c r="BD35" s="3303">
        <v>7.21</v>
      </c>
      <c r="BE35" s="3303">
        <v>6.41</v>
      </c>
      <c r="BF35" s="3303">
        <v>21.84</v>
      </c>
      <c r="BG35" s="3303">
        <v>1.28</v>
      </c>
      <c r="BH35" s="3303">
        <v>5.94</v>
      </c>
      <c r="BI35" s="3303">
        <v>0.57999999999999996</v>
      </c>
      <c r="BJ35" s="3303">
        <v>15</v>
      </c>
      <c r="BK35" s="3303">
        <v>9.34</v>
      </c>
      <c r="BL35" s="3303">
        <v>7.36</v>
      </c>
      <c r="BM35" s="3303">
        <v>7.36</v>
      </c>
      <c r="BN35" s="3303">
        <v>7.27</v>
      </c>
      <c r="BO35" s="3303"/>
      <c r="BP35" s="3303"/>
      <c r="BQ35" s="3303"/>
      <c r="BR35" s="3303"/>
      <c r="BS35" s="3303"/>
      <c r="BT35" s="3303"/>
      <c r="BU35" s="3303"/>
      <c r="BV35" s="3303"/>
      <c r="BW35" s="3303"/>
      <c r="BX35" s="3303"/>
      <c r="BY35" s="3303"/>
      <c r="BZ35" s="3303"/>
      <c r="CA35" s="3303"/>
      <c r="CB35" s="3303"/>
      <c r="CC35" s="3303"/>
      <c r="CD35" s="3303"/>
      <c r="CE35" s="3303"/>
      <c r="CF35" s="3303"/>
      <c r="CG35" s="3303"/>
      <c r="CH35" s="3303"/>
      <c r="CI35" s="3303">
        <f t="shared" si="1"/>
        <v>96</v>
      </c>
    </row>
    <row r="36" spans="1:87" ht="30">
      <c r="A36" s="1001" t="s">
        <v>2597</v>
      </c>
      <c r="B36" s="225" t="s">
        <v>121</v>
      </c>
      <c r="C36" s="225" t="s">
        <v>122</v>
      </c>
      <c r="D36" s="1005" t="s">
        <v>85</v>
      </c>
      <c r="E36" s="945" t="s">
        <v>113</v>
      </c>
      <c r="F36" s="224">
        <v>0</v>
      </c>
      <c r="G36" s="224"/>
      <c r="H36" s="238">
        <v>0</v>
      </c>
      <c r="I36" s="238"/>
      <c r="J36" s="82"/>
      <c r="K36" s="229"/>
      <c r="L36" s="170"/>
      <c r="M36" s="193">
        <f t="shared" si="4"/>
        <v>0</v>
      </c>
      <c r="N36" s="170"/>
      <c r="O36" s="2977">
        <f t="shared" si="5"/>
        <v>0</v>
      </c>
      <c r="P36" s="171"/>
      <c r="Q36" s="1003" t="str">
        <f>'Ab1. RMNCH+A'!Q23</f>
        <v xml:space="preserve">The State to ensure line listing and follow up of severely anemic women. </v>
      </c>
      <c r="R36" s="2936">
        <f>'Ab1. RMNCH+A'!R23</f>
        <v>0</v>
      </c>
      <c r="BB36" s="3302"/>
      <c r="BC36" s="3302"/>
      <c r="BD36" s="3302"/>
      <c r="BE36" s="3302"/>
      <c r="BF36" s="3302"/>
      <c r="BG36" s="3302"/>
      <c r="BH36" s="3302"/>
      <c r="BI36" s="3302"/>
      <c r="BJ36" s="3302"/>
      <c r="BK36" s="3302"/>
      <c r="BL36" s="3302"/>
      <c r="BM36" s="3302"/>
      <c r="BN36" s="3302"/>
      <c r="BO36" s="3302"/>
      <c r="BP36" s="3302"/>
      <c r="BQ36" s="3302"/>
      <c r="BR36" s="3302"/>
      <c r="BS36" s="3302"/>
      <c r="BT36" s="3302"/>
      <c r="BU36" s="3302"/>
      <c r="BV36" s="3302"/>
      <c r="BW36" s="3302"/>
      <c r="BX36" s="3302"/>
      <c r="BY36" s="3302"/>
      <c r="BZ36" s="3302"/>
      <c r="CA36" s="3302"/>
      <c r="CB36" s="3302"/>
      <c r="CC36" s="3302"/>
      <c r="CD36" s="3302"/>
      <c r="CE36" s="3302"/>
      <c r="CF36" s="3302"/>
      <c r="CG36" s="3302"/>
      <c r="CH36" s="3302"/>
      <c r="CI36" s="3302">
        <f t="shared" si="1"/>
        <v>0</v>
      </c>
    </row>
    <row r="37" spans="1:87">
      <c r="A37" s="1001" t="s">
        <v>2608</v>
      </c>
      <c r="B37" s="225" t="s">
        <v>123</v>
      </c>
      <c r="C37" s="225" t="s">
        <v>124</v>
      </c>
      <c r="D37" s="1005" t="s">
        <v>85</v>
      </c>
      <c r="E37" s="945" t="s">
        <v>113</v>
      </c>
      <c r="F37" s="168">
        <v>0</v>
      </c>
      <c r="G37" s="168"/>
      <c r="H37" s="168">
        <v>0</v>
      </c>
      <c r="I37" s="168"/>
      <c r="J37" s="168"/>
      <c r="K37" s="168"/>
      <c r="L37" s="170"/>
      <c r="M37" s="193">
        <f t="shared" si="4"/>
        <v>0</v>
      </c>
      <c r="N37" s="170"/>
      <c r="O37" s="2977">
        <f t="shared" si="5"/>
        <v>0</v>
      </c>
      <c r="P37" s="171"/>
      <c r="Q37" s="1003" t="str">
        <f>'Ab1. RMNCH+A'!Q24</f>
        <v>-</v>
      </c>
      <c r="R37" s="2936">
        <f>'Ab1. RMNCH+A'!R24</f>
        <v>0</v>
      </c>
      <c r="BB37" s="3302"/>
      <c r="BC37" s="3302"/>
      <c r="BD37" s="3302"/>
      <c r="BE37" s="3302"/>
      <c r="BF37" s="3302"/>
      <c r="BG37" s="3302"/>
      <c r="BH37" s="3302"/>
      <c r="BI37" s="3302"/>
      <c r="BJ37" s="3302"/>
      <c r="BK37" s="3302"/>
      <c r="BL37" s="3302"/>
      <c r="BM37" s="3302"/>
      <c r="BN37" s="3302"/>
      <c r="BO37" s="3302"/>
      <c r="BP37" s="3302"/>
      <c r="BQ37" s="3302"/>
      <c r="BR37" s="3302"/>
      <c r="BS37" s="3302"/>
      <c r="BT37" s="3302"/>
      <c r="BU37" s="3302"/>
      <c r="BV37" s="3302"/>
      <c r="BW37" s="3302"/>
      <c r="BX37" s="3302"/>
      <c r="BY37" s="3302"/>
      <c r="BZ37" s="3302"/>
      <c r="CA37" s="3302"/>
      <c r="CB37" s="3302"/>
      <c r="CC37" s="3302"/>
      <c r="CD37" s="3302"/>
      <c r="CE37" s="3302"/>
      <c r="CF37" s="3302"/>
      <c r="CG37" s="3302"/>
      <c r="CH37" s="3302"/>
      <c r="CI37" s="3302">
        <f t="shared" si="1"/>
        <v>0</v>
      </c>
    </row>
    <row r="38" spans="1:87" ht="30">
      <c r="A38" s="1001" t="s">
        <v>2609</v>
      </c>
      <c r="B38" s="225" t="s">
        <v>125</v>
      </c>
      <c r="C38" s="225" t="s">
        <v>3943</v>
      </c>
      <c r="D38" s="1005" t="s">
        <v>85</v>
      </c>
      <c r="E38" s="945" t="s">
        <v>113</v>
      </c>
      <c r="F38" s="168">
        <v>0</v>
      </c>
      <c r="G38" s="168"/>
      <c r="H38" s="168">
        <v>0</v>
      </c>
      <c r="I38" s="168"/>
      <c r="J38" s="168"/>
      <c r="K38" s="168"/>
      <c r="L38" s="170"/>
      <c r="M38" s="193">
        <f t="shared" si="4"/>
        <v>0</v>
      </c>
      <c r="N38" s="170"/>
      <c r="O38" s="2977">
        <f t="shared" si="5"/>
        <v>0</v>
      </c>
      <c r="P38" s="171"/>
      <c r="Q38" s="1003" t="str">
        <f>'Ab1. RMNCH+A'!Q25</f>
        <v>-</v>
      </c>
      <c r="R38" s="2936">
        <f>'Ab1. RMNCH+A'!R25</f>
        <v>0</v>
      </c>
      <c r="BB38" s="3302"/>
      <c r="BC38" s="3302"/>
      <c r="BD38" s="3302"/>
      <c r="BE38" s="3302"/>
      <c r="BF38" s="3302"/>
      <c r="BG38" s="3302"/>
      <c r="BH38" s="3302"/>
      <c r="BI38" s="3302"/>
      <c r="BJ38" s="3302"/>
      <c r="BK38" s="3302"/>
      <c r="BL38" s="3302"/>
      <c r="BM38" s="3302"/>
      <c r="BN38" s="3302"/>
      <c r="BO38" s="3302"/>
      <c r="BP38" s="3302"/>
      <c r="BQ38" s="3302"/>
      <c r="BR38" s="3302"/>
      <c r="BS38" s="3302"/>
      <c r="BT38" s="3302"/>
      <c r="BU38" s="3302"/>
      <c r="BV38" s="3302"/>
      <c r="BW38" s="3302"/>
      <c r="BX38" s="3302"/>
      <c r="BY38" s="3302"/>
      <c r="BZ38" s="3302"/>
      <c r="CA38" s="3302"/>
      <c r="CB38" s="3302"/>
      <c r="CC38" s="3302"/>
      <c r="CD38" s="3302"/>
      <c r="CE38" s="3302"/>
      <c r="CF38" s="3302"/>
      <c r="CG38" s="3302"/>
      <c r="CH38" s="3302"/>
      <c r="CI38" s="3302">
        <f t="shared" si="1"/>
        <v>0</v>
      </c>
    </row>
    <row r="39" spans="1:87" s="1016" customFormat="1" ht="60">
      <c r="A39" s="1001" t="s">
        <v>2610</v>
      </c>
      <c r="B39" s="233" t="s">
        <v>129</v>
      </c>
      <c r="C39" s="233" t="s">
        <v>130</v>
      </c>
      <c r="D39" s="2254" t="s">
        <v>85</v>
      </c>
      <c r="E39" s="2439" t="s">
        <v>188</v>
      </c>
      <c r="F39" s="243">
        <v>912</v>
      </c>
      <c r="G39" s="243">
        <v>144</v>
      </c>
      <c r="H39" s="243">
        <v>22.8</v>
      </c>
      <c r="I39" s="243">
        <v>2.17</v>
      </c>
      <c r="J39" s="243">
        <v>20.63</v>
      </c>
      <c r="K39" s="231"/>
      <c r="L39" s="2448">
        <v>2500</v>
      </c>
      <c r="M39" s="957">
        <f t="shared" si="4"/>
        <v>2.5000000000000001E-2</v>
      </c>
      <c r="N39" s="2313">
        <v>900</v>
      </c>
      <c r="O39" s="2978">
        <f t="shared" si="5"/>
        <v>22.5</v>
      </c>
      <c r="P39" s="2256" t="s">
        <v>5228</v>
      </c>
      <c r="Q39" s="2257" t="str">
        <f>'Ab1. RMNCH+A'!Q296</f>
        <v>Continued activityRecommended for approval of Rs 22.5 lakhs for quarterly AHDs in 3 schools per Block for 75 Blocks @ Rs 2500 per AHD</v>
      </c>
      <c r="R39" s="2935">
        <f>'Ab1. RMNCH+A'!R296</f>
        <v>22.5</v>
      </c>
      <c r="BB39" s="3303"/>
      <c r="BC39" s="3303">
        <v>0.9</v>
      </c>
      <c r="BD39" s="3303">
        <v>2.1</v>
      </c>
      <c r="BE39" s="3303">
        <v>1.8</v>
      </c>
      <c r="BF39" s="3303">
        <v>3.9</v>
      </c>
      <c r="BG39" s="3303">
        <v>0.9</v>
      </c>
      <c r="BH39" s="3303">
        <v>1.5</v>
      </c>
      <c r="BI39" s="3303">
        <v>0.6</v>
      </c>
      <c r="BJ39" s="3303">
        <v>3.3</v>
      </c>
      <c r="BK39" s="3303">
        <v>3</v>
      </c>
      <c r="BL39" s="3303">
        <v>1.5</v>
      </c>
      <c r="BM39" s="3303">
        <v>1.5</v>
      </c>
      <c r="BN39" s="3303">
        <v>1.5</v>
      </c>
      <c r="BO39" s="3303"/>
      <c r="BP39" s="3303"/>
      <c r="BQ39" s="3303"/>
      <c r="BR39" s="3303"/>
      <c r="BS39" s="3303"/>
      <c r="BT39" s="3303"/>
      <c r="BU39" s="3303"/>
      <c r="BV39" s="3303"/>
      <c r="BW39" s="3303"/>
      <c r="BX39" s="3303"/>
      <c r="BY39" s="3303"/>
      <c r="BZ39" s="3303"/>
      <c r="CA39" s="3303"/>
      <c r="CB39" s="3303"/>
      <c r="CC39" s="3303"/>
      <c r="CD39" s="3303"/>
      <c r="CE39" s="3303"/>
      <c r="CF39" s="3303"/>
      <c r="CG39" s="3303"/>
      <c r="CH39" s="3303"/>
      <c r="CI39" s="3302">
        <f t="shared" si="1"/>
        <v>22.5</v>
      </c>
    </row>
    <row r="40" spans="1:87" s="1016" customFormat="1" ht="105.75" customHeight="1">
      <c r="A40" s="1001" t="s">
        <v>2611</v>
      </c>
      <c r="B40" s="948" t="s">
        <v>1980</v>
      </c>
      <c r="C40" s="948" t="s">
        <v>1981</v>
      </c>
      <c r="D40" s="2254" t="s">
        <v>85</v>
      </c>
      <c r="E40" s="2439" t="s">
        <v>188</v>
      </c>
      <c r="F40" s="243">
        <v>2388</v>
      </c>
      <c r="G40" s="243">
        <v>0</v>
      </c>
      <c r="H40" s="243">
        <v>11.94</v>
      </c>
      <c r="I40" s="243">
        <v>0.04</v>
      </c>
      <c r="J40" s="2449">
        <v>11.9</v>
      </c>
      <c r="K40" s="243"/>
      <c r="L40" s="2448">
        <v>1500</v>
      </c>
      <c r="M40" s="957">
        <f t="shared" si="4"/>
        <v>1.4999999999999999E-2</v>
      </c>
      <c r="N40" s="2313">
        <v>477</v>
      </c>
      <c r="O40" s="2978">
        <f t="shared" si="5"/>
        <v>7.1549999999999994</v>
      </c>
      <c r="P40" s="2256" t="s">
        <v>5366</v>
      </c>
      <c r="Q40" s="2257" t="str">
        <f>'Ab1. RMNCH+A'!Q297</f>
        <v>Recommended for approval of Rs 7.16 lakhs for monthly AFC meetings in 477 Sub-Centers of 19 PE Blocks in 3 PE Districts for 3 months @ Rs 500/AFC meeting.The State to saturate the PE selection in all Blocks of 3 PE Districts .</v>
      </c>
      <c r="R40" s="2935">
        <f>'Ab1. RMNCH+A'!R297</f>
        <v>7.1550000000000002</v>
      </c>
      <c r="BB40" s="3303">
        <v>7.16</v>
      </c>
      <c r="BC40" s="3303"/>
      <c r="BD40" s="3303"/>
      <c r="BE40" s="3303"/>
      <c r="BF40" s="3303"/>
      <c r="BG40" s="3303"/>
      <c r="BH40" s="3303"/>
      <c r="BI40" s="3303"/>
      <c r="BJ40" s="3303"/>
      <c r="BK40" s="3303"/>
      <c r="BL40" s="3303"/>
      <c r="BM40" s="3303"/>
      <c r="BN40" s="3303"/>
      <c r="BO40" s="3303"/>
      <c r="BP40" s="3303"/>
      <c r="BQ40" s="3303"/>
      <c r="BR40" s="3303"/>
      <c r="BS40" s="3303"/>
      <c r="BT40" s="3303"/>
      <c r="BU40" s="3303"/>
      <c r="BV40" s="3303"/>
      <c r="BW40" s="3303"/>
      <c r="BX40" s="3303"/>
      <c r="BY40" s="3303"/>
      <c r="BZ40" s="3303"/>
      <c r="CA40" s="3303"/>
      <c r="CB40" s="3303"/>
      <c r="CC40" s="3303"/>
      <c r="CD40" s="3303"/>
      <c r="CE40" s="3303"/>
      <c r="CF40" s="3303"/>
      <c r="CG40" s="3303"/>
      <c r="CH40" s="3303"/>
      <c r="CI40" s="3302">
        <f t="shared" si="1"/>
        <v>7.16</v>
      </c>
    </row>
    <row r="41" spans="1:87" s="1016" customFormat="1" ht="81" customHeight="1">
      <c r="A41" s="1001" t="s">
        <v>2612</v>
      </c>
      <c r="B41" s="1607" t="s">
        <v>134</v>
      </c>
      <c r="C41" s="1004" t="s">
        <v>2606</v>
      </c>
      <c r="D41" s="2254" t="s">
        <v>85</v>
      </c>
      <c r="E41" s="2512" t="s">
        <v>85</v>
      </c>
      <c r="F41" s="243">
        <v>6</v>
      </c>
      <c r="G41" s="243"/>
      <c r="H41" s="243">
        <v>54.75</v>
      </c>
      <c r="I41" s="243"/>
      <c r="J41" s="243"/>
      <c r="K41" s="243">
        <v>1</v>
      </c>
      <c r="L41" s="2510">
        <v>912500</v>
      </c>
      <c r="M41" s="957">
        <f t="shared" si="4"/>
        <v>9.125</v>
      </c>
      <c r="N41" s="2510">
        <v>6</v>
      </c>
      <c r="O41" s="2978">
        <f t="shared" si="5"/>
        <v>54.75</v>
      </c>
      <c r="P41" s="2256" t="s">
        <v>5490</v>
      </c>
      <c r="Q41" s="2257" t="str">
        <f>'Ab1. RMNCH+A'!Q438</f>
        <v>As per the NPCC discussions, State to ensure an institutional mechanism for the same. As such, surgical services in outreach mode are not desired. Also, no details regarding post-surgery complication management preparedness have been shared. Hence, not recommended.</v>
      </c>
      <c r="R41" s="2935">
        <f>'Ab1. RMNCH+A'!R438</f>
        <v>0</v>
      </c>
      <c r="BB41" s="3303"/>
      <c r="BC41" s="3303"/>
      <c r="BD41" s="3303"/>
      <c r="BE41" s="3303"/>
      <c r="BF41" s="3303"/>
      <c r="BG41" s="3303"/>
      <c r="BH41" s="3303"/>
      <c r="BI41" s="3303"/>
      <c r="BJ41" s="3303"/>
      <c r="BK41" s="3303"/>
      <c r="BL41" s="3303"/>
      <c r="BM41" s="3303"/>
      <c r="BN41" s="3303"/>
      <c r="BO41" s="3303"/>
      <c r="BP41" s="3303"/>
      <c r="BQ41" s="3303"/>
      <c r="BR41" s="3303"/>
      <c r="BS41" s="3303"/>
      <c r="BT41" s="3303"/>
      <c r="BU41" s="3303"/>
      <c r="BV41" s="3303"/>
      <c r="BW41" s="3303"/>
      <c r="BX41" s="3303"/>
      <c r="BY41" s="3303"/>
      <c r="BZ41" s="3303"/>
      <c r="CA41" s="3303"/>
      <c r="CB41" s="3303"/>
      <c r="CC41" s="3303"/>
      <c r="CD41" s="3303"/>
      <c r="CE41" s="3303"/>
      <c r="CF41" s="3303"/>
      <c r="CG41" s="3303"/>
      <c r="CH41" s="3303"/>
      <c r="CI41" s="3302">
        <f t="shared" si="1"/>
        <v>0</v>
      </c>
    </row>
    <row r="42" spans="1:87" s="1016" customFormat="1" ht="142.5" customHeight="1">
      <c r="A42" s="1001" t="s">
        <v>2613</v>
      </c>
      <c r="B42" s="233" t="s">
        <v>135</v>
      </c>
      <c r="C42" s="233" t="s">
        <v>136</v>
      </c>
      <c r="D42" s="2254" t="s">
        <v>85</v>
      </c>
      <c r="E42" s="2512" t="s">
        <v>85</v>
      </c>
      <c r="F42" s="243">
        <v>10</v>
      </c>
      <c r="G42" s="243"/>
      <c r="H42" s="243">
        <v>84.25</v>
      </c>
      <c r="I42" s="243">
        <v>139.09</v>
      </c>
      <c r="J42" s="243">
        <v>-54.84</v>
      </c>
      <c r="K42" s="243">
        <v>1</v>
      </c>
      <c r="L42" s="2510">
        <v>842500</v>
      </c>
      <c r="M42" s="957">
        <f t="shared" si="4"/>
        <v>8.4250000000000007</v>
      </c>
      <c r="N42" s="2510">
        <v>10</v>
      </c>
      <c r="O42" s="2978">
        <f t="shared" si="5"/>
        <v>84.25</v>
      </c>
      <c r="P42" s="2256" t="s">
        <v>5491</v>
      </c>
      <c r="Q42" s="2257" t="str">
        <f>'Ab1. RMNCH+A'!Q439</f>
        <v>As per the NPCC discussions, State to ensure an institutional mechanism for the same. Also, no details regarding post-surgery complication management preparedness have been shared. Hence, not recommended.</v>
      </c>
      <c r="R42" s="2935">
        <f>'Ab1. RMNCH+A'!R439</f>
        <v>0</v>
      </c>
      <c r="BB42" s="3303"/>
      <c r="BC42" s="3303"/>
      <c r="BD42" s="3303"/>
      <c r="BE42" s="3303"/>
      <c r="BF42" s="3303"/>
      <c r="BG42" s="3303"/>
      <c r="BH42" s="3303"/>
      <c r="BI42" s="3303"/>
      <c r="BJ42" s="3303"/>
      <c r="BK42" s="3303"/>
      <c r="BL42" s="3303"/>
      <c r="BM42" s="3303"/>
      <c r="BN42" s="3303"/>
      <c r="BO42" s="3303"/>
      <c r="BP42" s="3303"/>
      <c r="BQ42" s="3303"/>
      <c r="BR42" s="3303"/>
      <c r="BS42" s="3303"/>
      <c r="BT42" s="3303"/>
      <c r="BU42" s="3303"/>
      <c r="BV42" s="3303"/>
      <c r="BW42" s="3303"/>
      <c r="BX42" s="3303"/>
      <c r="BY42" s="3303"/>
      <c r="BZ42" s="3303"/>
      <c r="CA42" s="3303"/>
      <c r="CB42" s="3303"/>
      <c r="CC42" s="3303"/>
      <c r="CD42" s="3303"/>
      <c r="CE42" s="3303"/>
      <c r="CF42" s="3303"/>
      <c r="CG42" s="3303"/>
      <c r="CH42" s="3303"/>
      <c r="CI42" s="3302">
        <f t="shared" si="1"/>
        <v>0</v>
      </c>
    </row>
    <row r="43" spans="1:87" s="1016" customFormat="1" ht="45">
      <c r="A43" s="1001" t="s">
        <v>2614</v>
      </c>
      <c r="B43" s="1004" t="s">
        <v>138</v>
      </c>
      <c r="C43" s="1004" t="s">
        <v>139</v>
      </c>
      <c r="D43" s="2254" t="s">
        <v>85</v>
      </c>
      <c r="E43" s="1015" t="s">
        <v>200</v>
      </c>
      <c r="F43" s="231">
        <v>480</v>
      </c>
      <c r="G43" s="231"/>
      <c r="H43" s="242">
        <v>2.52</v>
      </c>
      <c r="I43" s="242"/>
      <c r="J43" s="2656">
        <v>0</v>
      </c>
      <c r="K43" s="2656">
        <v>1</v>
      </c>
      <c r="L43" s="2520">
        <v>525</v>
      </c>
      <c r="M43" s="957">
        <f t="shared" si="4"/>
        <v>5.2500000000000003E-3</v>
      </c>
      <c r="N43" s="2520">
        <v>480</v>
      </c>
      <c r="O43" s="2978">
        <f t="shared" si="5"/>
        <v>2.52</v>
      </c>
      <c r="P43" s="2256" t="s">
        <v>5401</v>
      </c>
      <c r="Q43" s="2257" t="str">
        <f>'Ab1. RMNCH+A'!Q402</f>
        <v>Recommended for approval of Rs.2.52 lakhs as per norms @ Rs.525/session for 480 sessions</v>
      </c>
      <c r="R43" s="2935">
        <f>'Ab1. RMNCH+A'!R402</f>
        <v>2.52</v>
      </c>
      <c r="BB43" s="3303"/>
      <c r="BC43" s="3303"/>
      <c r="BD43" s="3303"/>
      <c r="BE43" s="3303"/>
      <c r="BF43" s="3303">
        <v>0.42</v>
      </c>
      <c r="BG43" s="3303"/>
      <c r="BH43" s="3303"/>
      <c r="BI43" s="3303"/>
      <c r="BJ43" s="3303"/>
      <c r="BK43" s="3303">
        <v>1</v>
      </c>
      <c r="BL43" s="3303"/>
      <c r="BM43" s="3303">
        <v>1.1000000000000001</v>
      </c>
      <c r="BN43" s="3303"/>
      <c r="BO43" s="3303"/>
      <c r="BP43" s="3303"/>
      <c r="BQ43" s="3303"/>
      <c r="BR43" s="3303"/>
      <c r="BS43" s="3303"/>
      <c r="BT43" s="3303"/>
      <c r="BU43" s="3303"/>
      <c r="BV43" s="3303"/>
      <c r="BW43" s="3303"/>
      <c r="BX43" s="3303"/>
      <c r="BY43" s="3303"/>
      <c r="BZ43" s="3303"/>
      <c r="CA43" s="3303"/>
      <c r="CB43" s="3303"/>
      <c r="CC43" s="3303"/>
      <c r="CD43" s="3303"/>
      <c r="CE43" s="3303"/>
      <c r="CF43" s="3303"/>
      <c r="CG43" s="3303"/>
      <c r="CH43" s="3303"/>
      <c r="CI43" s="3302">
        <f t="shared" si="1"/>
        <v>2.52</v>
      </c>
    </row>
    <row r="44" spans="1:87" s="1016" customFormat="1" ht="45">
      <c r="A44" s="1001" t="s">
        <v>2615</v>
      </c>
      <c r="B44" s="1004"/>
      <c r="C44" s="1004" t="s">
        <v>3944</v>
      </c>
      <c r="D44" s="2254" t="s">
        <v>85</v>
      </c>
      <c r="E44" s="1015" t="s">
        <v>200</v>
      </c>
      <c r="F44" s="231">
        <v>175</v>
      </c>
      <c r="G44" s="231"/>
      <c r="H44" s="242">
        <v>0.92</v>
      </c>
      <c r="I44" s="242">
        <v>0.03</v>
      </c>
      <c r="J44" s="2656">
        <v>0.89</v>
      </c>
      <c r="K44" s="2656">
        <v>1</v>
      </c>
      <c r="L44" s="2520">
        <v>525</v>
      </c>
      <c r="M44" s="957">
        <f t="shared" si="4"/>
        <v>5.2500000000000003E-3</v>
      </c>
      <c r="N44" s="2520">
        <v>175</v>
      </c>
      <c r="O44" s="2978">
        <f t="shared" si="5"/>
        <v>0.91875000000000007</v>
      </c>
      <c r="P44" s="2256" t="s">
        <v>5402</v>
      </c>
      <c r="Q44" s="2257" t="str">
        <f>'Ab1. RMNCH+A'!Q403</f>
        <v>Recommended for approval of Rs.0.92 lakh for 175 health teams @ Rs.525 per team/year</v>
      </c>
      <c r="R44" s="2935">
        <f>'Ab1. RMNCH+A'!R403</f>
        <v>0.92</v>
      </c>
      <c r="BB44" s="3303"/>
      <c r="BC44" s="3303">
        <v>7.0000000000000007E-2</v>
      </c>
      <c r="BD44" s="3303">
        <v>0.12</v>
      </c>
      <c r="BE44" s="3303">
        <v>7.0000000000000007E-2</v>
      </c>
      <c r="BF44" s="3303">
        <v>0.09</v>
      </c>
      <c r="BG44" s="3303">
        <v>0</v>
      </c>
      <c r="BH44" s="3303">
        <v>0.09</v>
      </c>
      <c r="BI44" s="3303">
        <v>0</v>
      </c>
      <c r="BJ44" s="3303">
        <v>0.11</v>
      </c>
      <c r="BK44" s="3303">
        <v>0.11</v>
      </c>
      <c r="BL44" s="3303">
        <v>0.1</v>
      </c>
      <c r="BM44" s="3303">
        <v>0.08</v>
      </c>
      <c r="BN44" s="3303">
        <v>0.08</v>
      </c>
      <c r="BO44" s="3303"/>
      <c r="BP44" s="3303"/>
      <c r="BQ44" s="3303"/>
      <c r="BR44" s="3303"/>
      <c r="BS44" s="3303"/>
      <c r="BT44" s="3303"/>
      <c r="BU44" s="3303"/>
      <c r="BV44" s="3303"/>
      <c r="BW44" s="3303"/>
      <c r="BX44" s="3303"/>
      <c r="BY44" s="3303"/>
      <c r="BZ44" s="3303"/>
      <c r="CA44" s="3303"/>
      <c r="CB44" s="3303"/>
      <c r="CC44" s="3303"/>
      <c r="CD44" s="3303"/>
      <c r="CE44" s="3303"/>
      <c r="CF44" s="3303"/>
      <c r="CG44" s="3303"/>
      <c r="CH44" s="3303"/>
      <c r="CI44" s="3302">
        <f t="shared" si="1"/>
        <v>0.91999999999999982</v>
      </c>
    </row>
    <row r="45" spans="1:87" s="1016" customFormat="1" ht="45">
      <c r="A45" s="1001" t="s">
        <v>4262</v>
      </c>
      <c r="B45" s="1004"/>
      <c r="C45" s="1004" t="s">
        <v>4263</v>
      </c>
      <c r="D45" s="2254" t="s">
        <v>4219</v>
      </c>
      <c r="E45" s="1015" t="s">
        <v>3223</v>
      </c>
      <c r="F45" s="231">
        <v>0</v>
      </c>
      <c r="G45" s="231"/>
      <c r="H45" s="242">
        <v>0</v>
      </c>
      <c r="I45" s="242"/>
      <c r="J45" s="231"/>
      <c r="K45" s="231"/>
      <c r="L45" s="2313"/>
      <c r="M45" s="957">
        <f t="shared" si="4"/>
        <v>0</v>
      </c>
      <c r="N45" s="2313"/>
      <c r="O45" s="2978">
        <f t="shared" si="5"/>
        <v>0</v>
      </c>
      <c r="P45" s="2256" t="s">
        <v>5287</v>
      </c>
      <c r="Q45" s="2257">
        <f>'Abs12. NVHCP'!Q13</f>
        <v>0</v>
      </c>
      <c r="R45" s="2990">
        <f>'Abs12. NVHCP'!R13</f>
        <v>0</v>
      </c>
      <c r="BB45" s="3303"/>
      <c r="BC45" s="3303"/>
      <c r="BD45" s="3303"/>
      <c r="BE45" s="3303"/>
      <c r="BF45" s="3303"/>
      <c r="BG45" s="3303"/>
      <c r="BH45" s="3303"/>
      <c r="BI45" s="3303"/>
      <c r="BJ45" s="3303"/>
      <c r="BK45" s="3303"/>
      <c r="BL45" s="3303"/>
      <c r="BM45" s="3303"/>
      <c r="BN45" s="3303"/>
      <c r="BO45" s="3303"/>
      <c r="BP45" s="3303"/>
      <c r="BQ45" s="3303"/>
      <c r="BR45" s="3303"/>
      <c r="BS45" s="3303"/>
      <c r="BT45" s="3303"/>
      <c r="BU45" s="3303"/>
      <c r="BV45" s="3303"/>
      <c r="BW45" s="3303"/>
      <c r="BX45" s="3303"/>
      <c r="BY45" s="3303"/>
      <c r="BZ45" s="3303"/>
      <c r="CA45" s="3303"/>
      <c r="CB45" s="3303"/>
      <c r="CC45" s="3303"/>
      <c r="CD45" s="3303"/>
      <c r="CE45" s="3303"/>
      <c r="CF45" s="3303"/>
      <c r="CG45" s="3303"/>
      <c r="CH45" s="3303"/>
      <c r="CI45" s="3302">
        <f t="shared" si="1"/>
        <v>0</v>
      </c>
    </row>
    <row r="46" spans="1:87">
      <c r="A46" s="880" t="s">
        <v>114</v>
      </c>
      <c r="B46" s="880"/>
      <c r="C46" s="880" t="s">
        <v>2622</v>
      </c>
      <c r="D46" s="1008"/>
      <c r="E46" s="1008"/>
      <c r="F46" s="152"/>
      <c r="G46" s="152"/>
      <c r="H46" s="152"/>
      <c r="I46" s="152"/>
      <c r="J46" s="152"/>
      <c r="K46" s="152"/>
      <c r="L46" s="152"/>
      <c r="M46" s="940"/>
      <c r="N46" s="152"/>
      <c r="O46" s="2976">
        <f>SUM(O47:O54)</f>
        <v>6.3900000000000006</v>
      </c>
      <c r="P46" s="706"/>
      <c r="Q46" s="1000"/>
      <c r="R46" s="2976">
        <f>SUM(R47:R54)</f>
        <v>6.3900000000000006</v>
      </c>
      <c r="BB46" s="3302"/>
      <c r="BC46" s="3302"/>
      <c r="BD46" s="3302"/>
      <c r="BE46" s="3302"/>
      <c r="BF46" s="3302"/>
      <c r="BG46" s="3302"/>
      <c r="BH46" s="3302"/>
      <c r="BI46" s="3302"/>
      <c r="BJ46" s="3302"/>
      <c r="BK46" s="3302"/>
      <c r="BL46" s="3302"/>
      <c r="BM46" s="3302"/>
      <c r="BN46" s="3302"/>
      <c r="BO46" s="3302"/>
      <c r="BP46" s="3302"/>
      <c r="BQ46" s="3302"/>
      <c r="BR46" s="3302"/>
      <c r="BS46" s="3302"/>
      <c r="BT46" s="3302"/>
      <c r="BU46" s="3302"/>
      <c r="BV46" s="3302"/>
      <c r="BW46" s="3302"/>
      <c r="BX46" s="3302"/>
      <c r="BY46" s="3302"/>
      <c r="BZ46" s="3302"/>
      <c r="CA46" s="3302"/>
      <c r="CB46" s="3302"/>
      <c r="CC46" s="3302"/>
      <c r="CD46" s="3302"/>
      <c r="CE46" s="3302"/>
      <c r="CF46" s="3302"/>
      <c r="CG46" s="3302"/>
      <c r="CH46" s="3302"/>
      <c r="CI46" s="3302">
        <f t="shared" si="1"/>
        <v>0</v>
      </c>
    </row>
    <row r="47" spans="1:87" ht="45">
      <c r="A47" s="1001" t="s">
        <v>2616</v>
      </c>
      <c r="B47" s="431" t="s">
        <v>137</v>
      </c>
      <c r="C47" s="431" t="s">
        <v>4560</v>
      </c>
      <c r="D47" s="913" t="s">
        <v>80</v>
      </c>
      <c r="E47" s="964" t="s">
        <v>410</v>
      </c>
      <c r="F47" s="168">
        <v>0</v>
      </c>
      <c r="G47" s="168"/>
      <c r="H47" s="168">
        <v>0</v>
      </c>
      <c r="I47" s="168"/>
      <c r="J47" s="168"/>
      <c r="K47" s="168"/>
      <c r="L47" s="170"/>
      <c r="M47" s="193">
        <f t="shared" ref="M47:M54" si="6">L47/100000</f>
        <v>0</v>
      </c>
      <c r="N47" s="170"/>
      <c r="O47" s="2977">
        <f t="shared" ref="O47:O54" si="7">M47*N47</f>
        <v>0</v>
      </c>
      <c r="P47" s="171"/>
      <c r="Q47" s="1003">
        <f>'Abs19. NPCDCS'!Q14</f>
        <v>0</v>
      </c>
      <c r="R47" s="2988">
        <f>'Abs19. NPCDCS'!R14</f>
        <v>0</v>
      </c>
      <c r="BB47" s="3302"/>
      <c r="BC47" s="3302"/>
      <c r="BD47" s="3302"/>
      <c r="BE47" s="3302"/>
      <c r="BF47" s="3302"/>
      <c r="BG47" s="3302"/>
      <c r="BH47" s="3302"/>
      <c r="BI47" s="3302"/>
      <c r="BJ47" s="3302"/>
      <c r="BK47" s="3302"/>
      <c r="BL47" s="3302"/>
      <c r="BM47" s="3302"/>
      <c r="BN47" s="3302"/>
      <c r="BO47" s="3302"/>
      <c r="BP47" s="3302"/>
      <c r="BQ47" s="3302"/>
      <c r="BR47" s="3302"/>
      <c r="BS47" s="3302"/>
      <c r="BT47" s="3302"/>
      <c r="BU47" s="3302"/>
      <c r="BV47" s="3302"/>
      <c r="BW47" s="3302"/>
      <c r="BX47" s="3302"/>
      <c r="BY47" s="3302"/>
      <c r="BZ47" s="3302"/>
      <c r="CA47" s="3302"/>
      <c r="CB47" s="3302"/>
      <c r="CC47" s="3302"/>
      <c r="CD47" s="3302"/>
      <c r="CE47" s="3302"/>
      <c r="CF47" s="3302"/>
      <c r="CG47" s="3302"/>
      <c r="CH47" s="3302"/>
      <c r="CI47" s="3302">
        <f t="shared" si="1"/>
        <v>0</v>
      </c>
    </row>
    <row r="48" spans="1:87">
      <c r="A48" s="1001" t="s">
        <v>2617</v>
      </c>
      <c r="B48" s="1002" t="s">
        <v>140</v>
      </c>
      <c r="C48" s="1002" t="s">
        <v>2621</v>
      </c>
      <c r="D48" s="1007" t="s">
        <v>4219</v>
      </c>
      <c r="E48" s="946" t="s">
        <v>141</v>
      </c>
      <c r="F48" s="170">
        <v>0</v>
      </c>
      <c r="G48" s="170"/>
      <c r="H48" s="170">
        <v>0</v>
      </c>
      <c r="I48" s="170"/>
      <c r="J48" s="170"/>
      <c r="K48" s="170"/>
      <c r="L48" s="170"/>
      <c r="M48" s="193">
        <f t="shared" si="6"/>
        <v>0</v>
      </c>
      <c r="N48" s="170"/>
      <c r="O48" s="2977">
        <f t="shared" si="7"/>
        <v>0</v>
      </c>
      <c r="P48" s="171"/>
      <c r="Q48" s="1017">
        <f>'Abs10. NLEP'!Q11</f>
        <v>0</v>
      </c>
      <c r="R48" s="2969">
        <f>'Abs10. NLEP'!R11</f>
        <v>0</v>
      </c>
      <c r="BB48" s="3302"/>
      <c r="BC48" s="3302"/>
      <c r="BD48" s="3302"/>
      <c r="BE48" s="3302"/>
      <c r="BF48" s="3302"/>
      <c r="BG48" s="3302"/>
      <c r="BH48" s="3302"/>
      <c r="BI48" s="3302"/>
      <c r="BJ48" s="3302"/>
      <c r="BK48" s="3302"/>
      <c r="BL48" s="3302"/>
      <c r="BM48" s="3302"/>
      <c r="BN48" s="3302"/>
      <c r="BO48" s="3302"/>
      <c r="BP48" s="3302"/>
      <c r="BQ48" s="3302"/>
      <c r="BR48" s="3302"/>
      <c r="BS48" s="3302"/>
      <c r="BT48" s="3302"/>
      <c r="BU48" s="3302"/>
      <c r="BV48" s="3302"/>
      <c r="BW48" s="3302"/>
      <c r="BX48" s="3302"/>
      <c r="BY48" s="3302"/>
      <c r="BZ48" s="3302"/>
      <c r="CA48" s="3302"/>
      <c r="CB48" s="3302"/>
      <c r="CC48" s="3302"/>
      <c r="CD48" s="3302"/>
      <c r="CE48" s="3302"/>
      <c r="CF48" s="3302"/>
      <c r="CG48" s="3302"/>
      <c r="CH48" s="3302"/>
      <c r="CI48" s="3302">
        <f t="shared" si="1"/>
        <v>0</v>
      </c>
    </row>
    <row r="49" spans="1:87" s="1016" customFormat="1" ht="60">
      <c r="A49" s="1001" t="s">
        <v>2618</v>
      </c>
      <c r="B49" s="233" t="s">
        <v>144</v>
      </c>
      <c r="C49" s="233" t="s">
        <v>2624</v>
      </c>
      <c r="D49" s="1699" t="s">
        <v>80</v>
      </c>
      <c r="E49" s="2439" t="s">
        <v>145</v>
      </c>
      <c r="F49" s="231">
        <v>12</v>
      </c>
      <c r="G49" s="231"/>
      <c r="H49" s="242">
        <v>6</v>
      </c>
      <c r="I49" s="2450">
        <v>7.0000000000000007E-2</v>
      </c>
      <c r="J49" s="243">
        <v>5</v>
      </c>
      <c r="K49" s="231"/>
      <c r="L49" s="2448">
        <v>20000</v>
      </c>
      <c r="M49" s="957">
        <f t="shared" si="6"/>
        <v>0.2</v>
      </c>
      <c r="N49" s="2313">
        <v>12</v>
      </c>
      <c r="O49" s="2978">
        <f t="shared" si="7"/>
        <v>2.4000000000000004</v>
      </c>
      <c r="P49" s="2256"/>
      <c r="Q49" s="2257" t="str">
        <f>'Abs16. NMHP'!Q7</f>
        <v> Recommended</v>
      </c>
      <c r="R49" s="2257">
        <f>'Abs16. NMHP'!R7</f>
        <v>2.4</v>
      </c>
      <c r="BB49" s="3303"/>
      <c r="BC49" s="3303">
        <v>0.15</v>
      </c>
      <c r="BD49" s="3303">
        <v>0.2</v>
      </c>
      <c r="BE49" s="3303">
        <v>0.2</v>
      </c>
      <c r="BF49" s="3303">
        <v>0.3</v>
      </c>
      <c r="BG49" s="3303">
        <v>0.1</v>
      </c>
      <c r="BH49" s="3303">
        <v>0.2</v>
      </c>
      <c r="BI49" s="3303">
        <v>0.1</v>
      </c>
      <c r="BJ49" s="3303">
        <v>0.3</v>
      </c>
      <c r="BK49" s="3303">
        <v>0.3</v>
      </c>
      <c r="BL49" s="3303">
        <v>0.2</v>
      </c>
      <c r="BM49" s="3303">
        <v>0.2</v>
      </c>
      <c r="BN49" s="3303">
        <v>0.15</v>
      </c>
      <c r="BO49" s="3303"/>
      <c r="BP49" s="3303"/>
      <c r="BQ49" s="3303"/>
      <c r="BR49" s="3303"/>
      <c r="BS49" s="3303"/>
      <c r="BT49" s="3303"/>
      <c r="BU49" s="3303"/>
      <c r="BV49" s="3303"/>
      <c r="BW49" s="3303"/>
      <c r="BX49" s="3303"/>
      <c r="BY49" s="3303"/>
      <c r="BZ49" s="3303"/>
      <c r="CA49" s="3303"/>
      <c r="CB49" s="3303"/>
      <c r="CC49" s="3303"/>
      <c r="CD49" s="3303"/>
      <c r="CE49" s="3303"/>
      <c r="CF49" s="3303"/>
      <c r="CG49" s="3303"/>
      <c r="CH49" s="3303"/>
      <c r="CI49" s="3302">
        <f t="shared" si="1"/>
        <v>2.4000000000000004</v>
      </c>
    </row>
    <row r="50" spans="1:87" s="1016" customFormat="1" ht="90">
      <c r="A50" s="1001" t="s">
        <v>2619</v>
      </c>
      <c r="B50" s="233" t="s">
        <v>2749</v>
      </c>
      <c r="C50" s="233" t="s">
        <v>2748</v>
      </c>
      <c r="D50" s="1699" t="s">
        <v>80</v>
      </c>
      <c r="E50" s="2439" t="s">
        <v>81</v>
      </c>
      <c r="F50" s="243">
        <v>2</v>
      </c>
      <c r="G50" s="243">
        <v>2</v>
      </c>
      <c r="H50" s="243">
        <v>4</v>
      </c>
      <c r="I50" s="243"/>
      <c r="J50" s="243">
        <v>4</v>
      </c>
      <c r="K50" s="243"/>
      <c r="L50" s="2448">
        <v>133000</v>
      </c>
      <c r="M50" s="957">
        <f t="shared" si="6"/>
        <v>1.33</v>
      </c>
      <c r="N50" s="2313">
        <v>3</v>
      </c>
      <c r="O50" s="2978">
        <f t="shared" si="7"/>
        <v>3.99</v>
      </c>
      <c r="P50" s="2256" t="s">
        <v>5229</v>
      </c>
      <c r="Q50" s="2257" t="str">
        <f>'Abs15. NPCB'!Q8</f>
        <v>Recommended as proposed by state (IGMS- Rs 2 lakh, RPGMC- Rs 0.99 lakh, SLBSGMC- Rs 1 lakh). However, the unit cost is @ Rs 2000 for collection of 200 eyeballs. State may propose funds for more number of eye balls' collection.</v>
      </c>
      <c r="R50" s="2990">
        <f>'Abs15. NPCB'!R8</f>
        <v>3.99</v>
      </c>
      <c r="BB50" s="3303">
        <v>1</v>
      </c>
      <c r="BC50" s="3303"/>
      <c r="BD50" s="3303"/>
      <c r="BE50" s="3303"/>
      <c r="BF50" s="3303"/>
      <c r="BG50" s="3303"/>
      <c r="BH50" s="3303"/>
      <c r="BI50" s="3303"/>
      <c r="BJ50" s="3303"/>
      <c r="BK50" s="3303"/>
      <c r="BL50" s="3303"/>
      <c r="BM50" s="3303"/>
      <c r="BN50" s="3303"/>
      <c r="BO50" s="3303">
        <v>2</v>
      </c>
      <c r="BP50" s="3303">
        <v>0.99</v>
      </c>
      <c r="BQ50" s="3303"/>
      <c r="BR50" s="3303"/>
      <c r="BS50" s="3303"/>
      <c r="BT50" s="3303"/>
      <c r="BU50" s="3303"/>
      <c r="BV50" s="3303"/>
      <c r="BW50" s="3303"/>
      <c r="BX50" s="3303"/>
      <c r="BY50" s="3303"/>
      <c r="BZ50" s="3303"/>
      <c r="CA50" s="3303"/>
      <c r="CB50" s="3303"/>
      <c r="CC50" s="3303"/>
      <c r="CD50" s="3303"/>
      <c r="CE50" s="3303"/>
      <c r="CF50" s="3303"/>
      <c r="CG50" s="3303"/>
      <c r="CH50" s="3303"/>
      <c r="CI50" s="3302">
        <f t="shared" si="1"/>
        <v>3.99</v>
      </c>
    </row>
    <row r="51" spans="1:87" ht="30">
      <c r="A51" s="1001" t="s">
        <v>2620</v>
      </c>
      <c r="B51" s="225" t="s">
        <v>156</v>
      </c>
      <c r="C51" s="225" t="s">
        <v>2623</v>
      </c>
      <c r="D51" s="911" t="s">
        <v>80</v>
      </c>
      <c r="E51" s="945" t="s">
        <v>147</v>
      </c>
      <c r="F51" s="168">
        <v>12</v>
      </c>
      <c r="G51" s="168"/>
      <c r="H51" s="168">
        <v>12</v>
      </c>
      <c r="I51" s="168">
        <v>1.96</v>
      </c>
      <c r="J51" s="168">
        <v>5</v>
      </c>
      <c r="K51" s="687"/>
      <c r="L51" s="687"/>
      <c r="M51" s="688"/>
      <c r="N51" s="687"/>
      <c r="O51" s="2983"/>
      <c r="P51" s="712"/>
      <c r="Q51" s="1018" t="s">
        <v>4416</v>
      </c>
      <c r="R51" s="2991"/>
      <c r="BB51" s="3302"/>
      <c r="BC51" s="3302"/>
      <c r="BD51" s="3302"/>
      <c r="BE51" s="3302"/>
      <c r="BF51" s="3302"/>
      <c r="BG51" s="3302"/>
      <c r="BH51" s="3302"/>
      <c r="BI51" s="3302"/>
      <c r="BJ51" s="3302"/>
      <c r="BK51" s="3302"/>
      <c r="BL51" s="3302"/>
      <c r="BM51" s="3302"/>
      <c r="BN51" s="3302"/>
      <c r="BO51" s="3302"/>
      <c r="BP51" s="3302"/>
      <c r="BQ51" s="3302"/>
      <c r="BR51" s="3302"/>
      <c r="BS51" s="3302"/>
      <c r="BT51" s="3302"/>
      <c r="BU51" s="3302"/>
      <c r="BV51" s="3302"/>
      <c r="BW51" s="3302"/>
      <c r="BX51" s="3302"/>
      <c r="BY51" s="3302"/>
      <c r="BZ51" s="3302"/>
      <c r="CA51" s="3302"/>
      <c r="CB51" s="3302"/>
      <c r="CC51" s="3302"/>
      <c r="CD51" s="3302"/>
      <c r="CE51" s="3302"/>
      <c r="CF51" s="3302"/>
      <c r="CG51" s="3302"/>
      <c r="CH51" s="3302"/>
      <c r="CI51" s="3302">
        <f t="shared" si="1"/>
        <v>0</v>
      </c>
    </row>
    <row r="52" spans="1:87" s="1016" customFormat="1">
      <c r="A52" s="1001" t="s">
        <v>4284</v>
      </c>
      <c r="B52" s="233"/>
      <c r="C52" s="233" t="s">
        <v>4285</v>
      </c>
      <c r="D52" s="911" t="s">
        <v>80</v>
      </c>
      <c r="E52" s="1019" t="s">
        <v>394</v>
      </c>
      <c r="F52" s="243">
        <v>0</v>
      </c>
      <c r="G52" s="243"/>
      <c r="H52" s="243">
        <v>0</v>
      </c>
      <c r="I52" s="243"/>
      <c r="J52" s="243"/>
      <c r="K52" s="243"/>
      <c r="L52" s="170"/>
      <c r="M52" s="193">
        <f t="shared" si="6"/>
        <v>0</v>
      </c>
      <c r="N52" s="170"/>
      <c r="O52" s="2977">
        <f t="shared" si="7"/>
        <v>0</v>
      </c>
      <c r="P52" s="171"/>
      <c r="Q52" s="1003">
        <f>'Abs17. NPHCE'!Q7</f>
        <v>0</v>
      </c>
      <c r="R52" s="2988">
        <f>'Abs17. NPHCE'!R7</f>
        <v>0</v>
      </c>
      <c r="BB52" s="3303"/>
      <c r="BC52" s="3303"/>
      <c r="BD52" s="3303"/>
      <c r="BE52" s="3303"/>
      <c r="BF52" s="3303"/>
      <c r="BG52" s="3303"/>
      <c r="BH52" s="3303"/>
      <c r="BI52" s="3303"/>
      <c r="BJ52" s="3303"/>
      <c r="BK52" s="3303"/>
      <c r="BL52" s="3303"/>
      <c r="BM52" s="3303"/>
      <c r="BN52" s="3303"/>
      <c r="BO52" s="3303"/>
      <c r="BP52" s="3303"/>
      <c r="BQ52" s="3303"/>
      <c r="BR52" s="3303"/>
      <c r="BS52" s="3303"/>
      <c r="BT52" s="3303"/>
      <c r="BU52" s="3303"/>
      <c r="BV52" s="3303"/>
      <c r="BW52" s="3303"/>
      <c r="BX52" s="3303"/>
      <c r="BY52" s="3303"/>
      <c r="BZ52" s="3303"/>
      <c r="CA52" s="3303"/>
      <c r="CB52" s="3303"/>
      <c r="CC52" s="3303"/>
      <c r="CD52" s="3303"/>
      <c r="CE52" s="3303"/>
      <c r="CF52" s="3303"/>
      <c r="CG52" s="3303"/>
      <c r="CH52" s="3303"/>
      <c r="CI52" s="3302">
        <f t="shared" si="1"/>
        <v>0</v>
      </c>
    </row>
    <row r="53" spans="1:87" s="1016" customFormat="1" ht="45">
      <c r="A53" s="1001" t="s">
        <v>4295</v>
      </c>
      <c r="B53" s="233"/>
      <c r="C53" s="233" t="s">
        <v>4296</v>
      </c>
      <c r="D53" s="1007" t="s">
        <v>4219</v>
      </c>
      <c r="E53" s="1019" t="s">
        <v>4713</v>
      </c>
      <c r="F53" s="243">
        <v>0</v>
      </c>
      <c r="G53" s="243"/>
      <c r="H53" s="243">
        <v>0</v>
      </c>
      <c r="I53" s="243"/>
      <c r="J53" s="243"/>
      <c r="K53" s="243"/>
      <c r="L53" s="170"/>
      <c r="M53" s="193">
        <f t="shared" si="6"/>
        <v>0</v>
      </c>
      <c r="N53" s="170"/>
      <c r="O53" s="2977">
        <f t="shared" si="7"/>
        <v>0</v>
      </c>
      <c r="P53" s="171"/>
      <c r="Q53" s="1003">
        <f>'Abs9. NVBDCP'!Q13</f>
        <v>0</v>
      </c>
      <c r="R53" s="2988">
        <f>'Abs9. NVBDCP'!R13</f>
        <v>0</v>
      </c>
      <c r="BB53" s="3303"/>
      <c r="BC53" s="3303"/>
      <c r="BD53" s="3303"/>
      <c r="BE53" s="3303"/>
      <c r="BF53" s="3303"/>
      <c r="BG53" s="3303"/>
      <c r="BH53" s="3303"/>
      <c r="BI53" s="3303"/>
      <c r="BJ53" s="3303"/>
      <c r="BK53" s="3303"/>
      <c r="BL53" s="3303"/>
      <c r="BM53" s="3303"/>
      <c r="BN53" s="3303"/>
      <c r="BO53" s="3303"/>
      <c r="BP53" s="3303"/>
      <c r="BQ53" s="3303"/>
      <c r="BR53" s="3303"/>
      <c r="BS53" s="3303"/>
      <c r="BT53" s="3303"/>
      <c r="BU53" s="3303"/>
      <c r="BV53" s="3303"/>
      <c r="BW53" s="3303"/>
      <c r="BX53" s="3303"/>
      <c r="BY53" s="3303"/>
      <c r="BZ53" s="3303"/>
      <c r="CA53" s="3303"/>
      <c r="CB53" s="3303"/>
      <c r="CC53" s="3303"/>
      <c r="CD53" s="3303"/>
      <c r="CE53" s="3303"/>
      <c r="CF53" s="3303"/>
      <c r="CG53" s="3303"/>
      <c r="CH53" s="3303"/>
      <c r="CI53" s="3302">
        <f t="shared" si="1"/>
        <v>0</v>
      </c>
    </row>
    <row r="54" spans="1:87" s="1016" customFormat="1" ht="30">
      <c r="A54" s="1001" t="s">
        <v>4373</v>
      </c>
      <c r="B54" s="233"/>
      <c r="C54" s="961" t="s">
        <v>4374</v>
      </c>
      <c r="D54" s="2254" t="s">
        <v>4219</v>
      </c>
      <c r="E54" s="2326" t="s">
        <v>4525</v>
      </c>
      <c r="F54" s="243">
        <v>7100</v>
      </c>
      <c r="G54" s="243">
        <v>564</v>
      </c>
      <c r="H54" s="243">
        <v>7.1</v>
      </c>
      <c r="I54" s="243">
        <v>3</v>
      </c>
      <c r="J54" s="243">
        <v>5</v>
      </c>
      <c r="K54" s="243"/>
      <c r="L54" s="2313"/>
      <c r="M54" s="957">
        <f t="shared" si="6"/>
        <v>0</v>
      </c>
      <c r="N54" s="2313"/>
      <c r="O54" s="2978">
        <f t="shared" si="7"/>
        <v>0</v>
      </c>
      <c r="P54" s="2256"/>
      <c r="Q54" s="2257">
        <f>'Abs11. NTEP'!Q11</f>
        <v>0</v>
      </c>
      <c r="R54" s="2990">
        <f>'Abs11. NTEP'!R11</f>
        <v>0</v>
      </c>
      <c r="BB54" s="3303"/>
      <c r="BC54" s="3303"/>
      <c r="BD54" s="3303"/>
      <c r="BE54" s="3303"/>
      <c r="BF54" s="3303"/>
      <c r="BG54" s="3303"/>
      <c r="BH54" s="3303"/>
      <c r="BI54" s="3303"/>
      <c r="BJ54" s="3303"/>
      <c r="BK54" s="3303"/>
      <c r="BL54" s="3303"/>
      <c r="BM54" s="3303"/>
      <c r="BN54" s="3303"/>
      <c r="BO54" s="3303"/>
      <c r="BP54" s="3303"/>
      <c r="BQ54" s="3303"/>
      <c r="BR54" s="3303"/>
      <c r="BS54" s="3303"/>
      <c r="BT54" s="3303"/>
      <c r="BU54" s="3303"/>
      <c r="BV54" s="3303"/>
      <c r="BW54" s="3303"/>
      <c r="BX54" s="3303"/>
      <c r="BY54" s="3303"/>
      <c r="BZ54" s="3303"/>
      <c r="CA54" s="3303"/>
      <c r="CB54" s="3303"/>
      <c r="CC54" s="3303"/>
      <c r="CD54" s="3303"/>
      <c r="CE54" s="3303"/>
      <c r="CF54" s="3303"/>
      <c r="CG54" s="3303"/>
      <c r="CH54" s="3303"/>
      <c r="CI54" s="3302">
        <f t="shared" si="1"/>
        <v>0</v>
      </c>
    </row>
    <row r="55" spans="1:87">
      <c r="A55" s="880" t="s">
        <v>117</v>
      </c>
      <c r="B55" s="880"/>
      <c r="C55" s="880" t="s">
        <v>2625</v>
      </c>
      <c r="D55" s="1008"/>
      <c r="E55" s="1008"/>
      <c r="F55" s="152"/>
      <c r="G55" s="152"/>
      <c r="H55" s="152"/>
      <c r="I55" s="152"/>
      <c r="J55" s="152"/>
      <c r="K55" s="152"/>
      <c r="L55" s="152"/>
      <c r="M55" s="940"/>
      <c r="N55" s="152"/>
      <c r="O55" s="2976">
        <f>SUM(O56:O59)</f>
        <v>67</v>
      </c>
      <c r="P55" s="706"/>
      <c r="Q55" s="1000"/>
      <c r="R55" s="2986">
        <f>SUM(R56:R59)</f>
        <v>67</v>
      </c>
      <c r="BB55" s="3302"/>
      <c r="BC55" s="3302"/>
      <c r="BD55" s="3302"/>
      <c r="BE55" s="3302"/>
      <c r="BF55" s="3302"/>
      <c r="BG55" s="3302"/>
      <c r="BH55" s="3302"/>
      <c r="BI55" s="3302"/>
      <c r="BJ55" s="3302"/>
      <c r="BK55" s="3302"/>
      <c r="BL55" s="3302"/>
      <c r="BM55" s="3302"/>
      <c r="BN55" s="3302"/>
      <c r="BO55" s="3302"/>
      <c r="BP55" s="3302"/>
      <c r="BQ55" s="3302"/>
      <c r="BR55" s="3302"/>
      <c r="BS55" s="3302"/>
      <c r="BT55" s="3302"/>
      <c r="BU55" s="3302"/>
      <c r="BV55" s="3302"/>
      <c r="BW55" s="3302"/>
      <c r="BX55" s="3302"/>
      <c r="BY55" s="3302"/>
      <c r="BZ55" s="3302"/>
      <c r="CA55" s="3302"/>
      <c r="CB55" s="3302"/>
      <c r="CC55" s="3302"/>
      <c r="CD55" s="3302"/>
      <c r="CE55" s="3302"/>
      <c r="CF55" s="3302"/>
      <c r="CG55" s="3302"/>
      <c r="CH55" s="3302"/>
      <c r="CI55" s="3302">
        <f t="shared" si="1"/>
        <v>0</v>
      </c>
    </row>
    <row r="56" spans="1:87" s="1016" customFormat="1" ht="45">
      <c r="A56" s="1001" t="s">
        <v>2626</v>
      </c>
      <c r="B56" s="233" t="s">
        <v>128</v>
      </c>
      <c r="C56" s="233" t="s">
        <v>4234</v>
      </c>
      <c r="D56" s="2254" t="s">
        <v>85</v>
      </c>
      <c r="E56" s="2512" t="s">
        <v>126</v>
      </c>
      <c r="F56" s="243">
        <v>250000</v>
      </c>
      <c r="G56" s="243"/>
      <c r="H56" s="243">
        <v>243.125</v>
      </c>
      <c r="I56" s="243">
        <v>0</v>
      </c>
      <c r="J56" s="243">
        <v>243.125</v>
      </c>
      <c r="K56" s="243"/>
      <c r="L56" s="2313"/>
      <c r="M56" s="957">
        <f>L56/100000</f>
        <v>0</v>
      </c>
      <c r="N56" s="2313"/>
      <c r="O56" s="2978">
        <f>M56*N56</f>
        <v>0</v>
      </c>
      <c r="P56" s="2256"/>
      <c r="Q56" s="2257" t="str">
        <f>'Ab1. RMNCH+A'!Q112</f>
        <v>-</v>
      </c>
      <c r="R56" s="2935">
        <f>'Ab1. RMNCH+A'!R112</f>
        <v>0</v>
      </c>
      <c r="BB56" s="3303"/>
      <c r="BC56" s="3303"/>
      <c r="BD56" s="3303"/>
      <c r="BE56" s="3303"/>
      <c r="BF56" s="3303"/>
      <c r="BG56" s="3303"/>
      <c r="BH56" s="3303"/>
      <c r="BI56" s="3303"/>
      <c r="BJ56" s="3303"/>
      <c r="BK56" s="3303"/>
      <c r="BL56" s="3303"/>
      <c r="BM56" s="3303"/>
      <c r="BN56" s="3303"/>
      <c r="BO56" s="3303"/>
      <c r="BP56" s="3303"/>
      <c r="BQ56" s="3303"/>
      <c r="BR56" s="3303"/>
      <c r="BS56" s="3303"/>
      <c r="BT56" s="3303"/>
      <c r="BU56" s="3303"/>
      <c r="BV56" s="3303"/>
      <c r="BW56" s="3303"/>
      <c r="BX56" s="3303"/>
      <c r="BY56" s="3303"/>
      <c r="BZ56" s="3303"/>
      <c r="CA56" s="3303"/>
      <c r="CB56" s="3303"/>
      <c r="CC56" s="3303"/>
      <c r="CD56" s="3303"/>
      <c r="CE56" s="3303"/>
      <c r="CF56" s="3303"/>
      <c r="CG56" s="3303"/>
      <c r="CH56" s="3303"/>
      <c r="CI56" s="3302">
        <f t="shared" si="1"/>
        <v>0</v>
      </c>
    </row>
    <row r="57" spans="1:87" s="1016" customFormat="1" ht="99" customHeight="1">
      <c r="A57" s="1001" t="s">
        <v>2627</v>
      </c>
      <c r="B57" s="233" t="s">
        <v>142</v>
      </c>
      <c r="C57" s="233" t="s">
        <v>3839</v>
      </c>
      <c r="D57" s="1699" t="s">
        <v>80</v>
      </c>
      <c r="E57" s="2623" t="s">
        <v>81</v>
      </c>
      <c r="F57" s="243">
        <v>5000</v>
      </c>
      <c r="G57" s="243">
        <v>20</v>
      </c>
      <c r="H57" s="243">
        <v>17.5</v>
      </c>
      <c r="I57" s="243">
        <v>0.26</v>
      </c>
      <c r="J57" s="243">
        <v>17.239999999999998</v>
      </c>
      <c r="K57" s="243"/>
      <c r="L57" s="2448">
        <v>350</v>
      </c>
      <c r="M57" s="957">
        <f>L57/100000</f>
        <v>3.5000000000000001E-3</v>
      </c>
      <c r="N57" s="2448">
        <v>10000</v>
      </c>
      <c r="O57" s="2978">
        <f>M57*N57</f>
        <v>35</v>
      </c>
      <c r="P57" s="2256" t="s">
        <v>5443</v>
      </c>
      <c r="Q57" s="2257" t="str">
        <f>'Abs15. NPCB'!Q9</f>
        <v>Recommended for distribution of 10000 Spectacles @ Rs 350 as during 2019-20, the Spectacles distributed was 917.</v>
      </c>
      <c r="R57" s="2990">
        <f>'Abs15. NPCB'!R9</f>
        <v>35</v>
      </c>
      <c r="BB57" s="3303">
        <v>35</v>
      </c>
      <c r="BC57" s="3303"/>
      <c r="BD57" s="3303"/>
      <c r="BE57" s="3303"/>
      <c r="BF57" s="3303"/>
      <c r="BG57" s="3303"/>
      <c r="BH57" s="3303"/>
      <c r="BI57" s="3303"/>
      <c r="BJ57" s="3303"/>
      <c r="BK57" s="3303"/>
      <c r="BL57" s="3303"/>
      <c r="BM57" s="3303"/>
      <c r="BN57" s="3303"/>
      <c r="BO57" s="3303"/>
      <c r="BP57" s="3303"/>
      <c r="BQ57" s="3303"/>
      <c r="BR57" s="3303"/>
      <c r="BS57" s="3303"/>
      <c r="BT57" s="3303"/>
      <c r="BU57" s="3303"/>
      <c r="BV57" s="3303"/>
      <c r="BW57" s="3303"/>
      <c r="BX57" s="3303"/>
      <c r="BY57" s="3303"/>
      <c r="BZ57" s="3303"/>
      <c r="CA57" s="3303"/>
      <c r="CB57" s="3303"/>
      <c r="CC57" s="3303"/>
      <c r="CD57" s="3303"/>
      <c r="CE57" s="3303"/>
      <c r="CF57" s="3303"/>
      <c r="CG57" s="3303"/>
      <c r="CH57" s="3303"/>
      <c r="CI57" s="3302">
        <f t="shared" si="1"/>
        <v>35</v>
      </c>
    </row>
    <row r="58" spans="1:87" s="1016" customFormat="1" ht="30">
      <c r="A58" s="1001" t="s">
        <v>2628</v>
      </c>
      <c r="B58" s="233" t="s">
        <v>143</v>
      </c>
      <c r="C58" s="233" t="s">
        <v>3840</v>
      </c>
      <c r="D58" s="1699" t="s">
        <v>80</v>
      </c>
      <c r="E58" s="2439" t="s">
        <v>81</v>
      </c>
      <c r="F58" s="243">
        <v>2000</v>
      </c>
      <c r="G58" s="243">
        <v>11</v>
      </c>
      <c r="H58" s="243">
        <v>3</v>
      </c>
      <c r="I58" s="243">
        <v>0</v>
      </c>
      <c r="J58" s="243">
        <v>3</v>
      </c>
      <c r="K58" s="243"/>
      <c r="L58" s="2448">
        <v>350</v>
      </c>
      <c r="M58" s="957">
        <f>L58/100000</f>
        <v>3.5000000000000001E-3</v>
      </c>
      <c r="N58" s="2448">
        <v>2000</v>
      </c>
      <c r="O58" s="2978">
        <f>M58*N58</f>
        <v>7</v>
      </c>
      <c r="P58" s="2256"/>
      <c r="Q58" s="2257" t="str">
        <f>'Abs15. NPCB'!Q10</f>
        <v>Recommended</v>
      </c>
      <c r="R58" s="2990">
        <f>'Abs15. NPCB'!R10</f>
        <v>7</v>
      </c>
      <c r="BB58" s="3303">
        <v>7</v>
      </c>
      <c r="BC58" s="3303"/>
      <c r="BD58" s="3303"/>
      <c r="BE58" s="3303"/>
      <c r="BF58" s="3303"/>
      <c r="BG58" s="3303"/>
      <c r="BH58" s="3303"/>
      <c r="BI58" s="3303"/>
      <c r="BJ58" s="3303"/>
      <c r="BK58" s="3303"/>
      <c r="BL58" s="3303"/>
      <c r="BM58" s="3303"/>
      <c r="BN58" s="3303"/>
      <c r="BO58" s="3303"/>
      <c r="BP58" s="3303"/>
      <c r="BQ58" s="3303"/>
      <c r="BR58" s="3303"/>
      <c r="BS58" s="3303"/>
      <c r="BT58" s="3303"/>
      <c r="BU58" s="3303"/>
      <c r="BV58" s="3303"/>
      <c r="BW58" s="3303"/>
      <c r="BX58" s="3303"/>
      <c r="BY58" s="3303"/>
      <c r="BZ58" s="3303"/>
      <c r="CA58" s="3303"/>
      <c r="CB58" s="3303"/>
      <c r="CC58" s="3303"/>
      <c r="CD58" s="3303"/>
      <c r="CE58" s="3303"/>
      <c r="CF58" s="3303"/>
      <c r="CG58" s="3303"/>
      <c r="CH58" s="3303"/>
      <c r="CI58" s="3302">
        <f t="shared" si="1"/>
        <v>7</v>
      </c>
    </row>
    <row r="59" spans="1:87" ht="45">
      <c r="A59" s="1009" t="s">
        <v>2629</v>
      </c>
      <c r="B59" s="1009" t="s">
        <v>146</v>
      </c>
      <c r="C59" s="1009" t="s">
        <v>4968</v>
      </c>
      <c r="D59" s="1010"/>
      <c r="E59" s="1010"/>
      <c r="F59" s="241"/>
      <c r="G59" s="241"/>
      <c r="H59" s="241"/>
      <c r="I59" s="241"/>
      <c r="J59" s="241"/>
      <c r="K59" s="241"/>
      <c r="L59" s="241"/>
      <c r="M59" s="1011"/>
      <c r="N59" s="241"/>
      <c r="O59" s="2982">
        <f>SUM(O60:O64)</f>
        <v>25</v>
      </c>
      <c r="P59" s="710"/>
      <c r="Q59" s="1012"/>
      <c r="R59" s="2989">
        <f>SUM(R60:R64)</f>
        <v>25</v>
      </c>
      <c r="BB59" s="3302"/>
      <c r="BC59" s="3302"/>
      <c r="BD59" s="3302"/>
      <c r="BE59" s="3302"/>
      <c r="BF59" s="3302"/>
      <c r="BG59" s="3302"/>
      <c r="BH59" s="3302"/>
      <c r="BI59" s="3302"/>
      <c r="BJ59" s="3302"/>
      <c r="BK59" s="3302"/>
      <c r="BL59" s="3302"/>
      <c r="BM59" s="3302"/>
      <c r="BN59" s="3302"/>
      <c r="BO59" s="3302"/>
      <c r="BP59" s="3302"/>
      <c r="BQ59" s="3302"/>
      <c r="BR59" s="3302"/>
      <c r="BS59" s="3302"/>
      <c r="BT59" s="3302"/>
      <c r="BU59" s="3302"/>
      <c r="BV59" s="3302"/>
      <c r="BW59" s="3302"/>
      <c r="BX59" s="3302"/>
      <c r="BY59" s="3302"/>
      <c r="BZ59" s="3302"/>
      <c r="CA59" s="3302"/>
      <c r="CB59" s="3302"/>
      <c r="CC59" s="3302"/>
      <c r="CD59" s="3302"/>
      <c r="CE59" s="3302"/>
      <c r="CF59" s="3302"/>
      <c r="CG59" s="3302"/>
      <c r="CH59" s="3302"/>
      <c r="CI59" s="3302">
        <f t="shared" si="1"/>
        <v>0</v>
      </c>
    </row>
    <row r="60" spans="1:87" s="1016" customFormat="1" ht="120">
      <c r="A60" s="1001" t="s">
        <v>2630</v>
      </c>
      <c r="B60" s="233" t="s">
        <v>148</v>
      </c>
      <c r="C60" s="233" t="s">
        <v>4969</v>
      </c>
      <c r="D60" s="1699" t="s">
        <v>80</v>
      </c>
      <c r="E60" s="2512" t="s">
        <v>147</v>
      </c>
      <c r="F60" s="243">
        <v>2500</v>
      </c>
      <c r="G60" s="243"/>
      <c r="H60" s="2538">
        <v>25</v>
      </c>
      <c r="I60" s="243">
        <v>1.35</v>
      </c>
      <c r="J60" s="243">
        <v>10</v>
      </c>
      <c r="K60" s="243"/>
      <c r="L60" s="2519">
        <v>1000</v>
      </c>
      <c r="M60" s="957">
        <f>L60/100000</f>
        <v>0.01</v>
      </c>
      <c r="N60" s="2519">
        <v>2500</v>
      </c>
      <c r="O60" s="2978">
        <f>M60*N60</f>
        <v>25</v>
      </c>
      <c r="P60" s="2256" t="s">
        <v>5296</v>
      </c>
      <c r="Q60" s="2257" t="str">
        <f>'Abs18. NTCP'!Q7</f>
        <v>As per the PIP Guidelines for NTCP, there is a provision for Rs. 7.00 lakh per district for implementation of school programmes.Budget proposed by the State is Recommended. State must use this budget for implementaion of Guidelines of Tobacco Free Educational Institutions.</v>
      </c>
      <c r="R60" s="2990">
        <f>'Abs18. NTCP'!R7</f>
        <v>25</v>
      </c>
      <c r="BB60" s="3303">
        <v>1</v>
      </c>
      <c r="BC60" s="3303">
        <v>2</v>
      </c>
      <c r="BD60" s="3303">
        <v>2</v>
      </c>
      <c r="BE60" s="3303">
        <v>2</v>
      </c>
      <c r="BF60" s="3303">
        <v>3</v>
      </c>
      <c r="BG60" s="3303">
        <v>0.5</v>
      </c>
      <c r="BH60" s="3303">
        <v>2</v>
      </c>
      <c r="BI60" s="3303">
        <v>0.5</v>
      </c>
      <c r="BJ60" s="3303">
        <v>3</v>
      </c>
      <c r="BK60" s="3303">
        <v>3</v>
      </c>
      <c r="BL60" s="3303">
        <v>2</v>
      </c>
      <c r="BM60" s="3303">
        <v>2</v>
      </c>
      <c r="BN60" s="3303">
        <v>2</v>
      </c>
      <c r="BO60" s="3303"/>
      <c r="BP60" s="3303"/>
      <c r="BQ60" s="3303"/>
      <c r="BR60" s="3303"/>
      <c r="BS60" s="3303"/>
      <c r="BT60" s="3303"/>
      <c r="BU60" s="3303"/>
      <c r="BV60" s="3303"/>
      <c r="BW60" s="3303"/>
      <c r="BX60" s="3303"/>
      <c r="BY60" s="3303"/>
      <c r="BZ60" s="3303"/>
      <c r="CA60" s="3303"/>
      <c r="CB60" s="3303"/>
      <c r="CC60" s="3303"/>
      <c r="CD60" s="3303"/>
      <c r="CE60" s="3303"/>
      <c r="CF60" s="3303"/>
      <c r="CG60" s="3303"/>
      <c r="CH60" s="3303"/>
      <c r="CI60" s="3302">
        <f t="shared" si="1"/>
        <v>25</v>
      </c>
    </row>
    <row r="61" spans="1:87">
      <c r="A61" s="1001" t="s">
        <v>2631</v>
      </c>
      <c r="B61" s="225" t="s">
        <v>149</v>
      </c>
      <c r="C61" s="225" t="s">
        <v>150</v>
      </c>
      <c r="D61" s="911" t="s">
        <v>80</v>
      </c>
      <c r="E61" s="945" t="s">
        <v>147</v>
      </c>
      <c r="F61" s="168">
        <v>1000</v>
      </c>
      <c r="G61" s="168"/>
      <c r="H61" s="244">
        <v>10</v>
      </c>
      <c r="I61" s="168">
        <v>7.0000000000000007E-2</v>
      </c>
      <c r="J61" s="168">
        <v>5</v>
      </c>
      <c r="K61" s="687"/>
      <c r="L61" s="687"/>
      <c r="M61" s="688"/>
      <c r="N61" s="687"/>
      <c r="O61" s="2983"/>
      <c r="P61" s="712"/>
      <c r="Q61" s="1018" t="s">
        <v>4416</v>
      </c>
      <c r="R61" s="2991"/>
      <c r="BB61" s="3302"/>
      <c r="BC61" s="3302"/>
      <c r="BD61" s="3302"/>
      <c r="BE61" s="3302"/>
      <c r="BF61" s="3302"/>
      <c r="BG61" s="3302"/>
      <c r="BH61" s="3302"/>
      <c r="BI61" s="3302"/>
      <c r="BJ61" s="3302"/>
      <c r="BK61" s="3302"/>
      <c r="BL61" s="3302"/>
      <c r="BM61" s="3302"/>
      <c r="BN61" s="3302"/>
      <c r="BO61" s="3302"/>
      <c r="BP61" s="3302"/>
      <c r="BQ61" s="3302"/>
      <c r="BR61" s="3302"/>
      <c r="BS61" s="3302"/>
      <c r="BT61" s="3302"/>
      <c r="BU61" s="3302"/>
      <c r="BV61" s="3302"/>
      <c r="BW61" s="3302"/>
      <c r="BX61" s="3302"/>
      <c r="BY61" s="3302"/>
      <c r="BZ61" s="3302"/>
      <c r="CA61" s="3302"/>
      <c r="CB61" s="3302"/>
      <c r="CC61" s="3302"/>
      <c r="CD61" s="3302"/>
      <c r="CE61" s="3302"/>
      <c r="CF61" s="3302"/>
      <c r="CG61" s="3302"/>
      <c r="CH61" s="3302"/>
      <c r="CI61" s="3302">
        <f t="shared" si="1"/>
        <v>0</v>
      </c>
    </row>
    <row r="62" spans="1:87">
      <c r="A62" s="1001" t="s">
        <v>2632</v>
      </c>
      <c r="B62" s="225" t="s">
        <v>151</v>
      </c>
      <c r="C62" s="225" t="s">
        <v>152</v>
      </c>
      <c r="D62" s="911" t="s">
        <v>80</v>
      </c>
      <c r="E62" s="945" t="s">
        <v>147</v>
      </c>
      <c r="F62" s="168">
        <v>0</v>
      </c>
      <c r="G62" s="168"/>
      <c r="H62" s="168">
        <v>0</v>
      </c>
      <c r="I62" s="168"/>
      <c r="J62" s="168"/>
      <c r="K62" s="687"/>
      <c r="L62" s="687"/>
      <c r="M62" s="688"/>
      <c r="N62" s="687"/>
      <c r="O62" s="2983"/>
      <c r="P62" s="712"/>
      <c r="Q62" s="1018" t="s">
        <v>4416</v>
      </c>
      <c r="R62" s="2991"/>
      <c r="BB62" s="3302"/>
      <c r="BC62" s="3302"/>
      <c r="BD62" s="3302"/>
      <c r="BE62" s="3302"/>
      <c r="BF62" s="3302"/>
      <c r="BG62" s="3302"/>
      <c r="BH62" s="3302"/>
      <c r="BI62" s="3302"/>
      <c r="BJ62" s="3302"/>
      <c r="BK62" s="3302"/>
      <c r="BL62" s="3302"/>
      <c r="BM62" s="3302"/>
      <c r="BN62" s="3302"/>
      <c r="BO62" s="3302"/>
      <c r="BP62" s="3302"/>
      <c r="BQ62" s="3302"/>
      <c r="BR62" s="3302"/>
      <c r="BS62" s="3302"/>
      <c r="BT62" s="3302"/>
      <c r="BU62" s="3302"/>
      <c r="BV62" s="3302"/>
      <c r="BW62" s="3302"/>
      <c r="BX62" s="3302"/>
      <c r="BY62" s="3302"/>
      <c r="BZ62" s="3302"/>
      <c r="CA62" s="3302"/>
      <c r="CB62" s="3302"/>
      <c r="CC62" s="3302"/>
      <c r="CD62" s="3302"/>
      <c r="CE62" s="3302"/>
      <c r="CF62" s="3302"/>
      <c r="CG62" s="3302"/>
      <c r="CH62" s="3302"/>
      <c r="CI62" s="3302">
        <f t="shared" si="1"/>
        <v>0</v>
      </c>
    </row>
    <row r="63" spans="1:87">
      <c r="A63" s="1001" t="s">
        <v>2633</v>
      </c>
      <c r="B63" s="225" t="s">
        <v>153</v>
      </c>
      <c r="C63" s="225" t="s">
        <v>154</v>
      </c>
      <c r="D63" s="911" t="s">
        <v>80</v>
      </c>
      <c r="E63" s="945" t="s">
        <v>147</v>
      </c>
      <c r="F63" s="168">
        <v>0</v>
      </c>
      <c r="G63" s="168"/>
      <c r="H63" s="168">
        <v>0</v>
      </c>
      <c r="I63" s="168"/>
      <c r="J63" s="168"/>
      <c r="K63" s="687"/>
      <c r="L63" s="687"/>
      <c r="M63" s="688"/>
      <c r="N63" s="687"/>
      <c r="O63" s="2983"/>
      <c r="P63" s="712"/>
      <c r="Q63" s="1018" t="s">
        <v>4416</v>
      </c>
      <c r="R63" s="2991"/>
      <c r="BB63" s="3302"/>
      <c r="BC63" s="3302"/>
      <c r="BD63" s="3302"/>
      <c r="BE63" s="3302"/>
      <c r="BF63" s="3302"/>
      <c r="BG63" s="3302"/>
      <c r="BH63" s="3302"/>
      <c r="BI63" s="3302"/>
      <c r="BJ63" s="3302"/>
      <c r="BK63" s="3302"/>
      <c r="BL63" s="3302"/>
      <c r="BM63" s="3302"/>
      <c r="BN63" s="3302"/>
      <c r="BO63" s="3302"/>
      <c r="BP63" s="3302"/>
      <c r="BQ63" s="3302"/>
      <c r="BR63" s="3302"/>
      <c r="BS63" s="3302"/>
      <c r="BT63" s="3302"/>
      <c r="BU63" s="3302"/>
      <c r="BV63" s="3302"/>
      <c r="BW63" s="3302"/>
      <c r="BX63" s="3302"/>
      <c r="BY63" s="3302"/>
      <c r="BZ63" s="3302"/>
      <c r="CA63" s="3302"/>
      <c r="CB63" s="3302"/>
      <c r="CC63" s="3302"/>
      <c r="CD63" s="3302"/>
      <c r="CE63" s="3302"/>
      <c r="CF63" s="3302"/>
      <c r="CG63" s="3302"/>
      <c r="CH63" s="3302"/>
      <c r="CI63" s="3302">
        <f t="shared" si="1"/>
        <v>0</v>
      </c>
    </row>
    <row r="64" spans="1:87" ht="30">
      <c r="A64" s="1001" t="s">
        <v>2634</v>
      </c>
      <c r="B64" s="225" t="s">
        <v>155</v>
      </c>
      <c r="C64" s="225" t="s">
        <v>4970</v>
      </c>
      <c r="D64" s="911" t="s">
        <v>80</v>
      </c>
      <c r="E64" s="945" t="s">
        <v>147</v>
      </c>
      <c r="F64" s="168">
        <v>0</v>
      </c>
      <c r="G64" s="168"/>
      <c r="H64" s="244">
        <v>0</v>
      </c>
      <c r="I64" s="168"/>
      <c r="J64" s="168"/>
      <c r="K64" s="168"/>
      <c r="L64" s="170"/>
      <c r="M64" s="193">
        <f>L64/100000</f>
        <v>0</v>
      </c>
      <c r="N64" s="170"/>
      <c r="O64" s="2977">
        <f>M64*N64</f>
        <v>0</v>
      </c>
      <c r="P64" s="171"/>
      <c r="Q64" s="1003">
        <f>'Abs18. NTCP'!Q8</f>
        <v>0</v>
      </c>
      <c r="R64" s="2988">
        <f>'Abs18. NTCP'!R8</f>
        <v>0</v>
      </c>
      <c r="BB64" s="3302"/>
      <c r="BC64" s="3302"/>
      <c r="BD64" s="3302"/>
      <c r="BE64" s="3302"/>
      <c r="BF64" s="3302"/>
      <c r="BG64" s="3302"/>
      <c r="BH64" s="3302"/>
      <c r="BI64" s="3302"/>
      <c r="BJ64" s="3302"/>
      <c r="BK64" s="3302"/>
      <c r="BL64" s="3302"/>
      <c r="BM64" s="3302"/>
      <c r="BN64" s="3302"/>
      <c r="BO64" s="3302"/>
      <c r="BP64" s="3302"/>
      <c r="BQ64" s="3302"/>
      <c r="BR64" s="3302"/>
      <c r="BS64" s="3302"/>
      <c r="BT64" s="3302"/>
      <c r="BU64" s="3302"/>
      <c r="BV64" s="3302"/>
      <c r="BW64" s="3302"/>
      <c r="BX64" s="3302"/>
      <c r="BY64" s="3302"/>
      <c r="BZ64" s="3302"/>
      <c r="CA64" s="3302"/>
      <c r="CB64" s="3302"/>
      <c r="CC64" s="3302"/>
      <c r="CD64" s="3302"/>
      <c r="CE64" s="3302"/>
      <c r="CF64" s="3302"/>
      <c r="CG64" s="3302"/>
      <c r="CH64" s="3302"/>
      <c r="CI64" s="3302">
        <f t="shared" si="1"/>
        <v>0</v>
      </c>
    </row>
    <row r="65" spans="1:87" s="1013" customFormat="1">
      <c r="A65" s="902" t="s">
        <v>120</v>
      </c>
      <c r="B65" s="902"/>
      <c r="C65" s="902" t="s">
        <v>1304</v>
      </c>
      <c r="D65" s="908" t="s">
        <v>65</v>
      </c>
      <c r="E65" s="1019" t="s">
        <v>65</v>
      </c>
      <c r="F65" s="245">
        <v>0</v>
      </c>
      <c r="G65" s="245"/>
      <c r="H65" s="245">
        <v>0</v>
      </c>
      <c r="I65" s="245"/>
      <c r="J65" s="245"/>
      <c r="K65" s="245"/>
      <c r="L65" s="170"/>
      <c r="M65" s="957">
        <f>L65/100000</f>
        <v>0</v>
      </c>
      <c r="N65" s="170"/>
      <c r="O65" s="2978">
        <f>M65*N65</f>
        <v>0</v>
      </c>
      <c r="P65" s="171"/>
      <c r="Q65" s="1022"/>
      <c r="R65" s="2973"/>
      <c r="BB65" s="3255"/>
      <c r="BC65" s="3255"/>
      <c r="BD65" s="3255"/>
      <c r="BE65" s="3255"/>
      <c r="BF65" s="3255"/>
      <c r="BG65" s="3255"/>
      <c r="BH65" s="3255"/>
      <c r="BI65" s="3255"/>
      <c r="BJ65" s="3255"/>
      <c r="BK65" s="3255"/>
      <c r="BL65" s="3255"/>
      <c r="BM65" s="3255"/>
      <c r="BN65" s="3255"/>
      <c r="BO65" s="3255"/>
      <c r="BP65" s="3255"/>
      <c r="BQ65" s="3255"/>
      <c r="BR65" s="3255"/>
      <c r="BS65" s="3255"/>
      <c r="BT65" s="3255"/>
      <c r="BU65" s="3255"/>
      <c r="BV65" s="3255"/>
      <c r="BW65" s="3255"/>
      <c r="BX65" s="3255"/>
      <c r="BY65" s="3255"/>
      <c r="BZ65" s="3255"/>
      <c r="CA65" s="3255"/>
      <c r="CB65" s="3255"/>
      <c r="CC65" s="3255"/>
      <c r="CD65" s="3255"/>
      <c r="CE65" s="3255"/>
      <c r="CF65" s="3255"/>
      <c r="CG65" s="3255"/>
      <c r="CH65" s="3255"/>
      <c r="CI65" s="3302">
        <f t="shared" si="1"/>
        <v>0</v>
      </c>
    </row>
    <row r="66" spans="1:87">
      <c r="R66" s="2984">
        <f>+R7</f>
        <v>1127.8831</v>
      </c>
      <c r="BB66" s="3302">
        <f>SUM(BB7:BB65)-0.01</f>
        <v>351.13000000000005</v>
      </c>
      <c r="BC66" s="3302">
        <f t="shared" ref="BC66:CH66" si="8">SUM(BC7:BC65)</f>
        <v>40.42</v>
      </c>
      <c r="BD66" s="3302">
        <f t="shared" si="8"/>
        <v>68.190000000000012</v>
      </c>
      <c r="BE66" s="3302">
        <f t="shared" si="8"/>
        <v>58.689999999999991</v>
      </c>
      <c r="BF66" s="3302">
        <f t="shared" si="8"/>
        <v>167.02</v>
      </c>
      <c r="BG66" s="3302">
        <f t="shared" si="8"/>
        <v>16.07</v>
      </c>
      <c r="BH66" s="3302">
        <f t="shared" si="8"/>
        <v>48.99</v>
      </c>
      <c r="BI66" s="3302">
        <f t="shared" si="8"/>
        <v>10.839999999999998</v>
      </c>
      <c r="BJ66" s="3302">
        <f t="shared" si="8"/>
        <v>116.30999999999999</v>
      </c>
      <c r="BK66" s="3302">
        <f t="shared" si="8"/>
        <v>77.64</v>
      </c>
      <c r="BL66" s="3302">
        <f t="shared" si="8"/>
        <v>63.1</v>
      </c>
      <c r="BM66" s="3302">
        <f t="shared" si="8"/>
        <v>51.5</v>
      </c>
      <c r="BN66" s="3302">
        <f t="shared" si="8"/>
        <v>54.99</v>
      </c>
      <c r="BO66" s="3302">
        <f t="shared" si="8"/>
        <v>2</v>
      </c>
      <c r="BP66" s="3302">
        <f t="shared" si="8"/>
        <v>0.99</v>
      </c>
      <c r="BQ66" s="3302">
        <f t="shared" si="8"/>
        <v>0</v>
      </c>
      <c r="BR66" s="3302">
        <f t="shared" si="8"/>
        <v>0</v>
      </c>
      <c r="BS66" s="3302">
        <f t="shared" si="8"/>
        <v>0</v>
      </c>
      <c r="BT66" s="3302">
        <f t="shared" si="8"/>
        <v>0</v>
      </c>
      <c r="BU66" s="3302">
        <f t="shared" si="8"/>
        <v>0</v>
      </c>
      <c r="BV66" s="3302">
        <f t="shared" si="8"/>
        <v>0</v>
      </c>
      <c r="BW66" s="3302">
        <f t="shared" si="8"/>
        <v>0</v>
      </c>
      <c r="BX66" s="3302">
        <f t="shared" si="8"/>
        <v>0</v>
      </c>
      <c r="BY66" s="3302">
        <f t="shared" si="8"/>
        <v>0</v>
      </c>
      <c r="BZ66" s="3302">
        <f t="shared" si="8"/>
        <v>0</v>
      </c>
      <c r="CA66" s="3302">
        <f t="shared" si="8"/>
        <v>0</v>
      </c>
      <c r="CB66" s="3302">
        <f t="shared" si="8"/>
        <v>0</v>
      </c>
      <c r="CC66" s="3302">
        <f t="shared" si="8"/>
        <v>0</v>
      </c>
      <c r="CD66" s="3302">
        <f t="shared" si="8"/>
        <v>0</v>
      </c>
      <c r="CE66" s="3302">
        <f t="shared" si="8"/>
        <v>0</v>
      </c>
      <c r="CF66" s="3302">
        <f t="shared" si="8"/>
        <v>0</v>
      </c>
      <c r="CG66" s="3302">
        <f t="shared" si="8"/>
        <v>0</v>
      </c>
      <c r="CH66" s="3302">
        <f t="shared" si="8"/>
        <v>0</v>
      </c>
      <c r="CI66" s="3302">
        <f t="shared" si="1"/>
        <v>1127.8800000000001</v>
      </c>
    </row>
    <row r="67" spans="1:87">
      <c r="C67" s="904"/>
    </row>
    <row r="75" spans="1:87">
      <c r="C75" s="904"/>
    </row>
    <row r="76" spans="1:87">
      <c r="C76" s="904"/>
    </row>
    <row r="77" spans="1:87">
      <c r="C77" s="904"/>
    </row>
    <row r="78" spans="1:87">
      <c r="C78" s="904"/>
    </row>
    <row r="79" spans="1:87">
      <c r="C79" s="904"/>
    </row>
    <row r="80" spans="1:87">
      <c r="C80" s="904"/>
    </row>
    <row r="81" spans="3:3">
      <c r="C81" s="904"/>
    </row>
  </sheetData>
  <sheetProtection password="CC49" sheet="1" objects="1" scenarios="1" autoFilter="0"/>
  <autoFilter ref="A6:R65"/>
  <mergeCells count="15">
    <mergeCell ref="Q5:R5"/>
    <mergeCell ref="O1:AH1"/>
    <mergeCell ref="AI1:AO1"/>
    <mergeCell ref="AP1:BA1"/>
    <mergeCell ref="A1:C1"/>
    <mergeCell ref="F5:J5"/>
    <mergeCell ref="A5:A6"/>
    <mergeCell ref="B5:B6"/>
    <mergeCell ref="C5:C6"/>
    <mergeCell ref="D5:D6"/>
    <mergeCell ref="E5:E6"/>
    <mergeCell ref="E1:E2"/>
    <mergeCell ref="F1:N1"/>
    <mergeCell ref="A2:A4"/>
    <mergeCell ref="K5:P5"/>
  </mergeCells>
  <phoneticPr fontId="68" type="noConversion"/>
  <pageMargins left="0.7" right="0.7" top="0.75" bottom="0.75" header="0.3" footer="0.3"/>
  <pageSetup orientation="portrait" horizontalDpi="4294967295" verticalDpi="4294967295" r:id="rId1"/>
</worksheet>
</file>

<file path=xl/worksheets/sheet30.xml><?xml version="1.0" encoding="utf-8"?>
<worksheet xmlns="http://schemas.openxmlformats.org/spreadsheetml/2006/main" xmlns:r="http://schemas.openxmlformats.org/officeDocument/2006/relationships">
  <sheetPr codeName="Sheet24">
    <tabColor rgb="FF92D050"/>
  </sheetPr>
  <dimension ref="A1:R107"/>
  <sheetViews>
    <sheetView zoomScale="90" zoomScaleNormal="90" workbookViewId="0">
      <pane xSplit="3" ySplit="5" topLeftCell="N100" activePane="bottomRight" state="frozen"/>
      <selection activeCell="C107" sqref="C107"/>
      <selection pane="topRight" activeCell="C107" sqref="C107"/>
      <selection pane="bottomLeft" activeCell="C107" sqref="C107"/>
      <selection pane="bottomRight" activeCell="Q108" sqref="Q108"/>
    </sheetView>
  </sheetViews>
  <sheetFormatPr defaultColWidth="8.85546875" defaultRowHeight="15"/>
  <cols>
    <col min="1" max="1" width="13.140625" style="1227" customWidth="1"/>
    <col min="2" max="2" width="16.5703125" style="1227" bestFit="1" customWidth="1"/>
    <col min="3" max="3" width="51" style="904" customWidth="1"/>
    <col min="4" max="4" width="6.140625" style="868" bestFit="1" customWidth="1"/>
    <col min="5" max="5" width="18.5703125" style="868" customWidth="1"/>
    <col min="6" max="6" width="16.42578125" style="1227" bestFit="1" customWidth="1"/>
    <col min="7" max="7" width="16.85546875" style="1227" bestFit="1" customWidth="1"/>
    <col min="8" max="8" width="18.28515625" style="1941" bestFit="1" customWidth="1"/>
    <col min="9" max="9" width="17.28515625" style="1227" bestFit="1" customWidth="1"/>
    <col min="10" max="10" width="18.28515625" style="1941" bestFit="1" customWidth="1"/>
    <col min="11" max="11" width="18.140625" style="1227" customWidth="1"/>
    <col min="12" max="12" width="11.140625" style="1227" customWidth="1"/>
    <col min="13" max="13" width="12.5703125" style="1941" customWidth="1"/>
    <col min="14" max="14" width="8.85546875" style="1227"/>
    <col min="15" max="15" width="12.140625" style="2857" customWidth="1"/>
    <col min="16" max="16" width="30.28515625" style="1789" customWidth="1"/>
    <col min="17" max="17" width="36.42578125" style="860" customWidth="1"/>
    <col min="18" max="18" width="14.140625" style="2857" customWidth="1"/>
    <col min="19" max="16384" width="8.85546875" style="1227"/>
  </cols>
  <sheetData>
    <row r="1" spans="1:18" s="1903" customFormat="1" ht="30">
      <c r="A1" s="4081" t="s">
        <v>2118</v>
      </c>
      <c r="B1" s="4081"/>
      <c r="C1" s="4081"/>
      <c r="D1" s="1902"/>
      <c r="F1" s="1904" t="s">
        <v>3822</v>
      </c>
      <c r="G1" s="1143"/>
      <c r="H1" s="1143"/>
      <c r="I1" s="1143"/>
      <c r="J1" s="1839"/>
      <c r="K1" s="1905"/>
      <c r="L1" s="1905"/>
      <c r="M1" s="1906"/>
      <c r="O1" s="2847"/>
      <c r="P1" s="1907"/>
      <c r="Q1" s="2098"/>
      <c r="R1" s="2847"/>
    </row>
    <row r="2" spans="1:18" s="1903" customFormat="1" ht="30">
      <c r="A2" s="1908" t="str">
        <f>HYPERLINK("#Index!F3", "Index Pg")</f>
        <v>Index Pg</v>
      </c>
      <c r="B2" s="1415" t="str">
        <f>HYPERLINK("#'Summary of Abstracts'!A2", "Summary of Abst.")</f>
        <v>Summary of Abst.</v>
      </c>
      <c r="C2" s="864" t="str">
        <f>HYPERLINK("#'Budget Summary I'!A1:AL1", "Budget Summary I")</f>
        <v>Budget Summary I</v>
      </c>
      <c r="D2" s="1909"/>
      <c r="E2" s="1126" t="s">
        <v>4460</v>
      </c>
      <c r="F2" s="1910" t="e">
        <f>M97+M88+M82+#REF!+M6+M94+M103</f>
        <v>#REF!</v>
      </c>
      <c r="G2" s="1911"/>
      <c r="H2" s="1912"/>
      <c r="I2" s="1913"/>
      <c r="J2" s="1911"/>
      <c r="K2" s="1913"/>
      <c r="L2" s="1911"/>
      <c r="M2" s="1906"/>
      <c r="O2" s="2847"/>
      <c r="P2" s="1907"/>
      <c r="Q2" s="2098"/>
      <c r="R2" s="2847"/>
    </row>
    <row r="3" spans="1:18" s="1921" customFormat="1">
      <c r="A3" s="1914"/>
      <c r="B3" s="1915"/>
      <c r="C3" s="1916" t="str">
        <f>HYPERLINK("#'Budget Summary II'!A3:B5", "Budget Summary II")</f>
        <v>Budget Summary II</v>
      </c>
      <c r="D3" s="1917"/>
      <c r="E3" s="1918" t="s">
        <v>4461</v>
      </c>
      <c r="F3" s="1919" t="e">
        <f>J97+J88+J82+#REF!+J6+J94+J103</f>
        <v>#REF!</v>
      </c>
      <c r="G3" s="1911"/>
      <c r="H3" s="1912"/>
      <c r="I3" s="1913"/>
      <c r="J3" s="1911"/>
      <c r="K3" s="1913"/>
      <c r="L3" s="1911"/>
      <c r="M3" s="1920"/>
      <c r="O3" s="2848"/>
      <c r="P3" s="1923"/>
      <c r="Q3" s="2012"/>
      <c r="R3" s="2848"/>
    </row>
    <row r="4" spans="1:18" ht="14.45" customHeight="1">
      <c r="A4" s="3801" t="s">
        <v>48</v>
      </c>
      <c r="B4" s="3801" t="s">
        <v>49</v>
      </c>
      <c r="C4" s="4082" t="s">
        <v>50</v>
      </c>
      <c r="D4" s="3801" t="s">
        <v>51</v>
      </c>
      <c r="E4" s="3801" t="s">
        <v>52</v>
      </c>
      <c r="F4" s="3866" t="s">
        <v>4478</v>
      </c>
      <c r="G4" s="3866"/>
      <c r="H4" s="3866"/>
      <c r="I4" s="3866"/>
      <c r="J4" s="3866"/>
      <c r="K4" s="3866" t="s">
        <v>4484</v>
      </c>
      <c r="L4" s="3866"/>
      <c r="M4" s="3866"/>
      <c r="N4" s="3866"/>
      <c r="O4" s="3866"/>
      <c r="P4" s="3866"/>
      <c r="Q4" s="3801" t="s">
        <v>4514</v>
      </c>
      <c r="R4" s="3801"/>
    </row>
    <row r="5" spans="1:18" ht="45">
      <c r="A5" s="3801"/>
      <c r="B5" s="3801"/>
      <c r="C5" s="4082"/>
      <c r="D5" s="3801"/>
      <c r="E5" s="3801"/>
      <c r="F5" s="918" t="s">
        <v>4479</v>
      </c>
      <c r="G5" s="918" t="s">
        <v>4482</v>
      </c>
      <c r="H5" s="918" t="s">
        <v>4480</v>
      </c>
      <c r="I5" s="918" t="s">
        <v>4483</v>
      </c>
      <c r="J5" s="918" t="s">
        <v>2448</v>
      </c>
      <c r="K5" s="919" t="s">
        <v>53</v>
      </c>
      <c r="L5" s="919" t="s">
        <v>54</v>
      </c>
      <c r="M5" s="920" t="s">
        <v>55</v>
      </c>
      <c r="N5" s="919" t="s">
        <v>56</v>
      </c>
      <c r="O5" s="2821" t="s">
        <v>57</v>
      </c>
      <c r="P5" s="1924" t="s">
        <v>58</v>
      </c>
      <c r="Q5" s="1925" t="s">
        <v>2450</v>
      </c>
      <c r="R5" s="2824" t="s">
        <v>4515</v>
      </c>
    </row>
    <row r="6" spans="1:18">
      <c r="A6" s="1926">
        <f>'3.Community Intervention Annexn'!A7</f>
        <v>3</v>
      </c>
      <c r="B6" s="1926"/>
      <c r="C6" s="1927" t="str">
        <f>'3.Community Intervention Annexn'!C7</f>
        <v>Community Interventions</v>
      </c>
      <c r="D6" s="1812"/>
      <c r="E6" s="1812"/>
      <c r="F6" s="1926"/>
      <c r="G6" s="1926"/>
      <c r="H6" s="1928"/>
      <c r="I6" s="1926"/>
      <c r="J6" s="1928"/>
      <c r="K6" s="1926"/>
      <c r="L6" s="1926"/>
      <c r="M6" s="994"/>
      <c r="N6" s="1929"/>
      <c r="O6" s="2849"/>
      <c r="P6" s="1931"/>
      <c r="Q6" s="1868"/>
      <c r="R6" s="2849"/>
    </row>
    <row r="7" spans="1:18">
      <c r="A7" s="1437" t="str">
        <f>'3.Community Intervention Annexn'!A11</f>
        <v>3.1.1.1.1</v>
      </c>
      <c r="B7" s="1437"/>
      <c r="C7" s="1436" t="str">
        <f>'3-A. CI Sub-Annex'!C7</f>
        <v>Incentive for MH Services</v>
      </c>
      <c r="D7" s="1437"/>
      <c r="E7" s="1437"/>
      <c r="F7" s="1437"/>
      <c r="G7" s="1437"/>
      <c r="H7" s="1433"/>
      <c r="I7" s="1437"/>
      <c r="J7" s="1433"/>
      <c r="K7" s="1437"/>
      <c r="L7" s="1437"/>
      <c r="M7" s="1433"/>
      <c r="N7" s="1433"/>
      <c r="O7" s="2850"/>
      <c r="P7" s="1932"/>
      <c r="Q7" s="1932"/>
      <c r="R7" s="2850"/>
    </row>
    <row r="8" spans="1:18" ht="120">
      <c r="A8" s="1177" t="e">
        <f>'3-A. CI Sub-Annex'!#REF!</f>
        <v>#REF!</v>
      </c>
      <c r="B8" s="1177" t="str">
        <f>'3-A. CI Sub-Annex'!B8</f>
        <v xml:space="preserve">A.1.3.4 </v>
      </c>
      <c r="C8" s="431" t="str">
        <f>'3-A. CI Sub-Annex'!C8</f>
        <v xml:space="preserve">JSY Incentive to ASHA </v>
      </c>
      <c r="D8" s="1170" t="str">
        <f>'3-A. CI Sub-Annex'!D8</f>
        <v>RCH</v>
      </c>
      <c r="E8" s="1177" t="str">
        <f>'3-A. CI Sub-Annex'!E8</f>
        <v>MH</v>
      </c>
      <c r="F8" s="1177">
        <f>'3-A. CI Sub-Annex'!F8</f>
        <v>10600</v>
      </c>
      <c r="G8" s="1177" t="str">
        <f>'3-A. CI Sub-Annex'!G8</f>
        <v>Achievement by CP division</v>
      </c>
      <c r="H8" s="1177">
        <f>'3-A. CI Sub-Annex'!H8</f>
        <v>88</v>
      </c>
      <c r="I8" s="1177">
        <f>'3-A. CI Sub-Annex'!I8</f>
        <v>141.84</v>
      </c>
      <c r="J8" s="1177">
        <f>'3-A. CI Sub-Annex'!J8</f>
        <v>0</v>
      </c>
      <c r="K8" s="1177">
        <f>'3-A. CI Sub-Annex'!K8</f>
        <v>0</v>
      </c>
      <c r="L8" s="1177">
        <f>'3-A. CI Sub-Annex'!L8</f>
        <v>586.66</v>
      </c>
      <c r="M8" s="162">
        <f>'3-A. CI Sub-Annex'!M8</f>
        <v>5.8665999999999996E-3</v>
      </c>
      <c r="N8" s="1177">
        <f>'3-A. CI Sub-Annex'!N8</f>
        <v>15000</v>
      </c>
      <c r="O8" s="2822">
        <f>'3-A. CI Sub-Annex'!O8</f>
        <v>87.998999999999995</v>
      </c>
      <c r="P8" s="431" t="str">
        <f>'3-A. CI Sub-Annex'!P8</f>
        <v>Proposed for 14000 Rural IDs@ Rs.600 per case and 1000 Urban IDs @ Rs.400 per case. The total fund proposed is Rs.600 x 14000 IDs (Rural) + Rs.400 x 1000 IDs (Urban) = Rs.8400000 + Rs. 400000 = Rs. 8800000 (Rs. 88 lac)</v>
      </c>
      <c r="Q8" s="145" t="str">
        <f>'Ab1. RMNCH+A'!Q27</f>
        <v>Rs.88.00  lakh is recommended for approval for ASHA incentive to facilitate institutional deliveries in Government Health facilities i.e. upto Rs.600 per case for 14000 Rural institutional delivery and upto Rs.400 per case for 1000 Urban institutional delivery.</v>
      </c>
      <c r="R8" s="2826">
        <f>'Ab1. RMNCH+A'!R27</f>
        <v>88</v>
      </c>
    </row>
    <row r="9" spans="1:18" ht="30">
      <c r="A9" s="1177" t="e">
        <f>'3-A. CI Sub-Annex'!#REF!</f>
        <v>#REF!</v>
      </c>
      <c r="B9" s="1177" t="str">
        <f>'3-A. CI Sub-Annex'!B9</f>
        <v>B1.1.3.5.1</v>
      </c>
      <c r="C9" s="431" t="str">
        <f>'3-A. CI Sub-Annex'!C9</f>
        <v>National Iron Plus Incentive for mobilizing WRA (non pregnant &amp; non-lactating Women 20-49 years)</v>
      </c>
      <c r="D9" s="1170" t="str">
        <f>'3-A. CI Sub-Annex'!D9</f>
        <v>RCH</v>
      </c>
      <c r="E9" s="1177" t="str">
        <f>'3-A. CI Sub-Annex'!E9</f>
        <v>MH/ CP</v>
      </c>
      <c r="F9" s="1177">
        <f>'3-A. CI Sub-Annex'!F9</f>
        <v>0</v>
      </c>
      <c r="G9" s="1177">
        <f>'3-A. CI Sub-Annex'!G9</f>
        <v>0</v>
      </c>
      <c r="H9" s="1177">
        <f>'3-A. CI Sub-Annex'!H9</f>
        <v>0</v>
      </c>
      <c r="I9" s="1177">
        <f>'3-A. CI Sub-Annex'!I9</f>
        <v>0</v>
      </c>
      <c r="J9" s="1177">
        <f>'3-A. CI Sub-Annex'!J9</f>
        <v>0</v>
      </c>
      <c r="K9" s="1177">
        <f>'3-A. CI Sub-Annex'!K9</f>
        <v>0</v>
      </c>
      <c r="L9" s="1177">
        <f>'3-A. CI Sub-Annex'!L9</f>
        <v>0</v>
      </c>
      <c r="M9" s="162">
        <f>'3-A. CI Sub-Annex'!M9</f>
        <v>0</v>
      </c>
      <c r="N9" s="1177">
        <f>'3-A. CI Sub-Annex'!N9</f>
        <v>0</v>
      </c>
      <c r="O9" s="2822">
        <f>'3-A. CI Sub-Annex'!O9</f>
        <v>0</v>
      </c>
      <c r="P9" s="431">
        <f>'3-A. CI Sub-Annex'!P9</f>
        <v>0</v>
      </c>
      <c r="Q9" s="145" t="str">
        <f>'Ab1. RMNCH+A'!Q28</f>
        <v>The State to ensure mobilizing WRA for IFA supplementation and compliance.</v>
      </c>
      <c r="R9" s="2826">
        <f>'Ab1. RMNCH+A'!R28</f>
        <v>0</v>
      </c>
    </row>
    <row r="10" spans="1:18" ht="105">
      <c r="A10" s="1177" t="e">
        <f>'3-A. CI Sub-Annex'!#REF!</f>
        <v>#REF!</v>
      </c>
      <c r="B10" s="1177" t="str">
        <f>'3-A. CI Sub-Annex'!B10</f>
        <v>B1.1.3.5.2</v>
      </c>
      <c r="C10" s="431" t="str">
        <f>'3-A. CI Sub-Annex'!C10</f>
        <v>National Iron Plus Incentive for mobilizing children and/or ensuring compliance and reporting (6-59 months)</v>
      </c>
      <c r="D10" s="1170" t="str">
        <f>'3-A. CI Sub-Annex'!D10</f>
        <v>RCH</v>
      </c>
      <c r="E10" s="1177" t="str">
        <f>'3-A. CI Sub-Annex'!E10</f>
        <v>MH/ CP</v>
      </c>
      <c r="F10" s="1177">
        <f>'3-A. CI Sub-Annex'!F10</f>
        <v>7964</v>
      </c>
      <c r="G10" s="1177">
        <f>'3-A. CI Sub-Annex'!G10</f>
        <v>0</v>
      </c>
      <c r="H10" s="1177">
        <f>'3-A. CI Sub-Annex'!H10</f>
        <v>71.680000000000007</v>
      </c>
      <c r="I10" s="1177">
        <f>'3-A. CI Sub-Annex'!I10</f>
        <v>11.12</v>
      </c>
      <c r="J10" s="1177">
        <f>'3-A. CI Sub-Annex'!J10</f>
        <v>60.56</v>
      </c>
      <c r="K10" s="1177">
        <f>'3-A. CI Sub-Annex'!K10</f>
        <v>0</v>
      </c>
      <c r="L10" s="1177">
        <f>'3-A. CI Sub-Annex'!L10</f>
        <v>900</v>
      </c>
      <c r="M10" s="162">
        <f>'3-A. CI Sub-Annex'!M10</f>
        <v>8.9999999999999993E-3</v>
      </c>
      <c r="N10" s="1177">
        <f>'3-A. CI Sub-Annex'!N10</f>
        <v>8066</v>
      </c>
      <c r="O10" s="2822">
        <f>'3-A. CI Sub-Annex'!O10</f>
        <v>72.593999999999994</v>
      </c>
      <c r="P10" s="431" t="str">
        <f>'3-A. CI Sub-Annex'!P10</f>
        <v>Find proposed for ASHA incentive for mobilizing children 6–59 months, WRA and post-partumlactating women @ Rs. 150 per month</v>
      </c>
      <c r="Q10" s="145" t="str">
        <f>'Ab1. RMNCH+A'!Q29</f>
        <v>Ongoing Activity: Recommended for approval Rs.72.59 lakh as incentive for ASHA @ Rs.150/ASHA/month for 8066 ASHAs for six months to mobilize and ensure IFA compliance and reporting in children 6-59 months, WRA and post-partum women.</v>
      </c>
      <c r="R10" s="2826">
        <f>'Ab1. RMNCH+A'!R29</f>
        <v>72.593999999999994</v>
      </c>
    </row>
    <row r="11" spans="1:18" ht="90">
      <c r="A11" s="1177" t="e">
        <f>'3-A. CI Sub-Annex'!#REF!</f>
        <v>#REF!</v>
      </c>
      <c r="B11" s="1177" t="str">
        <f>'3-A. CI Sub-Annex'!B11</f>
        <v>B1.1.3.5.3</v>
      </c>
      <c r="C11" s="431" t="str">
        <f>'3-A. CI Sub-Annex'!C11</f>
        <v>National Iron Plus Others</v>
      </c>
      <c r="D11" s="1170" t="str">
        <f>'3-A. CI Sub-Annex'!D11</f>
        <v>RCH</v>
      </c>
      <c r="E11" s="1177" t="str">
        <f>'3-A. CI Sub-Annex'!E11</f>
        <v>MH/ CP</v>
      </c>
      <c r="F11" s="1177">
        <f>'3-A. CI Sub-Annex'!F11</f>
        <v>7689</v>
      </c>
      <c r="G11" s="1177">
        <f>'3-A. CI Sub-Annex'!G11</f>
        <v>0</v>
      </c>
      <c r="H11" s="1177">
        <f>'3-A. CI Sub-Annex'!H11</f>
        <v>49</v>
      </c>
      <c r="I11" s="1177">
        <f>'3-A. CI Sub-Annex'!I11</f>
        <v>12.97</v>
      </c>
      <c r="J11" s="1177">
        <f>'3-A. CI Sub-Annex'!J11</f>
        <v>36.03</v>
      </c>
      <c r="K11" s="1177">
        <f>'3-A. CI Sub-Annex'!K11</f>
        <v>0</v>
      </c>
      <c r="L11" s="1177">
        <f>'3-A. CI Sub-Annex'!L11</f>
        <v>1200</v>
      </c>
      <c r="M11" s="162">
        <f>'3-A. CI Sub-Annex'!M11</f>
        <v>1.2E-2</v>
      </c>
      <c r="N11" s="1177">
        <f>'3-A. CI Sub-Annex'!N11</f>
        <v>4000</v>
      </c>
      <c r="O11" s="2822">
        <f>'3-A. CI Sub-Annex'!O11</f>
        <v>48</v>
      </c>
      <c r="P11" s="431" t="str">
        <f>'3-A. CI Sub-Annex'!P11</f>
        <v>Incentive to ASHAs for PMSMA                                          It is assumed that 4000  of the approx. 8000 ASHA will attend one session per month. Therefore, 4000 ASHA x 100 x 12 months = Rs. 48 lacs</v>
      </c>
      <c r="Q11" s="145" t="str">
        <f>'Ab1. RMNCH+A'!Q30</f>
        <v>Activity related to PMSMA. Activity is recommended for approval and shifted to FMR 1.1.1.1</v>
      </c>
      <c r="R11" s="2826">
        <f>'Ab1. RMNCH+A'!R30</f>
        <v>0</v>
      </c>
    </row>
    <row r="12" spans="1:18">
      <c r="A12" s="1933" t="str">
        <f>'3.Community Intervention Annexn'!A12</f>
        <v>3.1.1.1.2</v>
      </c>
      <c r="B12" s="1933">
        <f>'3-A. CI Sub-Annex'!B12</f>
        <v>0</v>
      </c>
      <c r="C12" s="1934" t="str">
        <f>'3-A. CI Sub-Annex'!C12</f>
        <v>Incentive for CH Services</v>
      </c>
      <c r="D12" s="1933"/>
      <c r="E12" s="1933"/>
      <c r="F12" s="1933"/>
      <c r="G12" s="1933"/>
      <c r="H12" s="1935"/>
      <c r="I12" s="1933"/>
      <c r="J12" s="1935"/>
      <c r="K12" s="1933"/>
      <c r="L12" s="1936"/>
      <c r="M12" s="1935"/>
      <c r="N12" s="1933"/>
      <c r="O12" s="2858"/>
      <c r="P12" s="1934"/>
      <c r="Q12" s="2846"/>
      <c r="R12" s="2851"/>
    </row>
    <row r="13" spans="1:18" ht="90">
      <c r="A13" s="1177" t="e">
        <f>'3-A. CI Sub-Annex'!#REF!</f>
        <v>#REF!</v>
      </c>
      <c r="B13" s="1177" t="str">
        <f>'3-A. CI Sub-Annex'!B13</f>
        <v>B1.1.3.2.6</v>
      </c>
      <c r="C13" s="431" t="str">
        <f>'3-A. CI Sub-Annex'!C13</f>
        <v xml:space="preserve">ASHA incentive under MAA programme @ Rs 100 per ASHA for quarterly mother's meeting </v>
      </c>
      <c r="D13" s="1170" t="str">
        <f>'3-A. CI Sub-Annex'!D13</f>
        <v>RCH</v>
      </c>
      <c r="E13" s="1177" t="str">
        <f>'3-A. CI Sub-Annex'!E13</f>
        <v>CH/NHSRC-CP</v>
      </c>
      <c r="F13" s="1177">
        <f>'3-A. CI Sub-Annex'!F13</f>
        <v>7964</v>
      </c>
      <c r="G13" s="1177">
        <f>'3-A. CI Sub-Annex'!G13</f>
        <v>0</v>
      </c>
      <c r="H13" s="1177">
        <f>'3-A. CI Sub-Annex'!H13</f>
        <v>31.86</v>
      </c>
      <c r="I13" s="1177">
        <f>'3-A. CI Sub-Annex'!I13</f>
        <v>7.42</v>
      </c>
      <c r="J13" s="1177">
        <f>'3-A. CI Sub-Annex'!J13</f>
        <v>24.439999999999998</v>
      </c>
      <c r="K13" s="1177">
        <f>'3-A. CI Sub-Annex'!K13</f>
        <v>1</v>
      </c>
      <c r="L13" s="1177">
        <f>'3-A. CI Sub-Annex'!L13</f>
        <v>400</v>
      </c>
      <c r="M13" s="162">
        <f>'3-A. CI Sub-Annex'!M13</f>
        <v>4.0000000000000001E-3</v>
      </c>
      <c r="N13" s="1177">
        <f>'3-A. CI Sub-Annex'!N13</f>
        <v>8066</v>
      </c>
      <c r="O13" s="2822">
        <f>'3-A. CI Sub-Annex'!O13</f>
        <v>32.264000000000003</v>
      </c>
      <c r="P13" s="431" t="str">
        <f>'3-A. CI Sub-Annex'!P13</f>
        <v>Fund proposed for conducting 10 mothers  meeting  per quarter</v>
      </c>
      <c r="Q13" s="54" t="str">
        <f>'Ab1. RMNCH+A'!Q114</f>
        <v>Ongoing Activity: Rs. 32.26 lakhs is recommended for approval for ASHA incentives under MAA programme for conducting 6-8 quarterly mothers meeting for 4 quarters @ Rs. 100 per quarter for 8066 ASHAs</v>
      </c>
      <c r="R13" s="2852">
        <f>'Ab1. RMNCH+A'!R114</f>
        <v>32.264000000000003</v>
      </c>
    </row>
    <row r="14" spans="1:18" ht="90">
      <c r="A14" s="1177" t="e">
        <f>'3-A. CI Sub-Annex'!#REF!</f>
        <v>#REF!</v>
      </c>
      <c r="B14" s="1177" t="str">
        <f>'3-A. CI Sub-Annex'!B14</f>
        <v>B1.1.3.2.1</v>
      </c>
      <c r="C14" s="431" t="str">
        <f>'3-A. CI Sub-Annex'!C14</f>
        <v>Incentive for Home Based New-born Care programme</v>
      </c>
      <c r="D14" s="1170" t="str">
        <f>'3-A. CI Sub-Annex'!D14</f>
        <v>RCH</v>
      </c>
      <c r="E14" s="1177" t="str">
        <f>'3-A. CI Sub-Annex'!E14</f>
        <v>CH/NHSRC-CP</v>
      </c>
      <c r="F14" s="1177">
        <f>'3-A. CI Sub-Annex'!F14</f>
        <v>81812</v>
      </c>
      <c r="G14" s="1177">
        <f>'3-A. CI Sub-Annex'!G14</f>
        <v>0</v>
      </c>
      <c r="H14" s="1177">
        <f>'3-A. CI Sub-Annex'!H14</f>
        <v>204.53</v>
      </c>
      <c r="I14" s="1177">
        <f>'3-A. CI Sub-Annex'!I14</f>
        <v>109.82</v>
      </c>
      <c r="J14" s="1177">
        <f>'3-A. CI Sub-Annex'!J14</f>
        <v>94.710000000000008</v>
      </c>
      <c r="K14" s="1177">
        <f>'3-A. CI Sub-Annex'!K14</f>
        <v>0</v>
      </c>
      <c r="L14" s="1177">
        <f>'3-A. CI Sub-Annex'!L14</f>
        <v>250</v>
      </c>
      <c r="M14" s="162">
        <f>'3-A. CI Sub-Annex'!M14</f>
        <v>2.5000000000000001E-3</v>
      </c>
      <c r="N14" s="1177">
        <f>'3-A. CI Sub-Annex'!N14</f>
        <v>80000</v>
      </c>
      <c r="O14" s="2822">
        <f>'3-A. CI Sub-Annex'!O14</f>
        <v>200</v>
      </c>
      <c r="P14" s="431" t="str">
        <f>'3-A. CI Sub-Annex'!P14</f>
        <v>Fund proposed for completion of 5 home visits under HBNC</v>
      </c>
      <c r="Q14" s="54" t="str">
        <f>'Ab1. RMNCH+A'!Q115</f>
        <v>Ongoing Activity:Rs.200.00 lakhs is recommended for approval as incentive to ASHAs for completion of 6/7 home visits under HBNC program as per schedule for the target of 80000 newborns @ Rs. 250 per newborn</v>
      </c>
      <c r="R14" s="2852">
        <f>'Ab1. RMNCH+A'!R115</f>
        <v>200</v>
      </c>
    </row>
    <row r="15" spans="1:18" ht="225">
      <c r="A15" s="1177" t="e">
        <f>'3-A. CI Sub-Annex'!#REF!</f>
        <v>#REF!</v>
      </c>
      <c r="B15" s="1177" t="str">
        <f>'3-A. CI Sub-Annex'!B15</f>
        <v>B1.1.3.2.2</v>
      </c>
      <c r="C15" s="431" t="str">
        <f>'3-A. CI Sub-Annex'!C15</f>
        <v>Incentive to ASHA for follow up of SNCU discharge babies and for follow up of LBW babies</v>
      </c>
      <c r="D15" s="1170" t="str">
        <f>'3-A. CI Sub-Annex'!D15</f>
        <v>RCH</v>
      </c>
      <c r="E15" s="1177" t="str">
        <f>'3-A. CI Sub-Annex'!E15</f>
        <v>CH/NHSRC-CP</v>
      </c>
      <c r="F15" s="1177">
        <f>'3-A. CI Sub-Annex'!F15</f>
        <v>10000</v>
      </c>
      <c r="G15" s="1177">
        <f>'3-A. CI Sub-Annex'!G15</f>
        <v>0</v>
      </c>
      <c r="H15" s="1177">
        <f>'3-A. CI Sub-Annex'!H15</f>
        <v>20</v>
      </c>
      <c r="I15" s="1177">
        <f>'3-A. CI Sub-Annex'!I15</f>
        <v>0.2</v>
      </c>
      <c r="J15" s="1177">
        <f>'3-A. CI Sub-Annex'!J15</f>
        <v>19.8</v>
      </c>
      <c r="K15" s="1177">
        <f>'3-A. CI Sub-Annex'!K15</f>
        <v>0</v>
      </c>
      <c r="L15" s="1177">
        <f>'3-A. CI Sub-Annex'!L15</f>
        <v>200</v>
      </c>
      <c r="M15" s="162">
        <f>'3-A. CI Sub-Annex'!M15</f>
        <v>2E-3</v>
      </c>
      <c r="N15" s="1177">
        <f>'3-A. CI Sub-Annex'!N15</f>
        <v>5000</v>
      </c>
      <c r="O15" s="2822">
        <f>'3-A. CI Sub-Annex'!O15</f>
        <v>10</v>
      </c>
      <c r="P15" s="431" t="str">
        <f>'3-A. CI Sub-Annex'!P15</f>
        <v xml:space="preserve">Fund proposed  for folllwup of SNCU discharged  babies for 7 districts. As HBYC will be implemented in 6 districts in FY 2021-22 </v>
      </c>
      <c r="Q15" s="54" t="str">
        <f>'Ab1. RMNCH+A'!Q116</f>
        <v>Ongoing Activity:Rs. 10.0 lakhs is recommended for approval as incentive to ASHAs for follow up of SNCU discharged or LBW babies at 3rd, 6th, 9th and 12th months of age for the target of 5000 children @ Rs.200 per child.The State should ensure that this incentive will be subsumed under HBYC program as soon as the home visits to children is initiated in the district where HBYC program is being implemented. Therefore, only HBYC incentive will be given to ASHA however incentive under this FMR will be discontinued subsequently.</v>
      </c>
      <c r="R15" s="2852">
        <f>'Ab1. RMNCH+A'!R116</f>
        <v>10</v>
      </c>
    </row>
    <row r="16" spans="1:18" ht="90">
      <c r="A16" s="1177" t="e">
        <f>'3-A. CI Sub-Annex'!#REF!</f>
        <v>#REF!</v>
      </c>
      <c r="B16" s="1177" t="str">
        <f>'3-A. CI Sub-Annex'!B16</f>
        <v>B1.1.3.2.4</v>
      </c>
      <c r="C16" s="431" t="str">
        <f>'3-A. CI Sub-Annex'!C16</f>
        <v>Incentive for referral of SAM cases to NRC and for follow up of discharge SAM children from NRCs</v>
      </c>
      <c r="D16" s="1170" t="str">
        <f>'3-A. CI Sub-Annex'!D16</f>
        <v>RCH</v>
      </c>
      <c r="E16" s="1177" t="str">
        <f>'3-A. CI Sub-Annex'!E16</f>
        <v>CH/NHSRC-CP</v>
      </c>
      <c r="F16" s="1177">
        <f>'3-A. CI Sub-Annex'!F16</f>
        <v>500</v>
      </c>
      <c r="G16" s="1177">
        <f>'3-A. CI Sub-Annex'!G16</f>
        <v>0</v>
      </c>
      <c r="H16" s="1177">
        <f>'3-A. CI Sub-Annex'!H16</f>
        <v>0.75</v>
      </c>
      <c r="I16" s="1177">
        <f>'3-A. CI Sub-Annex'!I16</f>
        <v>0.02</v>
      </c>
      <c r="J16" s="1177">
        <f>'3-A. CI Sub-Annex'!J16</f>
        <v>0.73</v>
      </c>
      <c r="K16" s="1177">
        <f>'3-A. CI Sub-Annex'!K16</f>
        <v>0</v>
      </c>
      <c r="L16" s="1177">
        <f>'3-A. CI Sub-Annex'!L16</f>
        <v>150</v>
      </c>
      <c r="M16" s="162">
        <f>'3-A. CI Sub-Annex'!M16</f>
        <v>1.5E-3</v>
      </c>
      <c r="N16" s="1177">
        <f>'3-A. CI Sub-Annex'!N16</f>
        <v>500</v>
      </c>
      <c r="O16" s="2822">
        <f>'3-A. CI Sub-Annex'!O16</f>
        <v>0.75</v>
      </c>
      <c r="P16" s="431" t="str">
        <f>'3-A. CI Sub-Annex'!P16</f>
        <v>Fund proposed for referral and followup of SAM children</v>
      </c>
      <c r="Q16" s="54" t="str">
        <f>'Ab1. RMNCH+A'!Q117</f>
        <v>Ongoing activity: Rs. 0.75 lakh is recommended for approval for ASHA incentive for referral and four follow ups of 500 SAM children to NRC @ Rs.150 per SAM child in line with the existing national guidelines.</v>
      </c>
      <c r="R16" s="2852">
        <f>'Ab1. RMNCH+A'!R117</f>
        <v>0.75</v>
      </c>
    </row>
    <row r="17" spans="1:18" ht="75">
      <c r="A17" s="1177" t="e">
        <f>'3-A. CI Sub-Annex'!#REF!</f>
        <v>#REF!</v>
      </c>
      <c r="B17" s="1177" t="str">
        <f>'3-A. CI Sub-Annex'!B17</f>
        <v>B1.1.3.2.7</v>
      </c>
      <c r="C17" s="431" t="str">
        <f>'3-A. CI Sub-Annex'!C17</f>
        <v>Incentive for National Deworming Day  for mobilising out of school children</v>
      </c>
      <c r="D17" s="1170" t="str">
        <f>'3-A. CI Sub-Annex'!D17</f>
        <v>RCH</v>
      </c>
      <c r="E17" s="1177" t="str">
        <f>'3-A. CI Sub-Annex'!E17</f>
        <v>CH/NHSRC-CP</v>
      </c>
      <c r="F17" s="1177">
        <f>'3-A. CI Sub-Annex'!F17</f>
        <v>7964</v>
      </c>
      <c r="G17" s="1177">
        <f>'3-A. CI Sub-Annex'!G17</f>
        <v>0</v>
      </c>
      <c r="H17" s="1177">
        <f>'3-A. CI Sub-Annex'!H17</f>
        <v>15.93</v>
      </c>
      <c r="I17" s="1177">
        <f>'3-A. CI Sub-Annex'!I17</f>
        <v>0.66</v>
      </c>
      <c r="J17" s="1177">
        <f>'3-A. CI Sub-Annex'!J17</f>
        <v>15.27</v>
      </c>
      <c r="K17" s="1177">
        <f>'3-A. CI Sub-Annex'!K17</f>
        <v>0</v>
      </c>
      <c r="L17" s="1177">
        <f>'3-A. CI Sub-Annex'!L17</f>
        <v>200</v>
      </c>
      <c r="M17" s="162">
        <f>'3-A. CI Sub-Annex'!M17</f>
        <v>2E-3</v>
      </c>
      <c r="N17" s="1177">
        <f>'3-A. CI Sub-Annex'!N17</f>
        <v>8066</v>
      </c>
      <c r="O17" s="2822">
        <f>'3-A. CI Sub-Annex'!O17</f>
        <v>16.132000000000001</v>
      </c>
      <c r="P17" s="431" t="str">
        <f>'3-A. CI Sub-Annex'!P17</f>
        <v>Fund proposed for incentive to ASHA for two round of NDD for mobilizing out of school children</v>
      </c>
      <c r="Q17" s="54" t="str">
        <f>'Ab1. RMNCH+A'!Q118</f>
        <v>Rs. 16.13 Lakhs is recommended for approval for ASHA incentive to mobilise out of school children @ Rs. 100 per ASHA for 8066 ASHAs for two rounds of NDD.</v>
      </c>
      <c r="R17" s="2852">
        <f>'Ab1. RMNCH+A'!R118</f>
        <v>16.132000000000001</v>
      </c>
    </row>
    <row r="18" spans="1:18" ht="135">
      <c r="A18" s="1177" t="e">
        <f>'3-A. CI Sub-Annex'!#REF!</f>
        <v>#REF!</v>
      </c>
      <c r="B18" s="1177" t="str">
        <f>'3-A. CI Sub-Annex'!B18</f>
        <v>B1.1.3.2.8</v>
      </c>
      <c r="C18" s="431" t="str">
        <f>'3-A. CI Sub-Annex'!C18</f>
        <v xml:space="preserve">Incentive for IDCF for prophylactic distribution of ORS  to family with under-five children. </v>
      </c>
      <c r="D18" s="1170" t="str">
        <f>'3-A. CI Sub-Annex'!D18</f>
        <v>RCH</v>
      </c>
      <c r="E18" s="1177" t="str">
        <f>'3-A. CI Sub-Annex'!E18</f>
        <v>CH/NHSRC-CP</v>
      </c>
      <c r="F18" s="1177">
        <f>'3-A. CI Sub-Annex'!F18</f>
        <v>700000</v>
      </c>
      <c r="G18" s="1177">
        <f>'3-A. CI Sub-Annex'!G18</f>
        <v>0</v>
      </c>
      <c r="H18" s="1177">
        <f>'3-A. CI Sub-Annex'!H18</f>
        <v>7</v>
      </c>
      <c r="I18" s="1177">
        <f>'3-A. CI Sub-Annex'!I18</f>
        <v>4</v>
      </c>
      <c r="J18" s="1177">
        <f>'3-A. CI Sub-Annex'!J18</f>
        <v>3</v>
      </c>
      <c r="K18" s="1177">
        <f>'3-A. CI Sub-Annex'!K18</f>
        <v>0</v>
      </c>
      <c r="L18" s="1177">
        <f>'3-A. CI Sub-Annex'!L18</f>
        <v>1</v>
      </c>
      <c r="M18" s="162">
        <f>'3-A. CI Sub-Annex'!M18</f>
        <v>1.0000000000000001E-5</v>
      </c>
      <c r="N18" s="1177">
        <f>'3-A. CI Sub-Annex'!N18</f>
        <v>700000</v>
      </c>
      <c r="O18" s="2822">
        <f>'3-A. CI Sub-Annex'!O18</f>
        <v>7.0000000000000009</v>
      </c>
      <c r="P18" s="431" t="str">
        <f>'3-A. CI Sub-Annex'!P18</f>
        <v xml:space="preserve">Fund proposed for incentive @Rs. 1/pack of ORS distribution to family with under 5 children                                                                                </v>
      </c>
      <c r="Q18" s="54" t="str">
        <f>'Ab1. RMNCH+A'!Q119</f>
        <v>Rs.7 lakhs is recommended for approval  @ Rs.1 per ORS packet distributed to the families of Under-5 children for approx. 7,00,000  families with Under-5 children through ASHA workers. The State to ensure all families of Under-5 children are covered for prophylactis distribution of ORS during IDCF 2021-22.</v>
      </c>
      <c r="R18" s="2852">
        <f>'Ab1. RMNCH+A'!R119</f>
        <v>7</v>
      </c>
    </row>
    <row r="19" spans="1:18" ht="135">
      <c r="A19" s="1177" t="e">
        <f>'3-A. CI Sub-Annex'!#REF!</f>
        <v>#REF!</v>
      </c>
      <c r="B19" s="1177">
        <f>'3-A. CI Sub-Annex'!B19</f>
        <v>0</v>
      </c>
      <c r="C19" s="431" t="str">
        <f>'3-A. CI Sub-Annex'!C19</f>
        <v xml:space="preserve">Incentive to ASHA for quarterly visits under HBYC </v>
      </c>
      <c r="D19" s="1170" t="str">
        <f>'3-A. CI Sub-Annex'!D19</f>
        <v>RCH</v>
      </c>
      <c r="E19" s="1177" t="str">
        <f>'3-A. CI Sub-Annex'!E19</f>
        <v>CH/NHSRC-CP</v>
      </c>
      <c r="F19" s="1177">
        <f>'3-A. CI Sub-Annex'!F19</f>
        <v>15000</v>
      </c>
      <c r="G19" s="1177">
        <f>'3-A. CI Sub-Annex'!G19</f>
        <v>0</v>
      </c>
      <c r="H19" s="1177">
        <f>'3-A. CI Sub-Annex'!H19</f>
        <v>37.5</v>
      </c>
      <c r="I19" s="1177">
        <f>'3-A. CI Sub-Annex'!I19</f>
        <v>0.21</v>
      </c>
      <c r="J19" s="1177">
        <f>'3-A. CI Sub-Annex'!J19</f>
        <v>37.29</v>
      </c>
      <c r="K19" s="1177">
        <f>'3-A. CI Sub-Annex'!K19</f>
        <v>0</v>
      </c>
      <c r="L19" s="1177">
        <f>'3-A. CI Sub-Annex'!L19</f>
        <v>250</v>
      </c>
      <c r="M19" s="162">
        <f>'3-A. CI Sub-Annex'!M19</f>
        <v>2.5000000000000001E-3</v>
      </c>
      <c r="N19" s="1177">
        <f>'3-A. CI Sub-Annex'!N19</f>
        <v>20000</v>
      </c>
      <c r="O19" s="2822">
        <f>'3-A. CI Sub-Annex'!O19</f>
        <v>50</v>
      </c>
      <c r="P19" s="431" t="str">
        <f>'3-A. CI Sub-Annex'!P19</f>
        <v>Fund proposed for incentive for scheduled home visits  in 5 districts (Chamba, Sirmour, Mandi, Kullu and Shimla)</v>
      </c>
      <c r="Q19" s="54" t="str">
        <f>'Ab1. RMNCH+A'!Q120</f>
        <v>Ongoing Activity:Rs. 50.00 lakhs is recommended for approval as incentive to ASHAs for scheduled home visits to children at 3rd, 6th, 9th, 12th and 15th month of life under HBYC @ Rs. 250 per child for target of 20000 children as proposed for 5 Districts (Chamba, Mandi, Sirmour, Kullu and Shimla).</v>
      </c>
      <c r="R19" s="2852">
        <f>'Ab1. RMNCH+A'!R120</f>
        <v>50</v>
      </c>
    </row>
    <row r="20" spans="1:18">
      <c r="A20" s="1933" t="str">
        <f>'3.Community Intervention Annexn'!A13</f>
        <v>3.1.1.1.3</v>
      </c>
      <c r="B20" s="1933">
        <f>'3-A. CI Sub-Annex'!B20</f>
        <v>0</v>
      </c>
      <c r="C20" s="1934" t="str">
        <f>'3-A. CI Sub-Annex'!C20</f>
        <v>Incentive for Immunization Services</v>
      </c>
      <c r="D20" s="1933"/>
      <c r="E20" s="1933"/>
      <c r="F20" s="1933"/>
      <c r="G20" s="1933"/>
      <c r="H20" s="1935"/>
      <c r="I20" s="1933"/>
      <c r="J20" s="1935"/>
      <c r="K20" s="1933"/>
      <c r="L20" s="1936"/>
      <c r="M20" s="1935"/>
      <c r="N20" s="1933"/>
      <c r="O20" s="2858"/>
      <c r="P20" s="1934"/>
      <c r="Q20" s="2846"/>
      <c r="R20" s="2851"/>
    </row>
    <row r="21" spans="1:18" ht="105">
      <c r="A21" s="1177" t="e">
        <f>'3-A. CI Sub-Annex'!#REF!</f>
        <v>#REF!</v>
      </c>
      <c r="B21" s="1177" t="str">
        <f>'3-A. CI Sub-Annex'!B21</f>
        <v>C.5</v>
      </c>
      <c r="C21" s="431" t="str">
        <f>'3-A. CI Sub-Annex'!C21</f>
        <v>ASHA Incentive under Immunization</v>
      </c>
      <c r="D21" s="1170" t="str">
        <f>'3-A. CI Sub-Annex'!D21</f>
        <v>RCH</v>
      </c>
      <c r="E21" s="1177" t="str">
        <f>'3-A. CI Sub-Annex'!E21</f>
        <v>RI/NHSRC-CP</v>
      </c>
      <c r="F21" s="1177">
        <f>'3-A. CI Sub-Annex'!F21</f>
        <v>115000</v>
      </c>
      <c r="G21" s="1177">
        <f>'3-A. CI Sub-Annex'!G21</f>
        <v>0</v>
      </c>
      <c r="H21" s="1177">
        <f>'3-A. CI Sub-Annex'!H21</f>
        <v>201.25</v>
      </c>
      <c r="I21" s="1177">
        <f>'3-A. CI Sub-Annex'!I21</f>
        <v>99.21</v>
      </c>
      <c r="J21" s="1177">
        <f>'3-A. CI Sub-Annex'!J21</f>
        <v>102.04</v>
      </c>
      <c r="K21" s="1177">
        <f>'3-A. CI Sub-Annex'!K21</f>
        <v>1</v>
      </c>
      <c r="L21" s="1177">
        <f>'3-A. CI Sub-Annex'!L21</f>
        <v>225</v>
      </c>
      <c r="M21" s="162">
        <f>'3-A. CI Sub-Annex'!M21</f>
        <v>2.2499999999999998E-3</v>
      </c>
      <c r="N21" s="1177">
        <f>'3-A. CI Sub-Annex'!N21</f>
        <v>113000</v>
      </c>
      <c r="O21" s="2822">
        <f>'3-A. CI Sub-Annex'!O21</f>
        <v>254.24999999999997</v>
      </c>
      <c r="P21" s="431" t="str">
        <f>'3-A. CI Sub-Annex'!P21</f>
        <v xml:space="preserve">Fund proposed for FIC @Rs.100/ child in 1st year, Rs 75/chid for complete immunisation upto 2nd year and DPT booster 5-6 years @ Rs. 50/ Child </v>
      </c>
      <c r="Q21" s="54" t="str">
        <f>'Ab1. RMNCH+A'!Q405</f>
        <v>Recommended for approval of Rs.254.25 lakhs as per norms @ Rs. 100/ child for FIC in first year, Rs.75/ child for complete immunization upto second year of age and Rs. 50 for DPT booster at the age of 5-6 years (for payment purpose)</v>
      </c>
      <c r="R21" s="2853">
        <f>'Ab1. RMNCH+A'!R405</f>
        <v>254.25</v>
      </c>
    </row>
    <row r="22" spans="1:18" ht="30">
      <c r="A22" s="1177" t="e">
        <f>'3-A. CI Sub-Annex'!#REF!</f>
        <v>#REF!</v>
      </c>
      <c r="B22" s="1177" t="str">
        <f>'3-A. CI Sub-Annex'!B22</f>
        <v>C.1.g</v>
      </c>
      <c r="C22" s="431" t="str">
        <f>'3-A. CI Sub-Annex'!C22</f>
        <v>Mobilization of children through ASHA or other mobilizers</v>
      </c>
      <c r="D22" s="1170" t="str">
        <f>'3-A. CI Sub-Annex'!D22</f>
        <v>RCH</v>
      </c>
      <c r="E22" s="1177" t="str">
        <f>'3-A. CI Sub-Annex'!E22</f>
        <v>RI/NHSRC-CP</v>
      </c>
      <c r="F22" s="1177">
        <f>'3-A. CI Sub-Annex'!F22</f>
        <v>0</v>
      </c>
      <c r="G22" s="1177">
        <f>'3-A. CI Sub-Annex'!G22</f>
        <v>0</v>
      </c>
      <c r="H22" s="1177">
        <f>'3-A. CI Sub-Annex'!H22</f>
        <v>0</v>
      </c>
      <c r="I22" s="1177">
        <f>'3-A. CI Sub-Annex'!I22</f>
        <v>0</v>
      </c>
      <c r="J22" s="1177">
        <f>'3-A. CI Sub-Annex'!J22</f>
        <v>0</v>
      </c>
      <c r="K22" s="1177">
        <f>'3-A. CI Sub-Annex'!K22</f>
        <v>0</v>
      </c>
      <c r="L22" s="1177">
        <f>'3-A. CI Sub-Annex'!L22</f>
        <v>0</v>
      </c>
      <c r="M22" s="162">
        <f>'3-A. CI Sub-Annex'!M22</f>
        <v>0</v>
      </c>
      <c r="N22" s="1177">
        <f>'3-A. CI Sub-Annex'!N22</f>
        <v>0</v>
      </c>
      <c r="O22" s="2822">
        <f>'3-A. CI Sub-Annex'!O22</f>
        <v>0</v>
      </c>
      <c r="P22" s="431">
        <f>'3-A. CI Sub-Annex'!P22</f>
        <v>0</v>
      </c>
      <c r="Q22" s="54" t="str">
        <f>'Ab1. RMNCH+A'!Q406</f>
        <v>--</v>
      </c>
      <c r="R22" s="2853">
        <f>'Ab1. RMNCH+A'!R406</f>
        <v>0</v>
      </c>
    </row>
    <row r="23" spans="1:18">
      <c r="A23" s="1933" t="str">
        <f>'3.Community Intervention Annexn'!A14</f>
        <v>3.1.1.1.4</v>
      </c>
      <c r="B23" s="1933">
        <f>'3-A. CI Sub-Annex'!B23</f>
        <v>0</v>
      </c>
      <c r="C23" s="1934" t="str">
        <f>'3-A. CI Sub-Annex'!C23</f>
        <v>Incentive for FP Services</v>
      </c>
      <c r="D23" s="1933"/>
      <c r="E23" s="1933"/>
      <c r="F23" s="1933"/>
      <c r="G23" s="1933"/>
      <c r="H23" s="1933"/>
      <c r="I23" s="1933"/>
      <c r="J23" s="1933"/>
      <c r="K23" s="1933"/>
      <c r="L23" s="1933"/>
      <c r="M23" s="1935"/>
      <c r="N23" s="1933"/>
      <c r="O23" s="2858"/>
      <c r="P23" s="1934"/>
      <c r="Q23" s="2846"/>
      <c r="R23" s="2851"/>
    </row>
    <row r="24" spans="1:18">
      <c r="A24" s="1177" t="e">
        <f>'3-A. CI Sub-Annex'!#REF!</f>
        <v>#REF!</v>
      </c>
      <c r="B24" s="1177" t="str">
        <f>'3-A. CI Sub-Annex'!B24</f>
        <v>A.3.7.1</v>
      </c>
      <c r="C24" s="431" t="str">
        <f>'3-A. CI Sub-Annex'!C24</f>
        <v>ASHA Incentives under Saas Bahu Sammellan</v>
      </c>
      <c r="D24" s="1170" t="str">
        <f>'3-A. CI Sub-Annex'!D24</f>
        <v>RCH</v>
      </c>
      <c r="E24" s="1177" t="str">
        <f>'3-A. CI Sub-Annex'!E24</f>
        <v>FP/NHSRC-CP</v>
      </c>
      <c r="F24" s="1177">
        <f>'3-A. CI Sub-Annex'!F24</f>
        <v>0</v>
      </c>
      <c r="G24" s="1177">
        <f>'3-A. CI Sub-Annex'!G24</f>
        <v>0</v>
      </c>
      <c r="H24" s="1177">
        <f>'3-A. CI Sub-Annex'!H24</f>
        <v>0</v>
      </c>
      <c r="I24" s="1177">
        <f>'3-A. CI Sub-Annex'!I24</f>
        <v>0</v>
      </c>
      <c r="J24" s="1177">
        <f>'3-A. CI Sub-Annex'!J24</f>
        <v>0</v>
      </c>
      <c r="K24" s="1177">
        <f>'3-A. CI Sub-Annex'!K24</f>
        <v>0</v>
      </c>
      <c r="L24" s="1177">
        <f>'3-A. CI Sub-Annex'!L24</f>
        <v>0</v>
      </c>
      <c r="M24" s="162">
        <f>'3-A. CI Sub-Annex'!M24</f>
        <v>0</v>
      </c>
      <c r="N24" s="1177">
        <f>'3-A. CI Sub-Annex'!N24</f>
        <v>0</v>
      </c>
      <c r="O24" s="2822">
        <f>'3-A. CI Sub-Annex'!O24</f>
        <v>0</v>
      </c>
      <c r="P24" s="431">
        <f>'3-A. CI Sub-Annex'!P24</f>
        <v>0</v>
      </c>
      <c r="Q24" s="54" t="str">
        <f>'Ab1. RMNCH+A'!Q214</f>
        <v>--</v>
      </c>
      <c r="R24" s="2853">
        <f>'Ab1. RMNCH+A'!R214</f>
        <v>0</v>
      </c>
    </row>
    <row r="25" spans="1:18">
      <c r="A25" s="1177" t="e">
        <f>'3-A. CI Sub-Annex'!#REF!</f>
        <v>#REF!</v>
      </c>
      <c r="B25" s="1177" t="str">
        <f>'3-A. CI Sub-Annex'!B25</f>
        <v>A.3.7.2</v>
      </c>
      <c r="C25" s="431" t="str">
        <f>'3-A. CI Sub-Annex'!C25</f>
        <v>ASHA Incentives under Nayi Pehl Kit</v>
      </c>
      <c r="D25" s="1170" t="str">
        <f>'3-A. CI Sub-Annex'!D25</f>
        <v>RCH</v>
      </c>
      <c r="E25" s="1177" t="str">
        <f>'3-A. CI Sub-Annex'!E25</f>
        <v>FP/NHSRC-CP</v>
      </c>
      <c r="F25" s="1177">
        <f>'3-A. CI Sub-Annex'!F25</f>
        <v>0</v>
      </c>
      <c r="G25" s="1177">
        <f>'3-A. CI Sub-Annex'!G25</f>
        <v>0</v>
      </c>
      <c r="H25" s="1177">
        <f>'3-A. CI Sub-Annex'!H25</f>
        <v>0</v>
      </c>
      <c r="I25" s="1177">
        <f>'3-A. CI Sub-Annex'!I25</f>
        <v>0</v>
      </c>
      <c r="J25" s="1177">
        <f>'3-A. CI Sub-Annex'!J25</f>
        <v>0</v>
      </c>
      <c r="K25" s="1177">
        <f>'3-A. CI Sub-Annex'!K25</f>
        <v>0</v>
      </c>
      <c r="L25" s="1177">
        <f>'3-A. CI Sub-Annex'!L25</f>
        <v>0</v>
      </c>
      <c r="M25" s="162">
        <f>'3-A. CI Sub-Annex'!M25</f>
        <v>0</v>
      </c>
      <c r="N25" s="1177">
        <f>'3-A. CI Sub-Annex'!N25</f>
        <v>0</v>
      </c>
      <c r="O25" s="2822">
        <f>'3-A. CI Sub-Annex'!O25</f>
        <v>0</v>
      </c>
      <c r="P25" s="431">
        <f>'3-A. CI Sub-Annex'!P25</f>
        <v>0</v>
      </c>
      <c r="Q25" s="54" t="str">
        <f>'Ab1. RMNCH+A'!Q215</f>
        <v>--</v>
      </c>
      <c r="R25" s="2853">
        <f>'Ab1. RMNCH+A'!R215</f>
        <v>0</v>
      </c>
    </row>
    <row r="26" spans="1:18" ht="30">
      <c r="A26" s="1177" t="e">
        <f>'3-A. CI Sub-Annex'!#REF!</f>
        <v>#REF!</v>
      </c>
      <c r="B26" s="1177">
        <f>'3-A. CI Sub-Annex'!B26</f>
        <v>0</v>
      </c>
      <c r="C26" s="431" t="str">
        <f>'3-A. CI Sub-Annex'!C26</f>
        <v>ASHA incentive for updation of EC survey before each MPV campaign</v>
      </c>
      <c r="D26" s="1170" t="str">
        <f>'3-A. CI Sub-Annex'!D26</f>
        <v>RCH</v>
      </c>
      <c r="E26" s="1177" t="str">
        <f>'3-A. CI Sub-Annex'!E26</f>
        <v>FP/NHSRC-CP</v>
      </c>
      <c r="F26" s="1177">
        <f>'3-A. CI Sub-Annex'!F26</f>
        <v>0</v>
      </c>
      <c r="G26" s="1177">
        <f>'3-A. CI Sub-Annex'!G26</f>
        <v>0</v>
      </c>
      <c r="H26" s="1177">
        <f>'3-A. CI Sub-Annex'!H26</f>
        <v>0</v>
      </c>
      <c r="I26" s="1177">
        <f>'3-A. CI Sub-Annex'!I26</f>
        <v>0</v>
      </c>
      <c r="J26" s="1177">
        <f>'3-A. CI Sub-Annex'!J26</f>
        <v>0</v>
      </c>
      <c r="K26" s="1177">
        <f>'3-A. CI Sub-Annex'!K26</f>
        <v>0</v>
      </c>
      <c r="L26" s="1177">
        <f>'3-A. CI Sub-Annex'!L26</f>
        <v>0</v>
      </c>
      <c r="M26" s="162">
        <f>'3-A. CI Sub-Annex'!M26</f>
        <v>0</v>
      </c>
      <c r="N26" s="1177">
        <f>'3-A. CI Sub-Annex'!N26</f>
        <v>0</v>
      </c>
      <c r="O26" s="2822">
        <f>'3-A. CI Sub-Annex'!O26</f>
        <v>0</v>
      </c>
      <c r="P26" s="431">
        <f>'3-A. CI Sub-Annex'!P26</f>
        <v>0</v>
      </c>
      <c r="Q26" s="54" t="str">
        <f>'Ab1. RMNCH+A'!Q216</f>
        <v>--</v>
      </c>
      <c r="R26" s="2853">
        <f>'Ab1. RMNCH+A'!R216</f>
        <v>0</v>
      </c>
    </row>
    <row r="27" spans="1:18" ht="90">
      <c r="A27" s="1177" t="e">
        <f>'3-A. CI Sub-Annex'!#REF!</f>
        <v>#REF!</v>
      </c>
      <c r="B27" s="1177" t="str">
        <f>'3-A. CI Sub-Annex'!B27</f>
        <v>B1.1.3.3.1</v>
      </c>
      <c r="C27" s="431" t="str">
        <f>'3-A. CI Sub-Annex'!C27</f>
        <v>ASHA PPIUCD incentive for accompanying the client for PPIUCD insertion (@ Rs. 150/ASHA/insertion)</v>
      </c>
      <c r="D27" s="1170" t="str">
        <f>'3-A. CI Sub-Annex'!D27</f>
        <v>RCH</v>
      </c>
      <c r="E27" s="1177" t="str">
        <f>'3-A. CI Sub-Annex'!E27</f>
        <v>FP/NHSRC-CP</v>
      </c>
      <c r="F27" s="1177">
        <f>'3-A. CI Sub-Annex'!F27</f>
        <v>1000</v>
      </c>
      <c r="G27" s="1177">
        <f>'3-A. CI Sub-Annex'!G27</f>
        <v>0</v>
      </c>
      <c r="H27" s="1177">
        <f>'3-A. CI Sub-Annex'!H27</f>
        <v>1.5</v>
      </c>
      <c r="I27" s="1177">
        <f>'3-A. CI Sub-Annex'!I27</f>
        <v>2.11</v>
      </c>
      <c r="J27" s="1177">
        <f>'3-A. CI Sub-Annex'!J27</f>
        <v>-0.61</v>
      </c>
      <c r="K27" s="1177">
        <f>'3-A. CI Sub-Annex'!K27</f>
        <v>1</v>
      </c>
      <c r="L27" s="1177">
        <f>'3-A. CI Sub-Annex'!L27</f>
        <v>150</v>
      </c>
      <c r="M27" s="162">
        <f>'3-A. CI Sub-Annex'!M27</f>
        <v>1.5E-3</v>
      </c>
      <c r="N27" s="1177">
        <f>'3-A. CI Sub-Annex'!N27</f>
        <v>2000</v>
      </c>
      <c r="O27" s="2822">
        <f>'3-A. CI Sub-Annex'!O27</f>
        <v>3</v>
      </c>
      <c r="P27" s="431" t="str">
        <f>'3-A. CI Sub-Annex'!P27</f>
        <v xml:space="preserve">Funds proposed under this head for ASHA PPIUCD  incentive for  accompanying the client for PPIUCD  insertion @Rs. 150/ASHA/ insertion </v>
      </c>
      <c r="Q27" s="54" t="str">
        <f>'Ab1. RMNCH+A'!Q217</f>
        <v>Ongoing activity : Rs 3.00 lakhs is recommended for approval  for ASHA PPIUCD incentive for accompanying the clients for PPIUCD insertions for 2000 insertions @ Rs 150/ASHA/Insertion</v>
      </c>
      <c r="R27" s="2853">
        <f>'Ab1. RMNCH+A'!R217</f>
        <v>3</v>
      </c>
    </row>
    <row r="28" spans="1:18" ht="90">
      <c r="A28" s="1177" t="e">
        <f>'3-A. CI Sub-Annex'!#REF!</f>
        <v>#REF!</v>
      </c>
      <c r="B28" s="1177" t="str">
        <f>'3-A. CI Sub-Annex'!B28</f>
        <v>B1.1.3.3.2</v>
      </c>
      <c r="C28" s="431" t="str">
        <f>'3-A. CI Sub-Annex'!C28</f>
        <v>ASHA PAIUCD incentive for accompanying the client for PAIUCD insertion (@ Rs. 150/ASHA/insertion)</v>
      </c>
      <c r="D28" s="1170" t="str">
        <f>'3-A. CI Sub-Annex'!D28</f>
        <v>RCH</v>
      </c>
      <c r="E28" s="1177" t="str">
        <f>'3-A. CI Sub-Annex'!E28</f>
        <v>FP/NHSRC-CP</v>
      </c>
      <c r="F28" s="1177">
        <f>'3-A. CI Sub-Annex'!F28</f>
        <v>200</v>
      </c>
      <c r="G28" s="1177">
        <f>'3-A. CI Sub-Annex'!G28</f>
        <v>0</v>
      </c>
      <c r="H28" s="1177">
        <f>'3-A. CI Sub-Annex'!H28</f>
        <v>0.3</v>
      </c>
      <c r="I28" s="1177">
        <f>'3-A. CI Sub-Annex'!I28</f>
        <v>0.7</v>
      </c>
      <c r="J28" s="1177">
        <f>'3-A. CI Sub-Annex'!J28</f>
        <v>0.23</v>
      </c>
      <c r="K28" s="1177">
        <f>'3-A. CI Sub-Annex'!K28</f>
        <v>1</v>
      </c>
      <c r="L28" s="1177">
        <f>'3-A. CI Sub-Annex'!L28</f>
        <v>150</v>
      </c>
      <c r="M28" s="162">
        <f>'3-A. CI Sub-Annex'!M28</f>
        <v>1.5E-3</v>
      </c>
      <c r="N28" s="1177">
        <f>'3-A. CI Sub-Annex'!N28</f>
        <v>200</v>
      </c>
      <c r="O28" s="2822">
        <f>'3-A. CI Sub-Annex'!O28</f>
        <v>0.3</v>
      </c>
      <c r="P28" s="431" t="str">
        <f>'3-A. CI Sub-Annex'!P28</f>
        <v xml:space="preserve">Funds proposed under this head for ASHA PAIUCD  incentive for  accompanying the client for PAIUCD  insertion @Rs. 150/ASHA/ insertion </v>
      </c>
      <c r="Q28" s="54" t="str">
        <f>'Ab1. RMNCH+A'!Q218</f>
        <v>Ongoing activity : Rs 0.30 lakhs is recommended for approval  for ASHA PAIUCD incentive for accompanying the clients for PAIUCD insertions for 200 insertions @ Rs 150/ASHA/insertion</v>
      </c>
      <c r="R28" s="2853">
        <f>'Ab1. RMNCH+A'!R218</f>
        <v>0.3</v>
      </c>
    </row>
    <row r="29" spans="1:18" ht="30">
      <c r="A29" s="1177" t="e">
        <f>'3-A. CI Sub-Annex'!#REF!</f>
        <v>#REF!</v>
      </c>
      <c r="B29" s="1177" t="str">
        <f>'3-A. CI Sub-Annex'!B29</f>
        <v>B1.1.3.3.3</v>
      </c>
      <c r="C29" s="431" t="str">
        <f>'3-A. CI Sub-Annex'!C29</f>
        <v>ASHA incentive under ESB scheme for promoting spacing of births</v>
      </c>
      <c r="D29" s="1170" t="str">
        <f>'3-A. CI Sub-Annex'!D29</f>
        <v>RCH</v>
      </c>
      <c r="E29" s="1177" t="str">
        <f>'3-A. CI Sub-Annex'!E29</f>
        <v>FP/NHSRC-CP</v>
      </c>
      <c r="F29" s="1177">
        <f>'3-A. CI Sub-Annex'!F29</f>
        <v>0</v>
      </c>
      <c r="G29" s="1177">
        <f>'3-A. CI Sub-Annex'!G29</f>
        <v>0</v>
      </c>
      <c r="H29" s="1177">
        <f>'3-A. CI Sub-Annex'!H29</f>
        <v>0</v>
      </c>
      <c r="I29" s="1177">
        <f>'3-A. CI Sub-Annex'!I29</f>
        <v>0</v>
      </c>
      <c r="J29" s="1177">
        <f>'3-A. CI Sub-Annex'!J29</f>
        <v>0</v>
      </c>
      <c r="K29" s="1177">
        <f>'3-A. CI Sub-Annex'!K29</f>
        <v>0</v>
      </c>
      <c r="L29" s="1177">
        <f>'3-A. CI Sub-Annex'!L29</f>
        <v>0</v>
      </c>
      <c r="M29" s="162">
        <f>'3-A. CI Sub-Annex'!M29</f>
        <v>0</v>
      </c>
      <c r="N29" s="1177">
        <f>'3-A. CI Sub-Annex'!N29</f>
        <v>0</v>
      </c>
      <c r="O29" s="2822">
        <f>'3-A. CI Sub-Annex'!O29</f>
        <v>0</v>
      </c>
      <c r="P29" s="431">
        <f>'3-A. CI Sub-Annex'!P29</f>
        <v>0</v>
      </c>
      <c r="Q29" s="54" t="str">
        <f>'Ab1. RMNCH+A'!Q219</f>
        <v>--</v>
      </c>
      <c r="R29" s="2853">
        <f>'Ab1. RMNCH+A'!R219</f>
        <v>0</v>
      </c>
    </row>
    <row r="30" spans="1:18" ht="30">
      <c r="A30" s="1177" t="e">
        <f>'3-A. CI Sub-Annex'!#REF!</f>
        <v>#REF!</v>
      </c>
      <c r="B30" s="1177" t="str">
        <f>'3-A. CI Sub-Annex'!B30</f>
        <v>B1.1.3.3.4</v>
      </c>
      <c r="C30" s="431" t="str">
        <f>'3-A. CI Sub-Annex'!C30</f>
        <v>ASHA Incentive under ESB scheme for promoting adoption of limiting method up to two children</v>
      </c>
      <c r="D30" s="1170" t="str">
        <f>'3-A. CI Sub-Annex'!D30</f>
        <v>RCH</v>
      </c>
      <c r="E30" s="1177" t="str">
        <f>'3-A. CI Sub-Annex'!E30</f>
        <v>FP/NHSRC-CP</v>
      </c>
      <c r="F30" s="1177">
        <f>'3-A. CI Sub-Annex'!F30</f>
        <v>0</v>
      </c>
      <c r="G30" s="1177">
        <f>'3-A. CI Sub-Annex'!G30</f>
        <v>0</v>
      </c>
      <c r="H30" s="1177">
        <f>'3-A. CI Sub-Annex'!H30</f>
        <v>0</v>
      </c>
      <c r="I30" s="1177">
        <f>'3-A. CI Sub-Annex'!I30</f>
        <v>0</v>
      </c>
      <c r="J30" s="1177">
        <f>'3-A. CI Sub-Annex'!J30</f>
        <v>0</v>
      </c>
      <c r="K30" s="1177">
        <f>'3-A. CI Sub-Annex'!K30</f>
        <v>0</v>
      </c>
      <c r="L30" s="1177">
        <f>'3-A. CI Sub-Annex'!L30</f>
        <v>0</v>
      </c>
      <c r="M30" s="162">
        <f>'3-A. CI Sub-Annex'!M30</f>
        <v>0</v>
      </c>
      <c r="N30" s="1177">
        <f>'3-A. CI Sub-Annex'!N30</f>
        <v>0</v>
      </c>
      <c r="O30" s="2822">
        <f>'3-A. CI Sub-Annex'!O30</f>
        <v>0</v>
      </c>
      <c r="P30" s="431">
        <f>'3-A. CI Sub-Annex'!P30</f>
        <v>0</v>
      </c>
      <c r="Q30" s="54" t="str">
        <f>'Ab1. RMNCH+A'!Q220</f>
        <v>--</v>
      </c>
      <c r="R30" s="2853">
        <f>'Ab1. RMNCH+A'!R220</f>
        <v>0</v>
      </c>
    </row>
    <row r="31" spans="1:18" ht="60">
      <c r="A31" s="1177" t="e">
        <f>'3-A. CI Sub-Annex'!#REF!</f>
        <v>#REF!</v>
      </c>
      <c r="B31" s="1177" t="str">
        <f>'3-A. CI Sub-Annex'!B31</f>
        <v>A.3.7.3/ 3.1.1.2.8</v>
      </c>
      <c r="C31" s="431" t="str">
        <f>'3-A. CI Sub-Annex'!C31</f>
        <v>ASHA incentive for accompanying the client for Injectable MPA (Antara Prog) administration ( @Rs 100/dose/beneficiary)- Only for 146 Mission Parivar Vikas districts</v>
      </c>
      <c r="D31" s="1170" t="str">
        <f>'3-A. CI Sub-Annex'!D31</f>
        <v>RCH</v>
      </c>
      <c r="E31" s="1177" t="str">
        <f>'3-A. CI Sub-Annex'!E31</f>
        <v>FP/ RC-CP</v>
      </c>
      <c r="F31" s="1177">
        <f>'3-A. CI Sub-Annex'!F31</f>
        <v>0</v>
      </c>
      <c r="G31" s="1177">
        <f>'3-A. CI Sub-Annex'!G31</f>
        <v>0</v>
      </c>
      <c r="H31" s="1177">
        <f>'3-A. CI Sub-Annex'!H31</f>
        <v>0</v>
      </c>
      <c r="I31" s="1177">
        <f>'3-A. CI Sub-Annex'!I31</f>
        <v>0</v>
      </c>
      <c r="J31" s="1177">
        <f>'3-A. CI Sub-Annex'!J31</f>
        <v>0</v>
      </c>
      <c r="K31" s="1177">
        <f>'3-A. CI Sub-Annex'!K31</f>
        <v>0</v>
      </c>
      <c r="L31" s="1177">
        <f>'3-A. CI Sub-Annex'!L31</f>
        <v>0</v>
      </c>
      <c r="M31" s="162">
        <f>'3-A. CI Sub-Annex'!M31</f>
        <v>0</v>
      </c>
      <c r="N31" s="1177">
        <f>'3-A. CI Sub-Annex'!N31</f>
        <v>0</v>
      </c>
      <c r="O31" s="2822">
        <f>'3-A. CI Sub-Annex'!O31</f>
        <v>0</v>
      </c>
      <c r="P31" s="431">
        <f>'3-A. CI Sub-Annex'!P31</f>
        <v>0</v>
      </c>
      <c r="Q31" s="54" t="str">
        <f>'Ab1. RMNCH+A'!Q221</f>
        <v>--</v>
      </c>
      <c r="R31" s="2853">
        <f>'Ab1. RMNCH+A'!R221</f>
        <v>0</v>
      </c>
    </row>
    <row r="32" spans="1:18" ht="60">
      <c r="A32" s="1177" t="e">
        <f>'3-A. CI Sub-Annex'!#REF!</f>
        <v>#REF!</v>
      </c>
      <c r="B32" s="1177">
        <f>'3-A. CI Sub-Annex'!B32</f>
        <v>0</v>
      </c>
      <c r="C32" s="431" t="str">
        <f>'3-A. CI Sub-Annex'!C32</f>
        <v>Any other ASHA incentives (please specify)</v>
      </c>
      <c r="D32" s="1170" t="str">
        <f>'3-A. CI Sub-Annex'!D32</f>
        <v>RCH</v>
      </c>
      <c r="E32" s="1177" t="str">
        <f>'3-A. CI Sub-Annex'!E32</f>
        <v>FP/ RC-CP</v>
      </c>
      <c r="F32" s="1177">
        <f>'3-A. CI Sub-Annex'!F32</f>
        <v>0</v>
      </c>
      <c r="G32" s="1177">
        <f>'3-A. CI Sub-Annex'!G32</f>
        <v>0</v>
      </c>
      <c r="H32" s="1177">
        <f>'3-A. CI Sub-Annex'!H32</f>
        <v>0</v>
      </c>
      <c r="I32" s="1177">
        <f>'3-A. CI Sub-Annex'!I32</f>
        <v>0</v>
      </c>
      <c r="J32" s="1177">
        <f>'3-A. CI Sub-Annex'!J32</f>
        <v>0</v>
      </c>
      <c r="K32" s="1177">
        <f>'3-A. CI Sub-Annex'!K32</f>
        <v>0</v>
      </c>
      <c r="L32" s="1177">
        <f>'3-A. CI Sub-Annex'!L32</f>
        <v>200</v>
      </c>
      <c r="M32" s="162">
        <f>'3-A. CI Sub-Annex'!M32</f>
        <v>2E-3</v>
      </c>
      <c r="N32" s="1177">
        <f>'3-A. CI Sub-Annex'!N32</f>
        <v>1200</v>
      </c>
      <c r="O32" s="2822">
        <f>'3-A. CI Sub-Annex'!O32</f>
        <v>2.4</v>
      </c>
      <c r="P32" s="431" t="str">
        <f>'3-A. CI Sub-Annex'!P32</f>
        <v>Funds arenproposed for reporting of deaths women of reproductive age by ASHA on 104 call centre</v>
      </c>
      <c r="Q32" s="54" t="str">
        <f>'Ab1. RMNCH+A'!Q222</f>
        <v>Recommended for approvalRs. 2.40L for reporting the maternal death @ Rs. 200/reporting for 1200 estimated Maternal Deaths</v>
      </c>
      <c r="R32" s="2853">
        <f>'Ab1. RMNCH+A'!R222</f>
        <v>2.4</v>
      </c>
    </row>
    <row r="33" spans="1:18">
      <c r="A33" s="1933" t="str">
        <f>'3.Community Intervention Annexn'!A15</f>
        <v>3.1.1.1.5</v>
      </c>
      <c r="B33" s="1933">
        <f>'3-A. CI Sub-Annex'!B33</f>
        <v>0</v>
      </c>
      <c r="C33" s="1934" t="str">
        <f>'3-A. CI Sub-Annex'!C33</f>
        <v>Incentive for AH/ RKSK Services</v>
      </c>
      <c r="D33" s="1933"/>
      <c r="E33" s="1933"/>
      <c r="F33" s="1933"/>
      <c r="G33" s="1933"/>
      <c r="H33" s="1933"/>
      <c r="I33" s="1933"/>
      <c r="J33" s="1933"/>
      <c r="K33" s="1933"/>
      <c r="L33" s="1933"/>
      <c r="M33" s="1935"/>
      <c r="N33" s="1933"/>
      <c r="O33" s="2858"/>
      <c r="P33" s="1934"/>
      <c r="Q33" s="2846"/>
      <c r="R33" s="2851"/>
    </row>
    <row r="34" spans="1:18">
      <c r="A34" s="1177" t="e">
        <f>'3-A. CI Sub-Annex'!#REF!</f>
        <v>#REF!</v>
      </c>
      <c r="B34" s="1177" t="str">
        <f>'3-A. CI Sub-Annex'!B34</f>
        <v>B.1.1.3.4.1</v>
      </c>
      <c r="C34" s="431" t="str">
        <f>'3-A. CI Sub-Annex'!C34</f>
        <v>Incentive for support to Peer Educator</v>
      </c>
      <c r="D34" s="1170" t="str">
        <f>'3-A. CI Sub-Annex'!D34</f>
        <v>HSS</v>
      </c>
      <c r="E34" s="1177" t="str">
        <f>'3-A. CI Sub-Annex'!E34</f>
        <v>AH/NHSRC-CP</v>
      </c>
      <c r="F34" s="1177">
        <f>'3-A. CI Sub-Annex'!F34</f>
        <v>0</v>
      </c>
      <c r="G34" s="1177">
        <f>'3-A. CI Sub-Annex'!G34</f>
        <v>0</v>
      </c>
      <c r="H34" s="1177">
        <f>'3-A. CI Sub-Annex'!H34</f>
        <v>0</v>
      </c>
      <c r="I34" s="1177">
        <f>'3-A. CI Sub-Annex'!I34</f>
        <v>0.04</v>
      </c>
      <c r="J34" s="1177">
        <f>'3-A. CI Sub-Annex'!J34</f>
        <v>0</v>
      </c>
      <c r="K34" s="1177">
        <f>'3-A. CI Sub-Annex'!K34</f>
        <v>0</v>
      </c>
      <c r="L34" s="1177">
        <f>'3-A. CI Sub-Annex'!L34</f>
        <v>0</v>
      </c>
      <c r="M34" s="162">
        <f>'3-A. CI Sub-Annex'!M34</f>
        <v>0</v>
      </c>
      <c r="N34" s="1177">
        <f>'3-A. CI Sub-Annex'!N34</f>
        <v>0</v>
      </c>
      <c r="O34" s="2822">
        <f>'3-A. CI Sub-Annex'!O34</f>
        <v>0</v>
      </c>
      <c r="P34" s="431">
        <f>'3-A. CI Sub-Annex'!P34</f>
        <v>0</v>
      </c>
      <c r="Q34" s="54" t="str">
        <f>'Ab1. RMNCH+A'!Q299</f>
        <v>-</v>
      </c>
      <c r="R34" s="2853">
        <f>'Ab1. RMNCH+A'!R299</f>
        <v>0</v>
      </c>
    </row>
    <row r="35" spans="1:18" ht="30">
      <c r="A35" s="1177" t="e">
        <f>'3-A. CI Sub-Annex'!#REF!</f>
        <v>#REF!</v>
      </c>
      <c r="B35" s="1177" t="str">
        <f>'3-A. CI Sub-Annex'!B35</f>
        <v>B.1.1.3.4.2</v>
      </c>
      <c r="C35" s="431" t="str">
        <f>'3-A. CI Sub-Annex'!C35</f>
        <v>Incentive for mobilizing adolescents  and community for AHD</v>
      </c>
      <c r="D35" s="1170" t="str">
        <f>'3-A. CI Sub-Annex'!D35</f>
        <v>HSS</v>
      </c>
      <c r="E35" s="1177" t="str">
        <f>'3-A. CI Sub-Annex'!E35</f>
        <v>AH/NHSRC-CP</v>
      </c>
      <c r="F35" s="1177">
        <f>'3-A. CI Sub-Annex'!F35</f>
        <v>0</v>
      </c>
      <c r="G35" s="1177">
        <f>'3-A. CI Sub-Annex'!G35</f>
        <v>0</v>
      </c>
      <c r="H35" s="1177">
        <f>'3-A. CI Sub-Annex'!H35</f>
        <v>0</v>
      </c>
      <c r="I35" s="1177">
        <f>'3-A. CI Sub-Annex'!I35</f>
        <v>0</v>
      </c>
      <c r="J35" s="1177">
        <f>'3-A. CI Sub-Annex'!J35</f>
        <v>0</v>
      </c>
      <c r="K35" s="1177">
        <f>'3-A. CI Sub-Annex'!K35</f>
        <v>0</v>
      </c>
      <c r="L35" s="1177">
        <f>'3-A. CI Sub-Annex'!L35</f>
        <v>0</v>
      </c>
      <c r="M35" s="162">
        <f>'3-A. CI Sub-Annex'!M35</f>
        <v>0</v>
      </c>
      <c r="N35" s="1177">
        <f>'3-A. CI Sub-Annex'!N35</f>
        <v>0</v>
      </c>
      <c r="O35" s="2822">
        <f>'3-A. CI Sub-Annex'!O35</f>
        <v>0</v>
      </c>
      <c r="P35" s="431">
        <f>'3-A. CI Sub-Annex'!P35</f>
        <v>0</v>
      </c>
      <c r="Q35" s="54" t="str">
        <f>'Ab1. RMNCH+A'!Q300</f>
        <v>-</v>
      </c>
      <c r="R35" s="2853">
        <f>'Ab1. RMNCH+A'!R300</f>
        <v>0</v>
      </c>
    </row>
    <row r="36" spans="1:18">
      <c r="A36" s="1933" t="str">
        <f>'3.Community Intervention Annexn'!A16</f>
        <v>3.1.1.1.6</v>
      </c>
      <c r="B36" s="1933">
        <f>'3-A. CI Sub-Annex'!B36</f>
        <v>0</v>
      </c>
      <c r="C36" s="1934" t="str">
        <f>'3-A. CI Sub-Annex'!C36</f>
        <v>Any other ASHA incentives (please specify)</v>
      </c>
      <c r="D36" s="1933"/>
      <c r="E36" s="1933"/>
      <c r="F36" s="1933">
        <f>'3-A. CI Sub-Annex'!F36</f>
        <v>0</v>
      </c>
      <c r="G36" s="1933">
        <f>'3-A. CI Sub-Annex'!G36</f>
        <v>0</v>
      </c>
      <c r="H36" s="1933">
        <f>'3-A. CI Sub-Annex'!H36</f>
        <v>0</v>
      </c>
      <c r="I36" s="1933">
        <f>'3-A. CI Sub-Annex'!I36</f>
        <v>0</v>
      </c>
      <c r="J36" s="1933">
        <f>'3-A. CI Sub-Annex'!J36</f>
        <v>0</v>
      </c>
      <c r="K36" s="1933">
        <f>'3-A. CI Sub-Annex'!K36</f>
        <v>0</v>
      </c>
      <c r="L36" s="1933">
        <f>'3-A. CI Sub-Annex'!L36</f>
        <v>0</v>
      </c>
      <c r="M36" s="1935">
        <f>'3-A. CI Sub-Annex'!M36</f>
        <v>0</v>
      </c>
      <c r="N36" s="1933">
        <f>'3-A. CI Sub-Annex'!N36</f>
        <v>0</v>
      </c>
      <c r="O36" s="2858">
        <f>'3-A. CI Sub-Annex'!O36</f>
        <v>0</v>
      </c>
      <c r="P36" s="1934">
        <f>'3-A. CI Sub-Annex'!P36</f>
        <v>0</v>
      </c>
      <c r="Q36" s="2846"/>
      <c r="R36" s="2851"/>
    </row>
    <row r="37" spans="1:18" ht="195">
      <c r="A37" s="1933" t="str">
        <f>'3.Community Intervention Annexn'!A17</f>
        <v>3.1.1.2</v>
      </c>
      <c r="B37" s="1933" t="str">
        <f>'3-A. CI Sub-Annex'!B37</f>
        <v>D.5</v>
      </c>
      <c r="C37" s="1934" t="str">
        <f>'3-A. CI Sub-Annex'!C37</f>
        <v>ASHA Incentive under NIDDCP</v>
      </c>
      <c r="D37" s="1933" t="str">
        <f>'3-A. CI Sub-Annex'!D37</f>
        <v>RCH</v>
      </c>
      <c r="E37" s="1933" t="str">
        <f>'3-A. CI Sub-Annex'!E37</f>
        <v>NIDDCP/NHSRC-CP</v>
      </c>
      <c r="F37" s="1933">
        <f>'3-A. CI Sub-Annex'!F37</f>
        <v>7809</v>
      </c>
      <c r="G37" s="1933">
        <f>'3-A. CI Sub-Annex'!G37</f>
        <v>0</v>
      </c>
      <c r="H37" s="1933">
        <f>'3-A. CI Sub-Annex'!H37</f>
        <v>23.43</v>
      </c>
      <c r="I37" s="1933">
        <f>'3-A. CI Sub-Annex'!I37</f>
        <v>2.29</v>
      </c>
      <c r="J37" s="1933">
        <f>'3-A. CI Sub-Annex'!J37</f>
        <v>10</v>
      </c>
      <c r="K37" s="1933">
        <f>'3-A. CI Sub-Annex'!K37</f>
        <v>0</v>
      </c>
      <c r="L37" s="1933">
        <f>'3-A. CI Sub-Annex'!L37</f>
        <v>300</v>
      </c>
      <c r="M37" s="1935">
        <f>'3-A. CI Sub-Annex'!M37</f>
        <v>3.0000000000000001E-3</v>
      </c>
      <c r="N37" s="1933">
        <f>'3-A. CI Sub-Annex'!N37</f>
        <v>7809</v>
      </c>
      <c r="O37" s="2858">
        <f>'3-A. CI Sub-Annex'!O37</f>
        <v>23.427</v>
      </c>
      <c r="P37" s="1934" t="str">
        <f>'3-A. CI Sub-Annex'!P37</f>
        <v xml:space="preserve">State proposes for Asha Incentive for carrying out salt testing in 10 endemic district. Rs. 23.43 lakh fund is recommended for Asha Incentive @. 25/- per month (@ Rs. 0.50  for one salt sample test, at least 50 sample are to be tested in month for 12 month of 10 endemic district. </v>
      </c>
      <c r="Q37" s="2846" t="str">
        <f>'Ab2. NIDDCP'!Q7</f>
        <v>Under NIDDCP, ASHA has to monitor the quality of iodated salt at household/ community level by testing Salt through Salt Testing Kit in 10 endemic Districts (as identified by GOI) of the State. As proposed by the State, Rs.23.427 lakhs fund is recommended for ASHA incentive @ Rs. 25/- per month (@ Rs.0.50 for one salt sample test, at least 50 samples are to be tested in a month) for 12 months for 10 endemic Districts (as identified by GOI).</v>
      </c>
      <c r="R37" s="2854">
        <f>'Ab2. NIDDCP'!R7</f>
        <v>23.427</v>
      </c>
    </row>
    <row r="38" spans="1:18">
      <c r="A38" s="1933" t="str">
        <f>'3.Community Intervention Annexn'!A19</f>
        <v>3.1.1.3.1</v>
      </c>
      <c r="B38" s="1933">
        <f>'3-A. CI Sub-Annex'!B39</f>
        <v>0</v>
      </c>
      <c r="C38" s="1934" t="str">
        <f>'3-A. CI Sub-Annex'!C39</f>
        <v>Incentive for NVBDCP</v>
      </c>
      <c r="D38" s="1933"/>
      <c r="E38" s="1933"/>
      <c r="F38" s="1933"/>
      <c r="G38" s="1933"/>
      <c r="H38" s="1933"/>
      <c r="I38" s="1933"/>
      <c r="J38" s="1933"/>
      <c r="K38" s="1933"/>
      <c r="L38" s="1933"/>
      <c r="M38" s="1935"/>
      <c r="N38" s="1933"/>
      <c r="O38" s="2858"/>
      <c r="P38" s="1934"/>
      <c r="Q38" s="2846"/>
      <c r="R38" s="2851"/>
    </row>
    <row r="39" spans="1:18" ht="30">
      <c r="A39" s="1177" t="e">
        <f>'3-A. CI Sub-Annex'!#REF!</f>
        <v>#REF!</v>
      </c>
      <c r="B39" s="1177" t="str">
        <f>'3-A. CI Sub-Annex'!B40</f>
        <v>F.1.1.b</v>
      </c>
      <c r="C39" s="431" t="str">
        <f>'3-A. CI Sub-Annex'!C40</f>
        <v>ASHA Incentive/ Honorarium for Malaria and LLIN distribution</v>
      </c>
      <c r="D39" s="1170" t="str">
        <f>'3-A. CI Sub-Annex'!D40</f>
        <v>NDCP</v>
      </c>
      <c r="E39" s="1177" t="str">
        <f>'3-A. CI Sub-Annex'!E40</f>
        <v>NVBDCP-Malaria</v>
      </c>
      <c r="F39" s="1177" t="e">
        <f>'3-A. CI Sub-Annex'!#REF!</f>
        <v>#REF!</v>
      </c>
      <c r="G39" s="1177">
        <f>'3-A. CI Sub-Annex'!F40</f>
        <v>0</v>
      </c>
      <c r="H39" s="1177">
        <f>'3-A. CI Sub-Annex'!H40</f>
        <v>0</v>
      </c>
      <c r="I39" s="1177">
        <f>'3-A. CI Sub-Annex'!I40</f>
        <v>0</v>
      </c>
      <c r="J39" s="1177">
        <f>'3-A. CI Sub-Annex'!J40</f>
        <v>0</v>
      </c>
      <c r="K39" s="1177">
        <f>'3-A. CI Sub-Annex'!K40</f>
        <v>0</v>
      </c>
      <c r="L39" s="1177">
        <f>'3-A. CI Sub-Annex'!L40</f>
        <v>5</v>
      </c>
      <c r="M39" s="162">
        <f>'3-A. CI Sub-Annex'!M40</f>
        <v>5.0000000000000002E-5</v>
      </c>
      <c r="N39" s="1177">
        <f>'3-A. CI Sub-Annex'!N40</f>
        <v>10000</v>
      </c>
      <c r="O39" s="2822">
        <f>'3-A. CI Sub-Annex'!O40</f>
        <v>0.5</v>
      </c>
      <c r="P39" s="431">
        <f>'3-A. CI Sub-Annex'!P40</f>
        <v>0</v>
      </c>
      <c r="Q39" s="54" t="str">
        <f>'Abs9. NVBDCP'!Q15</f>
        <v>Activity Recommended</v>
      </c>
      <c r="R39" s="2853">
        <f>'Abs9. NVBDCP'!R15</f>
        <v>0.5</v>
      </c>
    </row>
    <row r="40" spans="1:18" ht="30">
      <c r="A40" s="1177" t="e">
        <f>'3-A. CI Sub-Annex'!#REF!</f>
        <v>#REF!</v>
      </c>
      <c r="B40" s="1177" t="str">
        <f>'3-A. CI Sub-Annex'!B41</f>
        <v>F.1.2.i</v>
      </c>
      <c r="C40" s="431" t="str">
        <f>'3-A. CI Sub-Annex'!C41</f>
        <v>ASHA Incentive for Dengue and Chikungunya</v>
      </c>
      <c r="D40" s="1170" t="str">
        <f>'3-A. CI Sub-Annex'!D41</f>
        <v>NDCP</v>
      </c>
      <c r="E40" s="1177" t="str">
        <f>'3-A. CI Sub-Annex'!E41</f>
        <v>NVBDCP-Dengue &amp; Chikungunya</v>
      </c>
      <c r="F40" s="1177" t="e">
        <f>'3-A. CI Sub-Annex'!#REF!</f>
        <v>#REF!</v>
      </c>
      <c r="G40" s="1177">
        <f>'3-A. CI Sub-Annex'!F41</f>
        <v>0</v>
      </c>
      <c r="H40" s="1177">
        <f>'3-A. CI Sub-Annex'!H41</f>
        <v>0</v>
      </c>
      <c r="I40" s="1177">
        <f>'3-A. CI Sub-Annex'!I41</f>
        <v>0</v>
      </c>
      <c r="J40" s="1177">
        <f>'3-A. CI Sub-Annex'!J41</f>
        <v>0</v>
      </c>
      <c r="K40" s="1177">
        <f>'3-A. CI Sub-Annex'!K41</f>
        <v>0</v>
      </c>
      <c r="L40" s="1177">
        <f>'3-A. CI Sub-Annex'!L41</f>
        <v>0</v>
      </c>
      <c r="M40" s="162">
        <f>'3-A. CI Sub-Annex'!M41</f>
        <v>0</v>
      </c>
      <c r="N40" s="1177">
        <f>'3-A. CI Sub-Annex'!N41</f>
        <v>0</v>
      </c>
      <c r="O40" s="2822">
        <f>'3-A. CI Sub-Annex'!O41</f>
        <v>0</v>
      </c>
      <c r="P40" s="431">
        <f>'3-A. CI Sub-Annex'!P41</f>
        <v>0</v>
      </c>
      <c r="Q40" s="54">
        <f>'Abs9. NVBDCP'!Q16</f>
        <v>0</v>
      </c>
      <c r="R40" s="2853">
        <f>'Abs9. NVBDCP'!R16</f>
        <v>0</v>
      </c>
    </row>
    <row r="41" spans="1:18" ht="30">
      <c r="A41" s="1177" t="e">
        <f>'3-A. CI Sub-Annex'!#REF!</f>
        <v>#REF!</v>
      </c>
      <c r="B41" s="1177" t="str">
        <f>'3-A. CI Sub-Annex'!B42</f>
        <v>F.1.3.k</v>
      </c>
      <c r="C41" s="431" t="str">
        <f>'3-A. CI Sub-Annex'!C42</f>
        <v xml:space="preserve">ASHA Incentivization for sensitizing community for AES/JE </v>
      </c>
      <c r="D41" s="1170" t="str">
        <f>'3-A. CI Sub-Annex'!D42</f>
        <v>NDCP</v>
      </c>
      <c r="E41" s="1177" t="str">
        <f>'3-A. CI Sub-Annex'!E42</f>
        <v>NVBDCP-AES/JE</v>
      </c>
      <c r="F41" s="1177" t="e">
        <f>'3-A. CI Sub-Annex'!#REF!</f>
        <v>#REF!</v>
      </c>
      <c r="G41" s="1177">
        <f>'3-A. CI Sub-Annex'!F42</f>
        <v>0</v>
      </c>
      <c r="H41" s="1177">
        <f>'3-A. CI Sub-Annex'!H42</f>
        <v>0</v>
      </c>
      <c r="I41" s="1177">
        <f>'3-A. CI Sub-Annex'!I42</f>
        <v>0</v>
      </c>
      <c r="J41" s="1177">
        <f>'3-A. CI Sub-Annex'!J42</f>
        <v>0</v>
      </c>
      <c r="K41" s="1177">
        <f>'3-A. CI Sub-Annex'!K42</f>
        <v>0</v>
      </c>
      <c r="L41" s="1177">
        <f>'3-A. CI Sub-Annex'!L42</f>
        <v>0</v>
      </c>
      <c r="M41" s="162">
        <f>'3-A. CI Sub-Annex'!M42</f>
        <v>0</v>
      </c>
      <c r="N41" s="1177">
        <f>'3-A. CI Sub-Annex'!N42</f>
        <v>0</v>
      </c>
      <c r="O41" s="2822">
        <f>'3-A. CI Sub-Annex'!O42</f>
        <v>0</v>
      </c>
      <c r="P41" s="431">
        <f>'3-A. CI Sub-Annex'!P42</f>
        <v>0</v>
      </c>
      <c r="Q41" s="54">
        <f>'Abs9. NVBDCP'!Q17</f>
        <v>0</v>
      </c>
      <c r="R41" s="2853">
        <f>'Abs9. NVBDCP'!R17</f>
        <v>0</v>
      </c>
    </row>
    <row r="42" spans="1:18" ht="30">
      <c r="A42" s="1177" t="e">
        <f>'3-A. CI Sub-Annex'!#REF!</f>
        <v>#REF!</v>
      </c>
      <c r="B42" s="1177" t="str">
        <f>'3-A. CI Sub-Annex'!B43</f>
        <v>F.1.3.m</v>
      </c>
      <c r="C42" s="431" t="str">
        <f>'3-A. CI Sub-Annex'!C43</f>
        <v>ASHA incentive for referral of AES/JE cases to the nearest CHC/DH/Medical College</v>
      </c>
      <c r="D42" s="1170" t="str">
        <f>'3-A. CI Sub-Annex'!D43</f>
        <v>NDCP</v>
      </c>
      <c r="E42" s="1177" t="str">
        <f>'3-A. CI Sub-Annex'!E43</f>
        <v>NVBDCP-AES/JE</v>
      </c>
      <c r="F42" s="1177" t="e">
        <f>'3-A. CI Sub-Annex'!#REF!</f>
        <v>#REF!</v>
      </c>
      <c r="G42" s="1177">
        <f>'3-A. CI Sub-Annex'!F43</f>
        <v>10000</v>
      </c>
      <c r="H42" s="1177">
        <f>'3-A. CI Sub-Annex'!H43</f>
        <v>1</v>
      </c>
      <c r="I42" s="1177">
        <f>'3-A. CI Sub-Annex'!I43</f>
        <v>0</v>
      </c>
      <c r="J42" s="1177">
        <f>'3-A. CI Sub-Annex'!J43</f>
        <v>0.5</v>
      </c>
      <c r="K42" s="1177">
        <f>'3-A. CI Sub-Annex'!K43</f>
        <v>0</v>
      </c>
      <c r="L42" s="1177">
        <f>'3-A. CI Sub-Annex'!L43</f>
        <v>0</v>
      </c>
      <c r="M42" s="162">
        <f>'3-A. CI Sub-Annex'!M43</f>
        <v>0</v>
      </c>
      <c r="N42" s="1177">
        <f>'3-A. CI Sub-Annex'!N43</f>
        <v>0</v>
      </c>
      <c r="O42" s="2822">
        <f>'3-A. CI Sub-Annex'!O43</f>
        <v>0</v>
      </c>
      <c r="P42" s="431">
        <f>'3-A. CI Sub-Annex'!P43</f>
        <v>0</v>
      </c>
      <c r="Q42" s="54">
        <f>'Abs9. NVBDCP'!Q18</f>
        <v>0</v>
      </c>
      <c r="R42" s="2853">
        <f>'Abs9. NVBDCP'!R18</f>
        <v>0</v>
      </c>
    </row>
    <row r="43" spans="1:18" s="1938" customFormat="1" ht="30">
      <c r="A43" s="1177" t="e">
        <f>'3-A. CI Sub-Annex'!#REF!</f>
        <v>#REF!</v>
      </c>
      <c r="B43" s="1177" t="str">
        <f>'3-A. CI Sub-Annex'!B44</f>
        <v>F.1.4.e</v>
      </c>
      <c r="C43" s="431" t="str">
        <f>'3-A. CI Sub-Annex'!C44</f>
        <v>Honorarium  for Drug Distribution including ASHAs and supervisors involved in MDA</v>
      </c>
      <c r="D43" s="1170" t="str">
        <f>'3-A. CI Sub-Annex'!D44</f>
        <v>NDCP</v>
      </c>
      <c r="E43" s="1177" t="str">
        <f>'3-A. CI Sub-Annex'!E44</f>
        <v>NVBDCP-Lymphatic Filariasis</v>
      </c>
      <c r="F43" s="1177" t="e">
        <f>'3-A. CI Sub-Annex'!#REF!</f>
        <v>#REF!</v>
      </c>
      <c r="G43" s="1177">
        <f>'3-A. CI Sub-Annex'!F44</f>
        <v>0</v>
      </c>
      <c r="H43" s="1177">
        <f>'3-A. CI Sub-Annex'!H44</f>
        <v>0</v>
      </c>
      <c r="I43" s="1177">
        <f>'3-A. CI Sub-Annex'!I44</f>
        <v>0</v>
      </c>
      <c r="J43" s="1177">
        <f>'3-A. CI Sub-Annex'!J44</f>
        <v>0</v>
      </c>
      <c r="K43" s="1177">
        <f>'3-A. CI Sub-Annex'!K44</f>
        <v>0</v>
      </c>
      <c r="L43" s="1177">
        <f>'3-A. CI Sub-Annex'!L44</f>
        <v>0</v>
      </c>
      <c r="M43" s="162">
        <f>'3-A. CI Sub-Annex'!M44</f>
        <v>0</v>
      </c>
      <c r="N43" s="1177">
        <f>'3-A. CI Sub-Annex'!N44</f>
        <v>0</v>
      </c>
      <c r="O43" s="2822">
        <f>'3-A. CI Sub-Annex'!O44</f>
        <v>0</v>
      </c>
      <c r="P43" s="431">
        <f>'3-A. CI Sub-Annex'!P44</f>
        <v>0</v>
      </c>
      <c r="Q43" s="54">
        <f>'Abs9. NVBDCP'!Q19</f>
        <v>0</v>
      </c>
      <c r="R43" s="2853">
        <f>'Abs9. NVBDCP'!R19</f>
        <v>0</v>
      </c>
    </row>
    <row r="44" spans="1:18" ht="45">
      <c r="A44" s="1177" t="e">
        <f>'3-A. CI Sub-Annex'!#REF!</f>
        <v>#REF!</v>
      </c>
      <c r="B44" s="1177" t="str">
        <f>'3-A. CI Sub-Annex'!B45</f>
        <v>F.1.4.i</v>
      </c>
      <c r="C44" s="431" t="str">
        <f>'3-A. CI Sub-Annex'!C45</f>
        <v>ASHA incentive for one time line listing of Lymphoedema and Hydrocele cases in non-endemic dist.</v>
      </c>
      <c r="D44" s="1170" t="str">
        <f>'3-A. CI Sub-Annex'!D45</f>
        <v>NDCP</v>
      </c>
      <c r="E44" s="1177" t="str">
        <f>'3-A. CI Sub-Annex'!E45</f>
        <v>NVBDCP-Lymphatic Filariasis</v>
      </c>
      <c r="F44" s="1177" t="e">
        <f>'3-A. CI Sub-Annex'!#REF!</f>
        <v>#REF!</v>
      </c>
      <c r="G44" s="1177">
        <f>'3-A. CI Sub-Annex'!F45</f>
        <v>0</v>
      </c>
      <c r="H44" s="1177">
        <f>'3-A. CI Sub-Annex'!H45</f>
        <v>0</v>
      </c>
      <c r="I44" s="1177">
        <f>'3-A. CI Sub-Annex'!I45</f>
        <v>0</v>
      </c>
      <c r="J44" s="1177">
        <f>'3-A. CI Sub-Annex'!J45</f>
        <v>0</v>
      </c>
      <c r="K44" s="1177">
        <f>'3-A. CI Sub-Annex'!K45</f>
        <v>0</v>
      </c>
      <c r="L44" s="1177">
        <f>'3-A. CI Sub-Annex'!L45</f>
        <v>0</v>
      </c>
      <c r="M44" s="162">
        <f>'3-A. CI Sub-Annex'!M45</f>
        <v>0</v>
      </c>
      <c r="N44" s="1177">
        <f>'3-A. CI Sub-Annex'!N45</f>
        <v>0</v>
      </c>
      <c r="O44" s="2822">
        <f>'3-A. CI Sub-Annex'!O45</f>
        <v>0</v>
      </c>
      <c r="P44" s="431">
        <f>'3-A. CI Sub-Annex'!P45</f>
        <v>0</v>
      </c>
      <c r="Q44" s="54">
        <f>'Abs9. NVBDCP'!Q20</f>
        <v>0</v>
      </c>
      <c r="R44" s="2853">
        <f>'Abs9. NVBDCP'!R20</f>
        <v>0</v>
      </c>
    </row>
    <row r="45" spans="1:18" ht="45">
      <c r="A45" s="1177" t="e">
        <f>'3-A. CI Sub-Annex'!#REF!</f>
        <v>#REF!</v>
      </c>
      <c r="B45" s="1177">
        <f>'3-A. CI Sub-Annex'!B46</f>
        <v>0</v>
      </c>
      <c r="C45" s="431" t="str">
        <f>'3-A. CI Sub-Annex'!C46</f>
        <v>ASHA incentive for supporting IRS / sensitizing community to accept IRS and Referral / Ensuring treatment for Kala-azar cases</v>
      </c>
      <c r="D45" s="1170" t="str">
        <f>'3-A. CI Sub-Annex'!D46</f>
        <v>NDCP</v>
      </c>
      <c r="E45" s="1177" t="str">
        <f>'3-A. CI Sub-Annex'!E46</f>
        <v>NVBDCP- Kala-azar</v>
      </c>
      <c r="F45" s="1177" t="e">
        <f>'3-A. CI Sub-Annex'!#REF!</f>
        <v>#REF!</v>
      </c>
      <c r="G45" s="1177">
        <f>'3-A. CI Sub-Annex'!F46</f>
        <v>0</v>
      </c>
      <c r="H45" s="1177">
        <f>'3-A. CI Sub-Annex'!H46</f>
        <v>0</v>
      </c>
      <c r="I45" s="1177">
        <f>'3-A. CI Sub-Annex'!I46</f>
        <v>0</v>
      </c>
      <c r="J45" s="1177">
        <f>'3-A. CI Sub-Annex'!J46</f>
        <v>0</v>
      </c>
      <c r="K45" s="1177">
        <f>'3-A. CI Sub-Annex'!K46</f>
        <v>0</v>
      </c>
      <c r="L45" s="1177">
        <f>'3-A. CI Sub-Annex'!L46</f>
        <v>0</v>
      </c>
      <c r="M45" s="162">
        <f>'3-A. CI Sub-Annex'!M46</f>
        <v>0</v>
      </c>
      <c r="N45" s="1177">
        <f>'3-A. CI Sub-Annex'!N46</f>
        <v>0</v>
      </c>
      <c r="O45" s="2822">
        <f>'3-A. CI Sub-Annex'!O46</f>
        <v>0</v>
      </c>
      <c r="P45" s="431">
        <f>'3-A. CI Sub-Annex'!P46</f>
        <v>0</v>
      </c>
      <c r="Q45" s="54">
        <f>'Abs9. NVBDCP'!Q21</f>
        <v>0</v>
      </c>
      <c r="R45" s="2853">
        <f>'Abs9. NVBDCP'!R21</f>
        <v>0</v>
      </c>
    </row>
    <row r="46" spans="1:18">
      <c r="A46" s="1933" t="str">
        <f>'3.Community Intervention Annexn'!A20</f>
        <v>3.1.1.3.2</v>
      </c>
      <c r="B46" s="1933" t="str">
        <f>'3-A. CI Sub-Annex'!B47</f>
        <v>G.1.3.a</v>
      </c>
      <c r="C46" s="1934" t="str">
        <f>'3-A. CI Sub-Annex'!C47</f>
        <v>ASHA Involvement under NLEP</v>
      </c>
      <c r="D46" s="1933"/>
      <c r="E46" s="1933"/>
      <c r="F46" s="1933"/>
      <c r="G46" s="1933"/>
      <c r="H46" s="1933"/>
      <c r="I46" s="1933"/>
      <c r="J46" s="1933"/>
      <c r="K46" s="1933"/>
      <c r="L46" s="1933"/>
      <c r="M46" s="1935"/>
      <c r="N46" s="1933"/>
      <c r="O46" s="2858"/>
      <c r="P46" s="1934"/>
      <c r="Q46" s="2846"/>
      <c r="R46" s="2851"/>
    </row>
    <row r="47" spans="1:18" ht="60">
      <c r="A47" s="1177" t="e">
        <f>'3-A. CI Sub-Annex'!#REF!</f>
        <v>#REF!</v>
      </c>
      <c r="B47" s="1177" t="str">
        <f>'3-A. CI Sub-Annex'!B48</f>
        <v>G.1.3.b.i</v>
      </c>
      <c r="C47" s="431" t="str">
        <f>'3-A. CI Sub-Annex'!C48</f>
        <v>Incentive for ASHA/AWW/Volunteer/etc for detection of Leprosy (Rs 250 for detection of an early case before onset of any visible deformity, Rs 200 for detection of new case with visible deformity in hands, feet or eye)</v>
      </c>
      <c r="D47" s="1170" t="str">
        <f>'3-A. CI Sub-Annex'!D48</f>
        <v>NDCP</v>
      </c>
      <c r="E47" s="1177" t="str">
        <f>'3-A. CI Sub-Annex'!E48</f>
        <v>NLEP/NHSRC-CP</v>
      </c>
      <c r="F47" s="1177">
        <f>'3-A. CI Sub-Annex'!F48</f>
        <v>50</v>
      </c>
      <c r="G47" s="1177">
        <f>'3-A. CI Sub-Annex'!G48</f>
        <v>13</v>
      </c>
      <c r="H47" s="1177">
        <f>'3-A. CI Sub-Annex'!H48</f>
        <v>0.13</v>
      </c>
      <c r="I47" s="1177">
        <f>'3-A. CI Sub-Annex'!I48</f>
        <v>0</v>
      </c>
      <c r="J47" s="1177">
        <f>'3-A. CI Sub-Annex'!J48</f>
        <v>0.13</v>
      </c>
      <c r="K47" s="1177">
        <f>'3-A. CI Sub-Annex'!K48</f>
        <v>0</v>
      </c>
      <c r="L47" s="1177">
        <f>'3-A. CI Sub-Annex'!L48</f>
        <v>250</v>
      </c>
      <c r="M47" s="162">
        <f>'3-A. CI Sub-Annex'!M48</f>
        <v>2.5000000000000001E-3</v>
      </c>
      <c r="N47" s="1177">
        <f>'3-A. CI Sub-Annex'!N48</f>
        <v>50</v>
      </c>
      <c r="O47" s="2822">
        <f>'3-A. CI Sub-Annex'!O48</f>
        <v>0.125</v>
      </c>
      <c r="P47" s="431" t="str">
        <f>'3-A. CI Sub-Annex'!P48</f>
        <v>Funds for ASHA workers as incentive for detection of leprosy cases proposed</v>
      </c>
      <c r="Q47" s="54" t="str">
        <f>'Abs10. NLEP'!Q13</f>
        <v xml:space="preserve">Recommended </v>
      </c>
      <c r="R47" s="2853">
        <f>'Abs10. NLEP'!R13</f>
        <v>0.13</v>
      </c>
    </row>
    <row r="48" spans="1:18" ht="60">
      <c r="A48" s="1177" t="e">
        <f>'3-A. CI Sub-Annex'!#REF!</f>
        <v>#REF!</v>
      </c>
      <c r="B48" s="1177" t="str">
        <f>'3-A. CI Sub-Annex'!B49</f>
        <v>G.1.3.b.ii</v>
      </c>
      <c r="C48" s="431" t="str">
        <f>'3-A. CI Sub-Annex'!C49</f>
        <v>ASHA Incentive for Treatment completion of PB cases (@ Rs 400)</v>
      </c>
      <c r="D48" s="1170" t="str">
        <f>'3-A. CI Sub-Annex'!D49</f>
        <v>NDCP</v>
      </c>
      <c r="E48" s="1177" t="str">
        <f>'3-A. CI Sub-Annex'!E49</f>
        <v>NLEP/NHSRC-CP</v>
      </c>
      <c r="F48" s="1177">
        <f>'3-A. CI Sub-Annex'!F49</f>
        <v>35</v>
      </c>
      <c r="G48" s="1177">
        <f>'3-A. CI Sub-Annex'!G49</f>
        <v>3</v>
      </c>
      <c r="H48" s="1177">
        <f>'3-A. CI Sub-Annex'!H49</f>
        <v>0.14000000000000001</v>
      </c>
      <c r="I48" s="1177">
        <f>'3-A. CI Sub-Annex'!I49</f>
        <v>0</v>
      </c>
      <c r="J48" s="1177">
        <f>'3-A. CI Sub-Annex'!J49</f>
        <v>0.14000000000000001</v>
      </c>
      <c r="K48" s="1177">
        <f>'3-A. CI Sub-Annex'!K49</f>
        <v>0</v>
      </c>
      <c r="L48" s="1177">
        <f>'3-A. CI Sub-Annex'!L49</f>
        <v>400</v>
      </c>
      <c r="M48" s="162">
        <f>'3-A. CI Sub-Annex'!M49</f>
        <v>4.0000000000000001E-3</v>
      </c>
      <c r="N48" s="1177">
        <f>'3-A. CI Sub-Annex'!N49</f>
        <v>20</v>
      </c>
      <c r="O48" s="2822">
        <f>'3-A. CI Sub-Annex'!O49</f>
        <v>0.08</v>
      </c>
      <c r="P48" s="431" t="str">
        <f>'3-A. CI Sub-Annex'!P49</f>
        <v>Funds for ASHA workers as incentive for PB Cases (Treatment completion) proposed</v>
      </c>
      <c r="Q48" s="54" t="str">
        <f>'Abs10. NLEP'!Q14</f>
        <v xml:space="preserve">recommended </v>
      </c>
      <c r="R48" s="2853">
        <f>'Abs10. NLEP'!R14</f>
        <v>0.08</v>
      </c>
    </row>
    <row r="49" spans="1:18" ht="60">
      <c r="A49" s="1177" t="e">
        <f>'3-A. CI Sub-Annex'!#REF!</f>
        <v>#REF!</v>
      </c>
      <c r="B49" s="1177" t="str">
        <f>'3-A. CI Sub-Annex'!B50</f>
        <v>G.1.3.b.iii</v>
      </c>
      <c r="C49" s="431" t="str">
        <f>'3-A. CI Sub-Annex'!C50</f>
        <v>ASHA Incentive for Treatment completion of MB cases (@ Rs 600)</v>
      </c>
      <c r="D49" s="1170" t="str">
        <f>'3-A. CI Sub-Annex'!D50</f>
        <v>NDCP</v>
      </c>
      <c r="E49" s="1177" t="str">
        <f>'3-A. CI Sub-Annex'!E50</f>
        <v>NLEP/NHSRC-CP</v>
      </c>
      <c r="F49" s="1177">
        <f>'3-A. CI Sub-Annex'!F50</f>
        <v>15</v>
      </c>
      <c r="G49" s="1177">
        <f>'3-A. CI Sub-Annex'!G50</f>
        <v>16</v>
      </c>
      <c r="H49" s="1177">
        <f>'3-A. CI Sub-Annex'!H50</f>
        <v>0.08</v>
      </c>
      <c r="I49" s="1177">
        <f>'3-A. CI Sub-Annex'!I50</f>
        <v>0</v>
      </c>
      <c r="J49" s="1177">
        <f>'3-A. CI Sub-Annex'!J50</f>
        <v>0.08</v>
      </c>
      <c r="K49" s="1177">
        <f>'3-A. CI Sub-Annex'!K50</f>
        <v>0</v>
      </c>
      <c r="L49" s="1177">
        <f>'3-A. CI Sub-Annex'!L50</f>
        <v>600</v>
      </c>
      <c r="M49" s="162">
        <f>'3-A. CI Sub-Annex'!M50</f>
        <v>6.0000000000000001E-3</v>
      </c>
      <c r="N49" s="1177">
        <f>'3-A. CI Sub-Annex'!N50</f>
        <v>80</v>
      </c>
      <c r="O49" s="2822">
        <f>'3-A. CI Sub-Annex'!O50</f>
        <v>0.48</v>
      </c>
      <c r="P49" s="431" t="str">
        <f>'3-A. CI Sub-Annex'!P50</f>
        <v>Funds for ASHA workers as incentive for MB Cases (Treatment completion) proposed</v>
      </c>
      <c r="Q49" s="54" t="str">
        <f>'Abs10. NLEP'!Q15</f>
        <v xml:space="preserve">Recommended for remaining 30 MB cases </v>
      </c>
      <c r="R49" s="2853">
        <f>'Abs10. NLEP'!R15</f>
        <v>0.18</v>
      </c>
    </row>
    <row r="50" spans="1:18">
      <c r="A50" s="1933" t="str">
        <f>'3.Community Intervention Annexn'!A21</f>
        <v>3.1.1.3.3</v>
      </c>
      <c r="B50" s="1933">
        <f>'3-A. CI Sub-Annex'!B51</f>
        <v>0</v>
      </c>
      <c r="C50" s="1934" t="str">
        <f>'3-A. CI Sub-Annex'!C51</f>
        <v>Any other ASHA incentives (please specify)</v>
      </c>
      <c r="D50" s="1933" t="str">
        <f>'3-A. CI Sub-Annex'!D51</f>
        <v>NDCP</v>
      </c>
      <c r="E50" s="1933" t="str">
        <f>'3-A. CI Sub-Annex'!E51</f>
        <v>NHSRC-CP</v>
      </c>
      <c r="F50" s="1933">
        <f>'3-A. CI Sub-Annex'!F51</f>
        <v>0</v>
      </c>
      <c r="G50" s="1933">
        <f>'3-A. CI Sub-Annex'!G51</f>
        <v>0</v>
      </c>
      <c r="H50" s="1933">
        <f>'3-A. CI Sub-Annex'!H51</f>
        <v>0</v>
      </c>
      <c r="I50" s="1933">
        <f>'3-A. CI Sub-Annex'!I51</f>
        <v>0</v>
      </c>
      <c r="J50" s="1933">
        <f>'3-A. CI Sub-Annex'!J51</f>
        <v>0</v>
      </c>
      <c r="K50" s="1933">
        <f>'3-A. CI Sub-Annex'!K51</f>
        <v>0</v>
      </c>
      <c r="L50" s="1933">
        <f>'3-A. CI Sub-Annex'!L51</f>
        <v>0</v>
      </c>
      <c r="M50" s="1935">
        <f>'3-A. CI Sub-Annex'!M51</f>
        <v>0</v>
      </c>
      <c r="N50" s="1933">
        <f>'3-A. CI Sub-Annex'!N51</f>
        <v>0</v>
      </c>
      <c r="O50" s="2858">
        <f>'3-A. CI Sub-Annex'!O51</f>
        <v>0</v>
      </c>
      <c r="P50" s="1934">
        <f>'3-A. CI Sub-Annex'!P51</f>
        <v>0</v>
      </c>
      <c r="Q50" s="2846"/>
      <c r="R50" s="2851"/>
    </row>
    <row r="51" spans="1:18">
      <c r="A51" s="1933" t="str">
        <f>'3.Community Intervention Annexn'!A22</f>
        <v>3.1.1.4</v>
      </c>
      <c r="B51" s="1933">
        <f>'3-A. CI Sub-Annex'!B53</f>
        <v>0</v>
      </c>
      <c r="C51" s="1934" t="str">
        <f>'3-A. CI Sub-Annex'!C53</f>
        <v>Incentive for NCDs</v>
      </c>
      <c r="D51" s="1933"/>
      <c r="E51" s="1933"/>
      <c r="F51" s="1933"/>
      <c r="G51" s="1933"/>
      <c r="H51" s="1933"/>
      <c r="I51" s="1933"/>
      <c r="J51" s="1933"/>
      <c r="K51" s="1933"/>
      <c r="L51" s="1933"/>
      <c r="M51" s="1935"/>
      <c r="N51" s="1933"/>
      <c r="O51" s="2858"/>
      <c r="P51" s="1934"/>
      <c r="Q51" s="2846"/>
      <c r="R51" s="2851"/>
    </row>
    <row r="52" spans="1:18" ht="105">
      <c r="A52" s="1177" t="e">
        <f>'3-A. CI Sub-Annex'!#REF!</f>
        <v>#REF!</v>
      </c>
      <c r="B52" s="1177">
        <f>'3-A. CI Sub-Annex'!B54</f>
        <v>0</v>
      </c>
      <c r="C52" s="431" t="str">
        <f>'3-A. CI Sub-Annex'!C54</f>
        <v xml:space="preserve">Filling up of CBAC form and mobilizing for NCD screening </v>
      </c>
      <c r="D52" s="1170" t="str">
        <f>'3-A. CI Sub-Annex'!D54</f>
        <v>HSS</v>
      </c>
      <c r="E52" s="1177" t="str">
        <f>'3-A. CI Sub-Annex'!E54</f>
        <v>NHSRC-CP</v>
      </c>
      <c r="F52" s="1177">
        <f>'3-A. CI Sub-Annex'!F54</f>
        <v>0</v>
      </c>
      <c r="G52" s="1177">
        <f>'3-A. CI Sub-Annex'!G54</f>
        <v>0</v>
      </c>
      <c r="H52" s="1177">
        <f>'3-A. CI Sub-Annex'!H54</f>
        <v>0</v>
      </c>
      <c r="I52" s="1177">
        <f>'3-A. CI Sub-Annex'!I54</f>
        <v>0</v>
      </c>
      <c r="J52" s="1177">
        <f>'3-A. CI Sub-Annex'!J54</f>
        <v>0</v>
      </c>
      <c r="K52" s="1177">
        <f>'3-A. CI Sub-Annex'!K54</f>
        <v>1</v>
      </c>
      <c r="L52" s="1177">
        <f>'3-A. CI Sub-Annex'!L54</f>
        <v>10</v>
      </c>
      <c r="M52" s="162">
        <f>'3-A. CI Sub-Annex'!M54</f>
        <v>1E-4</v>
      </c>
      <c r="N52" s="1177">
        <f>'3-A. CI Sub-Annex'!N54</f>
        <v>2100000</v>
      </c>
      <c r="O52" s="2822">
        <f>'3-A. CI Sub-Annex'!O54</f>
        <v>210</v>
      </c>
      <c r="P52" s="431" t="str">
        <f>'3-A. CI Sub-Annex'!P54</f>
        <v>Filling of CBAC form of 21 lakh individuals @ 10 rupees per form. Total amount required 2.1 crore</v>
      </c>
      <c r="Q52" s="54" t="s">
        <v>5799</v>
      </c>
      <c r="R52" s="2852">
        <v>210</v>
      </c>
    </row>
    <row r="53" spans="1:18" ht="105">
      <c r="A53" s="1177" t="e">
        <f>'3-A. CI Sub-Annex'!#REF!</f>
        <v>#REF!</v>
      </c>
      <c r="B53" s="1177">
        <f>'3-A. CI Sub-Annex'!B55</f>
        <v>0</v>
      </c>
      <c r="C53" s="431" t="str">
        <f>'3-A. CI Sub-Annex'!C55</f>
        <v xml:space="preserve">Follow up of NCD patients for treatment initiation and compliance </v>
      </c>
      <c r="D53" s="1170" t="str">
        <f>'3-A. CI Sub-Annex'!D55</f>
        <v>HSS</v>
      </c>
      <c r="E53" s="1177" t="str">
        <f>'3-A. CI Sub-Annex'!E55</f>
        <v>NHSRC-CP</v>
      </c>
      <c r="F53" s="1177">
        <f>'3-A. CI Sub-Annex'!F55</f>
        <v>0</v>
      </c>
      <c r="G53" s="1177">
        <f>'3-A. CI Sub-Annex'!G55</f>
        <v>0</v>
      </c>
      <c r="H53" s="1177">
        <f>'3-A. CI Sub-Annex'!H55</f>
        <v>0</v>
      </c>
      <c r="I53" s="1177">
        <f>'3-A. CI Sub-Annex'!I55</f>
        <v>0</v>
      </c>
      <c r="J53" s="1177">
        <f>'3-A. CI Sub-Annex'!J55</f>
        <v>0</v>
      </c>
      <c r="K53" s="1177">
        <f>'3-A. CI Sub-Annex'!K55</f>
        <v>0</v>
      </c>
      <c r="L53" s="1177">
        <f>'3-A. CI Sub-Annex'!L55</f>
        <v>100</v>
      </c>
      <c r="M53" s="162">
        <f>'3-A. CI Sub-Annex'!M55</f>
        <v>1E-3</v>
      </c>
      <c r="N53" s="1177">
        <f>'3-A. CI Sub-Annex'!N55</f>
        <v>50000</v>
      </c>
      <c r="O53" s="2822">
        <f>'3-A. CI Sub-Annex'!O55</f>
        <v>50</v>
      </c>
      <c r="P53" s="431" t="str">
        <f>'3-A. CI Sub-Annex'!P55</f>
        <v>Follow up of 50000 individuals @ 100 per follow up      100x50000=50 lakh</v>
      </c>
      <c r="Q53" s="54" t="s">
        <v>5800</v>
      </c>
      <c r="R53" s="2852">
        <v>50</v>
      </c>
    </row>
    <row r="54" spans="1:18">
      <c r="A54" s="1177" t="e">
        <f>'3-A. CI Sub-Annex'!#REF!</f>
        <v>#REF!</v>
      </c>
      <c r="B54" s="1177">
        <f>'3-A. CI Sub-Annex'!B56</f>
        <v>0</v>
      </c>
      <c r="C54" s="431" t="str">
        <f>'3-A. CI Sub-Annex'!C56</f>
        <v>Any other ASHA incentives (please specify)</v>
      </c>
      <c r="D54" s="1170" t="str">
        <f>'3-A. CI Sub-Annex'!D56</f>
        <v>HSS</v>
      </c>
      <c r="E54" s="1177" t="str">
        <f>'3-A. CI Sub-Annex'!E56</f>
        <v>NHSRC-CP</v>
      </c>
      <c r="F54" s="1177">
        <f>'3-A. CI Sub-Annex'!F56</f>
        <v>0</v>
      </c>
      <c r="G54" s="1177">
        <f>'3-A. CI Sub-Annex'!G56</f>
        <v>0</v>
      </c>
      <c r="H54" s="1177">
        <f>'3-A. CI Sub-Annex'!H56</f>
        <v>0</v>
      </c>
      <c r="I54" s="1177">
        <f>'3-A. CI Sub-Annex'!I56</f>
        <v>0</v>
      </c>
      <c r="J54" s="1177">
        <f>'3-A. CI Sub-Annex'!J56</f>
        <v>0</v>
      </c>
      <c r="K54" s="1177">
        <f>'3-A. CI Sub-Annex'!K56</f>
        <v>0</v>
      </c>
      <c r="L54" s="1177">
        <f>'3-A. CI Sub-Annex'!L56</f>
        <v>0</v>
      </c>
      <c r="M54" s="162">
        <f>'3-A. CI Sub-Annex'!M56</f>
        <v>0</v>
      </c>
      <c r="N54" s="1177">
        <f>'3-A. CI Sub-Annex'!N56</f>
        <v>0</v>
      </c>
      <c r="O54" s="2822">
        <f>'3-A. CI Sub-Annex'!O56</f>
        <v>0</v>
      </c>
      <c r="P54" s="431">
        <f>'3-A. CI Sub-Annex'!P56</f>
        <v>0</v>
      </c>
      <c r="Q54" s="54"/>
      <c r="R54" s="2852"/>
    </row>
    <row r="55" spans="1:18">
      <c r="A55" s="1939" t="str">
        <f>'3.Community Intervention Annexn'!A24</f>
        <v>3.1.1.6</v>
      </c>
      <c r="B55" s="1933"/>
      <c r="C55" s="1934" t="e">
        <f>'3-A. CI Sub-Annex'!#REF!</f>
        <v>#REF!</v>
      </c>
      <c r="D55" s="1933"/>
      <c r="E55" s="1933"/>
      <c r="F55" s="1933"/>
      <c r="G55" s="1933"/>
      <c r="H55" s="1933"/>
      <c r="I55" s="1933"/>
      <c r="J55" s="1933"/>
      <c r="K55" s="1933"/>
      <c r="L55" s="1933"/>
      <c r="M55" s="1935"/>
      <c r="N55" s="1933"/>
      <c r="O55" s="2858"/>
      <c r="P55" s="1934"/>
      <c r="Q55" s="2846"/>
      <c r="R55" s="2851"/>
    </row>
    <row r="56" spans="1:18" ht="75">
      <c r="A56" s="1177" t="e">
        <f>'3-A. CI Sub-Annex'!#REF!</f>
        <v>#REF!</v>
      </c>
      <c r="B56" s="1177" t="str">
        <f>'3-A. CI Sub-Annex'!B58</f>
        <v>B1.1.3.6.1</v>
      </c>
      <c r="C56" s="431" t="str">
        <f>'3-A. CI Sub-Annex'!C58</f>
        <v xml:space="preserve">ASHA incentives for routine activities </v>
      </c>
      <c r="D56" s="1170" t="str">
        <f>'3-A. CI Sub-Annex'!D58</f>
        <v>HSS</v>
      </c>
      <c r="E56" s="1177" t="str">
        <f>'3-A. CI Sub-Annex'!E58</f>
        <v>NHSRC-CP</v>
      </c>
      <c r="F56" s="1177">
        <f>'3-A. CI Sub-Annex'!F58</f>
        <v>7930</v>
      </c>
      <c r="G56" s="1177">
        <f>'3-A. CI Sub-Annex'!G58</f>
        <v>0</v>
      </c>
      <c r="H56" s="1177">
        <f>'3-A. CI Sub-Annex'!H58</f>
        <v>1903.2</v>
      </c>
      <c r="I56" s="1177">
        <f>'3-A. CI Sub-Annex'!I58</f>
        <v>1966</v>
      </c>
      <c r="J56" s="1177">
        <f>'3-A. CI Sub-Annex'!J58</f>
        <v>0</v>
      </c>
      <c r="K56" s="1177">
        <f>'3-A. CI Sub-Annex'!K58</f>
        <v>1</v>
      </c>
      <c r="L56" s="1177">
        <f>'3-A. CI Sub-Annex'!L58</f>
        <v>24000</v>
      </c>
      <c r="M56" s="162">
        <f>'3-A. CI Sub-Annex'!M58</f>
        <v>0.24</v>
      </c>
      <c r="N56" s="1177">
        <f>'3-A. CI Sub-Annex'!N58</f>
        <v>7948</v>
      </c>
      <c r="O56" s="2822">
        <f>'3-A. CI Sub-Annex'!O58</f>
        <v>1907.52</v>
      </c>
      <c r="P56" s="431">
        <f>'3-A. CI Sub-Annex'!P58</f>
        <v>0</v>
      </c>
      <c r="Q56" s="54" t="s">
        <v>5801</v>
      </c>
      <c r="R56" s="2852">
        <v>1907.5</v>
      </c>
    </row>
    <row r="57" spans="1:18">
      <c r="A57" s="1177" t="e">
        <f>'3-A. CI Sub-Annex'!#REF!</f>
        <v>#REF!</v>
      </c>
      <c r="B57" s="1177">
        <f>'3-A. CI Sub-Annex'!B59</f>
        <v>0</v>
      </c>
      <c r="C57" s="431" t="str">
        <f>'3-A. CI Sub-Annex'!C59</f>
        <v>Any other ASHA incentives (please specify)</v>
      </c>
      <c r="D57" s="1170" t="str">
        <f>'3-A. CI Sub-Annex'!D59</f>
        <v>HSS</v>
      </c>
      <c r="E57" s="1177" t="str">
        <f>'3-A. CI Sub-Annex'!E59</f>
        <v>NHSRC-CP</v>
      </c>
      <c r="F57" s="1177">
        <f>'3-A. CI Sub-Annex'!F59</f>
        <v>10000000</v>
      </c>
      <c r="G57" s="1177">
        <f>'3-A. CI Sub-Annex'!G59</f>
        <v>0</v>
      </c>
      <c r="H57" s="1177">
        <f>'3-A. CI Sub-Annex'!H59</f>
        <v>100</v>
      </c>
      <c r="I57" s="1177">
        <f>'3-A. CI Sub-Annex'!I59</f>
        <v>68.45</v>
      </c>
      <c r="J57" s="1177">
        <f>'3-A. CI Sub-Annex'!J59</f>
        <v>31.55</v>
      </c>
      <c r="K57" s="1177">
        <f>'3-A. CI Sub-Annex'!K59</f>
        <v>0</v>
      </c>
      <c r="L57" s="1177">
        <f>'3-A. CI Sub-Annex'!L59</f>
        <v>0</v>
      </c>
      <c r="M57" s="162">
        <f>'3-A. CI Sub-Annex'!M59</f>
        <v>0</v>
      </c>
      <c r="N57" s="1177">
        <f>'3-A. CI Sub-Annex'!N59</f>
        <v>0</v>
      </c>
      <c r="O57" s="2822">
        <f>'3-A. CI Sub-Annex'!O59</f>
        <v>0</v>
      </c>
      <c r="P57" s="431">
        <f>'3-A. CI Sub-Annex'!P59</f>
        <v>0</v>
      </c>
      <c r="Q57" s="54"/>
      <c r="R57" s="2852"/>
    </row>
    <row r="58" spans="1:18">
      <c r="A58" s="1933" t="str">
        <f>'3.Community Intervention Annexn'!A26</f>
        <v>3.1.2.1</v>
      </c>
      <c r="B58" s="1933" t="str">
        <f>'3-A. CI Sub-Annex'!B61</f>
        <v>B1.1.1</v>
      </c>
      <c r="C58" s="1934" t="str">
        <f>'3-A. CI Sub-Annex'!C61</f>
        <v>Selection &amp; Training of ASHA</v>
      </c>
      <c r="D58" s="1933"/>
      <c r="E58" s="1933"/>
      <c r="F58" s="1933"/>
      <c r="G58" s="1933"/>
      <c r="H58" s="1933"/>
      <c r="I58" s="1933"/>
      <c r="J58" s="1933"/>
      <c r="K58" s="1933"/>
      <c r="L58" s="1933"/>
      <c r="M58" s="1935"/>
      <c r="N58" s="1933"/>
      <c r="O58" s="2858"/>
      <c r="P58" s="1934"/>
      <c r="Q58" s="2846"/>
      <c r="R58" s="2851"/>
    </row>
    <row r="59" spans="1:18" ht="75">
      <c r="A59" s="1177" t="e">
        <f>'3-A. CI Sub-Annex'!#REF!</f>
        <v>#REF!</v>
      </c>
      <c r="B59" s="1177" t="str">
        <f>'3-A. CI Sub-Annex'!B62</f>
        <v>B1.1.1.1</v>
      </c>
      <c r="C59" s="431" t="str">
        <f>'3-A. CI Sub-Annex'!C62</f>
        <v>Induction training</v>
      </c>
      <c r="D59" s="1170" t="str">
        <f>'3-A. CI Sub-Annex'!D62</f>
        <v>HSS</v>
      </c>
      <c r="E59" s="1177" t="str">
        <f>'3-A. CI Sub-Annex'!E62</f>
        <v>NHSRC-CP</v>
      </c>
      <c r="F59" s="1177">
        <f>'3-A. CI Sub-Annex'!F62</f>
        <v>14</v>
      </c>
      <c r="G59" s="1177">
        <f>'3-A. CI Sub-Annex'!G62</f>
        <v>0</v>
      </c>
      <c r="H59" s="1177">
        <f>'3-A. CI Sub-Annex'!H62</f>
        <v>24.92</v>
      </c>
      <c r="I59" s="1177">
        <f>'3-A. CI Sub-Annex'!I62</f>
        <v>1.2</v>
      </c>
      <c r="J59" s="1177">
        <f>'3-A. CI Sub-Annex'!J62</f>
        <v>23.72</v>
      </c>
      <c r="K59" s="1177">
        <f>'3-A. CI Sub-Annex'!K62</f>
        <v>1</v>
      </c>
      <c r="L59" s="1177">
        <f>'3-A. CI Sub-Annex'!L62</f>
        <v>216200</v>
      </c>
      <c r="M59" s="162">
        <f>'3-A. CI Sub-Annex'!M62</f>
        <v>2.1619999999999999</v>
      </c>
      <c r="N59" s="1177">
        <f>'3-A. CI Sub-Annex'!N62</f>
        <v>5</v>
      </c>
      <c r="O59" s="2822">
        <f>'3-A. CI Sub-Annex'!O62</f>
        <v>10.809999999999999</v>
      </c>
      <c r="P59" s="431" t="str">
        <f>'3-A. CI Sub-Annex'!P62</f>
        <v xml:space="preserve">It is proposed that the Induction training of 8 batches for newly recruited ASHAs in the State. (Annexure CP-1 (HP) </v>
      </c>
      <c r="Q59" s="54" t="s">
        <v>5802</v>
      </c>
      <c r="R59" s="2852">
        <v>10.81</v>
      </c>
    </row>
    <row r="60" spans="1:18" ht="75">
      <c r="A60" s="1177" t="e">
        <f>'3-A. CI Sub-Annex'!#REF!</f>
        <v>#REF!</v>
      </c>
      <c r="B60" s="1177" t="str">
        <f>'3-A. CI Sub-Annex'!B63</f>
        <v>B1.1.1.2</v>
      </c>
      <c r="C60" s="431" t="str">
        <f>'3-A. CI Sub-Annex'!C63</f>
        <v xml:space="preserve">Module VI &amp; VII </v>
      </c>
      <c r="D60" s="1170" t="str">
        <f>'3-A. CI Sub-Annex'!D63</f>
        <v>HSS</v>
      </c>
      <c r="E60" s="1177" t="str">
        <f>'3-A. CI Sub-Annex'!E63</f>
        <v>NHSRC-CP</v>
      </c>
      <c r="F60" s="1177">
        <f>'3-A. CI Sub-Annex'!F63</f>
        <v>14</v>
      </c>
      <c r="G60" s="1177">
        <f>'3-A. CI Sub-Annex'!G63</f>
        <v>0</v>
      </c>
      <c r="H60" s="1177">
        <f>'3-A. CI Sub-Annex'!H63</f>
        <v>16.21</v>
      </c>
      <c r="I60" s="1177">
        <f>'3-A. CI Sub-Annex'!I63</f>
        <v>3.13</v>
      </c>
      <c r="J60" s="1177">
        <f>'3-A. CI Sub-Annex'!J63</f>
        <v>5.91</v>
      </c>
      <c r="K60" s="1177">
        <f>'3-A. CI Sub-Annex'!K63</f>
        <v>1</v>
      </c>
      <c r="L60" s="1177">
        <f>'3-A. CI Sub-Annex'!L63</f>
        <v>151685</v>
      </c>
      <c r="M60" s="162">
        <f>'3-A. CI Sub-Annex'!M63</f>
        <v>1.51685</v>
      </c>
      <c r="N60" s="1177">
        <f>'3-A. CI Sub-Annex'!N63</f>
        <v>32</v>
      </c>
      <c r="O60" s="2822">
        <f>'3-A. CI Sub-Annex'!O63</f>
        <v>48.539200000000001</v>
      </c>
      <c r="P60" s="431" t="str">
        <f>'3-A. CI Sub-Annex'!P63</f>
        <v xml:space="preserve">It is proposed that the module 6 &amp; 7 module training of 32 batches (5 day each module) for newly recruited ASHAs in the State.           (Annexure CP-2 (HP) </v>
      </c>
      <c r="Q60" s="54" t="s">
        <v>5803</v>
      </c>
      <c r="R60" s="2852">
        <v>48.54</v>
      </c>
    </row>
    <row r="61" spans="1:18" ht="165">
      <c r="A61" s="1177" t="e">
        <f>'3-A. CI Sub-Annex'!#REF!</f>
        <v>#REF!</v>
      </c>
      <c r="B61" s="1177" t="str">
        <f>'3-A. CI Sub-Annex'!B64</f>
        <v>B1.2</v>
      </c>
      <c r="C61" s="431" t="str">
        <f>'3-A. CI Sub-Annex'!C64</f>
        <v>Certification of ASHA by NIOS</v>
      </c>
      <c r="D61" s="1170" t="str">
        <f>'3-A. CI Sub-Annex'!D64</f>
        <v>HSS</v>
      </c>
      <c r="E61" s="1177" t="str">
        <f>'3-A. CI Sub-Annex'!E64</f>
        <v>NHSRC-CP</v>
      </c>
      <c r="F61" s="1177">
        <f>'3-A. CI Sub-Annex'!F64</f>
        <v>40</v>
      </c>
      <c r="G61" s="1177">
        <f>'3-A. CI Sub-Annex'!G64</f>
        <v>0</v>
      </c>
      <c r="H61" s="1177">
        <f>'3-A. CI Sub-Annex'!H64</f>
        <v>96.4</v>
      </c>
      <c r="I61" s="1177">
        <f>'3-A. CI Sub-Annex'!I64</f>
        <v>0</v>
      </c>
      <c r="J61" s="1177">
        <f>'3-A. CI Sub-Annex'!J64</f>
        <v>0</v>
      </c>
      <c r="K61" s="1177">
        <f>'3-A. CI Sub-Annex'!K64</f>
        <v>1</v>
      </c>
      <c r="L61" s="1177">
        <f>'3-A. CI Sub-Annex'!L64</f>
        <v>315560</v>
      </c>
      <c r="M61" s="162">
        <f>'3-A. CI Sub-Annex'!M64</f>
        <v>3.1556000000000002</v>
      </c>
      <c r="N61" s="1177">
        <f>'3-A. CI Sub-Annex'!N64</f>
        <v>30</v>
      </c>
      <c r="O61" s="2822">
        <f>'3-A. CI Sub-Annex'!O64</f>
        <v>94.668000000000006</v>
      </c>
      <c r="P61" s="431" t="str">
        <f>'3-A. CI Sub-Annex'!P64</f>
        <v>The AVI centers of SIHFW, Parimahal and RHFWTC, Chheb District Kangra already approved and  running the training. It is proposed that the new AVI Centers open i.e. District Kullu (Already certified) &amp; Chamba, Hamirpur and Govt. MC, Ner Chowk, Mandi for certification cost of 5 sites @ Rs. 5000/site (Annexure CP-3 (HP)).</v>
      </c>
      <c r="Q61" s="2018" t="s">
        <v>5804</v>
      </c>
      <c r="R61" s="2852">
        <v>94.67</v>
      </c>
    </row>
    <row r="62" spans="1:18" ht="135">
      <c r="A62" s="1177" t="e">
        <f>'3-A. CI Sub-Annex'!#REF!</f>
        <v>#REF!</v>
      </c>
      <c r="B62" s="1177">
        <f>'3-A. CI Sub-Annex'!B65</f>
        <v>0</v>
      </c>
      <c r="C62" s="431" t="str">
        <f>'3-A. CI Sub-Annex'!C65</f>
        <v>Trainings under HBYC</v>
      </c>
      <c r="D62" s="1170" t="str">
        <f>'3-A. CI Sub-Annex'!D65</f>
        <v>HSS</v>
      </c>
      <c r="E62" s="1177" t="str">
        <f>'3-A. CI Sub-Annex'!E65</f>
        <v>NHSRC-CP</v>
      </c>
      <c r="F62" s="1177">
        <f>'3-A. CI Sub-Annex'!F65</f>
        <v>63</v>
      </c>
      <c r="G62" s="1177">
        <f>'3-A. CI Sub-Annex'!G65</f>
        <v>0</v>
      </c>
      <c r="H62" s="1177">
        <f>'3-A. CI Sub-Annex'!H65</f>
        <v>84.04</v>
      </c>
      <c r="I62" s="1177">
        <f>'3-A. CI Sub-Annex'!I65</f>
        <v>0.15</v>
      </c>
      <c r="J62" s="1177">
        <f>'3-A. CI Sub-Annex'!J65</f>
        <v>83.89</v>
      </c>
      <c r="K62" s="1177">
        <f>'3-A. CI Sub-Annex'!K65</f>
        <v>1</v>
      </c>
      <c r="L62" s="1177">
        <f>'3-A. CI Sub-Annex'!L65</f>
        <v>190486</v>
      </c>
      <c r="M62" s="162">
        <f>'3-A. CI Sub-Annex'!M65</f>
        <v>1.90486</v>
      </c>
      <c r="N62" s="1177">
        <f>'3-A. CI Sub-Annex'!N65</f>
        <v>43</v>
      </c>
      <c r="O62" s="2822">
        <f>'3-A. CI Sub-Annex'!O65</f>
        <v>81.90898</v>
      </c>
      <c r="P62" s="431" t="str">
        <f>'3-A. CI Sub-Annex'!P65</f>
        <v xml:space="preserve">It is proposed that the next FY 2021-22 for the training of HBYC i.e. District Kullu and Shimla (Annexure CP-4 (HP) </v>
      </c>
      <c r="Q62" s="54" t="s">
        <v>5805</v>
      </c>
      <c r="R62" s="2852">
        <v>81.91</v>
      </c>
    </row>
    <row r="63" spans="1:18">
      <c r="A63" s="1177" t="e">
        <f>'3-A. CI Sub-Annex'!#REF!</f>
        <v>#REF!</v>
      </c>
      <c r="B63" s="1177">
        <f>'3-A. CI Sub-Annex'!B66</f>
        <v>0</v>
      </c>
      <c r="C63" s="431" t="str">
        <f>'3-A. CI Sub-Annex'!C66</f>
        <v xml:space="preserve">Training on Expanded services packages at HWCs </v>
      </c>
      <c r="D63" s="1170" t="str">
        <f>'3-A. CI Sub-Annex'!D66</f>
        <v>HSS</v>
      </c>
      <c r="E63" s="1177" t="str">
        <f>'3-A. CI Sub-Annex'!E66</f>
        <v>NHSRC-CP</v>
      </c>
      <c r="F63" s="1177">
        <f>'3-A. CI Sub-Annex'!F66</f>
        <v>0</v>
      </c>
      <c r="G63" s="1177">
        <f>'3-A. CI Sub-Annex'!G66</f>
        <v>0</v>
      </c>
      <c r="H63" s="1177">
        <f>'3-A. CI Sub-Annex'!H66</f>
        <v>0</v>
      </c>
      <c r="I63" s="1177">
        <f>'3-A. CI Sub-Annex'!I66</f>
        <v>0</v>
      </c>
      <c r="J63" s="1177">
        <f>'3-A. CI Sub-Annex'!J66</f>
        <v>0</v>
      </c>
      <c r="K63" s="1177">
        <f>'3-A. CI Sub-Annex'!K66</f>
        <v>0</v>
      </c>
      <c r="L63" s="1177">
        <f>'3-A. CI Sub-Annex'!L66</f>
        <v>0</v>
      </c>
      <c r="M63" s="162">
        <f>'3-A. CI Sub-Annex'!M66</f>
        <v>0</v>
      </c>
      <c r="N63" s="1177">
        <f>'3-A. CI Sub-Annex'!N66</f>
        <v>0</v>
      </c>
      <c r="O63" s="2822">
        <f>'3-A. CI Sub-Annex'!O66</f>
        <v>0</v>
      </c>
      <c r="P63" s="431">
        <f>'3-A. CI Sub-Annex'!P66</f>
        <v>0</v>
      </c>
      <c r="Q63" s="54"/>
      <c r="R63" s="2852"/>
    </row>
    <row r="64" spans="1:18">
      <c r="A64" s="1177" t="e">
        <f>'3-A. CI Sub-Annex'!#REF!</f>
        <v>#REF!</v>
      </c>
      <c r="B64" s="1177">
        <f>'3-A. CI Sub-Annex'!B67</f>
        <v>0</v>
      </c>
      <c r="C64" s="431" t="str">
        <f>'3-A. CI Sub-Annex'!C67</f>
        <v xml:space="preserve">Supplementary /Refresher/ Other  training for ASHAs </v>
      </c>
      <c r="D64" s="1170" t="str">
        <f>'3-A. CI Sub-Annex'!D67</f>
        <v>HSS</v>
      </c>
      <c r="E64" s="1177" t="str">
        <f>'3-A. CI Sub-Annex'!E67</f>
        <v>NHSRC-CP</v>
      </c>
      <c r="F64" s="1177">
        <f>'3-A. CI Sub-Annex'!F67</f>
        <v>0</v>
      </c>
      <c r="G64" s="1177">
        <f>'3-A. CI Sub-Annex'!G67</f>
        <v>0</v>
      </c>
      <c r="H64" s="1177">
        <f>'3-A. CI Sub-Annex'!H67</f>
        <v>0</v>
      </c>
      <c r="I64" s="1177">
        <f>'3-A. CI Sub-Annex'!I67</f>
        <v>0</v>
      </c>
      <c r="J64" s="1177">
        <f>'3-A. CI Sub-Annex'!J67</f>
        <v>0</v>
      </c>
      <c r="K64" s="1177">
        <f>'3-A. CI Sub-Annex'!K67</f>
        <v>0</v>
      </c>
      <c r="L64" s="1177">
        <f>'3-A. CI Sub-Annex'!L67</f>
        <v>0</v>
      </c>
      <c r="M64" s="162">
        <f>'3-A. CI Sub-Annex'!M67</f>
        <v>0</v>
      </c>
      <c r="N64" s="1177">
        <f>'3-A. CI Sub-Annex'!N67</f>
        <v>0</v>
      </c>
      <c r="O64" s="2822">
        <f>'3-A. CI Sub-Annex'!O67</f>
        <v>0</v>
      </c>
      <c r="P64" s="431">
        <f>'3-A. CI Sub-Annex'!P67</f>
        <v>0</v>
      </c>
      <c r="Q64" s="54"/>
      <c r="R64" s="2852"/>
    </row>
    <row r="65" spans="1:18">
      <c r="A65" s="1177" t="e">
        <f>'3-A. CI Sub-Annex'!#REF!</f>
        <v>#REF!</v>
      </c>
      <c r="B65" s="1177" t="str">
        <f>'3-A. CI Sub-Annex'!B68</f>
        <v>B1.1.1.3</v>
      </c>
      <c r="C65" s="431" t="str">
        <f>'3-A. CI Sub-Annex'!C68</f>
        <v xml:space="preserve">Supplementary /Refresher training for ASHAs </v>
      </c>
      <c r="D65" s="1170" t="str">
        <f>'3-A. CI Sub-Annex'!D68</f>
        <v>HSS</v>
      </c>
      <c r="E65" s="1177" t="str">
        <f>'3-A. CI Sub-Annex'!E68</f>
        <v>NHSRC-CP</v>
      </c>
      <c r="F65" s="1177">
        <f>'3-A. CI Sub-Annex'!F68</f>
        <v>0</v>
      </c>
      <c r="G65" s="1177">
        <f>'3-A. CI Sub-Annex'!G68</f>
        <v>0</v>
      </c>
      <c r="H65" s="1177">
        <f>'3-A. CI Sub-Annex'!H68</f>
        <v>0</v>
      </c>
      <c r="I65" s="1177">
        <f>'3-A. CI Sub-Annex'!I68</f>
        <v>0</v>
      </c>
      <c r="J65" s="1177">
        <f>'3-A. CI Sub-Annex'!J68</f>
        <v>0</v>
      </c>
      <c r="K65" s="1177">
        <f>'3-A. CI Sub-Annex'!K68</f>
        <v>0</v>
      </c>
      <c r="L65" s="1177">
        <f>'3-A. CI Sub-Annex'!L68</f>
        <v>0</v>
      </c>
      <c r="M65" s="162">
        <f>'3-A. CI Sub-Annex'!M68</f>
        <v>0</v>
      </c>
      <c r="N65" s="1177">
        <f>'3-A. CI Sub-Annex'!N68</f>
        <v>0</v>
      </c>
      <c r="O65" s="2822">
        <f>'3-A. CI Sub-Annex'!O68</f>
        <v>0</v>
      </c>
      <c r="P65" s="431">
        <f>'3-A. CI Sub-Annex'!P68</f>
        <v>0</v>
      </c>
      <c r="Q65" s="54"/>
      <c r="R65" s="2852"/>
    </row>
    <row r="66" spans="1:18" ht="75">
      <c r="A66" s="1177" t="e">
        <f>'3-A. CI Sub-Annex'!#REF!</f>
        <v>#REF!</v>
      </c>
      <c r="B66" s="1177" t="str">
        <f>'3-A. CI Sub-Annex'!B69</f>
        <v>A.3.2.6</v>
      </c>
      <c r="C66" s="431" t="str">
        <f>'3-A. CI Sub-Annex'!C69</f>
        <v xml:space="preserve">Orientation/review  of ASHAs (as applicable) for New Contraceptives, Post partum and post abortion Family Planning, Scheme for home delivery of contraceptives (HDC), Ensuring spacing at birth (ESB {wherever applicable}), Pregnancy Testing Kits (PTK) </v>
      </c>
      <c r="D66" s="1170" t="str">
        <f>'3-A. CI Sub-Annex'!D69</f>
        <v>HSS</v>
      </c>
      <c r="E66" s="1177" t="str">
        <f>'3-A. CI Sub-Annex'!E69</f>
        <v>NHSRC-CP</v>
      </c>
      <c r="F66" s="1177">
        <f>'3-A. CI Sub-Annex'!F69</f>
        <v>0</v>
      </c>
      <c r="G66" s="1177">
        <f>'3-A. CI Sub-Annex'!G69</f>
        <v>0</v>
      </c>
      <c r="H66" s="1177">
        <f>'3-A. CI Sub-Annex'!H69</f>
        <v>0</v>
      </c>
      <c r="I66" s="1177">
        <f>'3-A. CI Sub-Annex'!I69</f>
        <v>0</v>
      </c>
      <c r="J66" s="1177">
        <f>'3-A. CI Sub-Annex'!J69</f>
        <v>0</v>
      </c>
      <c r="K66" s="1177">
        <f>'3-A. CI Sub-Annex'!K69</f>
        <v>0</v>
      </c>
      <c r="L66" s="1177">
        <f>'3-A. CI Sub-Annex'!L69</f>
        <v>0</v>
      </c>
      <c r="M66" s="162">
        <f>'3-A. CI Sub-Annex'!M69</f>
        <v>0</v>
      </c>
      <c r="N66" s="1177">
        <f>'3-A. CI Sub-Annex'!N69</f>
        <v>0</v>
      </c>
      <c r="O66" s="2822">
        <f>'3-A. CI Sub-Annex'!O69</f>
        <v>0</v>
      </c>
      <c r="P66" s="431">
        <f>'3-A. CI Sub-Annex'!P69</f>
        <v>0</v>
      </c>
      <c r="Q66" s="54"/>
      <c r="R66" s="2852"/>
    </row>
    <row r="67" spans="1:18" ht="30">
      <c r="A67" s="1177" t="e">
        <f>'3-A. CI Sub-Annex'!#REF!</f>
        <v>#REF!</v>
      </c>
      <c r="B67" s="1177" t="str">
        <f>'3-A. CI Sub-Annex'!B70</f>
        <v>A.9.12.5</v>
      </c>
      <c r="C67" s="431" t="str">
        <f>'3-A. CI Sub-Annex'!C70</f>
        <v>Training/Refresher training -ASHA (one day) (RBSK trainings)</v>
      </c>
      <c r="D67" s="1170" t="str">
        <f>'3-A. CI Sub-Annex'!D70</f>
        <v>HSS</v>
      </c>
      <c r="E67" s="1177" t="str">
        <f>'3-A. CI Sub-Annex'!E70</f>
        <v>NHSRC-CP</v>
      </c>
      <c r="F67" s="1177">
        <f>'3-A. CI Sub-Annex'!F70</f>
        <v>0</v>
      </c>
      <c r="G67" s="1177">
        <f>'3-A. CI Sub-Annex'!G70</f>
        <v>0</v>
      </c>
      <c r="H67" s="1177">
        <f>'3-A. CI Sub-Annex'!H70</f>
        <v>0</v>
      </c>
      <c r="I67" s="1177">
        <f>'3-A. CI Sub-Annex'!I70</f>
        <v>0</v>
      </c>
      <c r="J67" s="1177">
        <f>'3-A. CI Sub-Annex'!J70</f>
        <v>0</v>
      </c>
      <c r="K67" s="1177">
        <f>'3-A. CI Sub-Annex'!K70</f>
        <v>0</v>
      </c>
      <c r="L67" s="1177">
        <f>'3-A. CI Sub-Annex'!L70</f>
        <v>0</v>
      </c>
      <c r="M67" s="162">
        <f>'3-A. CI Sub-Annex'!M70</f>
        <v>0</v>
      </c>
      <c r="N67" s="1177">
        <f>'3-A. CI Sub-Annex'!N70</f>
        <v>0</v>
      </c>
      <c r="O67" s="2822">
        <f>'3-A. CI Sub-Annex'!O70</f>
        <v>0</v>
      </c>
      <c r="P67" s="431">
        <f>'3-A. CI Sub-Annex'!P70</f>
        <v>0</v>
      </c>
      <c r="Q67" s="54"/>
      <c r="R67" s="2852"/>
    </row>
    <row r="68" spans="1:18" ht="30">
      <c r="A68" s="1177" t="e">
        <f>'3-A. CI Sub-Annex'!#REF!</f>
        <v>#REF!</v>
      </c>
      <c r="B68" s="1177">
        <f>'3-A. CI Sub-Annex'!B71</f>
        <v>0</v>
      </c>
      <c r="C68" s="431" t="str">
        <f>'3-A. CI Sub-Annex'!C71</f>
        <v>Training of ASHAs in National Childhood Pneumonia Management Guidelines under SAANS</v>
      </c>
      <c r="D68" s="1170" t="str">
        <f>'3-A. CI Sub-Annex'!D71</f>
        <v>HSS</v>
      </c>
      <c r="E68" s="1177" t="str">
        <f>'3-A. CI Sub-Annex'!E71</f>
        <v>NHSRC-CP</v>
      </c>
      <c r="F68" s="1177">
        <f>'3-A. CI Sub-Annex'!F71</f>
        <v>0</v>
      </c>
      <c r="G68" s="1177">
        <f>'3-A. CI Sub-Annex'!G71</f>
        <v>0</v>
      </c>
      <c r="H68" s="1177">
        <f>'3-A. CI Sub-Annex'!H71</f>
        <v>0</v>
      </c>
      <c r="I68" s="1177">
        <f>'3-A. CI Sub-Annex'!I71</f>
        <v>0</v>
      </c>
      <c r="J68" s="1177">
        <f>'3-A. CI Sub-Annex'!J71</f>
        <v>0</v>
      </c>
      <c r="K68" s="1177">
        <f>'3-A. CI Sub-Annex'!K71</f>
        <v>0</v>
      </c>
      <c r="L68" s="1177">
        <f>'3-A. CI Sub-Annex'!L71</f>
        <v>0</v>
      </c>
      <c r="M68" s="162">
        <f>'3-A. CI Sub-Annex'!M71</f>
        <v>0</v>
      </c>
      <c r="N68" s="1177">
        <f>'3-A. CI Sub-Annex'!N71</f>
        <v>0</v>
      </c>
      <c r="O68" s="2822">
        <f>'3-A. CI Sub-Annex'!O71</f>
        <v>0</v>
      </c>
      <c r="P68" s="431">
        <f>'3-A. CI Sub-Annex'!P71</f>
        <v>0</v>
      </c>
      <c r="Q68" s="54"/>
      <c r="R68" s="2852"/>
    </row>
    <row r="69" spans="1:18">
      <c r="A69" s="1933" t="str">
        <f>'3.Community Intervention Annexn'!A27</f>
        <v>3.1.2.2</v>
      </c>
      <c r="B69" s="1933">
        <f>'3-A. CI Sub-Annex'!B72</f>
        <v>0</v>
      </c>
      <c r="C69" s="1934" t="str">
        <f>'3-A. CI Sub-Annex'!C72</f>
        <v>Training of ASHA facilitator</v>
      </c>
      <c r="D69" s="1933"/>
      <c r="E69" s="1933"/>
      <c r="F69" s="1933"/>
      <c r="G69" s="1933"/>
      <c r="H69" s="1933"/>
      <c r="I69" s="1933"/>
      <c r="J69" s="1933"/>
      <c r="K69" s="1933"/>
      <c r="L69" s="1933"/>
      <c r="M69" s="1935"/>
      <c r="N69" s="1933"/>
      <c r="O69" s="2858"/>
      <c r="P69" s="1934"/>
      <c r="Q69" s="2846"/>
      <c r="R69" s="2851"/>
    </row>
    <row r="70" spans="1:18">
      <c r="A70" s="1177" t="e">
        <f>'3-A. CI Sub-Annex'!#REF!</f>
        <v>#REF!</v>
      </c>
      <c r="B70" s="1177" t="str">
        <f>'3-A. CI Sub-Annex'!B73</f>
        <v>B1.1.1.5.1</v>
      </c>
      <c r="C70" s="431" t="str">
        <f>'3-A. CI Sub-Annex'!C73</f>
        <v>Training of ASHA facilitator</v>
      </c>
      <c r="D70" s="1170" t="str">
        <f>'3-A. CI Sub-Annex'!D73</f>
        <v>HSS</v>
      </c>
      <c r="E70" s="1177" t="str">
        <f>'3-A. CI Sub-Annex'!E73</f>
        <v>NHSRC-CP</v>
      </c>
      <c r="F70" s="1177">
        <f>'3-A. CI Sub-Annex'!F73</f>
        <v>0</v>
      </c>
      <c r="G70" s="1177">
        <f>'3-A. CI Sub-Annex'!G73</f>
        <v>0</v>
      </c>
      <c r="H70" s="1177">
        <f>'3-A. CI Sub-Annex'!H73</f>
        <v>0</v>
      </c>
      <c r="I70" s="1177">
        <f>'3-A. CI Sub-Annex'!I73</f>
        <v>0</v>
      </c>
      <c r="J70" s="1177">
        <f>'3-A. CI Sub-Annex'!J73</f>
        <v>0</v>
      </c>
      <c r="K70" s="1177">
        <f>'3-A. CI Sub-Annex'!K73</f>
        <v>0</v>
      </c>
      <c r="L70" s="1177">
        <f>'3-A. CI Sub-Annex'!L73</f>
        <v>0</v>
      </c>
      <c r="M70" s="162">
        <f>'3-A. CI Sub-Annex'!M73</f>
        <v>0</v>
      </c>
      <c r="N70" s="1177">
        <f>'3-A. CI Sub-Annex'!N73</f>
        <v>0</v>
      </c>
      <c r="O70" s="2822">
        <f>'3-A. CI Sub-Annex'!O73</f>
        <v>0</v>
      </c>
      <c r="P70" s="431">
        <f>'3-A. CI Sub-Annex'!P73</f>
        <v>0</v>
      </c>
      <c r="Q70" s="54"/>
      <c r="R70" s="2852"/>
    </row>
    <row r="71" spans="1:18">
      <c r="A71" s="1177" t="e">
        <f>'3-A. CI Sub-Annex'!#REF!</f>
        <v>#REF!</v>
      </c>
      <c r="B71" s="1177">
        <f>'3-A. CI Sub-Annex'!B74</f>
        <v>0</v>
      </c>
      <c r="C71" s="431" t="str">
        <f>'3-A. CI Sub-Annex'!C74</f>
        <v xml:space="preserve">Other training </v>
      </c>
      <c r="D71" s="1170" t="str">
        <f>'3-A. CI Sub-Annex'!D74</f>
        <v>HSS</v>
      </c>
      <c r="E71" s="1177" t="str">
        <f>'3-A. CI Sub-Annex'!E74</f>
        <v>NHSRC-CP</v>
      </c>
      <c r="F71" s="1177">
        <f>'3-A. CI Sub-Annex'!F74</f>
        <v>0</v>
      </c>
      <c r="G71" s="1177">
        <f>'3-A. CI Sub-Annex'!G74</f>
        <v>0</v>
      </c>
      <c r="H71" s="1177">
        <f>'3-A. CI Sub-Annex'!H74</f>
        <v>0</v>
      </c>
      <c r="I71" s="1177">
        <f>'3-A. CI Sub-Annex'!I74</f>
        <v>0</v>
      </c>
      <c r="J71" s="1177">
        <f>'3-A. CI Sub-Annex'!J74</f>
        <v>0</v>
      </c>
      <c r="K71" s="1177">
        <f>'3-A. CI Sub-Annex'!K74</f>
        <v>0</v>
      </c>
      <c r="L71" s="1177">
        <f>'3-A. CI Sub-Annex'!L74</f>
        <v>0</v>
      </c>
      <c r="M71" s="162">
        <f>'3-A. CI Sub-Annex'!M74</f>
        <v>0</v>
      </c>
      <c r="N71" s="1177">
        <f>'3-A. CI Sub-Annex'!N74</f>
        <v>0</v>
      </c>
      <c r="O71" s="2822">
        <f>'3-A. CI Sub-Annex'!O74</f>
        <v>0</v>
      </c>
      <c r="P71" s="431">
        <f>'3-A. CI Sub-Annex'!P74</f>
        <v>0</v>
      </c>
      <c r="Q71" s="54"/>
      <c r="R71" s="2852"/>
    </row>
    <row r="72" spans="1:18" ht="90">
      <c r="A72" s="1177" t="str">
        <f>'3.Community Intervention Annexn'!A28</f>
        <v>3.1.2.4</v>
      </c>
      <c r="B72" s="1177">
        <f>'3-A. CI Sub-Annex'!B75</f>
        <v>0</v>
      </c>
      <c r="C72" s="431" t="str">
        <f>'3-A. CI Sub-Annex'!C75</f>
        <v>Any other (PMJJBY &amp; PMSBY)</v>
      </c>
      <c r="D72" s="1170" t="str">
        <f>'3-A. CI Sub-Annex'!D75</f>
        <v>HSS</v>
      </c>
      <c r="E72" s="1177" t="str">
        <f>'3-A. CI Sub-Annex'!E75</f>
        <v>NHSRC-CP</v>
      </c>
      <c r="F72" s="1177">
        <f>'3-A. CI Sub-Annex'!F75</f>
        <v>0</v>
      </c>
      <c r="G72" s="1177">
        <f>'3-A. CI Sub-Annex'!G75</f>
        <v>0</v>
      </c>
      <c r="H72" s="1177">
        <f>'3-A. CI Sub-Annex'!H75</f>
        <v>0</v>
      </c>
      <c r="I72" s="1177">
        <f>'3-A. CI Sub-Annex'!I75</f>
        <v>0</v>
      </c>
      <c r="J72" s="1177">
        <f>'3-A. CI Sub-Annex'!J75</f>
        <v>0</v>
      </c>
      <c r="K72" s="1177">
        <f>'3-A. CI Sub-Annex'!K75</f>
        <v>1</v>
      </c>
      <c r="L72" s="1177">
        <f>'3-A. CI Sub-Annex'!L75</f>
        <v>342</v>
      </c>
      <c r="M72" s="162">
        <f>'3-A. CI Sub-Annex'!M75</f>
        <v>3.4199999999999999E-3</v>
      </c>
      <c r="N72" s="1177">
        <f>'3-A. CI Sub-Annex'!N75</f>
        <v>8066</v>
      </c>
      <c r="O72" s="2822">
        <f>'3-A. CI Sub-Annex'!O75</f>
        <v>27.585719999999998</v>
      </c>
      <c r="P72" s="431" t="str">
        <f>'3-A. CI Sub-Annex'!P75</f>
        <v xml:space="preserve">It is proposed that the amount for ASHA Benefit Package i.e PMJJBY (Rs. 330/- per annum) and PMSBY (Rs. 12/- per annum). </v>
      </c>
      <c r="Q72" s="54" t="s">
        <v>5806</v>
      </c>
      <c r="R72" s="2852">
        <v>27.59</v>
      </c>
    </row>
    <row r="73" spans="1:18">
      <c r="A73" s="1933" t="str">
        <f>'3.Community Intervention Annexn'!A30</f>
        <v>3.1.3.1</v>
      </c>
      <c r="B73" s="1933">
        <f>'3-A. CI Sub-Annex'!B77</f>
        <v>0</v>
      </c>
      <c r="C73" s="1934" t="str">
        <f>'3-A. CI Sub-Annex'!C77</f>
        <v>Support provisions to ASHA</v>
      </c>
      <c r="D73" s="1933"/>
      <c r="E73" s="1933"/>
      <c r="F73" s="1933"/>
      <c r="G73" s="1933"/>
      <c r="H73" s="1933"/>
      <c r="I73" s="1933"/>
      <c r="J73" s="1933"/>
      <c r="K73" s="1933"/>
      <c r="L73" s="1933"/>
      <c r="M73" s="1935"/>
      <c r="N73" s="1933"/>
      <c r="O73" s="2858"/>
      <c r="P73" s="1934"/>
      <c r="Q73" s="2846"/>
      <c r="R73" s="2851"/>
    </row>
    <row r="74" spans="1:18" ht="195">
      <c r="A74" s="1177" t="e">
        <f>'3-A. CI Sub-Annex'!#REF!</f>
        <v>#REF!</v>
      </c>
      <c r="B74" s="1177" t="str">
        <f>'3-A. CI Sub-Annex'!B78</f>
        <v>B1.1.3.7</v>
      </c>
      <c r="C74" s="431" t="str">
        <f>'3-A. CI Sub-Annex'!C78</f>
        <v>Uniform</v>
      </c>
      <c r="D74" s="1170" t="str">
        <f>'3-A. CI Sub-Annex'!D78</f>
        <v>HSS</v>
      </c>
      <c r="E74" s="1177" t="str">
        <f>'3-A. CI Sub-Annex'!E78</f>
        <v>NHSRC-CP</v>
      </c>
      <c r="F74" s="1177">
        <f>'3-A. CI Sub-Annex'!F78</f>
        <v>7964</v>
      </c>
      <c r="G74" s="1177">
        <f>'3-A. CI Sub-Annex'!G78</f>
        <v>0</v>
      </c>
      <c r="H74" s="1177">
        <f>'3-A. CI Sub-Annex'!H78</f>
        <v>47.78</v>
      </c>
      <c r="I74" s="1177">
        <f>'3-A. CI Sub-Annex'!I78</f>
        <v>11.99</v>
      </c>
      <c r="J74" s="1177">
        <f>'3-A. CI Sub-Annex'!J78</f>
        <v>35.79</v>
      </c>
      <c r="K74" s="1177">
        <f>'3-A. CI Sub-Annex'!K78</f>
        <v>1</v>
      </c>
      <c r="L74" s="1177">
        <f>'3-A. CI Sub-Annex'!L78</f>
        <v>1100</v>
      </c>
      <c r="M74" s="162">
        <f>'3-A. CI Sub-Annex'!M78</f>
        <v>1.0999999999999999E-2</v>
      </c>
      <c r="N74" s="1177">
        <f>'3-A. CI Sub-Annex'!N78</f>
        <v>8066</v>
      </c>
      <c r="O74" s="2822">
        <f>'3-A. CI Sub-Annex'!O78</f>
        <v>88.725999999999999</v>
      </c>
      <c r="P74" s="3083" t="str">
        <f>'3-A. CI Sub-Annex'!P78</f>
        <v>Himachal Pradesh has a peculiar topography and due to inclement weather, the ASHAs require woolen garment preferably Jacket or a cardigan for carrying out the activities in the field during harsh climatic conditions. The woolen clothing would cost around Rs. 500 per ASHA per year and therefore the state has proposed Rs. 1100 (600+500) per ASHA per year as uniform allowance.</v>
      </c>
      <c r="Q74" s="54" t="s">
        <v>5807</v>
      </c>
      <c r="R74" s="2852">
        <v>88.73</v>
      </c>
    </row>
    <row r="75" spans="1:18">
      <c r="A75" s="1177" t="e">
        <f>'3-A. CI Sub-Annex'!#REF!</f>
        <v>#REF!</v>
      </c>
      <c r="B75" s="1177">
        <f>'3-A. CI Sub-Annex'!B79</f>
        <v>0</v>
      </c>
      <c r="C75" s="431" t="str">
        <f>'3-A. CI Sub-Annex'!C79</f>
        <v>ID cards</v>
      </c>
      <c r="D75" s="1170" t="str">
        <f>'3-A. CI Sub-Annex'!D79</f>
        <v>HSS</v>
      </c>
      <c r="E75" s="1177" t="str">
        <f>'3-A. CI Sub-Annex'!E79</f>
        <v>NHSRC-CP</v>
      </c>
      <c r="F75" s="1177">
        <f>'3-A. CI Sub-Annex'!F79</f>
        <v>0</v>
      </c>
      <c r="G75" s="1177">
        <f>'3-A. CI Sub-Annex'!G79</f>
        <v>0</v>
      </c>
      <c r="H75" s="1177">
        <f>'3-A. CI Sub-Annex'!H79</f>
        <v>0</v>
      </c>
      <c r="I75" s="1177">
        <f>'3-A. CI Sub-Annex'!I79</f>
        <v>0</v>
      </c>
      <c r="J75" s="1177">
        <f>'3-A. CI Sub-Annex'!J79</f>
        <v>0</v>
      </c>
      <c r="K75" s="1177">
        <f>'3-A. CI Sub-Annex'!K79</f>
        <v>0</v>
      </c>
      <c r="L75" s="1177">
        <f>'3-A. CI Sub-Annex'!L79</f>
        <v>0</v>
      </c>
      <c r="M75" s="162">
        <f>'3-A. CI Sub-Annex'!M79</f>
        <v>0</v>
      </c>
      <c r="N75" s="1177">
        <f>'3-A. CI Sub-Annex'!N79</f>
        <v>0</v>
      </c>
      <c r="O75" s="2822">
        <f>'3-A. CI Sub-Annex'!O79</f>
        <v>0</v>
      </c>
      <c r="P75" s="431">
        <f>'3-A. CI Sub-Annex'!P79</f>
        <v>0</v>
      </c>
      <c r="Q75" s="54"/>
      <c r="R75" s="2852"/>
    </row>
    <row r="76" spans="1:18">
      <c r="A76" s="1177" t="e">
        <f>'3-A. CI Sub-Annex'!#REF!</f>
        <v>#REF!</v>
      </c>
      <c r="B76" s="1177" t="str">
        <f>'3-A. CI Sub-Annex'!B80</f>
        <v>B1.1.4</v>
      </c>
      <c r="C76" s="431" t="str">
        <f>'3-A. CI Sub-Annex'!C80</f>
        <v>Awards</v>
      </c>
      <c r="D76" s="1170" t="str">
        <f>'3-A. CI Sub-Annex'!D80</f>
        <v>HSS</v>
      </c>
      <c r="E76" s="1177" t="str">
        <f>'3-A. CI Sub-Annex'!E80</f>
        <v>NHSRC-CP</v>
      </c>
      <c r="F76" s="1177">
        <f>'3-A. CI Sub-Annex'!F80</f>
        <v>0</v>
      </c>
      <c r="G76" s="1177">
        <f>'3-A. CI Sub-Annex'!G80</f>
        <v>0</v>
      </c>
      <c r="H76" s="1177">
        <f>'3-A. CI Sub-Annex'!H80</f>
        <v>0</v>
      </c>
      <c r="I76" s="1177">
        <f>'3-A. CI Sub-Annex'!I80</f>
        <v>0</v>
      </c>
      <c r="J76" s="1177">
        <f>'3-A. CI Sub-Annex'!J80</f>
        <v>0</v>
      </c>
      <c r="K76" s="1177">
        <f>'3-A. CI Sub-Annex'!K80</f>
        <v>0</v>
      </c>
      <c r="L76" s="1177">
        <f>'3-A. CI Sub-Annex'!L80</f>
        <v>0</v>
      </c>
      <c r="M76" s="162">
        <f>'3-A. CI Sub-Annex'!M80</f>
        <v>0</v>
      </c>
      <c r="N76" s="1177">
        <f>'3-A. CI Sub-Annex'!N80</f>
        <v>0</v>
      </c>
      <c r="O76" s="2822">
        <f>'3-A. CI Sub-Annex'!O80</f>
        <v>0</v>
      </c>
      <c r="P76" s="431">
        <f>'3-A. CI Sub-Annex'!P80</f>
        <v>0</v>
      </c>
      <c r="Q76" s="54"/>
      <c r="R76" s="2852"/>
    </row>
    <row r="77" spans="1:18">
      <c r="A77" s="1177" t="e">
        <f>'3-A. CI Sub-Annex'!#REF!</f>
        <v>#REF!</v>
      </c>
      <c r="B77" s="1177">
        <f>'3-A. CI Sub-Annex'!B81</f>
        <v>0</v>
      </c>
      <c r="C77" s="431" t="str">
        <f>'3-A. CI Sub-Annex'!C81</f>
        <v>Samelan</v>
      </c>
      <c r="D77" s="1170" t="str">
        <f>'3-A. CI Sub-Annex'!D81</f>
        <v>HSS</v>
      </c>
      <c r="E77" s="1177" t="str">
        <f>'3-A. CI Sub-Annex'!E81</f>
        <v>NHSRC-CP</v>
      </c>
      <c r="F77" s="1177">
        <f>'3-A. CI Sub-Annex'!F81</f>
        <v>0</v>
      </c>
      <c r="G77" s="1177">
        <f>'3-A. CI Sub-Annex'!G81</f>
        <v>0</v>
      </c>
      <c r="H77" s="1177">
        <f>'3-A. CI Sub-Annex'!H81</f>
        <v>0</v>
      </c>
      <c r="I77" s="1177">
        <f>'3-A. CI Sub-Annex'!I81</f>
        <v>0</v>
      </c>
      <c r="J77" s="1177">
        <f>'3-A. CI Sub-Annex'!J81</f>
        <v>0</v>
      </c>
      <c r="K77" s="1177">
        <f>'3-A. CI Sub-Annex'!K81</f>
        <v>0</v>
      </c>
      <c r="L77" s="1177">
        <f>'3-A. CI Sub-Annex'!L81</f>
        <v>0</v>
      </c>
      <c r="M77" s="162">
        <f>'3-A. CI Sub-Annex'!M81</f>
        <v>0</v>
      </c>
      <c r="N77" s="1177">
        <f>'3-A. CI Sub-Annex'!N81</f>
        <v>0</v>
      </c>
      <c r="O77" s="2822">
        <f>'3-A. CI Sub-Annex'!O81</f>
        <v>0</v>
      </c>
      <c r="P77" s="431">
        <f>'3-A. CI Sub-Annex'!P81</f>
        <v>0</v>
      </c>
      <c r="Q77" s="54"/>
      <c r="R77" s="2852"/>
    </row>
    <row r="78" spans="1:18">
      <c r="A78" s="1177" t="e">
        <f>'3-A. CI Sub-Annex'!#REF!</f>
        <v>#REF!</v>
      </c>
      <c r="B78" s="1177">
        <f>'3-A. CI Sub-Annex'!B82</f>
        <v>0</v>
      </c>
      <c r="C78" s="431" t="str">
        <f>'3-A. CI Sub-Annex'!C82</f>
        <v xml:space="preserve">CUG </v>
      </c>
      <c r="D78" s="1170" t="str">
        <f>'3-A. CI Sub-Annex'!D82</f>
        <v>HSS</v>
      </c>
      <c r="E78" s="1177" t="str">
        <f>'3-A. CI Sub-Annex'!E82</f>
        <v>NHSRC-CP</v>
      </c>
      <c r="F78" s="1177">
        <f>'3-A. CI Sub-Annex'!F82</f>
        <v>0</v>
      </c>
      <c r="G78" s="1177">
        <f>'3-A. CI Sub-Annex'!G82</f>
        <v>0</v>
      </c>
      <c r="H78" s="1177">
        <f>'3-A. CI Sub-Annex'!H82</f>
        <v>0</v>
      </c>
      <c r="I78" s="1177">
        <f>'3-A. CI Sub-Annex'!I82</f>
        <v>0</v>
      </c>
      <c r="J78" s="1177">
        <f>'3-A. CI Sub-Annex'!J82</f>
        <v>0</v>
      </c>
      <c r="K78" s="1177">
        <f>'3-A. CI Sub-Annex'!K82</f>
        <v>0</v>
      </c>
      <c r="L78" s="1177">
        <f>'3-A. CI Sub-Annex'!L82</f>
        <v>0</v>
      </c>
      <c r="M78" s="162">
        <f>'3-A. CI Sub-Annex'!M82</f>
        <v>0</v>
      </c>
      <c r="N78" s="1177">
        <f>'3-A. CI Sub-Annex'!N82</f>
        <v>0</v>
      </c>
      <c r="O78" s="2822">
        <f>'3-A. CI Sub-Annex'!O82</f>
        <v>0</v>
      </c>
      <c r="P78" s="431">
        <f>'3-A. CI Sub-Annex'!P82</f>
        <v>0</v>
      </c>
      <c r="Q78" s="54"/>
      <c r="R78" s="2852"/>
    </row>
    <row r="79" spans="1:18">
      <c r="A79" s="1177" t="e">
        <f>'3-A. CI Sub-Annex'!#REF!</f>
        <v>#REF!</v>
      </c>
      <c r="B79" s="1177" t="str">
        <f>'3-A. CI Sub-Annex'!B83</f>
        <v>B1.1.1.4.1</v>
      </c>
      <c r="C79" s="431" t="str">
        <f>'3-A. CI Sub-Annex'!C83</f>
        <v>Supervision costs  by ASHA facilitators(12 months)</v>
      </c>
      <c r="D79" s="1170" t="str">
        <f>'3-A. CI Sub-Annex'!D83</f>
        <v>HSS</v>
      </c>
      <c r="E79" s="1177" t="str">
        <f>'3-A. CI Sub-Annex'!E83</f>
        <v>NHSRC-CP</v>
      </c>
      <c r="F79" s="1177">
        <f>'3-A. CI Sub-Annex'!F83</f>
        <v>2000</v>
      </c>
      <c r="G79" s="1177">
        <f>'3-A. CI Sub-Annex'!G83</f>
        <v>0</v>
      </c>
      <c r="H79" s="1177">
        <f>'3-A. CI Sub-Annex'!H83</f>
        <v>36</v>
      </c>
      <c r="I79" s="1177">
        <f>'3-A. CI Sub-Annex'!I83</f>
        <v>26.7</v>
      </c>
      <c r="J79" s="1177">
        <f>'3-A. CI Sub-Annex'!J83</f>
        <v>9.3000000000000007</v>
      </c>
      <c r="K79" s="1177">
        <f>'3-A. CI Sub-Annex'!K83</f>
        <v>0</v>
      </c>
      <c r="L79" s="1177">
        <f>'3-A. CI Sub-Annex'!L83</f>
        <v>0</v>
      </c>
      <c r="M79" s="162">
        <f>'3-A. CI Sub-Annex'!M83</f>
        <v>0</v>
      </c>
      <c r="N79" s="1177">
        <f>'3-A. CI Sub-Annex'!N83</f>
        <v>0</v>
      </c>
      <c r="O79" s="2822">
        <f>'3-A. CI Sub-Annex'!O83</f>
        <v>0</v>
      </c>
      <c r="P79" s="431">
        <f>'3-A. CI Sub-Annex'!P83</f>
        <v>0</v>
      </c>
      <c r="Q79" s="54"/>
      <c r="R79" s="2852"/>
    </row>
    <row r="80" spans="1:18">
      <c r="A80" s="1177" t="str">
        <f>'3.Community Intervention Annexn'!A31</f>
        <v>3.1.3.2</v>
      </c>
      <c r="B80" s="1177" t="str">
        <f>'3-A. CI Sub-Annex'!B84</f>
        <v>5.3.2/ B1.1.3.7</v>
      </c>
      <c r="C80" s="431" t="str">
        <f>'3-A. CI Sub-Annex'!C84</f>
        <v xml:space="preserve">ASHA Ghar </v>
      </c>
      <c r="D80" s="1170" t="str">
        <f>'3-A. CI Sub-Annex'!D84</f>
        <v>HSS</v>
      </c>
      <c r="E80" s="1177" t="str">
        <f>'3-A. CI Sub-Annex'!E84</f>
        <v>NHSRC-CP</v>
      </c>
      <c r="F80" s="1177">
        <f>'3-A. CI Sub-Annex'!F84</f>
        <v>0</v>
      </c>
      <c r="G80" s="1177">
        <f>'3-A. CI Sub-Annex'!G84</f>
        <v>0</v>
      </c>
      <c r="H80" s="1177">
        <f>'3-A. CI Sub-Annex'!H84</f>
        <v>0</v>
      </c>
      <c r="I80" s="1177">
        <f>'3-A. CI Sub-Annex'!I84</f>
        <v>0</v>
      </c>
      <c r="J80" s="1177">
        <f>'3-A. CI Sub-Annex'!J84</f>
        <v>0</v>
      </c>
      <c r="K80" s="1177">
        <f>'3-A. CI Sub-Annex'!K84</f>
        <v>0</v>
      </c>
      <c r="L80" s="1177">
        <f>'3-A. CI Sub-Annex'!L84</f>
        <v>0</v>
      </c>
      <c r="M80" s="162">
        <f>'3-A. CI Sub-Annex'!M84</f>
        <v>0</v>
      </c>
      <c r="N80" s="1177">
        <f>'3-A. CI Sub-Annex'!N84</f>
        <v>0</v>
      </c>
      <c r="O80" s="2822">
        <f>'3-A. CI Sub-Annex'!O84</f>
        <v>0</v>
      </c>
      <c r="P80" s="3084">
        <f>'3-A. CI Sub-Annex'!P84</f>
        <v>0</v>
      </c>
      <c r="Q80" s="54"/>
      <c r="R80" s="2852"/>
    </row>
    <row r="81" spans="1:18">
      <c r="A81" s="1177" t="str">
        <f>'3.Community Intervention Annexn'!A32</f>
        <v>3.1.3.3</v>
      </c>
      <c r="B81" s="1177">
        <f>'3-A. CI Sub-Annex'!B85</f>
        <v>0</v>
      </c>
      <c r="C81" s="431" t="str">
        <f>'3-A. CI Sub-Annex'!C85</f>
        <v>Any other (please specify)</v>
      </c>
      <c r="D81" s="1170" t="str">
        <f>'3-A. CI Sub-Annex'!D85</f>
        <v>HSS</v>
      </c>
      <c r="E81" s="1177" t="str">
        <f>'3-A. CI Sub-Annex'!E85</f>
        <v>NHSRC-CP</v>
      </c>
      <c r="F81" s="1177">
        <f>'3-A. CI Sub-Annex'!F85</f>
        <v>270</v>
      </c>
      <c r="G81" s="1177">
        <f>'3-A. CI Sub-Annex'!G85</f>
        <v>0</v>
      </c>
      <c r="H81" s="1177">
        <f>'3-A. CI Sub-Annex'!H85</f>
        <v>2.7</v>
      </c>
      <c r="I81" s="1177">
        <f>'3-A. CI Sub-Annex'!I85</f>
        <v>0</v>
      </c>
      <c r="J81" s="1177">
        <f>'3-A. CI Sub-Annex'!J85</f>
        <v>2.7</v>
      </c>
      <c r="K81" s="1177">
        <f>'3-A. CI Sub-Annex'!K85</f>
        <v>0</v>
      </c>
      <c r="L81" s="1177">
        <f>'3-A. CI Sub-Annex'!L85</f>
        <v>0</v>
      </c>
      <c r="M81" s="162">
        <f>'3-A. CI Sub-Annex'!M85</f>
        <v>0</v>
      </c>
      <c r="N81" s="1177">
        <f>'3-A. CI Sub-Annex'!N85</f>
        <v>0</v>
      </c>
      <c r="O81" s="2822">
        <f>'3-A. CI Sub-Annex'!O85</f>
        <v>0</v>
      </c>
      <c r="P81" s="431">
        <f>'3-A. CI Sub-Annex'!P85</f>
        <v>0</v>
      </c>
      <c r="Q81" s="54"/>
      <c r="R81" s="2852"/>
    </row>
    <row r="82" spans="1:18">
      <c r="A82" s="1880">
        <f>'6.Procurement Annex'!A7</f>
        <v>6</v>
      </c>
      <c r="B82" s="1880"/>
      <c r="C82" s="1878" t="str">
        <f>'6.Procurement Annex'!C7</f>
        <v>Procurement</v>
      </c>
      <c r="D82" s="1880"/>
      <c r="E82" s="1880"/>
      <c r="F82" s="1880"/>
      <c r="G82" s="1880"/>
      <c r="H82" s="994"/>
      <c r="I82" s="1880"/>
      <c r="J82" s="994"/>
      <c r="K82" s="1880"/>
      <c r="L82" s="1880"/>
      <c r="M82" s="994"/>
      <c r="N82" s="1929"/>
      <c r="O82" s="2849"/>
      <c r="P82" s="1931"/>
      <c r="Q82" s="1889"/>
      <c r="R82" s="2855"/>
    </row>
    <row r="83" spans="1:18" ht="45">
      <c r="A83" s="4083" t="str">
        <f>'6.Procurement Annex'!A64</f>
        <v>6.2.2.1</v>
      </c>
      <c r="B83" s="952" t="str">
        <f>+'6-A. Proc. Sub-Annex'!B192</f>
        <v>B.16.2.10.1</v>
      </c>
      <c r="C83" s="88" t="str">
        <f>+'6-A. Proc. Sub-Annex'!C192</f>
        <v>New ASHA Drug Kits</v>
      </c>
      <c r="D83" s="158" t="str">
        <f>+'6-A. Proc. Sub-Annex'!D192</f>
        <v>HSS</v>
      </c>
      <c r="E83" s="158" t="str">
        <f>+'6-A. Proc. Sub-Annex'!E192</f>
        <v>CP</v>
      </c>
      <c r="F83" s="158">
        <f>+'6-A. Proc. Sub-Annex'!F192</f>
        <v>0</v>
      </c>
      <c r="G83" s="158">
        <f>+'6-A. Proc. Sub-Annex'!G192</f>
        <v>0</v>
      </c>
      <c r="H83" s="158">
        <f>+'6-A. Proc. Sub-Annex'!H192</f>
        <v>0</v>
      </c>
      <c r="I83" s="158">
        <f>+'6-A. Proc. Sub-Annex'!I192</f>
        <v>0</v>
      </c>
      <c r="J83" s="158">
        <f>+'6-A. Proc. Sub-Annex'!J192</f>
        <v>0</v>
      </c>
      <c r="K83" s="158">
        <f>+'6-A. Proc. Sub-Annex'!K192</f>
        <v>1</v>
      </c>
      <c r="L83" s="158">
        <f>+'6-A. Proc. Sub-Annex'!L192</f>
        <v>1000</v>
      </c>
      <c r="M83" s="162">
        <f>+'6-A. Proc. Sub-Annex'!M192</f>
        <v>0.01</v>
      </c>
      <c r="N83" s="158">
        <f>+'6-A. Proc. Sub-Annex'!N192</f>
        <v>150</v>
      </c>
      <c r="O83" s="2822">
        <f>+'6-A. Proc. Sub-Annex'!O192</f>
        <v>1.5</v>
      </c>
      <c r="P83" s="88">
        <f>+'6-A. Proc. Sub-Annex'!P192</f>
        <v>0</v>
      </c>
      <c r="Q83" s="69" t="s">
        <v>5808</v>
      </c>
      <c r="R83" s="2852">
        <v>1.5</v>
      </c>
    </row>
    <row r="84" spans="1:18" ht="45">
      <c r="A84" s="4084"/>
      <c r="B84" s="952" t="str">
        <f>+'6-A. Proc. Sub-Annex'!B193</f>
        <v>B.16.2.10.2</v>
      </c>
      <c r="C84" s="88" t="str">
        <f>+'6-A. Proc. Sub-Annex'!C193</f>
        <v>Replenishment of ASHA drug kits</v>
      </c>
      <c r="D84" s="158" t="str">
        <f>+'6-A. Proc. Sub-Annex'!D193</f>
        <v>HSS</v>
      </c>
      <c r="E84" s="158" t="str">
        <f>+'6-A. Proc. Sub-Annex'!E193</f>
        <v>CP</v>
      </c>
      <c r="F84" s="158">
        <f>+'6-A. Proc. Sub-Annex'!F193</f>
        <v>0</v>
      </c>
      <c r="G84" s="158">
        <f>+'6-A. Proc. Sub-Annex'!G193</f>
        <v>0</v>
      </c>
      <c r="H84" s="158">
        <f>+'6-A. Proc. Sub-Annex'!H193</f>
        <v>0</v>
      </c>
      <c r="I84" s="158">
        <f>+'6-A. Proc. Sub-Annex'!I193</f>
        <v>0</v>
      </c>
      <c r="J84" s="158">
        <f>+'6-A. Proc. Sub-Annex'!J193</f>
        <v>0</v>
      </c>
      <c r="K84" s="158">
        <f>+'6-A. Proc. Sub-Annex'!K193</f>
        <v>1</v>
      </c>
      <c r="L84" s="158">
        <f>+'6-A. Proc. Sub-Annex'!L193</f>
        <v>500</v>
      </c>
      <c r="M84" s="162">
        <f>+'6-A. Proc. Sub-Annex'!M193</f>
        <v>5.0000000000000001E-3</v>
      </c>
      <c r="N84" s="158">
        <f>+'6-A. Proc. Sub-Annex'!N193</f>
        <v>7964</v>
      </c>
      <c r="O84" s="2822">
        <f>+'6-A. Proc. Sub-Annex'!O193</f>
        <v>39.82</v>
      </c>
      <c r="P84" s="88">
        <f>+'6-A. Proc. Sub-Annex'!P193</f>
        <v>0</v>
      </c>
      <c r="Q84" s="353" t="s">
        <v>5894</v>
      </c>
      <c r="R84" s="3085">
        <v>0</v>
      </c>
    </row>
    <row r="85" spans="1:18" ht="30">
      <c r="A85" s="4084"/>
      <c r="B85" s="952" t="str">
        <f>+'6-A. Proc. Sub-Annex'!B194</f>
        <v>B.16.2.10.3.1</v>
      </c>
      <c r="C85" s="88" t="str">
        <f>+'6-A. Proc. Sub-Annex'!C194</f>
        <v>New ASHA HBNC Kits</v>
      </c>
      <c r="D85" s="158" t="str">
        <f>+'6-A. Proc. Sub-Annex'!D194</f>
        <v>HSS</v>
      </c>
      <c r="E85" s="158" t="str">
        <f>+'6-A. Proc. Sub-Annex'!E194</f>
        <v>CP</v>
      </c>
      <c r="F85" s="158">
        <f>+'6-A. Proc. Sub-Annex'!F194</f>
        <v>0</v>
      </c>
      <c r="G85" s="158">
        <f>+'6-A. Proc. Sub-Annex'!G194</f>
        <v>0</v>
      </c>
      <c r="H85" s="158">
        <f>+'6-A. Proc. Sub-Annex'!H194</f>
        <v>0</v>
      </c>
      <c r="I85" s="158">
        <f>+'6-A. Proc. Sub-Annex'!I194</f>
        <v>0</v>
      </c>
      <c r="J85" s="158">
        <f>+'6-A. Proc. Sub-Annex'!J194</f>
        <v>0</v>
      </c>
      <c r="K85" s="158">
        <f>+'6-A. Proc. Sub-Annex'!K194</f>
        <v>1</v>
      </c>
      <c r="L85" s="158">
        <f>+'6-A. Proc. Sub-Annex'!L194</f>
        <v>1000</v>
      </c>
      <c r="M85" s="162">
        <f>+'6-A. Proc. Sub-Annex'!M194</f>
        <v>0.01</v>
      </c>
      <c r="N85" s="158">
        <f>+'6-A. Proc. Sub-Annex'!N194</f>
        <v>150</v>
      </c>
      <c r="O85" s="2822">
        <f>+'6-A. Proc. Sub-Annex'!O194</f>
        <v>1.5</v>
      </c>
      <c r="P85" s="88">
        <f>+'6-A. Proc. Sub-Annex'!P194</f>
        <v>0</v>
      </c>
      <c r="Q85" s="69" t="s">
        <v>5809</v>
      </c>
      <c r="R85" s="2852">
        <v>1.5</v>
      </c>
    </row>
    <row r="86" spans="1:18" ht="120">
      <c r="A86" s="4084"/>
      <c r="B86" s="952" t="str">
        <f>+'6-A. Proc. Sub-Annex'!B195</f>
        <v>B.16.2.10.3.1.2</v>
      </c>
      <c r="C86" s="88" t="str">
        <f>+'6-A. Proc. Sub-Annex'!C195</f>
        <v>Replenishment of ASHA HBNC and HBYC kits</v>
      </c>
      <c r="D86" s="158" t="str">
        <f>+'6-A. Proc. Sub-Annex'!D195</f>
        <v>HSS</v>
      </c>
      <c r="E86" s="158" t="str">
        <f>+'6-A. Proc. Sub-Annex'!E195</f>
        <v>CP</v>
      </c>
      <c r="F86" s="158">
        <f>+'6-A. Proc. Sub-Annex'!F195</f>
        <v>7964</v>
      </c>
      <c r="G86" s="158">
        <f>+'6-A. Proc. Sub-Annex'!G195</f>
        <v>0</v>
      </c>
      <c r="H86" s="158">
        <f>+'6-A. Proc. Sub-Annex'!H195</f>
        <v>15.93</v>
      </c>
      <c r="I86" s="158">
        <f>+'6-A. Proc. Sub-Annex'!I195</f>
        <v>0</v>
      </c>
      <c r="J86" s="158">
        <f>+'6-A. Proc. Sub-Annex'!J195</f>
        <v>15.93</v>
      </c>
      <c r="K86" s="158">
        <f>+'6-A. Proc. Sub-Annex'!K195</f>
        <v>1</v>
      </c>
      <c r="L86" s="158">
        <f>+'6-A. Proc. Sub-Annex'!L195</f>
        <v>1000</v>
      </c>
      <c r="M86" s="162">
        <f>+'6-A. Proc. Sub-Annex'!M195</f>
        <v>0.01</v>
      </c>
      <c r="N86" s="158">
        <f>+'6-A. Proc. Sub-Annex'!N195</f>
        <v>2000</v>
      </c>
      <c r="O86" s="2822">
        <f>+'6-A. Proc. Sub-Annex'!O195</f>
        <v>20</v>
      </c>
      <c r="P86" s="88" t="str">
        <f>+'6-A. Proc. Sub-Annex'!P195</f>
        <v>It is proposed that the HBYC kits needed in the five districts (Chamba, Mandi, Sirmaur, Kullu &amp; Shimla). In District Mandi and Sirmaur HBYC training still going on and this year we proposed two more district Kullu and Shimla for FY 2021-22.</v>
      </c>
      <c r="Q86" s="69" t="s">
        <v>5895</v>
      </c>
      <c r="R86" s="2852">
        <v>20</v>
      </c>
    </row>
    <row r="87" spans="1:18">
      <c r="A87" s="4085"/>
      <c r="B87" s="952"/>
      <c r="C87" s="88" t="str">
        <f>+'6-A. Proc. Sub-Annex'!C196</f>
        <v>Any other Drugs &amp; Supplies (Please specify)</v>
      </c>
      <c r="D87" s="158" t="str">
        <f>+'6-A. Proc. Sub-Annex'!D196</f>
        <v>HSS</v>
      </c>
      <c r="E87" s="158" t="str">
        <f>+'6-A. Proc. Sub-Annex'!E196</f>
        <v>CP</v>
      </c>
      <c r="F87" s="158">
        <f>+'6-A. Proc. Sub-Annex'!F196</f>
        <v>0</v>
      </c>
      <c r="G87" s="158">
        <f>+'6-A. Proc. Sub-Annex'!G196</f>
        <v>0</v>
      </c>
      <c r="H87" s="158">
        <f>+'6-A. Proc. Sub-Annex'!H196</f>
        <v>0</v>
      </c>
      <c r="I87" s="158">
        <f>+'6-A. Proc. Sub-Annex'!I196</f>
        <v>0</v>
      </c>
      <c r="J87" s="158">
        <f>+'6-A. Proc. Sub-Annex'!J196</f>
        <v>0</v>
      </c>
      <c r="K87" s="158">
        <f>+'6-A. Proc. Sub-Annex'!K196</f>
        <v>0</v>
      </c>
      <c r="L87" s="158">
        <f>+'6-A. Proc. Sub-Annex'!L196</f>
        <v>0</v>
      </c>
      <c r="M87" s="162">
        <f>+'6-A. Proc. Sub-Annex'!M196</f>
        <v>0</v>
      </c>
      <c r="N87" s="158">
        <f>+'6-A. Proc. Sub-Annex'!N196</f>
        <v>0</v>
      </c>
      <c r="O87" s="2822">
        <f>+'6-A. Proc. Sub-Annex'!O196</f>
        <v>0</v>
      </c>
      <c r="P87" s="88">
        <f>+'6-A. Proc. Sub-Annex'!P196</f>
        <v>0</v>
      </c>
      <c r="Q87" s="69"/>
      <c r="R87" s="2852"/>
    </row>
    <row r="88" spans="1:18">
      <c r="A88" s="1812">
        <f>'9.Training Annex'!A7</f>
        <v>9</v>
      </c>
      <c r="B88" s="1812"/>
      <c r="C88" s="331" t="str">
        <f>'9.Training Annex'!C7</f>
        <v>Training and Capacity Building</v>
      </c>
      <c r="D88" s="1812"/>
      <c r="E88" s="1812"/>
      <c r="F88" s="1812"/>
      <c r="G88" s="1812"/>
      <c r="H88" s="994"/>
      <c r="I88" s="1812"/>
      <c r="J88" s="994"/>
      <c r="K88" s="1812"/>
      <c r="L88" s="1812"/>
      <c r="M88" s="994"/>
      <c r="N88" s="1929"/>
      <c r="O88" s="2849"/>
      <c r="P88" s="1931"/>
      <c r="Q88" s="1889"/>
      <c r="R88" s="2855"/>
    </row>
    <row r="89" spans="1:18">
      <c r="A89" s="4083" t="str">
        <f>'9.Training Annex'!A32</f>
        <v>9.2.2.3</v>
      </c>
      <c r="B89" s="952" t="str">
        <f>+'9-A.Training Sub-Annex'!B164</f>
        <v>B1.1.1.5.2</v>
      </c>
      <c r="C89" s="88" t="str">
        <f>+'9-A.Training Sub-Annex'!C164</f>
        <v>Training of District trainers</v>
      </c>
      <c r="D89" s="158" t="str">
        <f>+'9-A.Training Sub-Annex'!D164</f>
        <v>HSS</v>
      </c>
      <c r="E89" s="158" t="str">
        <f>+'9-A.Training Sub-Annex'!E164</f>
        <v>CP</v>
      </c>
      <c r="F89" s="158">
        <f>+'9-A.Training Sub-Annex'!F164</f>
        <v>0</v>
      </c>
      <c r="G89" s="158">
        <f>+'9-A.Training Sub-Annex'!G164</f>
        <v>0</v>
      </c>
      <c r="H89" s="158">
        <f>+'9-A.Training Sub-Annex'!H164</f>
        <v>0</v>
      </c>
      <c r="I89" s="158">
        <f>+'9-A.Training Sub-Annex'!I164</f>
        <v>0</v>
      </c>
      <c r="J89" s="158">
        <f>+'9-A.Training Sub-Annex'!J164</f>
        <v>0</v>
      </c>
      <c r="K89" s="158">
        <f>+'9-A.Training Sub-Annex'!K164</f>
        <v>0</v>
      </c>
      <c r="L89" s="158">
        <f>+'9-A.Training Sub-Annex'!L164</f>
        <v>0</v>
      </c>
      <c r="M89" s="162">
        <f>+'9-A.Training Sub-Annex'!M164</f>
        <v>0</v>
      </c>
      <c r="N89" s="158">
        <f>+'9-A.Training Sub-Annex'!N164</f>
        <v>0</v>
      </c>
      <c r="O89" s="2822">
        <f>+'9-A.Training Sub-Annex'!O164</f>
        <v>0</v>
      </c>
      <c r="P89" s="88">
        <f>+'9-A.Training Sub-Annex'!P164</f>
        <v>0</v>
      </c>
      <c r="Q89" s="69"/>
      <c r="R89" s="2852"/>
    </row>
    <row r="90" spans="1:18">
      <c r="A90" s="4084"/>
      <c r="B90" s="952" t="str">
        <f>+'9-A.Training Sub-Annex'!B165</f>
        <v>B1.1.6.1</v>
      </c>
      <c r="C90" s="88" t="str">
        <f>+'9-A.Training Sub-Annex'!C165</f>
        <v>Capacity Building of ARC HR at State Level</v>
      </c>
      <c r="D90" s="158" t="str">
        <f>+'9-A.Training Sub-Annex'!D165</f>
        <v>HSS</v>
      </c>
      <c r="E90" s="158" t="str">
        <f>+'9-A.Training Sub-Annex'!E165</f>
        <v>CP</v>
      </c>
      <c r="F90" s="158">
        <f>+'9-A.Training Sub-Annex'!F165</f>
        <v>0</v>
      </c>
      <c r="G90" s="158">
        <f>+'9-A.Training Sub-Annex'!G165</f>
        <v>0</v>
      </c>
      <c r="H90" s="158">
        <f>+'9-A.Training Sub-Annex'!H165</f>
        <v>0</v>
      </c>
      <c r="I90" s="158">
        <f>+'9-A.Training Sub-Annex'!I165</f>
        <v>0</v>
      </c>
      <c r="J90" s="158">
        <f>+'9-A.Training Sub-Annex'!J165</f>
        <v>0</v>
      </c>
      <c r="K90" s="158">
        <f>+'9-A.Training Sub-Annex'!K165</f>
        <v>0</v>
      </c>
      <c r="L90" s="158">
        <f>+'9-A.Training Sub-Annex'!L165</f>
        <v>0</v>
      </c>
      <c r="M90" s="162">
        <f>+'9-A.Training Sub-Annex'!M165</f>
        <v>0</v>
      </c>
      <c r="N90" s="158">
        <f>+'9-A.Training Sub-Annex'!N165</f>
        <v>0</v>
      </c>
      <c r="O90" s="2822">
        <f>+'9-A.Training Sub-Annex'!O165</f>
        <v>0</v>
      </c>
      <c r="P90" s="88">
        <f>+'9-A.Training Sub-Annex'!P165</f>
        <v>0</v>
      </c>
      <c r="Q90" s="69"/>
      <c r="R90" s="2852"/>
    </row>
    <row r="91" spans="1:18">
      <c r="A91" s="4084"/>
      <c r="B91" s="952" t="str">
        <f>+'9-A.Training Sub-Annex'!B166</f>
        <v>B1.1.6.2</v>
      </c>
      <c r="C91" s="88" t="str">
        <f>+'9-A.Training Sub-Annex'!C166</f>
        <v>Capacity Building of ARC HR at District Level</v>
      </c>
      <c r="D91" s="158" t="str">
        <f>+'9-A.Training Sub-Annex'!D166</f>
        <v>HSS</v>
      </c>
      <c r="E91" s="158" t="str">
        <f>+'9-A.Training Sub-Annex'!E166</f>
        <v>CP</v>
      </c>
      <c r="F91" s="158">
        <f>+'9-A.Training Sub-Annex'!F166</f>
        <v>0</v>
      </c>
      <c r="G91" s="158">
        <f>+'9-A.Training Sub-Annex'!G166</f>
        <v>0</v>
      </c>
      <c r="H91" s="158">
        <f>+'9-A.Training Sub-Annex'!H166</f>
        <v>0</v>
      </c>
      <c r="I91" s="158">
        <f>+'9-A.Training Sub-Annex'!I166</f>
        <v>0</v>
      </c>
      <c r="J91" s="158">
        <f>+'9-A.Training Sub-Annex'!J166</f>
        <v>0</v>
      </c>
      <c r="K91" s="158">
        <f>+'9-A.Training Sub-Annex'!K166</f>
        <v>0</v>
      </c>
      <c r="L91" s="158">
        <f>+'9-A.Training Sub-Annex'!L166</f>
        <v>0</v>
      </c>
      <c r="M91" s="162">
        <f>+'9-A.Training Sub-Annex'!M166</f>
        <v>0</v>
      </c>
      <c r="N91" s="158">
        <f>+'9-A.Training Sub-Annex'!N166</f>
        <v>0</v>
      </c>
      <c r="O91" s="2822">
        <f>+'9-A.Training Sub-Annex'!O166</f>
        <v>0</v>
      </c>
      <c r="P91" s="88">
        <f>+'9-A.Training Sub-Annex'!P166</f>
        <v>0</v>
      </c>
      <c r="Q91" s="69"/>
      <c r="R91" s="2852"/>
    </row>
    <row r="92" spans="1:18">
      <c r="A92" s="4084"/>
      <c r="B92" s="952" t="str">
        <f>+'9-A.Training Sub-Annex'!B167</f>
        <v>B1.1.6.3</v>
      </c>
      <c r="C92" s="88" t="str">
        <f>+'9-A.Training Sub-Annex'!C167</f>
        <v>Capacity Building of ARC HR at Block Level</v>
      </c>
      <c r="D92" s="158" t="str">
        <f>+'9-A.Training Sub-Annex'!D167</f>
        <v>HSS</v>
      </c>
      <c r="E92" s="158" t="str">
        <f>+'9-A.Training Sub-Annex'!E167</f>
        <v>CP</v>
      </c>
      <c r="F92" s="158">
        <f>+'9-A.Training Sub-Annex'!F167</f>
        <v>0</v>
      </c>
      <c r="G92" s="158">
        <f>+'9-A.Training Sub-Annex'!G167</f>
        <v>0</v>
      </c>
      <c r="H92" s="158">
        <f>+'9-A.Training Sub-Annex'!H167</f>
        <v>0</v>
      </c>
      <c r="I92" s="158">
        <f>+'9-A.Training Sub-Annex'!I167</f>
        <v>0</v>
      </c>
      <c r="J92" s="158">
        <f>+'9-A.Training Sub-Annex'!J167</f>
        <v>0</v>
      </c>
      <c r="K92" s="158">
        <f>+'9-A.Training Sub-Annex'!K167</f>
        <v>0</v>
      </c>
      <c r="L92" s="158">
        <f>+'9-A.Training Sub-Annex'!L167</f>
        <v>0</v>
      </c>
      <c r="M92" s="162">
        <f>+'9-A.Training Sub-Annex'!M167</f>
        <v>0</v>
      </c>
      <c r="N92" s="158">
        <f>+'9-A.Training Sub-Annex'!N167</f>
        <v>0</v>
      </c>
      <c r="O92" s="2822">
        <f>+'9-A.Training Sub-Annex'!O167</f>
        <v>0</v>
      </c>
      <c r="P92" s="88">
        <f>+'9-A.Training Sub-Annex'!P167</f>
        <v>0</v>
      </c>
      <c r="Q92" s="69"/>
      <c r="R92" s="2852"/>
    </row>
    <row r="93" spans="1:18">
      <c r="A93" s="4085"/>
      <c r="B93" s="952"/>
      <c r="C93" s="88" t="str">
        <f>+'9-A.Training Sub-Annex'!C168</f>
        <v>Any other (please specify)</v>
      </c>
      <c r="D93" s="158" t="str">
        <f>+'9-A.Training Sub-Annex'!D168</f>
        <v>HSS</v>
      </c>
      <c r="E93" s="158" t="str">
        <f>+'9-A.Training Sub-Annex'!E168</f>
        <v>CP</v>
      </c>
      <c r="F93" s="158">
        <f>+'9-A.Training Sub-Annex'!F168</f>
        <v>0</v>
      </c>
      <c r="G93" s="158">
        <f>+'9-A.Training Sub-Annex'!G168</f>
        <v>0</v>
      </c>
      <c r="H93" s="158">
        <f>+'9-A.Training Sub-Annex'!H168</f>
        <v>0</v>
      </c>
      <c r="I93" s="158">
        <f>+'9-A.Training Sub-Annex'!I168</f>
        <v>0</v>
      </c>
      <c r="J93" s="158">
        <f>+'9-A.Training Sub-Annex'!J168</f>
        <v>0</v>
      </c>
      <c r="K93" s="158">
        <f>+'9-A.Training Sub-Annex'!K168</f>
        <v>0</v>
      </c>
      <c r="L93" s="158">
        <f>+'9-A.Training Sub-Annex'!L168</f>
        <v>0</v>
      </c>
      <c r="M93" s="162">
        <f>+'9-A.Training Sub-Annex'!M168</f>
        <v>0</v>
      </c>
      <c r="N93" s="158">
        <f>+'9-A.Training Sub-Annex'!N168</f>
        <v>0</v>
      </c>
      <c r="O93" s="2822">
        <f>+'9-A.Training Sub-Annex'!O168</f>
        <v>0</v>
      </c>
      <c r="P93" s="88">
        <f>+'9-A.Training Sub-Annex'!P168</f>
        <v>0</v>
      </c>
      <c r="Q93" s="69"/>
      <c r="R93" s="2852"/>
    </row>
    <row r="94" spans="1:18">
      <c r="A94" s="1880">
        <f>'11.IEC-BCC Annex'!A7</f>
        <v>11</v>
      </c>
      <c r="B94" s="1940"/>
      <c r="C94" s="1878" t="str">
        <f>'11.IEC-BCC Annex'!C7</f>
        <v>IEC/BCC</v>
      </c>
      <c r="D94" s="1880"/>
      <c r="E94" s="1880"/>
      <c r="F94" s="1880"/>
      <c r="G94" s="1880"/>
      <c r="H94" s="994"/>
      <c r="I94" s="1880"/>
      <c r="J94" s="994"/>
      <c r="K94" s="1880"/>
      <c r="L94" s="1880"/>
      <c r="M94" s="994"/>
      <c r="N94" s="1929"/>
      <c r="O94" s="2849"/>
      <c r="P94" s="1931"/>
      <c r="Q94" s="1889"/>
      <c r="R94" s="2855"/>
    </row>
    <row r="95" spans="1:18">
      <c r="A95" s="4083" t="str">
        <f>'11.IEC-BCC Annex'!A33</f>
        <v>11.4.2</v>
      </c>
      <c r="B95" s="952"/>
      <c r="C95" s="88">
        <f>'11-A. IEC Sub-Annex'!C41</f>
        <v>0</v>
      </c>
      <c r="D95" s="158" t="str">
        <f>'11-A. IEC Sub-Annex'!D41</f>
        <v>HSS</v>
      </c>
      <c r="E95" s="158" t="str">
        <f>'11-A. IEC Sub-Annex'!E41</f>
        <v>CP</v>
      </c>
      <c r="F95" s="158">
        <f>'11-A. IEC Sub-Annex'!F41</f>
        <v>0</v>
      </c>
      <c r="G95" s="158">
        <f>'11-A. IEC Sub-Annex'!G41</f>
        <v>0</v>
      </c>
      <c r="H95" s="158">
        <f>'11-A. IEC Sub-Annex'!H41</f>
        <v>0</v>
      </c>
      <c r="I95" s="158">
        <f>'11-A. IEC Sub-Annex'!I41</f>
        <v>0</v>
      </c>
      <c r="J95" s="158">
        <f>'11-A. IEC Sub-Annex'!J41</f>
        <v>0</v>
      </c>
      <c r="K95" s="158">
        <f>'11-A. IEC Sub-Annex'!K41</f>
        <v>0</v>
      </c>
      <c r="L95" s="158">
        <f>'11-A. IEC Sub-Annex'!L41</f>
        <v>0</v>
      </c>
      <c r="M95" s="162">
        <f>'11-A. IEC Sub-Annex'!M41</f>
        <v>0</v>
      </c>
      <c r="N95" s="158">
        <f>'11-A. IEC Sub-Annex'!N41</f>
        <v>0</v>
      </c>
      <c r="O95" s="2822">
        <f>'11-A. IEC Sub-Annex'!O41</f>
        <v>0</v>
      </c>
      <c r="P95" s="88">
        <f>'11-A. IEC Sub-Annex'!P41</f>
        <v>0</v>
      </c>
      <c r="Q95" s="69"/>
      <c r="R95" s="2852"/>
    </row>
    <row r="96" spans="1:18">
      <c r="A96" s="4085"/>
      <c r="B96" s="952"/>
      <c r="C96" s="88">
        <f>'11-A. IEC Sub-Annex'!C42</f>
        <v>0</v>
      </c>
      <c r="D96" s="158" t="str">
        <f>'11-A. IEC Sub-Annex'!D42</f>
        <v>HSS</v>
      </c>
      <c r="E96" s="158" t="str">
        <f>'11-A. IEC Sub-Annex'!E42</f>
        <v>CP</v>
      </c>
      <c r="F96" s="158">
        <f>'11-A. IEC Sub-Annex'!F42</f>
        <v>0</v>
      </c>
      <c r="G96" s="158">
        <f>'11-A. IEC Sub-Annex'!G42</f>
        <v>0</v>
      </c>
      <c r="H96" s="158">
        <f>'11-A. IEC Sub-Annex'!H42</f>
        <v>0</v>
      </c>
      <c r="I96" s="158">
        <f>'11-A. IEC Sub-Annex'!I42</f>
        <v>0</v>
      </c>
      <c r="J96" s="158">
        <f>'11-A. IEC Sub-Annex'!J42</f>
        <v>0</v>
      </c>
      <c r="K96" s="158">
        <f>'11-A. IEC Sub-Annex'!K42</f>
        <v>0</v>
      </c>
      <c r="L96" s="158">
        <f>'11-A. IEC Sub-Annex'!L42</f>
        <v>0</v>
      </c>
      <c r="M96" s="162">
        <f>'11-A. IEC Sub-Annex'!M42</f>
        <v>0</v>
      </c>
      <c r="N96" s="158">
        <f>'11-A. IEC Sub-Annex'!N42</f>
        <v>0</v>
      </c>
      <c r="O96" s="2822">
        <f>'11-A. IEC Sub-Annex'!O42</f>
        <v>0</v>
      </c>
      <c r="P96" s="88">
        <f>'11-A. IEC Sub-Annex'!P42</f>
        <v>0</v>
      </c>
      <c r="Q96" s="69"/>
      <c r="R96" s="2852"/>
    </row>
    <row r="97" spans="1:18">
      <c r="A97" s="1880">
        <f>'12.Printing Annex'!A7</f>
        <v>12</v>
      </c>
      <c r="B97" s="1880"/>
      <c r="C97" s="1878" t="str">
        <f>'12.Printing Annex'!C7</f>
        <v>Printing</v>
      </c>
      <c r="D97" s="1880"/>
      <c r="E97" s="1880"/>
      <c r="F97" s="1880"/>
      <c r="G97" s="1880"/>
      <c r="H97" s="994"/>
      <c r="I97" s="1880"/>
      <c r="J97" s="994"/>
      <c r="K97" s="1880"/>
      <c r="L97" s="1880"/>
      <c r="M97" s="994"/>
      <c r="N97" s="1929"/>
      <c r="O97" s="2849"/>
      <c r="P97" s="1931"/>
      <c r="Q97" s="1889"/>
      <c r="R97" s="2855"/>
    </row>
    <row r="98" spans="1:18" ht="60">
      <c r="A98" s="4083" t="str">
        <f>'12.Printing Annex'!A18</f>
        <v>12.2.2</v>
      </c>
      <c r="B98" s="952" t="str">
        <f>'12-A. Print Sub-Annex'!B59</f>
        <v>B1.1.3.7</v>
      </c>
      <c r="C98" s="88" t="str">
        <f>+'12-A. Print Sub-Annex'!C59</f>
        <v>Printing of ASHA diary</v>
      </c>
      <c r="D98" s="158" t="str">
        <f>+'12-A. Print Sub-Annex'!D59</f>
        <v>HSS</v>
      </c>
      <c r="E98" s="158" t="str">
        <f>+'12-A. Print Sub-Annex'!E59</f>
        <v>CP</v>
      </c>
      <c r="F98" s="158">
        <f>+'12-A. Print Sub-Annex'!F59</f>
        <v>0</v>
      </c>
      <c r="G98" s="158">
        <f>+'12-A. Print Sub-Annex'!G59</f>
        <v>0</v>
      </c>
      <c r="H98" s="158">
        <f>+'12-A. Print Sub-Annex'!H59</f>
        <v>0</v>
      </c>
      <c r="I98" s="158">
        <f>+'12-A. Print Sub-Annex'!I59</f>
        <v>0</v>
      </c>
      <c r="J98" s="158">
        <f>+'12-A. Print Sub-Annex'!J59</f>
        <v>0</v>
      </c>
      <c r="K98" s="158">
        <f>+'12-A. Print Sub-Annex'!K59</f>
        <v>1</v>
      </c>
      <c r="L98" s="158">
        <f>+'12-A. Print Sub-Annex'!L59</f>
        <v>100</v>
      </c>
      <c r="M98" s="162">
        <f>+'12-A. Print Sub-Annex'!M59</f>
        <v>1E-3</v>
      </c>
      <c r="N98" s="158">
        <f>+'12-A. Print Sub-Annex'!N59</f>
        <v>9000</v>
      </c>
      <c r="O98" s="2822">
        <f>+'12-A. Print Sub-Annex'!O59</f>
        <v>9</v>
      </c>
      <c r="P98" s="88" t="str">
        <f>+'12-A. Print Sub-Annex'!P59</f>
        <v xml:space="preserve">Rs. 100/- per diary cost </v>
      </c>
      <c r="Q98" s="69" t="s">
        <v>5810</v>
      </c>
      <c r="R98" s="2852">
        <v>9</v>
      </c>
    </row>
    <row r="99" spans="1:18" ht="90">
      <c r="A99" s="4084"/>
      <c r="B99" s="952"/>
      <c r="C99" s="88" t="str">
        <f>+'12-A. Print Sub-Annex'!C60</f>
        <v>Printing of ASHA Modules and formats</v>
      </c>
      <c r="D99" s="158" t="str">
        <f>+'12-A. Print Sub-Annex'!D60</f>
        <v>HSS</v>
      </c>
      <c r="E99" s="158" t="str">
        <f>+'12-A. Print Sub-Annex'!E60</f>
        <v>CP</v>
      </c>
      <c r="F99" s="158">
        <f>+'12-A. Print Sub-Annex'!F60</f>
        <v>280</v>
      </c>
      <c r="G99" s="158">
        <f>+'12-A. Print Sub-Annex'!G60</f>
        <v>0</v>
      </c>
      <c r="H99" s="158">
        <f>+'12-A. Print Sub-Annex'!H60</f>
        <v>0.56000000000000005</v>
      </c>
      <c r="I99" s="158">
        <f>+'12-A. Print Sub-Annex'!I60</f>
        <v>0</v>
      </c>
      <c r="J99" s="158">
        <f>+'12-A. Print Sub-Annex'!J60</f>
        <v>0</v>
      </c>
      <c r="K99" s="158">
        <f>+'12-A. Print Sub-Annex'!K60</f>
        <v>1</v>
      </c>
      <c r="L99" s="158">
        <f>+'12-A. Print Sub-Annex'!L60</f>
        <v>300</v>
      </c>
      <c r="M99" s="162">
        <f>+'12-A. Print Sub-Annex'!M60</f>
        <v>3.0000000000000001E-3</v>
      </c>
      <c r="N99" s="158">
        <f>+'12-A. Print Sub-Annex'!N60</f>
        <v>8415</v>
      </c>
      <c r="O99" s="2822">
        <f>+'12-A. Print Sub-Annex'!O60</f>
        <v>25.245000000000001</v>
      </c>
      <c r="P99" s="88" t="str">
        <f>+'12-A. Print Sub-Annex'!P60</f>
        <v>It is proposed that the newly recruited ASHA training for module 6 &amp; 7 (250 no) for 4 round each and printing of Incentive voucher for 8066 ASHAs.</v>
      </c>
      <c r="Q99" s="353" t="s">
        <v>5896</v>
      </c>
      <c r="R99" s="3085">
        <v>16.829999999999998</v>
      </c>
    </row>
    <row r="100" spans="1:18">
      <c r="A100" s="4084"/>
      <c r="B100" s="952"/>
      <c r="C100" s="88" t="str">
        <f>+'12-A. Print Sub-Annex'!C61</f>
        <v>Printing of CBAC format</v>
      </c>
      <c r="D100" s="158" t="str">
        <f>+'12-A. Print Sub-Annex'!D61</f>
        <v>HSS</v>
      </c>
      <c r="E100" s="158" t="str">
        <f>+'12-A. Print Sub-Annex'!E61</f>
        <v>CP</v>
      </c>
      <c r="F100" s="158">
        <f>+'12-A. Print Sub-Annex'!F61</f>
        <v>0</v>
      </c>
      <c r="G100" s="158">
        <f>+'12-A. Print Sub-Annex'!G61</f>
        <v>0</v>
      </c>
      <c r="H100" s="158">
        <f>+'12-A. Print Sub-Annex'!H61</f>
        <v>0</v>
      </c>
      <c r="I100" s="158">
        <f>+'12-A. Print Sub-Annex'!I61</f>
        <v>0</v>
      </c>
      <c r="J100" s="158">
        <f>+'12-A. Print Sub-Annex'!J61</f>
        <v>0</v>
      </c>
      <c r="K100" s="158">
        <f>+'12-A. Print Sub-Annex'!K61</f>
        <v>0</v>
      </c>
      <c r="L100" s="158">
        <f>+'12-A. Print Sub-Annex'!L61</f>
        <v>0</v>
      </c>
      <c r="M100" s="162">
        <f>+'12-A. Print Sub-Annex'!M61</f>
        <v>0</v>
      </c>
      <c r="N100" s="158">
        <f>+'12-A. Print Sub-Annex'!N61</f>
        <v>0</v>
      </c>
      <c r="O100" s="2822">
        <f>+'12-A. Print Sub-Annex'!O61</f>
        <v>0</v>
      </c>
      <c r="P100" s="88">
        <f>+'12-A. Print Sub-Annex'!P61</f>
        <v>0</v>
      </c>
      <c r="Q100" s="69"/>
      <c r="R100" s="2852"/>
    </row>
    <row r="101" spans="1:18">
      <c r="A101" s="4084"/>
      <c r="B101" s="952"/>
      <c r="C101" s="88" t="str">
        <f>+'12-A. Print Sub-Annex'!C62</f>
        <v>ASHA communication kit</v>
      </c>
      <c r="D101" s="158" t="str">
        <f>+'12-A. Print Sub-Annex'!D62</f>
        <v>HSS</v>
      </c>
      <c r="E101" s="158" t="str">
        <f>+'12-A. Print Sub-Annex'!E62</f>
        <v>CP</v>
      </c>
      <c r="F101" s="158">
        <f>+'12-A. Print Sub-Annex'!F62</f>
        <v>0</v>
      </c>
      <c r="G101" s="158">
        <f>+'12-A. Print Sub-Annex'!G62</f>
        <v>0</v>
      </c>
      <c r="H101" s="158">
        <f>+'12-A. Print Sub-Annex'!H62</f>
        <v>0</v>
      </c>
      <c r="I101" s="158">
        <f>+'12-A. Print Sub-Annex'!I62</f>
        <v>0</v>
      </c>
      <c r="J101" s="158">
        <f>+'12-A. Print Sub-Annex'!J62</f>
        <v>0</v>
      </c>
      <c r="K101" s="158">
        <f>+'12-A. Print Sub-Annex'!K62</f>
        <v>0</v>
      </c>
      <c r="L101" s="158">
        <f>+'12-A. Print Sub-Annex'!L62</f>
        <v>0</v>
      </c>
      <c r="M101" s="162">
        <f>+'12-A. Print Sub-Annex'!M62</f>
        <v>0</v>
      </c>
      <c r="N101" s="158">
        <f>+'12-A. Print Sub-Annex'!N62</f>
        <v>0</v>
      </c>
      <c r="O101" s="2822">
        <f>+'12-A. Print Sub-Annex'!O62</f>
        <v>0</v>
      </c>
      <c r="P101" s="88">
        <f>+'12-A. Print Sub-Annex'!P62</f>
        <v>0</v>
      </c>
      <c r="Q101" s="69"/>
      <c r="R101" s="2852"/>
    </row>
    <row r="102" spans="1:18">
      <c r="A102" s="4085"/>
      <c r="B102" s="952"/>
      <c r="C102" s="88" t="str">
        <f>+'12-A. Print Sub-Annex'!C63</f>
        <v>Any other (please specify)</v>
      </c>
      <c r="D102" s="158" t="str">
        <f>+'12-A. Print Sub-Annex'!D63</f>
        <v>HSS</v>
      </c>
      <c r="E102" s="158" t="str">
        <f>+'12-A. Print Sub-Annex'!E63</f>
        <v>CP</v>
      </c>
      <c r="F102" s="158">
        <f>+'12-A. Print Sub-Annex'!F63</f>
        <v>0</v>
      </c>
      <c r="G102" s="158">
        <f>+'12-A. Print Sub-Annex'!G63</f>
        <v>0</v>
      </c>
      <c r="H102" s="158">
        <f>+'12-A. Print Sub-Annex'!H63</f>
        <v>0</v>
      </c>
      <c r="I102" s="158">
        <f>+'12-A. Print Sub-Annex'!I63</f>
        <v>0</v>
      </c>
      <c r="J102" s="158">
        <f>+'12-A. Print Sub-Annex'!J63</f>
        <v>0</v>
      </c>
      <c r="K102" s="158">
        <f>+'12-A. Print Sub-Annex'!K63</f>
        <v>0</v>
      </c>
      <c r="L102" s="158">
        <f>+'12-A. Print Sub-Annex'!L63</f>
        <v>0</v>
      </c>
      <c r="M102" s="162">
        <f>+'12-A. Print Sub-Annex'!M63</f>
        <v>0</v>
      </c>
      <c r="N102" s="158">
        <f>+'12-A. Print Sub-Annex'!N63</f>
        <v>0</v>
      </c>
      <c r="O102" s="2822">
        <f>+'12-A. Print Sub-Annex'!O63</f>
        <v>0</v>
      </c>
      <c r="P102" s="88">
        <f>+'12-A. Print Sub-Annex'!P63</f>
        <v>0</v>
      </c>
      <c r="Q102" s="69"/>
      <c r="R102" s="2852"/>
    </row>
    <row r="103" spans="1:18">
      <c r="A103" s="1880">
        <f>'16.PM Annex'!A7</f>
        <v>16</v>
      </c>
      <c r="B103" s="1880"/>
      <c r="C103" s="1878" t="str">
        <f>'16.PM Annex'!C7</f>
        <v>Programme Management</v>
      </c>
      <c r="D103" s="1880"/>
      <c r="E103" s="1880"/>
      <c r="F103" s="1880"/>
      <c r="G103" s="1880"/>
      <c r="H103" s="994"/>
      <c r="I103" s="1880"/>
      <c r="J103" s="994"/>
      <c r="K103" s="1880"/>
      <c r="L103" s="1880"/>
      <c r="M103" s="994"/>
      <c r="N103" s="1929"/>
      <c r="O103" s="2859"/>
      <c r="P103" s="1931"/>
      <c r="Q103" s="1889"/>
      <c r="R103" s="2856"/>
    </row>
    <row r="104" spans="1:18" ht="30">
      <c r="A104" s="952" t="str">
        <f>'16-A. PM sub Annex'!A30</f>
        <v>16.1.2.1.9</v>
      </c>
      <c r="B104" s="952" t="e">
        <f>'16-A. PM sub Annex'!#REF!</f>
        <v>#REF!</v>
      </c>
      <c r="C104" s="88" t="str">
        <f>'16-A. PM sub Annex'!C30</f>
        <v xml:space="preserve">Monthly Review meeting of ASHA facilitators with BCM at block level-Meeting Expenses </v>
      </c>
      <c r="D104" s="158" t="str">
        <f>'16-A. PM sub Annex'!D30</f>
        <v>HSS</v>
      </c>
      <c r="E104" s="158" t="str">
        <f>'16-A. PM sub Annex'!E30</f>
        <v>HRH&amp;HPIP/ NHSRC-CP</v>
      </c>
      <c r="F104" s="158">
        <f>'16-A. PM sub Annex'!F30</f>
        <v>0</v>
      </c>
      <c r="G104" s="158">
        <f>'16-A. PM sub Annex'!G30</f>
        <v>0</v>
      </c>
      <c r="H104" s="158">
        <f>'16-A. PM sub Annex'!H30</f>
        <v>0</v>
      </c>
      <c r="I104" s="158">
        <f>'16-A. PM sub Annex'!I30</f>
        <v>0</v>
      </c>
      <c r="J104" s="158">
        <f>'16-A. PM sub Annex'!J30</f>
        <v>0</v>
      </c>
      <c r="K104" s="158">
        <f>'16-A. PM sub Annex'!K30</f>
        <v>0</v>
      </c>
      <c r="L104" s="158">
        <f>'16-A. PM sub Annex'!L30</f>
        <v>0</v>
      </c>
      <c r="M104" s="162">
        <f>'16-A. PM sub Annex'!M30</f>
        <v>0</v>
      </c>
      <c r="N104" s="158">
        <f>'16-A. PM sub Annex'!N30</f>
        <v>0</v>
      </c>
      <c r="O104" s="2822">
        <f>'16-A. PM sub Annex'!O30</f>
        <v>0</v>
      </c>
      <c r="P104" s="88">
        <f>'16-A. PM sub Annex'!P30</f>
        <v>0</v>
      </c>
      <c r="Q104" s="69"/>
      <c r="R104" s="2852"/>
    </row>
    <row r="105" spans="1:18" ht="30">
      <c r="A105" s="952" t="str">
        <f>'16-A. PM sub Annex'!A73</f>
        <v>16.1.3.1.4</v>
      </c>
      <c r="B105" s="952" t="e">
        <f>'16-A. PM sub Annex'!#REF!</f>
        <v>#REF!</v>
      </c>
      <c r="C105" s="88" t="str">
        <f>'16-A. PM sub Annex'!C73</f>
        <v>Mobility Costs for ASHA Resource Centre/ASHA Mentoring Group (Kindly Specify)</v>
      </c>
      <c r="D105" s="158" t="str">
        <f>'16-A. PM sub Annex'!D73</f>
        <v>HSS</v>
      </c>
      <c r="E105" s="158" t="str">
        <f>'16-A. PM sub Annex'!E73</f>
        <v>HRH&amp;HPIP/NHSRC-CP</v>
      </c>
      <c r="F105" s="158">
        <f>'16-A. PM sub Annex'!F73</f>
        <v>0</v>
      </c>
      <c r="G105" s="158">
        <f>'16-A. PM sub Annex'!G73</f>
        <v>0</v>
      </c>
      <c r="H105" s="158">
        <f>'16-A. PM sub Annex'!H73</f>
        <v>0</v>
      </c>
      <c r="I105" s="158">
        <f>'16-A. PM sub Annex'!I73</f>
        <v>0</v>
      </c>
      <c r="J105" s="158">
        <f>'16-A. PM sub Annex'!J73</f>
        <v>0</v>
      </c>
      <c r="K105" s="158">
        <f>'16-A. PM sub Annex'!K73</f>
        <v>0</v>
      </c>
      <c r="L105" s="158">
        <f>'16-A. PM sub Annex'!L73</f>
        <v>0</v>
      </c>
      <c r="M105" s="162">
        <f>'16-A. PM sub Annex'!M73</f>
        <v>0</v>
      </c>
      <c r="N105" s="158">
        <f>'16-A. PM sub Annex'!N73</f>
        <v>0</v>
      </c>
      <c r="O105" s="2822">
        <f>'16-A. PM sub Annex'!O73</f>
        <v>0</v>
      </c>
      <c r="P105" s="88">
        <f>'16-A. PM sub Annex'!P73</f>
        <v>0</v>
      </c>
      <c r="Q105" s="69"/>
      <c r="R105" s="2852"/>
    </row>
    <row r="106" spans="1:18" ht="30">
      <c r="A106" s="952" t="str">
        <f>'16-A. PM sub Annex'!A99</f>
        <v>16.1.3.3.5</v>
      </c>
      <c r="B106" s="952" t="e">
        <f>'16-A. PM sub Annex'!#REF!</f>
        <v>#REF!</v>
      </c>
      <c r="C106" s="88" t="str">
        <f>'16-A. PM sub Annex'!C99</f>
        <v>Mobility Costs for ASHA Resource Centre/ASHA Mentoring Group (Kindly Specify)</v>
      </c>
      <c r="D106" s="158" t="str">
        <f>'16-A. PM sub Annex'!D99</f>
        <v>HSS</v>
      </c>
      <c r="E106" s="158" t="str">
        <f>'16-A. PM sub Annex'!E99</f>
        <v>HRH&amp;HPIP/NHSRC-CP</v>
      </c>
      <c r="F106" s="158">
        <f>'16-A. PM sub Annex'!F99</f>
        <v>0</v>
      </c>
      <c r="G106" s="158">
        <f>'16-A. PM sub Annex'!G99</f>
        <v>0</v>
      </c>
      <c r="H106" s="158">
        <f>'16-A. PM sub Annex'!H99</f>
        <v>0</v>
      </c>
      <c r="I106" s="158">
        <f>'16-A. PM sub Annex'!I99</f>
        <v>0</v>
      </c>
      <c r="J106" s="158">
        <f>'16-A. PM sub Annex'!J99</f>
        <v>0</v>
      </c>
      <c r="K106" s="158">
        <f>'16-A. PM sub Annex'!K99</f>
        <v>0</v>
      </c>
      <c r="L106" s="158">
        <f>'16-A. PM sub Annex'!L99</f>
        <v>0</v>
      </c>
      <c r="M106" s="162">
        <f>'16-A. PM sub Annex'!M99</f>
        <v>0</v>
      </c>
      <c r="N106" s="158">
        <f>'16-A. PM sub Annex'!N99</f>
        <v>0</v>
      </c>
      <c r="O106" s="2822">
        <f>'16-A. PM sub Annex'!O99</f>
        <v>0</v>
      </c>
      <c r="P106" s="88">
        <f>'16-A. PM sub Annex'!P99</f>
        <v>0</v>
      </c>
      <c r="Q106" s="69"/>
      <c r="R106" s="2852"/>
    </row>
    <row r="107" spans="1:18" ht="30">
      <c r="A107" s="952" t="str">
        <f>'16-A. PM sub Annex'!A115</f>
        <v>16.1.3.4.4</v>
      </c>
      <c r="B107" s="952" t="e">
        <f>'16-A. PM sub Annex'!#REF!</f>
        <v>#REF!</v>
      </c>
      <c r="C107" s="88" t="str">
        <f>'16-A. PM sub Annex'!C115</f>
        <v xml:space="preserve">Monthly Review meeting of ASHA facilitators with BCM at block level-cost of travel and meeting expenses </v>
      </c>
      <c r="D107" s="158" t="str">
        <f>'16-A. PM sub Annex'!D115</f>
        <v>HSS</v>
      </c>
      <c r="E107" s="158" t="str">
        <f>'16-A. PM sub Annex'!E115</f>
        <v>HRH&amp;HPIP/NHSRC-CP</v>
      </c>
      <c r="F107" s="158">
        <f>'16-A. PM sub Annex'!F115</f>
        <v>0</v>
      </c>
      <c r="G107" s="158">
        <f>'16-A. PM sub Annex'!G115</f>
        <v>0</v>
      </c>
      <c r="H107" s="158">
        <f>'16-A. PM sub Annex'!H115</f>
        <v>0</v>
      </c>
      <c r="I107" s="158">
        <f>'16-A. PM sub Annex'!I115</f>
        <v>0</v>
      </c>
      <c r="J107" s="158">
        <f>'16-A. PM sub Annex'!J115</f>
        <v>0</v>
      </c>
      <c r="K107" s="158">
        <f>'16-A. PM sub Annex'!K115</f>
        <v>0</v>
      </c>
      <c r="L107" s="158">
        <f>'16-A. PM sub Annex'!L115</f>
        <v>0</v>
      </c>
      <c r="M107" s="162">
        <f>'16-A. PM sub Annex'!M115</f>
        <v>0</v>
      </c>
      <c r="N107" s="158">
        <f>'16-A. PM sub Annex'!N115</f>
        <v>0</v>
      </c>
      <c r="O107" s="2822">
        <f>'16-A. PM sub Annex'!O115</f>
        <v>0</v>
      </c>
      <c r="P107" s="88">
        <f>'16-A. PM sub Annex'!P115</f>
        <v>0</v>
      </c>
      <c r="Q107" s="69"/>
      <c r="R107" s="2852"/>
    </row>
  </sheetData>
  <sheetProtection formatCells="0" formatColumns="0" formatRows="0" autoFilter="0"/>
  <autoFilter ref="A5:M107"/>
  <mergeCells count="13">
    <mergeCell ref="A83:A87"/>
    <mergeCell ref="A89:A93"/>
    <mergeCell ref="A95:A96"/>
    <mergeCell ref="A98:A102"/>
    <mergeCell ref="Q4:R4"/>
    <mergeCell ref="E4:E5"/>
    <mergeCell ref="F4:J4"/>
    <mergeCell ref="K4:P4"/>
    <mergeCell ref="A1:C1"/>
    <mergeCell ref="A4:A5"/>
    <mergeCell ref="B4:B5"/>
    <mergeCell ref="C4:C5"/>
    <mergeCell ref="D4:D5"/>
  </mergeCells>
  <pageMargins left="0.7" right="0.7" top="0.75" bottom="0.75" header="0.3" footer="0.3"/>
</worksheet>
</file>

<file path=xl/worksheets/sheet31.xml><?xml version="1.0" encoding="utf-8"?>
<worksheet xmlns="http://schemas.openxmlformats.org/spreadsheetml/2006/main" xmlns:r="http://schemas.openxmlformats.org/officeDocument/2006/relationships">
  <sheetPr codeName="Sheet16">
    <tabColor rgb="FF92D050"/>
  </sheetPr>
  <dimension ref="A1:R28"/>
  <sheetViews>
    <sheetView zoomScale="80" zoomScaleNormal="80" workbookViewId="0">
      <pane xSplit="3" ySplit="5" topLeftCell="K20" activePane="bottomRight" state="frozen"/>
      <selection activeCell="C107" sqref="C107"/>
      <selection pane="topRight" activeCell="C107" sqref="C107"/>
      <selection pane="bottomLeft" activeCell="C107" sqref="C107"/>
      <selection pane="bottomRight" activeCell="S20" sqref="S20"/>
    </sheetView>
  </sheetViews>
  <sheetFormatPr defaultColWidth="8.85546875" defaultRowHeight="15"/>
  <cols>
    <col min="1" max="1" width="10.140625" style="2802" bestFit="1" customWidth="1"/>
    <col min="2" max="2" width="24.85546875" style="1789" customWidth="1"/>
    <col min="3" max="3" width="39.42578125" style="904" customWidth="1"/>
    <col min="4" max="4" width="5.5703125" style="868" bestFit="1" customWidth="1"/>
    <col min="5" max="5" width="14.140625" style="868" bestFit="1" customWidth="1"/>
    <col min="6" max="6" width="22.7109375" style="1227" bestFit="1" customWidth="1"/>
    <col min="7" max="9" width="15.140625" style="1227" customWidth="1"/>
    <col min="10" max="10" width="20.5703125" style="1941" customWidth="1"/>
    <col min="11" max="11" width="15.5703125" style="868" customWidth="1"/>
    <col min="12" max="12" width="13.140625" style="868" customWidth="1"/>
    <col min="13" max="13" width="15.140625" style="1941" customWidth="1"/>
    <col min="14" max="14" width="8.85546875" style="1227"/>
    <col min="15" max="15" width="8.85546875" style="1961" customWidth="1"/>
    <col min="16" max="16" width="39.28515625" style="904" customWidth="1"/>
    <col min="17" max="17" width="28.5703125" style="1789" customWidth="1"/>
    <col min="18" max="18" width="8.85546875" style="1961"/>
    <col min="19" max="16384" width="8.85546875" style="1942"/>
  </cols>
  <sheetData>
    <row r="1" spans="1:18" s="1031" customFormat="1">
      <c r="A1" s="4087" t="s">
        <v>4559</v>
      </c>
      <c r="B1" s="4088"/>
      <c r="C1" s="4089"/>
      <c r="D1" s="1943"/>
      <c r="E1" s="1943"/>
      <c r="F1" s="83" t="s">
        <v>3824</v>
      </c>
      <c r="G1" s="1902"/>
      <c r="H1" s="1902"/>
      <c r="I1" s="1902"/>
      <c r="J1" s="1906"/>
      <c r="K1" s="1902"/>
      <c r="L1" s="1902"/>
      <c r="M1" s="1906"/>
      <c r="N1" s="1921"/>
      <c r="O1" s="1944"/>
      <c r="P1" s="2012"/>
      <c r="Q1" s="1923"/>
      <c r="R1" s="1944"/>
    </row>
    <row r="2" spans="1:18" s="1031" customFormat="1">
      <c r="A2" s="2792" t="str">
        <f>HYPERLINK("#Index!F3", "Index Pg")</f>
        <v>Index Pg</v>
      </c>
      <c r="B2" s="1847"/>
      <c r="C2" s="1945" t="str">
        <f>HYPERLINK("#'Budget Summary I'!A1:AL1", "Budget Summary I")</f>
        <v>Budget Summary I</v>
      </c>
      <c r="D2" s="1946"/>
      <c r="E2" s="1126" t="s">
        <v>4460</v>
      </c>
      <c r="F2" s="161">
        <f>R6+R8+R13+R18+R20+R26</f>
        <v>605.24892999999997</v>
      </c>
      <c r="G2" s="1947"/>
      <c r="H2" s="1947"/>
      <c r="I2" s="1947"/>
      <c r="J2" s="1906"/>
      <c r="K2" s="1135"/>
      <c r="L2" s="1135"/>
      <c r="M2" s="1906"/>
      <c r="N2" s="1921"/>
      <c r="O2" s="1944"/>
      <c r="P2" s="2012"/>
      <c r="Q2" s="1923"/>
      <c r="R2" s="1944"/>
    </row>
    <row r="3" spans="1:18" s="1031" customFormat="1">
      <c r="A3" s="2793"/>
      <c r="B3" s="1847"/>
      <c r="C3" s="1948" t="str">
        <f>HYPERLINK("#'Budget Summary II'!A3:B5", "Budget Summary II")</f>
        <v>Budget Summary II</v>
      </c>
      <c r="D3" s="1949"/>
      <c r="E3" s="1918" t="s">
        <v>4461</v>
      </c>
      <c r="F3" s="786">
        <f>O6+O8+O13+O18+O20+O26</f>
        <v>615.11739</v>
      </c>
      <c r="G3" s="1947"/>
      <c r="H3" s="1947"/>
      <c r="I3" s="1947"/>
      <c r="J3" s="1922"/>
      <c r="K3" s="1135"/>
      <c r="L3" s="1135"/>
      <c r="M3" s="1906"/>
      <c r="N3" s="1921"/>
      <c r="O3" s="1944"/>
      <c r="P3" s="2012"/>
      <c r="Q3" s="1923"/>
      <c r="R3" s="1944"/>
    </row>
    <row r="4" spans="1:18" s="1227" customFormat="1">
      <c r="A4" s="4090" t="s">
        <v>48</v>
      </c>
      <c r="B4" s="3801" t="s">
        <v>49</v>
      </c>
      <c r="C4" s="3801" t="s">
        <v>50</v>
      </c>
      <c r="D4" s="3801" t="s">
        <v>51</v>
      </c>
      <c r="E4" s="3801" t="s">
        <v>52</v>
      </c>
      <c r="F4" s="3866" t="s">
        <v>4478</v>
      </c>
      <c r="G4" s="3866"/>
      <c r="H4" s="3866"/>
      <c r="I4" s="3866"/>
      <c r="J4" s="3866"/>
      <c r="K4" s="3866" t="s">
        <v>4484</v>
      </c>
      <c r="L4" s="3866"/>
      <c r="M4" s="3866"/>
      <c r="N4" s="3866"/>
      <c r="O4" s="3866"/>
      <c r="P4" s="3866"/>
      <c r="Q4" s="3801" t="s">
        <v>4514</v>
      </c>
      <c r="R4" s="3801"/>
    </row>
    <row r="5" spans="1:18" s="1227" customFormat="1" ht="45">
      <c r="A5" s="4090"/>
      <c r="B5" s="3801"/>
      <c r="C5" s="3801"/>
      <c r="D5" s="3801"/>
      <c r="E5" s="3801"/>
      <c r="F5" s="918" t="s">
        <v>4479</v>
      </c>
      <c r="G5" s="918" t="s">
        <v>4482</v>
      </c>
      <c r="H5" s="918" t="s">
        <v>4480</v>
      </c>
      <c r="I5" s="918" t="s">
        <v>4483</v>
      </c>
      <c r="J5" s="918" t="s">
        <v>2448</v>
      </c>
      <c r="K5" s="919" t="s">
        <v>53</v>
      </c>
      <c r="L5" s="919" t="s">
        <v>54</v>
      </c>
      <c r="M5" s="920" t="s">
        <v>55</v>
      </c>
      <c r="N5" s="919" t="s">
        <v>56</v>
      </c>
      <c r="O5" s="920" t="s">
        <v>57</v>
      </c>
      <c r="P5" s="919" t="s">
        <v>58</v>
      </c>
      <c r="Q5" s="921" t="s">
        <v>2450</v>
      </c>
      <c r="R5" s="922" t="s">
        <v>4515</v>
      </c>
    </row>
    <row r="6" spans="1:18" s="1954" customFormat="1">
      <c r="A6" s="2794">
        <f>'6.Procurement Annex'!A7</f>
        <v>6</v>
      </c>
      <c r="B6" s="872"/>
      <c r="C6" s="872" t="str">
        <f>'6.Procurement Annex'!C7</f>
        <v>Procurement</v>
      </c>
      <c r="D6" s="934"/>
      <c r="E6" s="934"/>
      <c r="F6" s="934"/>
      <c r="G6" s="934"/>
      <c r="H6" s="1950"/>
      <c r="I6" s="934"/>
      <c r="J6" s="547"/>
      <c r="K6" s="934"/>
      <c r="L6" s="934"/>
      <c r="M6" s="547"/>
      <c r="N6" s="1951"/>
      <c r="O6" s="1952">
        <f>O7</f>
        <v>0</v>
      </c>
      <c r="P6" s="2091"/>
      <c r="Q6" s="1953"/>
      <c r="R6" s="1952">
        <f>R7</f>
        <v>0</v>
      </c>
    </row>
    <row r="7" spans="1:18" s="1954" customFormat="1" ht="30">
      <c r="A7" s="2795" t="str">
        <f>'6.Procurement Annex'!A24</f>
        <v>6.1.2.7</v>
      </c>
      <c r="B7" s="1955">
        <f>'6-A. Proc. Sub-Annex'!B62</f>
        <v>0</v>
      </c>
      <c r="C7" s="1955" t="str">
        <f>'6-A. Proc. Sub-Annex'!C62</f>
        <v>Tablets; software for implementation of ANMOL</v>
      </c>
      <c r="D7" s="816" t="str">
        <f>'6-A. Proc. Sub-Annex'!D62</f>
        <v>HSS</v>
      </c>
      <c r="E7" s="816" t="str">
        <f>'6-A. Proc. Sub-Annex'!E62</f>
        <v>HSS/ HMIS-MCTS</v>
      </c>
      <c r="F7" s="816">
        <f>'6-A. Proc. Sub-Annex'!F62</f>
        <v>3294</v>
      </c>
      <c r="G7" s="816">
        <f>'6-A. Proc. Sub-Annex'!G62</f>
        <v>0</v>
      </c>
      <c r="H7" s="816">
        <f>'6-A. Proc. Sub-Annex'!H62</f>
        <v>329.4</v>
      </c>
      <c r="I7" s="816">
        <f>'6-A. Proc. Sub-Annex'!I62</f>
        <v>0.03</v>
      </c>
      <c r="J7" s="816">
        <f>'6-A. Proc. Sub-Annex'!J62</f>
        <v>329.37</v>
      </c>
      <c r="K7" s="816">
        <f>'6-A. Proc. Sub-Annex'!K62</f>
        <v>0</v>
      </c>
      <c r="L7" s="816">
        <f>'6-A. Proc. Sub-Annex'!L62</f>
        <v>0</v>
      </c>
      <c r="M7" s="1956">
        <f>'6-A. Proc. Sub-Annex'!M62</f>
        <v>0</v>
      </c>
      <c r="N7" s="816">
        <f>'6-A. Proc. Sub-Annex'!N62</f>
        <v>0</v>
      </c>
      <c r="O7" s="1956">
        <f>'6-A. Proc. Sub-Annex'!O62</f>
        <v>0</v>
      </c>
      <c r="P7" s="1955">
        <f>'6-A. Proc. Sub-Annex'!P62</f>
        <v>0</v>
      </c>
      <c r="Q7" s="1962"/>
      <c r="R7" s="1963"/>
    </row>
    <row r="8" spans="1:18" s="2006" customFormat="1">
      <c r="A8" s="2796">
        <f>'9.Training Annex'!A7</f>
        <v>9</v>
      </c>
      <c r="B8" s="1468"/>
      <c r="C8" s="1468" t="str">
        <f>'9.Training Annex'!C7</f>
        <v>Training and Capacity Building</v>
      </c>
      <c r="D8" s="1419"/>
      <c r="E8" s="1419"/>
      <c r="F8" s="1419"/>
      <c r="G8" s="1419"/>
      <c r="H8" s="1419"/>
      <c r="I8" s="1419"/>
      <c r="J8" s="547"/>
      <c r="K8" s="1419"/>
      <c r="L8" s="1419"/>
      <c r="M8" s="547"/>
      <c r="N8" s="2003"/>
      <c r="O8" s="2005">
        <f>SUM(O9:O12)</f>
        <v>30.605990000000006</v>
      </c>
      <c r="P8" s="876"/>
      <c r="Q8" s="1978"/>
      <c r="R8" s="2008">
        <f>SUM(R9:R12)</f>
        <v>30.61</v>
      </c>
    </row>
    <row r="9" spans="1:18" ht="195">
      <c r="A9" s="4086" t="str">
        <f>'9.Training Annex'!A36</f>
        <v>9.2.2.7</v>
      </c>
      <c r="B9" s="858" t="str">
        <f>'9-A.Training Sub-Annex'!B185</f>
        <v>B15.3.1.4.1</v>
      </c>
      <c r="C9" s="858" t="str">
        <f>'9-A.Training Sub-Annex'!C185</f>
        <v>Training cum review meeting for HMIS &amp; MCTS at State level</v>
      </c>
      <c r="D9" s="952" t="str">
        <f>'9-A.Training Sub-Annex'!D185</f>
        <v>HSS</v>
      </c>
      <c r="E9" s="952" t="str">
        <f>'9-A.Training Sub-Annex'!E185</f>
        <v>HMIS/ MCTS</v>
      </c>
      <c r="F9" s="952">
        <f>'9-A.Training Sub-Annex'!F185</f>
        <v>3</v>
      </c>
      <c r="G9" s="952">
        <f>'9-A.Training Sub-Annex'!G185</f>
        <v>0</v>
      </c>
      <c r="H9" s="952">
        <f>'9-A.Training Sub-Annex'!H185</f>
        <v>3.72</v>
      </c>
      <c r="I9" s="952">
        <f>'9-A.Training Sub-Annex'!I185</f>
        <v>0.62</v>
      </c>
      <c r="J9" s="952">
        <f>'9-A.Training Sub-Annex'!J185</f>
        <v>3.1</v>
      </c>
      <c r="K9" s="952" t="str">
        <f>'9-A.Training Sub-Annex'!K185</f>
        <v>Batch</v>
      </c>
      <c r="L9" s="952">
        <f>'9-A.Training Sub-Annex'!L185</f>
        <v>123933</v>
      </c>
      <c r="M9" s="859">
        <f>'9-A.Training Sub-Annex'!M185</f>
        <v>1.23933</v>
      </c>
      <c r="N9" s="952">
        <f>'9-A.Training Sub-Annex'!N185</f>
        <v>3</v>
      </c>
      <c r="O9" s="859">
        <f>'9-A.Training Sub-Annex'!O185</f>
        <v>3.7179900000000004</v>
      </c>
      <c r="P9" s="2789" t="str">
        <f>'9-A.Training Sub-Annex'!P185</f>
        <v xml:space="preserve">Training / Workshop at State Level: (01)- 3 Batches                                                                                                District Level Participants =  (24 ) - 2 Per District                                                                                                                                                                                                                                                                                                                                    EXPENDITURE DETAILS: DA/Per Diem (@Rs.1000/-), TA (@Rs 1500),  Food (@Rs.400/-), Incedental Charges (@Rs.500/-) TOTAL = 24 x 3400 = Rs.81,600/-                                                                                                                                                                 Block Level Participants:  (76 )- one per Block                                                                                                                EXPENDITURE DETAILS:  DA/Per Diem (@Rs.1000/-), TA (@Rs 1000),  Food (@Rs.400/-), Incedental Charges (@Rs.500/-) TOTAL = 76 x 2900 = Rs. 2,20,400/-Review Meetings with Districts:  (02- Half yearly)                                                                                  District level Participants:   (24 )   2 participant per Review Meeting                                                                                    EXPENDITURE DETAILS:  TA &amp; DA  (Nil)  Food (@Rs.400/-), Incedental Charges (@Rs.500/-) TOTAL = 24 x 2900 = Rs. 69,600/-                                                                                          TOTAL Funds for Training cum Review Meetings at State Level:    Rs.81,800/- +Rs. 2,20,400/- + Rs. 69600 =    Rs.3,71,800/-                                                                                                                                                                                                                                                         </v>
      </c>
      <c r="Q9" s="2803" t="s">
        <v>5680</v>
      </c>
      <c r="R9" s="2804">
        <v>3.72</v>
      </c>
    </row>
    <row r="10" spans="1:18" ht="210">
      <c r="A10" s="4086"/>
      <c r="B10" s="858" t="str">
        <f>'9-A.Training Sub-Annex'!B186</f>
        <v>B15.3.1.4.2</v>
      </c>
      <c r="C10" s="858" t="str">
        <f>'9-A.Training Sub-Annex'!C186</f>
        <v>Training cum review meeting for HMIS &amp; MCTS at District level</v>
      </c>
      <c r="D10" s="952" t="str">
        <f>'9-A.Training Sub-Annex'!D186</f>
        <v>HSS</v>
      </c>
      <c r="E10" s="952" t="str">
        <f>'9-A.Training Sub-Annex'!E186</f>
        <v>HMIS/ MCTS</v>
      </c>
      <c r="F10" s="952">
        <f>'9-A.Training Sub-Annex'!F186</f>
        <v>12</v>
      </c>
      <c r="G10" s="952">
        <f>'9-A.Training Sub-Annex'!G186</f>
        <v>0</v>
      </c>
      <c r="H10" s="952">
        <f>'9-A.Training Sub-Annex'!H186</f>
        <v>5.29</v>
      </c>
      <c r="I10" s="952">
        <f>'9-A.Training Sub-Annex'!I186</f>
        <v>0.22</v>
      </c>
      <c r="J10" s="952">
        <f>'9-A.Training Sub-Annex'!J186</f>
        <v>5.07</v>
      </c>
      <c r="K10" s="952" t="str">
        <f>'9-A.Training Sub-Annex'!K186</f>
        <v>Batch</v>
      </c>
      <c r="L10" s="952">
        <f>'9-A.Training Sub-Annex'!L186</f>
        <v>44067</v>
      </c>
      <c r="M10" s="859">
        <f>'9-A.Training Sub-Annex'!M186</f>
        <v>0.44067000000000001</v>
      </c>
      <c r="N10" s="952">
        <f>'9-A.Training Sub-Annex'!N186</f>
        <v>12</v>
      </c>
      <c r="O10" s="859">
        <f>'9-A.Training Sub-Annex'!O186</f>
        <v>5.2880400000000005</v>
      </c>
      <c r="P10" s="2789" t="str">
        <f>'9-A.Training Sub-Annex'!P186</f>
        <v xml:space="preserve">Training / Workshop at District Level: (01)                                                                                               District Level Participants =  (24 ) - 2 per District                                                                                                                                                                                                                                                                                                                                     EXPENDITURE DETAILS: DA/Per Diem (@Rs.1000/-), TA (Nil),  Food (@Rs.300/-), Incedental Charges (@Rs.400/-) TOTAL = 24 x 1700 = Rs.40,800/-                                                                                                                                                                 Block Level Participants:  (146 )- 2 per Block                                                                                                                EXPENDITURE DETAILS:  DA/Per Diem (@Rs.700/-), TA (@Rs 500),  Food (@Rs.300/-), Incedental Charges (@Rs.400/-) TOTAL = 146 x 1900 = Rs. 2,77,400/-                                Review Meetings with Blocks:  (02- Half yearly)                                                                                  District level Participants:   (24 )- 1 participant per District per  Review Meeting                                                                                       EXPENDITURE DETAILS:  TA &amp; DA  (Nil)  Food (@Rs.300/-), Incedental Charges (@Rs.400/-) TOTAL = 24 x 700 = Rs. 16,800/-                                                                                     Block  level Participants:   (152 )- 2 participant per Block per  Review Meeting                                                                                       EXPENDITURE DETAILS:  TA&amp;DA   (@ 650/-),  Food (@Rs.300/-), Incedental Charges    (@Rs.250/-) TOTAL = 152 x 1200 = Rs. 182,400/-                                                                                     TOTAL Funds for Training cum Review Meetings at District Level:    Rs.40,800+Rs. 2,88,800 + Rs. 16,800+ Rs1,82,400 =    Rs.5,28,800/-                                                                                                                                                                                                                                                         </v>
      </c>
      <c r="Q10" s="2803" t="s">
        <v>5681</v>
      </c>
      <c r="R10" s="2804">
        <v>5.29</v>
      </c>
    </row>
    <row r="11" spans="1:18" ht="255">
      <c r="A11" s="4086"/>
      <c r="B11" s="858" t="str">
        <f>'9-A.Training Sub-Annex'!B187</f>
        <v>B15.3.1.4.3</v>
      </c>
      <c r="C11" s="858" t="str">
        <f>'9-A.Training Sub-Annex'!C187</f>
        <v>Training cum review meeting for HMIS &amp; MCTS at Block level</v>
      </c>
      <c r="D11" s="952" t="str">
        <f>'9-A.Training Sub-Annex'!D187</f>
        <v>HSS</v>
      </c>
      <c r="E11" s="952" t="str">
        <f>'9-A.Training Sub-Annex'!E187</f>
        <v>HMIS/ MCTS</v>
      </c>
      <c r="F11" s="952">
        <f>'9-A.Training Sub-Annex'!F187</f>
        <v>152</v>
      </c>
      <c r="G11" s="952">
        <f>'9-A.Training Sub-Annex'!G187</f>
        <v>0</v>
      </c>
      <c r="H11" s="952">
        <f>'9-A.Training Sub-Annex'!H187</f>
        <v>21.6</v>
      </c>
      <c r="I11" s="952">
        <f>'9-A.Training Sub-Annex'!I187</f>
        <v>0.99</v>
      </c>
      <c r="J11" s="952">
        <f>'9-A.Training Sub-Annex'!J187</f>
        <v>20.61</v>
      </c>
      <c r="K11" s="952" t="str">
        <f>'9-A.Training Sub-Annex'!K187</f>
        <v>Batch</v>
      </c>
      <c r="L11" s="952">
        <f>'9-A.Training Sub-Annex'!L187</f>
        <v>28421</v>
      </c>
      <c r="M11" s="859">
        <f>'9-A.Training Sub-Annex'!M187</f>
        <v>0.28421000000000002</v>
      </c>
      <c r="N11" s="952">
        <f>'9-A.Training Sub-Annex'!N187</f>
        <v>76</v>
      </c>
      <c r="O11" s="859">
        <f>'9-A.Training Sub-Annex'!O187</f>
        <v>21.599960000000003</v>
      </c>
      <c r="P11" s="2789" t="str">
        <f>'9-A.Training Sub-Annex'!P187</f>
        <v>Aprox. 3600 (ANMS/HWs/ Block level officials) in 76 Blocks : Total =3600  (Expenditure @ Rs.600 per participant) for  Review Meeting ofr HMIS,RCH Portal, Sensitization on New RCH Register &amp; refresher training of ANMOLapplication ( Review with ANMs /HWs is will also be done in Monthly review  meetings at Block level)</v>
      </c>
      <c r="Q11" s="2803" t="s">
        <v>5682</v>
      </c>
      <c r="R11" s="2804">
        <v>21.6</v>
      </c>
    </row>
    <row r="12" spans="1:18">
      <c r="A12" s="4086"/>
      <c r="B12" s="858">
        <f>'9-A.Training Sub-Annex'!B188</f>
        <v>0</v>
      </c>
      <c r="C12" s="858" t="str">
        <f>'9-A.Training Sub-Annex'!C188</f>
        <v>Any other (please specify)</v>
      </c>
      <c r="D12" s="952" t="str">
        <f>'9-A.Training Sub-Annex'!D188</f>
        <v>HSS</v>
      </c>
      <c r="E12" s="952" t="str">
        <f>'9-A.Training Sub-Annex'!E188</f>
        <v>HMIS/ MCTS</v>
      </c>
      <c r="F12" s="952">
        <f>'9-A.Training Sub-Annex'!F188</f>
        <v>0</v>
      </c>
      <c r="G12" s="952">
        <f>'9-A.Training Sub-Annex'!G188</f>
        <v>0</v>
      </c>
      <c r="H12" s="952">
        <f>'9-A.Training Sub-Annex'!H188</f>
        <v>0</v>
      </c>
      <c r="I12" s="952">
        <f>'9-A.Training Sub-Annex'!I188</f>
        <v>0</v>
      </c>
      <c r="J12" s="952">
        <f>'9-A.Training Sub-Annex'!J188</f>
        <v>0</v>
      </c>
      <c r="K12" s="952">
        <f>'9-A.Training Sub-Annex'!K188</f>
        <v>0</v>
      </c>
      <c r="L12" s="952">
        <f>'9-A.Training Sub-Annex'!L188</f>
        <v>0</v>
      </c>
      <c r="M12" s="859">
        <f>'9-A.Training Sub-Annex'!M188</f>
        <v>0</v>
      </c>
      <c r="N12" s="952">
        <f>'9-A.Training Sub-Annex'!N188</f>
        <v>0</v>
      </c>
      <c r="O12" s="859">
        <f>'9-A.Training Sub-Annex'!O188</f>
        <v>0</v>
      </c>
      <c r="P12" s="2789">
        <f>'9-A.Training Sub-Annex'!P188</f>
        <v>0</v>
      </c>
      <c r="Q12" s="55"/>
      <c r="R12" s="1966"/>
    </row>
    <row r="13" spans="1:18" s="2006" customFormat="1">
      <c r="A13" s="2797">
        <f>'12.Printing Annex'!A7</f>
        <v>12</v>
      </c>
      <c r="B13" s="3049"/>
      <c r="C13" s="3049" t="str">
        <f>'12.Printing Annex'!C7</f>
        <v>Printing</v>
      </c>
      <c r="D13" s="785"/>
      <c r="E13" s="785"/>
      <c r="F13" s="785"/>
      <c r="G13" s="785"/>
      <c r="H13" s="1959"/>
      <c r="I13" s="785"/>
      <c r="J13" s="547"/>
      <c r="K13" s="785"/>
      <c r="L13" s="785"/>
      <c r="M13" s="547"/>
      <c r="N13" s="2003"/>
      <c r="O13" s="2005">
        <f>SUM(O14:O17)</f>
        <v>0</v>
      </c>
      <c r="P13" s="876"/>
      <c r="Q13" s="1978"/>
      <c r="R13" s="2008">
        <f>SUM(R14:R17)</f>
        <v>0</v>
      </c>
    </row>
    <row r="14" spans="1:18">
      <c r="A14" s="4086" t="str">
        <f>'12.Printing Annex'!A20</f>
        <v>12.2.4</v>
      </c>
      <c r="B14" s="858" t="str">
        <f>'12-A. Print Sub-Annex'!B68</f>
        <v>B15.3.1.6</v>
      </c>
      <c r="C14" s="858" t="str">
        <f>'12-A. Print Sub-Annex'!C68</f>
        <v xml:space="preserve">Printing of HMIS Formats </v>
      </c>
      <c r="D14" s="952" t="str">
        <f>'12-A. Print Sub-Annex'!D68</f>
        <v>HSS</v>
      </c>
      <c r="E14" s="952" t="str">
        <f>'12-A. Print Sub-Annex'!E68</f>
        <v>HMIS-MCTS</v>
      </c>
      <c r="F14" s="952">
        <f>'12-A. Print Sub-Annex'!F68</f>
        <v>50000</v>
      </c>
      <c r="G14" s="952">
        <f>'12-A. Print Sub-Annex'!G68</f>
        <v>0</v>
      </c>
      <c r="H14" s="952">
        <f>'12-A. Print Sub-Annex'!H68</f>
        <v>1</v>
      </c>
      <c r="I14" s="952">
        <f>'12-A. Print Sub-Annex'!I68</f>
        <v>0</v>
      </c>
      <c r="J14" s="952">
        <f>'12-A. Print Sub-Annex'!J68</f>
        <v>0</v>
      </c>
      <c r="K14" s="952">
        <f>'12-A. Print Sub-Annex'!K68</f>
        <v>0</v>
      </c>
      <c r="L14" s="952">
        <f>'12-A. Print Sub-Annex'!L68</f>
        <v>0</v>
      </c>
      <c r="M14" s="859">
        <f>'12-A. Print Sub-Annex'!M68</f>
        <v>0</v>
      </c>
      <c r="N14" s="952">
        <f>'12-A. Print Sub-Annex'!N68</f>
        <v>0</v>
      </c>
      <c r="O14" s="859">
        <f>'12-A. Print Sub-Annex'!O68</f>
        <v>0</v>
      </c>
      <c r="P14" s="2789" t="str">
        <f>'12-A. Print Sub-Annex'!P68</f>
        <v>Not Proposed</v>
      </c>
      <c r="Q14" s="55"/>
      <c r="R14" s="1966"/>
    </row>
    <row r="15" spans="1:18">
      <c r="A15" s="4086"/>
      <c r="B15" s="858" t="str">
        <f>'12-A. Print Sub-Annex'!B69</f>
        <v>B15.3.2.1</v>
      </c>
      <c r="C15" s="858" t="str">
        <f>'12-A. Print Sub-Annex'!C69</f>
        <v xml:space="preserve">Printing of RCH Registers </v>
      </c>
      <c r="D15" s="952" t="str">
        <f>'12-A. Print Sub-Annex'!D69</f>
        <v>HSS</v>
      </c>
      <c r="E15" s="952" t="str">
        <f>'12-A. Print Sub-Annex'!E69</f>
        <v>HMIS-MCTS</v>
      </c>
      <c r="F15" s="952">
        <f>'12-A. Print Sub-Annex'!F69</f>
        <v>0</v>
      </c>
      <c r="G15" s="952">
        <f>'12-A. Print Sub-Annex'!G69</f>
        <v>0</v>
      </c>
      <c r="H15" s="952">
        <f>'12-A. Print Sub-Annex'!H69</f>
        <v>0</v>
      </c>
      <c r="I15" s="952">
        <f>'12-A. Print Sub-Annex'!I69</f>
        <v>0</v>
      </c>
      <c r="J15" s="952">
        <f>'12-A. Print Sub-Annex'!J69</f>
        <v>0</v>
      </c>
      <c r="K15" s="952">
        <f>'12-A. Print Sub-Annex'!K69</f>
        <v>0</v>
      </c>
      <c r="L15" s="952">
        <f>'12-A. Print Sub-Annex'!L69</f>
        <v>0</v>
      </c>
      <c r="M15" s="859">
        <f>'12-A. Print Sub-Annex'!M69</f>
        <v>0</v>
      </c>
      <c r="N15" s="952">
        <f>'12-A. Print Sub-Annex'!N69</f>
        <v>0</v>
      </c>
      <c r="O15" s="859">
        <f>'12-A. Print Sub-Annex'!O69</f>
        <v>0</v>
      </c>
      <c r="P15" s="2789" t="str">
        <f>'12-A. Print Sub-Annex'!P69</f>
        <v>Not Proposed</v>
      </c>
      <c r="Q15" s="55"/>
      <c r="R15" s="1966"/>
    </row>
    <row r="16" spans="1:18">
      <c r="A16" s="4086"/>
      <c r="B16" s="858" t="str">
        <f>'12-A. Print Sub-Annex'!B70</f>
        <v>B15.3.2.2</v>
      </c>
      <c r="C16" s="858" t="str">
        <f>'12-A. Print Sub-Annex'!C70</f>
        <v>Printing of MCTS follow-up formats/ services due list/ work plan</v>
      </c>
      <c r="D16" s="952" t="str">
        <f>'12-A. Print Sub-Annex'!D70</f>
        <v>HSS</v>
      </c>
      <c r="E16" s="952" t="str">
        <f>'12-A. Print Sub-Annex'!E70</f>
        <v>HMIS-MCTS</v>
      </c>
      <c r="F16" s="952">
        <f>'12-A. Print Sub-Annex'!F70</f>
        <v>100000</v>
      </c>
      <c r="G16" s="952">
        <f>'12-A. Print Sub-Annex'!G70</f>
        <v>0</v>
      </c>
      <c r="H16" s="952">
        <f>'12-A. Print Sub-Annex'!H70</f>
        <v>1</v>
      </c>
      <c r="I16" s="952">
        <f>'12-A. Print Sub-Annex'!I70</f>
        <v>0</v>
      </c>
      <c r="J16" s="952">
        <f>'12-A. Print Sub-Annex'!J70</f>
        <v>0</v>
      </c>
      <c r="K16" s="952">
        <f>'12-A. Print Sub-Annex'!K70</f>
        <v>0</v>
      </c>
      <c r="L16" s="952">
        <f>'12-A. Print Sub-Annex'!L70</f>
        <v>0</v>
      </c>
      <c r="M16" s="859">
        <f>'12-A. Print Sub-Annex'!M70</f>
        <v>0</v>
      </c>
      <c r="N16" s="952">
        <f>'12-A. Print Sub-Annex'!N70</f>
        <v>0</v>
      </c>
      <c r="O16" s="859">
        <f>'12-A. Print Sub-Annex'!O70</f>
        <v>0</v>
      </c>
      <c r="P16" s="2789" t="str">
        <f>'12-A. Print Sub-Annex'!P70</f>
        <v>Not Proposed</v>
      </c>
      <c r="Q16" s="55"/>
      <c r="R16" s="1966"/>
    </row>
    <row r="17" spans="1:18">
      <c r="A17" s="4086"/>
      <c r="B17" s="858">
        <f>'12-A. Print Sub-Annex'!B71</f>
        <v>0</v>
      </c>
      <c r="C17" s="858" t="str">
        <f>'12-A. Print Sub-Annex'!C71</f>
        <v>Any other (please specify)</v>
      </c>
      <c r="D17" s="952" t="str">
        <f>'12-A. Print Sub-Annex'!D71</f>
        <v>HSS</v>
      </c>
      <c r="E17" s="952" t="str">
        <f>'12-A. Print Sub-Annex'!E71</f>
        <v>HMIS-MCTS</v>
      </c>
      <c r="F17" s="952">
        <f>'12-A. Print Sub-Annex'!F71</f>
        <v>0</v>
      </c>
      <c r="G17" s="952">
        <f>'12-A. Print Sub-Annex'!G71</f>
        <v>0</v>
      </c>
      <c r="H17" s="952">
        <f>'12-A. Print Sub-Annex'!H71</f>
        <v>0</v>
      </c>
      <c r="I17" s="952">
        <f>'12-A. Print Sub-Annex'!I71</f>
        <v>0</v>
      </c>
      <c r="J17" s="952">
        <f>'12-A. Print Sub-Annex'!J71</f>
        <v>0</v>
      </c>
      <c r="K17" s="952">
        <f>'12-A. Print Sub-Annex'!K71</f>
        <v>0</v>
      </c>
      <c r="L17" s="952">
        <f>'12-A. Print Sub-Annex'!L71</f>
        <v>0</v>
      </c>
      <c r="M17" s="859">
        <f>'12-A. Print Sub-Annex'!M71</f>
        <v>0</v>
      </c>
      <c r="N17" s="952">
        <f>'12-A. Print Sub-Annex'!N71</f>
        <v>0</v>
      </c>
      <c r="O17" s="859">
        <f>'12-A. Print Sub-Annex'!O71</f>
        <v>0</v>
      </c>
      <c r="P17" s="2789">
        <f>'12-A. Print Sub-Annex'!P71</f>
        <v>0</v>
      </c>
      <c r="Q17" s="55"/>
      <c r="R17" s="1966"/>
    </row>
    <row r="18" spans="1:18" s="2006" customFormat="1">
      <c r="A18" s="2798">
        <f>'14.Drug warehouse &amp;Logistic Anx'!A7</f>
        <v>14</v>
      </c>
      <c r="B18" s="1716"/>
      <c r="C18" s="1716" t="str">
        <f>'14.Drug warehouse &amp;Logistic Anx'!C7</f>
        <v>Drug Warehousing and Logistics</v>
      </c>
      <c r="D18" s="1717"/>
      <c r="E18" s="1717"/>
      <c r="F18" s="785"/>
      <c r="G18" s="785"/>
      <c r="H18" s="1959"/>
      <c r="I18" s="785"/>
      <c r="J18" s="547"/>
      <c r="K18" s="785"/>
      <c r="L18" s="785"/>
      <c r="M18" s="547"/>
      <c r="N18" s="2003"/>
      <c r="O18" s="2005">
        <f>O19</f>
        <v>98</v>
      </c>
      <c r="P18" s="876"/>
      <c r="Q18" s="1978"/>
      <c r="R18" s="2008">
        <f>R19</f>
        <v>95.968220000000002</v>
      </c>
    </row>
    <row r="19" spans="1:18" s="1031" customFormat="1" ht="300">
      <c r="A19" s="2799" t="str">
        <f>'14.Drug warehouse &amp;Logistic Anx'!A18</f>
        <v>14.2.2</v>
      </c>
      <c r="B19" s="1729" t="str">
        <f>'14.Drug warehouse &amp;Logistic Anx'!B18</f>
        <v>B15.3.3.1</v>
      </c>
      <c r="C19" s="1729" t="str">
        <f>'14.Drug warehouse &amp;Logistic Anx'!C18</f>
        <v xml:space="preserve">Implementation of DVDMS </v>
      </c>
      <c r="D19" s="1679" t="str">
        <f>'14.Drug warehouse &amp;Logistic Anx'!D18</f>
        <v>HSS</v>
      </c>
      <c r="E19" s="1679" t="str">
        <f>'14.Drug warehouse &amp;Logistic Anx'!E18</f>
        <v>HMIS/ MCTC</v>
      </c>
      <c r="F19" s="1679">
        <f>'14.Drug warehouse &amp;Logistic Anx'!F18</f>
        <v>1</v>
      </c>
      <c r="G19" s="1679">
        <f>'14.Drug warehouse &amp;Logistic Anx'!G18</f>
        <v>0</v>
      </c>
      <c r="H19" s="1679">
        <f>'14.Drug warehouse &amp;Logistic Anx'!H18</f>
        <v>79.5</v>
      </c>
      <c r="I19" s="1679">
        <f>'14.Drug warehouse &amp;Logistic Anx'!I18</f>
        <v>21.47</v>
      </c>
      <c r="J19" s="1679">
        <f>'14.Drug warehouse &amp;Logistic Anx'!J18</f>
        <v>58.03</v>
      </c>
      <c r="K19" s="1679">
        <f>'14.Drug warehouse &amp;Logistic Anx'!K18</f>
        <v>1</v>
      </c>
      <c r="L19" s="1679">
        <f>'14.Drug warehouse &amp;Logistic Anx'!L18</f>
        <v>9800000</v>
      </c>
      <c r="M19" s="1960">
        <f>'14.Drug warehouse &amp;Logistic Anx'!M18</f>
        <v>98</v>
      </c>
      <c r="N19" s="1679">
        <f>'14.Drug warehouse &amp;Logistic Anx'!N18</f>
        <v>1</v>
      </c>
      <c r="O19" s="1960">
        <f>'14.Drug warehouse &amp;Logistic Anx'!O18</f>
        <v>98</v>
      </c>
      <c r="P19" s="1729" t="str">
        <f>'14.Drug warehouse &amp;Logistic Anx'!P18</f>
        <v xml:space="preserve">Amount required for DVDMS for 2021-22 is 98.1 lakh. The details are : 1. Application software support= 12.55 lakh  2. Hosting Data Centre=12.54 Lakh 3. FMS Data centre =7.92 Lakh 4. IT cell Model=50.19 Lakh, 5. Safe to Host security certificate =1.50 lakh  Total Cost 83.20 Lakh  including 10 % increment 18 % GST =14.98 Lakh Grand Total=98.18 Lakhs </v>
      </c>
      <c r="Q19" s="2805" t="s">
        <v>5683</v>
      </c>
      <c r="R19" s="2806">
        <f>(10.98+12.54+7.92+48.389+1.5)*1.18</f>
        <v>95.968220000000002</v>
      </c>
    </row>
    <row r="20" spans="1:18" s="2006" customFormat="1">
      <c r="A20" s="2798">
        <f>'16.PM Annex'!A7</f>
        <v>16</v>
      </c>
      <c r="B20" s="1716"/>
      <c r="C20" s="1716" t="str">
        <f>'16.PM Annex'!C7</f>
        <v>Programme Management</v>
      </c>
      <c r="D20" s="1717"/>
      <c r="E20" s="1717"/>
      <c r="F20" s="785"/>
      <c r="G20" s="785"/>
      <c r="H20" s="1959"/>
      <c r="I20" s="785"/>
      <c r="J20" s="547"/>
      <c r="K20" s="785"/>
      <c r="L20" s="785"/>
      <c r="M20" s="547"/>
      <c r="N20" s="2003"/>
      <c r="O20" s="2005">
        <f>SUM(O21:O25)</f>
        <v>305.5034</v>
      </c>
      <c r="P20" s="876"/>
      <c r="Q20" s="1978"/>
      <c r="R20" s="2008">
        <f>SUM(R21:R25)</f>
        <v>297.66070999999999</v>
      </c>
    </row>
    <row r="21" spans="1:18">
      <c r="A21" s="2800" t="str">
        <f>'16.PM Annex'!A18</f>
        <v>16.3.1</v>
      </c>
      <c r="B21" s="431" t="str">
        <f>'16.PM Annex'!B18</f>
        <v>B15.3.1.1/ B15.3.1.2</v>
      </c>
      <c r="C21" s="431" t="str">
        <f>'16.PM Annex'!C18</f>
        <v>HR Support for HMIS &amp; MCTS</v>
      </c>
      <c r="D21" s="1177"/>
      <c r="E21" s="1177"/>
      <c r="F21" s="1177">
        <f>'16.PM Annex'!F18</f>
        <v>0</v>
      </c>
      <c r="G21" s="1177">
        <f>'16.PM Annex'!G18</f>
        <v>0</v>
      </c>
      <c r="H21" s="1177">
        <f>'16.PM Annex'!H18</f>
        <v>0</v>
      </c>
      <c r="I21" s="1177">
        <f>'16.PM Annex'!I18</f>
        <v>0</v>
      </c>
      <c r="J21" s="1177">
        <f>'16.PM Annex'!J18</f>
        <v>0</v>
      </c>
      <c r="K21" s="1177">
        <f>'16.PM Annex'!K18</f>
        <v>0</v>
      </c>
      <c r="L21" s="1177">
        <f>'16.PM Annex'!L18</f>
        <v>0</v>
      </c>
      <c r="M21" s="690">
        <f>'16.PM Annex'!M18</f>
        <v>0</v>
      </c>
      <c r="N21" s="1177">
        <f>'16.PM Annex'!N18</f>
        <v>0</v>
      </c>
      <c r="O21" s="690">
        <f>'16.PM Annex'!O18</f>
        <v>0</v>
      </c>
      <c r="P21" s="431">
        <f>'16.PM Annex'!P18</f>
        <v>0</v>
      </c>
      <c r="Q21" s="55"/>
      <c r="R21" s="1966"/>
    </row>
    <row r="22" spans="1:18">
      <c r="A22" s="2800" t="str">
        <f>'16.PM Annex'!A19</f>
        <v>16.3.2</v>
      </c>
      <c r="B22" s="431" t="str">
        <f>'16.PM Annex'!B19</f>
        <v>B15.3.1.5.1/ B15.3.1.5.2</v>
      </c>
      <c r="C22" s="431" t="str">
        <f>'16.PM Annex'!C19</f>
        <v xml:space="preserve">Mobility Support for HMIS &amp; MCTS </v>
      </c>
      <c r="D22" s="1177"/>
      <c r="E22" s="1177"/>
      <c r="F22" s="1177">
        <f>'16.PM Annex'!F19</f>
        <v>164</v>
      </c>
      <c r="G22" s="1177">
        <f>'16.PM Annex'!G19</f>
        <v>0</v>
      </c>
      <c r="H22" s="1177">
        <f>'16.PM Annex'!H19</f>
        <v>3.36</v>
      </c>
      <c r="I22" s="1177">
        <f>'16.PM Annex'!I19</f>
        <v>0.44</v>
      </c>
      <c r="J22" s="1177">
        <f>'16.PM Annex'!J19</f>
        <v>2.99</v>
      </c>
      <c r="K22" s="1177">
        <f>'16.PM Annex'!K19</f>
        <v>0</v>
      </c>
      <c r="L22" s="1177">
        <f>'16.PM Annex'!L19</f>
        <v>0</v>
      </c>
      <c r="M22" s="690">
        <f>'16.PM Annex'!M19</f>
        <v>0</v>
      </c>
      <c r="N22" s="1177">
        <f>'16.PM Annex'!N19</f>
        <v>0</v>
      </c>
      <c r="O22" s="690">
        <f>'16.PM Annex'!O19</f>
        <v>0</v>
      </c>
      <c r="P22" s="431" t="str">
        <f>'16.PM Annex'!P19</f>
        <v>Not Proposed</v>
      </c>
      <c r="Q22" s="55"/>
      <c r="R22" s="1966"/>
    </row>
    <row r="23" spans="1:18" ht="409.5">
      <c r="A23" s="2800" t="str">
        <f>'16.PM Annex'!A20</f>
        <v>16.3.3</v>
      </c>
      <c r="B23" s="431" t="str">
        <f>'16.PM Annex'!B20</f>
        <v>B15.3.2.5/ B15.3.2.6/ B15.3.2.9/ B15.3.2.12/ B15.3.2.13</v>
      </c>
      <c r="C23" s="431" t="str">
        <f>'16.PM Annex'!C20</f>
        <v>Operational cost for HMIS &amp; MCTS (incl. Internet connectivity; AMC of Laptop, printers, computers, UPS; Office expenditure; Mobile reimbursement)</v>
      </c>
      <c r="D23" s="1177"/>
      <c r="E23" s="1177"/>
      <c r="F23" s="1177">
        <f>'16.PM Annex'!F20</f>
        <v>1</v>
      </c>
      <c r="G23" s="1177">
        <f>'16.PM Annex'!G20</f>
        <v>0</v>
      </c>
      <c r="H23" s="1177">
        <f>'16.PM Annex'!H20</f>
        <v>50.36</v>
      </c>
      <c r="I23" s="1177">
        <f>'16.PM Annex'!I20</f>
        <v>10.94</v>
      </c>
      <c r="J23" s="1177">
        <f>'16.PM Annex'!J20</f>
        <v>39.42</v>
      </c>
      <c r="K23" s="1177">
        <f>'16.PM Annex'!K20</f>
        <v>1</v>
      </c>
      <c r="L23" s="1177">
        <f>'16.PM Annex'!L20</f>
        <v>3974000</v>
      </c>
      <c r="M23" s="690">
        <f>'16.PM Annex'!M20</f>
        <v>39.74</v>
      </c>
      <c r="N23" s="1177">
        <f>'16.PM Annex'!N20</f>
        <v>1</v>
      </c>
      <c r="O23" s="690">
        <f>'16.PM Annex'!O20</f>
        <v>39.74</v>
      </c>
      <c r="P23" s="431" t="str">
        <f>'16.PM Annex'!P20</f>
        <v>Internet Connectivity Charges  through  broadband and  V-SAT/ HIMSWAN ( on 02 Locations) = Rs.11.44 Lacs, AMC of Computers (State, District &amp; Block |Level) = Rs. 9.76 Lacs &amp; Operational cost of stationary @ Rs. 500/- PM,  Refilled Tonners &amp; other consumable @ Rs.1000/- per month  (Total = Rs 1500/- per month per locaton)  for  100 locations = Rs. 18.54 Lacs  (TOTAl= Rs. 39.74  Lacs)-Detailed Breakup provided in Activity wise HMIS _MCTS Annexure</v>
      </c>
      <c r="Q23" s="54" t="s">
        <v>5684</v>
      </c>
      <c r="R23" s="1966">
        <f>(2*750*12+12*750*12+75*750*12+19*750*12)/100000+(2*7170*12)/100000+(103*2097)/100000+(2*5000+12*2500+53*1500+33*1000)*12/100000</f>
        <v>31.900710000000004</v>
      </c>
    </row>
    <row r="24" spans="1:18" ht="30">
      <c r="A24" s="2800" t="str">
        <f>'16.PM Annex'!A21</f>
        <v>16.3.4</v>
      </c>
      <c r="B24" s="431" t="str">
        <f>'16.PM Annex'!B21</f>
        <v>B15.3.2.3/ B15.3.2.4/ B15.3.2.7/ B15.3.2.8</v>
      </c>
      <c r="C24" s="431" t="str">
        <f>'16.PM Annex'!C21</f>
        <v>Procurement of Computer/Printer/UPS/ Laptop/ VSAT</v>
      </c>
      <c r="D24" s="1177"/>
      <c r="E24" s="1177"/>
      <c r="F24" s="1177">
        <f>'16.PM Annex'!F21</f>
        <v>0</v>
      </c>
      <c r="G24" s="1177">
        <f>'16.PM Annex'!G21</f>
        <v>0</v>
      </c>
      <c r="H24" s="1177">
        <f>'16.PM Annex'!H21</f>
        <v>0</v>
      </c>
      <c r="I24" s="1177">
        <f>'16.PM Annex'!I21</f>
        <v>0</v>
      </c>
      <c r="J24" s="1177">
        <f>'16.PM Annex'!J21</f>
        <v>0</v>
      </c>
      <c r="K24" s="1177">
        <f>'16.PM Annex'!K21</f>
        <v>0</v>
      </c>
      <c r="L24" s="1177">
        <f>'16.PM Annex'!L21</f>
        <v>0</v>
      </c>
      <c r="M24" s="690">
        <f>'16.PM Annex'!M21</f>
        <v>0</v>
      </c>
      <c r="N24" s="1177">
        <f>'16.PM Annex'!N21</f>
        <v>0</v>
      </c>
      <c r="O24" s="690">
        <f>'16.PM Annex'!O21</f>
        <v>0</v>
      </c>
      <c r="P24" s="431">
        <f>'16.PM Annex'!P21</f>
        <v>0</v>
      </c>
      <c r="Q24" s="55"/>
      <c r="R24" s="1966"/>
    </row>
    <row r="25" spans="1:18" ht="409.5">
      <c r="A25" s="2800" t="str">
        <f>'16.PM Annex'!A22</f>
        <v>16.3.5</v>
      </c>
      <c r="B25" s="431" t="str">
        <f>'16.PM Annex'!B22</f>
        <v>B15.3.2.10/ B15.3.2.11</v>
      </c>
      <c r="C25" s="431" t="str">
        <f>'16.PM Annex'!C22</f>
        <v>Call Centre (Capex/ Opex)</v>
      </c>
      <c r="D25" s="1177"/>
      <c r="E25" s="1177"/>
      <c r="F25" s="1177">
        <f>'16.PM Annex'!F22</f>
        <v>1</v>
      </c>
      <c r="G25" s="1177">
        <f>'16.PM Annex'!G22</f>
        <v>0</v>
      </c>
      <c r="H25" s="1177">
        <f>'16.PM Annex'!H22</f>
        <v>136.72</v>
      </c>
      <c r="I25" s="1177">
        <f>'16.PM Annex'!I22</f>
        <v>108.21</v>
      </c>
      <c r="J25" s="1177">
        <f>'16.PM Annex'!J22</f>
        <v>28.51</v>
      </c>
      <c r="K25" s="1177">
        <f>'16.PM Annex'!K22</f>
        <v>0</v>
      </c>
      <c r="L25" s="1177">
        <f>'16.PM Annex'!L22</f>
        <v>26576340</v>
      </c>
      <c r="M25" s="690">
        <f>'16.PM Annex'!M22</f>
        <v>265.76339999999999</v>
      </c>
      <c r="N25" s="1177">
        <f>'16.PM Annex'!N22</f>
        <v>1</v>
      </c>
      <c r="O25" s="690">
        <f>'16.PM Annex'!O22</f>
        <v>265.76339999999999</v>
      </c>
      <c r="P25" s="431" t="str">
        <f>'16.PM Annex'!P22</f>
        <v xml:space="preserve">ONGOING ACTIVITY : For the operations &amp; management of  37 seats Comprehensive Call Centre for the year 2021-22.Additional 5  seats (4 Call Agents and 1 MBBS Doctor)  have been proposed / added for  the purpose of ECD Calling  and to supplement the Doctor-Patient  communication interface services of dedicated health advisory professionals  to guide and advise the patients of COVID-19 as and when they reachout for help through 104-Health Helpline.   The per seat  /per annum is as per the rates finsalised through tendering process in 2015-16 and as per the terms and conditions of existing MOU / SLA.  </v>
      </c>
      <c r="Q25" s="108" t="s">
        <v>5883</v>
      </c>
      <c r="R25" s="3076">
        <v>265.76</v>
      </c>
    </row>
    <row r="26" spans="1:18" s="2006" customFormat="1" ht="30">
      <c r="A26" s="2796">
        <f>'17.IT Initiatives_SD'!A7</f>
        <v>17</v>
      </c>
      <c r="B26" s="1468"/>
      <c r="C26" s="1468" t="str">
        <f>'17.IT Initiatives_SD'!C7</f>
        <v>IT Initiatives for strengthening Service Delivery</v>
      </c>
      <c r="D26" s="1419"/>
      <c r="E26" s="1419"/>
      <c r="F26" s="785"/>
      <c r="G26" s="785"/>
      <c r="H26" s="1959"/>
      <c r="I26" s="785"/>
      <c r="J26" s="547"/>
      <c r="K26" s="785"/>
      <c r="L26" s="785"/>
      <c r="M26" s="547"/>
      <c r="N26" s="2003"/>
      <c r="O26" s="2005">
        <f>SUM(O27:O28)</f>
        <v>181.00799999999998</v>
      </c>
      <c r="P26" s="876"/>
      <c r="Q26" s="1978"/>
      <c r="R26" s="2008">
        <f>SUM(R27:R28)</f>
        <v>181.01</v>
      </c>
    </row>
    <row r="27" spans="1:18" ht="210">
      <c r="A27" s="2801">
        <f>'17.IT Initiatives_SD'!A12</f>
        <v>17.3</v>
      </c>
      <c r="B27" s="88">
        <f>'17.IT Initiatives_SD'!B12</f>
        <v>0</v>
      </c>
      <c r="C27" s="88" t="str">
        <f>'17.IT Initiatives_SD'!C12</f>
        <v>Implementation of ANMOL (Excel Procurement)</v>
      </c>
      <c r="D27" s="158" t="str">
        <f>'17.IT Initiatives_SD'!D12</f>
        <v>HSS</v>
      </c>
      <c r="E27" s="158" t="str">
        <f>'17.IT Initiatives_SD'!E12</f>
        <v>HMIS/ MCTS</v>
      </c>
      <c r="F27" s="158">
        <f>'17.IT Initiatives_SD'!F12</f>
        <v>1986</v>
      </c>
      <c r="G27" s="158">
        <f>'17.IT Initiatives_SD'!G12</f>
        <v>0</v>
      </c>
      <c r="H27" s="158">
        <f>'17.IT Initiatives_SD'!H12</f>
        <v>35.75</v>
      </c>
      <c r="I27" s="158">
        <f>'17.IT Initiatives_SD'!I12</f>
        <v>0.12</v>
      </c>
      <c r="J27" s="158">
        <f>'17.IT Initiatives_SD'!J12</f>
        <v>35.630000000000003</v>
      </c>
      <c r="K27" s="158" t="str">
        <f>'17.IT Initiatives_SD'!K12</f>
        <v xml:space="preserve">per Sub-centre </v>
      </c>
      <c r="L27" s="158">
        <f>'17.IT Initiatives_SD'!L12</f>
        <v>1800</v>
      </c>
      <c r="M27" s="162">
        <f>'17.IT Initiatives_SD'!M12</f>
        <v>1.7999999999999999E-2</v>
      </c>
      <c r="N27" s="158">
        <f>'17.IT Initiatives_SD'!N12</f>
        <v>1990</v>
      </c>
      <c r="O27" s="162">
        <f>'17.IT Initiatives_SD'!O12</f>
        <v>35.82</v>
      </c>
      <c r="P27" s="2789" t="str">
        <f>'17.IT Initiatives_SD'!P12</f>
        <v xml:space="preserve">Recurring cost on account of internet connection ( @ Rs. 150 /- per month  )  provided on   1990 Tablets  provided to ANMs / HWs at Sub-Centre / facility lvel  for the data entry of RCH Portral records using ANMOL application </v>
      </c>
      <c r="Q27" s="54" t="s">
        <v>5685</v>
      </c>
      <c r="R27" s="1966">
        <f>1990*150*12/100000</f>
        <v>35.82</v>
      </c>
    </row>
    <row r="28" spans="1:18" ht="60">
      <c r="A28" s="2801">
        <f>'17.IT Initiatives_SD'!A17</f>
        <v>17.8</v>
      </c>
      <c r="B28" s="88">
        <f>'17.IT Initiatives_SD'!B17</f>
        <v>0</v>
      </c>
      <c r="C28" s="88" t="str">
        <f>'17.IT Initiatives_SD'!C17</f>
        <v>Other IT Initiatives for Service Delivery (please specify)</v>
      </c>
      <c r="D28" s="158" t="str">
        <f>'17.IT Initiatives_SD'!D17</f>
        <v>HSS</v>
      </c>
      <c r="E28" s="158" t="str">
        <f>'17.IT Initiatives_SD'!E17</f>
        <v>HMIS/ MCTS</v>
      </c>
      <c r="F28" s="158">
        <f>'17.IT Initiatives_SD'!F17</f>
        <v>0</v>
      </c>
      <c r="G28" s="158">
        <f>'17.IT Initiatives_SD'!G17</f>
        <v>0</v>
      </c>
      <c r="H28" s="158">
        <f>'17.IT Initiatives_SD'!H17</f>
        <v>0</v>
      </c>
      <c r="I28" s="158">
        <f>'17.IT Initiatives_SD'!I17</f>
        <v>0</v>
      </c>
      <c r="J28" s="158">
        <f>'17.IT Initiatives_SD'!J17</f>
        <v>0</v>
      </c>
      <c r="K28" s="158">
        <f>'17.IT Initiatives_SD'!K17</f>
        <v>1</v>
      </c>
      <c r="L28" s="158">
        <f>'17.IT Initiatives_SD'!L17</f>
        <v>1800</v>
      </c>
      <c r="M28" s="162">
        <f>'17.IT Initiatives_SD'!M17</f>
        <v>1.7999999999999999E-2</v>
      </c>
      <c r="N28" s="158">
        <f>'17.IT Initiatives_SD'!N17</f>
        <v>8066</v>
      </c>
      <c r="O28" s="162">
        <f>'17.IT Initiatives_SD'!O17</f>
        <v>145.18799999999999</v>
      </c>
      <c r="P28" s="2789" t="str">
        <f>'17.IT Initiatives_SD'!P17</f>
        <v xml:space="preserve">It is proposed that the ASHA Mobile Allowance @ Rs. 150/- for 12 month . </v>
      </c>
      <c r="Q28" s="54" t="s">
        <v>5811</v>
      </c>
      <c r="R28" s="3076">
        <v>145.19</v>
      </c>
    </row>
  </sheetData>
  <sheetProtection formatCells="0" formatColumns="0" formatRows="0" autoFilter="0"/>
  <autoFilter ref="A5:M28"/>
  <mergeCells count="11">
    <mergeCell ref="A9:A12"/>
    <mergeCell ref="A14:A17"/>
    <mergeCell ref="Q4:R4"/>
    <mergeCell ref="E4:E5"/>
    <mergeCell ref="A1:C1"/>
    <mergeCell ref="A4:A5"/>
    <mergeCell ref="B4:B5"/>
    <mergeCell ref="C4:C5"/>
    <mergeCell ref="D4:D5"/>
    <mergeCell ref="F4:J4"/>
    <mergeCell ref="K4:P4"/>
  </mergeCells>
  <pageMargins left="0.7" right="0.7" top="0.75" bottom="0.75" header="0.3" footer="0.3"/>
</worksheet>
</file>

<file path=xl/worksheets/sheet32.xml><?xml version="1.0" encoding="utf-8"?>
<worksheet xmlns="http://schemas.openxmlformats.org/spreadsheetml/2006/main" xmlns:r="http://schemas.openxmlformats.org/officeDocument/2006/relationships">
  <sheetPr codeName="Sheet18">
    <tabColor rgb="FF92D050"/>
  </sheetPr>
  <dimension ref="A1:R32"/>
  <sheetViews>
    <sheetView zoomScale="60" zoomScaleNormal="60" workbookViewId="0">
      <pane xSplit="3" ySplit="5" topLeftCell="J6" activePane="bottomRight" state="frozen"/>
      <selection activeCell="C107" sqref="C107"/>
      <selection pane="topRight" activeCell="C107" sqref="C107"/>
      <selection pane="bottomLeft" activeCell="C107" sqref="C107"/>
      <selection pane="bottomRight" activeCell="Q11" sqref="Q11"/>
    </sheetView>
  </sheetViews>
  <sheetFormatPr defaultColWidth="9.140625" defaultRowHeight="15"/>
  <cols>
    <col min="1" max="1" width="10.140625" style="1227" bestFit="1" customWidth="1"/>
    <col min="2" max="2" width="19.85546875" style="1227" customWidth="1"/>
    <col min="3" max="3" width="67.85546875" style="868" bestFit="1" customWidth="1"/>
    <col min="4" max="4" width="12.85546875" style="868" customWidth="1"/>
    <col min="5" max="5" width="20.42578125" style="868" bestFit="1" customWidth="1"/>
    <col min="6" max="6" width="25.5703125" style="1227" customWidth="1"/>
    <col min="7" max="7" width="16.85546875" style="1227" bestFit="1" customWidth="1"/>
    <col min="8" max="8" width="18.28515625" style="1941" bestFit="1" customWidth="1"/>
    <col min="9" max="9" width="15" style="1227" customWidth="1"/>
    <col min="10" max="10" width="12.140625" style="1941" bestFit="1" customWidth="1"/>
    <col min="11" max="11" width="22.7109375" style="868" bestFit="1" customWidth="1"/>
    <col min="12" max="12" width="17.28515625" style="868" bestFit="1" customWidth="1"/>
    <col min="13" max="13" width="11" style="1941" customWidth="1"/>
    <col min="14" max="14" width="9.140625" style="1227"/>
    <col min="15" max="15" width="16" style="1227" customWidth="1"/>
    <col min="16" max="16" width="43.5703125" style="1227" customWidth="1"/>
    <col min="17" max="17" width="47.85546875" style="1227" customWidth="1"/>
    <col min="18" max="18" width="14.85546875" style="1941" customWidth="1"/>
    <col min="19" max="16384" width="9.140625" style="1942"/>
  </cols>
  <sheetData>
    <row r="1" spans="1:18" s="1031" customFormat="1">
      <c r="A1" s="4091" t="s">
        <v>2847</v>
      </c>
      <c r="B1" s="4092"/>
      <c r="C1" s="4093"/>
      <c r="D1" s="1943"/>
      <c r="E1" s="1943"/>
      <c r="F1" s="83" t="s">
        <v>3788</v>
      </c>
      <c r="G1" s="1906"/>
      <c r="H1" s="1906"/>
      <c r="I1" s="1906"/>
      <c r="J1" s="1906"/>
      <c r="K1" s="1902"/>
      <c r="L1" s="1902"/>
      <c r="M1" s="1906"/>
      <c r="N1" s="1921"/>
      <c r="O1" s="1921"/>
      <c r="P1" s="1921"/>
      <c r="Q1" s="1921"/>
      <c r="R1" s="1921"/>
    </row>
    <row r="2" spans="1:18" s="1031" customFormat="1">
      <c r="A2" s="1908" t="str">
        <f>HYPERLINK("#Index!F3", "Index Pg")</f>
        <v>Index Pg</v>
      </c>
      <c r="B2" s="1915"/>
      <c r="C2" s="1417" t="str">
        <f>HYPERLINK("#'Budget Summary I'!A1:AL1", "Budget Summary I")</f>
        <v>Budget Summary I</v>
      </c>
      <c r="D2" s="1967"/>
      <c r="E2" s="1126" t="s">
        <v>4460</v>
      </c>
      <c r="F2" s="1968">
        <f>R26+R23+R19+R14+R9+R6+R31+R12+R29</f>
        <v>81.8</v>
      </c>
      <c r="G2" s="1906"/>
      <c r="H2" s="1906"/>
      <c r="I2" s="1906"/>
      <c r="J2" s="1906"/>
      <c r="K2" s="1921"/>
      <c r="L2" s="1135"/>
      <c r="M2" s="1906"/>
      <c r="N2" s="1921"/>
      <c r="O2" s="1921"/>
      <c r="P2" s="1921"/>
      <c r="Q2" s="1921"/>
      <c r="R2" s="1921"/>
    </row>
    <row r="3" spans="1:18" s="1031" customFormat="1">
      <c r="A3" s="1914"/>
      <c r="B3" s="1915"/>
      <c r="C3" s="1417" t="str">
        <f>HYPERLINK("#'Budget Summary II'!A3:B5", "Budget Summary II")</f>
        <v>Budget Summary II</v>
      </c>
      <c r="D3" s="1914"/>
      <c r="E3" s="1918" t="s">
        <v>4461</v>
      </c>
      <c r="F3" s="1968">
        <f>O26+O23+O19+O14+O9+O6+O31+O12+O29</f>
        <v>81.8</v>
      </c>
      <c r="G3" s="1906"/>
      <c r="H3" s="1906"/>
      <c r="I3" s="1906"/>
      <c r="J3" s="1906"/>
      <c r="K3" s="1921"/>
      <c r="L3" s="1135"/>
      <c r="M3" s="1906"/>
      <c r="N3" s="1921"/>
      <c r="O3" s="1921"/>
      <c r="P3" s="1921"/>
      <c r="Q3" s="1921"/>
      <c r="R3" s="1921"/>
    </row>
    <row r="4" spans="1:18" s="1227" customFormat="1" ht="14.25" customHeight="1">
      <c r="A4" s="3801" t="s">
        <v>48</v>
      </c>
      <c r="B4" s="3801" t="s">
        <v>49</v>
      </c>
      <c r="C4" s="3801" t="s">
        <v>50</v>
      </c>
      <c r="D4" s="3801" t="s">
        <v>51</v>
      </c>
      <c r="E4" s="3801" t="s">
        <v>52</v>
      </c>
      <c r="F4" s="3799" t="s">
        <v>4478</v>
      </c>
      <c r="G4" s="3799"/>
      <c r="H4" s="3799"/>
      <c r="I4" s="3799"/>
      <c r="J4" s="3799"/>
      <c r="K4" s="3799" t="s">
        <v>4484</v>
      </c>
      <c r="L4" s="3799"/>
      <c r="M4" s="3799"/>
      <c r="N4" s="3799"/>
      <c r="O4" s="3799"/>
      <c r="P4" s="3799"/>
      <c r="Q4" s="3800" t="s">
        <v>4514</v>
      </c>
      <c r="R4" s="3800"/>
    </row>
    <row r="5" spans="1:18" s="1227" customFormat="1" ht="29.1" customHeight="1">
      <c r="A5" s="3801"/>
      <c r="B5" s="3801"/>
      <c r="C5" s="3801"/>
      <c r="D5" s="3801"/>
      <c r="E5" s="3801"/>
      <c r="F5" s="918" t="s">
        <v>4479</v>
      </c>
      <c r="G5" s="918" t="s">
        <v>4482</v>
      </c>
      <c r="H5" s="918" t="s">
        <v>4480</v>
      </c>
      <c r="I5" s="918" t="s">
        <v>4483</v>
      </c>
      <c r="J5" s="918" t="s">
        <v>2448</v>
      </c>
      <c r="K5" s="919" t="s">
        <v>53</v>
      </c>
      <c r="L5" s="919" t="s">
        <v>54</v>
      </c>
      <c r="M5" s="920" t="s">
        <v>55</v>
      </c>
      <c r="N5" s="919" t="s">
        <v>56</v>
      </c>
      <c r="O5" s="920" t="s">
        <v>57</v>
      </c>
      <c r="P5" s="919" t="s">
        <v>58</v>
      </c>
      <c r="Q5" s="921" t="s">
        <v>2450</v>
      </c>
      <c r="R5" s="922" t="s">
        <v>4515</v>
      </c>
    </row>
    <row r="6" spans="1:18" s="1031" customFormat="1">
      <c r="A6" s="1969">
        <f>'1.SD Facility Based Annex'!A7</f>
        <v>1</v>
      </c>
      <c r="B6" s="1969"/>
      <c r="C6" s="1970" t="str">
        <f>'1.SD Facility Based Annex'!C7</f>
        <v>Service Delivery - Facility Based</v>
      </c>
      <c r="D6" s="1969"/>
      <c r="E6" s="1969"/>
      <c r="F6" s="1969"/>
      <c r="G6" s="1969"/>
      <c r="H6" s="1969"/>
      <c r="I6" s="1969"/>
      <c r="J6" s="1969"/>
      <c r="K6" s="1969"/>
      <c r="L6" s="1969"/>
      <c r="M6" s="994"/>
      <c r="N6" s="1969"/>
      <c r="O6" s="994">
        <f>SUM(O7:O8)</f>
        <v>80</v>
      </c>
      <c r="P6" s="1970"/>
      <c r="Q6" s="1970"/>
      <c r="R6" s="994">
        <f>SUM(R7:R8)</f>
        <v>80</v>
      </c>
    </row>
    <row r="7" spans="1:18" s="1031" customFormat="1" ht="30">
      <c r="A7" s="1015" t="str">
        <f>'1.SD Facility Based Annex'!A53</f>
        <v>1.1.7.3</v>
      </c>
      <c r="B7" s="1015" t="str">
        <f>'1.SD Facility Based Annex'!B53</f>
        <v>B14.3</v>
      </c>
      <c r="C7" s="1971" t="str">
        <f>'1.SD Facility Based Annex'!C53</f>
        <v>Transfusion support to patients with blood disorders  and for prevention programs</v>
      </c>
      <c r="D7" s="1015" t="str">
        <f>'1.SD Facility Based Annex'!D53</f>
        <v>HSS</v>
      </c>
      <c r="E7" s="1015" t="str">
        <f>'1.SD Facility Based Annex'!E53</f>
        <v>Blood Cell/ HSS</v>
      </c>
      <c r="F7" s="1015">
        <f>'1.SD Facility Based Annex'!F53</f>
        <v>0</v>
      </c>
      <c r="G7" s="1015">
        <f>'1.SD Facility Based Annex'!G53</f>
        <v>0</v>
      </c>
      <c r="H7" s="1015">
        <f>'1.SD Facility Based Annex'!H53</f>
        <v>0</v>
      </c>
      <c r="I7" s="1015">
        <f>'1.SD Facility Based Annex'!I53</f>
        <v>0</v>
      </c>
      <c r="J7" s="1015">
        <f>'1.SD Facility Based Annex'!J53</f>
        <v>0</v>
      </c>
      <c r="K7" s="1015">
        <f>'1.SD Facility Based Annex'!K53</f>
        <v>0</v>
      </c>
      <c r="L7" s="1015">
        <f>'1.SD Facility Based Annex'!L53</f>
        <v>0</v>
      </c>
      <c r="M7" s="962">
        <f>'1.SD Facility Based Annex'!M53</f>
        <v>0</v>
      </c>
      <c r="N7" s="1015">
        <f>'1.SD Facility Based Annex'!N53</f>
        <v>0</v>
      </c>
      <c r="O7" s="962">
        <f>'1.SD Facility Based Annex'!O53</f>
        <v>0</v>
      </c>
      <c r="P7" s="1971">
        <f>'1.SD Facility Based Annex'!P53</f>
        <v>0</v>
      </c>
      <c r="Q7" s="1976"/>
      <c r="R7" s="1887"/>
    </row>
    <row r="8" spans="1:18" s="1031" customFormat="1" ht="75">
      <c r="A8" s="1015" t="str">
        <f>'1.SD Facility Based Annex'!A57</f>
        <v>1.1.7.7</v>
      </c>
      <c r="B8" s="1015">
        <f>'1.SD Facility Based Annex'!B57</f>
        <v>0</v>
      </c>
      <c r="C8" s="1971" t="str">
        <f>'1.SD Facility Based Annex'!C57</f>
        <v>Patient requiring Blood Transfusion: 1) Patients with blood disorders 2) Patients in Trauma 3) Other requiring blood transfusion</v>
      </c>
      <c r="D8" s="1015" t="str">
        <f>'1.SD Facility Based Annex'!D57</f>
        <v>HSS</v>
      </c>
      <c r="E8" s="1015" t="str">
        <f>'1.SD Facility Based Annex'!E57</f>
        <v>Blood Cell/ HSS</v>
      </c>
      <c r="F8" s="1015">
        <f>'1.SD Facility Based Annex'!F57</f>
        <v>46000</v>
      </c>
      <c r="G8" s="1015">
        <f>'1.SD Facility Based Annex'!G57</f>
        <v>0</v>
      </c>
      <c r="H8" s="1015">
        <f>'1.SD Facility Based Annex'!H57</f>
        <v>92</v>
      </c>
      <c r="I8" s="1015">
        <f>'1.SD Facility Based Annex'!I57</f>
        <v>0</v>
      </c>
      <c r="J8" s="1015">
        <f>'1.SD Facility Based Annex'!J57</f>
        <v>0</v>
      </c>
      <c r="K8" s="1015">
        <f>'1.SD Facility Based Annex'!K57</f>
        <v>1</v>
      </c>
      <c r="L8" s="1015">
        <f>'1.SD Facility Based Annex'!L57</f>
        <v>200</v>
      </c>
      <c r="M8" s="962">
        <f>'1.SD Facility Based Annex'!M57</f>
        <v>2E-3</v>
      </c>
      <c r="N8" s="1015">
        <f>'1.SD Facility Based Annex'!N57</f>
        <v>40000</v>
      </c>
      <c r="O8" s="962">
        <f>'1.SD Facility Based Annex'!O57</f>
        <v>80</v>
      </c>
      <c r="P8" s="1971" t="str">
        <f>'1.SD Facility Based Annex'!P57</f>
        <v xml:space="preserve">Funds under this head has been proposed  for recommended @Rs. 200 per unit for 40000 beneficiaries as per previous year collection of Blood Units for providing blood and its components free of cost . </v>
      </c>
      <c r="Q8" s="1976" t="s">
        <v>5898</v>
      </c>
      <c r="R8" s="1977">
        <v>80</v>
      </c>
    </row>
    <row r="9" spans="1:18">
      <c r="A9" s="785">
        <f>'2.SD Community Based Annex'!A7</f>
        <v>2</v>
      </c>
      <c r="B9" s="785"/>
      <c r="C9" s="784" t="str">
        <f>'2.SD Community Based Annex'!C7</f>
        <v>Service Delivery - Community Based</v>
      </c>
      <c r="D9" s="785"/>
      <c r="E9" s="785"/>
      <c r="F9" s="785"/>
      <c r="G9" s="785"/>
      <c r="H9" s="785"/>
      <c r="I9" s="785"/>
      <c r="J9" s="785"/>
      <c r="K9" s="785"/>
      <c r="L9" s="785"/>
      <c r="M9" s="547"/>
      <c r="N9" s="785"/>
      <c r="O9" s="547">
        <f>SUM(O10:O11)</f>
        <v>0</v>
      </c>
      <c r="P9" s="784"/>
      <c r="Q9" s="703"/>
      <c r="R9" s="154">
        <f>SUM(R10:R11)</f>
        <v>0</v>
      </c>
    </row>
    <row r="10" spans="1:18" ht="30">
      <c r="A10" s="158" t="str">
        <f>'2.SD Community Based Annex'!A16</f>
        <v>2.1.3.1</v>
      </c>
      <c r="B10" s="158" t="str">
        <f>'2.SD Community Based Annex'!B16</f>
        <v>B11.2.4</v>
      </c>
      <c r="C10" s="88" t="str">
        <f>'2.SD Community Based Annex'!C16</f>
        <v>Blood collection and Transport Vans (including POL and TA /DA of HR of BCTV and other contingency)</v>
      </c>
      <c r="D10" s="158" t="str">
        <f>'2.SD Community Based Annex'!D16</f>
        <v>HSS</v>
      </c>
      <c r="E10" s="158" t="str">
        <f>'2.SD Community Based Annex'!E16</f>
        <v>Blood Services</v>
      </c>
      <c r="F10" s="158">
        <f>'2.SD Community Based Annex'!F16</f>
        <v>0</v>
      </c>
      <c r="G10" s="158">
        <f>'2.SD Community Based Annex'!G16</f>
        <v>0</v>
      </c>
      <c r="H10" s="158">
        <f>'2.SD Community Based Annex'!H16</f>
        <v>0</v>
      </c>
      <c r="I10" s="158">
        <f>'2.SD Community Based Annex'!I16</f>
        <v>0</v>
      </c>
      <c r="J10" s="158">
        <f>'2.SD Community Based Annex'!J16</f>
        <v>0</v>
      </c>
      <c r="K10" s="158">
        <f>'2.SD Community Based Annex'!K16</f>
        <v>0</v>
      </c>
      <c r="L10" s="158">
        <f>'2.SD Community Based Annex'!L16</f>
        <v>0</v>
      </c>
      <c r="M10" s="162">
        <f>'2.SD Community Based Annex'!M16</f>
        <v>0</v>
      </c>
      <c r="N10" s="158">
        <f>'2.SD Community Based Annex'!N16</f>
        <v>0</v>
      </c>
      <c r="O10" s="162">
        <f>'2.SD Community Based Annex'!O16</f>
        <v>0</v>
      </c>
      <c r="P10" s="88">
        <f>'2.SD Community Based Annex'!P16</f>
        <v>0</v>
      </c>
      <c r="Q10" s="1976"/>
      <c r="R10" s="144"/>
    </row>
    <row r="11" spans="1:18" ht="45">
      <c r="A11" s="158" t="str">
        <f>'2.SD Community Based Annex'!A56</f>
        <v>2.3.3.1</v>
      </c>
      <c r="B11" s="158" t="str">
        <f>'2.SD Community Based Annex'!B56</f>
        <v>A.2.10.1</v>
      </c>
      <c r="C11" s="88" t="str">
        <f>'2.SD Community Based Annex'!C56</f>
        <v>One time Screening to Identify the carriers of Sickle cell trait, β Thalassemia, Haemoglobin variants at school especially class 8 students and in newborns</v>
      </c>
      <c r="D11" s="158" t="str">
        <f>'2.SD Community Based Annex'!D56</f>
        <v>RCH</v>
      </c>
      <c r="E11" s="158" t="str">
        <f>'2.SD Community Based Annex'!E56</f>
        <v>CH</v>
      </c>
      <c r="F11" s="158">
        <f>'2.SD Community Based Annex'!F56</f>
        <v>250000</v>
      </c>
      <c r="G11" s="158">
        <f>'2.SD Community Based Annex'!G56</f>
        <v>0</v>
      </c>
      <c r="H11" s="158">
        <f>'2.SD Community Based Annex'!H56</f>
        <v>243.125</v>
      </c>
      <c r="I11" s="158">
        <f>'2.SD Community Based Annex'!I56</f>
        <v>0</v>
      </c>
      <c r="J11" s="158">
        <f>'2.SD Community Based Annex'!J56</f>
        <v>243.125</v>
      </c>
      <c r="K11" s="158">
        <f>'2.SD Community Based Annex'!K56</f>
        <v>0</v>
      </c>
      <c r="L11" s="158">
        <f>'2.SD Community Based Annex'!L56</f>
        <v>0</v>
      </c>
      <c r="M11" s="162">
        <f>'2.SD Community Based Annex'!M56</f>
        <v>0</v>
      </c>
      <c r="N11" s="158">
        <f>'2.SD Community Based Annex'!N56</f>
        <v>0</v>
      </c>
      <c r="O11" s="162">
        <f>'2.SD Community Based Annex'!O56</f>
        <v>0</v>
      </c>
      <c r="P11" s="88">
        <f>'2.SD Community Based Annex'!P56</f>
        <v>0</v>
      </c>
      <c r="Q11" s="1976"/>
      <c r="R11" s="144"/>
    </row>
    <row r="12" spans="1:18">
      <c r="A12" s="785">
        <f>'5.Infrastructure Annex'!A7</f>
        <v>5</v>
      </c>
      <c r="B12" s="785"/>
      <c r="C12" s="784" t="str">
        <f>'5.Infrastructure Annex'!C7</f>
        <v>Infrastructure</v>
      </c>
      <c r="D12" s="785"/>
      <c r="E12" s="785"/>
      <c r="F12" s="785"/>
      <c r="G12" s="785"/>
      <c r="H12" s="547"/>
      <c r="I12" s="785"/>
      <c r="J12" s="547"/>
      <c r="K12" s="785"/>
      <c r="L12" s="785"/>
      <c r="M12" s="547"/>
      <c r="N12" s="1951"/>
      <c r="O12" s="1972">
        <f>O13</f>
        <v>0</v>
      </c>
      <c r="P12" s="1973"/>
      <c r="Q12" s="1978"/>
      <c r="R12" s="1979">
        <f>R13</f>
        <v>0</v>
      </c>
    </row>
    <row r="13" spans="1:18">
      <c r="A13" s="158" t="str">
        <f>'5.Infrastructure Annex'!A84</f>
        <v>5.3.3</v>
      </c>
      <c r="B13" s="158" t="str">
        <f>'5.Infrastructure Annex'!B84</f>
        <v>B4.1.5.4.1</v>
      </c>
      <c r="C13" s="88" t="str">
        <f>'5.Infrastructure Annex'!C84</f>
        <v>Blood bank/ BCSU/ BSU/ Day care centre for hemoglobinopathies</v>
      </c>
      <c r="D13" s="158" t="str">
        <f>'5.Infrastructure Annex'!D84</f>
        <v>HSS</v>
      </c>
      <c r="E13" s="158" t="str">
        <f>'5.Infrastructure Annex'!E84</f>
        <v>Blood cell/ HSS</v>
      </c>
      <c r="F13" s="158">
        <f>'5.Infrastructure Annex'!F84</f>
        <v>0</v>
      </c>
      <c r="G13" s="158">
        <f>'5.Infrastructure Annex'!G84</f>
        <v>0</v>
      </c>
      <c r="H13" s="158">
        <f>'5.Infrastructure Annex'!H84</f>
        <v>0</v>
      </c>
      <c r="I13" s="158">
        <f>'5.Infrastructure Annex'!I84</f>
        <v>0</v>
      </c>
      <c r="J13" s="158">
        <f>'5.Infrastructure Annex'!J84</f>
        <v>0</v>
      </c>
      <c r="K13" s="158">
        <f>'5.Infrastructure Annex'!K84</f>
        <v>0</v>
      </c>
      <c r="L13" s="158">
        <f>'5.Infrastructure Annex'!L84</f>
        <v>0</v>
      </c>
      <c r="M13" s="162">
        <f>'5.Infrastructure Annex'!M84</f>
        <v>0</v>
      </c>
      <c r="N13" s="158">
        <f>'5.Infrastructure Annex'!N84</f>
        <v>0</v>
      </c>
      <c r="O13" s="162">
        <f>'5.Infrastructure Annex'!O84</f>
        <v>0</v>
      </c>
      <c r="P13" s="88">
        <f>'5.Infrastructure Annex'!P84</f>
        <v>0</v>
      </c>
      <c r="Q13" s="55"/>
      <c r="R13" s="144"/>
    </row>
    <row r="14" spans="1:18">
      <c r="A14" s="785">
        <f>'6.Procurement Annex'!A7</f>
        <v>6</v>
      </c>
      <c r="B14" s="785"/>
      <c r="C14" s="784" t="str">
        <f>'6.Procurement Annex'!C7</f>
        <v>Procurement</v>
      </c>
      <c r="D14" s="785"/>
      <c r="E14" s="785"/>
      <c r="F14" s="785"/>
      <c r="G14" s="785"/>
      <c r="H14" s="547"/>
      <c r="I14" s="785"/>
      <c r="J14" s="547"/>
      <c r="K14" s="785"/>
      <c r="L14" s="785"/>
      <c r="M14" s="547"/>
      <c r="N14" s="1951"/>
      <c r="O14" s="1972">
        <f>SUM(O15:O18)</f>
        <v>0</v>
      </c>
      <c r="P14" s="1953"/>
      <c r="Q14" s="1964"/>
      <c r="R14" s="1979">
        <f>SUM(R15:R18)</f>
        <v>0</v>
      </c>
    </row>
    <row r="15" spans="1:18">
      <c r="A15" s="4094" t="str">
        <f>'6.Procurement Annex'!A20</f>
        <v>6.1.2.3</v>
      </c>
      <c r="B15" s="952">
        <f>'6-A. Proc. Sub-Annex'!B51</f>
        <v>0</v>
      </c>
      <c r="C15" s="858" t="str">
        <f>'6-A. Proc. Sub-Annex'!C51</f>
        <v>Equipment for Blood Banks/BSU/BCSU</v>
      </c>
      <c r="D15" s="952" t="str">
        <f>'6-A. Proc. Sub-Annex'!D51</f>
        <v>HSS</v>
      </c>
      <c r="E15" s="952" t="str">
        <f>'6-A. Proc. Sub-Annex'!E51</f>
        <v>Blood Cell</v>
      </c>
      <c r="F15" s="952">
        <f>'6-A. Proc. Sub-Annex'!F51</f>
        <v>2</v>
      </c>
      <c r="G15" s="952">
        <f>'6-A. Proc. Sub-Annex'!G51</f>
        <v>0</v>
      </c>
      <c r="H15" s="952">
        <f>'6-A. Proc. Sub-Annex'!H51</f>
        <v>100</v>
      </c>
      <c r="I15" s="952">
        <f>'6-A. Proc. Sub-Annex'!I51</f>
        <v>0</v>
      </c>
      <c r="J15" s="952">
        <f>'6-A. Proc. Sub-Annex'!J51</f>
        <v>100</v>
      </c>
      <c r="K15" s="952">
        <f>'6-A. Proc. Sub-Annex'!K51</f>
        <v>0</v>
      </c>
      <c r="L15" s="952">
        <f>'6-A. Proc. Sub-Annex'!L51</f>
        <v>0</v>
      </c>
      <c r="M15" s="1937">
        <f>'6-A. Proc. Sub-Annex'!M51</f>
        <v>0</v>
      </c>
      <c r="N15" s="952">
        <f>'6-A. Proc. Sub-Annex'!N51</f>
        <v>0</v>
      </c>
      <c r="O15" s="1937">
        <f>'6-A. Proc. Sub-Annex'!O51</f>
        <v>0</v>
      </c>
      <c r="P15" s="858">
        <f>'6-A. Proc. Sub-Annex'!P51</f>
        <v>0</v>
      </c>
      <c r="Q15" s="55"/>
      <c r="R15" s="144"/>
    </row>
    <row r="16" spans="1:18">
      <c r="A16" s="4094"/>
      <c r="B16" s="952">
        <f>'6-A. Proc. Sub-Annex'!B52</f>
        <v>0</v>
      </c>
      <c r="C16" s="858" t="str">
        <f>'6-A. Proc. Sub-Annex'!C52</f>
        <v>Equipment for Day Care Centre</v>
      </c>
      <c r="D16" s="952" t="str">
        <f>'6-A. Proc. Sub-Annex'!D52</f>
        <v>HSS</v>
      </c>
      <c r="E16" s="952" t="str">
        <f>'6-A. Proc. Sub-Annex'!E52</f>
        <v>Blood Cell</v>
      </c>
      <c r="F16" s="952">
        <f>'6-A. Proc. Sub-Annex'!F52</f>
        <v>0</v>
      </c>
      <c r="G16" s="952">
        <f>'6-A. Proc. Sub-Annex'!G52</f>
        <v>0</v>
      </c>
      <c r="H16" s="952">
        <f>'6-A. Proc. Sub-Annex'!H52</f>
        <v>0</v>
      </c>
      <c r="I16" s="952">
        <f>'6-A. Proc. Sub-Annex'!I52</f>
        <v>0</v>
      </c>
      <c r="J16" s="952">
        <f>'6-A. Proc. Sub-Annex'!J52</f>
        <v>0</v>
      </c>
      <c r="K16" s="952">
        <f>'6-A. Proc. Sub-Annex'!K52</f>
        <v>0</v>
      </c>
      <c r="L16" s="952">
        <f>'6-A. Proc. Sub-Annex'!L52</f>
        <v>0</v>
      </c>
      <c r="M16" s="1937">
        <f>'6-A. Proc. Sub-Annex'!M52</f>
        <v>0</v>
      </c>
      <c r="N16" s="952">
        <f>'6-A. Proc. Sub-Annex'!N52</f>
        <v>0</v>
      </c>
      <c r="O16" s="1937">
        <f>'6-A. Proc. Sub-Annex'!O52</f>
        <v>0</v>
      </c>
      <c r="P16" s="858">
        <f>'6-A. Proc. Sub-Annex'!P52</f>
        <v>0</v>
      </c>
      <c r="Q16" s="55"/>
      <c r="R16" s="144"/>
    </row>
    <row r="17" spans="1:18">
      <c r="A17" s="4094" t="str">
        <f>'6.Procurement Annex'!A65</f>
        <v>6.2.2.2</v>
      </c>
      <c r="B17" s="952" t="str">
        <f>'6-A. Proc. Sub-Annex'!B198</f>
        <v>B.16.2.11.1</v>
      </c>
      <c r="C17" s="858" t="str">
        <f>'6-A. Proc. Sub-Annex'!C198</f>
        <v xml:space="preserve">Drugs and Supplies for blood services </v>
      </c>
      <c r="D17" s="952" t="str">
        <f>'6-A. Proc. Sub-Annex'!D198</f>
        <v>HSS</v>
      </c>
      <c r="E17" s="952" t="str">
        <f>'6-A. Proc. Sub-Annex'!E198</f>
        <v>Blood Cell</v>
      </c>
      <c r="F17" s="952">
        <f>'6-A. Proc. Sub-Annex'!F198</f>
        <v>0</v>
      </c>
      <c r="G17" s="952">
        <f>'6-A. Proc. Sub-Annex'!G198</f>
        <v>0</v>
      </c>
      <c r="H17" s="952">
        <f>'6-A. Proc. Sub-Annex'!H198</f>
        <v>0</v>
      </c>
      <c r="I17" s="952">
        <f>'6-A. Proc. Sub-Annex'!I198</f>
        <v>0</v>
      </c>
      <c r="J17" s="952">
        <f>'6-A. Proc. Sub-Annex'!J198</f>
        <v>0</v>
      </c>
      <c r="K17" s="952">
        <f>'6-A. Proc. Sub-Annex'!K198</f>
        <v>0</v>
      </c>
      <c r="L17" s="952">
        <f>'6-A. Proc. Sub-Annex'!L198</f>
        <v>0</v>
      </c>
      <c r="M17" s="1937">
        <f>'6-A. Proc. Sub-Annex'!M198</f>
        <v>0</v>
      </c>
      <c r="N17" s="952">
        <f>'6-A. Proc. Sub-Annex'!N198</f>
        <v>0</v>
      </c>
      <c r="O17" s="1937">
        <f>'6-A. Proc. Sub-Annex'!O198</f>
        <v>0</v>
      </c>
      <c r="P17" s="858">
        <f>'6-A. Proc. Sub-Annex'!P198</f>
        <v>0</v>
      </c>
      <c r="Q17" s="55"/>
      <c r="R17" s="144"/>
    </row>
    <row r="18" spans="1:18">
      <c r="A18" s="4094"/>
      <c r="B18" s="952" t="str">
        <f>'6-A. Proc. Sub-Annex'!B199</f>
        <v>B.16.2.11.1</v>
      </c>
      <c r="C18" s="858" t="str">
        <f>'6-A. Proc. Sub-Annex'!C199</f>
        <v xml:space="preserve">Drugs and Supplies for blood related disorders- Haemoglobinopathies &amp; Haemophilia </v>
      </c>
      <c r="D18" s="952" t="str">
        <f>'6-A. Proc. Sub-Annex'!D199</f>
        <v>HSS</v>
      </c>
      <c r="E18" s="952" t="str">
        <f>'6-A. Proc. Sub-Annex'!E199</f>
        <v>Blood Cell</v>
      </c>
      <c r="F18" s="952">
        <f>'6-A. Proc. Sub-Annex'!F199</f>
        <v>0</v>
      </c>
      <c r="G18" s="952">
        <f>'6-A. Proc. Sub-Annex'!G199</f>
        <v>0</v>
      </c>
      <c r="H18" s="952">
        <f>'6-A. Proc. Sub-Annex'!H199</f>
        <v>0</v>
      </c>
      <c r="I18" s="952">
        <f>'6-A. Proc. Sub-Annex'!I199</f>
        <v>0</v>
      </c>
      <c r="J18" s="952">
        <f>'6-A. Proc. Sub-Annex'!J199</f>
        <v>0</v>
      </c>
      <c r="K18" s="952">
        <f>'6-A. Proc. Sub-Annex'!K199</f>
        <v>0</v>
      </c>
      <c r="L18" s="952">
        <f>'6-A. Proc. Sub-Annex'!L199</f>
        <v>0</v>
      </c>
      <c r="M18" s="1937">
        <f>'6-A. Proc. Sub-Annex'!M199</f>
        <v>0</v>
      </c>
      <c r="N18" s="952">
        <f>'6-A. Proc. Sub-Annex'!N199</f>
        <v>0</v>
      </c>
      <c r="O18" s="1937">
        <f>'6-A. Proc. Sub-Annex'!O199</f>
        <v>0</v>
      </c>
      <c r="P18" s="858">
        <f>'6-A. Proc. Sub-Annex'!P199</f>
        <v>0</v>
      </c>
      <c r="Q18" s="55"/>
      <c r="R18" s="144"/>
    </row>
    <row r="19" spans="1:18">
      <c r="A19" s="785">
        <f>'9.Training Annex'!A7</f>
        <v>9</v>
      </c>
      <c r="B19" s="785"/>
      <c r="C19" s="784" t="str">
        <f>'9.Training Annex'!C7</f>
        <v>Training and Capacity Building</v>
      </c>
      <c r="D19" s="785"/>
      <c r="E19" s="785"/>
      <c r="F19" s="785"/>
      <c r="G19" s="785"/>
      <c r="H19" s="547"/>
      <c r="I19" s="785"/>
      <c r="J19" s="547"/>
      <c r="K19" s="785"/>
      <c r="L19" s="785"/>
      <c r="M19" s="547"/>
      <c r="N19" s="1951"/>
      <c r="O19" s="1972">
        <f>SUM(O20:O22)</f>
        <v>1.8</v>
      </c>
      <c r="P19" s="1953"/>
      <c r="Q19" s="1964"/>
      <c r="R19" s="1979">
        <f>SUM(R20:R22)</f>
        <v>1.8</v>
      </c>
    </row>
    <row r="20" spans="1:18" ht="84" customHeight="1">
      <c r="A20" s="4095" t="str">
        <f>'9.Training Annex'!A30</f>
        <v>9.2.2.1</v>
      </c>
      <c r="B20" s="158" t="str">
        <f>'9-A.Training Sub-Annex'!B147</f>
        <v>A.9.3.8</v>
      </c>
      <c r="C20" s="88" t="str">
        <f>'9-A.Training Sub-Annex'!C147</f>
        <v>Blood Bank/Blood Storage Unit (BSU) Training</v>
      </c>
      <c r="D20" s="158" t="str">
        <f>'9-A.Training Sub-Annex'!D147</f>
        <v>HSS</v>
      </c>
      <c r="E20" s="158" t="str">
        <f>'9-A.Training Sub-Annex'!E147</f>
        <v>Blood Services</v>
      </c>
      <c r="F20" s="158">
        <f>'9-A.Training Sub-Annex'!F147</f>
        <v>2</v>
      </c>
      <c r="G20" s="158">
        <f>'9-A.Training Sub-Annex'!G147</f>
        <v>0</v>
      </c>
      <c r="H20" s="158">
        <f>'9-A.Training Sub-Annex'!H147</f>
        <v>1.67</v>
      </c>
      <c r="I20" s="158">
        <f>'9-A.Training Sub-Annex'!I147</f>
        <v>0.06</v>
      </c>
      <c r="J20" s="158">
        <f>'9-A.Training Sub-Annex'!J147</f>
        <v>1.61</v>
      </c>
      <c r="K20" s="158">
        <f>'9-A.Training Sub-Annex'!K147</f>
        <v>1</v>
      </c>
      <c r="L20" s="158">
        <f>'9-A.Training Sub-Annex'!L147</f>
        <v>90000</v>
      </c>
      <c r="M20" s="162">
        <f>'9-A.Training Sub-Annex'!M147</f>
        <v>0.9</v>
      </c>
      <c r="N20" s="158">
        <f>'9-A.Training Sub-Annex'!N147</f>
        <v>2</v>
      </c>
      <c r="O20" s="162">
        <f>'9-A.Training Sub-Annex'!O147</f>
        <v>1.8</v>
      </c>
      <c r="P20" s="88" t="str">
        <f>'9-A.Training Sub-Annex'!P147</f>
        <v xml:space="preserve">Fiunds proposed under this head for Blood Bank/ Blood storage Unit Training @ Rs. 90000 for 2 batches (batch size -30) for Mos and LTs </v>
      </c>
      <c r="Q20" s="54" t="s">
        <v>5897</v>
      </c>
      <c r="R20" s="144">
        <v>1.8</v>
      </c>
    </row>
    <row r="21" spans="1:18">
      <c r="A21" s="4095"/>
      <c r="B21" s="158" t="str">
        <f>'9-A.Training Sub-Annex'!B148</f>
        <v>A.9.3.8</v>
      </c>
      <c r="C21" s="88" t="str">
        <f>'9-A.Training Sub-Annex'!C148</f>
        <v xml:space="preserve">Training for Haemoglobinopathies </v>
      </c>
      <c r="D21" s="158" t="str">
        <f>'9-A.Training Sub-Annex'!D148</f>
        <v>HSS</v>
      </c>
      <c r="E21" s="158" t="str">
        <f>'9-A.Training Sub-Annex'!E148</f>
        <v>Blood Services</v>
      </c>
      <c r="F21" s="158">
        <f>'9-A.Training Sub-Annex'!F148</f>
        <v>2</v>
      </c>
      <c r="G21" s="158">
        <f>'9-A.Training Sub-Annex'!G148</f>
        <v>0</v>
      </c>
      <c r="H21" s="158">
        <f>'9-A.Training Sub-Annex'!H148</f>
        <v>2.59</v>
      </c>
      <c r="I21" s="158">
        <f>'9-A.Training Sub-Annex'!I148</f>
        <v>0</v>
      </c>
      <c r="J21" s="158">
        <f>'9-A.Training Sub-Annex'!J148</f>
        <v>0</v>
      </c>
      <c r="K21" s="158">
        <f>'9-A.Training Sub-Annex'!K148</f>
        <v>0</v>
      </c>
      <c r="L21" s="158">
        <f>'9-A.Training Sub-Annex'!L148</f>
        <v>0</v>
      </c>
      <c r="M21" s="162">
        <f>'9-A.Training Sub-Annex'!M148</f>
        <v>0</v>
      </c>
      <c r="N21" s="158">
        <f>'9-A.Training Sub-Annex'!N148</f>
        <v>0</v>
      </c>
      <c r="O21" s="162">
        <f>'9-A.Training Sub-Annex'!O148</f>
        <v>0</v>
      </c>
      <c r="P21" s="88">
        <f>'9-A.Training Sub-Annex'!P148</f>
        <v>0</v>
      </c>
      <c r="Q21" s="55"/>
      <c r="R21" s="144"/>
    </row>
    <row r="22" spans="1:18">
      <c r="A22" s="4095"/>
      <c r="B22" s="158">
        <f>'9-A.Training Sub-Annex'!B149</f>
        <v>0</v>
      </c>
      <c r="C22" s="88" t="str">
        <f>'9-A.Training Sub-Annex'!C149</f>
        <v>Any other trainings (please specify) related to BB and blood disorders</v>
      </c>
      <c r="D22" s="158" t="str">
        <f>'9-A.Training Sub-Annex'!D149</f>
        <v>HSS</v>
      </c>
      <c r="E22" s="158" t="str">
        <f>'9-A.Training Sub-Annex'!E149</f>
        <v>Blood Services</v>
      </c>
      <c r="F22" s="158">
        <f>'9-A.Training Sub-Annex'!F149</f>
        <v>0</v>
      </c>
      <c r="G22" s="158">
        <f>'9-A.Training Sub-Annex'!G149</f>
        <v>0</v>
      </c>
      <c r="H22" s="158">
        <f>'9-A.Training Sub-Annex'!H149</f>
        <v>0</v>
      </c>
      <c r="I22" s="158">
        <f>'9-A.Training Sub-Annex'!I149</f>
        <v>0</v>
      </c>
      <c r="J22" s="158">
        <f>'9-A.Training Sub-Annex'!J149</f>
        <v>0</v>
      </c>
      <c r="K22" s="158">
        <f>'9-A.Training Sub-Annex'!K149</f>
        <v>0</v>
      </c>
      <c r="L22" s="158">
        <f>'9-A.Training Sub-Annex'!L149</f>
        <v>0</v>
      </c>
      <c r="M22" s="162">
        <f>'9-A.Training Sub-Annex'!M149</f>
        <v>0</v>
      </c>
      <c r="N22" s="158">
        <f>'9-A.Training Sub-Annex'!N149</f>
        <v>0</v>
      </c>
      <c r="O22" s="162">
        <f>'9-A.Training Sub-Annex'!O149</f>
        <v>0</v>
      </c>
      <c r="P22" s="88">
        <f>'9-A.Training Sub-Annex'!P149</f>
        <v>0</v>
      </c>
      <c r="Q22" s="55"/>
      <c r="R22" s="144"/>
    </row>
    <row r="23" spans="1:18">
      <c r="A23" s="785">
        <f>'11.IEC-BCC Annex'!A7</f>
        <v>11</v>
      </c>
      <c r="B23" s="785"/>
      <c r="C23" s="784" t="e">
        <f>'11-A. IEC Sub-Annex'!#REF!</f>
        <v>#REF!</v>
      </c>
      <c r="D23" s="785"/>
      <c r="E23" s="785"/>
      <c r="F23" s="785"/>
      <c r="G23" s="785"/>
      <c r="H23" s="547"/>
      <c r="I23" s="785"/>
      <c r="J23" s="547"/>
      <c r="K23" s="785"/>
      <c r="L23" s="785"/>
      <c r="M23" s="547"/>
      <c r="N23" s="1951"/>
      <c r="O23" s="547">
        <f>SUM(O24:O25)</f>
        <v>0</v>
      </c>
      <c r="P23" s="1953"/>
      <c r="Q23" s="1964"/>
      <c r="R23" s="154">
        <f>SUM(R24:R25)</f>
        <v>0</v>
      </c>
    </row>
    <row r="24" spans="1:18">
      <c r="A24" s="4094" t="str">
        <f>'11.IEC-BCC Annex'!A18</f>
        <v>11.2.2</v>
      </c>
      <c r="B24" s="952">
        <f>'11-A. IEC Sub-Annex'!B38</f>
        <v>0</v>
      </c>
      <c r="C24" s="858" t="str">
        <f>'11-A. IEC Sub-Annex'!C38</f>
        <v>IEC/BCC activities under Blood Services</v>
      </c>
      <c r="D24" s="952" t="str">
        <f>'11-A. IEC Sub-Annex'!D38</f>
        <v>HSS</v>
      </c>
      <c r="E24" s="952" t="str">
        <f>'11-A. IEC Sub-Annex'!E38</f>
        <v>Blood Cell</v>
      </c>
      <c r="F24" s="952">
        <f>'11-A. IEC Sub-Annex'!F38</f>
        <v>6884</v>
      </c>
      <c r="G24" s="952">
        <f>'11-A. IEC Sub-Annex'!G38</f>
        <v>0</v>
      </c>
      <c r="H24" s="952">
        <f>'11-A. IEC Sub-Annex'!H38</f>
        <v>6.88</v>
      </c>
      <c r="I24" s="952">
        <f>'11-A. IEC Sub-Annex'!I38</f>
        <v>0</v>
      </c>
      <c r="J24" s="952">
        <f>'11-A. IEC Sub-Annex'!J38</f>
        <v>0</v>
      </c>
      <c r="K24" s="952">
        <f>'11-A. IEC Sub-Annex'!K38</f>
        <v>0</v>
      </c>
      <c r="L24" s="952">
        <f>'11-A. IEC Sub-Annex'!L38</f>
        <v>0</v>
      </c>
      <c r="M24" s="1937">
        <f>'11-A. IEC Sub-Annex'!M38</f>
        <v>0</v>
      </c>
      <c r="N24" s="952">
        <f>'11-A. IEC Sub-Annex'!N38</f>
        <v>0</v>
      </c>
      <c r="O24" s="1937">
        <f>'11-A. IEC Sub-Annex'!O38</f>
        <v>0</v>
      </c>
      <c r="P24" s="858">
        <f>'11-A. IEC Sub-Annex'!P38</f>
        <v>0</v>
      </c>
      <c r="Q24" s="55"/>
      <c r="R24" s="144"/>
    </row>
    <row r="25" spans="1:18">
      <c r="A25" s="4094"/>
      <c r="B25" s="952">
        <f>'11-A. IEC Sub-Annex'!B39</f>
        <v>0</v>
      </c>
      <c r="C25" s="858" t="str">
        <f>'11-A. IEC Sub-Annex'!C39</f>
        <v>IEC/BCC activities under Blood Disorders</v>
      </c>
      <c r="D25" s="952" t="str">
        <f>'11-A. IEC Sub-Annex'!D39</f>
        <v>HSS</v>
      </c>
      <c r="E25" s="952" t="str">
        <f>'11-A. IEC Sub-Annex'!E39</f>
        <v>Blood Cell</v>
      </c>
      <c r="F25" s="952">
        <f>'11-A. IEC Sub-Annex'!F39</f>
        <v>0</v>
      </c>
      <c r="G25" s="952">
        <f>'11-A. IEC Sub-Annex'!G39</f>
        <v>0</v>
      </c>
      <c r="H25" s="952">
        <f>'11-A. IEC Sub-Annex'!H39</f>
        <v>0</v>
      </c>
      <c r="I25" s="952">
        <f>'11-A. IEC Sub-Annex'!I39</f>
        <v>0</v>
      </c>
      <c r="J25" s="952">
        <f>'11-A. IEC Sub-Annex'!J39</f>
        <v>0</v>
      </c>
      <c r="K25" s="952">
        <f>'11-A. IEC Sub-Annex'!K39</f>
        <v>0</v>
      </c>
      <c r="L25" s="952">
        <f>'11-A. IEC Sub-Annex'!L39</f>
        <v>0</v>
      </c>
      <c r="M25" s="1937">
        <f>'11-A. IEC Sub-Annex'!M39</f>
        <v>0</v>
      </c>
      <c r="N25" s="952">
        <f>'11-A. IEC Sub-Annex'!N39</f>
        <v>0</v>
      </c>
      <c r="O25" s="1937">
        <f>'11-A. IEC Sub-Annex'!O39</f>
        <v>0</v>
      </c>
      <c r="P25" s="858">
        <f>'11-A. IEC Sub-Annex'!P39</f>
        <v>0</v>
      </c>
      <c r="Q25" s="55"/>
      <c r="R25" s="144"/>
    </row>
    <row r="26" spans="1:18">
      <c r="A26" s="785">
        <f>'12.Printing Annex'!A7</f>
        <v>12</v>
      </c>
      <c r="B26" s="785"/>
      <c r="C26" s="784" t="str">
        <f>'12.Printing Annex'!C7</f>
        <v>Printing</v>
      </c>
      <c r="D26" s="785"/>
      <c r="E26" s="785"/>
      <c r="F26" s="785"/>
      <c r="G26" s="785"/>
      <c r="H26" s="547"/>
      <c r="I26" s="785"/>
      <c r="J26" s="547"/>
      <c r="K26" s="785"/>
      <c r="L26" s="785"/>
      <c r="M26" s="547"/>
      <c r="N26" s="1951"/>
      <c r="O26" s="547">
        <f>SUM(O27:O28)</f>
        <v>0</v>
      </c>
      <c r="P26" s="1953"/>
      <c r="Q26" s="1964"/>
      <c r="R26" s="154">
        <f>SUM(R27:R28)</f>
        <v>0</v>
      </c>
    </row>
    <row r="27" spans="1:18">
      <c r="A27" s="4094" t="str">
        <f>'12.Printing Annex'!A19</f>
        <v>12.2.3</v>
      </c>
      <c r="B27" s="952" t="str">
        <f>'12-A. Print Sub-Annex'!B65</f>
        <v>B.10.7.4.5</v>
      </c>
      <c r="C27" s="858" t="str">
        <f>'12-A. Print Sub-Annex'!C65</f>
        <v>Printing of  cards for screening of  children for hemoglobinopathies</v>
      </c>
      <c r="D27" s="952" t="str">
        <f>'12-A. Print Sub-Annex'!D65</f>
        <v>HSS</v>
      </c>
      <c r="E27" s="952" t="str">
        <f>'12-A. Print Sub-Annex'!E65</f>
        <v>Blood cell</v>
      </c>
      <c r="F27" s="952">
        <f>'12-A. Print Sub-Annex'!F65</f>
        <v>6000</v>
      </c>
      <c r="G27" s="952">
        <f>'12-A. Print Sub-Annex'!G65</f>
        <v>0</v>
      </c>
      <c r="H27" s="952">
        <f>'12-A. Print Sub-Annex'!H65</f>
        <v>0.24</v>
      </c>
      <c r="I27" s="952">
        <f>'12-A. Print Sub-Annex'!I65</f>
        <v>0</v>
      </c>
      <c r="J27" s="952">
        <f>'12-A. Print Sub-Annex'!J65</f>
        <v>0</v>
      </c>
      <c r="K27" s="952">
        <f>'12-A. Print Sub-Annex'!K65</f>
        <v>0</v>
      </c>
      <c r="L27" s="952">
        <f>'12-A. Print Sub-Annex'!L65</f>
        <v>0</v>
      </c>
      <c r="M27" s="1937">
        <f>'12-A. Print Sub-Annex'!M65</f>
        <v>0</v>
      </c>
      <c r="N27" s="952">
        <f>'12-A. Print Sub-Annex'!N65</f>
        <v>0</v>
      </c>
      <c r="O27" s="1937">
        <f>'12-A. Print Sub-Annex'!O65</f>
        <v>0</v>
      </c>
      <c r="P27" s="858">
        <f>'12-A. Print Sub-Annex'!P65</f>
        <v>0</v>
      </c>
      <c r="Q27" s="55"/>
      <c r="R27" s="144"/>
    </row>
    <row r="28" spans="1:18">
      <c r="A28" s="4094"/>
      <c r="B28" s="952">
        <f>'12-A. Print Sub-Annex'!B66</f>
        <v>0</v>
      </c>
      <c r="C28" s="858" t="str">
        <f>'12-A. Print Sub-Annex'!C66</f>
        <v>Any other (please specify)</v>
      </c>
      <c r="D28" s="952" t="str">
        <f>'12-A. Print Sub-Annex'!D66</f>
        <v>HSS</v>
      </c>
      <c r="E28" s="952" t="str">
        <f>'12-A. Print Sub-Annex'!E66</f>
        <v>Blood cell</v>
      </c>
      <c r="F28" s="952">
        <f>'12-A. Print Sub-Annex'!F66</f>
        <v>0</v>
      </c>
      <c r="G28" s="952">
        <f>'12-A. Print Sub-Annex'!G66</f>
        <v>0</v>
      </c>
      <c r="H28" s="952">
        <f>'12-A. Print Sub-Annex'!H66</f>
        <v>0</v>
      </c>
      <c r="I28" s="952">
        <f>'12-A. Print Sub-Annex'!I66</f>
        <v>0</v>
      </c>
      <c r="J28" s="952">
        <f>'12-A. Print Sub-Annex'!J66</f>
        <v>0</v>
      </c>
      <c r="K28" s="952">
        <f>'12-A. Print Sub-Annex'!K66</f>
        <v>0</v>
      </c>
      <c r="L28" s="952">
        <f>'12-A. Print Sub-Annex'!L66</f>
        <v>0</v>
      </c>
      <c r="M28" s="1937">
        <f>'12-A. Print Sub-Annex'!M66</f>
        <v>0</v>
      </c>
      <c r="N28" s="952">
        <f>'12-A. Print Sub-Annex'!N66</f>
        <v>0</v>
      </c>
      <c r="O28" s="1937">
        <f>'12-A. Print Sub-Annex'!O66</f>
        <v>0</v>
      </c>
      <c r="P28" s="858">
        <f>'12-A. Print Sub-Annex'!P66</f>
        <v>0</v>
      </c>
      <c r="Q28" s="55"/>
      <c r="R28" s="144"/>
    </row>
    <row r="29" spans="1:18">
      <c r="A29" s="785">
        <f>'16.PM Annex'!A7</f>
        <v>16</v>
      </c>
      <c r="B29" s="785"/>
      <c r="C29" s="784" t="str">
        <f>'16.PM Annex'!C7</f>
        <v>Programme Management</v>
      </c>
      <c r="D29" s="785"/>
      <c r="E29" s="785"/>
      <c r="F29" s="785"/>
      <c r="G29" s="785"/>
      <c r="H29" s="547"/>
      <c r="I29" s="785"/>
      <c r="J29" s="547"/>
      <c r="K29" s="785"/>
      <c r="L29" s="785"/>
      <c r="M29" s="547"/>
      <c r="N29" s="1951"/>
      <c r="O29" s="1972">
        <f>O30</f>
        <v>0</v>
      </c>
      <c r="P29" s="1953"/>
      <c r="Q29" s="1964"/>
      <c r="R29" s="1979">
        <f>R30</f>
        <v>0</v>
      </c>
    </row>
    <row r="30" spans="1:18" ht="30">
      <c r="A30" s="952" t="str">
        <f>'16-A. PM sub Annex'!A150</f>
        <v>16.1.5.1.1</v>
      </c>
      <c r="B30" s="952" t="e">
        <f>'16-A. PM sub Annex'!#REF!</f>
        <v>#REF!</v>
      </c>
      <c r="C30" s="88" t="str">
        <f>'16-A. PM sub Annex'!C150</f>
        <v xml:space="preserve">PM cost for E-rakt kosh- refer to strengthening of blood services guidelines </v>
      </c>
      <c r="D30" s="952" t="str">
        <f>'16-A. PM sub Annex'!D150</f>
        <v>HSS</v>
      </c>
      <c r="E30" s="952" t="str">
        <f>'16-A. PM sub Annex'!E150</f>
        <v>HRH&amp;HPIP/Blood cell</v>
      </c>
      <c r="F30" s="952">
        <f>'16-A. PM sub Annex'!F150</f>
        <v>0</v>
      </c>
      <c r="G30" s="952">
        <f>'16-A. PM sub Annex'!G150</f>
        <v>0</v>
      </c>
      <c r="H30" s="952">
        <f>'16-A. PM sub Annex'!H150</f>
        <v>0</v>
      </c>
      <c r="I30" s="952">
        <f>'16-A. PM sub Annex'!I150</f>
        <v>0</v>
      </c>
      <c r="J30" s="952">
        <f>'16-A. PM sub Annex'!J150</f>
        <v>0</v>
      </c>
      <c r="K30" s="952">
        <f>'16-A. PM sub Annex'!K150</f>
        <v>0</v>
      </c>
      <c r="L30" s="952">
        <f>'16-A. PM sub Annex'!L150</f>
        <v>0</v>
      </c>
      <c r="M30" s="1937">
        <f>'16-A. PM sub Annex'!M150</f>
        <v>0</v>
      </c>
      <c r="N30" s="952">
        <f>'16-A. PM sub Annex'!N150</f>
        <v>0</v>
      </c>
      <c r="O30" s="1937">
        <f>'16-A. PM sub Annex'!O150</f>
        <v>0</v>
      </c>
      <c r="P30" s="858">
        <f>'16-A. PM sub Annex'!P150</f>
        <v>0</v>
      </c>
      <c r="Q30" s="55"/>
      <c r="R30" s="144"/>
    </row>
    <row r="31" spans="1:18">
      <c r="A31" s="785">
        <f>'17.IT Initiatives_SD'!A7</f>
        <v>17</v>
      </c>
      <c r="B31" s="785"/>
      <c r="C31" s="784" t="str">
        <f>'17.IT Initiatives_SD'!C7</f>
        <v>IT Initiatives for strengthening Service Delivery</v>
      </c>
      <c r="D31" s="785"/>
      <c r="E31" s="785"/>
      <c r="F31" s="785"/>
      <c r="G31" s="785"/>
      <c r="H31" s="547"/>
      <c r="I31" s="785"/>
      <c r="J31" s="547"/>
      <c r="K31" s="785"/>
      <c r="L31" s="785"/>
      <c r="M31" s="547"/>
      <c r="N31" s="1951"/>
      <c r="O31" s="1972">
        <f>O32</f>
        <v>0</v>
      </c>
      <c r="P31" s="1953"/>
      <c r="Q31" s="1964"/>
      <c r="R31" s="1979">
        <f>R32</f>
        <v>0</v>
      </c>
    </row>
    <row r="32" spans="1:18" ht="30">
      <c r="A32" s="952">
        <f>'17.IT Initiatives_SD'!A13</f>
        <v>17.399999999999999</v>
      </c>
      <c r="B32" s="952" t="str">
        <f>'17.IT Initiatives_SD'!B13</f>
        <v>B14.2</v>
      </c>
      <c r="C32" s="88" t="str">
        <f>'17.IT Initiatives_SD'!C13</f>
        <v xml:space="preserve">E-rakt kosh- refer to strengthening of blood services guidelines &amp; Software for hemoglobinopathies &amp; Haemophilia </v>
      </c>
      <c r="D32" s="158" t="str">
        <f>'17.IT Initiatives_SD'!D13</f>
        <v>HSS</v>
      </c>
      <c r="E32" s="158" t="str">
        <f>'17.IT Initiatives_SD'!E13</f>
        <v>Blood Services</v>
      </c>
      <c r="F32" s="158">
        <f>'17.IT Initiatives_SD'!F13</f>
        <v>0</v>
      </c>
      <c r="G32" s="158">
        <f>'17.IT Initiatives_SD'!G13</f>
        <v>0</v>
      </c>
      <c r="H32" s="158">
        <f>'17.IT Initiatives_SD'!H13</f>
        <v>0</v>
      </c>
      <c r="I32" s="158">
        <f>'17.IT Initiatives_SD'!I13</f>
        <v>0</v>
      </c>
      <c r="J32" s="158">
        <f>'17.IT Initiatives_SD'!J13</f>
        <v>0</v>
      </c>
      <c r="K32" s="158">
        <f>'17.IT Initiatives_SD'!K13</f>
        <v>0</v>
      </c>
      <c r="L32" s="158">
        <f>'17.IT Initiatives_SD'!L13</f>
        <v>0</v>
      </c>
      <c r="M32" s="162">
        <f>'17.IT Initiatives_SD'!M13</f>
        <v>0</v>
      </c>
      <c r="N32" s="158">
        <f>'17.IT Initiatives_SD'!N13</f>
        <v>0</v>
      </c>
      <c r="O32" s="162">
        <f>'17.IT Initiatives_SD'!O13</f>
        <v>0</v>
      </c>
      <c r="P32" s="88">
        <f>'17.IT Initiatives_SD'!P13</f>
        <v>0</v>
      </c>
      <c r="Q32" s="55"/>
      <c r="R32" s="144"/>
    </row>
  </sheetData>
  <sheetProtection sheet="1" formatCells="0" formatColumns="0" formatRows="0" autoFilter="0"/>
  <autoFilter ref="A5:M32"/>
  <mergeCells count="14">
    <mergeCell ref="A17:A18"/>
    <mergeCell ref="A15:A16"/>
    <mergeCell ref="A20:A22"/>
    <mergeCell ref="A24:A25"/>
    <mergeCell ref="A27:A28"/>
    <mergeCell ref="Q4:R4"/>
    <mergeCell ref="E4:E5"/>
    <mergeCell ref="A1:C1"/>
    <mergeCell ref="A4:A5"/>
    <mergeCell ref="B4:B5"/>
    <mergeCell ref="C4:C5"/>
    <mergeCell ref="D4:D5"/>
    <mergeCell ref="F4:J4"/>
    <mergeCell ref="K4:P4"/>
  </mergeCells>
  <pageMargins left="0.7" right="0.7" top="0.75" bottom="0.75" header="0.3" footer="0.3"/>
  <pageSetup orientation="portrait" r:id="rId1"/>
</worksheet>
</file>

<file path=xl/worksheets/sheet33.xml><?xml version="1.0" encoding="utf-8"?>
<worksheet xmlns="http://schemas.openxmlformats.org/spreadsheetml/2006/main" xmlns:r="http://schemas.openxmlformats.org/officeDocument/2006/relationships">
  <sheetPr codeName="Sheet21">
    <tabColor rgb="FF92D050"/>
  </sheetPr>
  <dimension ref="A1:R36"/>
  <sheetViews>
    <sheetView zoomScale="80" zoomScaleNormal="80" workbookViewId="0">
      <pane xSplit="3" ySplit="5" topLeftCell="M36" activePane="bottomRight" state="frozen"/>
      <selection activeCell="C107" sqref="C107"/>
      <selection pane="topRight" activeCell="C107" sqref="C107"/>
      <selection pane="bottomLeft" activeCell="C107" sqref="C107"/>
      <selection pane="bottomRight" activeCell="Q36" sqref="Q36"/>
    </sheetView>
  </sheetViews>
  <sheetFormatPr defaultColWidth="8.7109375" defaultRowHeight="15"/>
  <cols>
    <col min="1" max="1" width="10.85546875" style="1789" bestFit="1" customWidth="1"/>
    <col min="2" max="2" width="19" style="1789" customWidth="1"/>
    <col min="3" max="3" width="56" style="1789" customWidth="1"/>
    <col min="4" max="4" width="4.5703125" style="1227" bestFit="1" customWidth="1"/>
    <col min="5" max="5" width="19.5703125" style="1227" bestFit="1" customWidth="1"/>
    <col min="6" max="6" width="33.42578125" style="1227" customWidth="1"/>
    <col min="7" max="7" width="17.28515625" style="1227" bestFit="1" customWidth="1"/>
    <col min="8" max="8" width="15.85546875" style="1941" bestFit="1" customWidth="1"/>
    <col min="9" max="9" width="15.140625" style="1227" bestFit="1" customWidth="1"/>
    <col min="10" max="10" width="12" style="1941" customWidth="1"/>
    <col min="11" max="11" width="17.140625" style="904" customWidth="1"/>
    <col min="12" max="12" width="15.85546875" style="904" customWidth="1"/>
    <col min="13" max="13" width="14" style="1941" customWidth="1"/>
    <col min="14" max="14" width="8.7109375" style="1942"/>
    <col min="15" max="15" width="11.42578125" style="1961" customWidth="1"/>
    <col min="16" max="16" width="52.140625" style="860" customWidth="1"/>
    <col min="17" max="17" width="31.85546875" style="1942" customWidth="1"/>
    <col min="18" max="18" width="12" style="1942" customWidth="1"/>
    <col min="19" max="16384" width="8.7109375" style="1942"/>
  </cols>
  <sheetData>
    <row r="1" spans="1:18" ht="30">
      <c r="A1" s="4097" t="s">
        <v>3820</v>
      </c>
      <c r="B1" s="4097"/>
      <c r="C1" s="4097"/>
      <c r="D1" s="1902"/>
      <c r="E1" s="1943"/>
      <c r="F1" s="83" t="s">
        <v>3821</v>
      </c>
      <c r="G1" s="1144"/>
      <c r="H1" s="1144"/>
      <c r="J1" s="1906"/>
      <c r="K1" s="1980"/>
      <c r="L1" s="1980"/>
      <c r="M1" s="1906"/>
    </row>
    <row r="2" spans="1:18" s="1227" customFormat="1">
      <c r="A2" s="1842" t="str">
        <f>HYPERLINK("#Index!F3", "Index Pg")</f>
        <v>Index Pg</v>
      </c>
      <c r="B2" s="1847"/>
      <c r="C2" s="864" t="str">
        <f>HYPERLINK("#'Budget Summary I'!A1:AL1", "Budget Summary I")</f>
        <v>Budget Summary I</v>
      </c>
      <c r="D2" s="1909"/>
      <c r="E2" s="1693" t="s">
        <v>4460</v>
      </c>
      <c r="F2" s="1968">
        <f>R6+R8+R13+R17+R22+R28+R30+R32+R34</f>
        <v>5949.87</v>
      </c>
      <c r="G2" s="1913"/>
      <c r="H2" s="1913"/>
      <c r="J2" s="1906"/>
      <c r="K2" s="1981"/>
      <c r="L2" s="1981"/>
      <c r="M2" s="1906"/>
      <c r="O2" s="1941"/>
      <c r="P2" s="868"/>
    </row>
    <row r="3" spans="1:18" s="1921" customFormat="1">
      <c r="A3" s="1846"/>
      <c r="B3" s="1847"/>
      <c r="C3" s="1916" t="str">
        <f>HYPERLINK("#'Budget Summary II'!A3:B5", "Budget Summary II")</f>
        <v>Budget Summary II</v>
      </c>
      <c r="D3" s="1909"/>
      <c r="E3" s="1982" t="s">
        <v>4461</v>
      </c>
      <c r="F3" s="1983">
        <f>O6+O8+O13+O17+O22+O28+O30+O32+O34</f>
        <v>5953.1882200000009</v>
      </c>
      <c r="G3" s="1913"/>
      <c r="H3" s="1913"/>
      <c r="J3" s="1922"/>
      <c r="K3" s="1981"/>
      <c r="L3" s="1981"/>
      <c r="M3" s="1906"/>
      <c r="O3" s="1922"/>
      <c r="P3" s="869"/>
    </row>
    <row r="4" spans="1:18" s="1227" customFormat="1" ht="14.45" customHeight="1">
      <c r="A4" s="3801" t="s">
        <v>48</v>
      </c>
      <c r="B4" s="3801" t="s">
        <v>49</v>
      </c>
      <c r="C4" s="3801" t="s">
        <v>50</v>
      </c>
      <c r="D4" s="3801" t="s">
        <v>51</v>
      </c>
      <c r="E4" s="3801" t="s">
        <v>52</v>
      </c>
      <c r="F4" s="3866" t="s">
        <v>4478</v>
      </c>
      <c r="G4" s="3866"/>
      <c r="H4" s="3866"/>
      <c r="I4" s="3866"/>
      <c r="J4" s="3866"/>
      <c r="K4" s="3866" t="s">
        <v>4484</v>
      </c>
      <c r="L4" s="3866"/>
      <c r="M4" s="3866"/>
      <c r="N4" s="3866"/>
      <c r="O4" s="3866"/>
      <c r="P4" s="3866"/>
      <c r="Q4" s="3801" t="s">
        <v>4514</v>
      </c>
      <c r="R4" s="3801"/>
    </row>
    <row r="5" spans="1:18" s="1227" customFormat="1" ht="60">
      <c r="A5" s="3801"/>
      <c r="B5" s="3801"/>
      <c r="C5" s="3801"/>
      <c r="D5" s="3801"/>
      <c r="E5" s="3801"/>
      <c r="F5" s="918" t="s">
        <v>4479</v>
      </c>
      <c r="G5" s="918" t="s">
        <v>4482</v>
      </c>
      <c r="H5" s="918" t="s">
        <v>4480</v>
      </c>
      <c r="I5" s="918" t="s">
        <v>4483</v>
      </c>
      <c r="J5" s="918" t="s">
        <v>2448</v>
      </c>
      <c r="K5" s="919" t="s">
        <v>53</v>
      </c>
      <c r="L5" s="919" t="s">
        <v>54</v>
      </c>
      <c r="M5" s="920" t="s">
        <v>55</v>
      </c>
      <c r="N5" s="919" t="s">
        <v>56</v>
      </c>
      <c r="O5" s="920" t="s">
        <v>57</v>
      </c>
      <c r="P5" s="919" t="s">
        <v>58</v>
      </c>
      <c r="Q5" s="921" t="s">
        <v>2450</v>
      </c>
      <c r="R5" s="922" t="s">
        <v>4515</v>
      </c>
    </row>
    <row r="6" spans="1:18">
      <c r="A6" s="1970">
        <f>'1.SD Facility Based Annex'!A7</f>
        <v>1</v>
      </c>
      <c r="B6" s="1970">
        <f>'1.SD Facility Based Annex'!B7</f>
        <v>0</v>
      </c>
      <c r="C6" s="1970" t="str">
        <f>'1.SD Facility Based Annex'!C7</f>
        <v>Service Delivery - Facility Based</v>
      </c>
      <c r="D6" s="1970"/>
      <c r="E6" s="1970"/>
      <c r="F6" s="1970"/>
      <c r="G6" s="1970"/>
      <c r="H6" s="1970"/>
      <c r="I6" s="1970"/>
      <c r="J6" s="1970"/>
      <c r="K6" s="1970"/>
      <c r="L6" s="1970"/>
      <c r="M6" s="1150"/>
      <c r="N6" s="1970"/>
      <c r="O6" s="1150">
        <f>O7</f>
        <v>0</v>
      </c>
      <c r="P6" s="1970"/>
      <c r="Q6" s="1970"/>
      <c r="R6" s="1150">
        <f>R7</f>
        <v>0</v>
      </c>
    </row>
    <row r="7" spans="1:18">
      <c r="A7" s="858" t="str">
        <f>'1.SD Facility Based Annex'!A55</f>
        <v>1.1.7.5</v>
      </c>
      <c r="B7" s="858">
        <f>'1.SD Facility Based Annex'!B55</f>
        <v>0</v>
      </c>
      <c r="C7" s="858" t="str">
        <f>'1.SD Facility Based Annex'!C55</f>
        <v>ICT for HWC- Internet connection</v>
      </c>
      <c r="D7" s="858" t="str">
        <f>'1.SD Facility Based Annex'!D55</f>
        <v>HSS</v>
      </c>
      <c r="E7" s="858" t="str">
        <f>'1.SD Facility Based Annex'!E55</f>
        <v>CPHC</v>
      </c>
      <c r="F7" s="858">
        <f>'1.SD Facility Based Annex'!F55</f>
        <v>0</v>
      </c>
      <c r="G7" s="858">
        <f>'1.SD Facility Based Annex'!G55</f>
        <v>0</v>
      </c>
      <c r="H7" s="858">
        <f>'1.SD Facility Based Annex'!H55</f>
        <v>0</v>
      </c>
      <c r="I7" s="858">
        <f>'1.SD Facility Based Annex'!I55</f>
        <v>0</v>
      </c>
      <c r="J7" s="858">
        <f>'1.SD Facility Based Annex'!J55</f>
        <v>0</v>
      </c>
      <c r="K7" s="858">
        <f>'1.SD Facility Based Annex'!K55</f>
        <v>0</v>
      </c>
      <c r="L7" s="858">
        <f>'1.SD Facility Based Annex'!L55</f>
        <v>0</v>
      </c>
      <c r="M7" s="859">
        <f>'1.SD Facility Based Annex'!M55</f>
        <v>0</v>
      </c>
      <c r="N7" s="858">
        <f>'1.SD Facility Based Annex'!N55</f>
        <v>0</v>
      </c>
      <c r="O7" s="859">
        <f>'1.SD Facility Based Annex'!O55</f>
        <v>0</v>
      </c>
      <c r="P7" s="2791">
        <f>'1.SD Facility Based Annex'!P55</f>
        <v>0</v>
      </c>
      <c r="Q7" s="55"/>
      <c r="R7" s="1792"/>
    </row>
    <row r="8" spans="1:18">
      <c r="A8" s="1970">
        <f>'5.Infrastructure Annex'!A7</f>
        <v>5</v>
      </c>
      <c r="B8" s="1970"/>
      <c r="C8" s="1970" t="str">
        <f>'5.Infrastructure Annex'!C7</f>
        <v>Infrastructure</v>
      </c>
      <c r="D8" s="1969"/>
      <c r="E8" s="1969"/>
      <c r="F8" s="1969"/>
      <c r="G8" s="1969"/>
      <c r="H8" s="994"/>
      <c r="I8" s="1969"/>
      <c r="J8" s="994"/>
      <c r="K8" s="1970"/>
      <c r="L8" s="1970"/>
      <c r="M8" s="994"/>
      <c r="N8" s="1984"/>
      <c r="O8" s="1985">
        <f>SUM(O9:O12)</f>
        <v>352</v>
      </c>
      <c r="P8" s="2809"/>
      <c r="Q8" s="1990"/>
      <c r="R8" s="1991">
        <f>SUM(R9:R12)</f>
        <v>352</v>
      </c>
    </row>
    <row r="9" spans="1:18">
      <c r="A9" s="858" t="str">
        <f>'5.Infrastructure Annex'!A28</f>
        <v>5.1.1.2.7</v>
      </c>
      <c r="B9" s="858" t="str">
        <f>'5.Infrastructure Annex'!B28</f>
        <v>B4.1.4.2</v>
      </c>
      <c r="C9" s="858" t="str">
        <f>'5.Infrastructure Annex'!C28</f>
        <v>Upgradation/ Renovation of HWC-HSCs</v>
      </c>
      <c r="D9" s="858" t="str">
        <f>'5.Infrastructure Annex'!D28</f>
        <v>HSS</v>
      </c>
      <c r="E9" s="858" t="str">
        <f>'5.Infrastructure Annex'!E28</f>
        <v>CPHC</v>
      </c>
      <c r="F9" s="858">
        <f>'5.Infrastructure Annex'!F28</f>
        <v>0</v>
      </c>
      <c r="G9" s="858">
        <f>'5.Infrastructure Annex'!G28</f>
        <v>0</v>
      </c>
      <c r="H9" s="858">
        <f>'5.Infrastructure Annex'!H28</f>
        <v>0</v>
      </c>
      <c r="I9" s="858">
        <f>'5.Infrastructure Annex'!I28</f>
        <v>0</v>
      </c>
      <c r="J9" s="858">
        <f>'5.Infrastructure Annex'!J28</f>
        <v>0</v>
      </c>
      <c r="K9" s="858">
        <f>'5.Infrastructure Annex'!K28</f>
        <v>0</v>
      </c>
      <c r="L9" s="858">
        <f>'5.Infrastructure Annex'!L28</f>
        <v>0</v>
      </c>
      <c r="M9" s="859">
        <f>'5.Infrastructure Annex'!M28</f>
        <v>0</v>
      </c>
      <c r="N9" s="858">
        <f>'5.Infrastructure Annex'!N28</f>
        <v>0</v>
      </c>
      <c r="O9" s="859">
        <f>'5.Infrastructure Annex'!O28</f>
        <v>0</v>
      </c>
      <c r="P9" s="2791">
        <f>'5.Infrastructure Annex'!P28</f>
        <v>0</v>
      </c>
      <c r="Q9" s="68"/>
      <c r="R9" s="1792"/>
    </row>
    <row r="10" spans="1:18" ht="165">
      <c r="A10" s="858" t="str">
        <f>'5.Infrastructure Annex'!A29</f>
        <v>5.1.1.2.8</v>
      </c>
      <c r="B10" s="858" t="str">
        <f>'5.Infrastructure Annex'!B29</f>
        <v>B18.3</v>
      </c>
      <c r="C10" s="858" t="str">
        <f>'5.Infrastructure Annex'!C29</f>
        <v>Infrastructure strengthening of SC  to H&amp;WC</v>
      </c>
      <c r="D10" s="858" t="str">
        <f>'5.Infrastructure Annex'!D29</f>
        <v>HSS</v>
      </c>
      <c r="E10" s="858" t="str">
        <f>'5.Infrastructure Annex'!E29</f>
        <v>CPHC</v>
      </c>
      <c r="F10" s="858">
        <f>'5.Infrastructure Annex'!F29</f>
        <v>800</v>
      </c>
      <c r="G10" s="858">
        <f>'5.Infrastructure Annex'!G29</f>
        <v>0</v>
      </c>
      <c r="H10" s="858">
        <f>'5.Infrastructure Annex'!H29</f>
        <v>5600</v>
      </c>
      <c r="I10" s="858">
        <f>'5.Infrastructure Annex'!I29</f>
        <v>182.39</v>
      </c>
      <c r="J10" s="858">
        <f>'5.Infrastructure Annex'!J29</f>
        <v>5417.61</v>
      </c>
      <c r="K10" s="858">
        <f>'5.Infrastructure Annex'!K29</f>
        <v>1</v>
      </c>
      <c r="L10" s="858">
        <f>'5.Infrastructure Annex'!L29</f>
        <v>100000</v>
      </c>
      <c r="M10" s="859">
        <f>'5.Infrastructure Annex'!M29</f>
        <v>1</v>
      </c>
      <c r="N10" s="858">
        <f>'5.Infrastructure Annex'!N29</f>
        <v>193</v>
      </c>
      <c r="O10" s="859">
        <f>'5.Infrastructure Annex'!O29</f>
        <v>193</v>
      </c>
      <c r="P10" s="2791" t="str">
        <f>'5.Infrastructure Annex'!P29</f>
        <v>Stste has total 2104 HSCs out of which 590 are co-located HSCs. Therefoe state is left with 1514 HSCs (2104-590 co-located HSCs=1514). GOI has approved 1321 HSCs till date. The state proposes to seek approval of all the SCs which are required to be converted to HWCs in this FY. However, the Civil Work of these 193 SCs is anticipated to be spilled over to next FY and therefore the state is proposing Rs. 1 Lakh per SC for these left out SCs. If required during FY 2021-22 only , appropriate proposal will also be built in SPIP 2021-22. Therefore funds @ Rs. 1 Lakh for 193 HSCs (1514-1321=193) are being proposed.</v>
      </c>
      <c r="Q10" s="69" t="s">
        <v>5812</v>
      </c>
      <c r="R10" s="1792">
        <v>193</v>
      </c>
    </row>
    <row r="11" spans="1:18" ht="150">
      <c r="A11" s="858" t="str">
        <f>'5.Infrastructure Annex'!A30</f>
        <v>5.1.1.2.9</v>
      </c>
      <c r="B11" s="858">
        <f>'5.Infrastructure Annex'!B30</f>
        <v>0</v>
      </c>
      <c r="C11" s="858" t="str">
        <f>'5.Infrastructure Annex'!C30</f>
        <v>Infrastructure strengthening of PHC  to H&amp;WC</v>
      </c>
      <c r="D11" s="858" t="str">
        <f>'5.Infrastructure Annex'!D30</f>
        <v>HSS</v>
      </c>
      <c r="E11" s="858" t="str">
        <f>'5.Infrastructure Annex'!E30</f>
        <v>CPHC</v>
      </c>
      <c r="F11" s="858">
        <f>'5.Infrastructure Annex'!F30</f>
        <v>0</v>
      </c>
      <c r="G11" s="858">
        <f>'5.Infrastructure Annex'!G30</f>
        <v>0</v>
      </c>
      <c r="H11" s="858">
        <f>'5.Infrastructure Annex'!H30</f>
        <v>0</v>
      </c>
      <c r="I11" s="858">
        <f>'5.Infrastructure Annex'!I30</f>
        <v>0</v>
      </c>
      <c r="J11" s="858">
        <f>'5.Infrastructure Annex'!J30</f>
        <v>0</v>
      </c>
      <c r="K11" s="858">
        <f>'5.Infrastructure Annex'!K30</f>
        <v>1</v>
      </c>
      <c r="L11" s="858">
        <f>'5.Infrastructure Annex'!L30</f>
        <v>100000</v>
      </c>
      <c r="M11" s="859">
        <f>'5.Infrastructure Annex'!M30</f>
        <v>1</v>
      </c>
      <c r="N11" s="858">
        <f>'5.Infrastructure Annex'!N30</f>
        <v>159</v>
      </c>
      <c r="O11" s="859">
        <f>'5.Infrastructure Annex'!O30</f>
        <v>159</v>
      </c>
      <c r="P11" s="2791" t="str">
        <f>'5.Infrastructure Annex'!P30</f>
        <v xml:space="preserve">The state  has 590  PHCs whereas GoI has approved 418 PHCs and 13 UPHCs =431.The state proposes to seek approval of all the PHCs which are required to be converted to HWCs in this FY. However, the Civil Work of these 159 PHCs is anticipated to be spilled over to next FY and therefore the state is proposing Rs. 1 Lakh per PHC for these left out PHCs. If required during FY 2021-22 only , appropriate proposal will also be built in SPIP 2021-22. The state has proposed the funds @ Rs. 1lakh per PHC for 159 PHCs (590-431) </v>
      </c>
      <c r="Q11" s="69" t="s">
        <v>5899</v>
      </c>
      <c r="R11" s="1792">
        <v>159</v>
      </c>
    </row>
    <row r="12" spans="1:18">
      <c r="A12" s="858" t="str">
        <f>'5.Infrastructure Annex'!A41</f>
        <v>5.1.1.3.5</v>
      </c>
      <c r="B12" s="858" t="str">
        <f>'5.Infrastructure Annex'!B41</f>
        <v>B4.1.4.3</v>
      </c>
      <c r="C12" s="858" t="str">
        <f>'5.Infrastructure Annex'!C41</f>
        <v>Spill over of Ongoing Upgradation Works - HWC-HSCs</v>
      </c>
      <c r="D12" s="858" t="str">
        <f>'5.Infrastructure Annex'!D41</f>
        <v>HSS</v>
      </c>
      <c r="E12" s="858" t="str">
        <f>'5.Infrastructure Annex'!E41</f>
        <v>CPHC</v>
      </c>
      <c r="F12" s="858">
        <f>'5.Infrastructure Annex'!F41</f>
        <v>0</v>
      </c>
      <c r="G12" s="858">
        <f>'5.Infrastructure Annex'!G41</f>
        <v>0</v>
      </c>
      <c r="H12" s="858">
        <f>'5.Infrastructure Annex'!H41</f>
        <v>0</v>
      </c>
      <c r="I12" s="858">
        <f>'5.Infrastructure Annex'!I41</f>
        <v>0</v>
      </c>
      <c r="J12" s="858">
        <f>'5.Infrastructure Annex'!J41</f>
        <v>0</v>
      </c>
      <c r="K12" s="858">
        <f>'5.Infrastructure Annex'!K41</f>
        <v>0</v>
      </c>
      <c r="L12" s="858">
        <f>'5.Infrastructure Annex'!L41</f>
        <v>0</v>
      </c>
      <c r="M12" s="859">
        <f>'5.Infrastructure Annex'!M41</f>
        <v>0</v>
      </c>
      <c r="N12" s="858">
        <f>'5.Infrastructure Annex'!N41</f>
        <v>0</v>
      </c>
      <c r="O12" s="859">
        <f>'5.Infrastructure Annex'!O41</f>
        <v>0</v>
      </c>
      <c r="P12" s="2791">
        <f>'5.Infrastructure Annex'!P41</f>
        <v>0</v>
      </c>
      <c r="Q12" s="68"/>
      <c r="R12" s="1792"/>
    </row>
    <row r="13" spans="1:18">
      <c r="A13" s="1970">
        <f>'6.Procurement Annex'!A7</f>
        <v>6</v>
      </c>
      <c r="B13" s="1970"/>
      <c r="C13" s="1970" t="str">
        <f>'6.Procurement Annex'!C7</f>
        <v>Procurement</v>
      </c>
      <c r="D13" s="1969"/>
      <c r="E13" s="1969"/>
      <c r="F13" s="1969"/>
      <c r="G13" s="1969"/>
      <c r="H13" s="994"/>
      <c r="I13" s="1969"/>
      <c r="J13" s="994"/>
      <c r="K13" s="1970"/>
      <c r="L13" s="1970"/>
      <c r="M13" s="994"/>
      <c r="N13" s="1984"/>
      <c r="O13" s="1985">
        <f>SUM(O14:O16)</f>
        <v>0</v>
      </c>
      <c r="P13" s="2809"/>
      <c r="Q13" s="1990"/>
      <c r="R13" s="1991">
        <f>SUM(R14:R16)</f>
        <v>0</v>
      </c>
    </row>
    <row r="14" spans="1:18">
      <c r="A14" s="858" t="str">
        <f>'6.Procurement Annex'!A23</f>
        <v>6.1.2.6</v>
      </c>
      <c r="B14" s="858">
        <f>'6-A. Proc. Sub-Annex'!B60</f>
        <v>0</v>
      </c>
      <c r="C14" s="858" t="str">
        <f>'6-A. Proc. Sub-Annex'!C60</f>
        <v xml:space="preserve">IT equipment for HWCs (PHC and SHCS) </v>
      </c>
      <c r="D14" s="858" t="str">
        <f>'6-A. Proc. Sub-Annex'!D60</f>
        <v>HSS</v>
      </c>
      <c r="E14" s="858" t="str">
        <f>'6-A. Proc. Sub-Annex'!E60</f>
        <v>CPHC</v>
      </c>
      <c r="F14" s="858">
        <f>'6-A. Proc. Sub-Annex'!F60</f>
        <v>0</v>
      </c>
      <c r="G14" s="858">
        <f>'6-A. Proc. Sub-Annex'!G60</f>
        <v>0</v>
      </c>
      <c r="H14" s="858">
        <f>'6-A. Proc. Sub-Annex'!H60</f>
        <v>0</v>
      </c>
      <c r="I14" s="858">
        <f>'6-A. Proc. Sub-Annex'!I60</f>
        <v>0</v>
      </c>
      <c r="J14" s="858">
        <f>'6-A. Proc. Sub-Annex'!J60</f>
        <v>0</v>
      </c>
      <c r="K14" s="858">
        <f>'6-A. Proc. Sub-Annex'!K60</f>
        <v>0</v>
      </c>
      <c r="L14" s="858">
        <f>'6-A. Proc. Sub-Annex'!L60</f>
        <v>0</v>
      </c>
      <c r="M14" s="859">
        <f>'6-A. Proc. Sub-Annex'!M60</f>
        <v>0</v>
      </c>
      <c r="N14" s="858">
        <f>'6-A. Proc. Sub-Annex'!N60</f>
        <v>0</v>
      </c>
      <c r="O14" s="859">
        <f>'6-A. Proc. Sub-Annex'!O60</f>
        <v>0</v>
      </c>
      <c r="P14" s="2791">
        <f>'6-A. Proc. Sub-Annex'!P60</f>
        <v>0</v>
      </c>
      <c r="Q14" s="68"/>
      <c r="R14" s="1792"/>
    </row>
    <row r="15" spans="1:18">
      <c r="A15" s="4096" t="str">
        <f>'6.Procurement Annex'!A69</f>
        <v>6.2.2.6</v>
      </c>
      <c r="B15" s="858">
        <f>'6-A. Proc. Sub-Annex'!B209</f>
        <v>0</v>
      </c>
      <c r="C15" s="858" t="str">
        <f>'6-A. Proc. Sub-Annex'!C209</f>
        <v xml:space="preserve">Lab strengthening for SHC - HWC </v>
      </c>
      <c r="D15" s="858" t="str">
        <f>'6-A. Proc. Sub-Annex'!D209</f>
        <v>HSS</v>
      </c>
      <c r="E15" s="858" t="str">
        <f>'6-A. Proc. Sub-Annex'!E209</f>
        <v>CPHC</v>
      </c>
      <c r="F15" s="858">
        <f>'6-A. Proc. Sub-Annex'!F209</f>
        <v>1679</v>
      </c>
      <c r="G15" s="858">
        <f>'6-A. Proc. Sub-Annex'!G209</f>
        <v>0</v>
      </c>
      <c r="H15" s="858">
        <f>'6-A. Proc. Sub-Annex'!H209</f>
        <v>1303.7</v>
      </c>
      <c r="I15" s="858">
        <f>'6-A. Proc. Sub-Annex'!I209</f>
        <v>0</v>
      </c>
      <c r="J15" s="858">
        <f>'6-A. Proc. Sub-Annex'!J209</f>
        <v>1303.7</v>
      </c>
      <c r="K15" s="858">
        <f>'6-A. Proc. Sub-Annex'!K209</f>
        <v>0</v>
      </c>
      <c r="L15" s="858">
        <f>'6-A. Proc. Sub-Annex'!L209</f>
        <v>0</v>
      </c>
      <c r="M15" s="859">
        <f>'6-A. Proc. Sub-Annex'!M209</f>
        <v>0</v>
      </c>
      <c r="N15" s="858">
        <f>'6-A. Proc. Sub-Annex'!N209</f>
        <v>0</v>
      </c>
      <c r="O15" s="859">
        <f>'6-A. Proc. Sub-Annex'!O209</f>
        <v>0</v>
      </c>
      <c r="P15" s="2791">
        <f>'6-A. Proc. Sub-Annex'!P209</f>
        <v>0</v>
      </c>
      <c r="Q15" s="68"/>
      <c r="R15" s="1792"/>
    </row>
    <row r="16" spans="1:18">
      <c r="A16" s="4096"/>
      <c r="B16" s="858">
        <f>'6-A. Proc. Sub-Annex'!B210</f>
        <v>0</v>
      </c>
      <c r="C16" s="858" t="str">
        <f>'6-A. Proc. Sub-Annex'!C210</f>
        <v xml:space="preserve">Lab strengthening for PHC - HWC </v>
      </c>
      <c r="D16" s="858" t="str">
        <f>'6-A. Proc. Sub-Annex'!D210</f>
        <v>HSS</v>
      </c>
      <c r="E16" s="858" t="str">
        <f>'6-A. Proc. Sub-Annex'!E210</f>
        <v>CPHC</v>
      </c>
      <c r="F16" s="858">
        <f>'6-A. Proc. Sub-Annex'!F210</f>
        <v>0</v>
      </c>
      <c r="G16" s="858">
        <f>'6-A. Proc. Sub-Annex'!G210</f>
        <v>0</v>
      </c>
      <c r="H16" s="858">
        <f>'6-A. Proc. Sub-Annex'!H210</f>
        <v>0</v>
      </c>
      <c r="I16" s="858">
        <f>'6-A. Proc. Sub-Annex'!I210</f>
        <v>0</v>
      </c>
      <c r="J16" s="858">
        <f>'6-A. Proc. Sub-Annex'!J210</f>
        <v>0</v>
      </c>
      <c r="K16" s="858">
        <f>'6-A. Proc. Sub-Annex'!K210</f>
        <v>0</v>
      </c>
      <c r="L16" s="858">
        <f>'6-A. Proc. Sub-Annex'!L210</f>
        <v>0</v>
      </c>
      <c r="M16" s="859">
        <f>'6-A. Proc. Sub-Annex'!M210</f>
        <v>0</v>
      </c>
      <c r="N16" s="858">
        <f>'6-A. Proc. Sub-Annex'!N210</f>
        <v>0</v>
      </c>
      <c r="O16" s="859">
        <f>'6-A. Proc. Sub-Annex'!O210</f>
        <v>0</v>
      </c>
      <c r="P16" s="2791">
        <f>'6-A. Proc. Sub-Annex'!P210</f>
        <v>0</v>
      </c>
      <c r="Q16" s="68"/>
      <c r="R16" s="1792"/>
    </row>
    <row r="17" spans="1:18">
      <c r="A17" s="1970">
        <f>'8.Human Resources (SD) Annex'!A7</f>
        <v>8</v>
      </c>
      <c r="B17" s="1970"/>
      <c r="C17" s="1970" t="str">
        <f>'8.Human Resources (SD) Annex'!C7</f>
        <v>Human Resources</v>
      </c>
      <c r="D17" s="1969"/>
      <c r="E17" s="1969"/>
      <c r="F17" s="1969"/>
      <c r="G17" s="1969"/>
      <c r="H17" s="994"/>
      <c r="I17" s="1969"/>
      <c r="J17" s="994"/>
      <c r="K17" s="1970"/>
      <c r="L17" s="1970"/>
      <c r="M17" s="994"/>
      <c r="N17" s="1984"/>
      <c r="O17" s="1985">
        <f>SUM(O18:O21)</f>
        <v>4943.7782200000001</v>
      </c>
      <c r="P17" s="2809"/>
      <c r="Q17" s="1990"/>
      <c r="R17" s="1991">
        <f>SUM(R18:R21)</f>
        <v>4941.4399999999996</v>
      </c>
    </row>
    <row r="18" spans="1:18" s="1031" customFormat="1" ht="210">
      <c r="A18" s="1971" t="str">
        <f>'8.Human Resources (SD) Annex'!A106</f>
        <v>8.1.12.1</v>
      </c>
      <c r="B18" s="1971"/>
      <c r="C18" s="1971" t="str">
        <f>'8.Human Resources (SD) Annex'!C106</f>
        <v>Mid-level Service Provider</v>
      </c>
      <c r="D18" s="1971" t="str">
        <f>'8.Human Resources (SD) Annex'!D106</f>
        <v>HSS</v>
      </c>
      <c r="E18" s="1971" t="str">
        <f>'8.Human Resources (SD) Annex'!E106</f>
        <v>CPHC</v>
      </c>
      <c r="F18" s="1971">
        <f>'8.Human Resources (SD) Annex'!F106</f>
        <v>1138</v>
      </c>
      <c r="G18" s="1971">
        <f>'8.Human Resources (SD) Annex'!G106</f>
        <v>338</v>
      </c>
      <c r="H18" s="1971">
        <f>'8.Human Resources (SD) Annex'!H106</f>
        <v>2214</v>
      </c>
      <c r="I18" s="1971">
        <f>'8.Human Resources (SD) Annex'!I106</f>
        <v>904.91</v>
      </c>
      <c r="J18" s="1971">
        <f>'8.Human Resources (SD) Annex'!J106</f>
        <v>1000</v>
      </c>
      <c r="K18" s="1971">
        <f>'8.Human Resources (SD) Annex'!K106</f>
        <v>1</v>
      </c>
      <c r="L18" s="1971">
        <f>'8.Human Resources (SD) Annex'!L106</f>
        <v>187202</v>
      </c>
      <c r="M18" s="655">
        <f>'8.Human Resources (SD) Annex'!M106</f>
        <v>1.87202</v>
      </c>
      <c r="N18" s="1971">
        <f>'8.Human Resources (SD) Annex'!N106</f>
        <v>1514</v>
      </c>
      <c r="O18" s="655">
        <f>'8.Human Resources (SD) Annex'!O106</f>
        <v>2834.23828</v>
      </c>
      <c r="P18" s="1971" t="str">
        <f>'8.Human Resources (SD) Annex'!P106</f>
        <v xml:space="preserve">At present 336 CHOs are working in the state (2 have left) and 419 are presently persuing the Bridge Course. Therefore salary for 755 CHOs @ Rs. 25000 per month X 12 month =2265 lakh is proposed. The state is expecting to recruit CHOs in alll the notified HSC-HWC i.e 1514. Keeping in view that the recruitment process for 1514 will take some time salary for rest 759 CHOs is being proposed for 3 months(= 569.25lakh). </v>
      </c>
      <c r="Q18" s="353" t="s">
        <v>5813</v>
      </c>
      <c r="R18" s="691">
        <v>2834.24</v>
      </c>
    </row>
    <row r="19" spans="1:18" s="1031" customFormat="1" ht="120">
      <c r="A19" s="1971" t="str">
        <f>'8.Human Resources (SD) Annex'!A107</f>
        <v>8.1.12.2</v>
      </c>
      <c r="B19" s="1971"/>
      <c r="C19" s="1971" t="str">
        <f>'8.Human Resources (SD) Annex'!C107</f>
        <v>Performance incentive for Mid-level service providers</v>
      </c>
      <c r="D19" s="1971" t="str">
        <f>'8.Human Resources (SD) Annex'!D107</f>
        <v>HSS</v>
      </c>
      <c r="E19" s="1971" t="str">
        <f>'8.Human Resources (SD) Annex'!E107</f>
        <v>CPHC</v>
      </c>
      <c r="F19" s="1971">
        <f>'8.Human Resources (SD) Annex'!F107</f>
        <v>0</v>
      </c>
      <c r="G19" s="1971">
        <f>'8.Human Resources (SD) Annex'!G107</f>
        <v>0</v>
      </c>
      <c r="H19" s="1971">
        <f>'8.Human Resources (SD) Annex'!H107</f>
        <v>1328.4</v>
      </c>
      <c r="I19" s="1971">
        <f>'8.Human Resources (SD) Annex'!I107</f>
        <v>103.12</v>
      </c>
      <c r="J19" s="1971">
        <f>'8.Human Resources (SD) Annex'!J107</f>
        <v>1225.28</v>
      </c>
      <c r="K19" s="1971">
        <f>'8.Human Resources (SD) Annex'!K107</f>
        <v>1</v>
      </c>
      <c r="L19" s="1971">
        <f>'8.Human Resources (SD) Annex'!L107</f>
        <v>112321</v>
      </c>
      <c r="M19" s="655">
        <f>'8.Human Resources (SD) Annex'!M107</f>
        <v>1.12321</v>
      </c>
      <c r="N19" s="1971">
        <f>'8.Human Resources (SD) Annex'!N107</f>
        <v>1514</v>
      </c>
      <c r="O19" s="655">
        <f>'8.Human Resources (SD) Annex'!O107</f>
        <v>1700.5399400000001</v>
      </c>
      <c r="P19" s="1971" t="str">
        <f>'8.Human Resources (SD) Annex'!P107</f>
        <v xml:space="preserve">PLI for 755 CHOs for 12 month(755 x 15000 x 12=1359)  and 759 CHOs for 3 months ahs been proposed @ Rs. 15000 per month(759 x 15000 x 3=341.55) </v>
      </c>
      <c r="Q19" s="353" t="s">
        <v>5814</v>
      </c>
      <c r="R19" s="691">
        <v>1700.54</v>
      </c>
    </row>
    <row r="20" spans="1:18" ht="90">
      <c r="A20" s="858" t="str">
        <f>'8.Human Resources (SD) Annex'!A173</f>
        <v>8.4.10</v>
      </c>
      <c r="B20" s="858"/>
      <c r="C20" s="88" t="str">
        <f>'8.Human Resources (SD) Annex'!C172</f>
        <v>Team based incentives for Health &amp; Wellness Centres (H&amp;WC - Sub Centre)</v>
      </c>
      <c r="D20" s="88" t="str">
        <f>'8.Human Resources (SD) Annex'!D172</f>
        <v>HSS</v>
      </c>
      <c r="E20" s="88" t="str">
        <f>'8.Human Resources (SD) Annex'!E172</f>
        <v>CPHC</v>
      </c>
      <c r="F20" s="88">
        <f>'8.Human Resources (SD) Annex'!F172</f>
        <v>0</v>
      </c>
      <c r="G20" s="88">
        <f>'8.Human Resources (SD) Annex'!G172</f>
        <v>0</v>
      </c>
      <c r="H20" s="88">
        <f>'8.Human Resources (SD) Annex'!H172</f>
        <v>81</v>
      </c>
      <c r="I20" s="88">
        <f>'8.Human Resources (SD) Annex'!I172</f>
        <v>0</v>
      </c>
      <c r="J20" s="88">
        <f>'8.Human Resources (SD) Annex'!J172</f>
        <v>40</v>
      </c>
      <c r="K20" s="88">
        <f>'8.Human Resources (SD) Annex'!K172</f>
        <v>1</v>
      </c>
      <c r="L20" s="88">
        <f>'8.Human Resources (SD) Annex'!L172</f>
        <v>20000</v>
      </c>
      <c r="M20" s="690">
        <f>'8.Human Resources (SD) Annex'!M172</f>
        <v>0.2</v>
      </c>
      <c r="N20" s="88">
        <f>'8.Human Resources (SD) Annex'!N172</f>
        <v>1514</v>
      </c>
      <c r="O20" s="690">
        <f>'8.Human Resources (SD) Annex'!O172</f>
        <v>302.8</v>
      </c>
      <c r="P20" s="2791" t="str">
        <f>'8.Human Resources (SD) Annex'!P172</f>
        <v>The state proposes TBIs @ 20,000 per team for 1514 HSC-HWC</v>
      </c>
      <c r="Q20" s="69" t="s">
        <v>5815</v>
      </c>
      <c r="R20" s="1448">
        <v>302.8</v>
      </c>
    </row>
    <row r="21" spans="1:18" ht="75">
      <c r="A21" s="858" t="str">
        <f>'8.Human Resources (SD) Annex'!A174</f>
        <v>8.4.11</v>
      </c>
      <c r="B21" s="858"/>
      <c r="C21" s="88" t="str">
        <f>'8.Human Resources (SD) Annex'!C173</f>
        <v>Team based incentives for Health &amp; Wellness Centres (H&amp;WC - PHC)</v>
      </c>
      <c r="D21" s="88" t="str">
        <f>'8.Human Resources (SD) Annex'!D173</f>
        <v>HSS</v>
      </c>
      <c r="E21" s="88" t="str">
        <f>'8.Human Resources (SD) Annex'!E173</f>
        <v>CPHC</v>
      </c>
      <c r="F21" s="88">
        <f>'8.Human Resources (SD) Annex'!F173</f>
        <v>700</v>
      </c>
      <c r="G21" s="88">
        <f>'8.Human Resources (SD) Annex'!G173</f>
        <v>0</v>
      </c>
      <c r="H21" s="88">
        <f>'8.Human Resources (SD) Annex'!H173</f>
        <v>481</v>
      </c>
      <c r="I21" s="88">
        <f>'8.Human Resources (SD) Annex'!I173</f>
        <v>5.4</v>
      </c>
      <c r="J21" s="88">
        <f>'8.Human Resources (SD) Annex'!J173</f>
        <v>394.6</v>
      </c>
      <c r="K21" s="88">
        <f>'8.Human Resources (SD) Annex'!K173</f>
        <v>1</v>
      </c>
      <c r="L21" s="88">
        <f>'8.Human Resources (SD) Annex'!L173</f>
        <v>18000</v>
      </c>
      <c r="M21" s="690">
        <f>'8.Human Resources (SD) Annex'!M173</f>
        <v>0.18</v>
      </c>
      <c r="N21" s="88">
        <f>'8.Human Resources (SD) Annex'!N173</f>
        <v>590</v>
      </c>
      <c r="O21" s="690">
        <f>'8.Human Resources (SD) Annex'!O173</f>
        <v>106.2</v>
      </c>
      <c r="P21" s="2791" t="str">
        <f>'8.Human Resources (SD) Annex'!P173</f>
        <v>The state proposes TBIs @ 18,000 per team for 590 PHCs-HWC</v>
      </c>
      <c r="Q21" s="353" t="s">
        <v>5816</v>
      </c>
      <c r="R21" s="1448">
        <v>103.86</v>
      </c>
    </row>
    <row r="22" spans="1:18">
      <c r="A22" s="1970">
        <f>'9.Training Annex'!A7</f>
        <v>9</v>
      </c>
      <c r="B22" s="1970"/>
      <c r="C22" s="1970" t="str">
        <f>'9.Training Annex'!C7</f>
        <v>Training and Capacity Building</v>
      </c>
      <c r="D22" s="1969"/>
      <c r="E22" s="1969"/>
      <c r="F22" s="1969"/>
      <c r="G22" s="1969"/>
      <c r="H22" s="994"/>
      <c r="I22" s="1969"/>
      <c r="J22" s="994"/>
      <c r="K22" s="1970"/>
      <c r="L22" s="1970"/>
      <c r="M22" s="994"/>
      <c r="N22" s="1984"/>
      <c r="O22" s="1985">
        <f>SUM(O23:O27)</f>
        <v>263</v>
      </c>
      <c r="P22" s="2809"/>
      <c r="Q22" s="1990"/>
      <c r="R22" s="1991">
        <f>SUM(R23:R27)</f>
        <v>262.02</v>
      </c>
    </row>
    <row r="23" spans="1:18">
      <c r="A23" s="4095" t="str">
        <f>'9.Training Annex'!A37</f>
        <v>9.2.2.8</v>
      </c>
      <c r="B23" s="88" t="str">
        <f>'9-A.Training Sub-Annex'!B190</f>
        <v>B18.3</v>
      </c>
      <c r="C23" s="88" t="str">
        <f>'9-A.Training Sub-Annex'!C190</f>
        <v xml:space="preserve">Training on CPCH for CHOs </v>
      </c>
      <c r="D23" s="88" t="str">
        <f>'9-A.Training Sub-Annex'!D190</f>
        <v>HSS</v>
      </c>
      <c r="E23" s="88" t="str">
        <f>'9-A.Training Sub-Annex'!E190</f>
        <v>CPHC</v>
      </c>
      <c r="F23" s="88">
        <f>'9-A.Training Sub-Annex'!F190</f>
        <v>76</v>
      </c>
      <c r="G23" s="88">
        <f>'9-A.Training Sub-Annex'!G190</f>
        <v>0</v>
      </c>
      <c r="H23" s="88">
        <f>'9-A.Training Sub-Annex'!H190</f>
        <v>0</v>
      </c>
      <c r="I23" s="88">
        <f>'9-A.Training Sub-Annex'!I190</f>
        <v>0</v>
      </c>
      <c r="J23" s="88">
        <f>'9-A.Training Sub-Annex'!J190</f>
        <v>0</v>
      </c>
      <c r="K23" s="88">
        <f>'9-A.Training Sub-Annex'!K190</f>
        <v>0</v>
      </c>
      <c r="L23" s="88">
        <f>'9-A.Training Sub-Annex'!L190</f>
        <v>0</v>
      </c>
      <c r="M23" s="690">
        <f>'9-A.Training Sub-Annex'!M190</f>
        <v>0</v>
      </c>
      <c r="N23" s="88">
        <f>'9-A.Training Sub-Annex'!N190</f>
        <v>0</v>
      </c>
      <c r="O23" s="690">
        <f>'9-A.Training Sub-Annex'!O190</f>
        <v>0</v>
      </c>
      <c r="P23" s="2791">
        <f>'9-A.Training Sub-Annex'!P190</f>
        <v>0</v>
      </c>
      <c r="Q23" s="68"/>
      <c r="R23" s="1448"/>
    </row>
    <row r="24" spans="1:18" ht="225">
      <c r="A24" s="4095"/>
      <c r="B24" s="88" t="str">
        <f>'9-A.Training Sub-Annex'!B191</f>
        <v>B18.3</v>
      </c>
      <c r="C24" s="88" t="str">
        <f>'9-A.Training Sub-Annex'!C191</f>
        <v xml:space="preserve">Multiskilling of MPW and ASHAs at HWCs (SHC and PHC) </v>
      </c>
      <c r="D24" s="88" t="str">
        <f>'9-A.Training Sub-Annex'!D191</f>
        <v>HSS</v>
      </c>
      <c r="E24" s="88" t="str">
        <f>'9-A.Training Sub-Annex'!E191</f>
        <v>CPHC</v>
      </c>
      <c r="F24" s="88">
        <f>'9-A.Training Sub-Annex'!F191</f>
        <v>550</v>
      </c>
      <c r="G24" s="88">
        <f>'9-A.Training Sub-Annex'!G191</f>
        <v>0</v>
      </c>
      <c r="H24" s="88">
        <f>'9-A.Training Sub-Annex'!H191</f>
        <v>110</v>
      </c>
      <c r="I24" s="88">
        <f>'9-A.Training Sub-Annex'!I191</f>
        <v>100.69</v>
      </c>
      <c r="J24" s="88">
        <f>'9-A.Training Sub-Annex'!J191</f>
        <v>0</v>
      </c>
      <c r="K24" s="88">
        <f>'9-A.Training Sub-Annex'!K191</f>
        <v>1</v>
      </c>
      <c r="L24" s="88">
        <f>'9-A.Training Sub-Annex'!L191</f>
        <v>7500</v>
      </c>
      <c r="M24" s="690">
        <f>'9-A.Training Sub-Annex'!M191</f>
        <v>7.4999999999999997E-2</v>
      </c>
      <c r="N24" s="88">
        <f>'9-A.Training Sub-Annex'!N191</f>
        <v>2104</v>
      </c>
      <c r="O24" s="690">
        <f>'9-A.Training Sub-Annex'!O191</f>
        <v>157.79999999999998</v>
      </c>
      <c r="P24" s="2791" t="str">
        <f>'9-A.Training Sub-Annex'!P191</f>
        <v>The state is proposing funds for training of front line teams @ Rs. 7500 for 1514 HSCs + 590 PHCs. Thes trainings would include yoga for CHO and MO, Induction Trainings etc.</v>
      </c>
      <c r="Q24" s="353" t="s">
        <v>5817</v>
      </c>
      <c r="R24" s="1448">
        <v>156.82</v>
      </c>
    </row>
    <row r="25" spans="1:18">
      <c r="A25" s="4095"/>
      <c r="B25" s="88" t="str">
        <f>'9-A.Training Sub-Annex'!B192</f>
        <v>B3.4</v>
      </c>
      <c r="C25" s="88" t="str">
        <f>'9-A.Training Sub-Annex'!C192</f>
        <v xml:space="preserve">Additional Training of CHOs </v>
      </c>
      <c r="D25" s="88" t="str">
        <f>'9-A.Training Sub-Annex'!D192</f>
        <v>HSS</v>
      </c>
      <c r="E25" s="88" t="str">
        <f>'9-A.Training Sub-Annex'!E192</f>
        <v>CPHC</v>
      </c>
      <c r="F25" s="88">
        <f>'9-A.Training Sub-Annex'!F192</f>
        <v>840</v>
      </c>
      <c r="G25" s="88">
        <f>'9-A.Training Sub-Annex'!G192</f>
        <v>0</v>
      </c>
      <c r="H25" s="88">
        <f>'9-A.Training Sub-Annex'!H192</f>
        <v>868.56</v>
      </c>
      <c r="I25" s="88">
        <f>'9-A.Training Sub-Annex'!I192</f>
        <v>63</v>
      </c>
      <c r="J25" s="88">
        <f>'9-A.Training Sub-Annex'!J192</f>
        <v>855.56</v>
      </c>
      <c r="K25" s="88">
        <f>'9-A.Training Sub-Annex'!K192</f>
        <v>0</v>
      </c>
      <c r="L25" s="88">
        <f>'9-A.Training Sub-Annex'!L192</f>
        <v>0</v>
      </c>
      <c r="M25" s="690">
        <f>'9-A.Training Sub-Annex'!M192</f>
        <v>0</v>
      </c>
      <c r="N25" s="88">
        <f>'9-A.Training Sub-Annex'!N192</f>
        <v>0</v>
      </c>
      <c r="O25" s="690">
        <f>'9-A.Training Sub-Annex'!O192</f>
        <v>0</v>
      </c>
      <c r="P25" s="2791">
        <f>'9-A.Training Sub-Annex'!P192</f>
        <v>0</v>
      </c>
      <c r="Q25" s="68"/>
      <c r="R25" s="1448"/>
    </row>
    <row r="26" spans="1:18">
      <c r="A26" s="4095"/>
      <c r="B26" s="88">
        <f>'9-A.Training Sub-Annex'!B193</f>
        <v>0</v>
      </c>
      <c r="C26" s="88" t="str">
        <f>'9-A.Training Sub-Annex'!C193</f>
        <v>Training of MO and Staff nurses</v>
      </c>
      <c r="D26" s="88" t="str">
        <f>'9-A.Training Sub-Annex'!D193</f>
        <v>HSS</v>
      </c>
      <c r="E26" s="88" t="str">
        <f>'9-A.Training Sub-Annex'!E193</f>
        <v>CPHC</v>
      </c>
      <c r="F26" s="88">
        <f>'9-A.Training Sub-Annex'!F193</f>
        <v>0</v>
      </c>
      <c r="G26" s="88">
        <f>'9-A.Training Sub-Annex'!G193</f>
        <v>0</v>
      </c>
      <c r="H26" s="88">
        <f>'9-A.Training Sub-Annex'!H193</f>
        <v>0</v>
      </c>
      <c r="I26" s="88">
        <f>'9-A.Training Sub-Annex'!I193</f>
        <v>0</v>
      </c>
      <c r="J26" s="88">
        <f>'9-A.Training Sub-Annex'!J193</f>
        <v>0</v>
      </c>
      <c r="K26" s="88">
        <f>'9-A.Training Sub-Annex'!K193</f>
        <v>0</v>
      </c>
      <c r="L26" s="88">
        <f>'9-A.Training Sub-Annex'!L193</f>
        <v>0</v>
      </c>
      <c r="M26" s="690">
        <f>'9-A.Training Sub-Annex'!M193</f>
        <v>0</v>
      </c>
      <c r="N26" s="88">
        <f>'9-A.Training Sub-Annex'!N193</f>
        <v>0</v>
      </c>
      <c r="O26" s="690">
        <f>'9-A.Training Sub-Annex'!O193</f>
        <v>0</v>
      </c>
      <c r="P26" s="2791">
        <f>'9-A.Training Sub-Annex'!P193</f>
        <v>0</v>
      </c>
      <c r="Q26" s="68"/>
      <c r="R26" s="1448"/>
    </row>
    <row r="27" spans="1:18" ht="210">
      <c r="A27" s="4095"/>
      <c r="B27" s="88">
        <f>'9-A.Training Sub-Annex'!B194</f>
        <v>0</v>
      </c>
      <c r="C27" s="88" t="str">
        <f>'9-A.Training Sub-Annex'!C194</f>
        <v>Any other (please specify) Yoga incentive &amp; monitoring cost</v>
      </c>
      <c r="D27" s="88" t="str">
        <f>'9-A.Training Sub-Annex'!D194</f>
        <v>HSS</v>
      </c>
      <c r="E27" s="88" t="str">
        <f>'9-A.Training Sub-Annex'!E194</f>
        <v>CPHC</v>
      </c>
      <c r="F27" s="88">
        <f>'9-A.Training Sub-Annex'!F194</f>
        <v>250</v>
      </c>
      <c r="G27" s="88">
        <f>'9-A.Training Sub-Annex'!G194</f>
        <v>0</v>
      </c>
      <c r="H27" s="88">
        <f>'9-A.Training Sub-Annex'!H194</f>
        <v>87.67</v>
      </c>
      <c r="I27" s="88">
        <f>'9-A.Training Sub-Annex'!I194</f>
        <v>0.08</v>
      </c>
      <c r="J27" s="88">
        <f>'9-A.Training Sub-Annex'!J194</f>
        <v>87.59</v>
      </c>
      <c r="K27" s="88">
        <f>'9-A.Training Sub-Annex'!K194</f>
        <v>1</v>
      </c>
      <c r="L27" s="88">
        <f>'9-A.Training Sub-Annex'!L194</f>
        <v>5000</v>
      </c>
      <c r="M27" s="690">
        <f>'9-A.Training Sub-Annex'!M194</f>
        <v>0.05</v>
      </c>
      <c r="N27" s="88">
        <f>'9-A.Training Sub-Annex'!N194</f>
        <v>2104</v>
      </c>
      <c r="O27" s="690">
        <f>'9-A.Training Sub-Annex'!O194</f>
        <v>105.2</v>
      </c>
      <c r="P27" s="2791" t="str">
        <f>'9-A.Training Sub-Annex'!P194</f>
        <v>The state is proposing funds for yoga session, mentoring of HWCs by Medical colleges  @ Rs. 5000 per HWC. So 1514 HSCs+590 PHCs</v>
      </c>
      <c r="Q27" s="353" t="s">
        <v>5818</v>
      </c>
      <c r="R27" s="1448">
        <v>105.2</v>
      </c>
    </row>
    <row r="28" spans="1:18">
      <c r="A28" s="1970">
        <f>'11.IEC-BCC Annex'!A7</f>
        <v>11</v>
      </c>
      <c r="B28" s="1970"/>
      <c r="C28" s="1970" t="str">
        <f>'11.IEC-BCC Annex'!C7</f>
        <v>IEC/BCC</v>
      </c>
      <c r="D28" s="1969"/>
      <c r="E28" s="1969"/>
      <c r="F28" s="1969"/>
      <c r="G28" s="1969"/>
      <c r="H28" s="994"/>
      <c r="I28" s="1969"/>
      <c r="J28" s="994"/>
      <c r="K28" s="1970"/>
      <c r="L28" s="1970"/>
      <c r="M28" s="994"/>
      <c r="N28" s="1984"/>
      <c r="O28" s="1985">
        <f>O29</f>
        <v>73.64</v>
      </c>
      <c r="P28" s="2809"/>
      <c r="Q28" s="1990"/>
      <c r="R28" s="1991">
        <f>R29</f>
        <v>73.64</v>
      </c>
    </row>
    <row r="29" spans="1:18" ht="60">
      <c r="A29" s="1986" t="str">
        <f>'11.IEC-BCC Annex'!A20</f>
        <v>11.2.4</v>
      </c>
      <c r="B29" s="1986" t="str">
        <f>'11-A. IEC Sub-Annex'!B43</f>
        <v>B18.3</v>
      </c>
      <c r="C29" s="1987" t="str">
        <f>'11-A. IEC Sub-Annex'!C43</f>
        <v>IEC activities for Ayushman Bharat Health &amp; Wellness centre (H&amp;WC)</v>
      </c>
      <c r="D29" s="1987" t="str">
        <f>'11-A. IEC Sub-Annex'!D43</f>
        <v>HSS</v>
      </c>
      <c r="E29" s="1987" t="str">
        <f>'11-A. IEC Sub-Annex'!E43</f>
        <v>CPHC</v>
      </c>
      <c r="F29" s="1988">
        <f>'11-A. IEC Sub-Annex'!F43</f>
        <v>350</v>
      </c>
      <c r="G29" s="1988">
        <f>'11-A. IEC Sub-Annex'!G43</f>
        <v>0</v>
      </c>
      <c r="H29" s="1988">
        <f>'11-A. IEC Sub-Annex'!H43</f>
        <v>137.5</v>
      </c>
      <c r="I29" s="1988">
        <f>'11-A. IEC Sub-Annex'!I43</f>
        <v>22.68</v>
      </c>
      <c r="J29" s="1988">
        <f>'11-A. IEC Sub-Annex'!J43</f>
        <v>114.82</v>
      </c>
      <c r="K29" s="1988">
        <f>'11-A. IEC Sub-Annex'!K43</f>
        <v>1</v>
      </c>
      <c r="L29" s="1988">
        <f>'11-A. IEC Sub-Annex'!L43</f>
        <v>3500</v>
      </c>
      <c r="M29" s="690">
        <f>'11-A. IEC Sub-Annex'!M43</f>
        <v>3.5000000000000003E-2</v>
      </c>
      <c r="N29" s="1988">
        <f>'11-A. IEC Sub-Annex'!N43</f>
        <v>2104</v>
      </c>
      <c r="O29" s="690">
        <f>'11-A. IEC Sub-Annex'!O43</f>
        <v>73.64</v>
      </c>
      <c r="P29" s="1988" t="str">
        <f>'11-A. IEC Sub-Annex'!P43</f>
        <v>The state is proposing IEC @ Rs. 3500 per HWCs. So 1514 HSCs+590 PHCs</v>
      </c>
      <c r="Q29" s="69" t="s">
        <v>5819</v>
      </c>
      <c r="R29" s="1448">
        <v>73.64</v>
      </c>
    </row>
    <row r="30" spans="1:18">
      <c r="A30" s="1878">
        <f>'12.Printing Annex'!A7</f>
        <v>12</v>
      </c>
      <c r="B30" s="1878"/>
      <c r="C30" s="1878" t="str">
        <f>'12.Printing Annex'!C7</f>
        <v>Printing</v>
      </c>
      <c r="D30" s="1880"/>
      <c r="E30" s="1880"/>
      <c r="F30" s="1880"/>
      <c r="G30" s="1880"/>
      <c r="H30" s="994"/>
      <c r="I30" s="1880"/>
      <c r="J30" s="994"/>
      <c r="K30" s="1878"/>
      <c r="L30" s="1878"/>
      <c r="M30" s="994"/>
      <c r="N30" s="1984"/>
      <c r="O30" s="1985">
        <f>SUM(O31:O31)</f>
        <v>10</v>
      </c>
      <c r="P30" s="2809"/>
      <c r="Q30" s="1990"/>
      <c r="R30" s="1991">
        <f>SUM(R31:R31)</f>
        <v>10</v>
      </c>
    </row>
    <row r="31" spans="1:18" ht="45">
      <c r="A31" s="1986" t="str">
        <f>'12.Printing Annex'!A21</f>
        <v>12.2.5</v>
      </c>
      <c r="B31" s="1986">
        <f>'12-A. Print Sub-Annex'!B72</f>
        <v>0</v>
      </c>
      <c r="C31" s="1986" t="str">
        <f>'12-A. Print Sub-Annex'!C72</f>
        <v>Printing activities for Ayushman Bharat H&amp;WC</v>
      </c>
      <c r="D31" s="1986" t="str">
        <f>'12-A. Print Sub-Annex'!D72</f>
        <v>HSS</v>
      </c>
      <c r="E31" s="1986" t="str">
        <f>'12-A. Print Sub-Annex'!E72</f>
        <v>CPHC</v>
      </c>
      <c r="F31" s="1989">
        <f>'12-A. Print Sub-Annex'!F72</f>
        <v>800</v>
      </c>
      <c r="G31" s="1989">
        <f>'12-A. Print Sub-Annex'!G72</f>
        <v>0</v>
      </c>
      <c r="H31" s="1989">
        <f>'12-A. Print Sub-Annex'!H72</f>
        <v>10</v>
      </c>
      <c r="I31" s="1989">
        <f>'12-A. Print Sub-Annex'!I72</f>
        <v>0</v>
      </c>
      <c r="J31" s="1989">
        <f>'12-A. Print Sub-Annex'!J72</f>
        <v>0</v>
      </c>
      <c r="K31" s="1989">
        <f>'12-A. Print Sub-Annex'!K72</f>
        <v>1</v>
      </c>
      <c r="L31" s="1989">
        <f>'12-A. Print Sub-Annex'!L72</f>
        <v>1250</v>
      </c>
      <c r="M31" s="859">
        <f>'12-A. Print Sub-Annex'!M72</f>
        <v>1.2500000000000001E-2</v>
      </c>
      <c r="N31" s="1989">
        <f>'12-A. Print Sub-Annex'!N72</f>
        <v>800</v>
      </c>
      <c r="O31" s="859">
        <f>'12-A. Print Sub-Annex'!O72</f>
        <v>10</v>
      </c>
      <c r="P31" s="1988" t="str">
        <f>'12-A. Print Sub-Annex'!P72</f>
        <v>Lumpsum cost of Rs 10 lakh for printing of modules and family folders</v>
      </c>
      <c r="Q31" s="69" t="s">
        <v>5820</v>
      </c>
      <c r="R31" s="1792">
        <v>10</v>
      </c>
    </row>
    <row r="32" spans="1:18">
      <c r="A32" s="1970">
        <f>'15.PPP Annex'!A7</f>
        <v>15</v>
      </c>
      <c r="B32" s="1970"/>
      <c r="C32" s="1970" t="str">
        <f>'15.PPP Annex'!C7</f>
        <v>PPP</v>
      </c>
      <c r="D32" s="1969"/>
      <c r="E32" s="1969"/>
      <c r="F32" s="1969"/>
      <c r="G32" s="1969"/>
      <c r="H32" s="994"/>
      <c r="I32" s="1969"/>
      <c r="J32" s="994"/>
      <c r="K32" s="1970"/>
      <c r="L32" s="1970"/>
      <c r="M32" s="994"/>
      <c r="N32" s="1984"/>
      <c r="O32" s="1985">
        <f>O33</f>
        <v>0</v>
      </c>
      <c r="P32" s="2809"/>
      <c r="Q32" s="1990"/>
      <c r="R32" s="1991">
        <f>R33</f>
        <v>0</v>
      </c>
    </row>
    <row r="33" spans="1:18">
      <c r="A33" s="858" t="str">
        <f>'15.PPP Annex'!A17</f>
        <v>15.2.5</v>
      </c>
      <c r="B33" s="858" t="str">
        <f>'15.PPP Annex'!B17</f>
        <v>15.9.6/ B18.3</v>
      </c>
      <c r="C33" s="858" t="str">
        <f>'15.PPP Annex'!C17</f>
        <v>Strengthening of diagnostic services of Ayushman Bharat H&amp;WC through PPP</v>
      </c>
      <c r="D33" s="858" t="str">
        <f>'15.PPP Annex'!D17</f>
        <v>HSS</v>
      </c>
      <c r="E33" s="858" t="str">
        <f>'15.PPP Annex'!E17</f>
        <v>CPHC</v>
      </c>
      <c r="F33" s="858">
        <f>'15.PPP Annex'!F17</f>
        <v>0</v>
      </c>
      <c r="G33" s="858">
        <f>'15.PPP Annex'!G17</f>
        <v>0</v>
      </c>
      <c r="H33" s="858">
        <f>'15.PPP Annex'!H17</f>
        <v>0</v>
      </c>
      <c r="I33" s="858">
        <f>'15.PPP Annex'!I17</f>
        <v>0</v>
      </c>
      <c r="J33" s="858">
        <f>'15.PPP Annex'!J17</f>
        <v>0</v>
      </c>
      <c r="K33" s="858">
        <f>'15.PPP Annex'!K17</f>
        <v>0</v>
      </c>
      <c r="L33" s="858">
        <f>'15.PPP Annex'!L17</f>
        <v>0</v>
      </c>
      <c r="M33" s="859">
        <f>'15.PPP Annex'!M17</f>
        <v>0</v>
      </c>
      <c r="N33" s="858">
        <f>'15.PPP Annex'!N17</f>
        <v>0</v>
      </c>
      <c r="O33" s="859">
        <f>'15.PPP Annex'!O17</f>
        <v>0</v>
      </c>
      <c r="P33" s="2791">
        <f>'15.PPP Annex'!P17</f>
        <v>0</v>
      </c>
      <c r="Q33" s="68"/>
      <c r="R33" s="1792"/>
    </row>
    <row r="34" spans="1:18">
      <c r="A34" s="1970">
        <f>'17.IT Initiatives_SD'!A7</f>
        <v>17</v>
      </c>
      <c r="B34" s="1970"/>
      <c r="C34" s="1970" t="str">
        <f>'17.IT Initiatives_SD'!C7</f>
        <v>IT Initiatives for strengthening Service Delivery</v>
      </c>
      <c r="D34" s="1969"/>
      <c r="E34" s="1969"/>
      <c r="F34" s="1969"/>
      <c r="G34" s="1969"/>
      <c r="H34" s="994"/>
      <c r="I34" s="1969"/>
      <c r="J34" s="994"/>
      <c r="K34" s="1970"/>
      <c r="L34" s="1970"/>
      <c r="M34" s="994"/>
      <c r="N34" s="1984"/>
      <c r="O34" s="1985">
        <f>SUM(O35:O36)</f>
        <v>310.77000000000004</v>
      </c>
      <c r="P34" s="2809"/>
      <c r="Q34" s="1990"/>
      <c r="R34" s="1991">
        <f>SUM(R35:R36)</f>
        <v>310.77000000000004</v>
      </c>
    </row>
    <row r="35" spans="1:18" ht="105">
      <c r="A35" s="858" t="str">
        <f>'17.IT Initiatives_SD'!A10</f>
        <v>17.2.1</v>
      </c>
      <c r="B35" s="858"/>
      <c r="C35" s="88" t="str">
        <f>'17.IT Initiatives_SD'!C10</f>
        <v>Telemedicine/ teleconsultation facility under Ayushman Bharat H&amp;WC</v>
      </c>
      <c r="D35" s="158" t="str">
        <f>'17.IT Initiatives_SD'!D10</f>
        <v>HSS</v>
      </c>
      <c r="E35" s="88" t="str">
        <f>'17.IT Initiatives_SD'!E10</f>
        <v>CPHC</v>
      </c>
      <c r="F35" s="88">
        <f>'17.IT Initiatives_SD'!F10</f>
        <v>3</v>
      </c>
      <c r="G35" s="88">
        <f>'17.IT Initiatives_SD'!G10</f>
        <v>0</v>
      </c>
      <c r="H35" s="88">
        <f>'17.IT Initiatives_SD'!H10</f>
        <v>275.39999999999998</v>
      </c>
      <c r="I35" s="88">
        <f>'17.IT Initiatives_SD'!I10</f>
        <v>75.53</v>
      </c>
      <c r="J35" s="88">
        <f>'17.IT Initiatives_SD'!J10</f>
        <v>199.87</v>
      </c>
      <c r="K35" s="88">
        <f>'17.IT Initiatives_SD'!K10</f>
        <v>1</v>
      </c>
      <c r="L35" s="88">
        <f>'17.IT Initiatives_SD'!L10</f>
        <v>360000</v>
      </c>
      <c r="M35" s="690">
        <f>'17.IT Initiatives_SD'!M10</f>
        <v>3.6</v>
      </c>
      <c r="N35" s="88">
        <f>'17.IT Initiatives_SD'!N10</f>
        <v>3</v>
      </c>
      <c r="O35" s="690">
        <f>'17.IT Initiatives_SD'!O10</f>
        <v>10.8</v>
      </c>
      <c r="P35" s="2791" t="str">
        <f>'17.IT Initiatives_SD'!P10</f>
        <v xml:space="preserve"> GoHP has notified guidelines for guidelines for tele-consultation hubs. The NHM would not be paying for honorarium for doctors imparting tele consultation, however a provision has been made for Rs. 30,000 per month per hub. There are 3 tele-consultation hubs in the state 30,000 X per month X per hub (3)= 30000 X 12 X 3= 10,80,000. </v>
      </c>
      <c r="Q35" s="353" t="s">
        <v>5854</v>
      </c>
      <c r="R35" s="1448">
        <v>10.8</v>
      </c>
    </row>
    <row r="36" spans="1:18" ht="270">
      <c r="A36" s="858" t="str">
        <f>'17.IT Initiatives_SD'!A11</f>
        <v>17.2.2</v>
      </c>
      <c r="B36" s="858"/>
      <c r="C36" s="88" t="str">
        <f>'17.IT Initiatives_SD'!C11</f>
        <v>Other IT Initiatives (please specify)</v>
      </c>
      <c r="D36" s="158" t="str">
        <f>'17.IT Initiatives_SD'!D11</f>
        <v>HSS</v>
      </c>
      <c r="E36" s="88" t="str">
        <f>'17.IT Initiatives_SD'!E11</f>
        <v>CPHC</v>
      </c>
      <c r="F36" s="88">
        <f>'17.IT Initiatives_SD'!F11</f>
        <v>75</v>
      </c>
      <c r="G36" s="88">
        <f>'17.IT Initiatives_SD'!G11</f>
        <v>0</v>
      </c>
      <c r="H36" s="88">
        <f>'17.IT Initiatives_SD'!H11</f>
        <v>299.97000000000003</v>
      </c>
      <c r="I36" s="88">
        <f>'17.IT Initiatives_SD'!I11</f>
        <v>65.16</v>
      </c>
      <c r="J36" s="88">
        <f>'17.IT Initiatives_SD'!J11</f>
        <v>234.81</v>
      </c>
      <c r="K36" s="88" t="str">
        <f>'17.IT Initiatives_SD'!K11</f>
        <v>Per telemedicine centre (OPEX)</v>
      </c>
      <c r="L36" s="88">
        <f>'17.IT Initiatives_SD'!L11</f>
        <v>399960</v>
      </c>
      <c r="M36" s="690">
        <f>'17.IT Initiatives_SD'!M11</f>
        <v>3.9996</v>
      </c>
      <c r="N36" s="88">
        <f>'17.IT Initiatives_SD'!N11</f>
        <v>75</v>
      </c>
      <c r="O36" s="690">
        <f>'17.IT Initiatives_SD'!O11</f>
        <v>299.97000000000003</v>
      </c>
      <c r="P36" s="2791" t="str">
        <f>'17.IT Initiatives_SD'!P11</f>
        <v xml:space="preserve">                                                                                                                                                                                                                                                                     Ongoing Activity: Telemedicine facility has been started in 25 health facilities (in Remote CHC, PHC &amp; CH ) through M/S Piramal Swasthya. The operational cost has been reduced to Rs 33330 /per Month. Teleconsultations using  E-Sanjeevni Application  (developed by CDAC Mohali)  will be started  in these telemedicine centres  after the completion of the period of existing MOU  in April 2022 (Total= 33330 x 25 x 12 = Rs.99,99,000-00)                                                                                                                                                                   Ongoing Activity: Telemedicine facility has been started in 50 Rural Health Sub-Centres in 2019-20  through M/S Piramal Swasthya. The operational cost  @ Rs 33330 /per Month per Sub-Centre has been finalized  through tendering process. Teleconsultations using  E-Sanjeevni Application  (developed by CDAC Mohali)  will be started  in these telemedicine centres  after the completion of the period of existing MOU  in April 2022 (Total= 33330 x 50  x 12= Rs. 1.99,98,000-00 )</v>
      </c>
      <c r="Q36" s="353" t="s">
        <v>5853</v>
      </c>
      <c r="R36" s="1448">
        <v>299.97000000000003</v>
      </c>
    </row>
  </sheetData>
  <sheetProtection sheet="1" formatCells="0" formatColumns="0" formatRows="0" autoFilter="0"/>
  <autoFilter ref="A5:R36"/>
  <mergeCells count="11">
    <mergeCell ref="A15:A16"/>
    <mergeCell ref="A23:A27"/>
    <mergeCell ref="Q4:R4"/>
    <mergeCell ref="E4:E5"/>
    <mergeCell ref="A1:C1"/>
    <mergeCell ref="A4:A5"/>
    <mergeCell ref="B4:B5"/>
    <mergeCell ref="C4:C5"/>
    <mergeCell ref="D4:D5"/>
    <mergeCell ref="F4:J4"/>
    <mergeCell ref="K4:P4"/>
  </mergeCells>
  <pageMargins left="0.7" right="0.7" top="0.75" bottom="0.75" header="0.3" footer="0.3"/>
</worksheet>
</file>

<file path=xl/worksheets/sheet34.xml><?xml version="1.0" encoding="utf-8"?>
<worksheet xmlns="http://schemas.openxmlformats.org/spreadsheetml/2006/main" xmlns:r="http://schemas.openxmlformats.org/officeDocument/2006/relationships">
  <sheetPr codeName="Sheet25"/>
  <dimension ref="A1:R14"/>
  <sheetViews>
    <sheetView zoomScale="70" zoomScaleNormal="70" workbookViewId="0">
      <pane xSplit="3" ySplit="5" topLeftCell="I6" activePane="bottomRight" state="frozen"/>
      <selection activeCell="A4" sqref="A4:R11"/>
      <selection pane="topRight" activeCell="A4" sqref="A4:R11"/>
      <selection pane="bottomLeft" activeCell="A4" sqref="A4:R11"/>
      <selection pane="bottomRight" activeCell="P10" sqref="P10"/>
    </sheetView>
  </sheetViews>
  <sheetFormatPr defaultColWidth="10.5703125" defaultRowHeight="15"/>
  <cols>
    <col min="1" max="1" width="10.5703125" style="1789"/>
    <col min="2" max="2" width="16.5703125" style="1789" customWidth="1"/>
    <col min="3" max="3" width="37.5703125" style="1789" bestFit="1" customWidth="1"/>
    <col min="4" max="4" width="5.5703125" style="1227" bestFit="1" customWidth="1"/>
    <col min="5" max="5" width="14.140625" style="1227" bestFit="1" customWidth="1"/>
    <col min="6" max="6" width="20.5703125" style="1227" bestFit="1" customWidth="1"/>
    <col min="7" max="7" width="16.85546875" style="1227" bestFit="1" customWidth="1"/>
    <col min="8" max="8" width="16.85546875" style="1941" bestFit="1" customWidth="1"/>
    <col min="9" max="9" width="16.140625" style="1227" bestFit="1" customWidth="1"/>
    <col min="10" max="10" width="14.85546875" style="1941" bestFit="1" customWidth="1"/>
    <col min="11" max="11" width="9.28515625" style="1789" customWidth="1"/>
    <col min="12" max="12" width="5.7109375" style="1789" customWidth="1"/>
    <col min="13" max="13" width="14.85546875" style="1941" bestFit="1" customWidth="1"/>
    <col min="14" max="14" width="10.5703125" style="1942"/>
    <col min="15" max="15" width="10.5703125" style="1961"/>
    <col min="16" max="16" width="32.7109375" style="1942" customWidth="1"/>
    <col min="17" max="17" width="29.140625" style="1942" customWidth="1"/>
    <col min="18" max="16384" width="10.5703125" style="1942"/>
  </cols>
  <sheetData>
    <row r="1" spans="1:18">
      <c r="A1" s="4097" t="s">
        <v>2121</v>
      </c>
      <c r="B1" s="4097"/>
      <c r="C1" s="4097"/>
      <c r="D1" s="1902"/>
      <c r="E1" s="1902"/>
      <c r="F1" s="83" t="s">
        <v>3823</v>
      </c>
      <c r="G1" s="1906"/>
      <c r="H1" s="1906"/>
      <c r="I1" s="1902"/>
      <c r="J1" s="1906"/>
      <c r="K1" s="1980"/>
      <c r="L1" s="1980"/>
      <c r="M1" s="1906"/>
    </row>
    <row r="2" spans="1:18">
      <c r="A2" s="1842" t="str">
        <f>HYPERLINK("#Index!F3", "Index Pg")</f>
        <v>Index Pg</v>
      </c>
      <c r="B2" s="1847"/>
      <c r="C2" s="864" t="str">
        <f>HYPERLINK("#'Budget Summary I'!A1:AL1", "Budget Summary I")</f>
        <v>Budget Summary I</v>
      </c>
      <c r="D2" s="1909"/>
      <c r="E2" s="1693" t="s">
        <v>4460</v>
      </c>
      <c r="F2" s="161">
        <f>R6+R11</f>
        <v>0</v>
      </c>
      <c r="G2" s="1906"/>
      <c r="H2" s="1906"/>
      <c r="I2" s="1947"/>
      <c r="J2" s="1906"/>
      <c r="K2" s="1993"/>
      <c r="L2" s="1993"/>
      <c r="M2" s="1906"/>
    </row>
    <row r="3" spans="1:18" s="1031" customFormat="1">
      <c r="A3" s="1846"/>
      <c r="B3" s="1847"/>
      <c r="C3" s="1916" t="str">
        <f>HYPERLINK("#'Budget Summary II'!A3:B5", "Budget Summary II")</f>
        <v>Budget Summary II</v>
      </c>
      <c r="D3" s="1909"/>
      <c r="E3" s="1982" t="s">
        <v>4461</v>
      </c>
      <c r="F3" s="786">
        <f>O6+O11</f>
        <v>0</v>
      </c>
      <c r="G3" s="1906"/>
      <c r="H3" s="1906"/>
      <c r="I3" s="1947"/>
      <c r="J3" s="1906"/>
      <c r="K3" s="1993"/>
      <c r="L3" s="1993"/>
      <c r="M3" s="1906"/>
      <c r="O3" s="1944"/>
    </row>
    <row r="4" spans="1:18" s="1227" customFormat="1">
      <c r="A4" s="3801" t="s">
        <v>48</v>
      </c>
      <c r="B4" s="3801" t="s">
        <v>49</v>
      </c>
      <c r="C4" s="3801" t="s">
        <v>50</v>
      </c>
      <c r="D4" s="3801" t="s">
        <v>51</v>
      </c>
      <c r="E4" s="3801" t="s">
        <v>52</v>
      </c>
      <c r="F4" s="3866" t="s">
        <v>4478</v>
      </c>
      <c r="G4" s="3866"/>
      <c r="H4" s="3866"/>
      <c r="I4" s="3866"/>
      <c r="J4" s="3866"/>
      <c r="K4" s="3866" t="s">
        <v>4484</v>
      </c>
      <c r="L4" s="3866"/>
      <c r="M4" s="3866"/>
      <c r="N4" s="3866"/>
      <c r="O4" s="3866"/>
      <c r="P4" s="3866"/>
      <c r="Q4" s="3801" t="s">
        <v>4514</v>
      </c>
      <c r="R4" s="3801"/>
    </row>
    <row r="5" spans="1:18" s="1227" customFormat="1" ht="60">
      <c r="A5" s="3801"/>
      <c r="B5" s="3801"/>
      <c r="C5" s="3801"/>
      <c r="D5" s="3801"/>
      <c r="E5" s="3801"/>
      <c r="F5" s="918" t="s">
        <v>4479</v>
      </c>
      <c r="G5" s="918" t="s">
        <v>4482</v>
      </c>
      <c r="H5" s="918" t="s">
        <v>4480</v>
      </c>
      <c r="I5" s="918" t="s">
        <v>4483</v>
      </c>
      <c r="J5" s="918" t="s">
        <v>2448</v>
      </c>
      <c r="K5" s="919" t="s">
        <v>53</v>
      </c>
      <c r="L5" s="919" t="s">
        <v>54</v>
      </c>
      <c r="M5" s="920" t="s">
        <v>55</v>
      </c>
      <c r="N5" s="919" t="s">
        <v>56</v>
      </c>
      <c r="O5" s="920" t="s">
        <v>57</v>
      </c>
      <c r="P5" s="919" t="s">
        <v>58</v>
      </c>
      <c r="Q5" s="921" t="s">
        <v>2450</v>
      </c>
      <c r="R5" s="922" t="s">
        <v>4515</v>
      </c>
    </row>
    <row r="6" spans="1:18">
      <c r="A6" s="784">
        <f>'6.Procurement Annex'!A7</f>
        <v>6</v>
      </c>
      <c r="B6" s="784"/>
      <c r="C6" s="784" t="str">
        <f>'6.Procurement Annex'!C7</f>
        <v>Procurement</v>
      </c>
      <c r="D6" s="785"/>
      <c r="E6" s="785"/>
      <c r="F6" s="1994"/>
      <c r="G6" s="1994"/>
      <c r="H6" s="1995"/>
      <c r="I6" s="1994"/>
      <c r="J6" s="547"/>
      <c r="K6" s="1996"/>
      <c r="L6" s="1996"/>
      <c r="M6" s="547"/>
      <c r="N6" s="1997"/>
      <c r="O6" s="1957">
        <f>SUM(O7:O10)</f>
        <v>0</v>
      </c>
      <c r="P6" s="1998"/>
      <c r="Q6" s="1998"/>
      <c r="R6" s="1957">
        <f>SUM(R7:R10)</f>
        <v>0</v>
      </c>
    </row>
    <row r="7" spans="1:18" ht="30">
      <c r="A7" s="4094" t="str">
        <f>'6.Procurement Annex'!A19</f>
        <v>6.1.2.2</v>
      </c>
      <c r="B7" s="858"/>
      <c r="C7" s="88" t="str">
        <f>'6-A. Proc. Sub-Annex'!C48</f>
        <v>Procurement of bio-medical and other equipment: AYUSH</v>
      </c>
      <c r="D7" s="158" t="str">
        <f>'6-A. Proc. Sub-Annex'!D48</f>
        <v>HSS</v>
      </c>
      <c r="E7" s="158" t="str">
        <f>'6-A. Proc. Sub-Annex'!E48</f>
        <v>HSS/ AYUSH</v>
      </c>
      <c r="F7" s="158">
        <f>'6-A. Proc. Sub-Annex'!F48</f>
        <v>0</v>
      </c>
      <c r="G7" s="158">
        <f>'6-A. Proc. Sub-Annex'!G48</f>
        <v>0</v>
      </c>
      <c r="H7" s="158">
        <f>'6-A. Proc. Sub-Annex'!H48</f>
        <v>0</v>
      </c>
      <c r="I7" s="158">
        <f>'6-A. Proc. Sub-Annex'!I48</f>
        <v>0</v>
      </c>
      <c r="J7" s="158">
        <f>'6-A. Proc. Sub-Annex'!J48</f>
        <v>0</v>
      </c>
      <c r="K7" s="158">
        <f>'6-A. Proc. Sub-Annex'!K48</f>
        <v>0</v>
      </c>
      <c r="L7" s="158">
        <f>'6-A. Proc. Sub-Annex'!L48</f>
        <v>0</v>
      </c>
      <c r="M7" s="162">
        <f>'6-A. Proc. Sub-Annex'!M48</f>
        <v>0</v>
      </c>
      <c r="N7" s="158">
        <f>'6-A. Proc. Sub-Annex'!N48</f>
        <v>0</v>
      </c>
      <c r="O7" s="162">
        <f>'6-A. Proc. Sub-Annex'!O48</f>
        <v>0</v>
      </c>
      <c r="P7" s="88">
        <f>'6-A. Proc. Sub-Annex'!P48</f>
        <v>0</v>
      </c>
      <c r="Q7" s="55"/>
      <c r="R7" s="1966"/>
    </row>
    <row r="8" spans="1:18">
      <c r="A8" s="4094"/>
      <c r="B8" s="858"/>
      <c r="C8" s="88" t="str">
        <f>'6-A. Proc. Sub-Annex'!C49</f>
        <v>Any other</v>
      </c>
      <c r="D8" s="158" t="str">
        <f>'6-A. Proc. Sub-Annex'!D49</f>
        <v>HSS</v>
      </c>
      <c r="E8" s="158" t="str">
        <f>'6-A. Proc. Sub-Annex'!E49</f>
        <v>HSS/ AYUSH</v>
      </c>
      <c r="F8" s="158">
        <f>'6-A. Proc. Sub-Annex'!F49</f>
        <v>0</v>
      </c>
      <c r="G8" s="158">
        <f>'6-A. Proc. Sub-Annex'!G49</f>
        <v>0</v>
      </c>
      <c r="H8" s="158">
        <f>'6-A. Proc. Sub-Annex'!H49</f>
        <v>0</v>
      </c>
      <c r="I8" s="158">
        <f>'6-A. Proc. Sub-Annex'!I49</f>
        <v>0</v>
      </c>
      <c r="J8" s="158">
        <f>'6-A. Proc. Sub-Annex'!J49</f>
        <v>0</v>
      </c>
      <c r="K8" s="158">
        <f>'6-A. Proc. Sub-Annex'!K49</f>
        <v>0</v>
      </c>
      <c r="L8" s="158">
        <f>'6-A. Proc. Sub-Annex'!L49</f>
        <v>0</v>
      </c>
      <c r="M8" s="162">
        <f>'6-A. Proc. Sub-Annex'!M49</f>
        <v>0</v>
      </c>
      <c r="N8" s="158">
        <f>'6-A. Proc. Sub-Annex'!N49</f>
        <v>0</v>
      </c>
      <c r="O8" s="162">
        <f>'6-A. Proc. Sub-Annex'!O49</f>
        <v>0</v>
      </c>
      <c r="P8" s="88">
        <f>'6-A. Proc. Sub-Annex'!P49</f>
        <v>0</v>
      </c>
      <c r="Q8" s="55"/>
      <c r="R8" s="1966"/>
    </row>
    <row r="9" spans="1:18">
      <c r="A9" s="4094" t="str">
        <f>'6.Procurement Annex'!A67</f>
        <v>6.2.2.4</v>
      </c>
      <c r="B9" s="858"/>
      <c r="C9" s="88" t="str">
        <f>'6-A. Proc. Sub-Annex'!C203</f>
        <v>Drugs &amp; supplies for AYUSH</v>
      </c>
      <c r="D9" s="158" t="str">
        <f>'6-A. Proc. Sub-Annex'!D203</f>
        <v>HSS</v>
      </c>
      <c r="E9" s="158" t="str">
        <f>'6-A. Proc. Sub-Annex'!E203</f>
        <v>HSS/ AYUSH</v>
      </c>
      <c r="F9" s="158">
        <f>'6-A. Proc. Sub-Annex'!F203</f>
        <v>0</v>
      </c>
      <c r="G9" s="158">
        <f>'6-A. Proc. Sub-Annex'!G203</f>
        <v>0</v>
      </c>
      <c r="H9" s="158">
        <f>'6-A. Proc. Sub-Annex'!H203</f>
        <v>0</v>
      </c>
      <c r="I9" s="158">
        <f>'6-A. Proc. Sub-Annex'!I203</f>
        <v>0</v>
      </c>
      <c r="J9" s="158">
        <f>'6-A. Proc. Sub-Annex'!J203</f>
        <v>0</v>
      </c>
      <c r="K9" s="158">
        <f>'6-A. Proc. Sub-Annex'!K203</f>
        <v>0</v>
      </c>
      <c r="L9" s="158">
        <f>'6-A. Proc. Sub-Annex'!L203</f>
        <v>0</v>
      </c>
      <c r="M9" s="162">
        <f>'6-A. Proc. Sub-Annex'!M203</f>
        <v>0</v>
      </c>
      <c r="N9" s="158">
        <f>'6-A. Proc. Sub-Annex'!N203</f>
        <v>0</v>
      </c>
      <c r="O9" s="162">
        <f>'6-A. Proc. Sub-Annex'!O203</f>
        <v>0</v>
      </c>
      <c r="P9" s="88">
        <f>'6-A. Proc. Sub-Annex'!P203</f>
        <v>0</v>
      </c>
      <c r="Q9" s="55"/>
      <c r="R9" s="1966"/>
    </row>
    <row r="10" spans="1:18">
      <c r="A10" s="4094"/>
      <c r="B10" s="858"/>
      <c r="C10" s="88" t="str">
        <f>'6-A. Proc. Sub-Annex'!C204</f>
        <v>Any other</v>
      </c>
      <c r="D10" s="158" t="str">
        <f>'6-A. Proc. Sub-Annex'!D204</f>
        <v>HSS</v>
      </c>
      <c r="E10" s="158" t="str">
        <f>'6-A. Proc. Sub-Annex'!E204</f>
        <v>HSS/ AYUSH</v>
      </c>
      <c r="F10" s="158">
        <f>'6-A. Proc. Sub-Annex'!F204</f>
        <v>0</v>
      </c>
      <c r="G10" s="158">
        <f>'6-A. Proc. Sub-Annex'!G204</f>
        <v>0</v>
      </c>
      <c r="H10" s="158">
        <f>'6-A. Proc. Sub-Annex'!H204</f>
        <v>0</v>
      </c>
      <c r="I10" s="158">
        <f>'6-A. Proc. Sub-Annex'!I204</f>
        <v>0</v>
      </c>
      <c r="J10" s="158">
        <f>'6-A. Proc. Sub-Annex'!J204</f>
        <v>0</v>
      </c>
      <c r="K10" s="158">
        <f>'6-A. Proc. Sub-Annex'!K204</f>
        <v>0</v>
      </c>
      <c r="L10" s="158">
        <f>'6-A. Proc. Sub-Annex'!L204</f>
        <v>0</v>
      </c>
      <c r="M10" s="162">
        <f>'6-A. Proc. Sub-Annex'!M204</f>
        <v>0</v>
      </c>
      <c r="N10" s="158">
        <f>'6-A. Proc. Sub-Annex'!N204</f>
        <v>0</v>
      </c>
      <c r="O10" s="162">
        <f>'6-A. Proc. Sub-Annex'!O204</f>
        <v>0</v>
      </c>
      <c r="P10" s="162"/>
      <c r="Q10" s="55"/>
      <c r="R10" s="1966"/>
    </row>
    <row r="11" spans="1:18">
      <c r="A11" s="784">
        <f>'9.Training Annex'!A7</f>
        <v>9</v>
      </c>
      <c r="B11" s="784"/>
      <c r="C11" s="784" t="str">
        <f>'9.Training Annex'!C7</f>
        <v>Training and Capacity Building</v>
      </c>
      <c r="D11" s="785"/>
      <c r="E11" s="785"/>
      <c r="F11" s="1994"/>
      <c r="G11" s="1994"/>
      <c r="H11" s="1995"/>
      <c r="I11" s="1994"/>
      <c r="J11" s="547"/>
      <c r="K11" s="1996"/>
      <c r="L11" s="1996"/>
      <c r="M11" s="547"/>
      <c r="N11" s="1997"/>
      <c r="O11" s="1957">
        <f>SUM(O12:O13)</f>
        <v>0</v>
      </c>
      <c r="P11" s="1998"/>
      <c r="Q11" s="1999"/>
      <c r="R11" s="1965">
        <f>SUM(R12:R13)</f>
        <v>0</v>
      </c>
    </row>
    <row r="12" spans="1:18">
      <c r="A12" s="4094" t="str">
        <f>'9.Training Annex'!A34</f>
        <v>9.2.2.5</v>
      </c>
      <c r="B12" s="858" t="str">
        <f>'9-A.Training Sub-Annex'!B175</f>
        <v>B9.2</v>
      </c>
      <c r="C12" s="88" t="str">
        <f>'9-A.Training Sub-Annex'!C175</f>
        <v>Training under AYUSH</v>
      </c>
      <c r="D12" s="158" t="str">
        <f>'9-A.Training Sub-Annex'!D175</f>
        <v>HSS</v>
      </c>
      <c r="E12" s="158" t="str">
        <f>'9-A.Training Sub-Annex'!E175</f>
        <v>HSS/AYUSH</v>
      </c>
      <c r="F12" s="158">
        <f>'9-A.Training Sub-Annex'!F175</f>
        <v>0</v>
      </c>
      <c r="G12" s="158">
        <f>'9-A.Training Sub-Annex'!G175</f>
        <v>0</v>
      </c>
      <c r="H12" s="158">
        <f>'9-A.Training Sub-Annex'!H175</f>
        <v>0</v>
      </c>
      <c r="I12" s="158">
        <f>'9-A.Training Sub-Annex'!I175</f>
        <v>0</v>
      </c>
      <c r="J12" s="158">
        <f>'9-A.Training Sub-Annex'!J175</f>
        <v>0</v>
      </c>
      <c r="K12" s="158">
        <f>'9-A.Training Sub-Annex'!K175</f>
        <v>0</v>
      </c>
      <c r="L12" s="158">
        <f>'9-A.Training Sub-Annex'!L175</f>
        <v>0</v>
      </c>
      <c r="M12" s="162">
        <f>'9-A.Training Sub-Annex'!M175</f>
        <v>0</v>
      </c>
      <c r="N12" s="158">
        <f>'9-A.Training Sub-Annex'!N175</f>
        <v>0</v>
      </c>
      <c r="O12" s="162">
        <f>'9-A.Training Sub-Annex'!O175</f>
        <v>0</v>
      </c>
      <c r="P12" s="88">
        <f>'9-A.Training Sub-Annex'!P175</f>
        <v>0</v>
      </c>
      <c r="Q12" s="55"/>
      <c r="R12" s="1966"/>
    </row>
    <row r="13" spans="1:18">
      <c r="A13" s="4094"/>
      <c r="B13" s="858"/>
      <c r="C13" s="88" t="str">
        <f>'9-A.Training Sub-Annex'!C176</f>
        <v>Any other (please specify)</v>
      </c>
      <c r="D13" s="158" t="str">
        <f>'9-A.Training Sub-Annex'!D176</f>
        <v>HSS</v>
      </c>
      <c r="E13" s="158" t="str">
        <f>'9-A.Training Sub-Annex'!E176</f>
        <v>HSS/AYUSH</v>
      </c>
      <c r="F13" s="158">
        <f>'9-A.Training Sub-Annex'!F176</f>
        <v>0</v>
      </c>
      <c r="G13" s="158">
        <f>'9-A.Training Sub-Annex'!G176</f>
        <v>0</v>
      </c>
      <c r="H13" s="158">
        <f>'9-A.Training Sub-Annex'!H176</f>
        <v>0</v>
      </c>
      <c r="I13" s="158">
        <f>'9-A.Training Sub-Annex'!I176</f>
        <v>0</v>
      </c>
      <c r="J13" s="158">
        <f>'9-A.Training Sub-Annex'!J176</f>
        <v>0</v>
      </c>
      <c r="K13" s="158">
        <f>'9-A.Training Sub-Annex'!K176</f>
        <v>0</v>
      </c>
      <c r="L13" s="158">
        <f>'9-A.Training Sub-Annex'!L176</f>
        <v>0</v>
      </c>
      <c r="M13" s="162">
        <f>'9-A.Training Sub-Annex'!M176</f>
        <v>0</v>
      </c>
      <c r="N13" s="158">
        <f>'9-A.Training Sub-Annex'!N176</f>
        <v>0</v>
      </c>
      <c r="O13" s="162">
        <f>'9-A.Training Sub-Annex'!O176</f>
        <v>0</v>
      </c>
      <c r="P13" s="88">
        <f>'9-A.Training Sub-Annex'!P176</f>
        <v>0</v>
      </c>
      <c r="Q13" s="55"/>
      <c r="R13" s="1966"/>
    </row>
    <row r="14" spans="1:18">
      <c r="P14" s="1789"/>
      <c r="Q14" s="1789"/>
      <c r="R14" s="1961"/>
    </row>
  </sheetData>
  <sheetProtection formatCells="0" formatColumns="0" formatRows="0" autoFilter="0"/>
  <autoFilter ref="A5:M13"/>
  <mergeCells count="12">
    <mergeCell ref="A9:A10"/>
    <mergeCell ref="A7:A8"/>
    <mergeCell ref="A12:A13"/>
    <mergeCell ref="Q4:R4"/>
    <mergeCell ref="E4:E5"/>
    <mergeCell ref="F4:J4"/>
    <mergeCell ref="K4:P4"/>
    <mergeCell ref="A1:C1"/>
    <mergeCell ref="A4:A5"/>
    <mergeCell ref="B4:B5"/>
    <mergeCell ref="C4:C5"/>
    <mergeCell ref="D4:D5"/>
  </mergeCells>
  <pageMargins left="0.7" right="0.7" top="0.75" bottom="0.75" header="0.3" footer="0.3"/>
</worksheet>
</file>

<file path=xl/worksheets/sheet35.xml><?xml version="1.0" encoding="utf-8"?>
<worksheet xmlns="http://schemas.openxmlformats.org/spreadsheetml/2006/main" xmlns:r="http://schemas.openxmlformats.org/officeDocument/2006/relationships">
  <sheetPr codeName="Sheet31">
    <tabColor theme="5" tint="0.79998168889431442"/>
  </sheetPr>
  <dimension ref="A1:R40"/>
  <sheetViews>
    <sheetView zoomScale="60" zoomScaleNormal="60" workbookViewId="0">
      <pane xSplit="3" ySplit="5" topLeftCell="F6" activePane="bottomRight" state="frozen"/>
      <selection activeCell="A4" sqref="A4:R11"/>
      <selection pane="topRight" activeCell="A4" sqref="A4:R11"/>
      <selection pane="bottomLeft" activeCell="A4" sqref="A4:R11"/>
      <selection pane="bottomRight" activeCell="R32" sqref="R32"/>
    </sheetView>
  </sheetViews>
  <sheetFormatPr defaultColWidth="9.140625" defaultRowHeight="15"/>
  <cols>
    <col min="1" max="1" width="11" style="1789" bestFit="1" customWidth="1"/>
    <col min="2" max="2" width="16.28515625" style="1789" customWidth="1"/>
    <col min="3" max="3" width="56.42578125" style="904" bestFit="1" customWidth="1"/>
    <col min="4" max="4" width="5.5703125" style="868" bestFit="1" customWidth="1"/>
    <col min="5" max="5" width="14.28515625" style="868" customWidth="1"/>
    <col min="6" max="6" width="17.85546875" style="1227" customWidth="1"/>
    <col min="7" max="7" width="16.140625" style="1227" bestFit="1" customWidth="1"/>
    <col min="8" max="8" width="9.140625" style="1941" bestFit="1" customWidth="1"/>
    <col min="9" max="9" width="8.7109375" style="1227" customWidth="1"/>
    <col min="10" max="10" width="11" style="1941" customWidth="1"/>
    <col min="11" max="11" width="11.140625" style="1789" customWidth="1"/>
    <col min="12" max="12" width="11.28515625" style="1789" customWidth="1"/>
    <col min="13" max="13" width="11.42578125" style="1941" customWidth="1"/>
    <col min="14" max="14" width="9.140625" style="1942"/>
    <col min="15" max="15" width="16.7109375" style="1961" customWidth="1"/>
    <col min="16" max="16" width="29.85546875" style="1789" customWidth="1"/>
    <col min="17" max="17" width="32.5703125" style="904" customWidth="1"/>
    <col min="18" max="18" width="9.140625" style="1961"/>
    <col min="19" max="16384" width="9.140625" style="1942"/>
  </cols>
  <sheetData>
    <row r="1" spans="1:18">
      <c r="A1" s="4097" t="s">
        <v>2123</v>
      </c>
      <c r="B1" s="4097"/>
      <c r="C1" s="4097"/>
      <c r="D1" s="1902"/>
      <c r="E1" s="1943"/>
      <c r="F1" s="2000" t="s">
        <v>3830</v>
      </c>
      <c r="G1" s="1906"/>
      <c r="H1" s="1906"/>
      <c r="I1" s="1902"/>
      <c r="J1" s="1906"/>
      <c r="K1" s="1980"/>
      <c r="L1" s="1980"/>
      <c r="M1" s="1906"/>
      <c r="N1" s="2001"/>
      <c r="O1" s="2002"/>
      <c r="P1" s="1907"/>
      <c r="Q1" s="2098"/>
    </row>
    <row r="2" spans="1:18">
      <c r="A2" s="1842" t="str">
        <f>HYPERLINK("#Index!F3", "Index Pg")</f>
        <v>Index Pg</v>
      </c>
      <c r="B2" s="1847"/>
      <c r="C2" s="864" t="str">
        <f>HYPERLINK("#'Budget Summary I'!A1:AL1", "Budget Summary I")</f>
        <v>Budget Summary I</v>
      </c>
      <c r="D2" s="1909"/>
      <c r="E2" s="1693" t="s">
        <v>4460</v>
      </c>
      <c r="F2" s="161">
        <f>R6+R8+R12+R22+R29+R27</f>
        <v>43.85</v>
      </c>
      <c r="G2" s="1906"/>
      <c r="H2" s="1906"/>
      <c r="I2" s="1947"/>
      <c r="J2" s="1906"/>
      <c r="K2" s="1993"/>
      <c r="L2" s="1993"/>
      <c r="M2" s="1906"/>
      <c r="N2" s="2001"/>
      <c r="O2" s="2002"/>
      <c r="P2" s="1907"/>
      <c r="Q2" s="2098"/>
    </row>
    <row r="3" spans="1:18" s="1031" customFormat="1">
      <c r="A3" s="1846"/>
      <c r="B3" s="1847"/>
      <c r="C3" s="1916" t="str">
        <f>HYPERLINK("#'Budget Summary II'!A3:B5", "Budget Summary II")</f>
        <v>Budget Summary II</v>
      </c>
      <c r="D3" s="1909"/>
      <c r="E3" s="1982" t="s">
        <v>4461</v>
      </c>
      <c r="F3" s="786">
        <f>O6+O8+O12+O22+O29+O27</f>
        <v>91.645309999999995</v>
      </c>
      <c r="G3" s="1906"/>
      <c r="H3" s="1906"/>
      <c r="I3" s="1947"/>
      <c r="J3" s="1906"/>
      <c r="L3" s="1993"/>
      <c r="M3" s="1906"/>
      <c r="N3" s="2001"/>
      <c r="O3" s="2002"/>
      <c r="P3" s="1907"/>
      <c r="Q3" s="2098"/>
      <c r="R3" s="1944"/>
    </row>
    <row r="4" spans="1:18" s="1227" customFormat="1">
      <c r="A4" s="3801" t="s">
        <v>48</v>
      </c>
      <c r="B4" s="3801" t="s">
        <v>49</v>
      </c>
      <c r="C4" s="3801" t="s">
        <v>50</v>
      </c>
      <c r="D4" s="3801" t="s">
        <v>51</v>
      </c>
      <c r="E4" s="3801" t="s">
        <v>52</v>
      </c>
      <c r="F4" s="3866" t="s">
        <v>4478</v>
      </c>
      <c r="G4" s="3866"/>
      <c r="H4" s="3866"/>
      <c r="I4" s="3866"/>
      <c r="J4" s="3866"/>
      <c r="K4" s="3866" t="s">
        <v>4484</v>
      </c>
      <c r="L4" s="3866"/>
      <c r="M4" s="3866"/>
      <c r="N4" s="3866"/>
      <c r="O4" s="3866"/>
      <c r="P4" s="3866"/>
      <c r="Q4" s="3801" t="s">
        <v>4514</v>
      </c>
      <c r="R4" s="3801"/>
    </row>
    <row r="5" spans="1:18" s="1227" customFormat="1" ht="60">
      <c r="A5" s="3801"/>
      <c r="B5" s="3801"/>
      <c r="C5" s="3801"/>
      <c r="D5" s="3801"/>
      <c r="E5" s="3801"/>
      <c r="F5" s="918" t="s">
        <v>4479</v>
      </c>
      <c r="G5" s="918" t="s">
        <v>4482</v>
      </c>
      <c r="H5" s="918" t="s">
        <v>4480</v>
      </c>
      <c r="I5" s="918" t="s">
        <v>4483</v>
      </c>
      <c r="J5" s="918" t="s">
        <v>2448</v>
      </c>
      <c r="K5" s="919" t="s">
        <v>53</v>
      </c>
      <c r="L5" s="919" t="s">
        <v>54</v>
      </c>
      <c r="M5" s="920" t="s">
        <v>55</v>
      </c>
      <c r="N5" s="919" t="s">
        <v>56</v>
      </c>
      <c r="O5" s="920" t="s">
        <v>57</v>
      </c>
      <c r="P5" s="1924" t="s">
        <v>58</v>
      </c>
      <c r="Q5" s="1925" t="s">
        <v>2450</v>
      </c>
      <c r="R5" s="922" t="s">
        <v>4515</v>
      </c>
    </row>
    <row r="6" spans="1:18">
      <c r="A6" s="784">
        <f>'3.Community Intervention Annexn'!A7</f>
        <v>3</v>
      </c>
      <c r="B6" s="784"/>
      <c r="C6" s="784" t="str">
        <f>'3.Community Intervention Annexn'!C7</f>
        <v>Community Interventions</v>
      </c>
      <c r="D6" s="785"/>
      <c r="E6" s="785"/>
      <c r="F6" s="785"/>
      <c r="G6" s="785"/>
      <c r="H6" s="547"/>
      <c r="I6" s="785"/>
      <c r="J6" s="547"/>
      <c r="K6" s="784"/>
      <c r="L6" s="784"/>
      <c r="M6" s="547"/>
      <c r="N6" s="1997"/>
      <c r="O6" s="1957">
        <f>O7</f>
        <v>0</v>
      </c>
      <c r="P6" s="1953"/>
      <c r="Q6" s="2091"/>
      <c r="R6" s="1957">
        <f>R7</f>
        <v>0</v>
      </c>
    </row>
    <row r="7" spans="1:18">
      <c r="A7" s="858" t="str">
        <f>'3.Community Intervention Annexn'!A53</f>
        <v>3.3.3.1</v>
      </c>
      <c r="B7" s="858" t="str">
        <f>'3.Community Intervention Annexn'!B53</f>
        <v>E.2.9</v>
      </c>
      <c r="C7" s="858" t="str">
        <f>'3.Community Intervention Annexn'!C53</f>
        <v>One day sensitization for PRIs</v>
      </c>
      <c r="D7" s="858" t="str">
        <f>'3.Community Intervention Annexn'!D53</f>
        <v>NDCP</v>
      </c>
      <c r="E7" s="858" t="str">
        <f>'3.Community Intervention Annexn'!E53</f>
        <v>IDSP</v>
      </c>
      <c r="F7" s="858">
        <f>'3.Community Intervention Annexn'!F53</f>
        <v>0</v>
      </c>
      <c r="G7" s="858">
        <f>'3.Community Intervention Annexn'!G53</f>
        <v>0</v>
      </c>
      <c r="H7" s="858">
        <f>'3.Community Intervention Annexn'!H53</f>
        <v>0</v>
      </c>
      <c r="I7" s="858">
        <f>'3.Community Intervention Annexn'!I53</f>
        <v>0</v>
      </c>
      <c r="J7" s="858">
        <f>'3.Community Intervention Annexn'!J53</f>
        <v>0</v>
      </c>
      <c r="K7" s="858">
        <f>'3.Community Intervention Annexn'!K53</f>
        <v>0</v>
      </c>
      <c r="L7" s="858">
        <f>'3.Community Intervention Annexn'!L53</f>
        <v>0</v>
      </c>
      <c r="M7" s="859">
        <f>'3.Community Intervention Annexn'!M53</f>
        <v>0</v>
      </c>
      <c r="N7" s="858">
        <f>'3.Community Intervention Annexn'!N53</f>
        <v>0</v>
      </c>
      <c r="O7" s="859">
        <f>'3.Community Intervention Annexn'!O53</f>
        <v>0</v>
      </c>
      <c r="P7" s="858">
        <f>'3.Community Intervention Annexn'!P53</f>
        <v>0</v>
      </c>
      <c r="Q7" s="54"/>
      <c r="R7" s="1966"/>
    </row>
    <row r="8" spans="1:18">
      <c r="A8" s="784">
        <f>'6.Procurement Annex'!A7</f>
        <v>6</v>
      </c>
      <c r="B8" s="784"/>
      <c r="C8" s="784" t="str">
        <f>'6.Procurement Annex'!C7</f>
        <v>Procurement</v>
      </c>
      <c r="D8" s="785"/>
      <c r="E8" s="785"/>
      <c r="F8" s="785"/>
      <c r="G8" s="785"/>
      <c r="H8" s="547"/>
      <c r="I8" s="785"/>
      <c r="J8" s="547"/>
      <c r="K8" s="784"/>
      <c r="L8" s="784"/>
      <c r="M8" s="547"/>
      <c r="N8" s="1997"/>
      <c r="O8" s="1957">
        <f>SUM(O9:O11)</f>
        <v>35.799999999999997</v>
      </c>
      <c r="P8" s="1953"/>
      <c r="Q8" s="2092"/>
      <c r="R8" s="1965">
        <f>SUM(R9:R11)</f>
        <v>0</v>
      </c>
    </row>
    <row r="9" spans="1:18" ht="57.75" customHeight="1">
      <c r="A9" s="4096" t="str">
        <f>'6.Procurement Annex'!A30</f>
        <v>6.1.4.1</v>
      </c>
      <c r="B9" s="858" t="str">
        <f>'6-A. Proc. Sub-Annex'!B74</f>
        <v>E.3.1</v>
      </c>
      <c r="C9" s="88" t="str">
        <f>'6-A. Proc. Sub-Annex'!C74</f>
        <v xml:space="preserve">Non-recurring costs on account of equipment for District Public Health Labs requiring strengthening. </v>
      </c>
      <c r="D9" s="158" t="str">
        <f>'6-A. Proc. Sub-Annex'!D74</f>
        <v>NDCP</v>
      </c>
      <c r="E9" s="158" t="str">
        <f>'6-A. Proc. Sub-Annex'!E74</f>
        <v>IDSP</v>
      </c>
      <c r="F9" s="158">
        <f>'6-A. Proc. Sub-Annex'!F74</f>
        <v>2</v>
      </c>
      <c r="G9" s="158">
        <f>'6-A. Proc. Sub-Annex'!G74</f>
        <v>0</v>
      </c>
      <c r="H9" s="158">
        <f>'6-A. Proc. Sub-Annex'!H74</f>
        <v>17.899999999999999</v>
      </c>
      <c r="I9" s="158">
        <f>'6-A. Proc. Sub-Annex'!I74</f>
        <v>0.63</v>
      </c>
      <c r="J9" s="158">
        <f>'6-A. Proc. Sub-Annex'!J74</f>
        <v>17.27</v>
      </c>
      <c r="K9" s="158">
        <f>'6-A. Proc. Sub-Annex'!K74</f>
        <v>6</v>
      </c>
      <c r="L9" s="158">
        <f>'6-A. Proc. Sub-Annex'!L74</f>
        <v>1790000</v>
      </c>
      <c r="M9" s="162">
        <f>'6-A. Proc. Sub-Annex'!M74</f>
        <v>17.899999999999999</v>
      </c>
      <c r="N9" s="158">
        <f>'6-A. Proc. Sub-Annex'!N74</f>
        <v>2</v>
      </c>
      <c r="O9" s="162">
        <f>'6-A. Proc. Sub-Annex'!O74</f>
        <v>35.799999999999997</v>
      </c>
      <c r="P9" s="88" t="str">
        <f>'6-A. Proc. Sub-Annex'!P74</f>
        <v>For establishing DPHL at District Solan and Kullu</v>
      </c>
      <c r="Q9" s="54" t="s">
        <v>5687</v>
      </c>
      <c r="R9" s="1966">
        <v>0</v>
      </c>
    </row>
    <row r="10" spans="1:18" ht="45">
      <c r="A10" s="4096"/>
      <c r="B10" s="858"/>
      <c r="C10" s="88" t="str">
        <f>'6-A. Proc. Sub-Annex'!C75</f>
        <v>Any other equipment (please specify)</v>
      </c>
      <c r="D10" s="158" t="str">
        <f>'6-A. Proc. Sub-Annex'!D75</f>
        <v>NDCP</v>
      </c>
      <c r="E10" s="158" t="str">
        <f>'6-A. Proc. Sub-Annex'!E75</f>
        <v>IDSP</v>
      </c>
      <c r="F10" s="158">
        <f>'6-A. Proc. Sub-Annex'!F75</f>
        <v>0</v>
      </c>
      <c r="G10" s="158">
        <f>'6-A. Proc. Sub-Annex'!G75</f>
        <v>0</v>
      </c>
      <c r="H10" s="158">
        <f>'6-A. Proc. Sub-Annex'!H75</f>
        <v>0</v>
      </c>
      <c r="I10" s="158">
        <f>'6-A. Proc. Sub-Annex'!I75</f>
        <v>0</v>
      </c>
      <c r="J10" s="158">
        <f>'6-A. Proc. Sub-Annex'!J75</f>
        <v>0</v>
      </c>
      <c r="K10" s="158">
        <f>'6-A. Proc. Sub-Annex'!K75</f>
        <v>0</v>
      </c>
      <c r="L10" s="158">
        <f>'6-A. Proc. Sub-Annex'!L75</f>
        <v>0</v>
      </c>
      <c r="M10" s="162">
        <f>'6-A. Proc. Sub-Annex'!M75</f>
        <v>0</v>
      </c>
      <c r="N10" s="158">
        <f>'6-A. Proc. Sub-Annex'!N75</f>
        <v>0</v>
      </c>
      <c r="O10" s="162">
        <f>'6-A. Proc. Sub-Annex'!O75</f>
        <v>0</v>
      </c>
      <c r="P10" s="88" t="str">
        <f>'6-A. Proc. Sub-Annex'!P75</f>
        <v>1. All tests will be made available free of cost for all categories of patients.</v>
      </c>
      <c r="Q10" s="54"/>
      <c r="R10" s="1966"/>
    </row>
    <row r="11" spans="1:18" ht="30">
      <c r="A11" s="858" t="str">
        <f>'6.Procurement Annex'!A48</f>
        <v>6.1.6.2</v>
      </c>
      <c r="B11" s="858" t="str">
        <f>'6-A. Proc. Sub-Annex'!B138</f>
        <v>E.3.3</v>
      </c>
      <c r="C11" s="88" t="str">
        <f>'6-A. Proc. Sub-Annex'!C138</f>
        <v>Equipment AMC cost (DPHL)</v>
      </c>
      <c r="D11" s="158" t="str">
        <f>'6-A. Proc. Sub-Annex'!D138</f>
        <v>NDCP</v>
      </c>
      <c r="E11" s="158" t="str">
        <f>'6-A. Proc. Sub-Annex'!E138</f>
        <v>IDSP</v>
      </c>
      <c r="F11" s="158">
        <f>'6-A. Proc. Sub-Annex'!F138</f>
        <v>0</v>
      </c>
      <c r="G11" s="158">
        <f>'6-A. Proc. Sub-Annex'!G138</f>
        <v>0</v>
      </c>
      <c r="H11" s="158">
        <f>'6-A. Proc. Sub-Annex'!H138</f>
        <v>0</v>
      </c>
      <c r="I11" s="158">
        <f>'6-A. Proc. Sub-Annex'!I138</f>
        <v>0</v>
      </c>
      <c r="J11" s="158">
        <f>'6-A. Proc. Sub-Annex'!J138</f>
        <v>0</v>
      </c>
      <c r="K11" s="158">
        <f>'6-A. Proc. Sub-Annex'!K138</f>
        <v>0</v>
      </c>
      <c r="L11" s="158">
        <f>'6-A. Proc. Sub-Annex'!L138</f>
        <v>0</v>
      </c>
      <c r="M11" s="162">
        <f>'6-A. Proc. Sub-Annex'!M138</f>
        <v>0</v>
      </c>
      <c r="N11" s="158">
        <f>'6-A. Proc. Sub-Annex'!N138</f>
        <v>0</v>
      </c>
      <c r="O11" s="162">
        <f>'6-A. Proc. Sub-Annex'!O138</f>
        <v>0</v>
      </c>
      <c r="P11" s="88">
        <f>'6-A. Proc. Sub-Annex'!P138</f>
        <v>0</v>
      </c>
      <c r="Q11" s="54"/>
      <c r="R11" s="1966"/>
    </row>
    <row r="12" spans="1:18">
      <c r="A12" s="784">
        <f>'9.Training Annex'!A7</f>
        <v>9</v>
      </c>
      <c r="B12" s="784"/>
      <c r="C12" s="784" t="str">
        <f>'9.Training Annex'!C7</f>
        <v>Training and Capacity Building</v>
      </c>
      <c r="D12" s="785"/>
      <c r="E12" s="785"/>
      <c r="F12" s="785"/>
      <c r="G12" s="785"/>
      <c r="H12" s="547"/>
      <c r="I12" s="785"/>
      <c r="J12" s="547"/>
      <c r="K12" s="784"/>
      <c r="L12" s="784"/>
      <c r="M12" s="547"/>
      <c r="N12" s="1997"/>
      <c r="O12" s="1957">
        <f>SUM(O13:O21)</f>
        <v>9.8453100000000013</v>
      </c>
      <c r="P12" s="1953"/>
      <c r="Q12" s="2092"/>
      <c r="R12" s="1965">
        <f>SUM(R13:R21)</f>
        <v>9.85</v>
      </c>
    </row>
    <row r="13" spans="1:18" ht="30">
      <c r="A13" s="4094" t="str">
        <f>'9.Training Annex'!A47</f>
        <v>9.2.3.1</v>
      </c>
      <c r="B13" s="858" t="str">
        <f>'9-A.Training Sub-Annex'!B210</f>
        <v>E.2.1</v>
      </c>
      <c r="C13" s="88" t="str">
        <f>'9-A.Training Sub-Annex'!C210</f>
        <v>Medical Officers (1 day)</v>
      </c>
      <c r="D13" s="158" t="str">
        <f>'9-A.Training Sub-Annex'!D210</f>
        <v>NDCP</v>
      </c>
      <c r="E13" s="158" t="str">
        <f>'9-A.Training Sub-Annex'!E210</f>
        <v>IDSP</v>
      </c>
      <c r="F13" s="158">
        <f>'9-A.Training Sub-Annex'!F210</f>
        <v>3</v>
      </c>
      <c r="G13" s="158">
        <f>'9-A.Training Sub-Annex'!G210</f>
        <v>1</v>
      </c>
      <c r="H13" s="158">
        <f>'9-A.Training Sub-Annex'!H210</f>
        <v>1.71</v>
      </c>
      <c r="I13" s="158">
        <f>'9-A.Training Sub-Annex'!I210</f>
        <v>0.15</v>
      </c>
      <c r="J13" s="158">
        <f>'9-A.Training Sub-Annex'!J210</f>
        <v>1</v>
      </c>
      <c r="K13" s="158">
        <f>'9-A.Training Sub-Annex'!K210</f>
        <v>5</v>
      </c>
      <c r="L13" s="158">
        <f>'9-A.Training Sub-Annex'!L210</f>
        <v>57145</v>
      </c>
      <c r="M13" s="162">
        <f>'9-A.Training Sub-Annex'!M210</f>
        <v>0.57145000000000001</v>
      </c>
      <c r="N13" s="158">
        <f>'9-A.Training Sub-Annex'!N210</f>
        <v>5</v>
      </c>
      <c r="O13" s="162">
        <f>'9-A.Training Sub-Annex'!O210</f>
        <v>2.8572500000000001</v>
      </c>
      <c r="P13" s="88">
        <f>'9-A.Training Sub-Annex'!P210</f>
        <v>0</v>
      </c>
      <c r="Q13" s="54" t="s">
        <v>5688</v>
      </c>
      <c r="R13" s="1966">
        <v>2.86</v>
      </c>
    </row>
    <row r="14" spans="1:18" ht="30">
      <c r="A14" s="4094"/>
      <c r="B14" s="858" t="str">
        <f>'9-A.Training Sub-Annex'!B211</f>
        <v>E.2.2</v>
      </c>
      <c r="C14" s="88" t="str">
        <f>'9-A.Training Sub-Annex'!C211</f>
        <v>Medical College Doctors (1 day)</v>
      </c>
      <c r="D14" s="158" t="str">
        <f>'9-A.Training Sub-Annex'!D211</f>
        <v>NDCP</v>
      </c>
      <c r="E14" s="158" t="str">
        <f>'9-A.Training Sub-Annex'!E211</f>
        <v>IDSP</v>
      </c>
      <c r="F14" s="158">
        <f>'9-A.Training Sub-Annex'!F211</f>
        <v>0</v>
      </c>
      <c r="G14" s="158">
        <f>'9-A.Training Sub-Annex'!G211</f>
        <v>0</v>
      </c>
      <c r="H14" s="158">
        <f>'9-A.Training Sub-Annex'!H211</f>
        <v>0</v>
      </c>
      <c r="I14" s="158">
        <f>'9-A.Training Sub-Annex'!I211</f>
        <v>0</v>
      </c>
      <c r="J14" s="158">
        <f>'9-A.Training Sub-Annex'!J211</f>
        <v>0</v>
      </c>
      <c r="K14" s="158">
        <f>'9-A.Training Sub-Annex'!K211</f>
        <v>0</v>
      </c>
      <c r="L14" s="158">
        <f>'9-A.Training Sub-Annex'!L211</f>
        <v>0</v>
      </c>
      <c r="M14" s="162">
        <f>'9-A.Training Sub-Annex'!M211</f>
        <v>0</v>
      </c>
      <c r="N14" s="158">
        <f>'9-A.Training Sub-Annex'!N211</f>
        <v>0</v>
      </c>
      <c r="O14" s="162">
        <f>'9-A.Training Sub-Annex'!O211</f>
        <v>0</v>
      </c>
      <c r="P14" s="88">
        <f>'9-A.Training Sub-Annex'!P211</f>
        <v>0</v>
      </c>
      <c r="Q14" s="54"/>
      <c r="R14" s="1966"/>
    </row>
    <row r="15" spans="1:18" ht="30">
      <c r="A15" s="4094"/>
      <c r="B15" s="858" t="str">
        <f>'9-A.Training Sub-Annex'!B212</f>
        <v>E.2.3</v>
      </c>
      <c r="C15" s="88" t="str">
        <f>'9-A.Training Sub-Annex'!C212</f>
        <v>Hospital Pharmacists/Nurses Training (1 day)</v>
      </c>
      <c r="D15" s="158" t="str">
        <f>'9-A.Training Sub-Annex'!D212</f>
        <v>NDCP</v>
      </c>
      <c r="E15" s="158" t="str">
        <f>'9-A.Training Sub-Annex'!E212</f>
        <v>IDSP</v>
      </c>
      <c r="F15" s="158">
        <f>'9-A.Training Sub-Annex'!F212</f>
        <v>3</v>
      </c>
      <c r="G15" s="158">
        <f>'9-A.Training Sub-Annex'!G212</f>
        <v>0</v>
      </c>
      <c r="H15" s="158">
        <f>'9-A.Training Sub-Annex'!H212</f>
        <v>1.23</v>
      </c>
      <c r="I15" s="158">
        <f>'9-A.Training Sub-Annex'!I212</f>
        <v>0</v>
      </c>
      <c r="J15" s="158">
        <f>'9-A.Training Sub-Annex'!J212</f>
        <v>0.5</v>
      </c>
      <c r="K15" s="158">
        <f>'9-A.Training Sub-Annex'!K212</f>
        <v>5</v>
      </c>
      <c r="L15" s="158">
        <f>'9-A.Training Sub-Annex'!L212</f>
        <v>41114</v>
      </c>
      <c r="M15" s="162">
        <f>'9-A.Training Sub-Annex'!M212</f>
        <v>0.41114000000000001</v>
      </c>
      <c r="N15" s="158">
        <f>'9-A.Training Sub-Annex'!N212</f>
        <v>5</v>
      </c>
      <c r="O15" s="162">
        <f>'9-A.Training Sub-Annex'!O212</f>
        <v>2.0556999999999999</v>
      </c>
      <c r="P15" s="88">
        <f>'9-A.Training Sub-Annex'!P212</f>
        <v>0</v>
      </c>
      <c r="Q15" s="54" t="s">
        <v>5688</v>
      </c>
      <c r="R15" s="1966">
        <v>2.06</v>
      </c>
    </row>
    <row r="16" spans="1:18" ht="30">
      <c r="A16" s="4094"/>
      <c r="B16" s="858" t="str">
        <f>'9-A.Training Sub-Annex'!B213</f>
        <v>E.2.4</v>
      </c>
      <c r="C16" s="88" t="str">
        <f>'9-A.Training Sub-Annex'!C213</f>
        <v>Lab. Technician (3 days)</v>
      </c>
      <c r="D16" s="158" t="str">
        <f>'9-A.Training Sub-Annex'!D213</f>
        <v>NDCP</v>
      </c>
      <c r="E16" s="158" t="str">
        <f>'9-A.Training Sub-Annex'!E213</f>
        <v>IDSP</v>
      </c>
      <c r="F16" s="158">
        <f>'9-A.Training Sub-Annex'!F213</f>
        <v>3</v>
      </c>
      <c r="G16" s="158">
        <f>'9-A.Training Sub-Annex'!G213</f>
        <v>0</v>
      </c>
      <c r="H16" s="158">
        <f>'9-A.Training Sub-Annex'!H213</f>
        <v>1.23</v>
      </c>
      <c r="I16" s="158">
        <f>'9-A.Training Sub-Annex'!I213</f>
        <v>0</v>
      </c>
      <c r="J16" s="158">
        <f>'9-A.Training Sub-Annex'!J213</f>
        <v>0.5</v>
      </c>
      <c r="K16" s="158">
        <f>'9-A.Training Sub-Annex'!K213</f>
        <v>0</v>
      </c>
      <c r="L16" s="158">
        <f>'9-A.Training Sub-Annex'!L213</f>
        <v>0</v>
      </c>
      <c r="M16" s="162">
        <f>'9-A.Training Sub-Annex'!M213</f>
        <v>0</v>
      </c>
      <c r="N16" s="158">
        <f>'9-A.Training Sub-Annex'!N213</f>
        <v>0</v>
      </c>
      <c r="O16" s="162">
        <f>'9-A.Training Sub-Annex'!O213</f>
        <v>0</v>
      </c>
      <c r="P16" s="88">
        <f>'9-A.Training Sub-Annex'!P213</f>
        <v>0</v>
      </c>
      <c r="Q16" s="54"/>
      <c r="R16" s="1966"/>
    </row>
    <row r="17" spans="1:18" ht="30">
      <c r="A17" s="4094"/>
      <c r="B17" s="858" t="str">
        <f>'9-A.Training Sub-Annex'!B214</f>
        <v>E.2.5</v>
      </c>
      <c r="C17" s="88" t="str">
        <f>'9-A.Training Sub-Annex'!C214</f>
        <v>Data Managers (2days)</v>
      </c>
      <c r="D17" s="158" t="str">
        <f>'9-A.Training Sub-Annex'!D214</f>
        <v>NDCP</v>
      </c>
      <c r="E17" s="158" t="str">
        <f>'9-A.Training Sub-Annex'!E214</f>
        <v>IDSP</v>
      </c>
      <c r="F17" s="158">
        <f>'9-A.Training Sub-Annex'!F214</f>
        <v>0</v>
      </c>
      <c r="G17" s="158">
        <f>'9-A.Training Sub-Annex'!G214</f>
        <v>0</v>
      </c>
      <c r="H17" s="158">
        <f>'9-A.Training Sub-Annex'!H214</f>
        <v>0</v>
      </c>
      <c r="I17" s="158">
        <f>'9-A.Training Sub-Annex'!I214</f>
        <v>0</v>
      </c>
      <c r="J17" s="158">
        <f>'9-A.Training Sub-Annex'!J214</f>
        <v>0</v>
      </c>
      <c r="K17" s="158">
        <f>'9-A.Training Sub-Annex'!K214</f>
        <v>0</v>
      </c>
      <c r="L17" s="158">
        <f>'9-A.Training Sub-Annex'!L214</f>
        <v>0</v>
      </c>
      <c r="M17" s="162">
        <f>'9-A.Training Sub-Annex'!M214</f>
        <v>0</v>
      </c>
      <c r="N17" s="158">
        <f>'9-A.Training Sub-Annex'!N214</f>
        <v>0</v>
      </c>
      <c r="O17" s="162">
        <f>'9-A.Training Sub-Annex'!O214</f>
        <v>0</v>
      </c>
      <c r="P17" s="88">
        <f>'9-A.Training Sub-Annex'!P214</f>
        <v>0</v>
      </c>
      <c r="Q17" s="54"/>
      <c r="R17" s="1966"/>
    </row>
    <row r="18" spans="1:18" ht="30">
      <c r="A18" s="4094"/>
      <c r="B18" s="858" t="str">
        <f>'9-A.Training Sub-Annex'!B215</f>
        <v>E.2.6</v>
      </c>
      <c r="C18" s="88" t="str">
        <f>'9-A.Training Sub-Annex'!C215</f>
        <v>Date Entry Operators cum Accountant (2 days)</v>
      </c>
      <c r="D18" s="158" t="str">
        <f>'9-A.Training Sub-Annex'!D215</f>
        <v>NDCP</v>
      </c>
      <c r="E18" s="158" t="str">
        <f>'9-A.Training Sub-Annex'!E215</f>
        <v>IDSP</v>
      </c>
      <c r="F18" s="158">
        <f>'9-A.Training Sub-Annex'!F215</f>
        <v>1</v>
      </c>
      <c r="G18" s="158">
        <f>'9-A.Training Sub-Annex'!G215</f>
        <v>0</v>
      </c>
      <c r="H18" s="158">
        <f>'9-A.Training Sub-Annex'!H215</f>
        <v>0.93</v>
      </c>
      <c r="I18" s="158">
        <f>'9-A.Training Sub-Annex'!I215</f>
        <v>0</v>
      </c>
      <c r="J18" s="158">
        <f>'9-A.Training Sub-Annex'!J215</f>
        <v>0.5</v>
      </c>
      <c r="K18" s="158">
        <f>'9-A.Training Sub-Annex'!K215</f>
        <v>0</v>
      </c>
      <c r="L18" s="158">
        <f>'9-A.Training Sub-Annex'!L215</f>
        <v>0</v>
      </c>
      <c r="M18" s="162">
        <f>'9-A.Training Sub-Annex'!M215</f>
        <v>0</v>
      </c>
      <c r="N18" s="158">
        <f>'9-A.Training Sub-Annex'!N215</f>
        <v>0</v>
      </c>
      <c r="O18" s="162">
        <f>'9-A.Training Sub-Annex'!O215</f>
        <v>0</v>
      </c>
      <c r="P18" s="88">
        <f>'9-A.Training Sub-Annex'!P215</f>
        <v>0</v>
      </c>
      <c r="Q18" s="54"/>
      <c r="R18" s="1966"/>
    </row>
    <row r="19" spans="1:18" ht="30">
      <c r="A19" s="4094"/>
      <c r="B19" s="858" t="str">
        <f>'9-A.Training Sub-Annex'!B216</f>
        <v>E.2.7</v>
      </c>
      <c r="C19" s="88" t="str">
        <f>'9-A.Training Sub-Annex'!C216</f>
        <v>ASHA &amp; MPWs, AWW &amp; Community volunteers (1 day)</v>
      </c>
      <c r="D19" s="158" t="str">
        <f>'9-A.Training Sub-Annex'!D216</f>
        <v>NDCP</v>
      </c>
      <c r="E19" s="158" t="str">
        <f>'9-A.Training Sub-Annex'!E216</f>
        <v>IDSP</v>
      </c>
      <c r="F19" s="158">
        <f>'9-A.Training Sub-Annex'!F216</f>
        <v>10</v>
      </c>
      <c r="G19" s="158">
        <f>'9-A.Training Sub-Annex'!G216</f>
        <v>0</v>
      </c>
      <c r="H19" s="158">
        <f>'9-A.Training Sub-Annex'!H216</f>
        <v>4.1100000000000003</v>
      </c>
      <c r="I19" s="158">
        <f>'9-A.Training Sub-Annex'!I216</f>
        <v>0</v>
      </c>
      <c r="J19" s="158">
        <f>'9-A.Training Sub-Annex'!J216</f>
        <v>2</v>
      </c>
      <c r="K19" s="158">
        <f>'9-A.Training Sub-Annex'!K216</f>
        <v>12</v>
      </c>
      <c r="L19" s="158">
        <f>'9-A.Training Sub-Annex'!L216</f>
        <v>41103</v>
      </c>
      <c r="M19" s="162">
        <f>'9-A.Training Sub-Annex'!M216</f>
        <v>0.41103000000000001</v>
      </c>
      <c r="N19" s="158">
        <f>'9-A.Training Sub-Annex'!N216</f>
        <v>12</v>
      </c>
      <c r="O19" s="162">
        <f>'9-A.Training Sub-Annex'!O216</f>
        <v>4.9323600000000001</v>
      </c>
      <c r="P19" s="88">
        <f>'9-A.Training Sub-Annex'!P216</f>
        <v>0</v>
      </c>
      <c r="Q19" s="54" t="s">
        <v>5688</v>
      </c>
      <c r="R19" s="1966">
        <v>4.93</v>
      </c>
    </row>
    <row r="20" spans="1:18" ht="30">
      <c r="A20" s="4094"/>
      <c r="B20" s="858" t="str">
        <f>'9-A.Training Sub-Annex'!B217</f>
        <v>E.2.8</v>
      </c>
      <c r="C20" s="88" t="str">
        <f>'9-A.Training Sub-Annex'!C217</f>
        <v>One day training for Data entry and analysis for Block Health Team (including Block Programme Manager)</v>
      </c>
      <c r="D20" s="158" t="str">
        <f>'9-A.Training Sub-Annex'!D217</f>
        <v>NDCP</v>
      </c>
      <c r="E20" s="158" t="str">
        <f>'9-A.Training Sub-Annex'!E217</f>
        <v>IDSP</v>
      </c>
      <c r="F20" s="158">
        <f>'9-A.Training Sub-Annex'!F217</f>
        <v>2</v>
      </c>
      <c r="G20" s="158">
        <f>'9-A.Training Sub-Annex'!G217</f>
        <v>0</v>
      </c>
      <c r="H20" s="158">
        <f>'9-A.Training Sub-Annex'!H217</f>
        <v>0.82</v>
      </c>
      <c r="I20" s="158">
        <f>'9-A.Training Sub-Annex'!I217</f>
        <v>0</v>
      </c>
      <c r="J20" s="158">
        <f>'9-A.Training Sub-Annex'!J217</f>
        <v>0.82</v>
      </c>
      <c r="K20" s="158">
        <f>'9-A.Training Sub-Annex'!K217</f>
        <v>0</v>
      </c>
      <c r="L20" s="158">
        <f>'9-A.Training Sub-Annex'!L217</f>
        <v>0</v>
      </c>
      <c r="M20" s="162">
        <f>'9-A.Training Sub-Annex'!M217</f>
        <v>0</v>
      </c>
      <c r="N20" s="158">
        <f>'9-A.Training Sub-Annex'!N217</f>
        <v>0</v>
      </c>
      <c r="O20" s="162">
        <f>'9-A.Training Sub-Annex'!O217</f>
        <v>0</v>
      </c>
      <c r="P20" s="88">
        <f>'9-A.Training Sub-Annex'!P217</f>
        <v>0</v>
      </c>
      <c r="Q20" s="54"/>
      <c r="R20" s="1966"/>
    </row>
    <row r="21" spans="1:18" ht="30">
      <c r="A21" s="4094"/>
      <c r="B21" s="858" t="str">
        <f>'9-A.Training Sub-Annex'!B218</f>
        <v>E.2.10</v>
      </c>
      <c r="C21" s="88" t="str">
        <f>'9-A.Training Sub-Annex'!C218</f>
        <v>Any other (please specify)</v>
      </c>
      <c r="D21" s="158" t="str">
        <f>'9-A.Training Sub-Annex'!D218</f>
        <v>NDCP</v>
      </c>
      <c r="E21" s="158" t="str">
        <f>'9-A.Training Sub-Annex'!E218</f>
        <v>IDSP</v>
      </c>
      <c r="F21" s="158">
        <f>'9-A.Training Sub-Annex'!F218</f>
        <v>0</v>
      </c>
      <c r="G21" s="158">
        <f>'9-A.Training Sub-Annex'!G218</f>
        <v>0</v>
      </c>
      <c r="H21" s="158">
        <f>'9-A.Training Sub-Annex'!H218</f>
        <v>0</v>
      </c>
      <c r="I21" s="158">
        <f>'9-A.Training Sub-Annex'!I218</f>
        <v>0</v>
      </c>
      <c r="J21" s="158">
        <f>'9-A.Training Sub-Annex'!J218</f>
        <v>0</v>
      </c>
      <c r="K21" s="158">
        <f>'9-A.Training Sub-Annex'!K218</f>
        <v>0</v>
      </c>
      <c r="L21" s="158">
        <f>'9-A.Training Sub-Annex'!L218</f>
        <v>0</v>
      </c>
      <c r="M21" s="162">
        <f>'9-A.Training Sub-Annex'!M218</f>
        <v>0</v>
      </c>
      <c r="N21" s="158">
        <f>'9-A.Training Sub-Annex'!N218</f>
        <v>0</v>
      </c>
      <c r="O21" s="162">
        <f>'9-A.Training Sub-Annex'!O218</f>
        <v>0</v>
      </c>
      <c r="P21" s="88">
        <f>'9-A.Training Sub-Annex'!P218</f>
        <v>0</v>
      </c>
      <c r="Q21" s="54"/>
      <c r="R21" s="1966"/>
    </row>
    <row r="22" spans="1:18">
      <c r="A22" s="784">
        <f>'10.Review Research &amp; Surveillen'!A7</f>
        <v>10</v>
      </c>
      <c r="B22" s="784"/>
      <c r="C22" s="784" t="str">
        <f>'10.Review Research &amp; Surveillen'!C7</f>
        <v>Reviews, Research, Surveys and Surveillance</v>
      </c>
      <c r="D22" s="785"/>
      <c r="E22" s="785"/>
      <c r="F22" s="785"/>
      <c r="G22" s="785"/>
      <c r="H22" s="547"/>
      <c r="I22" s="785"/>
      <c r="J22" s="547"/>
      <c r="K22" s="784"/>
      <c r="L22" s="784"/>
      <c r="M22" s="547"/>
      <c r="N22" s="1997"/>
      <c r="O22" s="1957">
        <f>SUM(O23:O26)</f>
        <v>34</v>
      </c>
      <c r="P22" s="1953"/>
      <c r="Q22" s="2092"/>
      <c r="R22" s="1965">
        <f>SUM(R23:R26)</f>
        <v>22</v>
      </c>
    </row>
    <row r="23" spans="1:18" ht="75">
      <c r="A23" s="858" t="str">
        <f>'10.Review Research &amp; Surveillen'!A49</f>
        <v>10.4.2</v>
      </c>
      <c r="B23" s="858" t="str">
        <f>'10.Review Research &amp; Surveillen'!B49</f>
        <v>E.3.2</v>
      </c>
      <c r="C23" s="88" t="str">
        <f>'10.Review Research &amp; Surveillen'!C49</f>
        <v>Recurring costs on account of Consumables, kits, communication, misc. expenses etc. at each  district public health lab (applicable only for functional labs having requisite manpower)</v>
      </c>
      <c r="D23" s="158" t="str">
        <f>'10.Review Research &amp; Surveillen'!D49</f>
        <v>NDCP</v>
      </c>
      <c r="E23" s="158" t="str">
        <f>'10.Review Research &amp; Surveillen'!E49</f>
        <v>IDSP</v>
      </c>
      <c r="F23" s="158">
        <f>'10.Review Research &amp; Surveillen'!F49</f>
        <v>6</v>
      </c>
      <c r="G23" s="158">
        <f>'10.Review Research &amp; Surveillen'!G49</f>
        <v>0</v>
      </c>
      <c r="H23" s="158">
        <f>'10.Review Research &amp; Surveillen'!H49</f>
        <v>10</v>
      </c>
      <c r="I23" s="158">
        <f>'10.Review Research &amp; Surveillen'!I49</f>
        <v>0</v>
      </c>
      <c r="J23" s="158">
        <f>'10.Review Research &amp; Surveillen'!J49</f>
        <v>5</v>
      </c>
      <c r="K23" s="158">
        <f>'10.Review Research &amp; Surveillen'!K49</f>
        <v>6</v>
      </c>
      <c r="L23" s="158">
        <f>'10.Review Research &amp; Surveillen'!L49</f>
        <v>200000</v>
      </c>
      <c r="M23" s="162">
        <f>'10.Review Research &amp; Surveillen'!M49</f>
        <v>2</v>
      </c>
      <c r="N23" s="158">
        <f>'10.Review Research &amp; Surveillen'!N49</f>
        <v>2</v>
      </c>
      <c r="O23" s="162">
        <f>'10.Review Research &amp; Surveillen'!O49</f>
        <v>4</v>
      </c>
      <c r="P23" s="88" t="str">
        <f>'10.Review Research &amp; Surveillen'!P49</f>
        <v xml:space="preserve">2 District Public Health Laboratories (District Bilaspur, Mandi) </v>
      </c>
      <c r="Q23" s="54" t="s">
        <v>5689</v>
      </c>
      <c r="R23" s="1966">
        <v>4</v>
      </c>
    </row>
    <row r="24" spans="1:18" ht="105">
      <c r="A24" s="858" t="str">
        <f>'10.Review Research &amp; Surveillen'!A50</f>
        <v>10.4.3</v>
      </c>
      <c r="B24" s="858" t="str">
        <f>'10.Review Research &amp; Surveillen'!B50</f>
        <v>E.3.4</v>
      </c>
      <c r="C24" s="88" t="str">
        <f>'10.Review Research &amp; Surveillen'!C50</f>
        <v>Referral Network of laboratories (Govt. Medical College labs) Reimbursement based payment for laboratory tests (to be calculated for already approved labs in previous PIPs of States for corresponding next years)</v>
      </c>
      <c r="D24" s="158" t="str">
        <f>'10.Review Research &amp; Surveillen'!D50</f>
        <v>NDCP</v>
      </c>
      <c r="E24" s="158" t="str">
        <f>'10.Review Research &amp; Surveillen'!E50</f>
        <v>IDSP</v>
      </c>
      <c r="F24" s="158">
        <f>'10.Review Research &amp; Surveillen'!F50</f>
        <v>2</v>
      </c>
      <c r="G24" s="158">
        <f>'10.Review Research &amp; Surveillen'!G50</f>
        <v>0</v>
      </c>
      <c r="H24" s="158">
        <f>'10.Review Research &amp; Surveillen'!H50</f>
        <v>4</v>
      </c>
      <c r="I24" s="158">
        <f>'10.Review Research &amp; Surveillen'!I50</f>
        <v>0</v>
      </c>
      <c r="J24" s="158">
        <f>'10.Review Research &amp; Surveillen'!J50</f>
        <v>2</v>
      </c>
      <c r="K24" s="158">
        <f>'10.Review Research &amp; Surveillen'!K50</f>
        <v>0</v>
      </c>
      <c r="L24" s="158">
        <f>'10.Review Research &amp; Surveillen'!L50</f>
        <v>500000</v>
      </c>
      <c r="M24" s="162">
        <f>'10.Review Research &amp; Surveillen'!M50</f>
        <v>5</v>
      </c>
      <c r="N24" s="158">
        <f>'10.Review Research &amp; Surveillen'!N50</f>
        <v>6</v>
      </c>
      <c r="O24" s="162">
        <f>'10.Review Research &amp; Surveillen'!O50</f>
        <v>30</v>
      </c>
      <c r="P24" s="88" t="str">
        <f>'10.Review Research &amp; Surveillen'!P50</f>
        <v>IGMC Shimla, Dr. RPGMC Tanda, YSP Nahan, Pt. JLNGMC Chamba, Hamirpur, Nerchowk</v>
      </c>
      <c r="Q24" s="54" t="s">
        <v>5690</v>
      </c>
      <c r="R24" s="1966">
        <v>18</v>
      </c>
    </row>
    <row r="25" spans="1:18" ht="30">
      <c r="A25" s="858" t="str">
        <f>'10.Review Research &amp; Surveillen'!A51</f>
        <v>10.4.4</v>
      </c>
      <c r="B25" s="858" t="str">
        <f>'10.Review Research &amp; Surveillen'!B51</f>
        <v>E.3.5</v>
      </c>
      <c r="C25" s="88" t="str">
        <f>'10.Review Research &amp; Surveillen'!C51</f>
        <v xml:space="preserve">Expenses on account of consumables, operating expenses, office expenses, transport of samples, miscellaneous etc.    </v>
      </c>
      <c r="D25" s="158" t="str">
        <f>'10.Review Research &amp; Surveillen'!D51</f>
        <v>NDCP</v>
      </c>
      <c r="E25" s="158" t="str">
        <f>'10.Review Research &amp; Surveillen'!E51</f>
        <v>IDSP</v>
      </c>
      <c r="F25" s="158">
        <f>'10.Review Research &amp; Surveillen'!F51</f>
        <v>0</v>
      </c>
      <c r="G25" s="158">
        <f>'10.Review Research &amp; Surveillen'!G51</f>
        <v>0</v>
      </c>
      <c r="H25" s="158">
        <f>'10.Review Research &amp; Surveillen'!H51</f>
        <v>0</v>
      </c>
      <c r="I25" s="158">
        <f>'10.Review Research &amp; Surveillen'!I51</f>
        <v>0</v>
      </c>
      <c r="J25" s="158">
        <f>'10.Review Research &amp; Surveillen'!J51</f>
        <v>0</v>
      </c>
      <c r="K25" s="158">
        <f>'10.Review Research &amp; Surveillen'!K51</f>
        <v>0</v>
      </c>
      <c r="L25" s="158">
        <f>'10.Review Research &amp; Surveillen'!L51</f>
        <v>0</v>
      </c>
      <c r="M25" s="162">
        <f>'10.Review Research &amp; Surveillen'!M51</f>
        <v>0</v>
      </c>
      <c r="N25" s="158">
        <f>'10.Review Research &amp; Surveillen'!N51</f>
        <v>0</v>
      </c>
      <c r="O25" s="162">
        <f>'10.Review Research &amp; Surveillen'!O51</f>
        <v>0</v>
      </c>
      <c r="P25" s="88">
        <f>'10.Review Research &amp; Surveillen'!P51</f>
        <v>0</v>
      </c>
      <c r="Q25" s="54"/>
      <c r="R25" s="1966"/>
    </row>
    <row r="26" spans="1:18" ht="30">
      <c r="A26" s="858" t="str">
        <f>'10.Review Research &amp; Surveillen'!A52</f>
        <v>10.4.5</v>
      </c>
      <c r="B26" s="858" t="str">
        <f>'10.Review Research &amp; Surveillen'!B52</f>
        <v>E.5.1</v>
      </c>
      <c r="C26" s="88" t="str">
        <f>'10.Review Research &amp; Surveillen'!C52</f>
        <v>Costs on Account of newly formed districts</v>
      </c>
      <c r="D26" s="158" t="str">
        <f>'10.Review Research &amp; Surveillen'!D52</f>
        <v>NDCP</v>
      </c>
      <c r="E26" s="158" t="str">
        <f>'10.Review Research &amp; Surveillen'!E52</f>
        <v>IDSP</v>
      </c>
      <c r="F26" s="158">
        <f>'10.Review Research &amp; Surveillen'!F52</f>
        <v>0</v>
      </c>
      <c r="G26" s="158">
        <f>'10.Review Research &amp; Surveillen'!G52</f>
        <v>0</v>
      </c>
      <c r="H26" s="158">
        <f>'10.Review Research &amp; Surveillen'!H52</f>
        <v>0</v>
      </c>
      <c r="I26" s="158">
        <f>'10.Review Research &amp; Surveillen'!I52</f>
        <v>0</v>
      </c>
      <c r="J26" s="158">
        <f>'10.Review Research &amp; Surveillen'!J52</f>
        <v>0</v>
      </c>
      <c r="K26" s="158">
        <f>'10.Review Research &amp; Surveillen'!K52</f>
        <v>0</v>
      </c>
      <c r="L26" s="158">
        <f>'10.Review Research &amp; Surveillen'!L52</f>
        <v>0</v>
      </c>
      <c r="M26" s="162">
        <f>'10.Review Research &amp; Surveillen'!M52</f>
        <v>0</v>
      </c>
      <c r="N26" s="158">
        <f>'10.Review Research &amp; Surveillen'!N52</f>
        <v>0</v>
      </c>
      <c r="O26" s="162">
        <f>'10.Review Research &amp; Surveillen'!O52</f>
        <v>0</v>
      </c>
      <c r="P26" s="88">
        <f>'10.Review Research &amp; Surveillen'!P52</f>
        <v>0</v>
      </c>
      <c r="Q26" s="54"/>
      <c r="R26" s="1966"/>
    </row>
    <row r="27" spans="1:18">
      <c r="A27" s="784">
        <f>'12.Printing Annex'!A7</f>
        <v>12</v>
      </c>
      <c r="B27" s="784"/>
      <c r="C27" s="784" t="str">
        <f>'12.Printing Annex'!C7</f>
        <v>Printing</v>
      </c>
      <c r="D27" s="785"/>
      <c r="E27" s="785"/>
      <c r="F27" s="785"/>
      <c r="G27" s="785"/>
      <c r="H27" s="547"/>
      <c r="I27" s="785"/>
      <c r="J27" s="547"/>
      <c r="K27" s="784"/>
      <c r="L27" s="784"/>
      <c r="M27" s="547"/>
      <c r="N27" s="1997"/>
      <c r="O27" s="1957">
        <f>O28</f>
        <v>0</v>
      </c>
      <c r="P27" s="1953"/>
      <c r="Q27" s="2092"/>
      <c r="R27" s="1965">
        <f>R28</f>
        <v>0</v>
      </c>
    </row>
    <row r="28" spans="1:18" ht="14.45" customHeight="1">
      <c r="A28" s="858" t="str">
        <f>'12.Printing Annex'!A30</f>
        <v>12.3.5</v>
      </c>
      <c r="B28" s="858">
        <f>'12-A. Print Sub-Annex'!B88</f>
        <v>0</v>
      </c>
      <c r="C28" s="858" t="str">
        <f>'12-A. Print Sub-Annex'!C88</f>
        <v>Printing activities under IDSP</v>
      </c>
      <c r="D28" s="952" t="str">
        <f>'12-A. Print Sub-Annex'!D88</f>
        <v>NDCP</v>
      </c>
      <c r="E28" s="952" t="str">
        <f>'12-A. Print Sub-Annex'!E88</f>
        <v>IDSP</v>
      </c>
      <c r="F28" s="952">
        <f>'12-A. Print Sub-Annex'!F88</f>
        <v>0</v>
      </c>
      <c r="G28" s="952">
        <f>'12-A. Print Sub-Annex'!G88</f>
        <v>0</v>
      </c>
      <c r="H28" s="952">
        <f>'12-A. Print Sub-Annex'!H88</f>
        <v>0</v>
      </c>
      <c r="I28" s="952">
        <f>'12-A. Print Sub-Annex'!I88</f>
        <v>0</v>
      </c>
      <c r="J28" s="952">
        <f>'12-A. Print Sub-Annex'!J88</f>
        <v>0</v>
      </c>
      <c r="K28" s="952">
        <f>'12-A. Print Sub-Annex'!K88</f>
        <v>0</v>
      </c>
      <c r="L28" s="952">
        <f>'12-A. Print Sub-Annex'!L88</f>
        <v>0</v>
      </c>
      <c r="M28" s="1937">
        <f>'12-A. Print Sub-Annex'!M88</f>
        <v>0</v>
      </c>
      <c r="N28" s="952">
        <f>'12-A. Print Sub-Annex'!N88</f>
        <v>0</v>
      </c>
      <c r="O28" s="1937">
        <f>'12-A. Print Sub-Annex'!O88</f>
        <v>0</v>
      </c>
      <c r="P28" s="858">
        <f>'12-A. Print Sub-Annex'!P88</f>
        <v>0</v>
      </c>
      <c r="Q28" s="54"/>
      <c r="R28" s="1966"/>
    </row>
    <row r="29" spans="1:18" s="2006" customFormat="1">
      <c r="A29" s="1973">
        <f>'16.PM Annex'!A7</f>
        <v>16</v>
      </c>
      <c r="B29" s="1973"/>
      <c r="C29" s="1973" t="str">
        <f>'16.PM Annex'!C7</f>
        <v>Programme Management</v>
      </c>
      <c r="D29" s="877"/>
      <c r="E29" s="877"/>
      <c r="F29" s="2003"/>
      <c r="G29" s="2003"/>
      <c r="H29" s="1972"/>
      <c r="I29" s="2003"/>
      <c r="J29" s="1972"/>
      <c r="K29" s="1973"/>
      <c r="L29" s="1973"/>
      <c r="M29" s="1972"/>
      <c r="N29" s="2004"/>
      <c r="O29" s="2005">
        <f>SUM(O30:O35)</f>
        <v>12</v>
      </c>
      <c r="P29" s="1973"/>
      <c r="Q29" s="731"/>
      <c r="R29" s="2008">
        <f>SUM(R30:R35)</f>
        <v>12</v>
      </c>
    </row>
    <row r="30" spans="1:18" ht="30">
      <c r="A30" s="858" t="str">
        <f>'16-A. PM sub Annex'!A37</f>
        <v>16.1.2.1.16</v>
      </c>
      <c r="B30" s="88" t="e">
        <f>'16-A. PM sub Annex'!#REF!</f>
        <v>#REF!</v>
      </c>
      <c r="C30" s="88" t="str">
        <f>'16-A. PM sub Annex'!C37</f>
        <v xml:space="preserve">IDSP Meetings </v>
      </c>
      <c r="D30" s="158" t="str">
        <f>'16-A. PM sub Annex'!D37</f>
        <v>NDCP</v>
      </c>
      <c r="E30" s="158" t="str">
        <f>'16-A. PM sub Annex'!E37</f>
        <v>HRH&amp;HPIP/IDSP</v>
      </c>
      <c r="F30" s="158">
        <f>'16-A. PM sub Annex'!F37</f>
        <v>13</v>
      </c>
      <c r="G30" s="158">
        <f>'16-A. PM sub Annex'!G37</f>
        <v>0</v>
      </c>
      <c r="H30" s="158">
        <f>'16-A. PM sub Annex'!H37</f>
        <v>1.3</v>
      </c>
      <c r="I30" s="158">
        <f>'16-A. PM sub Annex'!I37</f>
        <v>0.08</v>
      </c>
      <c r="J30" s="158">
        <f>'16-A. PM sub Annex'!J37</f>
        <v>0.5</v>
      </c>
      <c r="K30" s="158">
        <f>'16-A. PM sub Annex'!K37</f>
        <v>0</v>
      </c>
      <c r="L30" s="158">
        <f>'16-A. PM sub Annex'!L37</f>
        <v>0</v>
      </c>
      <c r="M30" s="162">
        <f>'16-A. PM sub Annex'!M37</f>
        <v>0</v>
      </c>
      <c r="N30" s="158">
        <f>'16-A. PM sub Annex'!N37</f>
        <v>0</v>
      </c>
      <c r="O30" s="162">
        <f>'16-A. PM sub Annex'!O37</f>
        <v>0</v>
      </c>
      <c r="P30" s="88">
        <f>'16-A. PM sub Annex'!P37</f>
        <v>0</v>
      </c>
      <c r="Q30" s="54"/>
      <c r="R30" s="1966"/>
    </row>
    <row r="31" spans="1:18" ht="45">
      <c r="A31" s="858" t="str">
        <f>'16-A. PM sub Annex'!A76</f>
        <v>16.1.3.1.7</v>
      </c>
      <c r="B31" s="88" t="e">
        <f>'16-A. PM sub Annex'!#REF!</f>
        <v>#REF!</v>
      </c>
      <c r="C31" s="88" t="str">
        <f>'16-A. PM sub Annex'!C76</f>
        <v xml:space="preserve">MOBILITY: Travel Cost, POL, etc. during outbreak investigations and field visits for monitoring programme activities at SSU on need basis </v>
      </c>
      <c r="D31" s="158" t="str">
        <f>'16-A. PM sub Annex'!D76</f>
        <v>NDCP</v>
      </c>
      <c r="E31" s="158" t="str">
        <f>'16-A. PM sub Annex'!E76</f>
        <v>HRH&amp;HPIP/IDSP</v>
      </c>
      <c r="F31" s="158">
        <f>'16-A. PM sub Annex'!F76</f>
        <v>1</v>
      </c>
      <c r="G31" s="158">
        <f>'16-A. PM sub Annex'!G76</f>
        <v>0</v>
      </c>
      <c r="H31" s="158">
        <f>'16-A. PM sub Annex'!H76</f>
        <v>1</v>
      </c>
      <c r="I31" s="158">
        <f>'16-A. PM sub Annex'!I76</f>
        <v>0</v>
      </c>
      <c r="J31" s="158">
        <f>'16-A. PM sub Annex'!J76</f>
        <v>0</v>
      </c>
      <c r="K31" s="158">
        <f>'16-A. PM sub Annex'!K76</f>
        <v>1</v>
      </c>
      <c r="L31" s="158">
        <f>'16-A. PM sub Annex'!L76</f>
        <v>205000</v>
      </c>
      <c r="M31" s="162">
        <f>'16-A. PM sub Annex'!M76</f>
        <v>2.0499999999999998</v>
      </c>
      <c r="N31" s="158">
        <f>'16-A. PM sub Annex'!N76</f>
        <v>0</v>
      </c>
      <c r="O31" s="162">
        <f>'16-A. PM sub Annex'!O76</f>
        <v>0</v>
      </c>
      <c r="P31" s="88">
        <f>'16-A. PM sub Annex'!P76</f>
        <v>0</v>
      </c>
      <c r="Q31" s="54"/>
      <c r="R31" s="1966"/>
    </row>
    <row r="32" spans="1:18" ht="45">
      <c r="A32" s="858" t="str">
        <f>'16-A. PM sub Annex'!A102</f>
        <v>16.1.3.3.8</v>
      </c>
      <c r="B32" s="88" t="e">
        <f>'16-A. PM sub Annex'!#REF!</f>
        <v>#REF!</v>
      </c>
      <c r="C32" s="88" t="str">
        <f>'16-A. PM sub Annex'!C102</f>
        <v xml:space="preserve">MOBILITY: Travel Cost, POL, etc. during outbreak investigations and field visits for monitoring programme activities at DSU on need basis </v>
      </c>
      <c r="D32" s="158" t="str">
        <f>'16-A. PM sub Annex'!D102</f>
        <v>NDCP</v>
      </c>
      <c r="E32" s="158" t="str">
        <f>'16-A. PM sub Annex'!E102</f>
        <v>HRH&amp;HPIP/IDSP</v>
      </c>
      <c r="F32" s="158">
        <f>'16-A. PM sub Annex'!F102</f>
        <v>12</v>
      </c>
      <c r="G32" s="158">
        <f>'16-A. PM sub Annex'!G102</f>
        <v>0</v>
      </c>
      <c r="H32" s="158">
        <f>'16-A. PM sub Annex'!H102</f>
        <v>12</v>
      </c>
      <c r="I32" s="158">
        <f>'16-A. PM sub Annex'!I102</f>
        <v>1.96</v>
      </c>
      <c r="J32" s="158">
        <f>'16-A. PM sub Annex'!J102</f>
        <v>5</v>
      </c>
      <c r="K32" s="158">
        <f>'16-A. PM sub Annex'!K102</f>
        <v>12</v>
      </c>
      <c r="L32" s="158">
        <f>'16-A. PM sub Annex'!L102</f>
        <v>100000</v>
      </c>
      <c r="M32" s="162">
        <f>'16-A. PM sub Annex'!M102</f>
        <v>1</v>
      </c>
      <c r="N32" s="158">
        <f>'16-A. PM sub Annex'!N102</f>
        <v>12</v>
      </c>
      <c r="O32" s="162">
        <f>'16-A. PM sub Annex'!O102</f>
        <v>12</v>
      </c>
      <c r="P32" s="88">
        <f>'16-A. PM sub Annex'!P102</f>
        <v>0</v>
      </c>
      <c r="Q32" s="54" t="s">
        <v>5691</v>
      </c>
      <c r="R32" s="1966">
        <v>12</v>
      </c>
    </row>
    <row r="33" spans="1:18" ht="30">
      <c r="A33" s="858" t="str">
        <f>'16-A. PM sub Annex'!A122</f>
        <v>16.1.4.1.2</v>
      </c>
      <c r="B33" s="88" t="e">
        <f>'16-A. PM sub Annex'!#REF!</f>
        <v>#REF!</v>
      </c>
      <c r="C33" s="88" t="str">
        <f>'16-A. PM sub Annex'!C122</f>
        <v>Information, Communication and Technology under IDSP</v>
      </c>
      <c r="D33" s="158" t="str">
        <f>'16-A. PM sub Annex'!D122</f>
        <v>NDCP</v>
      </c>
      <c r="E33" s="158" t="str">
        <f>'16-A. PM sub Annex'!E122</f>
        <v>HRH&amp;HPIP/IDSP</v>
      </c>
      <c r="F33" s="158">
        <f>'16-A. PM sub Annex'!F122</f>
        <v>0</v>
      </c>
      <c r="G33" s="158">
        <f>'16-A. PM sub Annex'!G122</f>
        <v>0</v>
      </c>
      <c r="H33" s="158">
        <f>'16-A. PM sub Annex'!H122</f>
        <v>0</v>
      </c>
      <c r="I33" s="158">
        <f>'16-A. PM sub Annex'!I122</f>
        <v>0</v>
      </c>
      <c r="J33" s="158">
        <f>'16-A. PM sub Annex'!J122</f>
        <v>0</v>
      </c>
      <c r="K33" s="158">
        <f>'16-A. PM sub Annex'!K122</f>
        <v>0</v>
      </c>
      <c r="L33" s="158">
        <f>'16-A. PM sub Annex'!L122</f>
        <v>0</v>
      </c>
      <c r="M33" s="162">
        <f>'16-A. PM sub Annex'!M122</f>
        <v>0</v>
      </c>
      <c r="N33" s="158">
        <f>'16-A. PM sub Annex'!N122</f>
        <v>0</v>
      </c>
      <c r="O33" s="162">
        <f>'16-A. PM sub Annex'!O122</f>
        <v>0</v>
      </c>
      <c r="P33" s="88">
        <f>'16-A. PM sub Annex'!P122</f>
        <v>0</v>
      </c>
      <c r="Q33" s="54"/>
      <c r="R33" s="1966"/>
    </row>
    <row r="34" spans="1:18" ht="30">
      <c r="A34" s="858" t="str">
        <f>'16-A. PM sub Annex'!A125</f>
        <v>16.1.4.1.5</v>
      </c>
      <c r="B34" s="88" t="e">
        <f>'16-A. PM sub Annex'!#REF!</f>
        <v>#REF!</v>
      </c>
      <c r="C34" s="88" t="str">
        <f>'16-A. PM sub Annex'!C125</f>
        <v>Office expenses on telephone, fax, Broadband Expenses &amp; Other Miscellaneous Expenditures</v>
      </c>
      <c r="D34" s="158" t="str">
        <f>'16-A. PM sub Annex'!D125</f>
        <v>NDCP</v>
      </c>
      <c r="E34" s="158" t="str">
        <f>'16-A. PM sub Annex'!E125</f>
        <v>HRH&amp;HPIP/IDSP</v>
      </c>
      <c r="F34" s="158">
        <f>'16-A. PM sub Annex'!F125</f>
        <v>0</v>
      </c>
      <c r="G34" s="158">
        <f>'16-A. PM sub Annex'!G125</f>
        <v>0</v>
      </c>
      <c r="H34" s="158">
        <f>'16-A. PM sub Annex'!H125</f>
        <v>0</v>
      </c>
      <c r="I34" s="158">
        <f>'16-A. PM sub Annex'!I125</f>
        <v>0</v>
      </c>
      <c r="J34" s="158">
        <f>'16-A. PM sub Annex'!J125</f>
        <v>0</v>
      </c>
      <c r="K34" s="158">
        <f>'16-A. PM sub Annex'!K125</f>
        <v>0</v>
      </c>
      <c r="L34" s="158">
        <f>'16-A. PM sub Annex'!L125</f>
        <v>0</v>
      </c>
      <c r="M34" s="162">
        <f>'16-A. PM sub Annex'!M125</f>
        <v>0</v>
      </c>
      <c r="N34" s="158">
        <f>'16-A. PM sub Annex'!N125</f>
        <v>0</v>
      </c>
      <c r="O34" s="162">
        <f>'16-A. PM sub Annex'!O125</f>
        <v>0</v>
      </c>
      <c r="P34" s="88">
        <f>'16-A. PM sub Annex'!P125</f>
        <v>0</v>
      </c>
      <c r="Q34" s="54"/>
      <c r="R34" s="1966"/>
    </row>
    <row r="35" spans="1:18" ht="30">
      <c r="A35" s="858" t="str">
        <f>'16-A. PM sub Annex'!A154</f>
        <v>16.1.5.2.1</v>
      </c>
      <c r="B35" s="88" t="e">
        <f>'16-A. PM sub Annex'!#REF!</f>
        <v>#REF!</v>
      </c>
      <c r="C35" s="88" t="str">
        <f>'16-A. PM sub Annex'!C154</f>
        <v>Minor repairs and AMC of IT/office equipment supplied under IDSP</v>
      </c>
      <c r="D35" s="158" t="str">
        <f>'16-A. PM sub Annex'!D154</f>
        <v>NDCP</v>
      </c>
      <c r="E35" s="158" t="str">
        <f>'16-A. PM sub Annex'!E154</f>
        <v>HRH&amp;HPIP/IDSP</v>
      </c>
      <c r="F35" s="158">
        <f>'16-A. PM sub Annex'!F154</f>
        <v>0</v>
      </c>
      <c r="G35" s="158">
        <f>'16-A. PM sub Annex'!G154</f>
        <v>0</v>
      </c>
      <c r="H35" s="158">
        <f>'16-A. PM sub Annex'!H154</f>
        <v>0</v>
      </c>
      <c r="I35" s="158">
        <f>'16-A. PM sub Annex'!I154</f>
        <v>0</v>
      </c>
      <c r="J35" s="158">
        <f>'16-A. PM sub Annex'!J154</f>
        <v>0</v>
      </c>
      <c r="K35" s="158">
        <f>'16-A. PM sub Annex'!K154</f>
        <v>0</v>
      </c>
      <c r="L35" s="158">
        <f>'16-A. PM sub Annex'!L154</f>
        <v>0</v>
      </c>
      <c r="M35" s="162">
        <f>'16-A. PM sub Annex'!M154</f>
        <v>0</v>
      </c>
      <c r="N35" s="158">
        <f>'16-A. PM sub Annex'!N154</f>
        <v>0</v>
      </c>
      <c r="O35" s="162">
        <f>'16-A. PM sub Annex'!O154</f>
        <v>0</v>
      </c>
      <c r="P35" s="88">
        <f>'16-A. PM sub Annex'!P154</f>
        <v>0</v>
      </c>
      <c r="Q35" s="54"/>
      <c r="R35" s="1966"/>
    </row>
    <row r="36" spans="1:18">
      <c r="Q36" s="2016"/>
      <c r="R36" s="2009"/>
    </row>
    <row r="37" spans="1:18">
      <c r="A37" s="4098" t="s">
        <v>5130</v>
      </c>
      <c r="B37" s="4098"/>
      <c r="C37" s="4098"/>
      <c r="D37" s="785"/>
      <c r="E37" s="785"/>
      <c r="F37" s="785"/>
      <c r="G37" s="785"/>
      <c r="H37" s="547"/>
      <c r="I37" s="785"/>
      <c r="J37" s="547"/>
      <c r="K37" s="784"/>
      <c r="L37" s="784"/>
      <c r="M37" s="547"/>
      <c r="N37" s="1997"/>
      <c r="O37" s="1957"/>
      <c r="P37" s="1953"/>
      <c r="Q37" s="2092"/>
      <c r="R37" s="1965"/>
    </row>
    <row r="38" spans="1:18">
      <c r="A38" s="858" t="str">
        <f>'NUHM-Non Metro Abst'!A11</f>
        <v>U.1.1.1.1</v>
      </c>
      <c r="B38" s="858">
        <f>'NUHM-Non Metro Abst'!B11</f>
        <v>0</v>
      </c>
      <c r="C38" s="858" t="str">
        <f>'NUHM-Non Metro Abst'!C11</f>
        <v>Support for implementation of IDSP</v>
      </c>
      <c r="D38" s="158"/>
      <c r="E38" s="858" t="str">
        <f>'NUHM-Non Metro Abst'!D11</f>
        <v>IDSP</v>
      </c>
      <c r="F38" s="858">
        <f>'NUHM-Non Metro Abst'!E11</f>
        <v>0</v>
      </c>
      <c r="G38" s="858">
        <f>'NUHM-Non Metro Abst'!F11</f>
        <v>0</v>
      </c>
      <c r="H38" s="858">
        <f>'NUHM-Non Metro Abst'!G11</f>
        <v>0</v>
      </c>
      <c r="I38" s="858">
        <f>'NUHM-Non Metro Abst'!H11</f>
        <v>0</v>
      </c>
      <c r="J38" s="858">
        <f>'NUHM-Non Metro Abst'!I11</f>
        <v>0</v>
      </c>
      <c r="K38" s="858">
        <f>'NUHM-Non Metro Abst'!J11</f>
        <v>0</v>
      </c>
      <c r="L38" s="858">
        <f>'NUHM-Non Metro Abst'!K11</f>
        <v>0</v>
      </c>
      <c r="M38" s="858">
        <f>'NUHM-Non Metro Abst'!L11</f>
        <v>0</v>
      </c>
      <c r="N38" s="858">
        <f>'NUHM-Non Metro Abst'!M11</f>
        <v>0</v>
      </c>
      <c r="O38" s="858">
        <f>'NUHM-Non Metro Abst'!N11</f>
        <v>0</v>
      </c>
      <c r="P38" s="858">
        <f>'NUHM-Non Metro Abst'!O11</f>
        <v>0</v>
      </c>
      <c r="Q38" s="54"/>
      <c r="R38" s="1966"/>
    </row>
    <row r="39" spans="1:18">
      <c r="A39" s="4098" t="s">
        <v>5129</v>
      </c>
      <c r="B39" s="4098"/>
      <c r="C39" s="4098"/>
      <c r="D39" s="785"/>
      <c r="E39" s="785"/>
      <c r="F39" s="785"/>
      <c r="G39" s="785"/>
      <c r="H39" s="547"/>
      <c r="I39" s="785"/>
      <c r="J39" s="547"/>
      <c r="K39" s="784"/>
      <c r="L39" s="784"/>
      <c r="M39" s="547"/>
      <c r="N39" s="1997"/>
      <c r="O39" s="1957"/>
      <c r="P39" s="1953"/>
      <c r="Q39" s="2092"/>
      <c r="R39" s="1965"/>
    </row>
    <row r="40" spans="1:18">
      <c r="A40" s="858" t="str">
        <f>'NUHM Metro Abst'!A11</f>
        <v>U.1.1.1.1</v>
      </c>
      <c r="B40" s="858">
        <f>'NUHM Metro Abst'!B11</f>
        <v>0</v>
      </c>
      <c r="C40" s="858" t="str">
        <f>'NUHM Metro Abst'!C11</f>
        <v>Support for implementation of IDSP</v>
      </c>
      <c r="D40" s="158"/>
      <c r="E40" s="858" t="str">
        <f>'NUHM Metro Abst'!D11</f>
        <v>IDSP</v>
      </c>
      <c r="F40" s="858">
        <f>'NUHM Metro Abst'!E11</f>
        <v>0</v>
      </c>
      <c r="G40" s="858">
        <f>'NUHM Metro Abst'!F11</f>
        <v>0</v>
      </c>
      <c r="H40" s="858">
        <f>'NUHM Metro Abst'!G11</f>
        <v>0</v>
      </c>
      <c r="I40" s="858">
        <f>'NUHM Metro Abst'!H11</f>
        <v>0</v>
      </c>
      <c r="J40" s="858">
        <f>'NUHM Metro Abst'!I11</f>
        <v>0</v>
      </c>
      <c r="K40" s="858">
        <f>'NUHM Metro Abst'!J11</f>
        <v>0</v>
      </c>
      <c r="L40" s="858">
        <f>'NUHM Metro Abst'!K11</f>
        <v>0</v>
      </c>
      <c r="M40" s="858">
        <f>'NUHM Metro Abst'!L11</f>
        <v>0</v>
      </c>
      <c r="N40" s="858">
        <f>'NUHM Metro Abst'!M11</f>
        <v>0</v>
      </c>
      <c r="O40" s="858">
        <f>'NUHM Metro Abst'!N11</f>
        <v>0</v>
      </c>
      <c r="P40" s="858">
        <f>'NUHM Metro Abst'!O11</f>
        <v>0</v>
      </c>
      <c r="Q40" s="54"/>
      <c r="R40" s="55"/>
    </row>
  </sheetData>
  <sheetProtection sheet="1" formatCells="0" formatColumns="0" formatRows="0" autoFilter="0"/>
  <autoFilter ref="A5:M35"/>
  <mergeCells count="13">
    <mergeCell ref="A1:C1"/>
    <mergeCell ref="A4:A5"/>
    <mergeCell ref="B4:B5"/>
    <mergeCell ref="C4:C5"/>
    <mergeCell ref="D4:D5"/>
    <mergeCell ref="A37:C37"/>
    <mergeCell ref="A39:C39"/>
    <mergeCell ref="A9:A10"/>
    <mergeCell ref="A13:A21"/>
    <mergeCell ref="Q4:R4"/>
    <mergeCell ref="E4:E5"/>
    <mergeCell ref="F4:J4"/>
    <mergeCell ref="K4:P4"/>
  </mergeCells>
  <pageMargins left="0.7" right="0.7" top="0.75" bottom="0.75" header="0.3" footer="0.3"/>
</worksheet>
</file>

<file path=xl/worksheets/sheet36.xml><?xml version="1.0" encoding="utf-8"?>
<worksheet xmlns="http://schemas.openxmlformats.org/spreadsheetml/2006/main" xmlns:r="http://schemas.openxmlformats.org/officeDocument/2006/relationships">
  <sheetPr codeName="Sheet32">
    <tabColor theme="5" tint="0.79998168889431442"/>
  </sheetPr>
  <dimension ref="A1:R140"/>
  <sheetViews>
    <sheetView zoomScale="70" zoomScaleNormal="70" workbookViewId="0">
      <pane xSplit="3" ySplit="5" topLeftCell="I127" activePane="bottomRight" state="frozen"/>
      <selection activeCell="R108" sqref="R108"/>
      <selection pane="topRight" activeCell="R108" sqref="R108"/>
      <selection pane="bottomLeft" activeCell="R108" sqref="R108"/>
      <selection pane="bottomRight" activeCell="R142" sqref="R142"/>
    </sheetView>
  </sheetViews>
  <sheetFormatPr defaultColWidth="10.85546875" defaultRowHeight="15"/>
  <cols>
    <col min="1" max="1" width="10.5703125" style="904" bestFit="1" customWidth="1"/>
    <col min="2" max="2" width="17.5703125" style="904" customWidth="1"/>
    <col min="3" max="3" width="61" style="904" customWidth="1"/>
    <col min="4" max="4" width="5.42578125" style="868" bestFit="1" customWidth="1"/>
    <col min="5" max="5" width="29.42578125" style="868" bestFit="1" customWidth="1"/>
    <col min="6" max="6" width="21.85546875" style="868" customWidth="1"/>
    <col min="7" max="7" width="19.42578125" style="868" customWidth="1"/>
    <col min="8" max="8" width="16.85546875" style="978" customWidth="1"/>
    <col min="9" max="9" width="10.85546875" style="868"/>
    <col min="10" max="10" width="10.85546875" style="978"/>
    <col min="11" max="11" width="11.5703125" style="868" customWidth="1"/>
    <col min="12" max="12" width="11.42578125" style="868" customWidth="1"/>
    <col min="13" max="13" width="13.85546875" style="978" customWidth="1"/>
    <col min="14" max="14" width="10.85546875" style="868"/>
    <col min="15" max="15" width="16.5703125" style="978" customWidth="1"/>
    <col min="16" max="16" width="30.140625" style="904" customWidth="1"/>
    <col min="17" max="17" width="36.5703125" style="904" customWidth="1"/>
    <col min="18" max="18" width="15.5703125" style="1212" customWidth="1"/>
    <col min="19" max="16384" width="10.85546875" style="860"/>
  </cols>
  <sheetData>
    <row r="1" spans="1:18">
      <c r="A1" s="4099" t="s">
        <v>2095</v>
      </c>
      <c r="B1" s="4099"/>
      <c r="C1" s="4099"/>
      <c r="D1" s="1902"/>
      <c r="E1" s="2010"/>
      <c r="F1" s="83" t="s">
        <v>3831</v>
      </c>
      <c r="G1" s="1902"/>
      <c r="H1" s="1902"/>
      <c r="I1" s="1902"/>
      <c r="J1" s="1902"/>
      <c r="K1" s="1902"/>
      <c r="L1" s="1902"/>
      <c r="M1" s="1906"/>
    </row>
    <row r="2" spans="1:18">
      <c r="A2" s="1842" t="str">
        <f>HYPERLINK("#Index!F3", "Index Pg")</f>
        <v>Index Pg</v>
      </c>
      <c r="B2" s="1847"/>
      <c r="C2" s="864" t="str">
        <f>HYPERLINK("#'Budget Summary I'!A1:AL1", "Budget Summary I")</f>
        <v>Budget Summary I</v>
      </c>
      <c r="D2" s="1909"/>
      <c r="E2" s="1693" t="s">
        <v>4460</v>
      </c>
      <c r="F2" s="161">
        <f>R6+R11+R14+R32+R36+R61+R70+R89+R98+R103+R105+R108</f>
        <v>38.31</v>
      </c>
      <c r="G2" s="1906"/>
      <c r="H2" s="1906"/>
      <c r="I2" s="1906"/>
      <c r="J2" s="1906"/>
      <c r="K2" s="1947"/>
      <c r="L2" s="1947"/>
      <c r="M2" s="1906"/>
    </row>
    <row r="3" spans="1:18" s="861" customFormat="1">
      <c r="A3" s="1846"/>
      <c r="B3" s="1847"/>
      <c r="C3" s="1916" t="str">
        <f>HYPERLINK("#'Budget Summary II'!A3:B5", "Budget Summary II")</f>
        <v>Budget Summary II</v>
      </c>
      <c r="D3" s="1909"/>
      <c r="E3" s="1982" t="s">
        <v>4461</v>
      </c>
      <c r="F3" s="786">
        <f>O6+O11+O14+O32+O36+O61+O70+O89+O98+O103+O105+O108</f>
        <v>39.509949999999996</v>
      </c>
      <c r="G3" s="869"/>
      <c r="H3" s="869"/>
      <c r="I3" s="869"/>
      <c r="J3" s="869"/>
      <c r="K3" s="869"/>
      <c r="L3" s="1947"/>
      <c r="M3" s="1906"/>
      <c r="N3" s="869"/>
      <c r="O3" s="2011"/>
      <c r="P3" s="2012"/>
      <c r="Q3" s="2012"/>
      <c r="R3" s="1213"/>
    </row>
    <row r="4" spans="1:18" s="868" customFormat="1">
      <c r="A4" s="3801" t="s">
        <v>48</v>
      </c>
      <c r="B4" s="3801" t="s">
        <v>49</v>
      </c>
      <c r="C4" s="3801" t="s">
        <v>50</v>
      </c>
      <c r="D4" s="3801" t="s">
        <v>51</v>
      </c>
      <c r="E4" s="3801" t="s">
        <v>52</v>
      </c>
      <c r="F4" s="3866" t="s">
        <v>4478</v>
      </c>
      <c r="G4" s="3866"/>
      <c r="H4" s="3866"/>
      <c r="I4" s="3866"/>
      <c r="J4" s="3866"/>
      <c r="K4" s="3866" t="s">
        <v>4484</v>
      </c>
      <c r="L4" s="3866"/>
      <c r="M4" s="3866"/>
      <c r="N4" s="3866"/>
      <c r="O4" s="3866"/>
      <c r="P4" s="3866"/>
      <c r="Q4" s="3801" t="s">
        <v>4514</v>
      </c>
      <c r="R4" s="3801"/>
    </row>
    <row r="5" spans="1:18" s="1227" customFormat="1" ht="60">
      <c r="A5" s="3801"/>
      <c r="B5" s="3801"/>
      <c r="C5" s="3801"/>
      <c r="D5" s="3801"/>
      <c r="E5" s="3801"/>
      <c r="F5" s="918" t="s">
        <v>4479</v>
      </c>
      <c r="G5" s="918" t="s">
        <v>4482</v>
      </c>
      <c r="H5" s="918" t="s">
        <v>4480</v>
      </c>
      <c r="I5" s="918" t="s">
        <v>4483</v>
      </c>
      <c r="J5" s="918" t="s">
        <v>2448</v>
      </c>
      <c r="K5" s="919" t="s">
        <v>53</v>
      </c>
      <c r="L5" s="919" t="s">
        <v>54</v>
      </c>
      <c r="M5" s="920" t="s">
        <v>55</v>
      </c>
      <c r="N5" s="919" t="s">
        <v>56</v>
      </c>
      <c r="O5" s="920" t="s">
        <v>57</v>
      </c>
      <c r="P5" s="919" t="s">
        <v>58</v>
      </c>
      <c r="Q5" s="921" t="s">
        <v>2450</v>
      </c>
      <c r="R5" s="922" t="s">
        <v>4515</v>
      </c>
    </row>
    <row r="6" spans="1:18">
      <c r="A6" s="1970">
        <f>'1.SD Facility Based Annex'!A7</f>
        <v>1</v>
      </c>
      <c r="B6" s="1970"/>
      <c r="C6" s="1970" t="str">
        <f>'1.SD Facility Based Annex'!C7</f>
        <v>Service Delivery - Facility Based</v>
      </c>
      <c r="D6" s="1969"/>
      <c r="E6" s="1969"/>
      <c r="F6" s="2013"/>
      <c r="G6" s="2013"/>
      <c r="H6" s="1867"/>
      <c r="I6" s="2013"/>
      <c r="J6" s="994"/>
      <c r="K6" s="2013"/>
      <c r="L6" s="2013"/>
      <c r="M6" s="994"/>
      <c r="N6" s="1866"/>
      <c r="O6" s="1867">
        <f>SUM(O7:O10)</f>
        <v>0</v>
      </c>
      <c r="P6" s="1868"/>
      <c r="Q6" s="1868"/>
      <c r="R6" s="1867">
        <f>SUM(R7:R10)</f>
        <v>0</v>
      </c>
    </row>
    <row r="7" spans="1:18" ht="45">
      <c r="A7" s="88" t="str">
        <f>'1.SD Facility Based Annex'!A33</f>
        <v>1.1.5.1</v>
      </c>
      <c r="B7" s="88" t="str">
        <f>'1.SD Facility Based Annex'!B33</f>
        <v>F.1.2.e</v>
      </c>
      <c r="C7" s="88" t="str">
        <f>'1.SD Facility Based Annex'!C33</f>
        <v>Dengue &amp; Chikungunya: Case management</v>
      </c>
      <c r="D7" s="88" t="str">
        <f>'1.SD Facility Based Annex'!D33</f>
        <v>NDCP</v>
      </c>
      <c r="E7" s="1975" t="str">
        <f>'1.SD Facility Based Annex'!E33</f>
        <v>NVBDCP-Dengue &amp; Chikungunya</v>
      </c>
      <c r="F7" s="1975">
        <f>'1.SD Facility Based Annex'!F33</f>
        <v>0</v>
      </c>
      <c r="G7" s="1975">
        <f>'1.SD Facility Based Annex'!G33</f>
        <v>0</v>
      </c>
      <c r="H7" s="1975">
        <f>'1.SD Facility Based Annex'!H33</f>
        <v>0</v>
      </c>
      <c r="I7" s="1975">
        <f>'1.SD Facility Based Annex'!I33</f>
        <v>0</v>
      </c>
      <c r="J7" s="1975">
        <f>'1.SD Facility Based Annex'!J33</f>
        <v>0</v>
      </c>
      <c r="K7" s="1975">
        <f>'1.SD Facility Based Annex'!K33</f>
        <v>0</v>
      </c>
      <c r="L7" s="1975">
        <f>'1.SD Facility Based Annex'!L33</f>
        <v>0</v>
      </c>
      <c r="M7" s="162">
        <f>'1.SD Facility Based Annex'!M33</f>
        <v>0</v>
      </c>
      <c r="N7" s="1975">
        <f>'1.SD Facility Based Annex'!N33</f>
        <v>0</v>
      </c>
      <c r="O7" s="162">
        <f>'1.SD Facility Based Annex'!O33</f>
        <v>0</v>
      </c>
      <c r="P7" s="88" t="str">
        <f>'1.SD Facility Based Annex'!P33</f>
        <v xml:space="preserve">State  will condsider this activity under Free Drugs &amp; Free Diagnostics Services </v>
      </c>
      <c r="Q7" s="54"/>
      <c r="R7" s="694"/>
    </row>
    <row r="8" spans="1:18" ht="30">
      <c r="A8" s="88" t="str">
        <f>'1.SD Facility Based Annex'!A34</f>
        <v>1.1.5.2</v>
      </c>
      <c r="B8" s="88" t="str">
        <f>'1.SD Facility Based Annex'!B34</f>
        <v>F.1.3.i</v>
      </c>
      <c r="C8" s="88" t="str">
        <f>'1.SD Facility Based Annex'!C34</f>
        <v>Acute Encephalitis Syndrome (AES)/ Japanese Encephalitis (JE): Rehabilitation Setup for selected endemic districts</v>
      </c>
      <c r="D8" s="88" t="str">
        <f>'1.SD Facility Based Annex'!D34</f>
        <v>NDCP</v>
      </c>
      <c r="E8" s="1975" t="str">
        <f>'1.SD Facility Based Annex'!E34</f>
        <v>NVBDCP-AES/JE</v>
      </c>
      <c r="F8" s="1975">
        <f>'1.SD Facility Based Annex'!F34</f>
        <v>0</v>
      </c>
      <c r="G8" s="1975">
        <f>'1.SD Facility Based Annex'!G34</f>
        <v>0</v>
      </c>
      <c r="H8" s="1975">
        <f>'1.SD Facility Based Annex'!H34</f>
        <v>0</v>
      </c>
      <c r="I8" s="1975">
        <f>'1.SD Facility Based Annex'!I34</f>
        <v>0</v>
      </c>
      <c r="J8" s="1975">
        <f>'1.SD Facility Based Annex'!J34</f>
        <v>0</v>
      </c>
      <c r="K8" s="1975">
        <f>'1.SD Facility Based Annex'!K34</f>
        <v>0</v>
      </c>
      <c r="L8" s="1975">
        <f>'1.SD Facility Based Annex'!L34</f>
        <v>0</v>
      </c>
      <c r="M8" s="162">
        <f>'1.SD Facility Based Annex'!M34</f>
        <v>0</v>
      </c>
      <c r="N8" s="1975">
        <f>'1.SD Facility Based Annex'!N34</f>
        <v>0</v>
      </c>
      <c r="O8" s="162">
        <f>'1.SD Facility Based Annex'!O34</f>
        <v>0</v>
      </c>
      <c r="P8" s="88">
        <f>'1.SD Facility Based Annex'!P34</f>
        <v>0</v>
      </c>
      <c r="Q8" s="54"/>
      <c r="R8" s="694"/>
    </row>
    <row r="9" spans="1:18" ht="30">
      <c r="A9" s="88" t="str">
        <f>'1.SD Facility Based Annex'!A35</f>
        <v>1.1.5.3</v>
      </c>
      <c r="B9" s="88" t="str">
        <f>'1.SD Facility Based Annex'!B35</f>
        <v>F.1.4.a</v>
      </c>
      <c r="C9" s="88" t="str">
        <f>'1.SD Facility Based Annex'!C35</f>
        <v>Lymphatic Filariasis: Morbidity Management</v>
      </c>
      <c r="D9" s="88" t="str">
        <f>'1.SD Facility Based Annex'!D35</f>
        <v>NDCP</v>
      </c>
      <c r="E9" s="1975" t="str">
        <f>'1.SD Facility Based Annex'!E35</f>
        <v>NVBDCP-Lymphatic Filariasis</v>
      </c>
      <c r="F9" s="1975">
        <f>'1.SD Facility Based Annex'!F35</f>
        <v>0</v>
      </c>
      <c r="G9" s="1975">
        <f>'1.SD Facility Based Annex'!G35</f>
        <v>0</v>
      </c>
      <c r="H9" s="1975">
        <f>'1.SD Facility Based Annex'!H35</f>
        <v>0</v>
      </c>
      <c r="I9" s="1975">
        <f>'1.SD Facility Based Annex'!I35</f>
        <v>0</v>
      </c>
      <c r="J9" s="1975">
        <f>'1.SD Facility Based Annex'!J35</f>
        <v>0</v>
      </c>
      <c r="K9" s="1975">
        <f>'1.SD Facility Based Annex'!K35</f>
        <v>0</v>
      </c>
      <c r="L9" s="1975">
        <f>'1.SD Facility Based Annex'!L35</f>
        <v>0</v>
      </c>
      <c r="M9" s="162">
        <f>'1.SD Facility Based Annex'!M35</f>
        <v>0</v>
      </c>
      <c r="N9" s="1975">
        <f>'1.SD Facility Based Annex'!N35</f>
        <v>0</v>
      </c>
      <c r="O9" s="162">
        <f>'1.SD Facility Based Annex'!O35</f>
        <v>0</v>
      </c>
      <c r="P9" s="88">
        <f>'1.SD Facility Based Annex'!P35</f>
        <v>0</v>
      </c>
      <c r="Q9" s="54"/>
      <c r="R9" s="694"/>
    </row>
    <row r="10" spans="1:18" ht="30">
      <c r="A10" s="88" t="str">
        <f>'1.SD Facility Based Annex'!A80</f>
        <v>1.2.3.3</v>
      </c>
      <c r="B10" s="88">
        <f>'1.SD Facility Based Annex'!B80</f>
        <v>0</v>
      </c>
      <c r="C10" s="88" t="str">
        <f>'1.SD Facility Based Annex'!C80</f>
        <v>Patient wage loss for VL and PKDL</v>
      </c>
      <c r="D10" s="88" t="str">
        <f>'1.SD Facility Based Annex'!D80</f>
        <v>NDCP</v>
      </c>
      <c r="E10" s="1975" t="str">
        <f>'1.SD Facility Based Annex'!E80</f>
        <v>NVBDCP- Kala-azar</v>
      </c>
      <c r="F10" s="1975">
        <f>'1.SD Facility Based Annex'!F80</f>
        <v>0</v>
      </c>
      <c r="G10" s="1975">
        <f>'1.SD Facility Based Annex'!G80</f>
        <v>0</v>
      </c>
      <c r="H10" s="1975">
        <f>'1.SD Facility Based Annex'!H80</f>
        <v>0</v>
      </c>
      <c r="I10" s="1975">
        <f>'1.SD Facility Based Annex'!I80</f>
        <v>0</v>
      </c>
      <c r="J10" s="1975">
        <f>'1.SD Facility Based Annex'!J80</f>
        <v>0</v>
      </c>
      <c r="K10" s="1975">
        <f>'1.SD Facility Based Annex'!K80</f>
        <v>0</v>
      </c>
      <c r="L10" s="1975">
        <f>'1.SD Facility Based Annex'!L80</f>
        <v>0</v>
      </c>
      <c r="M10" s="162">
        <f>'1.SD Facility Based Annex'!M80</f>
        <v>0</v>
      </c>
      <c r="N10" s="1975">
        <f>'1.SD Facility Based Annex'!N80</f>
        <v>0</v>
      </c>
      <c r="O10" s="162">
        <f>'1.SD Facility Based Annex'!O80</f>
        <v>0</v>
      </c>
      <c r="P10" s="88">
        <f>'1.SD Facility Based Annex'!P80</f>
        <v>0</v>
      </c>
      <c r="Q10" s="54"/>
      <c r="R10" s="694"/>
    </row>
    <row r="11" spans="1:18">
      <c r="A11" s="1970">
        <f>'2.SD Community Based Annex'!A7</f>
        <v>2</v>
      </c>
      <c r="B11" s="1970"/>
      <c r="C11" s="1970" t="str">
        <f>'2.SD Community Based Annex'!C7</f>
        <v>Service Delivery - Community Based</v>
      </c>
      <c r="D11" s="1969"/>
      <c r="E11" s="1969"/>
      <c r="F11" s="2013"/>
      <c r="G11" s="2013"/>
      <c r="H11" s="1867"/>
      <c r="I11" s="2013"/>
      <c r="J11" s="994"/>
      <c r="K11" s="2013"/>
      <c r="L11" s="2013"/>
      <c r="M11" s="994"/>
      <c r="N11" s="1866"/>
      <c r="O11" s="1867">
        <f>SUM(O12:O13)</f>
        <v>0</v>
      </c>
      <c r="P11" s="1868"/>
      <c r="Q11" s="1889"/>
      <c r="R11" s="1890">
        <f>SUM(R12:R13)</f>
        <v>0</v>
      </c>
    </row>
    <row r="12" spans="1:18" ht="30">
      <c r="A12" s="88" t="str">
        <f>'2.SD Community Based Annex'!A29</f>
        <v>2.2.10</v>
      </c>
      <c r="B12" s="88" t="str">
        <f>'2.SD Community Based Annex'!B29</f>
        <v>F.1.5.c</v>
      </c>
      <c r="C12" s="88" t="str">
        <f>'2.SD Community Based Annex'!C29</f>
        <v>Kala-azar Case search/ Camp Approach: Mobility/POL/supervision</v>
      </c>
      <c r="D12" s="1975" t="str">
        <f>'2.SD Community Based Annex'!D29</f>
        <v>NDCP</v>
      </c>
      <c r="E12" s="1975" t="str">
        <f>'2.SD Community Based Annex'!E29</f>
        <v>NVBDCP- Kala-azar</v>
      </c>
      <c r="F12" s="1975">
        <f>'2.SD Community Based Annex'!F29</f>
        <v>0</v>
      </c>
      <c r="G12" s="1975">
        <f>'2.SD Community Based Annex'!G29</f>
        <v>0</v>
      </c>
      <c r="H12" s="1975">
        <f>'2.SD Community Based Annex'!H29</f>
        <v>0</v>
      </c>
      <c r="I12" s="1975">
        <f>'2.SD Community Based Annex'!I29</f>
        <v>0</v>
      </c>
      <c r="J12" s="1975">
        <f>'2.SD Community Based Annex'!J29</f>
        <v>0</v>
      </c>
      <c r="K12" s="1975">
        <f>'2.SD Community Based Annex'!K29</f>
        <v>0</v>
      </c>
      <c r="L12" s="1975">
        <f>'2.SD Community Based Annex'!L29</f>
        <v>0</v>
      </c>
      <c r="M12" s="162">
        <f>'2.SD Community Based Annex'!M29</f>
        <v>0</v>
      </c>
      <c r="N12" s="1975">
        <f>'2.SD Community Based Annex'!N29</f>
        <v>0</v>
      </c>
      <c r="O12" s="162">
        <f>'2.SD Community Based Annex'!O29</f>
        <v>0</v>
      </c>
      <c r="P12" s="88">
        <f>'2.SD Community Based Annex'!P29</f>
        <v>0</v>
      </c>
      <c r="Q12" s="2018"/>
      <c r="R12" s="694"/>
    </row>
    <row r="13" spans="1:18" ht="45">
      <c r="A13" s="88" t="str">
        <f>'2.SD Community Based Annex'!A53</f>
        <v>2.3.2.7</v>
      </c>
      <c r="B13" s="88">
        <f>'2.SD Community Based Annex'!B53</f>
        <v>0</v>
      </c>
      <c r="C13" s="88" t="str">
        <f>'2.SD Community Based Annex'!C53</f>
        <v>Special anti-malarial interventions for high risk groups, for tribal population, for hard to reach areas to control and prevent resurgence of Malaria cases</v>
      </c>
      <c r="D13" s="1975" t="str">
        <f>'2.SD Community Based Annex'!D53</f>
        <v>NDCP</v>
      </c>
      <c r="E13" s="1975" t="str">
        <f>'2.SD Community Based Annex'!E53</f>
        <v>NVBDCP-Malaria</v>
      </c>
      <c r="F13" s="1975">
        <f>'2.SD Community Based Annex'!F53</f>
        <v>0</v>
      </c>
      <c r="G13" s="1975">
        <f>'2.SD Community Based Annex'!G53</f>
        <v>0</v>
      </c>
      <c r="H13" s="1975">
        <f>'2.SD Community Based Annex'!H53</f>
        <v>0</v>
      </c>
      <c r="I13" s="1975">
        <f>'2.SD Community Based Annex'!I53</f>
        <v>0</v>
      </c>
      <c r="J13" s="1975">
        <f>'2.SD Community Based Annex'!J53</f>
        <v>0</v>
      </c>
      <c r="K13" s="1975">
        <f>'2.SD Community Based Annex'!K53</f>
        <v>0</v>
      </c>
      <c r="L13" s="1975">
        <f>'2.SD Community Based Annex'!L53</f>
        <v>0</v>
      </c>
      <c r="M13" s="162">
        <f>'2.SD Community Based Annex'!M53</f>
        <v>0</v>
      </c>
      <c r="N13" s="1975">
        <f>'2.SD Community Based Annex'!N53</f>
        <v>0</v>
      </c>
      <c r="O13" s="162">
        <f>'2.SD Community Based Annex'!O53</f>
        <v>0</v>
      </c>
      <c r="P13" s="88">
        <f>'2.SD Community Based Annex'!P53</f>
        <v>0</v>
      </c>
      <c r="Q13" s="2018"/>
      <c r="R13" s="694"/>
    </row>
    <row r="14" spans="1:18">
      <c r="A14" s="1970">
        <f>'3.Community Intervention Annexn'!A7</f>
        <v>3</v>
      </c>
      <c r="B14" s="1970"/>
      <c r="C14" s="1970" t="str">
        <f>'3.Community Intervention Annexn'!C7</f>
        <v>Community Interventions</v>
      </c>
      <c r="D14" s="1969"/>
      <c r="E14" s="1969"/>
      <c r="F14" s="2013"/>
      <c r="G14" s="2013"/>
      <c r="H14" s="1867"/>
      <c r="I14" s="2013"/>
      <c r="J14" s="994"/>
      <c r="K14" s="2013"/>
      <c r="L14" s="2013"/>
      <c r="M14" s="994"/>
      <c r="N14" s="1866"/>
      <c r="O14" s="1867">
        <f>SUM(O15:O31)</f>
        <v>4</v>
      </c>
      <c r="P14" s="1868"/>
      <c r="Q14" s="1889"/>
      <c r="R14" s="1890">
        <f>SUM(R15:R31)</f>
        <v>4</v>
      </c>
    </row>
    <row r="15" spans="1:18" ht="30">
      <c r="A15" s="4101" t="str">
        <f>'3.Community Intervention Annexn'!A19</f>
        <v>3.1.1.3.1</v>
      </c>
      <c r="B15" s="233" t="str">
        <f>'3-A. CI Sub-Annex'!B40</f>
        <v>F.1.1.b</v>
      </c>
      <c r="C15" s="233" t="str">
        <f>'3-A. CI Sub-Annex'!C40</f>
        <v>ASHA Incentive/ Honorarium for Malaria and LLIN distribution</v>
      </c>
      <c r="D15" s="1019" t="str">
        <f>'3-A. CI Sub-Annex'!D40</f>
        <v>NDCP</v>
      </c>
      <c r="E15" s="1019" t="str">
        <f>'3-A. CI Sub-Annex'!E40</f>
        <v>NVBDCP-Malaria</v>
      </c>
      <c r="F15" s="1019" t="e">
        <f>'3-A. CI Sub-Annex'!#REF!</f>
        <v>#REF!</v>
      </c>
      <c r="G15" s="1019">
        <f>'3-A. CI Sub-Annex'!F40</f>
        <v>0</v>
      </c>
      <c r="H15" s="1019">
        <f>'3-A. CI Sub-Annex'!H40</f>
        <v>0</v>
      </c>
      <c r="I15" s="1019">
        <f>'3-A. CI Sub-Annex'!I40</f>
        <v>0</v>
      </c>
      <c r="J15" s="1019">
        <f>'3-A. CI Sub-Annex'!J40</f>
        <v>0</v>
      </c>
      <c r="K15" s="1019">
        <f>'3-A. CI Sub-Annex'!K40</f>
        <v>0</v>
      </c>
      <c r="L15" s="1019">
        <f>'3-A. CI Sub-Annex'!L40</f>
        <v>5</v>
      </c>
      <c r="M15" s="962">
        <f>'3-A. CI Sub-Annex'!M40</f>
        <v>5.0000000000000002E-5</v>
      </c>
      <c r="N15" s="1019">
        <f>'3-A. CI Sub-Annex'!N40</f>
        <v>10000</v>
      </c>
      <c r="O15" s="962">
        <f>'3-A. CI Sub-Annex'!O40</f>
        <v>0.5</v>
      </c>
      <c r="P15" s="233">
        <f>'3-A. CI Sub-Annex'!P40</f>
        <v>0</v>
      </c>
      <c r="Q15" s="54" t="s">
        <v>5692</v>
      </c>
      <c r="R15" s="694">
        <v>0.5</v>
      </c>
    </row>
    <row r="16" spans="1:18" ht="30">
      <c r="A16" s="4101"/>
      <c r="B16" s="233" t="str">
        <f>'3-A. CI Sub-Annex'!B41</f>
        <v>F.1.2.i</v>
      </c>
      <c r="C16" s="233" t="str">
        <f>'3-A. CI Sub-Annex'!C41</f>
        <v>ASHA Incentive for Dengue and Chikungunya</v>
      </c>
      <c r="D16" s="1019" t="str">
        <f>'3-A. CI Sub-Annex'!D41</f>
        <v>NDCP</v>
      </c>
      <c r="E16" s="1019" t="str">
        <f>'3-A. CI Sub-Annex'!E41</f>
        <v>NVBDCP-Dengue &amp; Chikungunya</v>
      </c>
      <c r="F16" s="1019" t="e">
        <f>'3-A. CI Sub-Annex'!#REF!</f>
        <v>#REF!</v>
      </c>
      <c r="G16" s="1019">
        <f>'3-A. CI Sub-Annex'!F41</f>
        <v>0</v>
      </c>
      <c r="H16" s="1019">
        <f>'3-A. CI Sub-Annex'!H41</f>
        <v>0</v>
      </c>
      <c r="I16" s="1019">
        <f>'3-A. CI Sub-Annex'!I41</f>
        <v>0</v>
      </c>
      <c r="J16" s="1019">
        <f>'3-A. CI Sub-Annex'!J41</f>
        <v>0</v>
      </c>
      <c r="K16" s="1019">
        <f>'3-A. CI Sub-Annex'!K41</f>
        <v>0</v>
      </c>
      <c r="L16" s="1019">
        <f>'3-A. CI Sub-Annex'!L41</f>
        <v>0</v>
      </c>
      <c r="M16" s="962">
        <f>'3-A. CI Sub-Annex'!M41</f>
        <v>0</v>
      </c>
      <c r="N16" s="1019">
        <f>'3-A. CI Sub-Annex'!N41</f>
        <v>0</v>
      </c>
      <c r="O16" s="962">
        <f>'3-A. CI Sub-Annex'!O41</f>
        <v>0</v>
      </c>
      <c r="P16" s="233">
        <f>'3-A. CI Sub-Annex'!P41</f>
        <v>0</v>
      </c>
      <c r="Q16" s="54"/>
      <c r="R16" s="694"/>
    </row>
    <row r="17" spans="1:18" ht="30">
      <c r="A17" s="4101"/>
      <c r="B17" s="233" t="str">
        <f>'3-A. CI Sub-Annex'!B42</f>
        <v>F.1.3.k</v>
      </c>
      <c r="C17" s="233" t="str">
        <f>'3-A. CI Sub-Annex'!C42</f>
        <v xml:space="preserve">ASHA Incentivization for sensitizing community for AES/JE </v>
      </c>
      <c r="D17" s="1019" t="str">
        <f>'3-A. CI Sub-Annex'!D42</f>
        <v>NDCP</v>
      </c>
      <c r="E17" s="1019" t="str">
        <f>'3-A. CI Sub-Annex'!E42</f>
        <v>NVBDCP-AES/JE</v>
      </c>
      <c r="F17" s="1019" t="e">
        <f>'3-A. CI Sub-Annex'!#REF!</f>
        <v>#REF!</v>
      </c>
      <c r="G17" s="1019">
        <f>'3-A. CI Sub-Annex'!F42</f>
        <v>0</v>
      </c>
      <c r="H17" s="1019">
        <f>'3-A. CI Sub-Annex'!H42</f>
        <v>0</v>
      </c>
      <c r="I17" s="1019">
        <f>'3-A. CI Sub-Annex'!I42</f>
        <v>0</v>
      </c>
      <c r="J17" s="1019">
        <f>'3-A. CI Sub-Annex'!J42</f>
        <v>0</v>
      </c>
      <c r="K17" s="1019">
        <f>'3-A. CI Sub-Annex'!K42</f>
        <v>0</v>
      </c>
      <c r="L17" s="1019">
        <f>'3-A. CI Sub-Annex'!L42</f>
        <v>0</v>
      </c>
      <c r="M17" s="962">
        <f>'3-A. CI Sub-Annex'!M42</f>
        <v>0</v>
      </c>
      <c r="N17" s="1019">
        <f>'3-A. CI Sub-Annex'!N42</f>
        <v>0</v>
      </c>
      <c r="O17" s="962">
        <f>'3-A. CI Sub-Annex'!O42</f>
        <v>0</v>
      </c>
      <c r="P17" s="233">
        <f>'3-A. CI Sub-Annex'!P42</f>
        <v>0</v>
      </c>
      <c r="Q17" s="54"/>
      <c r="R17" s="694"/>
    </row>
    <row r="18" spans="1:18" ht="30">
      <c r="A18" s="4101"/>
      <c r="B18" s="233" t="str">
        <f>'3-A. CI Sub-Annex'!B43</f>
        <v>F.1.3.m</v>
      </c>
      <c r="C18" s="233" t="str">
        <f>'3-A. CI Sub-Annex'!C43</f>
        <v>ASHA incentive for referral of AES/JE cases to the nearest CHC/DH/Medical College</v>
      </c>
      <c r="D18" s="1019" t="str">
        <f>'3-A. CI Sub-Annex'!D43</f>
        <v>NDCP</v>
      </c>
      <c r="E18" s="1019" t="str">
        <f>'3-A. CI Sub-Annex'!E43</f>
        <v>NVBDCP-AES/JE</v>
      </c>
      <c r="F18" s="1019" t="e">
        <f>'3-A. CI Sub-Annex'!#REF!</f>
        <v>#REF!</v>
      </c>
      <c r="G18" s="1019">
        <f>'3-A. CI Sub-Annex'!F43</f>
        <v>10000</v>
      </c>
      <c r="H18" s="1019">
        <f>'3-A. CI Sub-Annex'!H43</f>
        <v>1</v>
      </c>
      <c r="I18" s="1019">
        <f>'3-A. CI Sub-Annex'!I43</f>
        <v>0</v>
      </c>
      <c r="J18" s="1019">
        <f>'3-A. CI Sub-Annex'!J43</f>
        <v>0.5</v>
      </c>
      <c r="K18" s="1019">
        <f>'3-A. CI Sub-Annex'!K43</f>
        <v>0</v>
      </c>
      <c r="L18" s="1019">
        <f>'3-A. CI Sub-Annex'!L43</f>
        <v>0</v>
      </c>
      <c r="M18" s="962">
        <f>'3-A. CI Sub-Annex'!M43</f>
        <v>0</v>
      </c>
      <c r="N18" s="1019">
        <f>'3-A. CI Sub-Annex'!N43</f>
        <v>0</v>
      </c>
      <c r="O18" s="962">
        <f>'3-A. CI Sub-Annex'!O43</f>
        <v>0</v>
      </c>
      <c r="P18" s="233">
        <f>'3-A. CI Sub-Annex'!P43</f>
        <v>0</v>
      </c>
      <c r="Q18" s="54"/>
      <c r="R18" s="694"/>
    </row>
    <row r="19" spans="1:18" ht="30">
      <c r="A19" s="4101"/>
      <c r="B19" s="233" t="str">
        <f>'3-A. CI Sub-Annex'!B44</f>
        <v>F.1.4.e</v>
      </c>
      <c r="C19" s="233" t="str">
        <f>'3-A. CI Sub-Annex'!C44</f>
        <v>Honorarium  for Drug Distribution including ASHAs and supervisors involved in MDA</v>
      </c>
      <c r="D19" s="1019" t="str">
        <f>'3-A. CI Sub-Annex'!D44</f>
        <v>NDCP</v>
      </c>
      <c r="E19" s="1019" t="str">
        <f>'3-A. CI Sub-Annex'!E44</f>
        <v>NVBDCP-Lymphatic Filariasis</v>
      </c>
      <c r="F19" s="1019" t="e">
        <f>'3-A. CI Sub-Annex'!#REF!</f>
        <v>#REF!</v>
      </c>
      <c r="G19" s="1019">
        <f>'3-A. CI Sub-Annex'!F44</f>
        <v>0</v>
      </c>
      <c r="H19" s="1019">
        <f>'3-A. CI Sub-Annex'!H44</f>
        <v>0</v>
      </c>
      <c r="I19" s="1019">
        <f>'3-A. CI Sub-Annex'!I44</f>
        <v>0</v>
      </c>
      <c r="J19" s="1019">
        <f>'3-A. CI Sub-Annex'!J44</f>
        <v>0</v>
      </c>
      <c r="K19" s="1019">
        <f>'3-A. CI Sub-Annex'!K44</f>
        <v>0</v>
      </c>
      <c r="L19" s="1019">
        <f>'3-A. CI Sub-Annex'!L44</f>
        <v>0</v>
      </c>
      <c r="M19" s="962">
        <f>'3-A. CI Sub-Annex'!M44</f>
        <v>0</v>
      </c>
      <c r="N19" s="1019">
        <f>'3-A. CI Sub-Annex'!N44</f>
        <v>0</v>
      </c>
      <c r="O19" s="962">
        <f>'3-A. CI Sub-Annex'!O44</f>
        <v>0</v>
      </c>
      <c r="P19" s="233">
        <f>'3-A. CI Sub-Annex'!P44</f>
        <v>0</v>
      </c>
      <c r="Q19" s="54"/>
      <c r="R19" s="694"/>
    </row>
    <row r="20" spans="1:18" ht="30">
      <c r="A20" s="4101"/>
      <c r="B20" s="233" t="str">
        <f>'3-A. CI Sub-Annex'!B45</f>
        <v>F.1.4.i</v>
      </c>
      <c r="C20" s="233" t="str">
        <f>'3-A. CI Sub-Annex'!C45</f>
        <v>ASHA incentive for one time line listing of Lymphoedema and Hydrocele cases in non-endemic dist.</v>
      </c>
      <c r="D20" s="1019" t="str">
        <f>'3-A. CI Sub-Annex'!D45</f>
        <v>NDCP</v>
      </c>
      <c r="E20" s="1019" t="str">
        <f>'3-A. CI Sub-Annex'!E45</f>
        <v>NVBDCP-Lymphatic Filariasis</v>
      </c>
      <c r="F20" s="1019" t="e">
        <f>'3-A. CI Sub-Annex'!#REF!</f>
        <v>#REF!</v>
      </c>
      <c r="G20" s="1019">
        <f>'3-A. CI Sub-Annex'!F45</f>
        <v>0</v>
      </c>
      <c r="H20" s="1019">
        <f>'3-A. CI Sub-Annex'!H45</f>
        <v>0</v>
      </c>
      <c r="I20" s="1019">
        <f>'3-A. CI Sub-Annex'!I45</f>
        <v>0</v>
      </c>
      <c r="J20" s="1019">
        <f>'3-A. CI Sub-Annex'!J45</f>
        <v>0</v>
      </c>
      <c r="K20" s="1019">
        <f>'3-A. CI Sub-Annex'!K45</f>
        <v>0</v>
      </c>
      <c r="L20" s="1019">
        <f>'3-A. CI Sub-Annex'!L45</f>
        <v>0</v>
      </c>
      <c r="M20" s="962">
        <f>'3-A. CI Sub-Annex'!M45</f>
        <v>0</v>
      </c>
      <c r="N20" s="1019">
        <f>'3-A. CI Sub-Annex'!N45</f>
        <v>0</v>
      </c>
      <c r="O20" s="962">
        <f>'3-A. CI Sub-Annex'!O45</f>
        <v>0</v>
      </c>
      <c r="P20" s="233">
        <f>'3-A. CI Sub-Annex'!P45</f>
        <v>0</v>
      </c>
      <c r="Q20" s="54"/>
      <c r="R20" s="694"/>
    </row>
    <row r="21" spans="1:18" ht="30">
      <c r="A21" s="4101"/>
      <c r="B21" s="233">
        <f>'3-A. CI Sub-Annex'!B46</f>
        <v>0</v>
      </c>
      <c r="C21" s="233" t="str">
        <f>'3-A. CI Sub-Annex'!C46</f>
        <v>ASHA incentive for supporting IRS / sensitizing community to accept IRS and Referral / Ensuring treatment for Kala-azar cases</v>
      </c>
      <c r="D21" s="1019" t="str">
        <f>'3-A. CI Sub-Annex'!D46</f>
        <v>NDCP</v>
      </c>
      <c r="E21" s="1019" t="str">
        <f>'3-A. CI Sub-Annex'!E46</f>
        <v>NVBDCP- Kala-azar</v>
      </c>
      <c r="F21" s="1019" t="e">
        <f>'3-A. CI Sub-Annex'!#REF!</f>
        <v>#REF!</v>
      </c>
      <c r="G21" s="1019">
        <f>'3-A. CI Sub-Annex'!F46</f>
        <v>0</v>
      </c>
      <c r="H21" s="1019">
        <f>'3-A. CI Sub-Annex'!H46</f>
        <v>0</v>
      </c>
      <c r="I21" s="1019">
        <f>'3-A. CI Sub-Annex'!I46</f>
        <v>0</v>
      </c>
      <c r="J21" s="1019">
        <f>'3-A. CI Sub-Annex'!J46</f>
        <v>0</v>
      </c>
      <c r="K21" s="1019">
        <f>'3-A. CI Sub-Annex'!K46</f>
        <v>0</v>
      </c>
      <c r="L21" s="1019">
        <f>'3-A. CI Sub-Annex'!L46</f>
        <v>0</v>
      </c>
      <c r="M21" s="962">
        <f>'3-A. CI Sub-Annex'!M46</f>
        <v>0</v>
      </c>
      <c r="N21" s="1019">
        <f>'3-A. CI Sub-Annex'!N46</f>
        <v>0</v>
      </c>
      <c r="O21" s="962">
        <f>'3-A. CI Sub-Annex'!O46</f>
        <v>0</v>
      </c>
      <c r="P21" s="233">
        <f>'3-A. CI Sub-Annex'!P46</f>
        <v>0</v>
      </c>
      <c r="Q21" s="54"/>
      <c r="R21" s="694"/>
    </row>
    <row r="22" spans="1:18" ht="30">
      <c r="A22" s="4102" t="str">
        <f>'3.Community Intervention Annexn'!A38</f>
        <v>3.2.2.1</v>
      </c>
      <c r="B22" s="2014" t="str">
        <f>'3-A. CI Sub-Annex'!B95</f>
        <v>F.1.1.c.i</v>
      </c>
      <c r="C22" s="2014" t="str">
        <f>'3-A. CI Sub-Annex'!C95</f>
        <v xml:space="preserve">Operational cost for Spray Wages </v>
      </c>
      <c r="D22" s="1006" t="str">
        <f>'3-A. CI Sub-Annex'!D95</f>
        <v>NDCP</v>
      </c>
      <c r="E22" s="1006" t="str">
        <f>'3-A. CI Sub-Annex'!E95</f>
        <v>NVBDCP- Malaria</v>
      </c>
      <c r="F22" s="1006">
        <f>'3-A. CI Sub-Annex'!F95</f>
        <v>0</v>
      </c>
      <c r="G22" s="1006">
        <f>'3-A. CI Sub-Annex'!G95</f>
        <v>0</v>
      </c>
      <c r="H22" s="1006">
        <f>'3-A. CI Sub-Annex'!H95</f>
        <v>0</v>
      </c>
      <c r="I22" s="1006">
        <f>'3-A. CI Sub-Annex'!I95</f>
        <v>0</v>
      </c>
      <c r="J22" s="1006">
        <f>'3-A. CI Sub-Annex'!J95</f>
        <v>0</v>
      </c>
      <c r="K22" s="1006">
        <f>'3-A. CI Sub-Annex'!K95</f>
        <v>0</v>
      </c>
      <c r="L22" s="1006">
        <f>'3-A. CI Sub-Annex'!L95</f>
        <v>0</v>
      </c>
      <c r="M22" s="162">
        <f>'3-A. CI Sub-Annex'!M95</f>
        <v>0</v>
      </c>
      <c r="N22" s="1006">
        <f>'3-A. CI Sub-Annex'!N95</f>
        <v>0</v>
      </c>
      <c r="O22" s="162">
        <f>'3-A. CI Sub-Annex'!O95</f>
        <v>0</v>
      </c>
      <c r="P22" s="2014">
        <f>'3-A. CI Sub-Annex'!P95</f>
        <v>0</v>
      </c>
      <c r="Q22" s="54"/>
      <c r="R22" s="694"/>
    </row>
    <row r="23" spans="1:18" ht="30">
      <c r="A23" s="4102"/>
      <c r="B23" s="2014" t="str">
        <f>'3-A. CI Sub-Annex'!B96</f>
        <v>F.1.1.c.ii</v>
      </c>
      <c r="C23" s="2014" t="str">
        <f>'3-A. CI Sub-Annex'!C96</f>
        <v>Operational cost for IRS</v>
      </c>
      <c r="D23" s="1006" t="str">
        <f>'3-A. CI Sub-Annex'!D96</f>
        <v>NDCP</v>
      </c>
      <c r="E23" s="1006" t="str">
        <f>'3-A. CI Sub-Annex'!E96</f>
        <v>NVBDCP- Malaria</v>
      </c>
      <c r="F23" s="1006">
        <f>'3-A. CI Sub-Annex'!F96</f>
        <v>0</v>
      </c>
      <c r="G23" s="1006">
        <f>'3-A. CI Sub-Annex'!G96</f>
        <v>0</v>
      </c>
      <c r="H23" s="1006">
        <f>'3-A. CI Sub-Annex'!H96</f>
        <v>0</v>
      </c>
      <c r="I23" s="1006">
        <f>'3-A. CI Sub-Annex'!I96</f>
        <v>0</v>
      </c>
      <c r="J23" s="1006">
        <f>'3-A. CI Sub-Annex'!J96</f>
        <v>0</v>
      </c>
      <c r="K23" s="1006">
        <f>'3-A. CI Sub-Annex'!K96</f>
        <v>0</v>
      </c>
      <c r="L23" s="1006">
        <f>'3-A. CI Sub-Annex'!L96</f>
        <v>0</v>
      </c>
      <c r="M23" s="162">
        <f>'3-A. CI Sub-Annex'!M96</f>
        <v>0</v>
      </c>
      <c r="N23" s="1006">
        <f>'3-A. CI Sub-Annex'!N96</f>
        <v>0</v>
      </c>
      <c r="O23" s="162">
        <f>'3-A. CI Sub-Annex'!O96</f>
        <v>0</v>
      </c>
      <c r="P23" s="2014">
        <f>'3-A. CI Sub-Annex'!P96</f>
        <v>0</v>
      </c>
      <c r="Q23" s="54"/>
      <c r="R23" s="694"/>
    </row>
    <row r="24" spans="1:18" ht="30">
      <c r="A24" s="4102"/>
      <c r="B24" s="2014" t="str">
        <f>'3-A. CI Sub-Annex'!B97</f>
        <v>F.1.1.c.iii</v>
      </c>
      <c r="C24" s="2014" t="str">
        <f>'3-A. CI Sub-Annex'!C97</f>
        <v>Operational cost for Impregnation  of Bed nets-  for NE states</v>
      </c>
      <c r="D24" s="1006" t="str">
        <f>'3-A. CI Sub-Annex'!D97</f>
        <v>NDCP</v>
      </c>
      <c r="E24" s="1006" t="str">
        <f>'3-A. CI Sub-Annex'!E97</f>
        <v>NVBDCP- Malaria</v>
      </c>
      <c r="F24" s="1006">
        <f>'3-A. CI Sub-Annex'!F97</f>
        <v>0</v>
      </c>
      <c r="G24" s="1006">
        <f>'3-A. CI Sub-Annex'!G97</f>
        <v>0</v>
      </c>
      <c r="H24" s="1006">
        <f>'3-A. CI Sub-Annex'!H97</f>
        <v>0</v>
      </c>
      <c r="I24" s="1006">
        <f>'3-A. CI Sub-Annex'!I97</f>
        <v>0</v>
      </c>
      <c r="J24" s="1006">
        <f>'3-A. CI Sub-Annex'!J97</f>
        <v>0</v>
      </c>
      <c r="K24" s="1006">
        <f>'3-A. CI Sub-Annex'!K97</f>
        <v>0</v>
      </c>
      <c r="L24" s="1006">
        <f>'3-A. CI Sub-Annex'!L97</f>
        <v>0</v>
      </c>
      <c r="M24" s="162">
        <f>'3-A. CI Sub-Annex'!M97</f>
        <v>0</v>
      </c>
      <c r="N24" s="1006">
        <f>'3-A. CI Sub-Annex'!N97</f>
        <v>0</v>
      </c>
      <c r="O24" s="162">
        <f>'3-A. CI Sub-Annex'!O97</f>
        <v>0</v>
      </c>
      <c r="P24" s="2014">
        <f>'3-A. CI Sub-Annex'!P97</f>
        <v>0</v>
      </c>
      <c r="Q24" s="54"/>
      <c r="R24" s="694"/>
    </row>
    <row r="25" spans="1:18" ht="30">
      <c r="A25" s="4102"/>
      <c r="B25" s="2014" t="str">
        <f>'3-A. CI Sub-Annex'!B98</f>
        <v>F.1.1.h</v>
      </c>
      <c r="C25" s="2014" t="str">
        <f>'3-A. CI Sub-Annex'!C98</f>
        <v>Biological and Environmental Management through VHSC</v>
      </c>
      <c r="D25" s="1006" t="str">
        <f>'3-A. CI Sub-Annex'!D98</f>
        <v>NDCP</v>
      </c>
      <c r="E25" s="1006" t="str">
        <f>'3-A. CI Sub-Annex'!E98</f>
        <v>NVBDCP- Malaria</v>
      </c>
      <c r="F25" s="1006">
        <f>'3-A. CI Sub-Annex'!F98</f>
        <v>0</v>
      </c>
      <c r="G25" s="1006">
        <f>'3-A. CI Sub-Annex'!G98</f>
        <v>0</v>
      </c>
      <c r="H25" s="1006">
        <f>'3-A. CI Sub-Annex'!H98</f>
        <v>0</v>
      </c>
      <c r="I25" s="1006">
        <f>'3-A. CI Sub-Annex'!I98</f>
        <v>0</v>
      </c>
      <c r="J25" s="1006">
        <f>'3-A. CI Sub-Annex'!J98</f>
        <v>0</v>
      </c>
      <c r="K25" s="1006">
        <f>'3-A. CI Sub-Annex'!K98</f>
        <v>0</v>
      </c>
      <c r="L25" s="1006">
        <f>'3-A. CI Sub-Annex'!L98</f>
        <v>0</v>
      </c>
      <c r="M25" s="162">
        <f>'3-A. CI Sub-Annex'!M98</f>
        <v>0</v>
      </c>
      <c r="N25" s="1006">
        <f>'3-A. CI Sub-Annex'!N98</f>
        <v>0</v>
      </c>
      <c r="O25" s="162">
        <f>'3-A. CI Sub-Annex'!O98</f>
        <v>0</v>
      </c>
      <c r="P25" s="2014">
        <f>'3-A. CI Sub-Annex'!P98</f>
        <v>0</v>
      </c>
      <c r="Q25" s="54"/>
      <c r="R25" s="694"/>
    </row>
    <row r="26" spans="1:18" ht="30">
      <c r="A26" s="4102"/>
      <c r="B26" s="2014" t="str">
        <f>'3-A. CI Sub-Annex'!B99</f>
        <v>F.1.1.i</v>
      </c>
      <c r="C26" s="2014" t="str">
        <f>'3-A. CI Sub-Annex'!C99</f>
        <v>Larvivorous Fish support</v>
      </c>
      <c r="D26" s="1006" t="str">
        <f>'3-A. CI Sub-Annex'!D99</f>
        <v>NDCP</v>
      </c>
      <c r="E26" s="1006" t="str">
        <f>'3-A. CI Sub-Annex'!E99</f>
        <v>NVBDCP- Malaria</v>
      </c>
      <c r="F26" s="1006">
        <f>'3-A. CI Sub-Annex'!F99</f>
        <v>0</v>
      </c>
      <c r="G26" s="1006">
        <f>'3-A. CI Sub-Annex'!G99</f>
        <v>0</v>
      </c>
      <c r="H26" s="1006">
        <f>'3-A. CI Sub-Annex'!H99</f>
        <v>0</v>
      </c>
      <c r="I26" s="1006">
        <f>'3-A. CI Sub-Annex'!I99</f>
        <v>0</v>
      </c>
      <c r="J26" s="1006">
        <f>'3-A. CI Sub-Annex'!J99</f>
        <v>0</v>
      </c>
      <c r="K26" s="1006">
        <f>'3-A. CI Sub-Annex'!K99</f>
        <v>0</v>
      </c>
      <c r="L26" s="1006">
        <f>'3-A. CI Sub-Annex'!L99</f>
        <v>0</v>
      </c>
      <c r="M26" s="162">
        <f>'3-A. CI Sub-Annex'!M99</f>
        <v>0</v>
      </c>
      <c r="N26" s="1006">
        <f>'3-A. CI Sub-Annex'!N99</f>
        <v>0</v>
      </c>
      <c r="O26" s="162">
        <f>'3-A. CI Sub-Annex'!O99</f>
        <v>0</v>
      </c>
      <c r="P26" s="2014">
        <f>'3-A. CI Sub-Annex'!P99</f>
        <v>0</v>
      </c>
      <c r="Q26" s="54"/>
      <c r="R26" s="694"/>
    </row>
    <row r="27" spans="1:18" ht="30">
      <c r="A27" s="4102"/>
      <c r="B27" s="2014">
        <f>'3-A. CI Sub-Annex'!B100</f>
        <v>0</v>
      </c>
      <c r="C27" s="2014" t="str">
        <f>'3-A. CI Sub-Annex'!C100</f>
        <v>Community Health Volunteers (CHVs) for inaccessible villages</v>
      </c>
      <c r="D27" s="1006" t="str">
        <f>'3-A. CI Sub-Annex'!D100</f>
        <v>NDCP</v>
      </c>
      <c r="E27" s="1006" t="str">
        <f>'3-A. CI Sub-Annex'!E100</f>
        <v>NVBDCP- Malaria</v>
      </c>
      <c r="F27" s="1006">
        <f>'3-A. CI Sub-Annex'!F100</f>
        <v>0</v>
      </c>
      <c r="G27" s="1006">
        <f>'3-A. CI Sub-Annex'!G100</f>
        <v>0</v>
      </c>
      <c r="H27" s="1006">
        <f>'3-A. CI Sub-Annex'!H100</f>
        <v>0</v>
      </c>
      <c r="I27" s="1006">
        <f>'3-A. CI Sub-Annex'!I100</f>
        <v>0</v>
      </c>
      <c r="J27" s="1006">
        <f>'3-A. CI Sub-Annex'!J100</f>
        <v>0</v>
      </c>
      <c r="K27" s="1006">
        <f>'3-A. CI Sub-Annex'!K100</f>
        <v>0</v>
      </c>
      <c r="L27" s="1006">
        <f>'3-A. CI Sub-Annex'!L100</f>
        <v>0</v>
      </c>
      <c r="M27" s="162">
        <f>'3-A. CI Sub-Annex'!M100</f>
        <v>0</v>
      </c>
      <c r="N27" s="1006">
        <f>'3-A. CI Sub-Annex'!N100</f>
        <v>0</v>
      </c>
      <c r="O27" s="162">
        <f>'3-A. CI Sub-Annex'!O100</f>
        <v>0</v>
      </c>
      <c r="P27" s="2014">
        <f>'3-A. CI Sub-Annex'!P100</f>
        <v>0</v>
      </c>
      <c r="Q27" s="54"/>
      <c r="R27" s="694"/>
    </row>
    <row r="28" spans="1:18" ht="45">
      <c r="A28" s="4102"/>
      <c r="B28" s="2014" t="str">
        <f>'3-A. CI Sub-Annex'!B102</f>
        <v>F.1.2.f</v>
      </c>
      <c r="C28" s="2014" t="str">
        <f>'3-A. CI Sub-Annex'!C102</f>
        <v>Dengue &amp; Chikungunya: Vector Control,  environmental management &amp; fogging machine</v>
      </c>
      <c r="D28" s="1006" t="str">
        <f>'3-A. CI Sub-Annex'!D102</f>
        <v>NDCP</v>
      </c>
      <c r="E28" s="1006" t="str">
        <f>'3-A. CI Sub-Annex'!E102</f>
        <v>NVBDCP-Dengue &amp; Chikungunya</v>
      </c>
      <c r="F28" s="1006">
        <f>'3-A. CI Sub-Annex'!F102</f>
        <v>0</v>
      </c>
      <c r="G28" s="1006">
        <f>'3-A. CI Sub-Annex'!G102</f>
        <v>0</v>
      </c>
      <c r="H28" s="1006">
        <f>'3-A. CI Sub-Annex'!H102</f>
        <v>0</v>
      </c>
      <c r="I28" s="1006">
        <f>'3-A. CI Sub-Annex'!I102</f>
        <v>0</v>
      </c>
      <c r="J28" s="1006">
        <f>'3-A. CI Sub-Annex'!J102</f>
        <v>0</v>
      </c>
      <c r="K28" s="1006">
        <f>'3-A. CI Sub-Annex'!K102</f>
        <v>0</v>
      </c>
      <c r="L28" s="1006">
        <f>'3-A. CI Sub-Annex'!L102</f>
        <v>50000</v>
      </c>
      <c r="M28" s="162">
        <f>'3-A. CI Sub-Annex'!M102</f>
        <v>0.5</v>
      </c>
      <c r="N28" s="1006">
        <f>'3-A. CI Sub-Annex'!N102</f>
        <v>7</v>
      </c>
      <c r="O28" s="162">
        <f>'3-A. CI Sub-Annex'!O102</f>
        <v>3.5</v>
      </c>
      <c r="P28" s="2014" t="str">
        <f>'3-A. CI Sub-Annex'!P102</f>
        <v>Districts Sirmour, Una, Solan, Bilaspur, Kangra, Kullu and Hamirpur</v>
      </c>
      <c r="Q28" s="54" t="s">
        <v>5692</v>
      </c>
      <c r="R28" s="694">
        <v>3.5</v>
      </c>
    </row>
    <row r="29" spans="1:18" ht="30">
      <c r="A29" s="4102"/>
      <c r="B29" s="2014" t="str">
        <f>'3-A. CI Sub-Annex'!B103</f>
        <v>F.1.3.g</v>
      </c>
      <c r="C29" s="2014" t="str">
        <f>'3-A. CI Sub-Annex'!C103</f>
        <v>Acute Encephalitis Syndrome (AES)/ Japanese Encephalitis (JE): Operational costs for malathion  fogging</v>
      </c>
      <c r="D29" s="1006" t="str">
        <f>'3-A. CI Sub-Annex'!D103</f>
        <v>NDCP</v>
      </c>
      <c r="E29" s="1006" t="str">
        <f>'3-A. CI Sub-Annex'!E103</f>
        <v>NVBDCP-AES/JE</v>
      </c>
      <c r="F29" s="1006">
        <f>'3-A. CI Sub-Annex'!F103</f>
        <v>0</v>
      </c>
      <c r="G29" s="1006">
        <f>'3-A. CI Sub-Annex'!G103</f>
        <v>0</v>
      </c>
      <c r="H29" s="1006">
        <f>'3-A. CI Sub-Annex'!H103</f>
        <v>0</v>
      </c>
      <c r="I29" s="1006">
        <f>'3-A. CI Sub-Annex'!I103</f>
        <v>0</v>
      </c>
      <c r="J29" s="1006">
        <f>'3-A. CI Sub-Annex'!J103</f>
        <v>0</v>
      </c>
      <c r="K29" s="1006">
        <f>'3-A. CI Sub-Annex'!K103</f>
        <v>0</v>
      </c>
      <c r="L29" s="1006">
        <f>'3-A. CI Sub-Annex'!L103</f>
        <v>0</v>
      </c>
      <c r="M29" s="162">
        <f>'3-A. CI Sub-Annex'!M103</f>
        <v>0</v>
      </c>
      <c r="N29" s="1006">
        <f>'3-A. CI Sub-Annex'!N103</f>
        <v>0</v>
      </c>
      <c r="O29" s="162">
        <f>'3-A. CI Sub-Annex'!O103</f>
        <v>0</v>
      </c>
      <c r="P29" s="2014">
        <f>'3-A. CI Sub-Annex'!P103</f>
        <v>0</v>
      </c>
      <c r="Q29" s="54"/>
      <c r="R29" s="694"/>
    </row>
    <row r="30" spans="1:18" ht="30">
      <c r="A30" s="4102"/>
      <c r="B30" s="2014" t="str">
        <f>'3-A. CI Sub-Annex'!B104</f>
        <v>F.1.5.b</v>
      </c>
      <c r="C30" s="2014" t="str">
        <f>'3-A. CI Sub-Annex'!C104</f>
        <v>Kala-azar: Operational cost for spray including spray wages</v>
      </c>
      <c r="D30" s="1006" t="str">
        <f>'3-A. CI Sub-Annex'!D104</f>
        <v>NDCP</v>
      </c>
      <c r="E30" s="1006" t="str">
        <f>'3-A. CI Sub-Annex'!E104</f>
        <v>NVBDCP- Kala-azar</v>
      </c>
      <c r="F30" s="1006">
        <f>'3-A. CI Sub-Annex'!F104</f>
        <v>0</v>
      </c>
      <c r="G30" s="1006">
        <f>'3-A. CI Sub-Annex'!G104</f>
        <v>0</v>
      </c>
      <c r="H30" s="1006">
        <f>'3-A. CI Sub-Annex'!H104</f>
        <v>0</v>
      </c>
      <c r="I30" s="1006">
        <f>'3-A. CI Sub-Annex'!I104</f>
        <v>0</v>
      </c>
      <c r="J30" s="1006">
        <f>'3-A. CI Sub-Annex'!J104</f>
        <v>0</v>
      </c>
      <c r="K30" s="1006">
        <f>'3-A. CI Sub-Annex'!K104</f>
        <v>0</v>
      </c>
      <c r="L30" s="1006">
        <f>'3-A. CI Sub-Annex'!L104</f>
        <v>0</v>
      </c>
      <c r="M30" s="162">
        <f>'3-A. CI Sub-Annex'!M104</f>
        <v>0</v>
      </c>
      <c r="N30" s="1006">
        <f>'3-A. CI Sub-Annex'!N104</f>
        <v>0</v>
      </c>
      <c r="O30" s="162">
        <f>'3-A. CI Sub-Annex'!O104</f>
        <v>0</v>
      </c>
      <c r="P30" s="2014">
        <f>'3-A. CI Sub-Annex'!P104</f>
        <v>0</v>
      </c>
      <c r="Q30" s="54"/>
      <c r="R30" s="694"/>
    </row>
    <row r="31" spans="1:18" ht="30">
      <c r="A31" s="4102"/>
      <c r="B31" s="2014" t="str">
        <f>'3-A. CI Sub-Annex'!B105</f>
        <v>F.1.5.e</v>
      </c>
      <c r="C31" s="2014" t="str">
        <f>'3-A. CI Sub-Annex'!C105</f>
        <v>Kala-azar: Training for spraying</v>
      </c>
      <c r="D31" s="1006" t="str">
        <f>'3-A. CI Sub-Annex'!D105</f>
        <v>NDCP</v>
      </c>
      <c r="E31" s="1006" t="str">
        <f>'3-A. CI Sub-Annex'!E105</f>
        <v>NVBDCP- Kala-azar</v>
      </c>
      <c r="F31" s="1006">
        <f>'3-A. CI Sub-Annex'!F105</f>
        <v>0</v>
      </c>
      <c r="G31" s="1006">
        <f>'3-A. CI Sub-Annex'!G105</f>
        <v>0</v>
      </c>
      <c r="H31" s="1006">
        <f>'3-A. CI Sub-Annex'!H105</f>
        <v>0</v>
      </c>
      <c r="I31" s="1006">
        <f>'3-A. CI Sub-Annex'!I105</f>
        <v>0</v>
      </c>
      <c r="J31" s="1006">
        <f>'3-A. CI Sub-Annex'!J105</f>
        <v>0</v>
      </c>
      <c r="K31" s="1006">
        <f>'3-A. CI Sub-Annex'!K105</f>
        <v>0</v>
      </c>
      <c r="L31" s="1006">
        <f>'3-A. CI Sub-Annex'!L105</f>
        <v>0</v>
      </c>
      <c r="M31" s="162">
        <f>'3-A. CI Sub-Annex'!M105</f>
        <v>0</v>
      </c>
      <c r="N31" s="1006">
        <f>'3-A. CI Sub-Annex'!N105</f>
        <v>0</v>
      </c>
      <c r="O31" s="162">
        <f>'3-A. CI Sub-Annex'!O105</f>
        <v>0</v>
      </c>
      <c r="P31" s="2014">
        <f>'3-A. CI Sub-Annex'!P105</f>
        <v>0</v>
      </c>
      <c r="Q31" s="54"/>
      <c r="R31" s="694"/>
    </row>
    <row r="32" spans="1:18">
      <c r="A32" s="1970">
        <f>'5.Infrastructure Annex'!A7</f>
        <v>5</v>
      </c>
      <c r="B32" s="1970"/>
      <c r="C32" s="1970" t="str">
        <f>'5.Infrastructure Annex'!C7</f>
        <v>Infrastructure</v>
      </c>
      <c r="D32" s="1969"/>
      <c r="E32" s="1969"/>
      <c r="F32" s="1969"/>
      <c r="G32" s="1969"/>
      <c r="H32" s="1969"/>
      <c r="I32" s="1969"/>
      <c r="J32" s="1969"/>
      <c r="K32" s="1969"/>
      <c r="L32" s="1969"/>
      <c r="M32" s="994"/>
      <c r="N32" s="1969"/>
      <c r="O32" s="994">
        <f>SUM(O33:O35)</f>
        <v>0</v>
      </c>
      <c r="P32" s="1970"/>
      <c r="Q32" s="1889"/>
      <c r="R32" s="115">
        <f>SUM(R33:R35)</f>
        <v>0</v>
      </c>
    </row>
    <row r="33" spans="1:18" ht="30">
      <c r="A33" s="88" t="str">
        <f>'5.Infrastructure Annex'!A91</f>
        <v>5.3.11</v>
      </c>
      <c r="B33" s="88" t="str">
        <f>'5.Infrastructure Annex'!B91</f>
        <v>F.1.1.j</v>
      </c>
      <c r="C33" s="88" t="str">
        <f>'5.Infrastructure Annex'!C91</f>
        <v>Construction and maintenance of Hatcheries</v>
      </c>
      <c r="D33" s="1975" t="str">
        <f>'5.Infrastructure Annex'!D91</f>
        <v>NDCP</v>
      </c>
      <c r="E33" s="1975" t="str">
        <f>'5.Infrastructure Annex'!E91</f>
        <v>NVBDCP- Malaria</v>
      </c>
      <c r="F33" s="1975">
        <f>'5.Infrastructure Annex'!F91</f>
        <v>0</v>
      </c>
      <c r="G33" s="1975">
        <f>'5.Infrastructure Annex'!G91</f>
        <v>0</v>
      </c>
      <c r="H33" s="1975">
        <f>'5.Infrastructure Annex'!H91</f>
        <v>0</v>
      </c>
      <c r="I33" s="1975">
        <f>'5.Infrastructure Annex'!I91</f>
        <v>0</v>
      </c>
      <c r="J33" s="1975">
        <f>'5.Infrastructure Annex'!J91</f>
        <v>0</v>
      </c>
      <c r="K33" s="1975">
        <f>'5.Infrastructure Annex'!K91</f>
        <v>0</v>
      </c>
      <c r="L33" s="1975">
        <f>'5.Infrastructure Annex'!L91</f>
        <v>0</v>
      </c>
      <c r="M33" s="162">
        <f>'5.Infrastructure Annex'!M91</f>
        <v>0</v>
      </c>
      <c r="N33" s="1975">
        <f>'5.Infrastructure Annex'!N91</f>
        <v>0</v>
      </c>
      <c r="O33" s="162">
        <f>'5.Infrastructure Annex'!O91</f>
        <v>0</v>
      </c>
      <c r="P33" s="88">
        <f>'5.Infrastructure Annex'!P91</f>
        <v>0</v>
      </c>
      <c r="Q33" s="54"/>
      <c r="R33" s="694"/>
    </row>
    <row r="34" spans="1:18" ht="30">
      <c r="A34" s="88" t="str">
        <f>'5.Infrastructure Annex'!A92</f>
        <v>5.3.12</v>
      </c>
      <c r="B34" s="88" t="str">
        <f>'5.Infrastructure Annex'!B92</f>
        <v>F.2.1.e</v>
      </c>
      <c r="C34" s="88" t="str">
        <f>'5.Infrastructure Annex'!C92</f>
        <v>Infrastructure (INF)</v>
      </c>
      <c r="D34" s="1975" t="str">
        <f>'5.Infrastructure Annex'!D92</f>
        <v>NDCP</v>
      </c>
      <c r="E34" s="1975" t="str">
        <f>'5.Infrastructure Annex'!E92</f>
        <v>NVBDCP - GFATM</v>
      </c>
      <c r="F34" s="1975">
        <f>'5.Infrastructure Annex'!F92</f>
        <v>0</v>
      </c>
      <c r="G34" s="1975">
        <f>'5.Infrastructure Annex'!G92</f>
        <v>0</v>
      </c>
      <c r="H34" s="1975">
        <f>'5.Infrastructure Annex'!H92</f>
        <v>0</v>
      </c>
      <c r="I34" s="1975">
        <f>'5.Infrastructure Annex'!I92</f>
        <v>0</v>
      </c>
      <c r="J34" s="1975">
        <f>'5.Infrastructure Annex'!J92</f>
        <v>0</v>
      </c>
      <c r="K34" s="1975">
        <f>'5.Infrastructure Annex'!K92</f>
        <v>0</v>
      </c>
      <c r="L34" s="1975">
        <f>'5.Infrastructure Annex'!L92</f>
        <v>0</v>
      </c>
      <c r="M34" s="162">
        <f>'5.Infrastructure Annex'!M92</f>
        <v>0</v>
      </c>
      <c r="N34" s="1975">
        <f>'5.Infrastructure Annex'!N92</f>
        <v>0</v>
      </c>
      <c r="O34" s="162">
        <f>'5.Infrastructure Annex'!O92</f>
        <v>0</v>
      </c>
      <c r="P34" s="88">
        <f>'5.Infrastructure Annex'!P92</f>
        <v>0</v>
      </c>
      <c r="Q34" s="54"/>
      <c r="R34" s="694"/>
    </row>
    <row r="35" spans="1:18" ht="30">
      <c r="A35" s="88" t="str">
        <f>'5.Infrastructure Annex'!A93</f>
        <v>5.3.13</v>
      </c>
      <c r="B35" s="88" t="str">
        <f>'5.Infrastructure Annex'!B93</f>
        <v>F.1.3.j</v>
      </c>
      <c r="C35" s="88" t="str">
        <f>'5.Infrastructure Annex'!C93</f>
        <v>ICU Establishment in Endemic District</v>
      </c>
      <c r="D35" s="1975" t="str">
        <f>'5.Infrastructure Annex'!D93</f>
        <v>NDCP</v>
      </c>
      <c r="E35" s="1975" t="str">
        <f>'5.Infrastructure Annex'!E93</f>
        <v>NVBDCP-AES/JE</v>
      </c>
      <c r="F35" s="1975">
        <f>'5.Infrastructure Annex'!F93</f>
        <v>0</v>
      </c>
      <c r="G35" s="1975">
        <f>'5.Infrastructure Annex'!G93</f>
        <v>0</v>
      </c>
      <c r="H35" s="1975">
        <f>'5.Infrastructure Annex'!H93</f>
        <v>0</v>
      </c>
      <c r="I35" s="1975">
        <f>'5.Infrastructure Annex'!I93</f>
        <v>0</v>
      </c>
      <c r="J35" s="1975">
        <f>'5.Infrastructure Annex'!J93</f>
        <v>0</v>
      </c>
      <c r="K35" s="1975">
        <f>'5.Infrastructure Annex'!K93</f>
        <v>0</v>
      </c>
      <c r="L35" s="1975">
        <f>'5.Infrastructure Annex'!L93</f>
        <v>0</v>
      </c>
      <c r="M35" s="162">
        <f>'5.Infrastructure Annex'!M93</f>
        <v>0</v>
      </c>
      <c r="N35" s="1975">
        <f>'5.Infrastructure Annex'!N93</f>
        <v>0</v>
      </c>
      <c r="O35" s="162">
        <f>'5.Infrastructure Annex'!O93</f>
        <v>0</v>
      </c>
      <c r="P35" s="88">
        <f>'5.Infrastructure Annex'!P93</f>
        <v>0</v>
      </c>
      <c r="Q35" s="54"/>
      <c r="R35" s="694"/>
    </row>
    <row r="36" spans="1:18">
      <c r="A36" s="1970">
        <f>'6.Procurement Annex'!A7</f>
        <v>6</v>
      </c>
      <c r="B36" s="1970"/>
      <c r="C36" s="1970" t="str">
        <f>'6.Procurement Annex'!C7</f>
        <v>Procurement</v>
      </c>
      <c r="D36" s="1969"/>
      <c r="E36" s="1969"/>
      <c r="F36" s="1969"/>
      <c r="G36" s="1969"/>
      <c r="H36" s="1969"/>
      <c r="I36" s="1969"/>
      <c r="J36" s="1969"/>
      <c r="K36" s="1969"/>
      <c r="L36" s="1969"/>
      <c r="M36" s="994"/>
      <c r="N36" s="1969"/>
      <c r="O36" s="994">
        <f>SUM(O37:O60)</f>
        <v>4.41</v>
      </c>
      <c r="P36" s="1970"/>
      <c r="Q36" s="1889"/>
      <c r="R36" s="115">
        <f>SUM(R37:R60)</f>
        <v>4.41</v>
      </c>
    </row>
    <row r="37" spans="1:18" ht="30">
      <c r="A37" s="4095" t="str">
        <f>'6.Procurement Annex'!A31</f>
        <v>6.1.4.2</v>
      </c>
      <c r="B37" s="88" t="str">
        <f>'6-A. Proc. Sub-Annex'!B77</f>
        <v>F.2.1.c</v>
      </c>
      <c r="C37" s="88" t="str">
        <f>'6-A. Proc. Sub-Annex'!C77</f>
        <v>Health Products- Equipment (HPE) - GFATM</v>
      </c>
      <c r="D37" s="1975" t="str">
        <f>'6-A. Proc. Sub-Annex'!D77</f>
        <v>NDCP</v>
      </c>
      <c r="E37" s="1975" t="str">
        <f>'6-A. Proc. Sub-Annex'!E77</f>
        <v>NVBDCP - GFATM</v>
      </c>
      <c r="F37" s="1975">
        <f>'6-A. Proc. Sub-Annex'!F77</f>
        <v>0</v>
      </c>
      <c r="G37" s="1975">
        <f>'6-A. Proc. Sub-Annex'!G77</f>
        <v>0</v>
      </c>
      <c r="H37" s="1975">
        <f>'6-A. Proc. Sub-Annex'!H77</f>
        <v>0</v>
      </c>
      <c r="I37" s="1975">
        <f>'6-A. Proc. Sub-Annex'!I77</f>
        <v>0</v>
      </c>
      <c r="J37" s="1975">
        <f>'6-A. Proc. Sub-Annex'!J77</f>
        <v>0</v>
      </c>
      <c r="K37" s="1975">
        <f>'6-A. Proc. Sub-Annex'!K77</f>
        <v>0</v>
      </c>
      <c r="L37" s="1975">
        <f>'6-A. Proc. Sub-Annex'!L77</f>
        <v>0</v>
      </c>
      <c r="M37" s="162">
        <f>'6-A. Proc. Sub-Annex'!M77</f>
        <v>0</v>
      </c>
      <c r="N37" s="1975">
        <f>'6-A. Proc. Sub-Annex'!N77</f>
        <v>0</v>
      </c>
      <c r="O37" s="162">
        <f>'6-A. Proc. Sub-Annex'!O77</f>
        <v>0</v>
      </c>
      <c r="P37" s="88">
        <f>'6-A. Proc. Sub-Annex'!P77</f>
        <v>0</v>
      </c>
      <c r="Q37" s="54"/>
      <c r="R37" s="694"/>
    </row>
    <row r="38" spans="1:18" ht="30">
      <c r="A38" s="4095"/>
      <c r="B38" s="88" t="str">
        <f>'6-A. Proc. Sub-Annex'!B78</f>
        <v>F.1.3.f</v>
      </c>
      <c r="C38" s="88" t="str">
        <f>'6-A. Proc. Sub-Annex'!C78</f>
        <v>Fogging Machine</v>
      </c>
      <c r="D38" s="1975" t="str">
        <f>'6-A. Proc. Sub-Annex'!D78</f>
        <v>NDCP</v>
      </c>
      <c r="E38" s="1975" t="str">
        <f>'6-A. Proc. Sub-Annex'!E78</f>
        <v>NVBDCP - AES/JE</v>
      </c>
      <c r="F38" s="1975">
        <f>'6-A. Proc. Sub-Annex'!F78</f>
        <v>0</v>
      </c>
      <c r="G38" s="1975">
        <f>'6-A. Proc. Sub-Annex'!G78</f>
        <v>0</v>
      </c>
      <c r="H38" s="1975">
        <f>'6-A. Proc. Sub-Annex'!H78</f>
        <v>0</v>
      </c>
      <c r="I38" s="1975">
        <f>'6-A. Proc. Sub-Annex'!I78</f>
        <v>0</v>
      </c>
      <c r="J38" s="1975">
        <f>'6-A. Proc. Sub-Annex'!J78</f>
        <v>0</v>
      </c>
      <c r="K38" s="1975">
        <f>'6-A. Proc. Sub-Annex'!K78</f>
        <v>0</v>
      </c>
      <c r="L38" s="1975">
        <f>'6-A. Proc. Sub-Annex'!L78</f>
        <v>0</v>
      </c>
      <c r="M38" s="162">
        <f>'6-A. Proc. Sub-Annex'!M78</f>
        <v>0</v>
      </c>
      <c r="N38" s="1975">
        <f>'6-A. Proc. Sub-Annex'!N78</f>
        <v>0</v>
      </c>
      <c r="O38" s="162">
        <f>'6-A. Proc. Sub-Annex'!O78</f>
        <v>0</v>
      </c>
      <c r="P38" s="88">
        <f>'6-A. Proc. Sub-Annex'!P78</f>
        <v>0</v>
      </c>
      <c r="Q38" s="54"/>
      <c r="R38" s="694"/>
    </row>
    <row r="39" spans="1:18" ht="30">
      <c r="A39" s="4095"/>
      <c r="B39" s="88" t="str">
        <f>'6-A. Proc. Sub-Annex'!B79</f>
        <v>F.1.5.a</v>
      </c>
      <c r="C39" s="88" t="str">
        <f>'6-A. Proc. Sub-Annex'!C79</f>
        <v>Spray Pumps &amp; accessories</v>
      </c>
      <c r="D39" s="1975" t="str">
        <f>'6-A. Proc. Sub-Annex'!D79</f>
        <v>NDCP</v>
      </c>
      <c r="E39" s="1975" t="str">
        <f>'6-A. Proc. Sub-Annex'!E79</f>
        <v>NVBDCP - KalaAzar</v>
      </c>
      <c r="F39" s="1975">
        <f>'6-A. Proc. Sub-Annex'!F79</f>
        <v>0</v>
      </c>
      <c r="G39" s="1975">
        <f>'6-A. Proc. Sub-Annex'!G79</f>
        <v>0</v>
      </c>
      <c r="H39" s="1975">
        <f>'6-A. Proc. Sub-Annex'!H79</f>
        <v>0</v>
      </c>
      <c r="I39" s="1975">
        <f>'6-A. Proc. Sub-Annex'!I79</f>
        <v>0</v>
      </c>
      <c r="J39" s="1975">
        <f>'6-A. Proc. Sub-Annex'!J79</f>
        <v>0</v>
      </c>
      <c r="K39" s="1975">
        <f>'6-A. Proc. Sub-Annex'!K79</f>
        <v>0</v>
      </c>
      <c r="L39" s="1975">
        <f>'6-A. Proc. Sub-Annex'!L79</f>
        <v>0</v>
      </c>
      <c r="M39" s="162">
        <f>'6-A. Proc. Sub-Annex'!M79</f>
        <v>0</v>
      </c>
      <c r="N39" s="1975">
        <f>'6-A. Proc. Sub-Annex'!N79</f>
        <v>0</v>
      </c>
      <c r="O39" s="162">
        <f>'6-A. Proc. Sub-Annex'!O79</f>
        <v>0</v>
      </c>
      <c r="P39" s="88">
        <f>'6-A. Proc. Sub-Annex'!P79</f>
        <v>0</v>
      </c>
      <c r="Q39" s="54"/>
      <c r="R39" s="694"/>
    </row>
    <row r="40" spans="1:18" ht="30">
      <c r="A40" s="4095"/>
      <c r="B40" s="88" t="str">
        <f>'6-A. Proc. Sub-Annex'!B80</f>
        <v>F.2.1.f</v>
      </c>
      <c r="C40" s="88" t="str">
        <f>'6-A. Proc. Sub-Annex'!C80</f>
        <v>Non-Health Equipment (NHP) - GFATM</v>
      </c>
      <c r="D40" s="1975" t="str">
        <f>'6-A. Proc. Sub-Annex'!D80</f>
        <v>NDCP</v>
      </c>
      <c r="E40" s="1975" t="str">
        <f>'6-A. Proc. Sub-Annex'!E80</f>
        <v>NVBDCP - GFATM</v>
      </c>
      <c r="F40" s="1975">
        <f>'6-A. Proc. Sub-Annex'!F80</f>
        <v>0</v>
      </c>
      <c r="G40" s="1975">
        <f>'6-A. Proc. Sub-Annex'!G80</f>
        <v>0</v>
      </c>
      <c r="H40" s="1975">
        <f>'6-A. Proc. Sub-Annex'!H80</f>
        <v>0</v>
      </c>
      <c r="I40" s="1975">
        <f>'6-A. Proc. Sub-Annex'!I80</f>
        <v>0</v>
      </c>
      <c r="J40" s="1975">
        <f>'6-A. Proc. Sub-Annex'!J80</f>
        <v>0</v>
      </c>
      <c r="K40" s="1975">
        <f>'6-A. Proc. Sub-Annex'!K80</f>
        <v>0</v>
      </c>
      <c r="L40" s="1975">
        <f>'6-A. Proc. Sub-Annex'!L80</f>
        <v>0</v>
      </c>
      <c r="M40" s="162">
        <f>'6-A. Proc. Sub-Annex'!M80</f>
        <v>0</v>
      </c>
      <c r="N40" s="1975">
        <f>'6-A. Proc. Sub-Annex'!N80</f>
        <v>0</v>
      </c>
      <c r="O40" s="162">
        <f>'6-A. Proc. Sub-Annex'!O80</f>
        <v>0</v>
      </c>
      <c r="P40" s="88">
        <f>'6-A. Proc. Sub-Annex'!P80</f>
        <v>0</v>
      </c>
      <c r="Q40" s="54"/>
      <c r="R40" s="694"/>
    </row>
    <row r="41" spans="1:18" ht="30">
      <c r="A41" s="4095"/>
      <c r="B41" s="88"/>
      <c r="C41" s="88" t="str">
        <f>'6-A. Proc. Sub-Annex'!C81</f>
        <v>Logistic for Entomological Lab Strengthening and others under MVCR</v>
      </c>
      <c r="D41" s="1975" t="str">
        <f>'6-A. Proc. Sub-Annex'!D81</f>
        <v>NDCP</v>
      </c>
      <c r="E41" s="1975" t="str">
        <f>'6-A. Proc. Sub-Annex'!E81</f>
        <v>NVBDCP - Malaria</v>
      </c>
      <c r="F41" s="1975">
        <f>'6-A. Proc. Sub-Annex'!F81</f>
        <v>0</v>
      </c>
      <c r="G41" s="1975">
        <f>'6-A. Proc. Sub-Annex'!G81</f>
        <v>0</v>
      </c>
      <c r="H41" s="1975">
        <f>'6-A. Proc. Sub-Annex'!H81</f>
        <v>0</v>
      </c>
      <c r="I41" s="1975">
        <f>'6-A. Proc. Sub-Annex'!I81</f>
        <v>0</v>
      </c>
      <c r="J41" s="1975">
        <f>'6-A. Proc. Sub-Annex'!J81</f>
        <v>0</v>
      </c>
      <c r="K41" s="1975">
        <f>'6-A. Proc. Sub-Annex'!K81</f>
        <v>0</v>
      </c>
      <c r="L41" s="1975">
        <f>'6-A. Proc. Sub-Annex'!L81</f>
        <v>0</v>
      </c>
      <c r="M41" s="162">
        <f>'6-A. Proc. Sub-Annex'!M81</f>
        <v>0</v>
      </c>
      <c r="N41" s="1975">
        <f>'6-A. Proc. Sub-Annex'!N81</f>
        <v>0</v>
      </c>
      <c r="O41" s="162">
        <f>'6-A. Proc. Sub-Annex'!O81</f>
        <v>0</v>
      </c>
      <c r="P41" s="88">
        <f>'6-A. Proc. Sub-Annex'!P81</f>
        <v>0</v>
      </c>
      <c r="Q41" s="54"/>
      <c r="R41" s="694"/>
    </row>
    <row r="42" spans="1:18" ht="30">
      <c r="A42" s="4095"/>
      <c r="B42" s="88"/>
      <c r="C42" s="88" t="str">
        <f>'6-A. Proc. Sub-Annex'!C82</f>
        <v>Any other equipment (please specify)</v>
      </c>
      <c r="D42" s="1975" t="str">
        <f>'6-A. Proc. Sub-Annex'!D82</f>
        <v>NDCP</v>
      </c>
      <c r="E42" s="1975" t="str">
        <f>'6-A. Proc. Sub-Annex'!E82</f>
        <v>NVBDCP</v>
      </c>
      <c r="F42" s="1975">
        <f>'6-A. Proc. Sub-Annex'!F82</f>
        <v>0</v>
      </c>
      <c r="G42" s="1975">
        <f>'6-A. Proc. Sub-Annex'!G82</f>
        <v>0</v>
      </c>
      <c r="H42" s="1975">
        <f>'6-A. Proc. Sub-Annex'!H82</f>
        <v>0</v>
      </c>
      <c r="I42" s="1975">
        <f>'6-A. Proc. Sub-Annex'!I82</f>
        <v>0</v>
      </c>
      <c r="J42" s="1975">
        <f>'6-A. Proc. Sub-Annex'!J82</f>
        <v>0</v>
      </c>
      <c r="K42" s="1975">
        <f>'6-A. Proc. Sub-Annex'!K82</f>
        <v>0</v>
      </c>
      <c r="L42" s="1975">
        <f>'6-A. Proc. Sub-Annex'!L82</f>
        <v>0</v>
      </c>
      <c r="M42" s="162">
        <f>'6-A. Proc. Sub-Annex'!M82</f>
        <v>0</v>
      </c>
      <c r="N42" s="1975">
        <f>'6-A. Proc. Sub-Annex'!N82</f>
        <v>0</v>
      </c>
      <c r="O42" s="162">
        <f>'6-A. Proc. Sub-Annex'!O82</f>
        <v>0</v>
      </c>
      <c r="P42" s="88">
        <f>'6-A. Proc. Sub-Annex'!P82</f>
        <v>0</v>
      </c>
      <c r="Q42" s="54"/>
      <c r="R42" s="694"/>
    </row>
    <row r="43" spans="1:18" ht="30">
      <c r="A43" s="88" t="str">
        <f>'6.Procurement Annex'!A50</f>
        <v>6.1.6.4</v>
      </c>
      <c r="B43" s="88"/>
      <c r="C43" s="88" t="str">
        <f>'6-A. Proc. Sub-Annex'!C140</f>
        <v>Maintenance of Microscope</v>
      </c>
      <c r="D43" s="1975" t="str">
        <f>'6-A. Proc. Sub-Annex'!D140</f>
        <v>NDCP</v>
      </c>
      <c r="E43" s="1975" t="str">
        <f>'6-A. Proc. Sub-Annex'!E140</f>
        <v>NVBDCP</v>
      </c>
      <c r="F43" s="1975">
        <f>'6-A. Proc. Sub-Annex'!F140</f>
        <v>0</v>
      </c>
      <c r="G43" s="1975">
        <f>'6-A. Proc. Sub-Annex'!G140</f>
        <v>0</v>
      </c>
      <c r="H43" s="1975">
        <f>'6-A. Proc. Sub-Annex'!H140</f>
        <v>0</v>
      </c>
      <c r="I43" s="1975">
        <f>'6-A. Proc. Sub-Annex'!I140</f>
        <v>0</v>
      </c>
      <c r="J43" s="1975">
        <f>'6-A. Proc. Sub-Annex'!J140</f>
        <v>0</v>
      </c>
      <c r="K43" s="1975">
        <f>'6-A. Proc. Sub-Annex'!K140</f>
        <v>0</v>
      </c>
      <c r="L43" s="1975">
        <f>'6-A. Proc. Sub-Annex'!L140</f>
        <v>0</v>
      </c>
      <c r="M43" s="162">
        <f>'6-A. Proc. Sub-Annex'!M140</f>
        <v>0</v>
      </c>
      <c r="N43" s="1975">
        <f>'6-A. Proc. Sub-Annex'!N140</f>
        <v>0</v>
      </c>
      <c r="O43" s="162">
        <f>'6-A. Proc. Sub-Annex'!O140</f>
        <v>0</v>
      </c>
      <c r="P43" s="88">
        <f>'6-A. Proc. Sub-Annex'!P140</f>
        <v>0</v>
      </c>
      <c r="Q43" s="54"/>
      <c r="R43" s="694"/>
    </row>
    <row r="44" spans="1:18" ht="30">
      <c r="A44" s="4095" t="str">
        <f>'6.Procurement Annex'!A72</f>
        <v>6.2.3.1</v>
      </c>
      <c r="B44" s="88" t="str">
        <f>'6-A. Proc. Sub-Annex'!B215</f>
        <v>B.16.2.11.3.a</v>
      </c>
      <c r="C44" s="88" t="str">
        <f>'6-A. Proc. Sub-Annex'!C215</f>
        <v>Chloroquine phosphate tablets</v>
      </c>
      <c r="D44" s="1975" t="str">
        <f>'6-A. Proc. Sub-Annex'!D215</f>
        <v>NDCP</v>
      </c>
      <c r="E44" s="1975" t="str">
        <f>'6-A. Proc. Sub-Annex'!E215</f>
        <v>NVBDCP - Malaria</v>
      </c>
      <c r="F44" s="1975">
        <f>'6-A. Proc. Sub-Annex'!F215</f>
        <v>0</v>
      </c>
      <c r="G44" s="1975">
        <f>'6-A. Proc. Sub-Annex'!G215</f>
        <v>0</v>
      </c>
      <c r="H44" s="1975">
        <f>'6-A. Proc. Sub-Annex'!H215</f>
        <v>0</v>
      </c>
      <c r="I44" s="1975">
        <f>'6-A. Proc. Sub-Annex'!I215</f>
        <v>0</v>
      </c>
      <c r="J44" s="1975">
        <f>'6-A. Proc. Sub-Annex'!J215</f>
        <v>0</v>
      </c>
      <c r="K44" s="1975">
        <f>'6-A. Proc. Sub-Annex'!K215</f>
        <v>0</v>
      </c>
      <c r="L44" s="1975">
        <f>'6-A. Proc. Sub-Annex'!L215</f>
        <v>0</v>
      </c>
      <c r="M44" s="162">
        <f>'6-A. Proc. Sub-Annex'!M215</f>
        <v>0</v>
      </c>
      <c r="N44" s="1975">
        <f>'6-A. Proc. Sub-Annex'!N215</f>
        <v>0</v>
      </c>
      <c r="O44" s="162">
        <f>'6-A. Proc. Sub-Annex'!O215</f>
        <v>0</v>
      </c>
      <c r="P44" s="88">
        <f>'6-A. Proc. Sub-Annex'!P215</f>
        <v>0</v>
      </c>
      <c r="Q44" s="54"/>
      <c r="R44" s="694"/>
    </row>
    <row r="45" spans="1:18" ht="30">
      <c r="A45" s="4095"/>
      <c r="B45" s="88" t="str">
        <f>'6-A. Proc. Sub-Annex'!B216</f>
        <v>B.16.2.11.3.b</v>
      </c>
      <c r="C45" s="88" t="str">
        <f>'6-A. Proc. Sub-Annex'!C216</f>
        <v>Primaquine tablets 2.5 mg</v>
      </c>
      <c r="D45" s="1975" t="str">
        <f>'6-A. Proc. Sub-Annex'!D216</f>
        <v>NDCP</v>
      </c>
      <c r="E45" s="1975" t="str">
        <f>'6-A. Proc. Sub-Annex'!E216</f>
        <v>NVBDCP – Malaria</v>
      </c>
      <c r="F45" s="1975">
        <f>'6-A. Proc. Sub-Annex'!F216</f>
        <v>0</v>
      </c>
      <c r="G45" s="1975">
        <f>'6-A. Proc. Sub-Annex'!G216</f>
        <v>0</v>
      </c>
      <c r="H45" s="1975">
        <f>'6-A. Proc. Sub-Annex'!H216</f>
        <v>0</v>
      </c>
      <c r="I45" s="1975">
        <f>'6-A. Proc. Sub-Annex'!I216</f>
        <v>0</v>
      </c>
      <c r="J45" s="1975">
        <f>'6-A. Proc. Sub-Annex'!J216</f>
        <v>0</v>
      </c>
      <c r="K45" s="1975">
        <f>'6-A. Proc. Sub-Annex'!K216</f>
        <v>0</v>
      </c>
      <c r="L45" s="1975">
        <f>'6-A. Proc. Sub-Annex'!L216</f>
        <v>0</v>
      </c>
      <c r="M45" s="162">
        <f>'6-A. Proc. Sub-Annex'!M216</f>
        <v>0</v>
      </c>
      <c r="N45" s="1975">
        <f>'6-A. Proc. Sub-Annex'!N216</f>
        <v>0</v>
      </c>
      <c r="O45" s="162">
        <f>'6-A. Proc. Sub-Annex'!O216</f>
        <v>0</v>
      </c>
      <c r="P45" s="88">
        <f>'6-A. Proc. Sub-Annex'!P216</f>
        <v>0</v>
      </c>
      <c r="Q45" s="54"/>
      <c r="R45" s="694"/>
    </row>
    <row r="46" spans="1:18" ht="30">
      <c r="A46" s="4095"/>
      <c r="B46" s="88" t="str">
        <f>'6-A. Proc. Sub-Annex'!B217</f>
        <v>B.16.2.11.3.c</v>
      </c>
      <c r="C46" s="88" t="str">
        <f>'6-A. Proc. Sub-Annex'!C217</f>
        <v>Primaquine tablets 7.5 mg</v>
      </c>
      <c r="D46" s="1975" t="str">
        <f>'6-A. Proc. Sub-Annex'!D217</f>
        <v>NDCP</v>
      </c>
      <c r="E46" s="1975" t="str">
        <f>'6-A. Proc. Sub-Annex'!E217</f>
        <v>NVBDCP – Malaria</v>
      </c>
      <c r="F46" s="1975">
        <f>'6-A. Proc. Sub-Annex'!F217</f>
        <v>0</v>
      </c>
      <c r="G46" s="1975">
        <f>'6-A. Proc. Sub-Annex'!G217</f>
        <v>0</v>
      </c>
      <c r="H46" s="1975">
        <f>'6-A. Proc. Sub-Annex'!H217</f>
        <v>0</v>
      </c>
      <c r="I46" s="1975">
        <f>'6-A. Proc. Sub-Annex'!I217</f>
        <v>0</v>
      </c>
      <c r="J46" s="1975">
        <f>'6-A. Proc. Sub-Annex'!J217</f>
        <v>0</v>
      </c>
      <c r="K46" s="1975">
        <f>'6-A. Proc. Sub-Annex'!K217</f>
        <v>0</v>
      </c>
      <c r="L46" s="1975">
        <f>'6-A. Proc. Sub-Annex'!L217</f>
        <v>0</v>
      </c>
      <c r="M46" s="162">
        <f>'6-A. Proc. Sub-Annex'!M217</f>
        <v>0</v>
      </c>
      <c r="N46" s="1975">
        <f>'6-A. Proc. Sub-Annex'!N217</f>
        <v>0</v>
      </c>
      <c r="O46" s="162">
        <f>'6-A. Proc. Sub-Annex'!O217</f>
        <v>0</v>
      </c>
      <c r="P46" s="88">
        <f>'6-A. Proc. Sub-Annex'!P217</f>
        <v>0</v>
      </c>
      <c r="Q46" s="54"/>
      <c r="R46" s="694"/>
    </row>
    <row r="47" spans="1:18" ht="30">
      <c r="A47" s="4095"/>
      <c r="B47" s="88" t="str">
        <f>'6-A. Proc. Sub-Annex'!B218</f>
        <v>B.16.2.11.3.d</v>
      </c>
      <c r="C47" s="88" t="str">
        <f>'6-A. Proc. Sub-Annex'!C218</f>
        <v>Quinine sulphate tablets</v>
      </c>
      <c r="D47" s="1975" t="str">
        <f>'6-A. Proc. Sub-Annex'!D218</f>
        <v>NDCP</v>
      </c>
      <c r="E47" s="1975" t="str">
        <f>'6-A. Proc. Sub-Annex'!E218</f>
        <v>NVBDCP – Malaria</v>
      </c>
      <c r="F47" s="1975">
        <f>'6-A. Proc. Sub-Annex'!F218</f>
        <v>0</v>
      </c>
      <c r="G47" s="1975">
        <f>'6-A. Proc. Sub-Annex'!G218</f>
        <v>0</v>
      </c>
      <c r="H47" s="1975">
        <f>'6-A. Proc. Sub-Annex'!H218</f>
        <v>0</v>
      </c>
      <c r="I47" s="1975">
        <f>'6-A. Proc. Sub-Annex'!I218</f>
        <v>0</v>
      </c>
      <c r="J47" s="1975">
        <f>'6-A. Proc. Sub-Annex'!J218</f>
        <v>0</v>
      </c>
      <c r="K47" s="1975">
        <f>'6-A. Proc. Sub-Annex'!K218</f>
        <v>0</v>
      </c>
      <c r="L47" s="1975">
        <f>'6-A. Proc. Sub-Annex'!L218</f>
        <v>0</v>
      </c>
      <c r="M47" s="162">
        <f>'6-A. Proc. Sub-Annex'!M218</f>
        <v>0</v>
      </c>
      <c r="N47" s="1975">
        <f>'6-A. Proc. Sub-Annex'!N218</f>
        <v>0</v>
      </c>
      <c r="O47" s="162">
        <f>'6-A. Proc. Sub-Annex'!O218</f>
        <v>0</v>
      </c>
      <c r="P47" s="88">
        <f>'6-A. Proc. Sub-Annex'!P218</f>
        <v>0</v>
      </c>
      <c r="Q47" s="54"/>
      <c r="R47" s="694"/>
    </row>
    <row r="48" spans="1:18" ht="30">
      <c r="A48" s="4095"/>
      <c r="B48" s="88" t="str">
        <f>'6-A. Proc. Sub-Annex'!B219</f>
        <v>B.16.2.11.3.e</v>
      </c>
      <c r="C48" s="88" t="str">
        <f>'6-A. Proc. Sub-Annex'!C219</f>
        <v>Quinine Injections and Artesunate Injection</v>
      </c>
      <c r="D48" s="1975" t="str">
        <f>'6-A. Proc. Sub-Annex'!D219</f>
        <v>NDCP</v>
      </c>
      <c r="E48" s="1975" t="str">
        <f>'6-A. Proc. Sub-Annex'!E219</f>
        <v>NVBDCP – Malaria</v>
      </c>
      <c r="F48" s="1975">
        <f>'6-A. Proc. Sub-Annex'!F219</f>
        <v>0</v>
      </c>
      <c r="G48" s="1975">
        <f>'6-A. Proc. Sub-Annex'!G219</f>
        <v>0</v>
      </c>
      <c r="H48" s="1975">
        <f>'6-A. Proc. Sub-Annex'!H219</f>
        <v>0</v>
      </c>
      <c r="I48" s="1975">
        <f>'6-A. Proc. Sub-Annex'!I219</f>
        <v>0</v>
      </c>
      <c r="J48" s="1975">
        <f>'6-A. Proc. Sub-Annex'!J219</f>
        <v>0</v>
      </c>
      <c r="K48" s="1975">
        <f>'6-A. Proc. Sub-Annex'!K219</f>
        <v>0</v>
      </c>
      <c r="L48" s="1975">
        <f>'6-A. Proc. Sub-Annex'!L219</f>
        <v>0</v>
      </c>
      <c r="M48" s="162">
        <f>'6-A. Proc. Sub-Annex'!M219</f>
        <v>0</v>
      </c>
      <c r="N48" s="1975">
        <f>'6-A. Proc. Sub-Annex'!N219</f>
        <v>0</v>
      </c>
      <c r="O48" s="162">
        <f>'6-A. Proc. Sub-Annex'!O219</f>
        <v>0</v>
      </c>
      <c r="P48" s="88">
        <f>'6-A. Proc. Sub-Annex'!P219</f>
        <v>0</v>
      </c>
      <c r="Q48" s="54"/>
      <c r="R48" s="694"/>
    </row>
    <row r="49" spans="1:18" ht="30">
      <c r="A49" s="4095"/>
      <c r="B49" s="88" t="str">
        <f>'6-A. Proc. Sub-Annex'!B220</f>
        <v>B.16.2.11.3.f</v>
      </c>
      <c r="C49" s="88" t="str">
        <f>'6-A. Proc. Sub-Annex'!C220</f>
        <v>DEC 100 mg tablets</v>
      </c>
      <c r="D49" s="1975" t="str">
        <f>'6-A. Proc. Sub-Annex'!D220</f>
        <v>NDCP</v>
      </c>
      <c r="E49" s="1975" t="str">
        <f>'6-A. Proc. Sub-Annex'!E220</f>
        <v>NVBDCP-Lymphatic Filariasis</v>
      </c>
      <c r="F49" s="1975">
        <f>'6-A. Proc. Sub-Annex'!F220</f>
        <v>0</v>
      </c>
      <c r="G49" s="1975">
        <f>'6-A. Proc. Sub-Annex'!G220</f>
        <v>0</v>
      </c>
      <c r="H49" s="1975">
        <f>'6-A. Proc. Sub-Annex'!H220</f>
        <v>0</v>
      </c>
      <c r="I49" s="1975">
        <f>'6-A. Proc. Sub-Annex'!I220</f>
        <v>0</v>
      </c>
      <c r="J49" s="1975">
        <f>'6-A. Proc. Sub-Annex'!J220</f>
        <v>0</v>
      </c>
      <c r="K49" s="1975">
        <f>'6-A. Proc. Sub-Annex'!K220</f>
        <v>0</v>
      </c>
      <c r="L49" s="1975">
        <f>'6-A. Proc. Sub-Annex'!L220</f>
        <v>0</v>
      </c>
      <c r="M49" s="162">
        <f>'6-A. Proc. Sub-Annex'!M220</f>
        <v>0</v>
      </c>
      <c r="N49" s="1975">
        <f>'6-A. Proc. Sub-Annex'!N220</f>
        <v>0</v>
      </c>
      <c r="O49" s="162">
        <f>'6-A. Proc. Sub-Annex'!O220</f>
        <v>0</v>
      </c>
      <c r="P49" s="88">
        <f>'6-A. Proc. Sub-Annex'!P220</f>
        <v>0</v>
      </c>
      <c r="Q49" s="54"/>
      <c r="R49" s="694"/>
    </row>
    <row r="50" spans="1:18" ht="30">
      <c r="A50" s="4095"/>
      <c r="B50" s="88" t="str">
        <f>'6-A. Proc. Sub-Annex'!B221</f>
        <v>B.16.2.11.3.g</v>
      </c>
      <c r="C50" s="88" t="str">
        <f>'6-A. Proc. Sub-Annex'!C221</f>
        <v>Albendazole 400 mg tablets</v>
      </c>
      <c r="D50" s="1975" t="str">
        <f>'6-A. Proc. Sub-Annex'!D221</f>
        <v>NDCP</v>
      </c>
      <c r="E50" s="1975" t="str">
        <f>'6-A. Proc. Sub-Annex'!E221</f>
        <v>NVBDCP-Lymphatic Filariasis</v>
      </c>
      <c r="F50" s="1975">
        <f>'6-A. Proc. Sub-Annex'!F221</f>
        <v>0</v>
      </c>
      <c r="G50" s="1975">
        <f>'6-A. Proc. Sub-Annex'!G221</f>
        <v>0</v>
      </c>
      <c r="H50" s="1975">
        <f>'6-A. Proc. Sub-Annex'!H221</f>
        <v>0</v>
      </c>
      <c r="I50" s="1975">
        <f>'6-A. Proc. Sub-Annex'!I221</f>
        <v>0</v>
      </c>
      <c r="J50" s="1975">
        <f>'6-A. Proc. Sub-Annex'!J221</f>
        <v>0</v>
      </c>
      <c r="K50" s="1975">
        <f>'6-A. Proc. Sub-Annex'!K221</f>
        <v>0</v>
      </c>
      <c r="L50" s="1975">
        <f>'6-A. Proc. Sub-Annex'!L221</f>
        <v>0</v>
      </c>
      <c r="M50" s="162">
        <f>'6-A. Proc. Sub-Annex'!M221</f>
        <v>0</v>
      </c>
      <c r="N50" s="1975">
        <f>'6-A. Proc. Sub-Annex'!N221</f>
        <v>0</v>
      </c>
      <c r="O50" s="162">
        <f>'6-A. Proc. Sub-Annex'!O221</f>
        <v>0</v>
      </c>
      <c r="P50" s="88">
        <f>'6-A. Proc. Sub-Annex'!P221</f>
        <v>0</v>
      </c>
      <c r="Q50" s="54"/>
      <c r="R50" s="694"/>
    </row>
    <row r="51" spans="1:18" ht="45.75" customHeight="1">
      <c r="A51" s="4095"/>
      <c r="B51" s="88" t="str">
        <f>'6-A. Proc. Sub-Annex'!B222</f>
        <v>B.16.2.11.3.h</v>
      </c>
      <c r="C51" s="88" t="str">
        <f>'6-A. Proc. Sub-Annex'!C222</f>
        <v>Dengue NS1 antigen kit</v>
      </c>
      <c r="D51" s="1975" t="str">
        <f>'6-A. Proc. Sub-Annex'!D222</f>
        <v>NDCP</v>
      </c>
      <c r="E51" s="1975" t="str">
        <f>'6-A. Proc. Sub-Annex'!E222</f>
        <v>NVBDCP-Dengue &amp; Chikungunya</v>
      </c>
      <c r="F51" s="1975">
        <f>'6-A. Proc. Sub-Annex'!F222</f>
        <v>7</v>
      </c>
      <c r="G51" s="1975">
        <f>'6-A. Proc. Sub-Annex'!G222</f>
        <v>0</v>
      </c>
      <c r="H51" s="1975">
        <f>'6-A. Proc. Sub-Annex'!H222</f>
        <v>7</v>
      </c>
      <c r="I51" s="1975">
        <f>'6-A. Proc. Sub-Annex'!I222</f>
        <v>0</v>
      </c>
      <c r="J51" s="1975">
        <f>'6-A. Proc. Sub-Annex'!J222</f>
        <v>7</v>
      </c>
      <c r="K51" s="1975">
        <f>'6-A. Proc. Sub-Annex'!K222</f>
        <v>7</v>
      </c>
      <c r="L51" s="1975">
        <f>'6-A. Proc. Sub-Annex'!L222</f>
        <v>30000</v>
      </c>
      <c r="M51" s="162">
        <f>'6-A. Proc. Sub-Annex'!M222</f>
        <v>0.3</v>
      </c>
      <c r="N51" s="1975">
        <f>'6-A. Proc. Sub-Annex'!N222</f>
        <v>7</v>
      </c>
      <c r="O51" s="162">
        <f>'6-A. Proc. Sub-Annex'!O222</f>
        <v>2.1</v>
      </c>
      <c r="P51" s="88" t="str">
        <f>'6-A. Proc. Sub-Annex'!P222</f>
        <v xml:space="preserve">NS1 Antigen kits requird at 7 sentinel Surveilalnce Hospital </v>
      </c>
      <c r="Q51" s="54" t="s">
        <v>5900</v>
      </c>
      <c r="R51" s="694">
        <v>2.1</v>
      </c>
    </row>
    <row r="52" spans="1:18" ht="30">
      <c r="A52" s="4095"/>
      <c r="B52" s="88" t="str">
        <f>'6-A. Proc. Sub-Annex'!B223</f>
        <v>B.16.2.11.3.i</v>
      </c>
      <c r="C52" s="88" t="str">
        <f>'6-A. Proc. Sub-Annex'!C223</f>
        <v>Temephos, Bti (AS) / Bti (wp) (for polluted &amp; non polluted water)</v>
      </c>
      <c r="D52" s="1975" t="str">
        <f>'6-A. Proc. Sub-Annex'!D223</f>
        <v>NDCP</v>
      </c>
      <c r="E52" s="1975" t="str">
        <f>'6-A. Proc. Sub-Annex'!E223</f>
        <v>NVBDCP</v>
      </c>
      <c r="F52" s="1975">
        <f>'6-A. Proc. Sub-Annex'!F223</f>
        <v>0</v>
      </c>
      <c r="G52" s="1975">
        <f>'6-A. Proc. Sub-Annex'!G223</f>
        <v>0</v>
      </c>
      <c r="H52" s="1975">
        <f>'6-A. Proc. Sub-Annex'!H223</f>
        <v>0</v>
      </c>
      <c r="I52" s="1975">
        <f>'6-A. Proc. Sub-Annex'!I223</f>
        <v>0</v>
      </c>
      <c r="J52" s="1975">
        <f>'6-A. Proc. Sub-Annex'!J223</f>
        <v>0</v>
      </c>
      <c r="K52" s="1975">
        <f>'6-A. Proc. Sub-Annex'!K223</f>
        <v>0</v>
      </c>
      <c r="L52" s="1975">
        <f>'6-A. Proc. Sub-Annex'!L223</f>
        <v>0</v>
      </c>
      <c r="M52" s="162">
        <f>'6-A. Proc. Sub-Annex'!M223</f>
        <v>0</v>
      </c>
      <c r="N52" s="1975">
        <f>'6-A. Proc. Sub-Annex'!N223</f>
        <v>0</v>
      </c>
      <c r="O52" s="162">
        <f>'6-A. Proc. Sub-Annex'!O223</f>
        <v>0</v>
      </c>
      <c r="P52" s="88">
        <f>'6-A. Proc. Sub-Annex'!P223</f>
        <v>0</v>
      </c>
      <c r="Q52" s="54"/>
      <c r="R52" s="694"/>
    </row>
    <row r="53" spans="1:18" ht="30">
      <c r="A53" s="4095"/>
      <c r="B53" s="88" t="str">
        <f>'6-A. Proc. Sub-Annex'!B224</f>
        <v>B.16.2.11.3.j</v>
      </c>
      <c r="C53" s="88" t="str">
        <f>'6-A. Proc. Sub-Annex'!C224</f>
        <v>Pyrethrum extract 2% for spare spray</v>
      </c>
      <c r="D53" s="1975" t="str">
        <f>'6-A. Proc. Sub-Annex'!D224</f>
        <v>NDCP</v>
      </c>
      <c r="E53" s="1975" t="str">
        <f>'6-A. Proc. Sub-Annex'!E224</f>
        <v>NVBDCP</v>
      </c>
      <c r="F53" s="1975">
        <f>'6-A. Proc. Sub-Annex'!F224</f>
        <v>0</v>
      </c>
      <c r="G53" s="1975">
        <f>'6-A. Proc. Sub-Annex'!G224</f>
        <v>0</v>
      </c>
      <c r="H53" s="1975">
        <f>'6-A. Proc. Sub-Annex'!H224</f>
        <v>0</v>
      </c>
      <c r="I53" s="1975">
        <f>'6-A. Proc. Sub-Annex'!I224</f>
        <v>0</v>
      </c>
      <c r="J53" s="1975">
        <f>'6-A. Proc. Sub-Annex'!J224</f>
        <v>0</v>
      </c>
      <c r="K53" s="1975">
        <f>'6-A. Proc. Sub-Annex'!K224</f>
        <v>0</v>
      </c>
      <c r="L53" s="1975">
        <f>'6-A. Proc. Sub-Annex'!L224</f>
        <v>0</v>
      </c>
      <c r="M53" s="162">
        <f>'6-A. Proc. Sub-Annex'!M224</f>
        <v>0</v>
      </c>
      <c r="N53" s="1975">
        <f>'6-A. Proc. Sub-Annex'!N224</f>
        <v>0</v>
      </c>
      <c r="O53" s="162">
        <f>'6-A. Proc. Sub-Annex'!O224</f>
        <v>0</v>
      </c>
      <c r="P53" s="88">
        <f>'6-A. Proc. Sub-Annex'!P224</f>
        <v>0</v>
      </c>
      <c r="Q53" s="54"/>
      <c r="R53" s="694"/>
    </row>
    <row r="54" spans="1:18" ht="30">
      <c r="A54" s="4095"/>
      <c r="B54" s="88" t="str">
        <f>'6-A. Proc. Sub-Annex'!B225</f>
        <v>B.16.2.11.3.k</v>
      </c>
      <c r="C54" s="88" t="str">
        <f>'6-A. Proc. Sub-Annex'!C225</f>
        <v>ACT ( For Non Project states)</v>
      </c>
      <c r="D54" s="1975" t="str">
        <f>'6-A. Proc. Sub-Annex'!D225</f>
        <v>NDCP</v>
      </c>
      <c r="E54" s="1975" t="str">
        <f>'6-A. Proc. Sub-Annex'!E225</f>
        <v>NVBDCP</v>
      </c>
      <c r="F54" s="1975">
        <f>'6-A. Proc. Sub-Annex'!F225</f>
        <v>0</v>
      </c>
      <c r="G54" s="1975">
        <f>'6-A. Proc. Sub-Annex'!G225</f>
        <v>0</v>
      </c>
      <c r="H54" s="1975">
        <f>'6-A. Proc. Sub-Annex'!H225</f>
        <v>0</v>
      </c>
      <c r="I54" s="1975">
        <f>'6-A. Proc. Sub-Annex'!I225</f>
        <v>0</v>
      </c>
      <c r="J54" s="1975">
        <f>'6-A. Proc. Sub-Annex'!J225</f>
        <v>0</v>
      </c>
      <c r="K54" s="1975">
        <f>'6-A. Proc. Sub-Annex'!K225</f>
        <v>0</v>
      </c>
      <c r="L54" s="1975">
        <f>'6-A. Proc. Sub-Annex'!L225</f>
        <v>0</v>
      </c>
      <c r="M54" s="162">
        <f>'6-A. Proc. Sub-Annex'!M225</f>
        <v>0</v>
      </c>
      <c r="N54" s="1975">
        <f>'6-A. Proc. Sub-Annex'!N225</f>
        <v>0</v>
      </c>
      <c r="O54" s="162">
        <f>'6-A. Proc. Sub-Annex'!O225</f>
        <v>0</v>
      </c>
      <c r="P54" s="88">
        <f>'6-A. Proc. Sub-Annex'!P225</f>
        <v>0</v>
      </c>
      <c r="Q54" s="54"/>
      <c r="R54" s="694"/>
    </row>
    <row r="55" spans="1:18" ht="30">
      <c r="A55" s="4095"/>
      <c r="B55" s="88" t="str">
        <f>'6-A. Proc. Sub-Annex'!B226</f>
        <v>B.16.2.11.3.l</v>
      </c>
      <c r="C55" s="88" t="str">
        <f>'6-A. Proc. Sub-Annex'!C226</f>
        <v>RDT Malaria – bi-valent (For Non Project states)</v>
      </c>
      <c r="D55" s="1975" t="str">
        <f>'6-A. Proc. Sub-Annex'!D226</f>
        <v>NDCP</v>
      </c>
      <c r="E55" s="1975" t="str">
        <f>'6-A. Proc. Sub-Annex'!E226</f>
        <v>NVBDCP – Malaria</v>
      </c>
      <c r="F55" s="1975">
        <f>'6-A. Proc. Sub-Annex'!F226</f>
        <v>0</v>
      </c>
      <c r="G55" s="1975">
        <f>'6-A. Proc. Sub-Annex'!G226</f>
        <v>0</v>
      </c>
      <c r="H55" s="1975">
        <f>'6-A. Proc. Sub-Annex'!H226</f>
        <v>0</v>
      </c>
      <c r="I55" s="1975">
        <f>'6-A. Proc. Sub-Annex'!I226</f>
        <v>0</v>
      </c>
      <c r="J55" s="1975">
        <f>'6-A. Proc. Sub-Annex'!J226</f>
        <v>0</v>
      </c>
      <c r="K55" s="1975">
        <f>'6-A. Proc. Sub-Annex'!K226</f>
        <v>0</v>
      </c>
      <c r="L55" s="1975">
        <f>'6-A. Proc. Sub-Annex'!L226</f>
        <v>0</v>
      </c>
      <c r="M55" s="162">
        <f>'6-A. Proc. Sub-Annex'!M226</f>
        <v>0</v>
      </c>
      <c r="N55" s="1975">
        <f>'6-A. Proc. Sub-Annex'!N226</f>
        <v>0</v>
      </c>
      <c r="O55" s="162">
        <f>'6-A. Proc. Sub-Annex'!O226</f>
        <v>0</v>
      </c>
      <c r="P55" s="88">
        <f>'6-A. Proc. Sub-Annex'!P226</f>
        <v>0</v>
      </c>
      <c r="Q55" s="54"/>
      <c r="R55" s="694"/>
    </row>
    <row r="56" spans="1:18" ht="30">
      <c r="A56" s="4095"/>
      <c r="B56" s="88" t="str">
        <f>'6-A. Proc. Sub-Annex'!B227</f>
        <v>F.1.2.b</v>
      </c>
      <c r="C56" s="88" t="str">
        <f>'6-A. Proc. Sub-Annex'!C227</f>
        <v>Test kits (Nos.) to be supplied by GoI (kindly indicate numbers of ELISA based NS1 kit and Mac ELISA Kits required separately)</v>
      </c>
      <c r="D56" s="1975" t="str">
        <f>'6-A. Proc. Sub-Annex'!D227</f>
        <v>NDCP</v>
      </c>
      <c r="E56" s="1975" t="str">
        <f>'6-A. Proc. Sub-Annex'!E227</f>
        <v>NVBDCP - Dengue Chikungunya</v>
      </c>
      <c r="F56" s="1975">
        <f>'6-A. Proc. Sub-Annex'!F227</f>
        <v>21</v>
      </c>
      <c r="G56" s="1975">
        <f>'6-A. Proc. Sub-Annex'!G227</f>
        <v>0</v>
      </c>
      <c r="H56" s="1975">
        <f>'6-A. Proc. Sub-Annex'!H227</f>
        <v>2.34</v>
      </c>
      <c r="I56" s="1975">
        <f>'6-A. Proc. Sub-Annex'!I227</f>
        <v>0</v>
      </c>
      <c r="J56" s="1975">
        <f>'6-A. Proc. Sub-Annex'!J227</f>
        <v>1</v>
      </c>
      <c r="K56" s="1975">
        <f>'6-A. Proc. Sub-Annex'!K227</f>
        <v>0</v>
      </c>
      <c r="L56" s="1975">
        <f>'6-A. Proc. Sub-Annex'!L227</f>
        <v>11000</v>
      </c>
      <c r="M56" s="162">
        <f>'6-A. Proc. Sub-Annex'!M227</f>
        <v>0.11</v>
      </c>
      <c r="N56" s="1975">
        <f>'6-A. Proc. Sub-Annex'!N227</f>
        <v>21</v>
      </c>
      <c r="O56" s="2808">
        <f>'6-A. Proc. Sub-Annex'!O227</f>
        <v>2.31</v>
      </c>
      <c r="P56" s="88" t="str">
        <f>'6-A. Proc. Sub-Annex'!P227</f>
        <v xml:space="preserve">Number of Test kits 11000 </v>
      </c>
      <c r="Q56" s="108" t="s">
        <v>5694</v>
      </c>
      <c r="R56" s="694">
        <v>2.31</v>
      </c>
    </row>
    <row r="57" spans="1:18" ht="30">
      <c r="A57" s="4095"/>
      <c r="B57" s="88" t="str">
        <f>'6-A. Proc. Sub-Annex'!B228</f>
        <v>F.1.3.e</v>
      </c>
      <c r="C57" s="88" t="str">
        <f>'6-A. Proc. Sub-Annex'!C228</f>
        <v>Procurement of Insecticides (Technical Malathion/Cyphenothrin)</v>
      </c>
      <c r="D57" s="1975" t="str">
        <f>'6-A. Proc. Sub-Annex'!D228</f>
        <v>NDCP</v>
      </c>
      <c r="E57" s="1975" t="str">
        <f>'6-A. Proc. Sub-Annex'!E228</f>
        <v>NVBDCP - AES/JE</v>
      </c>
      <c r="F57" s="1975">
        <f>'6-A. Proc. Sub-Annex'!F228</f>
        <v>0</v>
      </c>
      <c r="G57" s="1975">
        <f>'6-A. Proc. Sub-Annex'!G228</f>
        <v>0</v>
      </c>
      <c r="H57" s="1975">
        <f>'6-A. Proc. Sub-Annex'!H228</f>
        <v>0</v>
      </c>
      <c r="I57" s="1975">
        <f>'6-A. Proc. Sub-Annex'!I228</f>
        <v>0</v>
      </c>
      <c r="J57" s="1975">
        <f>'6-A. Proc. Sub-Annex'!J228</f>
        <v>0</v>
      </c>
      <c r="K57" s="1975">
        <f>'6-A. Proc. Sub-Annex'!K228</f>
        <v>0</v>
      </c>
      <c r="L57" s="1975">
        <f>'6-A. Proc. Sub-Annex'!L228</f>
        <v>0</v>
      </c>
      <c r="M57" s="162">
        <f>'6-A. Proc. Sub-Annex'!M228</f>
        <v>0</v>
      </c>
      <c r="N57" s="1975">
        <f>'6-A. Proc. Sub-Annex'!N228</f>
        <v>0</v>
      </c>
      <c r="O57" s="162">
        <f>'6-A. Proc. Sub-Annex'!O228</f>
        <v>0</v>
      </c>
      <c r="P57" s="88">
        <f>'6-A. Proc. Sub-Annex'!P228</f>
        <v>0</v>
      </c>
      <c r="Q57" s="54"/>
      <c r="R57" s="694"/>
    </row>
    <row r="58" spans="1:18" ht="30">
      <c r="A58" s="4095"/>
      <c r="B58" s="88" t="str">
        <f>'6-A. Proc. Sub-Annex'!B229</f>
        <v>F.1.3.l</v>
      </c>
      <c r="C58" s="88" t="str">
        <f>'6-A. Proc. Sub-Annex'!C229</f>
        <v>Payment to NIV towards JE kits at Head Quarter</v>
      </c>
      <c r="D58" s="1975" t="str">
        <f>'6-A. Proc. Sub-Annex'!D229</f>
        <v>NDCP</v>
      </c>
      <c r="E58" s="1975" t="str">
        <f>'6-A. Proc. Sub-Annex'!E229</f>
        <v>NVBDCP - AES/JE</v>
      </c>
      <c r="F58" s="1975">
        <f>'6-A. Proc. Sub-Annex'!F229</f>
        <v>0</v>
      </c>
      <c r="G58" s="1975">
        <f>'6-A. Proc. Sub-Annex'!G229</f>
        <v>0</v>
      </c>
      <c r="H58" s="1975">
        <f>'6-A. Proc. Sub-Annex'!H229</f>
        <v>0</v>
      </c>
      <c r="I58" s="1975">
        <f>'6-A. Proc. Sub-Annex'!I229</f>
        <v>0</v>
      </c>
      <c r="J58" s="1975">
        <f>'6-A. Proc. Sub-Annex'!J229</f>
        <v>0</v>
      </c>
      <c r="K58" s="1975">
        <f>'6-A. Proc. Sub-Annex'!K229</f>
        <v>0</v>
      </c>
      <c r="L58" s="1975">
        <f>'6-A. Proc. Sub-Annex'!L229</f>
        <v>0</v>
      </c>
      <c r="M58" s="162">
        <f>'6-A. Proc. Sub-Annex'!M229</f>
        <v>0</v>
      </c>
      <c r="N58" s="1975">
        <f>'6-A. Proc. Sub-Annex'!N229</f>
        <v>0</v>
      </c>
      <c r="O58" s="162">
        <f>'6-A. Proc. Sub-Annex'!O229</f>
        <v>0</v>
      </c>
      <c r="P58" s="88">
        <f>'6-A. Proc. Sub-Annex'!P229</f>
        <v>0</v>
      </c>
      <c r="Q58" s="54"/>
      <c r="R58" s="694"/>
    </row>
    <row r="59" spans="1:18" ht="30">
      <c r="A59" s="4095"/>
      <c r="B59" s="88" t="str">
        <f>'6-A. Proc. Sub-Annex'!B230</f>
        <v>F.2.1.d</v>
      </c>
      <c r="C59" s="88" t="str">
        <f>'6-A. Proc. Sub-Annex'!C230</f>
        <v>Procurement under GFATM</v>
      </c>
      <c r="D59" s="1975" t="str">
        <f>'6-A. Proc. Sub-Annex'!D230</f>
        <v>NDCP</v>
      </c>
      <c r="E59" s="1975" t="str">
        <f>'6-A. Proc. Sub-Annex'!E230</f>
        <v>NVBDCP - GFATM</v>
      </c>
      <c r="F59" s="1975">
        <f>'6-A. Proc. Sub-Annex'!F230</f>
        <v>0</v>
      </c>
      <c r="G59" s="1975">
        <f>'6-A. Proc. Sub-Annex'!G230</f>
        <v>0</v>
      </c>
      <c r="H59" s="1975">
        <f>'6-A. Proc. Sub-Annex'!H230</f>
        <v>0</v>
      </c>
      <c r="I59" s="1975">
        <f>'6-A. Proc. Sub-Annex'!I230</f>
        <v>0</v>
      </c>
      <c r="J59" s="1975">
        <f>'6-A. Proc. Sub-Annex'!J230</f>
        <v>0</v>
      </c>
      <c r="K59" s="1975">
        <f>'6-A. Proc. Sub-Annex'!K230</f>
        <v>0</v>
      </c>
      <c r="L59" s="1975">
        <f>'6-A. Proc. Sub-Annex'!L230</f>
        <v>0</v>
      </c>
      <c r="M59" s="162">
        <f>'6-A. Proc. Sub-Annex'!M230</f>
        <v>0</v>
      </c>
      <c r="N59" s="1975">
        <f>'6-A. Proc. Sub-Annex'!N230</f>
        <v>0</v>
      </c>
      <c r="O59" s="162">
        <f>'6-A. Proc. Sub-Annex'!O230</f>
        <v>0</v>
      </c>
      <c r="P59" s="88">
        <f>'6-A. Proc. Sub-Annex'!P230</f>
        <v>0</v>
      </c>
      <c r="Q59" s="54"/>
      <c r="R59" s="694"/>
    </row>
    <row r="60" spans="1:18" ht="30">
      <c r="A60" s="4095"/>
      <c r="B60" s="88" t="str">
        <f>'6-A. Proc. Sub-Annex'!B231</f>
        <v>B.16.2.11.3.m</v>
      </c>
      <c r="C60" s="88" t="str">
        <f>'6-A. Proc. Sub-Annex'!C231</f>
        <v>Any other drugs &amp; supplies (please specify)</v>
      </c>
      <c r="D60" s="1975" t="str">
        <f>'6-A. Proc. Sub-Annex'!D231</f>
        <v>NDCP</v>
      </c>
      <c r="E60" s="1975" t="str">
        <f>'6-A. Proc. Sub-Annex'!E231</f>
        <v>NVBDCP</v>
      </c>
      <c r="F60" s="1975">
        <f>'6-A. Proc. Sub-Annex'!F231</f>
        <v>0</v>
      </c>
      <c r="G60" s="1975">
        <f>'6-A. Proc. Sub-Annex'!G231</f>
        <v>0</v>
      </c>
      <c r="H60" s="1975">
        <f>'6-A. Proc. Sub-Annex'!H231</f>
        <v>0</v>
      </c>
      <c r="I60" s="1975">
        <f>'6-A. Proc. Sub-Annex'!I231</f>
        <v>0</v>
      </c>
      <c r="J60" s="1975">
        <f>'6-A. Proc. Sub-Annex'!J231</f>
        <v>0</v>
      </c>
      <c r="K60" s="1975">
        <f>'6-A. Proc. Sub-Annex'!K231</f>
        <v>0</v>
      </c>
      <c r="L60" s="1975">
        <f>'6-A. Proc. Sub-Annex'!L231</f>
        <v>0</v>
      </c>
      <c r="M60" s="162">
        <f>'6-A. Proc. Sub-Annex'!M231</f>
        <v>0</v>
      </c>
      <c r="N60" s="1975">
        <f>'6-A. Proc. Sub-Annex'!N231</f>
        <v>0</v>
      </c>
      <c r="O60" s="162">
        <f>'6-A. Proc. Sub-Annex'!O231</f>
        <v>0</v>
      </c>
      <c r="P60" s="88">
        <f>'6-A. Proc. Sub-Annex'!P231</f>
        <v>0</v>
      </c>
      <c r="Q60" s="54"/>
      <c r="R60" s="694"/>
    </row>
    <row r="61" spans="1:18">
      <c r="A61" s="1970">
        <f>'9.Training Annex'!A7</f>
        <v>9</v>
      </c>
      <c r="B61" s="1970"/>
      <c r="C61" s="1970" t="str">
        <f>'9.Training Annex'!C7</f>
        <v>Training and Capacity Building</v>
      </c>
      <c r="D61" s="1969"/>
      <c r="E61" s="1969"/>
      <c r="F61" s="1969"/>
      <c r="G61" s="1969"/>
      <c r="H61" s="1969"/>
      <c r="I61" s="1969"/>
      <c r="J61" s="1969"/>
      <c r="K61" s="1969"/>
      <c r="L61" s="1969"/>
      <c r="M61" s="994"/>
      <c r="N61" s="1969"/>
      <c r="O61" s="994">
        <f>SUM(O62:O69)</f>
        <v>5</v>
      </c>
      <c r="P61" s="1970"/>
      <c r="Q61" s="1889"/>
      <c r="R61" s="115">
        <f>SUM(R62:R69)</f>
        <v>5</v>
      </c>
    </row>
    <row r="62" spans="1:18" ht="30">
      <c r="A62" s="4095" t="str">
        <f>'9.Training Annex'!A48</f>
        <v>9.2.3.2</v>
      </c>
      <c r="B62" s="88" t="str">
        <f>'9-A.Training Sub-Annex'!B220</f>
        <v>F.1.1.f</v>
      </c>
      <c r="C62" s="88" t="str">
        <f>'9-A.Training Sub-Annex'!C220</f>
        <v>Training / Capacity Building (Malaria)</v>
      </c>
      <c r="D62" s="1975" t="str">
        <f>'9-A.Training Sub-Annex'!D220</f>
        <v>NDCP</v>
      </c>
      <c r="E62" s="1975" t="str">
        <f>'9-A.Training Sub-Annex'!E220</f>
        <v>NVBDCP – Malaria</v>
      </c>
      <c r="F62" s="1975">
        <f>'9-A.Training Sub-Annex'!F220</f>
        <v>10</v>
      </c>
      <c r="G62" s="1975">
        <f>'9-A.Training Sub-Annex'!G220</f>
        <v>0</v>
      </c>
      <c r="H62" s="1975">
        <f>'9-A.Training Sub-Annex'!H220</f>
        <v>10</v>
      </c>
      <c r="I62" s="1975">
        <f>'9-A.Training Sub-Annex'!I220</f>
        <v>1.75</v>
      </c>
      <c r="J62" s="1975">
        <f>'9-A.Training Sub-Annex'!J220</f>
        <v>5</v>
      </c>
      <c r="K62" s="1975">
        <f>'9-A.Training Sub-Annex'!K220</f>
        <v>10</v>
      </c>
      <c r="L62" s="1975">
        <f>'9-A.Training Sub-Annex'!L220</f>
        <v>50000</v>
      </c>
      <c r="M62" s="162">
        <f>'9-A.Training Sub-Annex'!M220</f>
        <v>0.5</v>
      </c>
      <c r="N62" s="1975">
        <f>'9-A.Training Sub-Annex'!N220</f>
        <v>10</v>
      </c>
      <c r="O62" s="162">
        <f>'9-A.Training Sub-Annex'!O220</f>
        <v>5</v>
      </c>
      <c r="P62" s="88">
        <f>'9-A.Training Sub-Annex'!P220</f>
        <v>0</v>
      </c>
      <c r="Q62" s="108" t="s">
        <v>5694</v>
      </c>
      <c r="R62" s="694">
        <v>5</v>
      </c>
    </row>
    <row r="63" spans="1:18" ht="30">
      <c r="A63" s="4095"/>
      <c r="B63" s="88" t="str">
        <f>'9-A.Training Sub-Annex'!B221</f>
        <v>F.1.2.h</v>
      </c>
      <c r="C63" s="88" t="str">
        <f>'9-A.Training Sub-Annex'!C221</f>
        <v>Training / Workshop (Dengue and Chikungunya)</v>
      </c>
      <c r="D63" s="1975" t="str">
        <f>'9-A.Training Sub-Annex'!D221</f>
        <v>NDCP</v>
      </c>
      <c r="E63" s="1975" t="str">
        <f>'9-A.Training Sub-Annex'!E221</f>
        <v>NVBDCP-Dengue &amp; Chikungunya</v>
      </c>
      <c r="F63" s="1975">
        <f>'9-A.Training Sub-Annex'!F221</f>
        <v>10</v>
      </c>
      <c r="G63" s="1975">
        <f>'9-A.Training Sub-Annex'!G221</f>
        <v>0</v>
      </c>
      <c r="H63" s="1975">
        <f>'9-A.Training Sub-Annex'!H221</f>
        <v>0</v>
      </c>
      <c r="I63" s="1975">
        <f>'9-A.Training Sub-Annex'!I221</f>
        <v>0</v>
      </c>
      <c r="J63" s="1975">
        <f>'9-A.Training Sub-Annex'!J221</f>
        <v>0</v>
      </c>
      <c r="K63" s="1975">
        <f>'9-A.Training Sub-Annex'!K221</f>
        <v>0</v>
      </c>
      <c r="L63" s="1975">
        <f>'9-A.Training Sub-Annex'!L221</f>
        <v>0</v>
      </c>
      <c r="M63" s="162">
        <f>'9-A.Training Sub-Annex'!M221</f>
        <v>0</v>
      </c>
      <c r="N63" s="1975">
        <f>'9-A.Training Sub-Annex'!N221</f>
        <v>0</v>
      </c>
      <c r="O63" s="162">
        <f>'9-A.Training Sub-Annex'!O221</f>
        <v>0</v>
      </c>
      <c r="P63" s="88">
        <f>'9-A.Training Sub-Annex'!P221</f>
        <v>0</v>
      </c>
      <c r="Q63" s="54"/>
      <c r="R63" s="694"/>
    </row>
    <row r="64" spans="1:18" ht="30">
      <c r="A64" s="4095"/>
      <c r="B64" s="88" t="str">
        <f>'9-A.Training Sub-Annex'!B222</f>
        <v>F.1.3.b</v>
      </c>
      <c r="C64" s="88" t="str">
        <f>'9-A.Training Sub-Annex'!C222</f>
        <v>Capacity Building (AES/ JE)</v>
      </c>
      <c r="D64" s="1975" t="str">
        <f>'9-A.Training Sub-Annex'!D222</f>
        <v>NDCP</v>
      </c>
      <c r="E64" s="1975" t="str">
        <f>'9-A.Training Sub-Annex'!E222</f>
        <v>NVBDCP-AES/JE</v>
      </c>
      <c r="F64" s="1975">
        <f>'9-A.Training Sub-Annex'!F222</f>
        <v>0</v>
      </c>
      <c r="G64" s="1975">
        <f>'9-A.Training Sub-Annex'!G222</f>
        <v>0</v>
      </c>
      <c r="H64" s="1975">
        <f>'9-A.Training Sub-Annex'!H222</f>
        <v>0</v>
      </c>
      <c r="I64" s="1975">
        <f>'9-A.Training Sub-Annex'!I222</f>
        <v>0</v>
      </c>
      <c r="J64" s="1975">
        <f>'9-A.Training Sub-Annex'!J222</f>
        <v>0</v>
      </c>
      <c r="K64" s="1975">
        <f>'9-A.Training Sub-Annex'!K222</f>
        <v>0</v>
      </c>
      <c r="L64" s="1975">
        <f>'9-A.Training Sub-Annex'!L222</f>
        <v>0</v>
      </c>
      <c r="M64" s="162">
        <f>'9-A.Training Sub-Annex'!M222</f>
        <v>0</v>
      </c>
      <c r="N64" s="1975">
        <f>'9-A.Training Sub-Annex'!N222</f>
        <v>0</v>
      </c>
      <c r="O64" s="162">
        <f>'9-A.Training Sub-Annex'!O222</f>
        <v>0</v>
      </c>
      <c r="P64" s="88">
        <f>'9-A.Training Sub-Annex'!P222</f>
        <v>0</v>
      </c>
      <c r="Q64" s="54"/>
      <c r="R64" s="694"/>
    </row>
    <row r="65" spans="1:18" ht="30">
      <c r="A65" s="4095"/>
      <c r="B65" s="88" t="str">
        <f>'9-A.Training Sub-Annex'!B223</f>
        <v>F.1.3.c</v>
      </c>
      <c r="C65" s="88" t="str">
        <f>'9-A.Training Sub-Annex'!C223</f>
        <v>Training specific for JE prevention and management</v>
      </c>
      <c r="D65" s="1975" t="str">
        <f>'9-A.Training Sub-Annex'!D223</f>
        <v>NDCP</v>
      </c>
      <c r="E65" s="1975" t="str">
        <f>'9-A.Training Sub-Annex'!E223</f>
        <v>NVBDCP-AES/JE</v>
      </c>
      <c r="F65" s="1975">
        <f>'9-A.Training Sub-Annex'!F223</f>
        <v>0</v>
      </c>
      <c r="G65" s="1975">
        <f>'9-A.Training Sub-Annex'!G223</f>
        <v>0</v>
      </c>
      <c r="H65" s="1975">
        <f>'9-A.Training Sub-Annex'!H223</f>
        <v>0</v>
      </c>
      <c r="I65" s="1975">
        <f>'9-A.Training Sub-Annex'!I223</f>
        <v>0</v>
      </c>
      <c r="J65" s="1975">
        <f>'9-A.Training Sub-Annex'!J223</f>
        <v>0</v>
      </c>
      <c r="K65" s="1975">
        <f>'9-A.Training Sub-Annex'!K223</f>
        <v>0</v>
      </c>
      <c r="L65" s="1975">
        <f>'9-A.Training Sub-Annex'!L223</f>
        <v>0</v>
      </c>
      <c r="M65" s="162">
        <f>'9-A.Training Sub-Annex'!M223</f>
        <v>0</v>
      </c>
      <c r="N65" s="1975">
        <f>'9-A.Training Sub-Annex'!N223</f>
        <v>0</v>
      </c>
      <c r="O65" s="162">
        <f>'9-A.Training Sub-Annex'!O223</f>
        <v>0</v>
      </c>
      <c r="P65" s="88">
        <f>'9-A.Training Sub-Annex'!P223</f>
        <v>0</v>
      </c>
      <c r="Q65" s="54"/>
      <c r="R65" s="694"/>
    </row>
    <row r="66" spans="1:18" ht="30">
      <c r="A66" s="4095"/>
      <c r="B66" s="88" t="str">
        <f>'9-A.Training Sub-Annex'!B224</f>
        <v>F.1.3.l</v>
      </c>
      <c r="C66" s="88" t="str">
        <f>'9-A.Training Sub-Annex'!C224</f>
        <v>Other Charges for  Training /Workshop Meeting (AES/ JE)</v>
      </c>
      <c r="D66" s="1975" t="str">
        <f>'9-A.Training Sub-Annex'!D224</f>
        <v>NDCP</v>
      </c>
      <c r="E66" s="1975" t="str">
        <f>'9-A.Training Sub-Annex'!E224</f>
        <v>NVBDCP-AES/JE</v>
      </c>
      <c r="F66" s="1975">
        <f>'9-A.Training Sub-Annex'!F224</f>
        <v>0</v>
      </c>
      <c r="G66" s="1975">
        <f>'9-A.Training Sub-Annex'!G224</f>
        <v>0</v>
      </c>
      <c r="H66" s="1975">
        <f>'9-A.Training Sub-Annex'!H224</f>
        <v>0</v>
      </c>
      <c r="I66" s="1975">
        <f>'9-A.Training Sub-Annex'!I224</f>
        <v>0</v>
      </c>
      <c r="J66" s="1975">
        <f>'9-A.Training Sub-Annex'!J224</f>
        <v>0</v>
      </c>
      <c r="K66" s="1975">
        <f>'9-A.Training Sub-Annex'!K224</f>
        <v>0</v>
      </c>
      <c r="L66" s="1975">
        <f>'9-A.Training Sub-Annex'!L224</f>
        <v>0</v>
      </c>
      <c r="M66" s="162">
        <f>'9-A.Training Sub-Annex'!M224</f>
        <v>0</v>
      </c>
      <c r="N66" s="1975">
        <f>'9-A.Training Sub-Annex'!N224</f>
        <v>0</v>
      </c>
      <c r="O66" s="162">
        <f>'9-A.Training Sub-Annex'!O224</f>
        <v>0</v>
      </c>
      <c r="P66" s="88">
        <f>'9-A.Training Sub-Annex'!P224</f>
        <v>0</v>
      </c>
      <c r="Q66" s="54"/>
      <c r="R66" s="694"/>
    </row>
    <row r="67" spans="1:18" ht="30">
      <c r="A67" s="4095"/>
      <c r="B67" s="88" t="str">
        <f>'9-A.Training Sub-Annex'!B225</f>
        <v>F.1.4.d</v>
      </c>
      <c r="C67" s="88" t="str">
        <f>'9-A.Training Sub-Annex'!C225</f>
        <v>Training/sensitization of district level officers on ELF and drug distributors including peripheral health workers (AES/ JE)</v>
      </c>
      <c r="D67" s="1975" t="str">
        <f>'9-A.Training Sub-Annex'!D225</f>
        <v>NDCP</v>
      </c>
      <c r="E67" s="1975" t="str">
        <f>'9-A.Training Sub-Annex'!E225</f>
        <v>NVBDCP-AES/JE</v>
      </c>
      <c r="F67" s="1975">
        <f>'9-A.Training Sub-Annex'!F225</f>
        <v>0</v>
      </c>
      <c r="G67" s="1975">
        <f>'9-A.Training Sub-Annex'!G225</f>
        <v>0</v>
      </c>
      <c r="H67" s="1975">
        <f>'9-A.Training Sub-Annex'!H225</f>
        <v>0</v>
      </c>
      <c r="I67" s="1975">
        <f>'9-A.Training Sub-Annex'!I225</f>
        <v>0</v>
      </c>
      <c r="J67" s="1975">
        <f>'9-A.Training Sub-Annex'!J225</f>
        <v>0</v>
      </c>
      <c r="K67" s="1975">
        <f>'9-A.Training Sub-Annex'!K225</f>
        <v>0</v>
      </c>
      <c r="L67" s="1975">
        <f>'9-A.Training Sub-Annex'!L225</f>
        <v>0</v>
      </c>
      <c r="M67" s="162">
        <f>'9-A.Training Sub-Annex'!M225</f>
        <v>0</v>
      </c>
      <c r="N67" s="1975">
        <f>'9-A.Training Sub-Annex'!N225</f>
        <v>0</v>
      </c>
      <c r="O67" s="162">
        <f>'9-A.Training Sub-Annex'!O225</f>
        <v>0</v>
      </c>
      <c r="P67" s="88">
        <f>'9-A.Training Sub-Annex'!P225</f>
        <v>0</v>
      </c>
      <c r="Q67" s="54"/>
      <c r="R67" s="694"/>
    </row>
    <row r="68" spans="1:18" ht="30">
      <c r="A68" s="4095"/>
      <c r="B68" s="88"/>
      <c r="C68" s="88" t="str">
        <f>'9-A.Training Sub-Annex'!C226</f>
        <v>Training under MVCR</v>
      </c>
      <c r="D68" s="1975" t="str">
        <f>'9-A.Training Sub-Annex'!D226</f>
        <v>NDCP</v>
      </c>
      <c r="E68" s="1975" t="str">
        <f>'9-A.Training Sub-Annex'!E226</f>
        <v>NVBDCP – Malaria</v>
      </c>
      <c r="F68" s="1975">
        <f>'9-A.Training Sub-Annex'!F226</f>
        <v>0</v>
      </c>
      <c r="G68" s="1975">
        <f>'9-A.Training Sub-Annex'!G226</f>
        <v>0</v>
      </c>
      <c r="H68" s="1975">
        <f>'9-A.Training Sub-Annex'!H226</f>
        <v>0</v>
      </c>
      <c r="I68" s="1975">
        <f>'9-A.Training Sub-Annex'!I226</f>
        <v>0</v>
      </c>
      <c r="J68" s="1975">
        <f>'9-A.Training Sub-Annex'!J226</f>
        <v>0</v>
      </c>
      <c r="K68" s="1975">
        <f>'9-A.Training Sub-Annex'!K226</f>
        <v>0</v>
      </c>
      <c r="L68" s="1975">
        <f>'9-A.Training Sub-Annex'!L226</f>
        <v>0</v>
      </c>
      <c r="M68" s="162">
        <f>'9-A.Training Sub-Annex'!M226</f>
        <v>0</v>
      </c>
      <c r="N68" s="1975">
        <f>'9-A.Training Sub-Annex'!N226</f>
        <v>0</v>
      </c>
      <c r="O68" s="162">
        <f>'9-A.Training Sub-Annex'!O226</f>
        <v>0</v>
      </c>
      <c r="P68" s="88">
        <f>'9-A.Training Sub-Annex'!P226</f>
        <v>0</v>
      </c>
      <c r="Q68" s="54"/>
      <c r="R68" s="694"/>
    </row>
    <row r="69" spans="1:18" ht="30">
      <c r="A69" s="4095"/>
      <c r="B69" s="88"/>
      <c r="C69" s="88" t="str">
        <f>'9-A.Training Sub-Annex'!C227</f>
        <v>Any other (please specify)</v>
      </c>
      <c r="D69" s="1975" t="str">
        <f>'9-A.Training Sub-Annex'!D227</f>
        <v>NDCP</v>
      </c>
      <c r="E69" s="1975" t="str">
        <f>'9-A.Training Sub-Annex'!E227</f>
        <v>NVBDCP</v>
      </c>
      <c r="F69" s="1975">
        <f>'9-A.Training Sub-Annex'!F227</f>
        <v>0</v>
      </c>
      <c r="G69" s="1975">
        <f>'9-A.Training Sub-Annex'!G227</f>
        <v>0</v>
      </c>
      <c r="H69" s="1975">
        <f>'9-A.Training Sub-Annex'!H227</f>
        <v>0</v>
      </c>
      <c r="I69" s="1975">
        <f>'9-A.Training Sub-Annex'!I227</f>
        <v>0</v>
      </c>
      <c r="J69" s="1975">
        <f>'9-A.Training Sub-Annex'!J227</f>
        <v>0</v>
      </c>
      <c r="K69" s="1975">
        <f>'9-A.Training Sub-Annex'!K227</f>
        <v>0</v>
      </c>
      <c r="L69" s="1975">
        <f>'9-A.Training Sub-Annex'!L227</f>
        <v>0</v>
      </c>
      <c r="M69" s="162">
        <f>'9-A.Training Sub-Annex'!M227</f>
        <v>0</v>
      </c>
      <c r="N69" s="1975">
        <f>'9-A.Training Sub-Annex'!N227</f>
        <v>0</v>
      </c>
      <c r="O69" s="162">
        <f>'9-A.Training Sub-Annex'!O227</f>
        <v>0</v>
      </c>
      <c r="P69" s="88">
        <f>'9-A.Training Sub-Annex'!P227</f>
        <v>0</v>
      </c>
      <c r="Q69" s="54"/>
      <c r="R69" s="694"/>
    </row>
    <row r="70" spans="1:18">
      <c r="A70" s="1970">
        <f>'10.Review Research &amp; Surveillen'!A7</f>
        <v>10</v>
      </c>
      <c r="B70" s="1970"/>
      <c r="C70" s="1970" t="str">
        <f>'10.Review Research &amp; Surveillen'!C7</f>
        <v>Reviews, Research, Surveys and Surveillance</v>
      </c>
      <c r="D70" s="1969"/>
      <c r="E70" s="1969"/>
      <c r="F70" s="1969"/>
      <c r="G70" s="1969"/>
      <c r="H70" s="1969"/>
      <c r="I70" s="1969"/>
      <c r="J70" s="1969"/>
      <c r="K70" s="1969"/>
      <c r="L70" s="1969"/>
      <c r="M70" s="994"/>
      <c r="N70" s="1969"/>
      <c r="O70" s="994">
        <f>SUM(O71:O88)</f>
        <v>2.1</v>
      </c>
      <c r="P70" s="1970"/>
      <c r="Q70" s="1889"/>
      <c r="R70" s="115">
        <f>SUM(R71:R88)</f>
        <v>2.1</v>
      </c>
    </row>
    <row r="71" spans="1:18" ht="30">
      <c r="A71" s="1987" t="str">
        <f>'10.Review Research &amp; Surveillen'!A15</f>
        <v>10.2.3</v>
      </c>
      <c r="B71" s="1987" t="str">
        <f>'10.Review Research &amp; Surveillen'!B15</f>
        <v>F.1.3.h</v>
      </c>
      <c r="C71" s="1987" t="str">
        <f>'10.Review Research &amp; Surveillen'!C15</f>
        <v>Operational Research - AES/ JE</v>
      </c>
      <c r="D71" s="2015" t="str">
        <f>'10.Review Research &amp; Surveillen'!D15</f>
        <v>NDCP</v>
      </c>
      <c r="E71" s="2015" t="str">
        <f>'10.Review Research &amp; Surveillen'!E15</f>
        <v>NVBDCP - AES/JE</v>
      </c>
      <c r="F71" s="2015">
        <f>'10.Review Research &amp; Surveillen'!F15</f>
        <v>0</v>
      </c>
      <c r="G71" s="2015">
        <f>'10.Review Research &amp; Surveillen'!G15</f>
        <v>0</v>
      </c>
      <c r="H71" s="2015">
        <f>'10.Review Research &amp; Surveillen'!H15</f>
        <v>0</v>
      </c>
      <c r="I71" s="2015">
        <f>'10.Review Research &amp; Surveillen'!I15</f>
        <v>0</v>
      </c>
      <c r="J71" s="2015">
        <f>'10.Review Research &amp; Surveillen'!J15</f>
        <v>0</v>
      </c>
      <c r="K71" s="2015">
        <f>'10.Review Research &amp; Surveillen'!K15</f>
        <v>0</v>
      </c>
      <c r="L71" s="2015">
        <f>'10.Review Research &amp; Surveillen'!L15</f>
        <v>0</v>
      </c>
      <c r="M71" s="162">
        <f>'10.Review Research &amp; Surveillen'!M15</f>
        <v>0</v>
      </c>
      <c r="N71" s="2015">
        <f>'10.Review Research &amp; Surveillen'!N15</f>
        <v>0</v>
      </c>
      <c r="O71" s="162">
        <f>'10.Review Research &amp; Surveillen'!O15</f>
        <v>0</v>
      </c>
      <c r="P71" s="1987">
        <f>'10.Review Research &amp; Surveillen'!P15</f>
        <v>0</v>
      </c>
      <c r="Q71" s="54"/>
      <c r="R71" s="694"/>
    </row>
    <row r="72" spans="1:18" ht="30">
      <c r="A72" s="1987" t="str">
        <f>'10.Review Research &amp; Surveillen'!A16</f>
        <v>10.2.4</v>
      </c>
      <c r="B72" s="1987" t="str">
        <f>'10.Review Research &amp; Surveillen'!B16</f>
        <v>F.1.4.b</v>
      </c>
      <c r="C72" s="1987" t="str">
        <f>'10.Review Research &amp; Surveillen'!C16</f>
        <v>Microfilaria Survey - Lymphatic Filariasis</v>
      </c>
      <c r="D72" s="2015" t="str">
        <f>'10.Review Research &amp; Surveillen'!D16</f>
        <v>NDCP</v>
      </c>
      <c r="E72" s="2015" t="str">
        <f>'10.Review Research &amp; Surveillen'!E16</f>
        <v>NVBDCP-Lymphatic Filariasis</v>
      </c>
      <c r="F72" s="2015">
        <f>'10.Review Research &amp; Surveillen'!F16</f>
        <v>0</v>
      </c>
      <c r="G72" s="2015">
        <f>'10.Review Research &amp; Surveillen'!G16</f>
        <v>0</v>
      </c>
      <c r="H72" s="2015">
        <f>'10.Review Research &amp; Surveillen'!H16</f>
        <v>0</v>
      </c>
      <c r="I72" s="2015">
        <f>'10.Review Research &amp; Surveillen'!I16</f>
        <v>0</v>
      </c>
      <c r="J72" s="2015">
        <f>'10.Review Research &amp; Surveillen'!J16</f>
        <v>0</v>
      </c>
      <c r="K72" s="2015">
        <f>'10.Review Research &amp; Surveillen'!K16</f>
        <v>0</v>
      </c>
      <c r="L72" s="2015">
        <f>'10.Review Research &amp; Surveillen'!L16</f>
        <v>0</v>
      </c>
      <c r="M72" s="162">
        <f>'10.Review Research &amp; Surveillen'!M16</f>
        <v>0</v>
      </c>
      <c r="N72" s="2015">
        <f>'10.Review Research &amp; Surveillen'!N16</f>
        <v>0</v>
      </c>
      <c r="O72" s="162">
        <f>'10.Review Research &amp; Surveillen'!O16</f>
        <v>0</v>
      </c>
      <c r="P72" s="1987">
        <f>'10.Review Research &amp; Surveillen'!P16</f>
        <v>0</v>
      </c>
      <c r="Q72" s="54"/>
      <c r="R72" s="694"/>
    </row>
    <row r="73" spans="1:18" ht="30">
      <c r="A73" s="1987" t="str">
        <f>'10.Review Research &amp; Surveillen'!A17</f>
        <v>10.2.5</v>
      </c>
      <c r="B73" s="1987" t="str">
        <f>'10.Review Research &amp; Surveillen'!B17</f>
        <v>F.1.4.c</v>
      </c>
      <c r="C73" s="1987" t="str">
        <f>'10.Review Research &amp; Surveillen'!C17</f>
        <v>Monitoring  &amp;Evaluation (Post MDA assessment by medical colleges (Govt. &amp; private)/ICMR institutions )</v>
      </c>
      <c r="D73" s="2015" t="str">
        <f>'10.Review Research &amp; Surveillen'!D17</f>
        <v>NDCP</v>
      </c>
      <c r="E73" s="2015" t="str">
        <f>'10.Review Research &amp; Surveillen'!E17</f>
        <v>NVBDCP-Lymphatic Filariasis</v>
      </c>
      <c r="F73" s="2015">
        <f>'10.Review Research &amp; Surveillen'!F17</f>
        <v>0</v>
      </c>
      <c r="G73" s="2015">
        <f>'10.Review Research &amp; Surveillen'!G17</f>
        <v>0</v>
      </c>
      <c r="H73" s="2015">
        <f>'10.Review Research &amp; Surveillen'!H17</f>
        <v>0</v>
      </c>
      <c r="I73" s="2015">
        <f>'10.Review Research &amp; Surveillen'!I17</f>
        <v>0</v>
      </c>
      <c r="J73" s="2015">
        <f>'10.Review Research &amp; Surveillen'!J17</f>
        <v>0</v>
      </c>
      <c r="K73" s="2015">
        <f>'10.Review Research &amp; Surveillen'!K17</f>
        <v>0</v>
      </c>
      <c r="L73" s="2015">
        <f>'10.Review Research &amp; Surveillen'!L17</f>
        <v>0</v>
      </c>
      <c r="M73" s="162">
        <f>'10.Review Research &amp; Surveillen'!M17</f>
        <v>0</v>
      </c>
      <c r="N73" s="2015">
        <f>'10.Review Research &amp; Surveillen'!N17</f>
        <v>0</v>
      </c>
      <c r="O73" s="162">
        <f>'10.Review Research &amp; Surveillen'!O17</f>
        <v>0</v>
      </c>
      <c r="P73" s="1987">
        <f>'10.Review Research &amp; Surveillen'!P17</f>
        <v>0</v>
      </c>
      <c r="Q73" s="54"/>
      <c r="R73" s="694"/>
    </row>
    <row r="74" spans="1:18" ht="30">
      <c r="A74" s="1987" t="str">
        <f>'10.Review Research &amp; Surveillen'!A19</f>
        <v>10.2.6.1</v>
      </c>
      <c r="B74" s="1987" t="str">
        <f>'10.Review Research &amp; Surveillen'!B19</f>
        <v>F.1.4.f.i</v>
      </c>
      <c r="C74" s="1987" t="str">
        <f>'10.Review Research &amp; Surveillen'!C19</f>
        <v>Additional MF Survey</v>
      </c>
      <c r="D74" s="2015" t="str">
        <f>'10.Review Research &amp; Surveillen'!D19</f>
        <v>NDCP</v>
      </c>
      <c r="E74" s="2015" t="str">
        <f>'10.Review Research &amp; Surveillen'!E19</f>
        <v>NVBDCP-Lymphatic Filariasis</v>
      </c>
      <c r="F74" s="2015">
        <f>'10.Review Research &amp; Surveillen'!F19</f>
        <v>0</v>
      </c>
      <c r="G74" s="2015">
        <f>'10.Review Research &amp; Surveillen'!G19</f>
        <v>0</v>
      </c>
      <c r="H74" s="2015">
        <f>'10.Review Research &amp; Surveillen'!H19</f>
        <v>0</v>
      </c>
      <c r="I74" s="2015">
        <f>'10.Review Research &amp; Surveillen'!I19</f>
        <v>0</v>
      </c>
      <c r="J74" s="2015">
        <f>'10.Review Research &amp; Surveillen'!J19</f>
        <v>0</v>
      </c>
      <c r="K74" s="2015">
        <f>'10.Review Research &amp; Surveillen'!K19</f>
        <v>0</v>
      </c>
      <c r="L74" s="2015">
        <f>'10.Review Research &amp; Surveillen'!L19</f>
        <v>0</v>
      </c>
      <c r="M74" s="162">
        <f>'10.Review Research &amp; Surveillen'!M19</f>
        <v>0</v>
      </c>
      <c r="N74" s="2015">
        <f>'10.Review Research &amp; Surveillen'!N19</f>
        <v>0</v>
      </c>
      <c r="O74" s="162">
        <f>'10.Review Research &amp; Surveillen'!O19</f>
        <v>0</v>
      </c>
      <c r="P74" s="1987">
        <f>'10.Review Research &amp; Surveillen'!P19</f>
        <v>0</v>
      </c>
      <c r="Q74" s="54"/>
      <c r="R74" s="694"/>
    </row>
    <row r="75" spans="1:18" ht="30">
      <c r="A75" s="1987" t="str">
        <f>'10.Review Research &amp; Surveillen'!A20</f>
        <v>10.2.6.2</v>
      </c>
      <c r="B75" s="1987" t="str">
        <f>'10.Review Research &amp; Surveillen'!B20</f>
        <v>F.1.4.f.ii</v>
      </c>
      <c r="C75" s="1987" t="str">
        <f>'10.Review Research &amp; Surveillen'!C20</f>
        <v>ICT Survey</v>
      </c>
      <c r="D75" s="2015" t="str">
        <f>'10.Review Research &amp; Surveillen'!D20</f>
        <v>NDCP</v>
      </c>
      <c r="E75" s="2015" t="str">
        <f>'10.Review Research &amp; Surveillen'!E20</f>
        <v>NVBDCP-Lymphatic Filariasis</v>
      </c>
      <c r="F75" s="2015">
        <f>'10.Review Research &amp; Surveillen'!F20</f>
        <v>0</v>
      </c>
      <c r="G75" s="2015">
        <f>'10.Review Research &amp; Surveillen'!G20</f>
        <v>0</v>
      </c>
      <c r="H75" s="2015">
        <f>'10.Review Research &amp; Surveillen'!H20</f>
        <v>0</v>
      </c>
      <c r="I75" s="2015">
        <f>'10.Review Research &amp; Surveillen'!I20</f>
        <v>0</v>
      </c>
      <c r="J75" s="2015">
        <f>'10.Review Research &amp; Surveillen'!J20</f>
        <v>0</v>
      </c>
      <c r="K75" s="2015">
        <f>'10.Review Research &amp; Surveillen'!K20</f>
        <v>0</v>
      </c>
      <c r="L75" s="2015">
        <f>'10.Review Research &amp; Surveillen'!L20</f>
        <v>0</v>
      </c>
      <c r="M75" s="162">
        <f>'10.Review Research &amp; Surveillen'!M20</f>
        <v>0</v>
      </c>
      <c r="N75" s="2015">
        <f>'10.Review Research &amp; Surveillen'!N20</f>
        <v>0</v>
      </c>
      <c r="O75" s="162">
        <f>'10.Review Research &amp; Surveillen'!O20</f>
        <v>0</v>
      </c>
      <c r="P75" s="1987">
        <f>'10.Review Research &amp; Surveillen'!P20</f>
        <v>0</v>
      </c>
      <c r="Q75" s="54"/>
      <c r="R75" s="694"/>
    </row>
    <row r="76" spans="1:18" ht="30">
      <c r="A76" s="1987" t="str">
        <f>'10.Review Research &amp; Surveillen'!A22</f>
        <v>10.2.7.1</v>
      </c>
      <c r="B76" s="1987" t="str">
        <f>'10.Review Research &amp; Surveillen'!B22</f>
        <v>F.1.4.g.i</v>
      </c>
      <c r="C76" s="1987" t="str">
        <f>'10.Review Research &amp; Surveillen'!C22</f>
        <v>LY &amp; Hy Survey in 350 dist.</v>
      </c>
      <c r="D76" s="2015" t="str">
        <f>'10.Review Research &amp; Surveillen'!D22</f>
        <v>NDCP</v>
      </c>
      <c r="E76" s="2015" t="str">
        <f>'10.Review Research &amp; Surveillen'!E22</f>
        <v>NVBDCP-Lymphatic Filariasis</v>
      </c>
      <c r="F76" s="2015">
        <f>'10.Review Research &amp; Surveillen'!F22</f>
        <v>0</v>
      </c>
      <c r="G76" s="2015">
        <f>'10.Review Research &amp; Surveillen'!G22</f>
        <v>0</v>
      </c>
      <c r="H76" s="2015">
        <f>'10.Review Research &amp; Surveillen'!H22</f>
        <v>0</v>
      </c>
      <c r="I76" s="2015">
        <f>'10.Review Research &amp; Surveillen'!I22</f>
        <v>0</v>
      </c>
      <c r="J76" s="2015">
        <f>'10.Review Research &amp; Surveillen'!J22</f>
        <v>0</v>
      </c>
      <c r="K76" s="2015">
        <f>'10.Review Research &amp; Surveillen'!K22</f>
        <v>0</v>
      </c>
      <c r="L76" s="2015">
        <f>'10.Review Research &amp; Surveillen'!L22</f>
        <v>0</v>
      </c>
      <c r="M76" s="162">
        <f>'10.Review Research &amp; Surveillen'!M22</f>
        <v>0</v>
      </c>
      <c r="N76" s="2015">
        <f>'10.Review Research &amp; Surveillen'!N22</f>
        <v>0</v>
      </c>
      <c r="O76" s="162">
        <f>'10.Review Research &amp; Surveillen'!O22</f>
        <v>0</v>
      </c>
      <c r="P76" s="1987">
        <f>'10.Review Research &amp; Surveillen'!P22</f>
        <v>0</v>
      </c>
      <c r="Q76" s="54"/>
      <c r="R76" s="694"/>
    </row>
    <row r="77" spans="1:18" ht="30">
      <c r="A77" s="1987" t="str">
        <f>'10.Review Research &amp; Surveillen'!A23</f>
        <v>10.2.7.2</v>
      </c>
      <c r="B77" s="1987" t="str">
        <f>'10.Review Research &amp; Surveillen'!B23</f>
        <v>F.1.4.g.ii</v>
      </c>
      <c r="C77" s="1987" t="str">
        <f>'10.Review Research &amp; Surveillen'!C23</f>
        <v>Mf Survey in Non- endemic dist.</v>
      </c>
      <c r="D77" s="2015" t="str">
        <f>'10.Review Research &amp; Surveillen'!D23</f>
        <v>NDCP</v>
      </c>
      <c r="E77" s="2015" t="str">
        <f>'10.Review Research &amp; Surveillen'!E23</f>
        <v>NVBDCP-Lymphatic Filariasis</v>
      </c>
      <c r="F77" s="2015">
        <f>'10.Review Research &amp; Surveillen'!F23</f>
        <v>0</v>
      </c>
      <c r="G77" s="2015">
        <f>'10.Review Research &amp; Surveillen'!G23</f>
        <v>0</v>
      </c>
      <c r="H77" s="2015">
        <f>'10.Review Research &amp; Surveillen'!H23</f>
        <v>0</v>
      </c>
      <c r="I77" s="2015">
        <f>'10.Review Research &amp; Surveillen'!I23</f>
        <v>0</v>
      </c>
      <c r="J77" s="2015">
        <f>'10.Review Research &amp; Surveillen'!J23</f>
        <v>0</v>
      </c>
      <c r="K77" s="2015">
        <f>'10.Review Research &amp; Surveillen'!K23</f>
        <v>0</v>
      </c>
      <c r="L77" s="2015">
        <f>'10.Review Research &amp; Surveillen'!L23</f>
        <v>0</v>
      </c>
      <c r="M77" s="162">
        <f>'10.Review Research &amp; Surveillen'!M23</f>
        <v>0</v>
      </c>
      <c r="N77" s="2015">
        <f>'10.Review Research &amp; Surveillen'!N23</f>
        <v>0</v>
      </c>
      <c r="O77" s="162">
        <f>'10.Review Research &amp; Surveillen'!O23</f>
        <v>0</v>
      </c>
      <c r="P77" s="1987">
        <f>'10.Review Research &amp; Surveillen'!P23</f>
        <v>0</v>
      </c>
      <c r="Q77" s="54"/>
      <c r="R77" s="694"/>
    </row>
    <row r="78" spans="1:18" ht="30">
      <c r="A78" s="1987" t="str">
        <f>'10.Review Research &amp; Surveillen'!A24</f>
        <v>10.2.7.3</v>
      </c>
      <c r="B78" s="1987" t="str">
        <f>'10.Review Research &amp; Surveillen'!B24</f>
        <v>F.1.4.g.iii</v>
      </c>
      <c r="C78" s="1987" t="str">
        <f>'10.Review Research &amp; Surveillen'!C24</f>
        <v>ICT survey in 200 dist.</v>
      </c>
      <c r="D78" s="2015" t="str">
        <f>'10.Review Research &amp; Surveillen'!D24</f>
        <v>NDCP</v>
      </c>
      <c r="E78" s="2015" t="str">
        <f>'10.Review Research &amp; Surveillen'!E24</f>
        <v>NVBDCP-Lymphatic Filariasis</v>
      </c>
      <c r="F78" s="2015">
        <f>'10.Review Research &amp; Surveillen'!F24</f>
        <v>0</v>
      </c>
      <c r="G78" s="2015">
        <f>'10.Review Research &amp; Surveillen'!G24</f>
        <v>0</v>
      </c>
      <c r="H78" s="2015">
        <f>'10.Review Research &amp; Surveillen'!H24</f>
        <v>0</v>
      </c>
      <c r="I78" s="2015">
        <f>'10.Review Research &amp; Surveillen'!I24</f>
        <v>0</v>
      </c>
      <c r="J78" s="2015">
        <f>'10.Review Research &amp; Surveillen'!J24</f>
        <v>0</v>
      </c>
      <c r="K78" s="2015">
        <f>'10.Review Research &amp; Surveillen'!K24</f>
        <v>0</v>
      </c>
      <c r="L78" s="2015">
        <f>'10.Review Research &amp; Surveillen'!L24</f>
        <v>0</v>
      </c>
      <c r="M78" s="162">
        <f>'10.Review Research &amp; Surveillen'!M24</f>
        <v>0</v>
      </c>
      <c r="N78" s="2015">
        <f>'10.Review Research &amp; Surveillen'!N24</f>
        <v>0</v>
      </c>
      <c r="O78" s="162">
        <f>'10.Review Research &amp; Surveillen'!O24</f>
        <v>0</v>
      </c>
      <c r="P78" s="1987">
        <f>'10.Review Research &amp; Surveillen'!P24</f>
        <v>0</v>
      </c>
      <c r="Q78" s="54"/>
      <c r="R78" s="694"/>
    </row>
    <row r="79" spans="1:18" ht="30">
      <c r="A79" s="88" t="str">
        <f>'10.Review Research &amp; Surveillen'!A36</f>
        <v>10.3.1.1</v>
      </c>
      <c r="B79" s="88" t="str">
        <f>'10.Review Research &amp; Surveillen'!B36</f>
        <v>F.1.2.a(i)</v>
      </c>
      <c r="C79" s="88" t="str">
        <f>'10.Review Research &amp; Surveillen'!C36</f>
        <v xml:space="preserve">Apex Referral Labs recurrent </v>
      </c>
      <c r="D79" s="1975" t="str">
        <f>'10.Review Research &amp; Surveillen'!D36</f>
        <v>NDCP</v>
      </c>
      <c r="E79" s="1975" t="str">
        <f>'10.Review Research &amp; Surveillen'!E36</f>
        <v>NVBDCP - Dengue/Chikungunya</v>
      </c>
      <c r="F79" s="1975">
        <f>'10.Review Research &amp; Surveillen'!F36</f>
        <v>0</v>
      </c>
      <c r="G79" s="1975">
        <f>'10.Review Research &amp; Surveillen'!G36</f>
        <v>0</v>
      </c>
      <c r="H79" s="1975">
        <f>'10.Review Research &amp; Surveillen'!H36</f>
        <v>0</v>
      </c>
      <c r="I79" s="1975">
        <f>'10.Review Research &amp; Surveillen'!I36</f>
        <v>0</v>
      </c>
      <c r="J79" s="1975">
        <f>'10.Review Research &amp; Surveillen'!J36</f>
        <v>0</v>
      </c>
      <c r="K79" s="1975">
        <f>'10.Review Research &amp; Surveillen'!K36</f>
        <v>0</v>
      </c>
      <c r="L79" s="1975">
        <f>'10.Review Research &amp; Surveillen'!L36</f>
        <v>0</v>
      </c>
      <c r="M79" s="162">
        <f>'10.Review Research &amp; Surveillen'!M36</f>
        <v>0</v>
      </c>
      <c r="N79" s="1975">
        <f>'10.Review Research &amp; Surveillen'!N36</f>
        <v>0</v>
      </c>
      <c r="O79" s="162">
        <f>'10.Review Research &amp; Surveillen'!O36</f>
        <v>0</v>
      </c>
      <c r="P79" s="88">
        <f>'10.Review Research &amp; Surveillen'!P36</f>
        <v>0</v>
      </c>
      <c r="Q79" s="54"/>
      <c r="R79" s="694"/>
    </row>
    <row r="80" spans="1:18" ht="60">
      <c r="A80" s="88" t="str">
        <f>'10.Review Research &amp; Surveillen'!A37</f>
        <v>10.3.1.2</v>
      </c>
      <c r="B80" s="88" t="str">
        <f>'10.Review Research &amp; Surveillen'!B37</f>
        <v>F.1.2.a(ii)</v>
      </c>
      <c r="C80" s="88" t="str">
        <f>'10.Review Research &amp; Surveillen'!C37</f>
        <v xml:space="preserve">Sentinel surveillance Hospital recurrent </v>
      </c>
      <c r="D80" s="1975" t="str">
        <f>'10.Review Research &amp; Surveillen'!D37</f>
        <v>NDCP</v>
      </c>
      <c r="E80" s="1975" t="str">
        <f>'10.Review Research &amp; Surveillen'!E37</f>
        <v>NVBDCP - Dengue/Chikungunya</v>
      </c>
      <c r="F80" s="1975">
        <f>'10.Review Research &amp; Surveillen'!F37</f>
        <v>7</v>
      </c>
      <c r="G80" s="1975">
        <f>'10.Review Research &amp; Surveillen'!G37</f>
        <v>0</v>
      </c>
      <c r="H80" s="1975">
        <f>'10.Review Research &amp; Surveillen'!H37</f>
        <v>7</v>
      </c>
      <c r="I80" s="1975">
        <f>'10.Review Research &amp; Surveillen'!I37</f>
        <v>0.5</v>
      </c>
      <c r="J80" s="1975">
        <f>'10.Review Research &amp; Surveillen'!J37</f>
        <v>5</v>
      </c>
      <c r="K80" s="1975">
        <f>'10.Review Research &amp; Surveillen'!K37</f>
        <v>0</v>
      </c>
      <c r="L80" s="1975">
        <f>'10.Review Research &amp; Surveillen'!L37</f>
        <v>30000</v>
      </c>
      <c r="M80" s="162">
        <f>'10.Review Research &amp; Surveillen'!M37</f>
        <v>0.3</v>
      </c>
      <c r="N80" s="1975">
        <f>'10.Review Research &amp; Surveillen'!N37</f>
        <v>7</v>
      </c>
      <c r="O80" s="162">
        <f>'10.Review Research &amp; Surveillen'!O37</f>
        <v>2.1</v>
      </c>
      <c r="P80" s="88" t="str">
        <f>'10.Review Research &amp; Surveillen'!P37</f>
        <v>Rs. 30000 per sentinel surveillance hospital</v>
      </c>
      <c r="Q80" s="54" t="s">
        <v>5695</v>
      </c>
      <c r="R80" s="694">
        <v>2.1</v>
      </c>
    </row>
    <row r="81" spans="1:18" ht="30">
      <c r="A81" s="88" t="str">
        <f>'10.Review Research &amp; Surveillen'!A38</f>
        <v>10.3.1.3</v>
      </c>
      <c r="B81" s="88" t="str">
        <f>'10.Review Research &amp; Surveillen'!B38</f>
        <v>F.1.2.a(iii)</v>
      </c>
      <c r="C81" s="88" t="str">
        <f>'10.Review Research &amp; Surveillen'!C38</f>
        <v>ELISA facility to SentinelSurveillance Hospital/ Laboratories</v>
      </c>
      <c r="D81" s="1975" t="str">
        <f>'10.Review Research &amp; Surveillen'!D38</f>
        <v>NDCP</v>
      </c>
      <c r="E81" s="1975" t="str">
        <f>'10.Review Research &amp; Surveillen'!E38</f>
        <v>NVBDCP - Dengue/Chikungunya</v>
      </c>
      <c r="F81" s="1975">
        <f>'10.Review Research &amp; Surveillen'!F38</f>
        <v>0</v>
      </c>
      <c r="G81" s="1975">
        <f>'10.Review Research &amp; Surveillen'!G38</f>
        <v>0</v>
      </c>
      <c r="H81" s="1975">
        <f>'10.Review Research &amp; Surveillen'!H38</f>
        <v>0</v>
      </c>
      <c r="I81" s="1975">
        <f>'10.Review Research &amp; Surveillen'!I38</f>
        <v>0</v>
      </c>
      <c r="J81" s="1975">
        <f>'10.Review Research &amp; Surveillen'!J38</f>
        <v>0</v>
      </c>
      <c r="K81" s="1975">
        <f>'10.Review Research &amp; Surveillen'!K38</f>
        <v>0</v>
      </c>
      <c r="L81" s="1975">
        <f>'10.Review Research &amp; Surveillen'!L38</f>
        <v>0</v>
      </c>
      <c r="M81" s="162">
        <f>'10.Review Research &amp; Surveillen'!M38</f>
        <v>0</v>
      </c>
      <c r="N81" s="1975">
        <f>'10.Review Research &amp; Surveillen'!N38</f>
        <v>0</v>
      </c>
      <c r="O81" s="162">
        <f>'10.Review Research &amp; Surveillen'!O38</f>
        <v>0</v>
      </c>
      <c r="P81" s="88">
        <f>'10.Review Research &amp; Surveillen'!P38</f>
        <v>0</v>
      </c>
      <c r="Q81" s="54"/>
      <c r="R81" s="694"/>
    </row>
    <row r="82" spans="1:18" ht="30">
      <c r="A82" s="88" t="str">
        <f>'10.Review Research &amp; Surveillen'!A39</f>
        <v>10.3.1.4</v>
      </c>
      <c r="B82" s="88" t="str">
        <f>'10.Review Research &amp; Surveillen'!B39</f>
        <v>F.1.3.a</v>
      </c>
      <c r="C82" s="88" t="str">
        <f>'10.Review Research &amp; Surveillen'!C39</f>
        <v>Strengthening of Sentinel sites which will include Diagnostics and Case Management, supply of kits by GoI</v>
      </c>
      <c r="D82" s="1975" t="str">
        <f>'10.Review Research &amp; Surveillen'!D39</f>
        <v>NDCP</v>
      </c>
      <c r="E82" s="1975" t="str">
        <f>'10.Review Research &amp; Surveillen'!E39</f>
        <v>NVBDCP - AES/JE</v>
      </c>
      <c r="F82" s="1975">
        <f>'10.Review Research &amp; Surveillen'!F39</f>
        <v>0</v>
      </c>
      <c r="G82" s="1975">
        <f>'10.Review Research &amp; Surveillen'!G39</f>
        <v>0</v>
      </c>
      <c r="H82" s="1975">
        <f>'10.Review Research &amp; Surveillen'!H39</f>
        <v>0</v>
      </c>
      <c r="I82" s="1975">
        <f>'10.Review Research &amp; Surveillen'!I39</f>
        <v>0</v>
      </c>
      <c r="J82" s="1975">
        <f>'10.Review Research &amp; Surveillen'!J39</f>
        <v>0</v>
      </c>
      <c r="K82" s="1975">
        <f>'10.Review Research &amp; Surveillen'!K39</f>
        <v>0</v>
      </c>
      <c r="L82" s="1975">
        <f>'10.Review Research &amp; Surveillen'!L39</f>
        <v>0</v>
      </c>
      <c r="M82" s="162">
        <f>'10.Review Research &amp; Surveillen'!M39</f>
        <v>0</v>
      </c>
      <c r="N82" s="1975">
        <f>'10.Review Research &amp; Surveillen'!N39</f>
        <v>0</v>
      </c>
      <c r="O82" s="162">
        <f>'10.Review Research &amp; Surveillen'!O39</f>
        <v>0</v>
      </c>
      <c r="P82" s="88">
        <f>'10.Review Research &amp; Surveillen'!P39</f>
        <v>0</v>
      </c>
      <c r="Q82" s="54"/>
      <c r="R82" s="694"/>
    </row>
    <row r="83" spans="1:18" ht="30">
      <c r="A83" s="88" t="str">
        <f>'10.Review Research &amp; Surveillen'!A40</f>
        <v>10.3.1.5</v>
      </c>
      <c r="B83" s="88" t="str">
        <f>'10.Review Research &amp; Surveillen'!B40</f>
        <v>F.1.4.h</v>
      </c>
      <c r="C83" s="88" t="str">
        <f>'10.Review Research &amp; Surveillen'!C40</f>
        <v xml:space="preserve">Post-MDA surveillance </v>
      </c>
      <c r="D83" s="1975" t="str">
        <f>'10.Review Research &amp; Surveillen'!D40</f>
        <v>NDCP</v>
      </c>
      <c r="E83" s="1975" t="str">
        <f>'10.Review Research &amp; Surveillen'!E40</f>
        <v>NVBDCP-Lymphatic Filariasis</v>
      </c>
      <c r="F83" s="1975">
        <f>'10.Review Research &amp; Surveillen'!F40</f>
        <v>0</v>
      </c>
      <c r="G83" s="1975">
        <f>'10.Review Research &amp; Surveillen'!G40</f>
        <v>0</v>
      </c>
      <c r="H83" s="1975">
        <f>'10.Review Research &amp; Surveillen'!H40</f>
        <v>0</v>
      </c>
      <c r="I83" s="1975">
        <f>'10.Review Research &amp; Surveillen'!I40</f>
        <v>0</v>
      </c>
      <c r="J83" s="1975">
        <f>'10.Review Research &amp; Surveillen'!J40</f>
        <v>0</v>
      </c>
      <c r="K83" s="1975">
        <f>'10.Review Research &amp; Surveillen'!K40</f>
        <v>0</v>
      </c>
      <c r="L83" s="1975">
        <f>'10.Review Research &amp; Surveillen'!L40</f>
        <v>0</v>
      </c>
      <c r="M83" s="162">
        <f>'10.Review Research &amp; Surveillen'!M40</f>
        <v>0</v>
      </c>
      <c r="N83" s="1975">
        <f>'10.Review Research &amp; Surveillen'!N40</f>
        <v>0</v>
      </c>
      <c r="O83" s="162">
        <f>'10.Review Research &amp; Surveillen'!O40</f>
        <v>0</v>
      </c>
      <c r="P83" s="88">
        <f>'10.Review Research &amp; Surveillen'!P40</f>
        <v>0</v>
      </c>
      <c r="Q83" s="54"/>
      <c r="R83" s="694"/>
    </row>
    <row r="84" spans="1:18" ht="30">
      <c r="A84" s="88" t="str">
        <f>'10.Review Research &amp; Surveillen'!A41</f>
        <v>10.3.1.6</v>
      </c>
      <c r="B84" s="88">
        <f>'10.Review Research &amp; Surveillen'!B41</f>
        <v>0</v>
      </c>
      <c r="C84" s="88" t="str">
        <f>'10.Review Research &amp; Surveillen'!C41</f>
        <v>Any other (please specify)</v>
      </c>
      <c r="D84" s="1975" t="str">
        <f>'10.Review Research &amp; Surveillen'!D41</f>
        <v>NDCP</v>
      </c>
      <c r="E84" s="1975" t="str">
        <f>'10.Review Research &amp; Surveillen'!E41</f>
        <v>NVBDCP</v>
      </c>
      <c r="F84" s="1975">
        <f>'10.Review Research &amp; Surveillen'!F41</f>
        <v>0</v>
      </c>
      <c r="G84" s="1975">
        <f>'10.Review Research &amp; Surveillen'!G41</f>
        <v>0</v>
      </c>
      <c r="H84" s="1975">
        <f>'10.Review Research &amp; Surveillen'!H41</f>
        <v>0</v>
      </c>
      <c r="I84" s="1975">
        <f>'10.Review Research &amp; Surveillen'!I41</f>
        <v>0</v>
      </c>
      <c r="J84" s="1975">
        <f>'10.Review Research &amp; Surveillen'!J41</f>
        <v>0</v>
      </c>
      <c r="K84" s="1975">
        <f>'10.Review Research &amp; Surveillen'!K41</f>
        <v>0</v>
      </c>
      <c r="L84" s="1975">
        <f>'10.Review Research &amp; Surveillen'!L41</f>
        <v>0</v>
      </c>
      <c r="M84" s="162">
        <f>'10.Review Research &amp; Surveillen'!M41</f>
        <v>0</v>
      </c>
      <c r="N84" s="1975">
        <f>'10.Review Research &amp; Surveillen'!N41</f>
        <v>0</v>
      </c>
      <c r="O84" s="162">
        <f>'10.Review Research &amp; Surveillen'!O41</f>
        <v>0</v>
      </c>
      <c r="P84" s="88">
        <f>'10.Review Research &amp; Surveillen'!P41</f>
        <v>0</v>
      </c>
      <c r="Q84" s="54"/>
      <c r="R84" s="694"/>
    </row>
    <row r="85" spans="1:18" ht="30">
      <c r="A85" s="88" t="str">
        <f>'10.Review Research &amp; Surveillen'!A53</f>
        <v>10.4.6</v>
      </c>
      <c r="B85" s="88" t="str">
        <f>'10.Review Research &amp; Surveillen'!B53</f>
        <v>F.1.4.f.iii</v>
      </c>
      <c r="C85" s="88" t="str">
        <f>'10.Review Research &amp; Surveillen'!C53</f>
        <v>ICT Cost</v>
      </c>
      <c r="D85" s="1975" t="str">
        <f>'10.Review Research &amp; Surveillen'!D53</f>
        <v>NDCP</v>
      </c>
      <c r="E85" s="1975" t="str">
        <f>'10.Review Research &amp; Surveillen'!E53</f>
        <v>NVBDCP-Lymphatic Filariasis</v>
      </c>
      <c r="F85" s="1975">
        <f>'10.Review Research &amp; Surveillen'!F53</f>
        <v>0</v>
      </c>
      <c r="G85" s="1975">
        <f>'10.Review Research &amp; Surveillen'!G53</f>
        <v>0</v>
      </c>
      <c r="H85" s="1975">
        <f>'10.Review Research &amp; Surveillen'!H53</f>
        <v>0</v>
      </c>
      <c r="I85" s="1975">
        <f>'10.Review Research &amp; Surveillen'!I53</f>
        <v>0</v>
      </c>
      <c r="J85" s="1975">
        <f>'10.Review Research &amp; Surveillen'!J53</f>
        <v>0</v>
      </c>
      <c r="K85" s="1975">
        <f>'10.Review Research &amp; Surveillen'!K53</f>
        <v>0</v>
      </c>
      <c r="L85" s="1975">
        <f>'10.Review Research &amp; Surveillen'!L53</f>
        <v>0</v>
      </c>
      <c r="M85" s="162">
        <f>'10.Review Research &amp; Surveillen'!M53</f>
        <v>0</v>
      </c>
      <c r="N85" s="1975">
        <f>'10.Review Research &amp; Surveillen'!N53</f>
        <v>0</v>
      </c>
      <c r="O85" s="162">
        <f>'10.Review Research &amp; Surveillen'!O53</f>
        <v>0</v>
      </c>
      <c r="P85" s="88">
        <f>'10.Review Research &amp; Surveillen'!P53</f>
        <v>0</v>
      </c>
      <c r="Q85" s="54"/>
      <c r="R85" s="694"/>
    </row>
    <row r="86" spans="1:18" ht="30">
      <c r="A86" s="88" t="str">
        <f>'10.Review Research &amp; Surveillen'!A58</f>
        <v>10.5.3</v>
      </c>
      <c r="B86" s="88">
        <f>'10.Review Research &amp; Surveillen'!B58</f>
        <v>0</v>
      </c>
      <c r="C86" s="88" t="str">
        <f>'10.Review Research &amp; Surveillen'!C58</f>
        <v>Sub-national Disease Free Certification: Kala Azar</v>
      </c>
      <c r="D86" s="1975" t="str">
        <f>'10.Review Research &amp; Surveillen'!D58</f>
        <v>NDCP</v>
      </c>
      <c r="E86" s="1975" t="str">
        <f>'10.Review Research &amp; Surveillen'!E58</f>
        <v>NVBDCP- Kala-azar</v>
      </c>
      <c r="F86" s="1975">
        <f>'10.Review Research &amp; Surveillen'!F58</f>
        <v>0</v>
      </c>
      <c r="G86" s="1975">
        <f>'10.Review Research &amp; Surveillen'!G58</f>
        <v>0</v>
      </c>
      <c r="H86" s="1975">
        <f>'10.Review Research &amp; Surveillen'!H58</f>
        <v>0</v>
      </c>
      <c r="I86" s="1975">
        <f>'10.Review Research &amp; Surveillen'!I58</f>
        <v>0</v>
      </c>
      <c r="J86" s="1975">
        <f>'10.Review Research &amp; Surveillen'!J58</f>
        <v>0</v>
      </c>
      <c r="K86" s="1975">
        <f>'10.Review Research &amp; Surveillen'!K58</f>
        <v>0</v>
      </c>
      <c r="L86" s="1975">
        <f>'10.Review Research &amp; Surveillen'!L58</f>
        <v>0</v>
      </c>
      <c r="M86" s="162">
        <f>'10.Review Research &amp; Surveillen'!M58</f>
        <v>0</v>
      </c>
      <c r="N86" s="1975">
        <f>'10.Review Research &amp; Surveillen'!N58</f>
        <v>0</v>
      </c>
      <c r="O86" s="162">
        <f>'10.Review Research &amp; Surveillen'!O58</f>
        <v>0</v>
      </c>
      <c r="P86" s="88">
        <f>'10.Review Research &amp; Surveillen'!P58</f>
        <v>0</v>
      </c>
      <c r="Q86" s="54"/>
      <c r="R86" s="694"/>
    </row>
    <row r="87" spans="1:18" ht="30">
      <c r="A87" s="88" t="str">
        <f>'10.Review Research &amp; Surveillen'!A59</f>
        <v>10.5.4</v>
      </c>
      <c r="B87" s="88">
        <f>'10.Review Research &amp; Surveillen'!B59</f>
        <v>0</v>
      </c>
      <c r="C87" s="88" t="str">
        <f>'10.Review Research &amp; Surveillen'!C59</f>
        <v>Sub-national Disease Free Certification: Lymphatic Filariasis</v>
      </c>
      <c r="D87" s="1975" t="str">
        <f>'10.Review Research &amp; Surveillen'!D59</f>
        <v>NDCP</v>
      </c>
      <c r="E87" s="1975" t="str">
        <f>'10.Review Research &amp; Surveillen'!E59</f>
        <v>NVBDCP-Lymphatic Filariasis</v>
      </c>
      <c r="F87" s="1975">
        <f>'10.Review Research &amp; Surveillen'!F59</f>
        <v>0</v>
      </c>
      <c r="G87" s="1975">
        <f>'10.Review Research &amp; Surveillen'!G59</f>
        <v>0</v>
      </c>
      <c r="H87" s="1975">
        <f>'10.Review Research &amp; Surveillen'!H59</f>
        <v>0</v>
      </c>
      <c r="I87" s="1975">
        <f>'10.Review Research &amp; Surveillen'!I59</f>
        <v>0</v>
      </c>
      <c r="J87" s="1975">
        <f>'10.Review Research &amp; Surveillen'!J59</f>
        <v>0</v>
      </c>
      <c r="K87" s="1975">
        <f>'10.Review Research &amp; Surveillen'!K59</f>
        <v>0</v>
      </c>
      <c r="L87" s="1975">
        <f>'10.Review Research &amp; Surveillen'!L59</f>
        <v>0</v>
      </c>
      <c r="M87" s="162">
        <f>'10.Review Research &amp; Surveillen'!M59</f>
        <v>0</v>
      </c>
      <c r="N87" s="1975">
        <f>'10.Review Research &amp; Surveillen'!N59</f>
        <v>0</v>
      </c>
      <c r="O87" s="162">
        <f>'10.Review Research &amp; Surveillen'!O59</f>
        <v>0</v>
      </c>
      <c r="P87" s="88">
        <f>'10.Review Research &amp; Surveillen'!P59</f>
        <v>0</v>
      </c>
      <c r="Q87" s="54"/>
      <c r="R87" s="694"/>
    </row>
    <row r="88" spans="1:18" ht="30">
      <c r="A88" s="88" t="str">
        <f>'10.Review Research &amp; Surveillen'!A60</f>
        <v>10.5.5</v>
      </c>
      <c r="B88" s="88">
        <f>'10.Review Research &amp; Surveillen'!B60</f>
        <v>0</v>
      </c>
      <c r="C88" s="88" t="str">
        <f>'10.Review Research &amp; Surveillen'!C60</f>
        <v>Sub-national Disease Free Certification: Malaria</v>
      </c>
      <c r="D88" s="1975" t="str">
        <f>'10.Review Research &amp; Surveillen'!D60</f>
        <v>NDCP</v>
      </c>
      <c r="E88" s="1975" t="str">
        <f>'10.Review Research &amp; Surveillen'!E60</f>
        <v>NVBDCP – Malaria</v>
      </c>
      <c r="F88" s="1975">
        <f>'10.Review Research &amp; Surveillen'!F60</f>
        <v>3</v>
      </c>
      <c r="G88" s="1975">
        <f>'10.Review Research &amp; Surveillen'!G60</f>
        <v>0</v>
      </c>
      <c r="H88" s="1975">
        <f>'10.Review Research &amp; Surveillen'!H60</f>
        <v>6</v>
      </c>
      <c r="I88" s="1975">
        <f>'10.Review Research &amp; Surveillen'!I60</f>
        <v>0</v>
      </c>
      <c r="J88" s="1975">
        <f>'10.Review Research &amp; Surveillen'!J60</f>
        <v>6</v>
      </c>
      <c r="K88" s="1975">
        <f>'10.Review Research &amp; Surveillen'!K60</f>
        <v>0</v>
      </c>
      <c r="L88" s="1975">
        <f>'10.Review Research &amp; Surveillen'!L60</f>
        <v>0</v>
      </c>
      <c r="M88" s="162">
        <f>'10.Review Research &amp; Surveillen'!M60</f>
        <v>0</v>
      </c>
      <c r="N88" s="1975">
        <f>'10.Review Research &amp; Surveillen'!N60</f>
        <v>0</v>
      </c>
      <c r="O88" s="162">
        <f>'10.Review Research &amp; Surveillen'!O60</f>
        <v>0</v>
      </c>
      <c r="P88" s="88" t="str">
        <f>'10.Review Research &amp; Surveillen'!P60</f>
        <v>Will be completed in this financila year.</v>
      </c>
      <c r="Q88" s="54"/>
      <c r="R88" s="694"/>
    </row>
    <row r="89" spans="1:18">
      <c r="A89" s="1970">
        <f>'11.IEC-BCC Annex'!A7</f>
        <v>11</v>
      </c>
      <c r="B89" s="1970"/>
      <c r="C89" s="1970" t="str">
        <f>'11.IEC-BCC Annex'!C7</f>
        <v>IEC/BCC</v>
      </c>
      <c r="D89" s="1969"/>
      <c r="E89" s="1969"/>
      <c r="F89" s="1969"/>
      <c r="G89" s="1969"/>
      <c r="H89" s="1969"/>
      <c r="I89" s="1969"/>
      <c r="J89" s="1969"/>
      <c r="K89" s="1969"/>
      <c r="L89" s="1969"/>
      <c r="M89" s="994"/>
      <c r="N89" s="1969"/>
      <c r="O89" s="994">
        <f>SUM(O90:O97)</f>
        <v>12</v>
      </c>
      <c r="P89" s="1970"/>
      <c r="Q89" s="1889"/>
      <c r="R89" s="115">
        <f>SUM(R90:R97)</f>
        <v>10.8</v>
      </c>
    </row>
    <row r="90" spans="1:18" ht="30">
      <c r="A90" s="4095" t="str">
        <f>'11.IEC-BCC Annex'!A25</f>
        <v>11.3.1</v>
      </c>
      <c r="B90" s="88" t="str">
        <f>'11-A. IEC Sub-Annex'!B58</f>
        <v>B.10.6.9.a</v>
      </c>
      <c r="C90" s="88" t="str">
        <f>'11-A. IEC Sub-Annex'!C58</f>
        <v>IEC/BCC for Malaria</v>
      </c>
      <c r="D90" s="1975" t="str">
        <f>'11-A. IEC Sub-Annex'!D58</f>
        <v>NDCP</v>
      </c>
      <c r="E90" s="1975" t="str">
        <f>'11-A. IEC Sub-Annex'!E58</f>
        <v>NVBDCP – Malaria</v>
      </c>
      <c r="F90" s="1975">
        <f>'11-A. IEC Sub-Annex'!F58</f>
        <v>7</v>
      </c>
      <c r="G90" s="1975">
        <f>'11-A. IEC Sub-Annex'!G58</f>
        <v>0</v>
      </c>
      <c r="H90" s="1975">
        <f>'11-A. IEC Sub-Annex'!H58</f>
        <v>3.5</v>
      </c>
      <c r="I90" s="1975">
        <f>'11-A. IEC Sub-Annex'!I58</f>
        <v>4.87</v>
      </c>
      <c r="J90" s="1975">
        <f>'11-A. IEC Sub-Annex'!J58</f>
        <v>-1.37</v>
      </c>
      <c r="K90" s="1975">
        <f>'11-A. IEC Sub-Annex'!K58</f>
        <v>0</v>
      </c>
      <c r="L90" s="1975">
        <f>'11-A. IEC Sub-Annex'!L58</f>
        <v>25000</v>
      </c>
      <c r="M90" s="162">
        <f>'11-A. IEC Sub-Annex'!M58</f>
        <v>0.25</v>
      </c>
      <c r="N90" s="1975">
        <f>'11-A. IEC Sub-Annex'!N58</f>
        <v>12</v>
      </c>
      <c r="O90" s="162">
        <f>'11-A. IEC Sub-Annex'!O58</f>
        <v>3</v>
      </c>
      <c r="P90" s="88" t="str">
        <f>'11-A. IEC Sub-Annex'!P58</f>
        <v>For Malaria Day.</v>
      </c>
      <c r="Q90" s="54" t="s">
        <v>5901</v>
      </c>
      <c r="R90" s="694">
        <v>3</v>
      </c>
    </row>
    <row r="91" spans="1:18" ht="30">
      <c r="A91" s="4095"/>
      <c r="B91" s="88" t="str">
        <f>'11-A. IEC Sub-Annex'!B59</f>
        <v>B.10.6.9.b</v>
      </c>
      <c r="C91" s="88" t="str">
        <f>'11-A. IEC Sub-Annex'!C59</f>
        <v>IEC/BCC for Social mobilization (Dengue and Chikungunya)</v>
      </c>
      <c r="D91" s="1975" t="str">
        <f>'11-A. IEC Sub-Annex'!D59</f>
        <v>NDCP</v>
      </c>
      <c r="E91" s="1975" t="str">
        <f>'11-A. IEC Sub-Annex'!E59</f>
        <v>NVBDCP-Dengue &amp; Chikungunya</v>
      </c>
      <c r="F91" s="1975">
        <f>'11-A. IEC Sub-Annex'!F59</f>
        <v>7</v>
      </c>
      <c r="G91" s="1975">
        <f>'11-A. IEC Sub-Annex'!G59</f>
        <v>0</v>
      </c>
      <c r="H91" s="1975">
        <f>'11-A. IEC Sub-Annex'!H59</f>
        <v>3.5</v>
      </c>
      <c r="I91" s="1975">
        <f>'11-A. IEC Sub-Annex'!I59</f>
        <v>1.94</v>
      </c>
      <c r="J91" s="1975">
        <f>'11-A. IEC Sub-Annex'!J59</f>
        <v>1.56</v>
      </c>
      <c r="K91" s="1975">
        <f>'11-A. IEC Sub-Annex'!K59</f>
        <v>0</v>
      </c>
      <c r="L91" s="1975">
        <f>'11-A. IEC Sub-Annex'!L59</f>
        <v>25000</v>
      </c>
      <c r="M91" s="162">
        <f>'11-A. IEC Sub-Annex'!M59</f>
        <v>0.25</v>
      </c>
      <c r="N91" s="1975">
        <f>'11-A. IEC Sub-Annex'!N59</f>
        <v>12</v>
      </c>
      <c r="O91" s="162">
        <f>'11-A. IEC Sub-Annex'!O59</f>
        <v>3</v>
      </c>
      <c r="P91" s="88" t="str">
        <f>'11-A. IEC Sub-Annex'!P59</f>
        <v>For Dengue Day.</v>
      </c>
      <c r="Q91" s="54" t="s">
        <v>5902</v>
      </c>
      <c r="R91" s="694">
        <v>3</v>
      </c>
    </row>
    <row r="92" spans="1:18" ht="30">
      <c r="A92" s="4095"/>
      <c r="B92" s="88" t="str">
        <f>'11-A. IEC Sub-Annex'!B60</f>
        <v>B.10.6.9.c</v>
      </c>
      <c r="C92" s="88" t="str">
        <f>'11-A. IEC Sub-Annex'!C60</f>
        <v>IEC/BCC specific to J.E. in endemic areas</v>
      </c>
      <c r="D92" s="1975" t="str">
        <f>'11-A. IEC Sub-Annex'!D60</f>
        <v>NDCP</v>
      </c>
      <c r="E92" s="1975" t="str">
        <f>'11-A. IEC Sub-Annex'!E60</f>
        <v>NVBDCP-AES/JE</v>
      </c>
      <c r="F92" s="1975">
        <f>'11-A. IEC Sub-Annex'!F60</f>
        <v>0</v>
      </c>
      <c r="G92" s="1975">
        <f>'11-A. IEC Sub-Annex'!G60</f>
        <v>0</v>
      </c>
      <c r="H92" s="1975">
        <f>'11-A. IEC Sub-Annex'!H60</f>
        <v>0</v>
      </c>
      <c r="I92" s="1975">
        <f>'11-A. IEC Sub-Annex'!I60</f>
        <v>0</v>
      </c>
      <c r="J92" s="1975">
        <f>'11-A. IEC Sub-Annex'!J60</f>
        <v>0</v>
      </c>
      <c r="K92" s="1975">
        <f>'11-A. IEC Sub-Annex'!K60</f>
        <v>0</v>
      </c>
      <c r="L92" s="1975">
        <f>'11-A. IEC Sub-Annex'!L60</f>
        <v>0</v>
      </c>
      <c r="M92" s="162">
        <f>'11-A. IEC Sub-Annex'!M60</f>
        <v>0</v>
      </c>
      <c r="N92" s="1975">
        <f>'11-A. IEC Sub-Annex'!N60</f>
        <v>0</v>
      </c>
      <c r="O92" s="162">
        <f>'11-A. IEC Sub-Annex'!O60</f>
        <v>0</v>
      </c>
      <c r="P92" s="88">
        <f>'11-A. IEC Sub-Annex'!P60</f>
        <v>0</v>
      </c>
      <c r="Q92" s="54"/>
      <c r="R92" s="694"/>
    </row>
    <row r="93" spans="1:18" ht="60">
      <c r="A93" s="4095"/>
      <c r="B93" s="88" t="str">
        <f>'11-A. IEC Sub-Annex'!B61</f>
        <v>B.10.6.9.d</v>
      </c>
      <c r="C93" s="88" t="str">
        <f>'11-A. IEC Sub-Annex'!C61</f>
        <v>Specific IEC/BCC for Lymphatic Filariasis at State, District, PHC, Sub-centre and village level including VHSC/GKs for community mobilization efforts to realize the desired drug compliance of 85% during MDA</v>
      </c>
      <c r="D93" s="1975" t="str">
        <f>'11-A. IEC Sub-Annex'!D61</f>
        <v>NDCP</v>
      </c>
      <c r="E93" s="1975" t="str">
        <f>'11-A. IEC Sub-Annex'!E61</f>
        <v>NVBDCP-Lymphatic Filariasis</v>
      </c>
      <c r="F93" s="1975">
        <f>'11-A. IEC Sub-Annex'!F61</f>
        <v>0</v>
      </c>
      <c r="G93" s="1975">
        <f>'11-A. IEC Sub-Annex'!G61</f>
        <v>0</v>
      </c>
      <c r="H93" s="1975">
        <f>'11-A. IEC Sub-Annex'!H61</f>
        <v>0</v>
      </c>
      <c r="I93" s="1975">
        <f>'11-A. IEC Sub-Annex'!I61</f>
        <v>0</v>
      </c>
      <c r="J93" s="1975">
        <f>'11-A. IEC Sub-Annex'!J61</f>
        <v>0</v>
      </c>
      <c r="K93" s="1975">
        <f>'11-A. IEC Sub-Annex'!K61</f>
        <v>0</v>
      </c>
      <c r="L93" s="1975">
        <f>'11-A. IEC Sub-Annex'!L61</f>
        <v>0</v>
      </c>
      <c r="M93" s="162">
        <f>'11-A. IEC Sub-Annex'!M61</f>
        <v>0</v>
      </c>
      <c r="N93" s="1975">
        <f>'11-A. IEC Sub-Annex'!N61</f>
        <v>0</v>
      </c>
      <c r="O93" s="162">
        <f>'11-A. IEC Sub-Annex'!O61</f>
        <v>0</v>
      </c>
      <c r="P93" s="88">
        <f>'11-A. IEC Sub-Annex'!P61</f>
        <v>0</v>
      </c>
      <c r="Q93" s="54"/>
      <c r="R93" s="694"/>
    </row>
    <row r="94" spans="1:18" ht="30">
      <c r="A94" s="4095"/>
      <c r="B94" s="88" t="str">
        <f>'11-A. IEC Sub-Annex'!B62</f>
        <v>B.10.6.9.e</v>
      </c>
      <c r="C94" s="88" t="str">
        <f>'11-A. IEC Sub-Annex'!C62</f>
        <v>IEC/BCC/Advocacy for Kala-azar</v>
      </c>
      <c r="D94" s="1975" t="str">
        <f>'11-A. IEC Sub-Annex'!D62</f>
        <v>NDCP</v>
      </c>
      <c r="E94" s="1975" t="str">
        <f>'11-A. IEC Sub-Annex'!E62</f>
        <v>NVBDCP- Kala-azar</v>
      </c>
      <c r="F94" s="1975">
        <f>'11-A. IEC Sub-Annex'!F62</f>
        <v>0</v>
      </c>
      <c r="G94" s="1975">
        <f>'11-A. IEC Sub-Annex'!G62</f>
        <v>0</v>
      </c>
      <c r="H94" s="1975">
        <f>'11-A. IEC Sub-Annex'!H62</f>
        <v>0</v>
      </c>
      <c r="I94" s="1975">
        <f>'11-A. IEC Sub-Annex'!I62</f>
        <v>0</v>
      </c>
      <c r="J94" s="1975">
        <f>'11-A. IEC Sub-Annex'!J62</f>
        <v>0</v>
      </c>
      <c r="K94" s="1975">
        <f>'11-A. IEC Sub-Annex'!K62</f>
        <v>0</v>
      </c>
      <c r="L94" s="1975">
        <f>'11-A. IEC Sub-Annex'!L62</f>
        <v>0</v>
      </c>
      <c r="M94" s="162">
        <f>'11-A. IEC Sub-Annex'!M62</f>
        <v>0</v>
      </c>
      <c r="N94" s="1975">
        <f>'11-A. IEC Sub-Annex'!N62</f>
        <v>0</v>
      </c>
      <c r="O94" s="162">
        <f>'11-A. IEC Sub-Annex'!O62</f>
        <v>0</v>
      </c>
      <c r="P94" s="88">
        <f>'11-A. IEC Sub-Annex'!P62</f>
        <v>0</v>
      </c>
      <c r="Q94" s="54"/>
      <c r="R94" s="694"/>
    </row>
    <row r="95" spans="1:18" ht="30">
      <c r="A95" s="4095"/>
      <c r="B95" s="88" t="str">
        <f>'11-A. IEC Sub-Annex'!B63</f>
        <v>B.10.6.9.f</v>
      </c>
      <c r="C95" s="88" t="str">
        <f>'11-A. IEC Sub-Annex'!C63</f>
        <v>IEC/BCC activities as per the GFATM project</v>
      </c>
      <c r="D95" s="1975" t="str">
        <f>'11-A. IEC Sub-Annex'!D63</f>
        <v>NDCP</v>
      </c>
      <c r="E95" s="1975" t="str">
        <f>'11-A. IEC Sub-Annex'!E63</f>
        <v>NVBDCP - GFATM</v>
      </c>
      <c r="F95" s="1975">
        <f>'11-A. IEC Sub-Annex'!F63</f>
        <v>0</v>
      </c>
      <c r="G95" s="1975">
        <f>'11-A. IEC Sub-Annex'!G63</f>
        <v>0</v>
      </c>
      <c r="H95" s="1975">
        <f>'11-A. IEC Sub-Annex'!H63</f>
        <v>0</v>
      </c>
      <c r="I95" s="1975">
        <f>'11-A. IEC Sub-Annex'!I63</f>
        <v>0</v>
      </c>
      <c r="J95" s="1975">
        <f>'11-A. IEC Sub-Annex'!J63</f>
        <v>0</v>
      </c>
      <c r="K95" s="1975">
        <f>'11-A. IEC Sub-Annex'!K63</f>
        <v>0</v>
      </c>
      <c r="L95" s="1975">
        <f>'11-A. IEC Sub-Annex'!L63</f>
        <v>0</v>
      </c>
      <c r="M95" s="162">
        <f>'11-A. IEC Sub-Annex'!M63</f>
        <v>0</v>
      </c>
      <c r="N95" s="1975">
        <f>'11-A. IEC Sub-Annex'!N63</f>
        <v>0</v>
      </c>
      <c r="O95" s="162">
        <f>'11-A. IEC Sub-Annex'!O63</f>
        <v>0</v>
      </c>
      <c r="P95" s="88">
        <f>'11-A. IEC Sub-Annex'!P63</f>
        <v>0</v>
      </c>
      <c r="Q95" s="54"/>
      <c r="R95" s="694"/>
    </row>
    <row r="96" spans="1:18" ht="30">
      <c r="A96" s="4095"/>
      <c r="B96" s="88"/>
      <c r="C96" s="88" t="str">
        <f>'11-A. IEC Sub-Annex'!C64</f>
        <v>IEC/ BCC activities under MVCR</v>
      </c>
      <c r="D96" s="1975" t="str">
        <f>'11-A. IEC Sub-Annex'!D64</f>
        <v>NDCP</v>
      </c>
      <c r="E96" s="1975" t="str">
        <f>'11-A. IEC Sub-Annex'!E64</f>
        <v>NVBDCP – Malaria</v>
      </c>
      <c r="F96" s="1975">
        <f>'11-A. IEC Sub-Annex'!F64</f>
        <v>0</v>
      </c>
      <c r="G96" s="1975">
        <f>'11-A. IEC Sub-Annex'!G64</f>
        <v>0</v>
      </c>
      <c r="H96" s="1975">
        <f>'11-A. IEC Sub-Annex'!H64</f>
        <v>0</v>
      </c>
      <c r="I96" s="1975">
        <f>'11-A. IEC Sub-Annex'!I64</f>
        <v>0</v>
      </c>
      <c r="J96" s="1975">
        <f>'11-A. IEC Sub-Annex'!J64</f>
        <v>0</v>
      </c>
      <c r="K96" s="1975">
        <f>'11-A. IEC Sub-Annex'!K64</f>
        <v>12</v>
      </c>
      <c r="L96" s="1975">
        <f>'11-A. IEC Sub-Annex'!L64</f>
        <v>50000</v>
      </c>
      <c r="M96" s="162">
        <f>'11-A. IEC Sub-Annex'!M64</f>
        <v>0.5</v>
      </c>
      <c r="N96" s="1975">
        <f>'11-A. IEC Sub-Annex'!N64</f>
        <v>12</v>
      </c>
      <c r="O96" s="162">
        <f>'11-A. IEC Sub-Annex'!O64</f>
        <v>6</v>
      </c>
      <c r="P96" s="88" t="str">
        <f>'11-A. IEC Sub-Annex'!P64</f>
        <v>For mosquito and other vector control response</v>
      </c>
      <c r="Q96" s="54" t="s">
        <v>5693</v>
      </c>
      <c r="R96" s="694">
        <v>4.8</v>
      </c>
    </row>
    <row r="97" spans="1:18" ht="30">
      <c r="A97" s="4095"/>
      <c r="B97" s="88"/>
      <c r="C97" s="88" t="str">
        <f>'11-A. IEC Sub-Annex'!C65</f>
        <v>Any other IEC/BCC activities (please specify)</v>
      </c>
      <c r="D97" s="1975" t="str">
        <f>'11-A. IEC Sub-Annex'!D65</f>
        <v>NDCP</v>
      </c>
      <c r="E97" s="1975" t="str">
        <f>'11-A. IEC Sub-Annex'!E65</f>
        <v>NVBDCP</v>
      </c>
      <c r="F97" s="1975">
        <f>'11-A. IEC Sub-Annex'!F65</f>
        <v>0</v>
      </c>
      <c r="G97" s="1975">
        <f>'11-A. IEC Sub-Annex'!G65</f>
        <v>0</v>
      </c>
      <c r="H97" s="1975">
        <f>'11-A. IEC Sub-Annex'!H65</f>
        <v>0</v>
      </c>
      <c r="I97" s="1975">
        <f>'11-A. IEC Sub-Annex'!I65</f>
        <v>0</v>
      </c>
      <c r="J97" s="1975">
        <f>'11-A. IEC Sub-Annex'!J65</f>
        <v>0</v>
      </c>
      <c r="K97" s="1975">
        <f>'11-A. IEC Sub-Annex'!K65</f>
        <v>12</v>
      </c>
      <c r="L97" s="1975">
        <f>'11-A. IEC Sub-Annex'!L65</f>
        <v>0</v>
      </c>
      <c r="M97" s="162">
        <f>'11-A. IEC Sub-Annex'!M65</f>
        <v>0</v>
      </c>
      <c r="N97" s="1975">
        <f>'11-A. IEC Sub-Annex'!N65</f>
        <v>0</v>
      </c>
      <c r="O97" s="162">
        <f>'11-A. IEC Sub-Annex'!O65</f>
        <v>0</v>
      </c>
      <c r="P97" s="88">
        <f>'11-A. IEC Sub-Annex'!P65</f>
        <v>0</v>
      </c>
      <c r="Q97" s="54"/>
      <c r="R97" s="694"/>
    </row>
    <row r="98" spans="1:18">
      <c r="A98" s="1970">
        <f>'12.Printing Annex'!A7</f>
        <v>12</v>
      </c>
      <c r="B98" s="1970"/>
      <c r="C98" s="1970" t="str">
        <f>'12.Printing Annex'!C7</f>
        <v>Printing</v>
      </c>
      <c r="D98" s="1969"/>
      <c r="E98" s="1969"/>
      <c r="F98" s="1969"/>
      <c r="G98" s="1969"/>
      <c r="H98" s="1969"/>
      <c r="I98" s="1969"/>
      <c r="J98" s="1969"/>
      <c r="K98" s="1969"/>
      <c r="L98" s="1969"/>
      <c r="M98" s="994"/>
      <c r="N98" s="1969"/>
      <c r="O98" s="994">
        <f>SUM(O99:O102)</f>
        <v>0</v>
      </c>
      <c r="P98" s="1970"/>
      <c r="Q98" s="1889"/>
      <c r="R98" s="115">
        <f>SUM(R99:R102)</f>
        <v>0</v>
      </c>
    </row>
    <row r="99" spans="1:18" ht="30">
      <c r="A99" s="4100" t="str">
        <f>'12.Printing Annex'!A26</f>
        <v>12.3.1</v>
      </c>
      <c r="B99" s="88" t="str">
        <f>'12-A. Print Sub-Annex'!B78</f>
        <v>F.1.4.a</v>
      </c>
      <c r="C99" s="88" t="str">
        <f>'12-A. Print Sub-Annex'!C78</f>
        <v>Printing of forms/registers for Lymphatic Filariasis</v>
      </c>
      <c r="D99" s="1975" t="str">
        <f>'12-A. Print Sub-Annex'!D78</f>
        <v>NDCP</v>
      </c>
      <c r="E99" s="1975" t="str">
        <f>'12-A. Print Sub-Annex'!E78</f>
        <v>NVBDCP-Lymphatic Filariasis</v>
      </c>
      <c r="F99" s="1975">
        <f>'12-A. Print Sub-Annex'!F78</f>
        <v>0</v>
      </c>
      <c r="G99" s="1975">
        <f>'12-A. Print Sub-Annex'!G78</f>
        <v>0</v>
      </c>
      <c r="H99" s="1975">
        <f>'12-A. Print Sub-Annex'!H78</f>
        <v>0</v>
      </c>
      <c r="I99" s="1975">
        <f>'12-A. Print Sub-Annex'!I78</f>
        <v>0</v>
      </c>
      <c r="J99" s="1975">
        <f>'12-A. Print Sub-Annex'!J78</f>
        <v>0</v>
      </c>
      <c r="K99" s="1975">
        <f>'12-A. Print Sub-Annex'!K78</f>
        <v>0</v>
      </c>
      <c r="L99" s="1975">
        <f>'12-A. Print Sub-Annex'!L78</f>
        <v>0</v>
      </c>
      <c r="M99" s="162">
        <f>'12-A. Print Sub-Annex'!M78</f>
        <v>0</v>
      </c>
      <c r="N99" s="1975">
        <f>'12-A. Print Sub-Annex'!N78</f>
        <v>0</v>
      </c>
      <c r="O99" s="162">
        <f>'12-A. Print Sub-Annex'!O78</f>
        <v>0</v>
      </c>
      <c r="P99" s="88">
        <f>'12-A. Print Sub-Annex'!P78</f>
        <v>0</v>
      </c>
      <c r="Q99" s="54"/>
      <c r="R99" s="694"/>
    </row>
    <row r="100" spans="1:18" ht="30">
      <c r="A100" s="4100"/>
      <c r="B100" s="88" t="str">
        <f>'12-A. Print Sub-Annex'!B79</f>
        <v>F.2.1.g</v>
      </c>
      <c r="C100" s="88" t="str">
        <f>'12-A. Print Sub-Annex'!C79</f>
        <v>Communication Material and Publications (CMP) - GFATM</v>
      </c>
      <c r="D100" s="1975" t="str">
        <f>'12-A. Print Sub-Annex'!D79</f>
        <v>NDCP</v>
      </c>
      <c r="E100" s="1975" t="str">
        <f>'12-A. Print Sub-Annex'!E79</f>
        <v>NVBDCP - GFATM</v>
      </c>
      <c r="F100" s="1975">
        <f>'12-A. Print Sub-Annex'!F79</f>
        <v>0</v>
      </c>
      <c r="G100" s="1975">
        <f>'12-A. Print Sub-Annex'!G79</f>
        <v>0</v>
      </c>
      <c r="H100" s="1975">
        <f>'12-A. Print Sub-Annex'!H79</f>
        <v>0</v>
      </c>
      <c r="I100" s="1975">
        <f>'12-A. Print Sub-Annex'!I79</f>
        <v>0</v>
      </c>
      <c r="J100" s="1975">
        <f>'12-A. Print Sub-Annex'!J79</f>
        <v>0</v>
      </c>
      <c r="K100" s="1975">
        <f>'12-A. Print Sub-Annex'!K79</f>
        <v>0</v>
      </c>
      <c r="L100" s="1975">
        <f>'12-A. Print Sub-Annex'!L79</f>
        <v>0</v>
      </c>
      <c r="M100" s="162">
        <f>'12-A. Print Sub-Annex'!M79</f>
        <v>0</v>
      </c>
      <c r="N100" s="1975">
        <f>'12-A. Print Sub-Annex'!N79</f>
        <v>0</v>
      </c>
      <c r="O100" s="162">
        <f>'12-A. Print Sub-Annex'!O79</f>
        <v>0</v>
      </c>
      <c r="P100" s="88">
        <f>'12-A. Print Sub-Annex'!P79</f>
        <v>0</v>
      </c>
      <c r="Q100" s="54"/>
      <c r="R100" s="694"/>
    </row>
    <row r="101" spans="1:18" ht="30">
      <c r="A101" s="4100"/>
      <c r="B101" s="88">
        <f>'12-A. Print Sub-Annex'!B80</f>
        <v>0</v>
      </c>
      <c r="C101" s="88" t="str">
        <f>'12-A. Print Sub-Annex'!C80</f>
        <v>Printing of recording and reporting forms/registers for Malaria</v>
      </c>
      <c r="D101" s="1975" t="str">
        <f>'12-A. Print Sub-Annex'!D80</f>
        <v>NDCP</v>
      </c>
      <c r="E101" s="1975" t="str">
        <f>'12-A. Print Sub-Annex'!E80</f>
        <v>NVBDCP – Malaria</v>
      </c>
      <c r="F101" s="1975">
        <f>'12-A. Print Sub-Annex'!F80</f>
        <v>5</v>
      </c>
      <c r="G101" s="1975">
        <f>'12-A. Print Sub-Annex'!G80</f>
        <v>0</v>
      </c>
      <c r="H101" s="1975">
        <f>'12-A. Print Sub-Annex'!H80</f>
        <v>5</v>
      </c>
      <c r="I101" s="1975">
        <f>'12-A. Print Sub-Annex'!I80</f>
        <v>0</v>
      </c>
      <c r="J101" s="1975">
        <f>'12-A. Print Sub-Annex'!J80</f>
        <v>5</v>
      </c>
      <c r="K101" s="1975">
        <f>'12-A. Print Sub-Annex'!K80</f>
        <v>0</v>
      </c>
      <c r="L101" s="1975">
        <f>'12-A. Print Sub-Annex'!L80</f>
        <v>0</v>
      </c>
      <c r="M101" s="162">
        <f>'12-A. Print Sub-Annex'!M80</f>
        <v>0</v>
      </c>
      <c r="N101" s="1975">
        <f>'12-A. Print Sub-Annex'!N80</f>
        <v>0</v>
      </c>
      <c r="O101" s="162">
        <f>'12-A. Print Sub-Annex'!O80</f>
        <v>0</v>
      </c>
      <c r="P101" s="88">
        <f>'12-A. Print Sub-Annex'!P80</f>
        <v>0</v>
      </c>
      <c r="Q101" s="54"/>
      <c r="R101" s="694"/>
    </row>
    <row r="102" spans="1:18" ht="30">
      <c r="A102" s="4100"/>
      <c r="B102" s="88"/>
      <c r="C102" s="88" t="str">
        <f>'12-A. Print Sub-Annex'!C81</f>
        <v>Any other (please specify)</v>
      </c>
      <c r="D102" s="1975" t="str">
        <f>'12-A. Print Sub-Annex'!D81</f>
        <v>NDCP</v>
      </c>
      <c r="E102" s="1975" t="str">
        <f>'12-A. Print Sub-Annex'!E81</f>
        <v>NVBDCP - GFATM</v>
      </c>
      <c r="F102" s="1975">
        <f>'12-A. Print Sub-Annex'!F81</f>
        <v>0</v>
      </c>
      <c r="G102" s="1975">
        <f>'12-A. Print Sub-Annex'!G81</f>
        <v>0</v>
      </c>
      <c r="H102" s="1975">
        <f>'12-A. Print Sub-Annex'!H81</f>
        <v>0</v>
      </c>
      <c r="I102" s="1975">
        <f>'12-A. Print Sub-Annex'!I81</f>
        <v>0</v>
      </c>
      <c r="J102" s="1975">
        <f>'12-A. Print Sub-Annex'!J81</f>
        <v>0</v>
      </c>
      <c r="K102" s="1975">
        <f>'12-A. Print Sub-Annex'!K81</f>
        <v>0</v>
      </c>
      <c r="L102" s="1975">
        <f>'12-A. Print Sub-Annex'!L81</f>
        <v>0</v>
      </c>
      <c r="M102" s="162">
        <f>'12-A. Print Sub-Annex'!M81</f>
        <v>0</v>
      </c>
      <c r="N102" s="1975">
        <f>'12-A. Print Sub-Annex'!N81</f>
        <v>0</v>
      </c>
      <c r="O102" s="162">
        <f>'12-A. Print Sub-Annex'!O81</f>
        <v>0</v>
      </c>
      <c r="P102" s="88">
        <f>'12-A. Print Sub-Annex'!P81</f>
        <v>0</v>
      </c>
      <c r="Q102" s="54"/>
      <c r="R102" s="694"/>
    </row>
    <row r="103" spans="1:18">
      <c r="A103" s="1970">
        <f>'14.Drug warehouse &amp;Logistic Anx'!A7</f>
        <v>14</v>
      </c>
      <c r="B103" s="1970"/>
      <c r="C103" s="1970" t="str">
        <f>'14.Drug warehouse &amp;Logistic Anx'!C7</f>
        <v>Drug Warehousing and Logistics</v>
      </c>
      <c r="D103" s="1969"/>
      <c r="E103" s="1969"/>
      <c r="F103" s="1969"/>
      <c r="G103" s="1969"/>
      <c r="H103" s="1969"/>
      <c r="I103" s="1969"/>
      <c r="J103" s="1969"/>
      <c r="K103" s="1969"/>
      <c r="L103" s="1969"/>
      <c r="M103" s="994"/>
      <c r="N103" s="1969"/>
      <c r="O103" s="994">
        <f>O104</f>
        <v>0</v>
      </c>
      <c r="P103" s="1970"/>
      <c r="Q103" s="1889"/>
      <c r="R103" s="115">
        <f>R104</f>
        <v>0</v>
      </c>
    </row>
    <row r="104" spans="1:18" ht="30">
      <c r="A104" s="88" t="str">
        <f>'14.Drug warehouse &amp;Logistic Anx'!A27</f>
        <v>14.2.9</v>
      </c>
      <c r="B104" s="88" t="str">
        <f>'14.Drug warehouse &amp;Logistic Anx'!B27</f>
        <v>F.2.1.d</v>
      </c>
      <c r="C104" s="88" t="str">
        <f>'14.Drug warehouse &amp;Logistic Anx'!C27</f>
        <v>Supply Chain Management cost under GFATM</v>
      </c>
      <c r="D104" s="1975" t="str">
        <f>'14.Drug warehouse &amp;Logistic Anx'!D27</f>
        <v>NDCP</v>
      </c>
      <c r="E104" s="1975" t="str">
        <f>'14.Drug warehouse &amp;Logistic Anx'!E27</f>
        <v>NVBDCP - GFATM</v>
      </c>
      <c r="F104" s="1975">
        <f>'14.Drug warehouse &amp;Logistic Anx'!F27</f>
        <v>0</v>
      </c>
      <c r="G104" s="1975">
        <f>'14.Drug warehouse &amp;Logistic Anx'!G27</f>
        <v>0</v>
      </c>
      <c r="H104" s="1975">
        <f>'14.Drug warehouse &amp;Logistic Anx'!H27</f>
        <v>0</v>
      </c>
      <c r="I104" s="1975">
        <f>'14.Drug warehouse &amp;Logistic Anx'!I27</f>
        <v>0</v>
      </c>
      <c r="J104" s="1975">
        <f>'14.Drug warehouse &amp;Logistic Anx'!J27</f>
        <v>0</v>
      </c>
      <c r="K104" s="1975">
        <f>'14.Drug warehouse &amp;Logistic Anx'!K27</f>
        <v>0</v>
      </c>
      <c r="L104" s="1975">
        <f>'14.Drug warehouse &amp;Logistic Anx'!L27</f>
        <v>0</v>
      </c>
      <c r="M104" s="162">
        <f>'14.Drug warehouse &amp;Logistic Anx'!M27</f>
        <v>0</v>
      </c>
      <c r="N104" s="1975">
        <f>'14.Drug warehouse &amp;Logistic Anx'!N27</f>
        <v>0</v>
      </c>
      <c r="O104" s="162">
        <f>'14.Drug warehouse &amp;Logistic Anx'!O27</f>
        <v>0</v>
      </c>
      <c r="P104" s="88">
        <f>'14.Drug warehouse &amp;Logistic Anx'!P27</f>
        <v>0</v>
      </c>
      <c r="Q104" s="54"/>
      <c r="R104" s="694"/>
    </row>
    <row r="105" spans="1:18">
      <c r="A105" s="1970">
        <f>'15.PPP Annex'!A7</f>
        <v>15</v>
      </c>
      <c r="B105" s="1970"/>
      <c r="C105" s="1970" t="str">
        <f>'15.PPP Annex'!C7</f>
        <v>PPP</v>
      </c>
      <c r="D105" s="1969"/>
      <c r="E105" s="1969"/>
      <c r="F105" s="1969"/>
      <c r="G105" s="1969"/>
      <c r="H105" s="1969"/>
      <c r="I105" s="1969"/>
      <c r="J105" s="1969"/>
      <c r="K105" s="1969"/>
      <c r="L105" s="1969"/>
      <c r="M105" s="994"/>
      <c r="N105" s="1969"/>
      <c r="O105" s="994">
        <f>SUM(O106:O107)</f>
        <v>0</v>
      </c>
      <c r="P105" s="1970"/>
      <c r="Q105" s="1889"/>
      <c r="R105" s="115">
        <f>SUM(R106:R107)</f>
        <v>0</v>
      </c>
    </row>
    <row r="106" spans="1:18" ht="30">
      <c r="A106" s="88" t="str">
        <f>'15.PPP Annex'!A21</f>
        <v>15.3.1.1</v>
      </c>
      <c r="B106" s="88" t="str">
        <f>'15.PPP Annex'!B21</f>
        <v>15.3.1/ F.1.1.e</v>
      </c>
      <c r="C106" s="88" t="str">
        <f>'15.PPP Annex'!C21</f>
        <v xml:space="preserve">PPP / NGO and Intersectoral Convergence </v>
      </c>
      <c r="D106" s="1975" t="str">
        <f>'15.PPP Annex'!D21</f>
        <v>NDCP</v>
      </c>
      <c r="E106" s="1975" t="str">
        <f>'15.PPP Annex'!E21</f>
        <v>NVBDCP – Malaria</v>
      </c>
      <c r="F106" s="1975">
        <f>'15.PPP Annex'!F21</f>
        <v>10</v>
      </c>
      <c r="G106" s="1975">
        <f>'15.PPP Annex'!G21</f>
        <v>0</v>
      </c>
      <c r="H106" s="1975">
        <f>'15.PPP Annex'!H21</f>
        <v>5</v>
      </c>
      <c r="I106" s="1975">
        <f>'15.PPP Annex'!I21</f>
        <v>0</v>
      </c>
      <c r="J106" s="1975">
        <f>'15.PPP Annex'!J21</f>
        <v>3</v>
      </c>
      <c r="K106" s="1975">
        <f>'15.PPP Annex'!K21</f>
        <v>0</v>
      </c>
      <c r="L106" s="1975">
        <f>'15.PPP Annex'!L21</f>
        <v>0</v>
      </c>
      <c r="M106" s="162">
        <f>'15.PPP Annex'!M21</f>
        <v>0</v>
      </c>
      <c r="N106" s="1975">
        <f>'15.PPP Annex'!N21</f>
        <v>0</v>
      </c>
      <c r="O106" s="162">
        <f>'15.PPP Annex'!O21</f>
        <v>0</v>
      </c>
      <c r="P106" s="88">
        <f>'15.PPP Annex'!P21</f>
        <v>0</v>
      </c>
      <c r="Q106" s="54"/>
      <c r="R106" s="694"/>
    </row>
    <row r="107" spans="1:18" ht="30">
      <c r="A107" s="88" t="str">
        <f>'15.PPP Annex'!A22</f>
        <v>15.3.1.2</v>
      </c>
      <c r="B107" s="88" t="str">
        <f>'15.PPP Annex'!B22</f>
        <v>15.3.2/ F.1.2.g</v>
      </c>
      <c r="C107" s="88" t="str">
        <f>'15.PPP Annex'!C22</f>
        <v>Inter-sectoral convergence</v>
      </c>
      <c r="D107" s="1975" t="str">
        <f>'15.PPP Annex'!D22</f>
        <v>NDCP</v>
      </c>
      <c r="E107" s="1975" t="str">
        <f>'15.PPP Annex'!E22</f>
        <v>NVBDCP - Dengue Chikungunya</v>
      </c>
      <c r="F107" s="1975">
        <f>'15.PPP Annex'!F22</f>
        <v>10</v>
      </c>
      <c r="G107" s="1975">
        <f>'15.PPP Annex'!G22</f>
        <v>0</v>
      </c>
      <c r="H107" s="1975">
        <f>'15.PPP Annex'!H22</f>
        <v>5</v>
      </c>
      <c r="I107" s="1975">
        <f>'15.PPP Annex'!I22</f>
        <v>0</v>
      </c>
      <c r="J107" s="1975">
        <f>'15.PPP Annex'!J22</f>
        <v>3</v>
      </c>
      <c r="K107" s="1975">
        <f>'15.PPP Annex'!K22</f>
        <v>0</v>
      </c>
      <c r="L107" s="1975">
        <f>'15.PPP Annex'!L22</f>
        <v>0</v>
      </c>
      <c r="M107" s="162">
        <f>'15.PPP Annex'!M22</f>
        <v>0</v>
      </c>
      <c r="N107" s="1975">
        <f>'15.PPP Annex'!N22</f>
        <v>0</v>
      </c>
      <c r="O107" s="162">
        <f>'15.PPP Annex'!O22</f>
        <v>0</v>
      </c>
      <c r="P107" s="88">
        <f>'15.PPP Annex'!P22</f>
        <v>0</v>
      </c>
      <c r="Q107" s="54"/>
      <c r="R107" s="694"/>
    </row>
    <row r="108" spans="1:18">
      <c r="A108" s="1863">
        <f>'16.PM Annex'!A7</f>
        <v>16</v>
      </c>
      <c r="B108" s="1863"/>
      <c r="C108" s="1863" t="str">
        <f>'16.PM Annex'!C7</f>
        <v>Programme Management</v>
      </c>
      <c r="D108" s="1882"/>
      <c r="E108" s="1882"/>
      <c r="F108" s="1882"/>
      <c r="G108" s="1882"/>
      <c r="H108" s="1882"/>
      <c r="I108" s="1882"/>
      <c r="J108" s="1882"/>
      <c r="K108" s="1882"/>
      <c r="L108" s="1882"/>
      <c r="M108" s="994"/>
      <c r="N108" s="1882"/>
      <c r="O108" s="994">
        <f>SUM(O109:O134)</f>
        <v>11.99995</v>
      </c>
      <c r="P108" s="1863"/>
      <c r="Q108" s="1889"/>
      <c r="R108" s="115">
        <f>SUM(R109:R134)</f>
        <v>12</v>
      </c>
    </row>
    <row r="109" spans="1:18" ht="30">
      <c r="A109" s="88" t="str">
        <f>'16-A. PM sub Annex'!A38</f>
        <v>16.1.2.1.17</v>
      </c>
      <c r="B109" s="88" t="e">
        <f>'16-A. PM sub Annex'!#REF!</f>
        <v>#REF!</v>
      </c>
      <c r="C109" s="88" t="str">
        <f>'16-A. PM sub Annex'!C38</f>
        <v>State Task Force, State Technical Advisory Committee meeting, District coordination meeting (Lymphatic Filariasis)</v>
      </c>
      <c r="D109" s="1975" t="str">
        <f>'16-A. PM sub Annex'!D38</f>
        <v>NDCP</v>
      </c>
      <c r="E109" s="1975" t="str">
        <f>'16-A. PM sub Annex'!E38</f>
        <v>HRH&amp;HPIP/ NVBDCP – Malaria</v>
      </c>
      <c r="F109" s="1975">
        <f>'16-A. PM sub Annex'!F38</f>
        <v>0</v>
      </c>
      <c r="G109" s="1975">
        <f>'16-A. PM sub Annex'!G38</f>
        <v>0</v>
      </c>
      <c r="H109" s="1975">
        <f>'16-A. PM sub Annex'!H38</f>
        <v>0</v>
      </c>
      <c r="I109" s="1975">
        <f>'16-A. PM sub Annex'!I38</f>
        <v>0</v>
      </c>
      <c r="J109" s="1975">
        <f>'16-A. PM sub Annex'!J38</f>
        <v>0</v>
      </c>
      <c r="K109" s="1975">
        <f>'16-A. PM sub Annex'!K38</f>
        <v>0</v>
      </c>
      <c r="L109" s="1975">
        <f>'16-A. PM sub Annex'!L38</f>
        <v>0</v>
      </c>
      <c r="M109" s="162">
        <f>'16-A. PM sub Annex'!M38</f>
        <v>0</v>
      </c>
      <c r="N109" s="1975">
        <f>'16-A. PM sub Annex'!N38</f>
        <v>0</v>
      </c>
      <c r="O109" s="162">
        <f>'16-A. PM sub Annex'!O38</f>
        <v>0</v>
      </c>
      <c r="P109" s="88">
        <f>'16-A. PM sub Annex'!P38</f>
        <v>0</v>
      </c>
      <c r="Q109" s="54"/>
      <c r="R109" s="694"/>
    </row>
    <row r="110" spans="1:18" ht="45">
      <c r="A110" s="88" t="str">
        <f>'16-A. PM sub Annex'!A39</f>
        <v>16.1.2.1.18</v>
      </c>
      <c r="B110" s="88" t="e">
        <f>'16-A. PM sub Annex'!#REF!</f>
        <v>#REF!</v>
      </c>
      <c r="C110" s="88" t="str">
        <f>'16-A. PM sub Annex'!C39</f>
        <v>State Task Force, State Technical Advisory Committee meeting, District coordination meeting, Cross border meetings Sub National Malaria Elimination Certification process (Malaria)</v>
      </c>
      <c r="D110" s="1975" t="str">
        <f>'16-A. PM sub Annex'!D39</f>
        <v>NDCP</v>
      </c>
      <c r="E110" s="1975" t="str">
        <f>'16-A. PM sub Annex'!E39</f>
        <v>HRH&amp;HPIP/ NVBDCP – Malaria</v>
      </c>
      <c r="F110" s="1975">
        <f>'16-A. PM sub Annex'!F39</f>
        <v>10</v>
      </c>
      <c r="G110" s="1975">
        <f>'16-A. PM sub Annex'!G39</f>
        <v>0</v>
      </c>
      <c r="H110" s="1975">
        <f>'16-A. PM sub Annex'!H39</f>
        <v>5</v>
      </c>
      <c r="I110" s="1975">
        <f>'16-A. PM sub Annex'!I39</f>
        <v>0</v>
      </c>
      <c r="J110" s="1975">
        <f>'16-A. PM sub Annex'!J39</f>
        <v>2</v>
      </c>
      <c r="K110" s="1975">
        <f>'16-A. PM sub Annex'!K39</f>
        <v>0</v>
      </c>
      <c r="L110" s="1975">
        <f>'16-A. PM sub Annex'!L39</f>
        <v>0</v>
      </c>
      <c r="M110" s="162">
        <f>'16-A. PM sub Annex'!M39</f>
        <v>0</v>
      </c>
      <c r="N110" s="1975">
        <f>'16-A. PM sub Annex'!N39</f>
        <v>0</v>
      </c>
      <c r="O110" s="162">
        <f>'16-A. PM sub Annex'!O39</f>
        <v>0</v>
      </c>
      <c r="P110" s="88" t="str">
        <f>'16-A. PM sub Annex'!P39</f>
        <v>Provision of funds alrady under Programme Management division of NHM.</v>
      </c>
      <c r="Q110" s="54"/>
      <c r="R110" s="694"/>
    </row>
    <row r="111" spans="1:18" ht="30">
      <c r="A111" s="88" t="str">
        <f>'16-A. PM sub Annex'!A40</f>
        <v>16.1.2.1.19</v>
      </c>
      <c r="B111" s="88" t="e">
        <f>'16-A. PM sub Annex'!#REF!</f>
        <v>#REF!</v>
      </c>
      <c r="C111" s="88" t="str">
        <f>'16-A. PM sub Annex'!C40</f>
        <v>GFATM Review Meeting</v>
      </c>
      <c r="D111" s="1975" t="str">
        <f>'16-A. PM sub Annex'!D40</f>
        <v>NDCP</v>
      </c>
      <c r="E111" s="1975" t="str">
        <f>'16-A. PM sub Annex'!E40</f>
        <v>HRH&amp;HPIP/ NVBDCP - GFATM</v>
      </c>
      <c r="F111" s="1975">
        <f>'16-A. PM sub Annex'!F40</f>
        <v>0</v>
      </c>
      <c r="G111" s="1975">
        <f>'16-A. PM sub Annex'!G40</f>
        <v>0</v>
      </c>
      <c r="H111" s="1975">
        <f>'16-A. PM sub Annex'!H40</f>
        <v>0</v>
      </c>
      <c r="I111" s="1975">
        <f>'16-A. PM sub Annex'!I40</f>
        <v>0</v>
      </c>
      <c r="J111" s="1975">
        <f>'16-A. PM sub Annex'!J40</f>
        <v>0</v>
      </c>
      <c r="K111" s="1975">
        <f>'16-A. PM sub Annex'!K40</f>
        <v>0</v>
      </c>
      <c r="L111" s="1975">
        <f>'16-A. PM sub Annex'!L40</f>
        <v>0</v>
      </c>
      <c r="M111" s="162">
        <f>'16-A. PM sub Annex'!M40</f>
        <v>0</v>
      </c>
      <c r="N111" s="1975">
        <f>'16-A. PM sub Annex'!N40</f>
        <v>0</v>
      </c>
      <c r="O111" s="162">
        <f>'16-A. PM sub Annex'!O40</f>
        <v>0</v>
      </c>
      <c r="P111" s="88">
        <f>'16-A. PM sub Annex'!P40</f>
        <v>0</v>
      </c>
      <c r="Q111" s="54"/>
      <c r="R111" s="694"/>
    </row>
    <row r="112" spans="1:18" ht="30">
      <c r="A112" s="88" t="str">
        <f>'16-A. PM sub Annex'!A55</f>
        <v>16.1.2.2.5</v>
      </c>
      <c r="B112" s="88" t="e">
        <f>'16-A. PM sub Annex'!#REF!</f>
        <v>#REF!</v>
      </c>
      <c r="C112" s="88" t="str">
        <f>'16-A. PM sub Annex'!C55</f>
        <v>Monitoring , Evaluation &amp; Supervision (Malaria)</v>
      </c>
      <c r="D112" s="1975" t="str">
        <f>'16-A. PM sub Annex'!D55</f>
        <v>NDCP</v>
      </c>
      <c r="E112" s="1975" t="str">
        <f>'16-A. PM sub Annex'!E55</f>
        <v>HRH&amp;HPIP/ NVBDCP – Malaria</v>
      </c>
      <c r="F112" s="1975">
        <f>'16-A. PM sub Annex'!F55</f>
        <v>0</v>
      </c>
      <c r="G112" s="1975">
        <f>'16-A. PM sub Annex'!G55</f>
        <v>0</v>
      </c>
      <c r="H112" s="1975">
        <f>'16-A. PM sub Annex'!H55</f>
        <v>0</v>
      </c>
      <c r="I112" s="1975">
        <f>'16-A. PM sub Annex'!I55</f>
        <v>0</v>
      </c>
      <c r="J112" s="1975">
        <f>'16-A. PM sub Annex'!J55</f>
        <v>0</v>
      </c>
      <c r="K112" s="1975">
        <f>'16-A. PM sub Annex'!K55</f>
        <v>0</v>
      </c>
      <c r="L112" s="1975">
        <f>'16-A. PM sub Annex'!L55</f>
        <v>0</v>
      </c>
      <c r="M112" s="162">
        <f>'16-A. PM sub Annex'!M55</f>
        <v>0</v>
      </c>
      <c r="N112" s="1975">
        <f>'16-A. PM sub Annex'!N55</f>
        <v>0</v>
      </c>
      <c r="O112" s="162">
        <f>'16-A. PM sub Annex'!O55</f>
        <v>0</v>
      </c>
      <c r="P112" s="88">
        <f>'16-A. PM sub Annex'!P55</f>
        <v>0</v>
      </c>
      <c r="Q112" s="54"/>
      <c r="R112" s="694"/>
    </row>
    <row r="113" spans="1:18" ht="30">
      <c r="A113" s="88" t="str">
        <f>'16-A. PM sub Annex'!A56</f>
        <v>16.1.2.2.6</v>
      </c>
      <c r="B113" s="88" t="e">
        <f>'16-A. PM sub Annex'!#REF!</f>
        <v>#REF!</v>
      </c>
      <c r="C113" s="88" t="str">
        <f>'16-A. PM sub Annex'!C56</f>
        <v>Monitoring/supervision and Rapid response (Dengue and Chikungunya)</v>
      </c>
      <c r="D113" s="1975" t="str">
        <f>'16-A. PM sub Annex'!D56</f>
        <v>NDCP</v>
      </c>
      <c r="E113" s="1975" t="str">
        <f>'16-A. PM sub Annex'!E56</f>
        <v>HRH&amp;HPIP/ NVBDCP-Dengue &amp; Chikungunya</v>
      </c>
      <c r="F113" s="1975">
        <f>'16-A. PM sub Annex'!F56</f>
        <v>0</v>
      </c>
      <c r="G113" s="1975">
        <f>'16-A. PM sub Annex'!G56</f>
        <v>0</v>
      </c>
      <c r="H113" s="1975">
        <f>'16-A. PM sub Annex'!H56</f>
        <v>0</v>
      </c>
      <c r="I113" s="1975">
        <f>'16-A. PM sub Annex'!I56</f>
        <v>0</v>
      </c>
      <c r="J113" s="1975">
        <f>'16-A. PM sub Annex'!J56</f>
        <v>0</v>
      </c>
      <c r="K113" s="1975">
        <f>'16-A. PM sub Annex'!K56</f>
        <v>0</v>
      </c>
      <c r="L113" s="1975">
        <f>'16-A. PM sub Annex'!L56</f>
        <v>0</v>
      </c>
      <c r="M113" s="162">
        <f>'16-A. PM sub Annex'!M56</f>
        <v>0</v>
      </c>
      <c r="N113" s="1975">
        <f>'16-A. PM sub Annex'!N56</f>
        <v>0</v>
      </c>
      <c r="O113" s="162">
        <f>'16-A. PM sub Annex'!O56</f>
        <v>0</v>
      </c>
      <c r="P113" s="88">
        <f>'16-A. PM sub Annex'!P56</f>
        <v>0</v>
      </c>
      <c r="Q113" s="54"/>
      <c r="R113" s="694"/>
    </row>
    <row r="114" spans="1:18" ht="30">
      <c r="A114" s="88" t="str">
        <f>'16-A. PM sub Annex'!A57</f>
        <v>16.1.2.2.7</v>
      </c>
      <c r="B114" s="88" t="e">
        <f>'16-A. PM sub Annex'!#REF!</f>
        <v>#REF!</v>
      </c>
      <c r="C114" s="88" t="str">
        <f>'16-A. PM sub Annex'!C57</f>
        <v>Monitoring and supervision (JE/ AE)</v>
      </c>
      <c r="D114" s="1975" t="str">
        <f>'16-A. PM sub Annex'!D57</f>
        <v>NDCP</v>
      </c>
      <c r="E114" s="1975" t="str">
        <f>'16-A. PM sub Annex'!E57</f>
        <v>HRH&amp;HPIP/ NVBDCP-AES/JE</v>
      </c>
      <c r="F114" s="1975">
        <f>'16-A. PM sub Annex'!F57</f>
        <v>0</v>
      </c>
      <c r="G114" s="1975">
        <f>'16-A. PM sub Annex'!G57</f>
        <v>0</v>
      </c>
      <c r="H114" s="1975">
        <f>'16-A. PM sub Annex'!H57</f>
        <v>0</v>
      </c>
      <c r="I114" s="1975">
        <f>'16-A. PM sub Annex'!I57</f>
        <v>0</v>
      </c>
      <c r="J114" s="1975">
        <f>'16-A. PM sub Annex'!J57</f>
        <v>0</v>
      </c>
      <c r="K114" s="1975">
        <f>'16-A. PM sub Annex'!K57</f>
        <v>0</v>
      </c>
      <c r="L114" s="1975">
        <f>'16-A. PM sub Annex'!L57</f>
        <v>0</v>
      </c>
      <c r="M114" s="162">
        <f>'16-A. PM sub Annex'!M57</f>
        <v>0</v>
      </c>
      <c r="N114" s="1975">
        <f>'16-A. PM sub Annex'!N57</f>
        <v>0</v>
      </c>
      <c r="O114" s="162">
        <f>'16-A. PM sub Annex'!O57</f>
        <v>0</v>
      </c>
      <c r="P114" s="88">
        <f>'16-A. PM sub Annex'!P57</f>
        <v>0</v>
      </c>
      <c r="Q114" s="54"/>
      <c r="R114" s="694"/>
    </row>
    <row r="115" spans="1:18" ht="30">
      <c r="A115" s="88" t="str">
        <f>'16-A. PM sub Annex'!A58</f>
        <v>16.1.2.2.8</v>
      </c>
      <c r="B115" s="88" t="e">
        <f>'16-A. PM sub Annex'!#REF!</f>
        <v>#REF!</v>
      </c>
      <c r="C115" s="88" t="str">
        <f>'16-A. PM sub Annex'!C58</f>
        <v>Monitoring &amp; Supervision (Lymphatic Filariasis)</v>
      </c>
      <c r="D115" s="1975" t="str">
        <f>'16-A. PM sub Annex'!D58</f>
        <v>NDCP</v>
      </c>
      <c r="E115" s="1975" t="str">
        <f>'16-A. PM sub Annex'!E58</f>
        <v>HRH&amp;HPIP/ NVBDCP-Lymphatic Filariasis</v>
      </c>
      <c r="F115" s="1975">
        <f>'16-A. PM sub Annex'!F58</f>
        <v>0</v>
      </c>
      <c r="G115" s="1975">
        <f>'16-A. PM sub Annex'!G58</f>
        <v>0</v>
      </c>
      <c r="H115" s="1975">
        <f>'16-A. PM sub Annex'!H58</f>
        <v>0</v>
      </c>
      <c r="I115" s="1975">
        <f>'16-A. PM sub Annex'!I58</f>
        <v>0</v>
      </c>
      <c r="J115" s="1975">
        <f>'16-A. PM sub Annex'!J58</f>
        <v>0</v>
      </c>
      <c r="K115" s="1975">
        <f>'16-A. PM sub Annex'!K58</f>
        <v>0</v>
      </c>
      <c r="L115" s="1975">
        <f>'16-A. PM sub Annex'!L58</f>
        <v>0</v>
      </c>
      <c r="M115" s="162">
        <f>'16-A. PM sub Annex'!M58</f>
        <v>0</v>
      </c>
      <c r="N115" s="1975">
        <f>'16-A. PM sub Annex'!N58</f>
        <v>0</v>
      </c>
      <c r="O115" s="162">
        <f>'16-A. PM sub Annex'!O58</f>
        <v>0</v>
      </c>
      <c r="P115" s="88">
        <f>'16-A. PM sub Annex'!P58</f>
        <v>0</v>
      </c>
      <c r="Q115" s="54"/>
      <c r="R115" s="694"/>
    </row>
    <row r="116" spans="1:18" ht="30">
      <c r="A116" s="88" t="str">
        <f>'16-A. PM sub Annex'!A59</f>
        <v>16.1.2.2.9</v>
      </c>
      <c r="B116" s="88" t="e">
        <f>'16-A. PM sub Annex'!#REF!</f>
        <v>#REF!</v>
      </c>
      <c r="C116" s="88" t="str">
        <f>'16-A. PM sub Annex'!C59</f>
        <v>Monitoring &amp; Evaluation (Kala Azar)</v>
      </c>
      <c r="D116" s="1975" t="str">
        <f>'16-A. PM sub Annex'!D59</f>
        <v>NDCP</v>
      </c>
      <c r="E116" s="1975" t="str">
        <f>'16-A. PM sub Annex'!E59</f>
        <v>HRH&amp;HPIP/ NVBDCP- Kala-azar</v>
      </c>
      <c r="F116" s="1975">
        <f>'16-A. PM sub Annex'!F59</f>
        <v>0</v>
      </c>
      <c r="G116" s="1975">
        <f>'16-A. PM sub Annex'!G59</f>
        <v>0</v>
      </c>
      <c r="H116" s="1975">
        <f>'16-A. PM sub Annex'!H59</f>
        <v>0</v>
      </c>
      <c r="I116" s="1975">
        <f>'16-A. PM sub Annex'!I59</f>
        <v>0</v>
      </c>
      <c r="J116" s="1975">
        <f>'16-A. PM sub Annex'!J59</f>
        <v>0</v>
      </c>
      <c r="K116" s="1975">
        <f>'16-A. PM sub Annex'!K59</f>
        <v>0</v>
      </c>
      <c r="L116" s="1975">
        <f>'16-A. PM sub Annex'!L59</f>
        <v>0</v>
      </c>
      <c r="M116" s="162">
        <f>'16-A. PM sub Annex'!M59</f>
        <v>0</v>
      </c>
      <c r="N116" s="1975">
        <f>'16-A. PM sub Annex'!N59</f>
        <v>0</v>
      </c>
      <c r="O116" s="162">
        <f>'16-A. PM sub Annex'!O59</f>
        <v>0</v>
      </c>
      <c r="P116" s="88">
        <f>'16-A. PM sub Annex'!P59</f>
        <v>0</v>
      </c>
      <c r="Q116" s="54"/>
      <c r="R116" s="694"/>
    </row>
    <row r="117" spans="1:18" ht="30">
      <c r="A117" s="88" t="str">
        <f>'16-A. PM sub Annex'!A60</f>
        <v>16.1.2.2.10</v>
      </c>
      <c r="B117" s="88" t="e">
        <f>'16-A. PM sub Annex'!#REF!</f>
        <v>#REF!</v>
      </c>
      <c r="C117" s="88" t="str">
        <f>'16-A. PM sub Annex'!C60</f>
        <v>Miscellaneous (Monitoring)</v>
      </c>
      <c r="D117" s="1975" t="str">
        <f>'16-A. PM sub Annex'!D60</f>
        <v>NDCP</v>
      </c>
      <c r="E117" s="1975" t="str">
        <f>'16-A. PM sub Annex'!E60</f>
        <v>HRH&amp;HPIP/NVBDCP</v>
      </c>
      <c r="F117" s="1975">
        <f>'16-A. PM sub Annex'!F60</f>
        <v>0</v>
      </c>
      <c r="G117" s="1975">
        <f>'16-A. PM sub Annex'!G60</f>
        <v>0</v>
      </c>
      <c r="H117" s="1975">
        <f>'16-A. PM sub Annex'!H60</f>
        <v>0</v>
      </c>
      <c r="I117" s="1975">
        <f>'16-A. PM sub Annex'!I60</f>
        <v>0</v>
      </c>
      <c r="J117" s="1975">
        <f>'16-A. PM sub Annex'!J60</f>
        <v>0</v>
      </c>
      <c r="K117" s="1975">
        <f>'16-A. PM sub Annex'!K60</f>
        <v>0</v>
      </c>
      <c r="L117" s="1975">
        <f>'16-A. PM sub Annex'!L60</f>
        <v>0</v>
      </c>
      <c r="M117" s="162">
        <f>'16-A. PM sub Annex'!M60</f>
        <v>0</v>
      </c>
      <c r="N117" s="1975">
        <f>'16-A. PM sub Annex'!N60</f>
        <v>0</v>
      </c>
      <c r="O117" s="162">
        <f>'16-A. PM sub Annex'!O60</f>
        <v>0</v>
      </c>
      <c r="P117" s="88">
        <f>'16-A. PM sub Annex'!P60</f>
        <v>0</v>
      </c>
      <c r="Q117" s="54"/>
      <c r="R117" s="694"/>
    </row>
    <row r="118" spans="1:18" ht="29.25" customHeight="1">
      <c r="A118" s="2200" t="str">
        <f>'16-A. PM sub Annex'!A64</f>
        <v>16.1.2.2.15</v>
      </c>
      <c r="B118" s="2200" t="str">
        <f>'16-A. PM sub Annex'!B64</f>
        <v>16.2.2.16</v>
      </c>
      <c r="C118" s="2200" t="str">
        <f>'16-A. PM sub Annex'!C64</f>
        <v>Monitoring &amp; Evaluation under MVCR</v>
      </c>
      <c r="D118" s="2200" t="str">
        <f>'16-A. PM sub Annex'!D64</f>
        <v>NDCP</v>
      </c>
      <c r="E118" s="2199" t="str">
        <f>'16-A. PM sub Annex'!E64</f>
        <v>HRH&amp;HPIP/NVBDCP</v>
      </c>
      <c r="F118" s="2199">
        <f>'16-A. PM sub Annex'!F64</f>
        <v>0</v>
      </c>
      <c r="G118" s="2199">
        <f>'16-A. PM sub Annex'!G64</f>
        <v>0</v>
      </c>
      <c r="H118" s="2199">
        <f>'16-A. PM sub Annex'!H64</f>
        <v>0</v>
      </c>
      <c r="I118" s="2199">
        <f>'16-A. PM sub Annex'!I64</f>
        <v>0</v>
      </c>
      <c r="J118" s="2199">
        <f>'16-A. PM sub Annex'!J64</f>
        <v>0</v>
      </c>
      <c r="K118" s="2199">
        <f>'16-A. PM sub Annex'!K64</f>
        <v>0</v>
      </c>
      <c r="L118" s="2199">
        <f>'16-A. PM sub Annex'!L64</f>
        <v>0</v>
      </c>
      <c r="M118" s="162">
        <f>'16-A. PM sub Annex'!M64</f>
        <v>0</v>
      </c>
      <c r="N118" s="2199">
        <f>'16-A. PM sub Annex'!N64</f>
        <v>0</v>
      </c>
      <c r="O118" s="162">
        <f>'16-A. PM sub Annex'!O64</f>
        <v>0</v>
      </c>
      <c r="P118" s="2200">
        <f>'16-A. PM sub Annex'!P64</f>
        <v>0</v>
      </c>
      <c r="Q118" s="54"/>
      <c r="R118" s="694"/>
    </row>
    <row r="119" spans="1:18" ht="30">
      <c r="A119" s="88" t="str">
        <f>'16-A. PM sub Annex'!A77</f>
        <v>16.1.3.1.8</v>
      </c>
      <c r="B119" s="88" t="e">
        <f>'16-A. PM sub Annex'!#REF!</f>
        <v>#REF!</v>
      </c>
      <c r="C119" s="88" t="str">
        <f>'16-A. PM sub Annex'!C77</f>
        <v>Monitoring , Evaluation &amp; Supervision &amp; Epidemic Preparedness (Only Mobility Expenses)</v>
      </c>
      <c r="D119" s="1975" t="str">
        <f>'16-A. PM sub Annex'!D77</f>
        <v>NDCP</v>
      </c>
      <c r="E119" s="1975" t="str">
        <f>'16-A. PM sub Annex'!E77</f>
        <v>HRH&amp;HPIP/ NVBDCP – Malaria</v>
      </c>
      <c r="F119" s="1975">
        <f>'16-A. PM sub Annex'!F77</f>
        <v>0</v>
      </c>
      <c r="G119" s="1975">
        <f>'16-A. PM sub Annex'!G77</f>
        <v>0</v>
      </c>
      <c r="H119" s="1975">
        <f>'16-A. PM sub Annex'!H77</f>
        <v>0</v>
      </c>
      <c r="I119" s="1975">
        <f>'16-A. PM sub Annex'!I77</f>
        <v>0</v>
      </c>
      <c r="J119" s="1975">
        <f>'16-A. PM sub Annex'!J77</f>
        <v>0</v>
      </c>
      <c r="K119" s="1975">
        <f>'16-A. PM sub Annex'!K77</f>
        <v>0</v>
      </c>
      <c r="L119" s="1975">
        <f>'16-A. PM sub Annex'!L77</f>
        <v>0</v>
      </c>
      <c r="M119" s="162">
        <f>'16-A. PM sub Annex'!M77</f>
        <v>0</v>
      </c>
      <c r="N119" s="1975">
        <f>'16-A. PM sub Annex'!N77</f>
        <v>0</v>
      </c>
      <c r="O119" s="162">
        <f>'16-A. PM sub Annex'!O77</f>
        <v>0</v>
      </c>
      <c r="P119" s="88">
        <f>'16-A. PM sub Annex'!P77</f>
        <v>0</v>
      </c>
      <c r="Q119" s="54"/>
      <c r="R119" s="694"/>
    </row>
    <row r="120" spans="1:18" ht="30">
      <c r="A120" s="88" t="str">
        <f>'16-A. PM sub Annex'!A78</f>
        <v>16.1.3.1.9</v>
      </c>
      <c r="B120" s="88" t="e">
        <f>'16-A. PM sub Annex'!#REF!</f>
        <v>#REF!</v>
      </c>
      <c r="C120" s="88" t="str">
        <f>'16-A. PM sub Annex'!C78</f>
        <v xml:space="preserve">Mobility support for Rapid Response Team </v>
      </c>
      <c r="D120" s="1975" t="str">
        <f>'16-A. PM sub Annex'!D78</f>
        <v>NDCP</v>
      </c>
      <c r="E120" s="1975" t="str">
        <f>'16-A. PM sub Annex'!E78</f>
        <v>HRH&amp;HPIP/ NVBDCP-Lymphatic Filariasis</v>
      </c>
      <c r="F120" s="1975">
        <f>'16-A. PM sub Annex'!F78</f>
        <v>0</v>
      </c>
      <c r="G120" s="1975">
        <f>'16-A. PM sub Annex'!G78</f>
        <v>0</v>
      </c>
      <c r="H120" s="1975">
        <f>'16-A. PM sub Annex'!H78</f>
        <v>0</v>
      </c>
      <c r="I120" s="1975">
        <f>'16-A. PM sub Annex'!I78</f>
        <v>0</v>
      </c>
      <c r="J120" s="1975">
        <f>'16-A. PM sub Annex'!J78</f>
        <v>0</v>
      </c>
      <c r="K120" s="1975">
        <f>'16-A. PM sub Annex'!K78</f>
        <v>0</v>
      </c>
      <c r="L120" s="1975">
        <f>'16-A. PM sub Annex'!L78</f>
        <v>0</v>
      </c>
      <c r="M120" s="162">
        <f>'16-A. PM sub Annex'!M78</f>
        <v>0</v>
      </c>
      <c r="N120" s="1975">
        <f>'16-A. PM sub Annex'!N78</f>
        <v>0</v>
      </c>
      <c r="O120" s="162">
        <f>'16-A. PM sub Annex'!O78</f>
        <v>0</v>
      </c>
      <c r="P120" s="88">
        <f>'16-A. PM sub Annex'!P78</f>
        <v>0</v>
      </c>
      <c r="Q120" s="54"/>
      <c r="R120" s="694"/>
    </row>
    <row r="121" spans="1:18" ht="30">
      <c r="A121" s="88" t="str">
        <f>'16-A. PM sub Annex'!A79</f>
        <v>16.1.3.1.10</v>
      </c>
      <c r="B121" s="88" t="e">
        <f>'16-A. PM sub Annex'!#REF!</f>
        <v>#REF!</v>
      </c>
      <c r="C121" s="88" t="str">
        <f>'16-A. PM sub Annex'!C79</f>
        <v>GFATM Project: Travel related Cost (TRC), Mobility</v>
      </c>
      <c r="D121" s="1975" t="str">
        <f>'16-A. PM sub Annex'!D79</f>
        <v>NDCP</v>
      </c>
      <c r="E121" s="1975" t="str">
        <f>'16-A. PM sub Annex'!E79</f>
        <v>HRH&amp;HPIP/ NVBDCP - GFATM</v>
      </c>
      <c r="F121" s="1975">
        <f>'16-A. PM sub Annex'!F79</f>
        <v>0</v>
      </c>
      <c r="G121" s="1975">
        <f>'16-A. PM sub Annex'!G79</f>
        <v>0</v>
      </c>
      <c r="H121" s="1975">
        <f>'16-A. PM sub Annex'!H79</f>
        <v>0</v>
      </c>
      <c r="I121" s="1975">
        <f>'16-A. PM sub Annex'!I79</f>
        <v>0</v>
      </c>
      <c r="J121" s="1975">
        <f>'16-A. PM sub Annex'!J79</f>
        <v>0</v>
      </c>
      <c r="K121" s="1975">
        <f>'16-A. PM sub Annex'!K79</f>
        <v>0</v>
      </c>
      <c r="L121" s="1975">
        <f>'16-A. PM sub Annex'!L79</f>
        <v>0</v>
      </c>
      <c r="M121" s="162">
        <f>'16-A. PM sub Annex'!M79</f>
        <v>0</v>
      </c>
      <c r="N121" s="1975">
        <f>'16-A. PM sub Annex'!N79</f>
        <v>0</v>
      </c>
      <c r="O121" s="162">
        <f>'16-A. PM sub Annex'!O79</f>
        <v>0</v>
      </c>
      <c r="P121" s="88">
        <f>'16-A. PM sub Annex'!P79</f>
        <v>0</v>
      </c>
      <c r="Q121" s="54"/>
      <c r="R121" s="694"/>
    </row>
    <row r="122" spans="1:18" ht="30">
      <c r="A122" s="88" t="str">
        <f>'16-A. PM sub Annex'!A84</f>
        <v>16.1.3.1.16</v>
      </c>
      <c r="B122" s="88" t="e">
        <f>'16-A. PM sub Annex'!#REF!</f>
        <v>#REF!</v>
      </c>
      <c r="C122" s="88" t="str">
        <f>'16-A. PM sub Annex'!C84</f>
        <v>Mobility support for Field activities for State MVCR Cell</v>
      </c>
      <c r="D122" s="1975" t="str">
        <f>'16-A. PM sub Annex'!D84</f>
        <v>NDCP</v>
      </c>
      <c r="E122" s="1975" t="str">
        <f>'16-A. PM sub Annex'!E84</f>
        <v>HRH&amp;HPIP/ NVBDCP – Malaria</v>
      </c>
      <c r="F122" s="1975">
        <f>'16-A. PM sub Annex'!F84</f>
        <v>0</v>
      </c>
      <c r="G122" s="1975">
        <f>'16-A. PM sub Annex'!G84</f>
        <v>0</v>
      </c>
      <c r="H122" s="1975">
        <f>'16-A. PM sub Annex'!H84</f>
        <v>0</v>
      </c>
      <c r="I122" s="1975">
        <f>'16-A. PM sub Annex'!I84</f>
        <v>0</v>
      </c>
      <c r="J122" s="1975">
        <f>'16-A. PM sub Annex'!J84</f>
        <v>0</v>
      </c>
      <c r="K122" s="1975">
        <f>'16-A. PM sub Annex'!K84</f>
        <v>0</v>
      </c>
      <c r="L122" s="1975">
        <f>'16-A. PM sub Annex'!L84</f>
        <v>0</v>
      </c>
      <c r="M122" s="162">
        <f>'16-A. PM sub Annex'!M84</f>
        <v>0</v>
      </c>
      <c r="N122" s="1975">
        <f>'16-A. PM sub Annex'!N84</f>
        <v>0</v>
      </c>
      <c r="O122" s="162">
        <f>'16-A. PM sub Annex'!O84</f>
        <v>0</v>
      </c>
      <c r="P122" s="88">
        <f>'16-A. PM sub Annex'!P84</f>
        <v>0</v>
      </c>
      <c r="Q122" s="54"/>
      <c r="R122" s="694"/>
    </row>
    <row r="123" spans="1:18" ht="30">
      <c r="A123" s="88" t="str">
        <f>'16-A. PM sub Annex'!A92</f>
        <v>16.1.3.2.1</v>
      </c>
      <c r="B123" s="88" t="e">
        <f>'16-A. PM sub Annex'!#REF!</f>
        <v>#REF!</v>
      </c>
      <c r="C123" s="88" t="str">
        <f>'16-A. PM sub Annex'!C92</f>
        <v>Zonal Entomological units</v>
      </c>
      <c r="D123" s="1975" t="str">
        <f>'16-A. PM sub Annex'!D92</f>
        <v>NDCP</v>
      </c>
      <c r="E123" s="1975" t="str">
        <f>'16-A. PM sub Annex'!E92</f>
        <v>HRH&amp;HPIP/ NVBDCP – Malaria</v>
      </c>
      <c r="F123" s="1975">
        <f>'16-A. PM sub Annex'!F92</f>
        <v>0</v>
      </c>
      <c r="G123" s="1975">
        <f>'16-A. PM sub Annex'!G92</f>
        <v>0</v>
      </c>
      <c r="H123" s="1975">
        <f>'16-A. PM sub Annex'!H92</f>
        <v>0</v>
      </c>
      <c r="I123" s="1975">
        <f>'16-A. PM sub Annex'!I92</f>
        <v>0</v>
      </c>
      <c r="J123" s="1975">
        <f>'16-A. PM sub Annex'!J92</f>
        <v>0</v>
      </c>
      <c r="K123" s="1975">
        <f>'16-A. PM sub Annex'!K92</f>
        <v>0</v>
      </c>
      <c r="L123" s="1975">
        <f>'16-A. PM sub Annex'!L92</f>
        <v>0</v>
      </c>
      <c r="M123" s="162">
        <f>'16-A. PM sub Annex'!M92</f>
        <v>0</v>
      </c>
      <c r="N123" s="1975">
        <f>'16-A. PM sub Annex'!N92</f>
        <v>0</v>
      </c>
      <c r="O123" s="162">
        <f>'16-A. PM sub Annex'!O92</f>
        <v>0</v>
      </c>
      <c r="P123" s="88">
        <f>'16-A. PM sub Annex'!P92</f>
        <v>0</v>
      </c>
      <c r="Q123" s="54"/>
      <c r="R123" s="694"/>
    </row>
    <row r="124" spans="1:18" ht="30">
      <c r="A124" s="88" t="str">
        <f>'16-A. PM sub Annex'!A103</f>
        <v>16.1.3.3.9</v>
      </c>
      <c r="B124" s="88" t="e">
        <f>'16-A. PM sub Annex'!#REF!</f>
        <v>#REF!</v>
      </c>
      <c r="C124" s="88" t="str">
        <f>'16-A. PM sub Annex'!C103</f>
        <v>Monitoring , Evaluation &amp; Supervision &amp; Epidemic Preparedness (Only Mobility Expenses)</v>
      </c>
      <c r="D124" s="1975" t="str">
        <f>'16-A. PM sub Annex'!D103</f>
        <v>NDCP</v>
      </c>
      <c r="E124" s="1975" t="str">
        <f>'16-A. PM sub Annex'!E103</f>
        <v>HRH&amp;HPIP/ NVBDCP – Malaria</v>
      </c>
      <c r="F124" s="1975">
        <f>'16-A. PM sub Annex'!F103</f>
        <v>12</v>
      </c>
      <c r="G124" s="1975">
        <f>'16-A. PM sub Annex'!G103</f>
        <v>0</v>
      </c>
      <c r="H124" s="1975">
        <f>'16-A. PM sub Annex'!H103</f>
        <v>12</v>
      </c>
      <c r="I124" s="1975">
        <f>'16-A. PM sub Annex'!I103</f>
        <v>0.93</v>
      </c>
      <c r="J124" s="1975">
        <f>'16-A. PM sub Annex'!J103</f>
        <v>5</v>
      </c>
      <c r="K124" s="1975">
        <f>'16-A. PM sub Annex'!K103</f>
        <v>12</v>
      </c>
      <c r="L124" s="1975">
        <f>'16-A. PM sub Annex'!L103</f>
        <v>50000</v>
      </c>
      <c r="M124" s="162">
        <f>'16-A. PM sub Annex'!M103</f>
        <v>0.5</v>
      </c>
      <c r="N124" s="1975">
        <f>'16-A. PM sub Annex'!N103</f>
        <v>12</v>
      </c>
      <c r="O124" s="162">
        <f>'16-A. PM sub Annex'!O103</f>
        <v>6</v>
      </c>
      <c r="P124" s="88">
        <f>'16-A. PM sub Annex'!P103</f>
        <v>0</v>
      </c>
      <c r="Q124" s="54" t="s">
        <v>5693</v>
      </c>
      <c r="R124" s="694">
        <v>6</v>
      </c>
    </row>
    <row r="125" spans="1:18" ht="30">
      <c r="A125" s="88" t="str">
        <f>'16-A. PM sub Annex'!A126</f>
        <v>16.1.4.1.6</v>
      </c>
      <c r="B125" s="88" t="e">
        <f>'16-A. PM sub Annex'!#REF!</f>
        <v>#REF!</v>
      </c>
      <c r="C125" s="88" t="str">
        <f>'16-A. PM sub Annex'!C126</f>
        <v xml:space="preserve">contingency support </v>
      </c>
      <c r="D125" s="1975" t="str">
        <f>'16-A. PM sub Annex'!D126</f>
        <v>NDCP</v>
      </c>
      <c r="E125" s="1975" t="str">
        <f>'16-A. PM sub Annex'!E126</f>
        <v>HRH&amp;HPIP/ NVBDCP-Lymphatic Filariasis</v>
      </c>
      <c r="F125" s="1975">
        <f>'16-A. PM sub Annex'!F126</f>
        <v>0</v>
      </c>
      <c r="G125" s="1975">
        <f>'16-A. PM sub Annex'!G126</f>
        <v>0</v>
      </c>
      <c r="H125" s="1975">
        <f>'16-A. PM sub Annex'!H126</f>
        <v>0</v>
      </c>
      <c r="I125" s="1975">
        <f>'16-A. PM sub Annex'!I126</f>
        <v>0</v>
      </c>
      <c r="J125" s="1975">
        <f>'16-A. PM sub Annex'!J126</f>
        <v>0</v>
      </c>
      <c r="K125" s="1975">
        <f>'16-A. PM sub Annex'!K126</f>
        <v>0</v>
      </c>
      <c r="L125" s="1975">
        <f>'16-A. PM sub Annex'!L126</f>
        <v>0</v>
      </c>
      <c r="M125" s="162">
        <f>'16-A. PM sub Annex'!M126</f>
        <v>0</v>
      </c>
      <c r="N125" s="1975">
        <f>'16-A. PM sub Annex'!N126</f>
        <v>0</v>
      </c>
      <c r="O125" s="162">
        <f>'16-A. PM sub Annex'!O126</f>
        <v>0</v>
      </c>
      <c r="P125" s="88">
        <f>'16-A. PM sub Annex'!P126</f>
        <v>0</v>
      </c>
      <c r="Q125" s="54"/>
      <c r="R125" s="694"/>
    </row>
    <row r="126" spans="1:18" ht="30">
      <c r="A126" s="88" t="str">
        <f>'16-A. PM sub Annex'!A127</f>
        <v>16.1.4.1.7</v>
      </c>
      <c r="B126" s="88" t="e">
        <f>'16-A. PM sub Annex'!#REF!</f>
        <v>#REF!</v>
      </c>
      <c r="C126" s="88" t="str">
        <f>'16-A. PM sub Annex'!C127</f>
        <v>GFATM Project: Programme Administration Costs (PA)</v>
      </c>
      <c r="D126" s="1975" t="str">
        <f>'16-A. PM sub Annex'!D127</f>
        <v>NDCP</v>
      </c>
      <c r="E126" s="1975" t="str">
        <f>'16-A. PM sub Annex'!E127</f>
        <v>HRH&amp;HPIP/ NVBDCP - GFATM</v>
      </c>
      <c r="F126" s="1975">
        <f>'16-A. PM sub Annex'!F127</f>
        <v>0</v>
      </c>
      <c r="G126" s="1975">
        <f>'16-A. PM sub Annex'!G127</f>
        <v>0</v>
      </c>
      <c r="H126" s="1975">
        <f>'16-A. PM sub Annex'!H127</f>
        <v>0</v>
      </c>
      <c r="I126" s="1975">
        <f>'16-A. PM sub Annex'!I127</f>
        <v>0</v>
      </c>
      <c r="J126" s="1975">
        <f>'16-A. PM sub Annex'!J127</f>
        <v>0</v>
      </c>
      <c r="K126" s="1975">
        <f>'16-A. PM sub Annex'!K127</f>
        <v>0</v>
      </c>
      <c r="L126" s="1975">
        <f>'16-A. PM sub Annex'!L127</f>
        <v>0</v>
      </c>
      <c r="M126" s="162">
        <f>'16-A. PM sub Annex'!M127</f>
        <v>0</v>
      </c>
      <c r="N126" s="1975">
        <f>'16-A. PM sub Annex'!N127</f>
        <v>0</v>
      </c>
      <c r="O126" s="162">
        <f>'16-A. PM sub Annex'!O127</f>
        <v>0</v>
      </c>
      <c r="P126" s="88">
        <f>'16-A. PM sub Annex'!P127</f>
        <v>0</v>
      </c>
      <c r="Q126" s="54"/>
      <c r="R126" s="694"/>
    </row>
    <row r="127" spans="1:18" ht="30">
      <c r="A127" s="88" t="str">
        <f>'16-A. PM sub Annex'!A135</f>
        <v>16.1.4.1.15</v>
      </c>
      <c r="B127" s="88" t="e">
        <f>'16-A. PM sub Annex'!#REF!</f>
        <v>#REF!</v>
      </c>
      <c r="C127" s="88" t="str">
        <f>'16-A. PM sub Annex'!C135</f>
        <v>Programme Administrative Costs</v>
      </c>
      <c r="D127" s="1975" t="str">
        <f>'16-A. PM sub Annex'!D135</f>
        <v>NDCP</v>
      </c>
      <c r="E127" s="1975" t="str">
        <f>'16-A. PM sub Annex'!E135</f>
        <v>HRH&amp;HPIP/NVBDCP</v>
      </c>
      <c r="F127" s="1975">
        <f>'16-A. PM sub Annex'!F135</f>
        <v>0</v>
      </c>
      <c r="G127" s="1975">
        <f>'16-A. PM sub Annex'!G135</f>
        <v>0</v>
      </c>
      <c r="H127" s="1975">
        <f>'16-A. PM sub Annex'!H135</f>
        <v>0</v>
      </c>
      <c r="I127" s="1975">
        <f>'16-A. PM sub Annex'!I135</f>
        <v>0</v>
      </c>
      <c r="J127" s="1975">
        <f>'16-A. PM sub Annex'!J135</f>
        <v>0</v>
      </c>
      <c r="K127" s="1975">
        <f>'16-A. PM sub Annex'!K135</f>
        <v>0</v>
      </c>
      <c r="L127" s="1975">
        <f>'16-A. PM sub Annex'!L135</f>
        <v>0</v>
      </c>
      <c r="M127" s="162">
        <f>'16-A. PM sub Annex'!M135</f>
        <v>0</v>
      </c>
      <c r="N127" s="1975">
        <f>'16-A. PM sub Annex'!N135</f>
        <v>0</v>
      </c>
      <c r="O127" s="162">
        <f>'16-A. PM sub Annex'!O135</f>
        <v>0</v>
      </c>
      <c r="P127" s="88">
        <f>'16-A. PM sub Annex'!P135</f>
        <v>0</v>
      </c>
      <c r="Q127" s="54"/>
      <c r="R127" s="694"/>
    </row>
    <row r="128" spans="1:18" ht="30">
      <c r="A128" s="88" t="str">
        <f>'16-A. PM sub Annex'!A139</f>
        <v>16.1.4.2.3</v>
      </c>
      <c r="B128" s="88" t="e">
        <f>'16-A. PM sub Annex'!#REF!</f>
        <v>#REF!</v>
      </c>
      <c r="C128" s="88" t="str">
        <f>'16-A. PM sub Annex'!C139</f>
        <v xml:space="preserve">contingency support </v>
      </c>
      <c r="D128" s="1975" t="str">
        <f>'16-A. PM sub Annex'!D139</f>
        <v>NDCP</v>
      </c>
      <c r="E128" s="1975" t="str">
        <f>'16-A. PM sub Annex'!E139</f>
        <v>HRH&amp;HPIP/ NVBDCP-Lymphatic Filariasis</v>
      </c>
      <c r="F128" s="1975">
        <f>'16-A. PM sub Annex'!F139</f>
        <v>0</v>
      </c>
      <c r="G128" s="1975">
        <f>'16-A. PM sub Annex'!G139</f>
        <v>0</v>
      </c>
      <c r="H128" s="1975">
        <f>'16-A. PM sub Annex'!H139</f>
        <v>0</v>
      </c>
      <c r="I128" s="1975">
        <f>'16-A. PM sub Annex'!I139</f>
        <v>0</v>
      </c>
      <c r="J128" s="1975">
        <f>'16-A. PM sub Annex'!J139</f>
        <v>0</v>
      </c>
      <c r="K128" s="1975">
        <f>'16-A. PM sub Annex'!K139</f>
        <v>0</v>
      </c>
      <c r="L128" s="1975">
        <f>'16-A. PM sub Annex'!L139</f>
        <v>0</v>
      </c>
      <c r="M128" s="162">
        <f>'16-A. PM sub Annex'!M139</f>
        <v>0</v>
      </c>
      <c r="N128" s="1975">
        <f>'16-A. PM sub Annex'!N139</f>
        <v>0</v>
      </c>
      <c r="O128" s="162">
        <f>'16-A. PM sub Annex'!O139</f>
        <v>0</v>
      </c>
      <c r="P128" s="88">
        <f>'16-A. PM sub Annex'!P139</f>
        <v>0</v>
      </c>
      <c r="Q128" s="54"/>
      <c r="R128" s="694"/>
    </row>
    <row r="129" spans="1:18" ht="30">
      <c r="A129" s="88" t="str">
        <f>'16-A. PM sub Annex'!A152</f>
        <v>16.1.5.1.3</v>
      </c>
      <c r="B129" s="88" t="e">
        <f>'16-A. PM sub Annex'!#REF!</f>
        <v>#REF!</v>
      </c>
      <c r="C129" s="88" t="str">
        <f>'16-A. PM sub Annex'!C152</f>
        <v>Monitoring , Evaluation &amp; Supervision &amp; Epidemic Preparedness - Cost of NAMMIS</v>
      </c>
      <c r="D129" s="1975" t="str">
        <f>'16-A. PM sub Annex'!D152</f>
        <v>NDCP</v>
      </c>
      <c r="E129" s="1975" t="str">
        <f>'16-A. PM sub Annex'!E152</f>
        <v>HRH&amp;HPIP/ NVBDCP – Malaria</v>
      </c>
      <c r="F129" s="1975">
        <f>'16-A. PM sub Annex'!F152</f>
        <v>0</v>
      </c>
      <c r="G129" s="1975">
        <f>'16-A. PM sub Annex'!G152</f>
        <v>0</v>
      </c>
      <c r="H129" s="1975">
        <f>'16-A. PM sub Annex'!H152</f>
        <v>0</v>
      </c>
      <c r="I129" s="1975">
        <f>'16-A. PM sub Annex'!I152</f>
        <v>0</v>
      </c>
      <c r="J129" s="1975">
        <f>'16-A. PM sub Annex'!J152</f>
        <v>0</v>
      </c>
      <c r="K129" s="1975">
        <f>'16-A. PM sub Annex'!K152</f>
        <v>0</v>
      </c>
      <c r="L129" s="1975">
        <f>'16-A. PM sub Annex'!L152</f>
        <v>0</v>
      </c>
      <c r="M129" s="162">
        <f>'16-A. PM sub Annex'!M152</f>
        <v>0</v>
      </c>
      <c r="N129" s="1975">
        <f>'16-A. PM sub Annex'!N152</f>
        <v>0</v>
      </c>
      <c r="O129" s="162">
        <f>'16-A. PM sub Annex'!O152</f>
        <v>0</v>
      </c>
      <c r="P129" s="88">
        <f>'16-A. PM sub Annex'!P152</f>
        <v>0</v>
      </c>
      <c r="Q129" s="54"/>
      <c r="R129" s="694"/>
    </row>
    <row r="130" spans="1:18" ht="30">
      <c r="A130" s="88" t="str">
        <f>'16-A. PM sub Annex'!A155</f>
        <v>16.1.5.2.2</v>
      </c>
      <c r="B130" s="88" t="e">
        <f>'16-A. PM sub Annex'!#REF!</f>
        <v>#REF!</v>
      </c>
      <c r="C130" s="88" t="str">
        <f>'16-A. PM sub Annex'!C155</f>
        <v>Travel related Cost (TRC) - GFATM</v>
      </c>
      <c r="D130" s="1975" t="str">
        <f>'16-A. PM sub Annex'!D155</f>
        <v>NDCP</v>
      </c>
      <c r="E130" s="1975" t="str">
        <f>'16-A. PM sub Annex'!E155</f>
        <v>HRH&amp;HPIP/ NVBDCP - GFATM</v>
      </c>
      <c r="F130" s="1975">
        <f>'16-A. PM sub Annex'!F155</f>
        <v>0</v>
      </c>
      <c r="G130" s="1975">
        <f>'16-A. PM sub Annex'!G155</f>
        <v>0</v>
      </c>
      <c r="H130" s="1975">
        <f>'16-A. PM sub Annex'!H155</f>
        <v>0</v>
      </c>
      <c r="I130" s="1975">
        <f>'16-A. PM sub Annex'!I155</f>
        <v>0</v>
      </c>
      <c r="J130" s="1975">
        <f>'16-A. PM sub Annex'!J155</f>
        <v>0</v>
      </c>
      <c r="K130" s="1975">
        <f>'16-A. PM sub Annex'!K155</f>
        <v>0</v>
      </c>
      <c r="L130" s="1975">
        <f>'16-A. PM sub Annex'!L155</f>
        <v>0</v>
      </c>
      <c r="M130" s="162">
        <f>'16-A. PM sub Annex'!M155</f>
        <v>0</v>
      </c>
      <c r="N130" s="1975">
        <f>'16-A. PM sub Annex'!N155</f>
        <v>0</v>
      </c>
      <c r="O130" s="162">
        <f>'16-A. PM sub Annex'!O155</f>
        <v>0</v>
      </c>
      <c r="P130" s="88">
        <f>'16-A. PM sub Annex'!P155</f>
        <v>0</v>
      </c>
      <c r="Q130" s="54"/>
      <c r="R130" s="694"/>
    </row>
    <row r="131" spans="1:18" ht="30">
      <c r="A131" s="88" t="str">
        <f>'16-A. PM sub Annex'!A162</f>
        <v>16.1.5.2.7</v>
      </c>
      <c r="B131" s="88" t="e">
        <f>'16-A. PM sub Annex'!#REF!</f>
        <v>#REF!</v>
      </c>
      <c r="C131" s="88" t="str">
        <f>'16-A. PM sub Annex'!C162</f>
        <v>Maintenance cost of vehicles</v>
      </c>
      <c r="D131" s="1975" t="str">
        <f>'16-A. PM sub Annex'!D162</f>
        <v>NDCP</v>
      </c>
      <c r="E131" s="1975" t="str">
        <f>'16-A. PM sub Annex'!E162</f>
        <v>HRH&amp;HPIP/NVBDCP</v>
      </c>
      <c r="F131" s="1975">
        <f>'16-A. PM sub Annex'!F162</f>
        <v>0</v>
      </c>
      <c r="G131" s="1975">
        <f>'16-A. PM sub Annex'!G162</f>
        <v>0</v>
      </c>
      <c r="H131" s="1975">
        <f>'16-A. PM sub Annex'!H162</f>
        <v>0</v>
      </c>
      <c r="I131" s="1975">
        <f>'16-A. PM sub Annex'!I162</f>
        <v>0</v>
      </c>
      <c r="J131" s="1975">
        <f>'16-A. PM sub Annex'!J162</f>
        <v>0</v>
      </c>
      <c r="K131" s="1975">
        <f>'16-A. PM sub Annex'!K162</f>
        <v>0</v>
      </c>
      <c r="L131" s="1975">
        <f>'16-A. PM sub Annex'!L162</f>
        <v>0</v>
      </c>
      <c r="M131" s="162">
        <f>'16-A. PM sub Annex'!M162</f>
        <v>0</v>
      </c>
      <c r="N131" s="1975">
        <f>'16-A. PM sub Annex'!N162</f>
        <v>0</v>
      </c>
      <c r="O131" s="162">
        <f>'16-A. PM sub Annex'!O162</f>
        <v>0</v>
      </c>
      <c r="P131" s="88">
        <f>'16-A. PM sub Annex'!P162</f>
        <v>0</v>
      </c>
      <c r="Q131" s="54"/>
      <c r="R131" s="694"/>
    </row>
    <row r="132" spans="1:18" ht="30">
      <c r="A132" s="88" t="str">
        <f>'16-A. PM sub Annex'!A168</f>
        <v>16.1.5.3.7</v>
      </c>
      <c r="B132" s="88" t="e">
        <f>'16-A. PM sub Annex'!#REF!</f>
        <v>#REF!</v>
      </c>
      <c r="C132" s="88" t="str">
        <f>'16-A. PM sub Annex'!C168</f>
        <v>Epidemic preparedness (Dengue &amp; Chikungunya)</v>
      </c>
      <c r="D132" s="1975" t="str">
        <f>'16-A. PM sub Annex'!D168</f>
        <v>NDCP</v>
      </c>
      <c r="E132" s="1975" t="str">
        <f>'16-A. PM sub Annex'!E168</f>
        <v>HRH&amp;HPIP/ NVBDCP-Dengue &amp; Chikungunya</v>
      </c>
      <c r="F132" s="1975">
        <f>'16-A. PM sub Annex'!F168</f>
        <v>0</v>
      </c>
      <c r="G132" s="1975">
        <f>'16-A. PM sub Annex'!G168</f>
        <v>0</v>
      </c>
      <c r="H132" s="1975">
        <f>'16-A. PM sub Annex'!H168</f>
        <v>0</v>
      </c>
      <c r="I132" s="1975">
        <f>'16-A. PM sub Annex'!I168</f>
        <v>0</v>
      </c>
      <c r="J132" s="1975">
        <f>'16-A. PM sub Annex'!J168</f>
        <v>0</v>
      </c>
      <c r="K132" s="1975">
        <f>'16-A. PM sub Annex'!K168</f>
        <v>0</v>
      </c>
      <c r="L132" s="1975">
        <f>'16-A. PM sub Annex'!L168</f>
        <v>0</v>
      </c>
      <c r="M132" s="162">
        <f>'16-A. PM sub Annex'!M168</f>
        <v>0</v>
      </c>
      <c r="N132" s="1975">
        <f>'16-A. PM sub Annex'!N168</f>
        <v>0</v>
      </c>
      <c r="O132" s="162">
        <f>'16-A. PM sub Annex'!O168</f>
        <v>0</v>
      </c>
      <c r="P132" s="88">
        <f>'16-A. PM sub Annex'!P168</f>
        <v>0</v>
      </c>
      <c r="Q132" s="54"/>
      <c r="R132" s="694"/>
    </row>
    <row r="133" spans="1:18" ht="30">
      <c r="A133" s="88" t="str">
        <f>'16-A. PM sub Annex'!A169</f>
        <v>16.1.5.3.8</v>
      </c>
      <c r="B133" s="88" t="e">
        <f>'16-A. PM sub Annex'!#REF!</f>
        <v>#REF!</v>
      </c>
      <c r="C133" s="88" t="str">
        <f>'16-A. PM sub Annex'!C169</f>
        <v>Epidemic preparedness &amp; Response (Malaria)</v>
      </c>
      <c r="D133" s="1975" t="str">
        <f>'16-A. PM sub Annex'!D169</f>
        <v>NDCP</v>
      </c>
      <c r="E133" s="1975" t="str">
        <f>'16-A. PM sub Annex'!E169</f>
        <v>HRH&amp;HPIP/ NVBDCP-Malaria</v>
      </c>
      <c r="F133" s="1975">
        <f>'16-A. PM sub Annex'!F169</f>
        <v>0</v>
      </c>
      <c r="G133" s="1975">
        <f>'16-A. PM sub Annex'!G169</f>
        <v>0</v>
      </c>
      <c r="H133" s="1975">
        <f>'16-A. PM sub Annex'!H169</f>
        <v>0</v>
      </c>
      <c r="I133" s="1975">
        <f>'16-A. PM sub Annex'!I169</f>
        <v>0</v>
      </c>
      <c r="J133" s="1975">
        <f>'16-A. PM sub Annex'!J169</f>
        <v>0</v>
      </c>
      <c r="K133" s="1975">
        <f>'16-A. PM sub Annex'!K169</f>
        <v>0</v>
      </c>
      <c r="L133" s="1975">
        <f>'16-A. PM sub Annex'!L169</f>
        <v>0</v>
      </c>
      <c r="M133" s="162">
        <f>'16-A. PM sub Annex'!M169</f>
        <v>0</v>
      </c>
      <c r="N133" s="1975">
        <f>'16-A. PM sub Annex'!N169</f>
        <v>0</v>
      </c>
      <c r="O133" s="162">
        <f>'16-A. PM sub Annex'!O169</f>
        <v>0</v>
      </c>
      <c r="P133" s="88">
        <f>'16-A. PM sub Annex'!P169</f>
        <v>0</v>
      </c>
      <c r="Q133" s="54"/>
      <c r="R133" s="694"/>
    </row>
    <row r="134" spans="1:18" ht="51.75" customHeight="1">
      <c r="A134" s="88" t="str">
        <f>'16-A. PM sub Annex'!A170</f>
        <v>16.1.5.3.9</v>
      </c>
      <c r="B134" s="88" t="e">
        <f>'16-A. PM sub Annex'!#REF!</f>
        <v>#REF!</v>
      </c>
      <c r="C134" s="88" t="str">
        <f>'16-A. PM sub Annex'!C170</f>
        <v>Monitoring , Evaluation &amp; Supervision &amp; Epidemic Preparedness - Cost of NAMMIS</v>
      </c>
      <c r="D134" s="1975" t="str">
        <f>'16-A. PM sub Annex'!D170</f>
        <v>NDCP</v>
      </c>
      <c r="E134" s="1975" t="str">
        <f>'16-A. PM sub Annex'!E170</f>
        <v>HRH&amp;HPIP/ NVBDCP – Malaria</v>
      </c>
      <c r="F134" s="1975">
        <f>'16-A. PM sub Annex'!F170</f>
        <v>11</v>
      </c>
      <c r="G134" s="1975">
        <f>'16-A. PM sub Annex'!G170</f>
        <v>0</v>
      </c>
      <c r="H134" s="1975">
        <f>'16-A. PM sub Annex'!H170</f>
        <v>11</v>
      </c>
      <c r="I134" s="1975">
        <f>'16-A. PM sub Annex'!I170</f>
        <v>0.01</v>
      </c>
      <c r="J134" s="1975">
        <f>'16-A. PM sub Annex'!J170</f>
        <v>5</v>
      </c>
      <c r="K134" s="1975">
        <f>'16-A. PM sub Annex'!K170</f>
        <v>0</v>
      </c>
      <c r="L134" s="1975">
        <f>'16-A. PM sub Annex'!L170</f>
        <v>54545</v>
      </c>
      <c r="M134" s="162">
        <f>'16-A. PM sub Annex'!M170</f>
        <v>0.54544999999999999</v>
      </c>
      <c r="N134" s="1975">
        <f>'16-A. PM sub Annex'!N170</f>
        <v>11</v>
      </c>
      <c r="O134" s="162">
        <f>'16-A. PM sub Annex'!O170</f>
        <v>5.9999500000000001</v>
      </c>
      <c r="P134" s="88" t="str">
        <f>'16-A. PM sub Annex'!P170</f>
        <v>State proposes 1 lacs for State HQ &amp; Rs. 50000/- per 10 distrcits</v>
      </c>
      <c r="Q134" s="54" t="s">
        <v>5903</v>
      </c>
      <c r="R134" s="694">
        <v>6</v>
      </c>
    </row>
    <row r="135" spans="1:18">
      <c r="Q135" s="2016"/>
      <c r="R135" s="2017"/>
    </row>
    <row r="136" spans="1:18">
      <c r="Q136" s="2016"/>
      <c r="R136" s="2017"/>
    </row>
    <row r="137" spans="1:18">
      <c r="A137" s="4098" t="s">
        <v>5130</v>
      </c>
      <c r="B137" s="4098"/>
      <c r="C137" s="4098"/>
      <c r="D137" s="785"/>
      <c r="E137" s="785"/>
      <c r="F137" s="785"/>
      <c r="G137" s="785"/>
      <c r="H137" s="547"/>
      <c r="I137" s="785"/>
      <c r="J137" s="547"/>
      <c r="K137" s="2007"/>
      <c r="L137" s="2007"/>
      <c r="M137" s="547"/>
      <c r="N137" s="1997"/>
      <c r="O137" s="1957"/>
      <c r="P137" s="1953"/>
      <c r="Q137" s="1964"/>
      <c r="R137" s="1965"/>
    </row>
    <row r="138" spans="1:18">
      <c r="A138" s="1958" t="str">
        <f>'NUHM-Non Metro Abst'!A12</f>
        <v>U.1.1.1.2</v>
      </c>
      <c r="B138" s="1958"/>
      <c r="C138" s="1958" t="str">
        <f>'NUHM-Non Metro Abst'!C12</f>
        <v>Support for implementation of NVBDCP</v>
      </c>
      <c r="D138" s="1975"/>
      <c r="E138" s="1958" t="str">
        <f>'NUHM-Non Metro Abst'!D12</f>
        <v>NVBDCP</v>
      </c>
      <c r="F138" s="1958">
        <f>'NUHM-Non Metro Abst'!E12</f>
        <v>0</v>
      </c>
      <c r="G138" s="1958">
        <f>'NUHM-Non Metro Abst'!F12</f>
        <v>0</v>
      </c>
      <c r="H138" s="1958">
        <f>'NUHM-Non Metro Abst'!G12</f>
        <v>0</v>
      </c>
      <c r="I138" s="1958">
        <f>'NUHM-Non Metro Abst'!H12</f>
        <v>0</v>
      </c>
      <c r="J138" s="1958">
        <f>'NUHM-Non Metro Abst'!I12</f>
        <v>0</v>
      </c>
      <c r="K138" s="1958">
        <f>'NUHM-Non Metro Abst'!J12</f>
        <v>0</v>
      </c>
      <c r="L138" s="1958">
        <f>'NUHM-Non Metro Abst'!K12</f>
        <v>0</v>
      </c>
      <c r="M138" s="1958">
        <f>'NUHM-Non Metro Abst'!L12</f>
        <v>0</v>
      </c>
      <c r="N138" s="1958">
        <f>'NUHM-Non Metro Abst'!M12</f>
        <v>0</v>
      </c>
      <c r="O138" s="1958">
        <f>'NUHM-Non Metro Abst'!N12</f>
        <v>0</v>
      </c>
      <c r="P138" s="1958">
        <f>'NUHM-Non Metro Abst'!O12</f>
        <v>0</v>
      </c>
      <c r="Q138" s="55"/>
      <c r="R138" s="1966"/>
    </row>
    <row r="139" spans="1:18">
      <c r="A139" s="4098" t="s">
        <v>5129</v>
      </c>
      <c r="B139" s="4098"/>
      <c r="C139" s="4098"/>
      <c r="D139" s="785"/>
      <c r="E139" s="785"/>
      <c r="F139" s="785"/>
      <c r="G139" s="785"/>
      <c r="H139" s="547"/>
      <c r="I139" s="785"/>
      <c r="J139" s="547"/>
      <c r="K139" s="2007"/>
      <c r="L139" s="2007"/>
      <c r="M139" s="547"/>
      <c r="N139" s="1997"/>
      <c r="O139" s="1957"/>
      <c r="P139" s="1953"/>
      <c r="Q139" s="1964"/>
      <c r="R139" s="1965"/>
    </row>
    <row r="140" spans="1:18">
      <c r="A140" s="1958" t="str">
        <f>'NUHM Metro Abst'!A12</f>
        <v>U.1.1.1.2</v>
      </c>
      <c r="B140" s="1958"/>
      <c r="C140" s="1958" t="str">
        <f>'NUHM Metro Abst'!C12</f>
        <v>Support for implementation of NVBDCP</v>
      </c>
      <c r="D140" s="1975"/>
      <c r="E140" s="1958" t="str">
        <f>'NUHM Metro Abst'!D12</f>
        <v>NVBDCP</v>
      </c>
      <c r="F140" s="1958">
        <f>'NUHM Metro Abst'!E12</f>
        <v>0</v>
      </c>
      <c r="G140" s="1958">
        <f>'NUHM Metro Abst'!F12</f>
        <v>0</v>
      </c>
      <c r="H140" s="1958">
        <f>'NUHM Metro Abst'!G12</f>
        <v>0</v>
      </c>
      <c r="I140" s="1958">
        <f>'NUHM Metro Abst'!H12</f>
        <v>0</v>
      </c>
      <c r="J140" s="1958">
        <f>'NUHM Metro Abst'!I12</f>
        <v>0</v>
      </c>
      <c r="K140" s="1958">
        <f>'NUHM Metro Abst'!J12</f>
        <v>0</v>
      </c>
      <c r="L140" s="1958">
        <f>'NUHM Metro Abst'!K12</f>
        <v>0</v>
      </c>
      <c r="M140" s="1958">
        <f>'NUHM Metro Abst'!L12</f>
        <v>0</v>
      </c>
      <c r="N140" s="1958">
        <f>'NUHM Metro Abst'!M12</f>
        <v>0</v>
      </c>
      <c r="O140" s="1958">
        <f>'NUHM Metro Abst'!N12</f>
        <v>0</v>
      </c>
      <c r="P140" s="1958">
        <f>'NUHM Metro Abst'!O12</f>
        <v>0</v>
      </c>
      <c r="Q140" s="55"/>
      <c r="R140" s="55"/>
    </row>
  </sheetData>
  <sheetProtection sheet="1" formatCells="0" formatColumns="0" formatRows="0" autoFilter="0"/>
  <autoFilter ref="A5:M134"/>
  <mergeCells count="18">
    <mergeCell ref="A37:A42"/>
    <mergeCell ref="A44:A60"/>
    <mergeCell ref="A137:C137"/>
    <mergeCell ref="A139:C139"/>
    <mergeCell ref="Q4:R4"/>
    <mergeCell ref="E4:E5"/>
    <mergeCell ref="F4:J4"/>
    <mergeCell ref="K4:P4"/>
    <mergeCell ref="A62:A69"/>
    <mergeCell ref="A90:A97"/>
    <mergeCell ref="A99:A102"/>
    <mergeCell ref="A15:A21"/>
    <mergeCell ref="A22:A31"/>
    <mergeCell ref="A1:C1"/>
    <mergeCell ref="A4:A5"/>
    <mergeCell ref="B4:B5"/>
    <mergeCell ref="C4:C5"/>
    <mergeCell ref="D4:D5"/>
  </mergeCells>
  <pageMargins left="0.7" right="0.7" top="0.75" bottom="0.75" header="0.3" footer="0.3"/>
  <pageSetup orientation="portrait" horizontalDpi="4294967295" verticalDpi="4294967295" r:id="rId1"/>
</worksheet>
</file>

<file path=xl/worksheets/sheet37.xml><?xml version="1.0" encoding="utf-8"?>
<worksheet xmlns="http://schemas.openxmlformats.org/spreadsheetml/2006/main" xmlns:r="http://schemas.openxmlformats.org/officeDocument/2006/relationships">
  <sheetPr codeName="Sheet33">
    <tabColor theme="5" tint="0.79998168889431442"/>
  </sheetPr>
  <dimension ref="A1:R53"/>
  <sheetViews>
    <sheetView zoomScale="60" zoomScaleNormal="60" workbookViewId="0">
      <pane xSplit="3" ySplit="5" topLeftCell="G32" activePane="bottomRight" state="frozen"/>
      <selection activeCell="R108" sqref="R108"/>
      <selection pane="topRight" activeCell="R108" sqref="R108"/>
      <selection pane="bottomLeft" activeCell="R108" sqref="R108"/>
      <selection pane="bottomRight" activeCell="Q62" sqref="Q62"/>
    </sheetView>
  </sheetViews>
  <sheetFormatPr defaultColWidth="11.140625" defaultRowHeight="15"/>
  <cols>
    <col min="1" max="1" width="11.140625" style="868"/>
    <col min="2" max="2" width="17.7109375" style="868" customWidth="1"/>
    <col min="3" max="3" width="46.85546875" style="904" customWidth="1"/>
    <col min="4" max="4" width="9" style="868" customWidth="1"/>
    <col min="5" max="5" width="21.7109375" style="868" customWidth="1"/>
    <col min="6" max="6" width="19" style="868" customWidth="1"/>
    <col min="7" max="7" width="19.140625" style="868" customWidth="1"/>
    <col min="8" max="8" width="14.140625" style="978" customWidth="1"/>
    <col min="9" max="9" width="11.140625" style="868"/>
    <col min="10" max="10" width="15.7109375" style="978" customWidth="1"/>
    <col min="11" max="11" width="14.140625" style="868" customWidth="1"/>
    <col min="12" max="12" width="12.28515625" style="868" customWidth="1"/>
    <col min="13" max="13" width="14.85546875" style="978" customWidth="1"/>
    <col min="14" max="14" width="11.140625" style="868"/>
    <col min="15" max="15" width="11.140625" style="978"/>
    <col min="16" max="16" width="56.42578125" style="904" customWidth="1"/>
    <col min="17" max="17" width="40.85546875" style="904" customWidth="1"/>
    <col min="18" max="18" width="11.140625" style="978"/>
    <col min="19" max="16384" width="11.140625" style="868"/>
  </cols>
  <sheetData>
    <row r="1" spans="1:18">
      <c r="A1" s="4103" t="s">
        <v>2093</v>
      </c>
      <c r="B1" s="4103"/>
      <c r="C1" s="4103"/>
      <c r="D1" s="1840"/>
      <c r="F1" s="83" t="s">
        <v>3832</v>
      </c>
      <c r="G1" s="1841"/>
      <c r="H1" s="1841"/>
      <c r="I1" s="1840"/>
      <c r="J1" s="1841"/>
      <c r="K1" s="1840"/>
      <c r="L1" s="1840"/>
      <c r="M1" s="1841"/>
    </row>
    <row r="2" spans="1:18">
      <c r="A2" s="1908" t="str">
        <f>HYPERLINK("#Index!F3", "Index Pg")</f>
        <v>Index Pg</v>
      </c>
      <c r="B2" s="1915"/>
      <c r="C2" s="864" t="str">
        <f>HYPERLINK("#'Budget Summary I'!A1:AL1", "Budget Summary I")</f>
        <v>Budget Summary I</v>
      </c>
      <c r="D2" s="2019"/>
      <c r="E2" s="1460" t="s">
        <v>4460</v>
      </c>
      <c r="F2" s="161">
        <f>R6+R10+R12+R16+R23+R26+R28+R31+R33+R36</f>
        <v>23.619999999999997</v>
      </c>
      <c r="G2" s="1145"/>
      <c r="H2" s="1145"/>
      <c r="I2" s="1146"/>
      <c r="J2" s="1145"/>
      <c r="K2" s="1146"/>
      <c r="L2" s="1146"/>
      <c r="M2" s="1145"/>
    </row>
    <row r="3" spans="1:18" s="869" customFormat="1">
      <c r="A3" s="1914"/>
      <c r="B3" s="1915"/>
      <c r="C3" s="864" t="str">
        <f>HYPERLINK("#'Budget Summary II'!A3:B5", "Budget Summary II")</f>
        <v>Budget Summary II</v>
      </c>
      <c r="D3" s="2019"/>
      <c r="E3" s="1460" t="s">
        <v>4461</v>
      </c>
      <c r="F3" s="161">
        <f>O6+O10+O12+O16+O23+O26+O28+O31+O33+O36</f>
        <v>23.914999999999999</v>
      </c>
      <c r="I3" s="1146"/>
      <c r="L3" s="1146"/>
      <c r="M3" s="1145"/>
      <c r="O3" s="2011"/>
      <c r="P3" s="2012"/>
      <c r="Q3" s="2012"/>
      <c r="R3" s="2011"/>
    </row>
    <row r="4" spans="1:18">
      <c r="A4" s="3801" t="s">
        <v>48</v>
      </c>
      <c r="B4" s="3801" t="s">
        <v>49</v>
      </c>
      <c r="C4" s="3801" t="s">
        <v>50</v>
      </c>
      <c r="D4" s="3801" t="s">
        <v>51</v>
      </c>
      <c r="E4" s="3801" t="s">
        <v>52</v>
      </c>
      <c r="F4" s="3799" t="s">
        <v>4478</v>
      </c>
      <c r="G4" s="3799"/>
      <c r="H4" s="3799"/>
      <c r="I4" s="3799"/>
      <c r="J4" s="3799"/>
      <c r="K4" s="3799" t="s">
        <v>4484</v>
      </c>
      <c r="L4" s="3799"/>
      <c r="M4" s="3799"/>
      <c r="N4" s="3799"/>
      <c r="O4" s="3799"/>
      <c r="P4" s="3799"/>
      <c r="Q4" s="3800" t="s">
        <v>4514</v>
      </c>
      <c r="R4" s="3800"/>
    </row>
    <row r="5" spans="1:18" ht="60">
      <c r="A5" s="3801"/>
      <c r="B5" s="3801"/>
      <c r="C5" s="3801"/>
      <c r="D5" s="3801"/>
      <c r="E5" s="3801"/>
      <c r="F5" s="918" t="s">
        <v>4479</v>
      </c>
      <c r="G5" s="918" t="s">
        <v>4482</v>
      </c>
      <c r="H5" s="918" t="s">
        <v>4480</v>
      </c>
      <c r="I5" s="918" t="s">
        <v>4483</v>
      </c>
      <c r="J5" s="918" t="s">
        <v>2448</v>
      </c>
      <c r="K5" s="919" t="s">
        <v>53</v>
      </c>
      <c r="L5" s="919" t="s">
        <v>54</v>
      </c>
      <c r="M5" s="920" t="s">
        <v>55</v>
      </c>
      <c r="N5" s="919" t="s">
        <v>56</v>
      </c>
      <c r="O5" s="920" t="s">
        <v>57</v>
      </c>
      <c r="P5" s="919" t="s">
        <v>58</v>
      </c>
      <c r="Q5" s="921" t="s">
        <v>2450</v>
      </c>
      <c r="R5" s="922" t="s">
        <v>4515</v>
      </c>
    </row>
    <row r="6" spans="1:18">
      <c r="A6" s="1860">
        <f>'1.SD Facility Based Annex'!A7</f>
        <v>1</v>
      </c>
      <c r="B6" s="1860"/>
      <c r="C6" s="1858" t="str">
        <f>'1.SD Facility Based Annex'!C7</f>
        <v>Service Delivery - Facility Based</v>
      </c>
      <c r="D6" s="1860"/>
      <c r="E6" s="1860"/>
      <c r="F6" s="1860"/>
      <c r="G6" s="1860"/>
      <c r="H6" s="994"/>
      <c r="I6" s="1860"/>
      <c r="J6" s="994"/>
      <c r="K6" s="1860"/>
      <c r="L6" s="1860"/>
      <c r="M6" s="994"/>
      <c r="N6" s="1866"/>
      <c r="O6" s="1867">
        <f>SUM(O7:O9)</f>
        <v>5</v>
      </c>
      <c r="P6" s="1868"/>
      <c r="Q6" s="1868"/>
      <c r="R6" s="1867">
        <f>SUM(R7:R9)</f>
        <v>5</v>
      </c>
    </row>
    <row r="7" spans="1:18" ht="135">
      <c r="A7" s="1975" t="str">
        <f>+'1.SD Facility Based Annex'!A36</f>
        <v>1.1.5.4</v>
      </c>
      <c r="B7" s="1975" t="str">
        <f>+'1.SD Facility Based Annex'!B36</f>
        <v>G.1.1 &amp; G. 1.2</v>
      </c>
      <c r="C7" s="88" t="str">
        <f>+'1.SD Facility Based Annex'!C36</f>
        <v>Case detection &amp; Management</v>
      </c>
      <c r="D7" s="1975" t="str">
        <f>+'1.SD Facility Based Annex'!D36</f>
        <v>NDCP</v>
      </c>
      <c r="E7" s="1975" t="str">
        <f>+'1.SD Facility Based Annex'!E36</f>
        <v>NLEP</v>
      </c>
      <c r="F7" s="1975">
        <f>+'1.SD Facility Based Annex'!F36</f>
        <v>50</v>
      </c>
      <c r="G7" s="1975">
        <f>+'1.SD Facility Based Annex'!G36</f>
        <v>38</v>
      </c>
      <c r="H7" s="1975">
        <f>+'1.SD Facility Based Annex'!H36</f>
        <v>5</v>
      </c>
      <c r="I7" s="1975">
        <f>+'1.SD Facility Based Annex'!I36</f>
        <v>11.36</v>
      </c>
      <c r="J7" s="1975">
        <f>+'1.SD Facility Based Annex'!J36</f>
        <v>0</v>
      </c>
      <c r="K7" s="1975">
        <f>+'1.SD Facility Based Annex'!K36</f>
        <v>0</v>
      </c>
      <c r="L7" s="1975">
        <f>+'1.SD Facility Based Annex'!L36</f>
        <v>500000</v>
      </c>
      <c r="M7" s="162">
        <f>+'1.SD Facility Based Annex'!M36</f>
        <v>5</v>
      </c>
      <c r="N7" s="1975">
        <f>+'1.SD Facility Based Annex'!N36</f>
        <v>1</v>
      </c>
      <c r="O7" s="162">
        <f>+'1.SD Facility Based Annex'!O36</f>
        <v>5</v>
      </c>
      <c r="P7" s="88" t="str">
        <f>+'1.SD Facility Based Annex'!P36</f>
        <v>This year we have screened whole of the populatiopn through Him Suraksha Abhiyan. However, for the next year we will focus on ACF activity in the high risk population by covering in tribal areas, remote areas, slums and lum sum amount of Rs.5 Lakh is being proposed for this activity.</v>
      </c>
      <c r="Q7" s="54" t="s">
        <v>5696</v>
      </c>
      <c r="R7" s="142">
        <v>5</v>
      </c>
    </row>
    <row r="8" spans="1:18">
      <c r="A8" s="1975" t="str">
        <f>+'1.SD Facility Based Annex'!A37</f>
        <v>1.1.5.6</v>
      </c>
      <c r="B8" s="1975" t="str">
        <f>+'1.SD Facility Based Annex'!B37</f>
        <v>G.2.4</v>
      </c>
      <c r="C8" s="88" t="str">
        <f>+'1.SD Facility Based Annex'!C37</f>
        <v>Support to govt. institutions for RCS</v>
      </c>
      <c r="D8" s="1975" t="str">
        <f>+'1.SD Facility Based Annex'!D37</f>
        <v>NDCP</v>
      </c>
      <c r="E8" s="1975" t="str">
        <f>+'1.SD Facility Based Annex'!E37</f>
        <v>NLEP</v>
      </c>
      <c r="F8" s="1975">
        <f>+'1.SD Facility Based Annex'!F37</f>
        <v>0</v>
      </c>
      <c r="G8" s="1975">
        <f>+'1.SD Facility Based Annex'!G37</f>
        <v>0</v>
      </c>
      <c r="H8" s="1975">
        <f>+'1.SD Facility Based Annex'!H37</f>
        <v>0</v>
      </c>
      <c r="I8" s="1975">
        <f>+'1.SD Facility Based Annex'!I37</f>
        <v>0</v>
      </c>
      <c r="J8" s="1975">
        <f>+'1.SD Facility Based Annex'!J37</f>
        <v>0</v>
      </c>
      <c r="K8" s="1975">
        <f>+'1.SD Facility Based Annex'!K37</f>
        <v>0</v>
      </c>
      <c r="L8" s="1975">
        <f>+'1.SD Facility Based Annex'!L37</f>
        <v>0</v>
      </c>
      <c r="M8" s="162">
        <f>+'1.SD Facility Based Annex'!M37</f>
        <v>0</v>
      </c>
      <c r="N8" s="1975">
        <f>+'1.SD Facility Based Annex'!N37</f>
        <v>0</v>
      </c>
      <c r="O8" s="162">
        <f>+'1.SD Facility Based Annex'!O37</f>
        <v>0</v>
      </c>
      <c r="P8" s="88">
        <f>+'1.SD Facility Based Annex'!P37</f>
        <v>0</v>
      </c>
      <c r="Q8" s="54"/>
      <c r="R8" s="142"/>
    </row>
    <row r="9" spans="1:18">
      <c r="A9" s="1975" t="str">
        <f>+'1.SD Facility Based Annex'!A78</f>
        <v>1.2.3.1</v>
      </c>
      <c r="B9" s="1975" t="str">
        <f>+'1.SD Facility Based Annex'!B78</f>
        <v>G.2.3</v>
      </c>
      <c r="C9" s="88" t="str">
        <f>+'1.SD Facility Based Annex'!C78</f>
        <v>Welfare  allowance to patients for RCS</v>
      </c>
      <c r="D9" s="1975" t="str">
        <f>+'1.SD Facility Based Annex'!D78</f>
        <v>NDCP</v>
      </c>
      <c r="E9" s="1975" t="str">
        <f>+'1.SD Facility Based Annex'!E78</f>
        <v>NLEP</v>
      </c>
      <c r="F9" s="1975">
        <f>+'1.SD Facility Based Annex'!F78</f>
        <v>0</v>
      </c>
      <c r="G9" s="1975">
        <f>+'1.SD Facility Based Annex'!G78</f>
        <v>0</v>
      </c>
      <c r="H9" s="1975">
        <f>+'1.SD Facility Based Annex'!H78</f>
        <v>0</v>
      </c>
      <c r="I9" s="1975">
        <f>+'1.SD Facility Based Annex'!I78</f>
        <v>0</v>
      </c>
      <c r="J9" s="1975">
        <f>+'1.SD Facility Based Annex'!J78</f>
        <v>0</v>
      </c>
      <c r="K9" s="1975">
        <f>+'1.SD Facility Based Annex'!K78</f>
        <v>0</v>
      </c>
      <c r="L9" s="1975">
        <f>+'1.SD Facility Based Annex'!L78</f>
        <v>0</v>
      </c>
      <c r="M9" s="162">
        <f>+'1.SD Facility Based Annex'!M78</f>
        <v>0</v>
      </c>
      <c r="N9" s="1975">
        <f>+'1.SD Facility Based Annex'!N78</f>
        <v>0</v>
      </c>
      <c r="O9" s="162">
        <f>+'1.SD Facility Based Annex'!O78</f>
        <v>0</v>
      </c>
      <c r="P9" s="88">
        <f>+'1.SD Facility Based Annex'!P78</f>
        <v>0</v>
      </c>
      <c r="Q9" s="54"/>
      <c r="R9" s="142"/>
    </row>
    <row r="10" spans="1:18">
      <c r="A10" s="1812">
        <f>'2.SD Community Based Annex'!A7</f>
        <v>2</v>
      </c>
      <c r="B10" s="1812"/>
      <c r="C10" s="331" t="str">
        <f>'2.SD Community Based Annex'!C7</f>
        <v>Service Delivery - Community Based</v>
      </c>
      <c r="D10" s="1812"/>
      <c r="E10" s="1812"/>
      <c r="F10" s="1812"/>
      <c r="G10" s="1812"/>
      <c r="H10" s="994"/>
      <c r="I10" s="1812"/>
      <c r="J10" s="994"/>
      <c r="K10" s="1812"/>
      <c r="L10" s="1812"/>
      <c r="M10" s="994"/>
      <c r="N10" s="1866"/>
      <c r="O10" s="1867">
        <f>O11</f>
        <v>0</v>
      </c>
      <c r="P10" s="1868"/>
      <c r="Q10" s="1889"/>
      <c r="R10" s="1890">
        <f>R11</f>
        <v>0</v>
      </c>
    </row>
    <row r="11" spans="1:18">
      <c r="A11" s="1975" t="str">
        <f>'2.SD Community Based Annex'!A48</f>
        <v>2.3.2.2</v>
      </c>
      <c r="B11" s="1975" t="str">
        <f>'2.SD Community Based Annex'!B48</f>
        <v>G.2.5</v>
      </c>
      <c r="C11" s="88" t="str">
        <f>'2.SD Community Based Annex'!C48</f>
        <v>DPMR: At camps</v>
      </c>
      <c r="D11" s="1975" t="str">
        <f>'2.SD Community Based Annex'!D48</f>
        <v>NDCP</v>
      </c>
      <c r="E11" s="1975" t="str">
        <f>'2.SD Community Based Annex'!E48</f>
        <v>NLEP</v>
      </c>
      <c r="F11" s="1975">
        <f>'2.SD Community Based Annex'!F48</f>
        <v>0</v>
      </c>
      <c r="G11" s="1975">
        <f>'2.SD Community Based Annex'!G48</f>
        <v>0</v>
      </c>
      <c r="H11" s="1975">
        <f>'2.SD Community Based Annex'!H48</f>
        <v>0</v>
      </c>
      <c r="I11" s="1975">
        <f>'2.SD Community Based Annex'!I48</f>
        <v>0</v>
      </c>
      <c r="J11" s="1975">
        <f>'2.SD Community Based Annex'!J48</f>
        <v>0</v>
      </c>
      <c r="K11" s="1975">
        <f>'2.SD Community Based Annex'!K48</f>
        <v>0</v>
      </c>
      <c r="L11" s="1975">
        <f>'2.SD Community Based Annex'!L48</f>
        <v>0</v>
      </c>
      <c r="M11" s="162">
        <f>'2.SD Community Based Annex'!M48</f>
        <v>0</v>
      </c>
      <c r="N11" s="1975">
        <f>'2.SD Community Based Annex'!N48</f>
        <v>0</v>
      </c>
      <c r="O11" s="162">
        <f>'2.SD Community Based Annex'!O48</f>
        <v>0</v>
      </c>
      <c r="P11" s="88">
        <f>'2.SD Community Based Annex'!P48</f>
        <v>0</v>
      </c>
      <c r="Q11" s="54"/>
      <c r="R11" s="142"/>
    </row>
    <row r="12" spans="1:18">
      <c r="A12" s="1812">
        <f>'3.Community Intervention Annexn'!A7</f>
        <v>3</v>
      </c>
      <c r="B12" s="1812"/>
      <c r="C12" s="331" t="str">
        <f>'3.Community Intervention Annexn'!C7</f>
        <v>Community Interventions</v>
      </c>
      <c r="D12" s="1812"/>
      <c r="E12" s="1812"/>
      <c r="F12" s="1812"/>
      <c r="G12" s="1812"/>
      <c r="H12" s="994"/>
      <c r="I12" s="1812"/>
      <c r="J12" s="994"/>
      <c r="K12" s="1812"/>
      <c r="L12" s="1812"/>
      <c r="M12" s="994"/>
      <c r="N12" s="1866"/>
      <c r="O12" s="1867">
        <f>SUM(O13:O15)</f>
        <v>0.68500000000000005</v>
      </c>
      <c r="P12" s="1868"/>
      <c r="Q12" s="1889"/>
      <c r="R12" s="1890">
        <f>SUM(R13:R15)</f>
        <v>0.39</v>
      </c>
    </row>
    <row r="13" spans="1:18" ht="75">
      <c r="A13" s="4104" t="str">
        <f>'3.Community Intervention Annexn'!A20</f>
        <v>3.1.1.3.2</v>
      </c>
      <c r="B13" s="1975" t="str">
        <f>'3-A. CI Sub-Annex'!B48</f>
        <v>G.1.3.b.i</v>
      </c>
      <c r="C13" s="88" t="str">
        <f>'3-A. CI Sub-Annex'!C48</f>
        <v>Incentive for ASHA/AWW/Volunteer/etc for detection of Leprosy (Rs 250 for detection of an early case before onset of any visible deformity, Rs 200 for detection of new case with visible deformity in hands, feet or eye)</v>
      </c>
      <c r="D13" s="1975" t="str">
        <f>'3-A. CI Sub-Annex'!D48</f>
        <v>NDCP</v>
      </c>
      <c r="E13" s="1975" t="str">
        <f>'3-A. CI Sub-Annex'!E48</f>
        <v>NLEP/NHSRC-CP</v>
      </c>
      <c r="F13" s="1975">
        <f>'3-A. CI Sub-Annex'!F48</f>
        <v>50</v>
      </c>
      <c r="G13" s="1975">
        <f>'3-A. CI Sub-Annex'!G48</f>
        <v>13</v>
      </c>
      <c r="H13" s="1975">
        <f>'3-A. CI Sub-Annex'!H48</f>
        <v>0.13</v>
      </c>
      <c r="I13" s="1975">
        <f>'3-A. CI Sub-Annex'!I48</f>
        <v>0</v>
      </c>
      <c r="J13" s="1975">
        <f>'3-A. CI Sub-Annex'!J48</f>
        <v>0.13</v>
      </c>
      <c r="K13" s="1975">
        <f>'3-A. CI Sub-Annex'!K48</f>
        <v>0</v>
      </c>
      <c r="L13" s="1975">
        <f>'3-A. CI Sub-Annex'!L48</f>
        <v>250</v>
      </c>
      <c r="M13" s="162">
        <f>'3-A. CI Sub-Annex'!M48</f>
        <v>2.5000000000000001E-3</v>
      </c>
      <c r="N13" s="1975">
        <f>'3-A. CI Sub-Annex'!N48</f>
        <v>50</v>
      </c>
      <c r="O13" s="162">
        <f>'3-A. CI Sub-Annex'!O48</f>
        <v>0.125</v>
      </c>
      <c r="P13" s="88" t="str">
        <f>'3-A. CI Sub-Annex'!P48</f>
        <v>Funds for ASHA workers as incentive for detection of leprosy cases proposed</v>
      </c>
      <c r="Q13" s="54" t="s">
        <v>5697</v>
      </c>
      <c r="R13" s="142">
        <v>0.13</v>
      </c>
    </row>
    <row r="14" spans="1:18" ht="30">
      <c r="A14" s="4105"/>
      <c r="B14" s="1975" t="str">
        <f>'3-A. CI Sub-Annex'!B49</f>
        <v>G.1.3.b.ii</v>
      </c>
      <c r="C14" s="88" t="str">
        <f>'3-A. CI Sub-Annex'!C49</f>
        <v>ASHA Incentive for Treatment completion of PB cases (@ Rs 400)</v>
      </c>
      <c r="D14" s="1975" t="str">
        <f>'3-A. CI Sub-Annex'!D49</f>
        <v>NDCP</v>
      </c>
      <c r="E14" s="1975" t="str">
        <f>'3-A. CI Sub-Annex'!E49</f>
        <v>NLEP/NHSRC-CP</v>
      </c>
      <c r="F14" s="1975">
        <f>'3-A. CI Sub-Annex'!F49</f>
        <v>35</v>
      </c>
      <c r="G14" s="1975">
        <f>'3-A. CI Sub-Annex'!G49</f>
        <v>3</v>
      </c>
      <c r="H14" s="1975">
        <f>'3-A. CI Sub-Annex'!H49</f>
        <v>0.14000000000000001</v>
      </c>
      <c r="I14" s="1975">
        <f>'3-A. CI Sub-Annex'!I49</f>
        <v>0</v>
      </c>
      <c r="J14" s="1975">
        <f>'3-A. CI Sub-Annex'!J49</f>
        <v>0.14000000000000001</v>
      </c>
      <c r="K14" s="1975">
        <f>'3-A. CI Sub-Annex'!K49</f>
        <v>0</v>
      </c>
      <c r="L14" s="1975">
        <f>'3-A. CI Sub-Annex'!L49</f>
        <v>400</v>
      </c>
      <c r="M14" s="162">
        <f>'3-A. CI Sub-Annex'!M49</f>
        <v>4.0000000000000001E-3</v>
      </c>
      <c r="N14" s="1975">
        <f>'3-A. CI Sub-Annex'!N49</f>
        <v>20</v>
      </c>
      <c r="O14" s="162">
        <f>'3-A. CI Sub-Annex'!O49</f>
        <v>0.08</v>
      </c>
      <c r="P14" s="88" t="str">
        <f>'3-A. CI Sub-Annex'!P49</f>
        <v>Funds for ASHA workers as incentive for PB Cases (Treatment completion) proposed</v>
      </c>
      <c r="Q14" s="54" t="s">
        <v>5686</v>
      </c>
      <c r="R14" s="142">
        <v>0.08</v>
      </c>
    </row>
    <row r="15" spans="1:18" ht="30">
      <c r="A15" s="4106"/>
      <c r="B15" s="1975" t="str">
        <f>'3-A. CI Sub-Annex'!B50</f>
        <v>G.1.3.b.iii</v>
      </c>
      <c r="C15" s="88" t="str">
        <f>'3-A. CI Sub-Annex'!C50</f>
        <v>ASHA Incentive for Treatment completion of MB cases (@ Rs 600)</v>
      </c>
      <c r="D15" s="1975" t="str">
        <f>'3-A. CI Sub-Annex'!D50</f>
        <v>NDCP</v>
      </c>
      <c r="E15" s="1975" t="str">
        <f>'3-A. CI Sub-Annex'!E50</f>
        <v>NLEP/NHSRC-CP</v>
      </c>
      <c r="F15" s="1975">
        <f>'3-A. CI Sub-Annex'!F50</f>
        <v>15</v>
      </c>
      <c r="G15" s="1975">
        <f>'3-A. CI Sub-Annex'!G50</f>
        <v>16</v>
      </c>
      <c r="H15" s="1975">
        <f>'3-A. CI Sub-Annex'!H50</f>
        <v>0.08</v>
      </c>
      <c r="I15" s="1975">
        <f>'3-A. CI Sub-Annex'!I50</f>
        <v>0</v>
      </c>
      <c r="J15" s="1975">
        <f>'3-A. CI Sub-Annex'!J50</f>
        <v>0.08</v>
      </c>
      <c r="K15" s="1975">
        <f>'3-A. CI Sub-Annex'!K50</f>
        <v>0</v>
      </c>
      <c r="L15" s="1975">
        <f>'3-A. CI Sub-Annex'!L50</f>
        <v>600</v>
      </c>
      <c r="M15" s="162">
        <f>'3-A. CI Sub-Annex'!M50</f>
        <v>6.0000000000000001E-3</v>
      </c>
      <c r="N15" s="1975">
        <f>'3-A. CI Sub-Annex'!N50</f>
        <v>80</v>
      </c>
      <c r="O15" s="162">
        <f>'3-A. CI Sub-Annex'!O50</f>
        <v>0.48</v>
      </c>
      <c r="P15" s="88" t="str">
        <f>'3-A. CI Sub-Annex'!P50</f>
        <v>Funds for ASHA workers as incentive for MB Cases (Treatment completion) proposed</v>
      </c>
      <c r="Q15" s="54" t="s">
        <v>5857</v>
      </c>
      <c r="R15" s="142">
        <v>0.18</v>
      </c>
    </row>
    <row r="16" spans="1:18">
      <c r="A16" s="1880">
        <f>'6.Procurement Annex'!A7</f>
        <v>6</v>
      </c>
      <c r="B16" s="1880"/>
      <c r="C16" s="1878" t="str">
        <f>'6.Procurement Annex'!C7</f>
        <v>Procurement</v>
      </c>
      <c r="D16" s="1880"/>
      <c r="E16" s="1880"/>
      <c r="F16" s="1880"/>
      <c r="G16" s="1880"/>
      <c r="H16" s="994"/>
      <c r="I16" s="1880"/>
      <c r="J16" s="994"/>
      <c r="K16" s="1880"/>
      <c r="L16" s="1880"/>
      <c r="M16" s="994"/>
      <c r="N16" s="1866"/>
      <c r="O16" s="1867">
        <f>SUM(O17:O22)</f>
        <v>2.4</v>
      </c>
      <c r="P16" s="1868"/>
      <c r="Q16" s="1889"/>
      <c r="R16" s="1890">
        <f>SUM(R17:R22)</f>
        <v>2.4</v>
      </c>
    </row>
    <row r="17" spans="1:18">
      <c r="A17" s="4104" t="str">
        <f>'6.Procurement Annex'!A32</f>
        <v>6.1.4.3</v>
      </c>
      <c r="B17" s="1975" t="str">
        <f>+'6-A. Proc. Sub-Annex'!B84</f>
        <v>G.1.4</v>
      </c>
      <c r="C17" s="88" t="str">
        <f>+'6-A. Proc. Sub-Annex'!C84</f>
        <v>Equipment</v>
      </c>
      <c r="D17" s="1975" t="str">
        <f>+'6-A. Proc. Sub-Annex'!D84</f>
        <v>NDCP</v>
      </c>
      <c r="E17" s="1975" t="str">
        <f>+'6-A. Proc. Sub-Annex'!E84</f>
        <v>NLEP</v>
      </c>
      <c r="F17" s="1975">
        <f>+'6-A. Proc. Sub-Annex'!F84</f>
        <v>13</v>
      </c>
      <c r="G17" s="1975">
        <f>+'6-A. Proc. Sub-Annex'!G84</f>
        <v>0</v>
      </c>
      <c r="H17" s="1975">
        <f>+'6-A. Proc. Sub-Annex'!H84</f>
        <v>0</v>
      </c>
      <c r="I17" s="1975">
        <f>+'6-A. Proc. Sub-Annex'!I84</f>
        <v>0</v>
      </c>
      <c r="J17" s="1975">
        <f>+'6-A. Proc. Sub-Annex'!J84</f>
        <v>0</v>
      </c>
      <c r="K17" s="1975">
        <f>+'6-A. Proc. Sub-Annex'!K84</f>
        <v>0</v>
      </c>
      <c r="L17" s="1975">
        <f>+'6-A. Proc. Sub-Annex'!L84</f>
        <v>0</v>
      </c>
      <c r="M17" s="162">
        <f>+'6-A. Proc. Sub-Annex'!M84</f>
        <v>0</v>
      </c>
      <c r="N17" s="1975">
        <f>+'6-A. Proc. Sub-Annex'!N84</f>
        <v>0</v>
      </c>
      <c r="O17" s="162">
        <f>+'6-A. Proc. Sub-Annex'!O84</f>
        <v>0</v>
      </c>
      <c r="P17" s="88">
        <f>+'6-A. Proc. Sub-Annex'!P84</f>
        <v>0</v>
      </c>
      <c r="Q17" s="54"/>
      <c r="R17" s="142"/>
    </row>
    <row r="18" spans="1:18" ht="45">
      <c r="A18" s="4105"/>
      <c r="B18" s="1975" t="str">
        <f>+'6-A. Proc. Sub-Annex'!B85</f>
        <v>G.2.1</v>
      </c>
      <c r="C18" s="88" t="str">
        <f>+'6-A. Proc. Sub-Annex'!C85</f>
        <v>MCR</v>
      </c>
      <c r="D18" s="1975" t="str">
        <f>+'6-A. Proc. Sub-Annex'!D85</f>
        <v>NDCP</v>
      </c>
      <c r="E18" s="1975" t="str">
        <f>+'6-A. Proc. Sub-Annex'!E85</f>
        <v>NLEP</v>
      </c>
      <c r="F18" s="1975">
        <f>+'6-A. Proc. Sub-Annex'!F85</f>
        <v>300</v>
      </c>
      <c r="G18" s="1975">
        <f>+'6-A. Proc. Sub-Annex'!G85</f>
        <v>0</v>
      </c>
      <c r="H18" s="1975">
        <f>+'6-A. Proc. Sub-Annex'!H85</f>
        <v>1.2</v>
      </c>
      <c r="I18" s="1975">
        <f>+'6-A. Proc. Sub-Annex'!I85</f>
        <v>0</v>
      </c>
      <c r="J18" s="1975">
        <f>+'6-A. Proc. Sub-Annex'!J85</f>
        <v>0.9</v>
      </c>
      <c r="K18" s="1975">
        <f>+'6-A. Proc. Sub-Annex'!K85</f>
        <v>0</v>
      </c>
      <c r="L18" s="1975">
        <f>+'6-A. Proc. Sub-Annex'!L85</f>
        <v>300</v>
      </c>
      <c r="M18" s="162">
        <f>+'6-A. Proc. Sub-Annex'!M85</f>
        <v>3.0000000000000001E-3</v>
      </c>
      <c r="N18" s="1975">
        <f>+'6-A. Proc. Sub-Annex'!N85</f>
        <v>300</v>
      </c>
      <c r="O18" s="162">
        <f>+'6-A. Proc. Sub-Annex'!O85</f>
        <v>0.9</v>
      </c>
      <c r="P18" s="88" t="str">
        <f>+'6-A. Proc. Sub-Annex'!P85</f>
        <v>MCR culler Rabber MCR for all patients twice a year as per approved rates of GOI.</v>
      </c>
      <c r="Q18" s="54" t="s">
        <v>5698</v>
      </c>
      <c r="R18" s="142">
        <v>0.9</v>
      </c>
    </row>
    <row r="19" spans="1:18" ht="30">
      <c r="A19" s="4105"/>
      <c r="B19" s="1975" t="str">
        <f>+'6-A. Proc. Sub-Annex'!B86</f>
        <v>G.2.2</v>
      </c>
      <c r="C19" s="88" t="str">
        <f>+'6-A. Proc. Sub-Annex'!C86</f>
        <v>Aids/Appliance</v>
      </c>
      <c r="D19" s="1975" t="str">
        <f>+'6-A. Proc. Sub-Annex'!D86</f>
        <v>NDCP</v>
      </c>
      <c r="E19" s="1975" t="str">
        <f>+'6-A. Proc. Sub-Annex'!E86</f>
        <v>NLEP</v>
      </c>
      <c r="F19" s="1975">
        <f>+'6-A. Proc. Sub-Annex'!F86</f>
        <v>10</v>
      </c>
      <c r="G19" s="1975">
        <f>+'6-A. Proc. Sub-Annex'!G86</f>
        <v>0</v>
      </c>
      <c r="H19" s="1975">
        <f>+'6-A. Proc. Sub-Annex'!H86</f>
        <v>3</v>
      </c>
      <c r="I19" s="1975">
        <f>+'6-A. Proc. Sub-Annex'!I86</f>
        <v>0</v>
      </c>
      <c r="J19" s="1975">
        <f>+'6-A. Proc. Sub-Annex'!J86</f>
        <v>1</v>
      </c>
      <c r="K19" s="1975">
        <f>+'6-A. Proc. Sub-Annex'!K86</f>
        <v>0</v>
      </c>
      <c r="L19" s="1975">
        <f>+'6-A. Proc. Sub-Annex'!L86</f>
        <v>12500</v>
      </c>
      <c r="M19" s="162">
        <f>+'6-A. Proc. Sub-Annex'!M86</f>
        <v>0.125</v>
      </c>
      <c r="N19" s="1975">
        <f>+'6-A. Proc. Sub-Annex'!N86</f>
        <v>12</v>
      </c>
      <c r="O19" s="162">
        <f>+'6-A. Proc. Sub-Annex'!O86</f>
        <v>1.5</v>
      </c>
      <c r="P19" s="88" t="str">
        <f>+'6-A. Proc. Sub-Annex'!P86</f>
        <v>Appliances like crutches, wheel chair, splints to NLEP Patients.</v>
      </c>
      <c r="Q19" s="54" t="s">
        <v>5699</v>
      </c>
      <c r="R19" s="142">
        <v>1.5</v>
      </c>
    </row>
    <row r="20" spans="1:18">
      <c r="A20" s="4106"/>
      <c r="B20" s="1975">
        <f>+'6-A. Proc. Sub-Annex'!B87</f>
        <v>0</v>
      </c>
      <c r="C20" s="88" t="str">
        <f>+'6-A. Proc. Sub-Annex'!C87</f>
        <v>Any other equipment (please specify)</v>
      </c>
      <c r="D20" s="1975" t="str">
        <f>+'6-A. Proc. Sub-Annex'!D87</f>
        <v>NDCP</v>
      </c>
      <c r="E20" s="1975" t="str">
        <f>+'6-A. Proc. Sub-Annex'!E87</f>
        <v>NLEP</v>
      </c>
      <c r="F20" s="1975">
        <f>+'6-A. Proc. Sub-Annex'!F87</f>
        <v>0</v>
      </c>
      <c r="G20" s="1975">
        <f>+'6-A. Proc. Sub-Annex'!G87</f>
        <v>0</v>
      </c>
      <c r="H20" s="1975">
        <f>+'6-A. Proc. Sub-Annex'!H87</f>
        <v>0</v>
      </c>
      <c r="I20" s="1975">
        <f>+'6-A. Proc. Sub-Annex'!I87</f>
        <v>0</v>
      </c>
      <c r="J20" s="1975">
        <f>+'6-A. Proc. Sub-Annex'!J87</f>
        <v>0</v>
      </c>
      <c r="K20" s="1975">
        <f>+'6-A. Proc. Sub-Annex'!K87</f>
        <v>0</v>
      </c>
      <c r="L20" s="1975">
        <f>+'6-A. Proc. Sub-Annex'!L87</f>
        <v>0</v>
      </c>
      <c r="M20" s="162">
        <f>+'6-A. Proc. Sub-Annex'!M87</f>
        <v>0</v>
      </c>
      <c r="N20" s="1975">
        <f>+'6-A. Proc. Sub-Annex'!N87</f>
        <v>0</v>
      </c>
      <c r="O20" s="162">
        <f>+'6-A. Proc. Sub-Annex'!O87</f>
        <v>0</v>
      </c>
      <c r="P20" s="88">
        <f>+'6-A. Proc. Sub-Annex'!P87</f>
        <v>0</v>
      </c>
      <c r="Q20" s="54"/>
      <c r="R20" s="142"/>
    </row>
    <row r="21" spans="1:18">
      <c r="A21" s="4104" t="str">
        <f>'6.Procurement Annex'!A73</f>
        <v>6.2.3.2</v>
      </c>
      <c r="B21" s="1975" t="str">
        <f>+'6-A. Proc. Sub-Annex'!B233</f>
        <v>G.1.4</v>
      </c>
      <c r="C21" s="88" t="str">
        <f>+'6-A. Proc. Sub-Annex'!C233</f>
        <v>Supportive drugs, lab. Reagents</v>
      </c>
      <c r="D21" s="1975" t="str">
        <f>+'6-A. Proc. Sub-Annex'!D233</f>
        <v>NDCP</v>
      </c>
      <c r="E21" s="1975" t="str">
        <f>+'6-A. Proc. Sub-Annex'!E233</f>
        <v>NLEP</v>
      </c>
      <c r="F21" s="1975">
        <f>+'6-A. Proc. Sub-Annex'!F233</f>
        <v>12</v>
      </c>
      <c r="G21" s="1975">
        <f>+'6-A. Proc. Sub-Annex'!G233</f>
        <v>0</v>
      </c>
      <c r="H21" s="1975">
        <f>+'6-A. Proc. Sub-Annex'!H233</f>
        <v>1.8</v>
      </c>
      <c r="I21" s="1975">
        <f>+'6-A. Proc. Sub-Annex'!I233</f>
        <v>0</v>
      </c>
      <c r="J21" s="1975">
        <f>+'6-A. Proc. Sub-Annex'!J233</f>
        <v>1.8</v>
      </c>
      <c r="K21" s="1975">
        <f>+'6-A. Proc. Sub-Annex'!K233</f>
        <v>0</v>
      </c>
      <c r="L21" s="1975">
        <f>+'6-A. Proc. Sub-Annex'!L233</f>
        <v>0</v>
      </c>
      <c r="M21" s="162">
        <f>+'6-A. Proc. Sub-Annex'!M233</f>
        <v>0</v>
      </c>
      <c r="N21" s="1975">
        <f>+'6-A. Proc. Sub-Annex'!N233</f>
        <v>0</v>
      </c>
      <c r="O21" s="162">
        <f>+'6-A. Proc. Sub-Annex'!O233</f>
        <v>0</v>
      </c>
      <c r="P21" s="88" t="str">
        <f>+'6-A. Proc. Sub-Annex'!P233</f>
        <v>Recommended for anti-leprosy drugs.</v>
      </c>
      <c r="Q21" s="54"/>
      <c r="R21" s="142"/>
    </row>
    <row r="22" spans="1:18">
      <c r="A22" s="4106"/>
      <c r="B22" s="1975"/>
      <c r="C22" s="88" t="str">
        <f>+'6-A. Proc. Sub-Annex'!C234</f>
        <v>Any other drugs &amp; supplies (please specify)</v>
      </c>
      <c r="D22" s="1975" t="str">
        <f>+'6-A. Proc. Sub-Annex'!D234</f>
        <v>NDCP</v>
      </c>
      <c r="E22" s="1975" t="str">
        <f>+'6-A. Proc. Sub-Annex'!E234</f>
        <v>NLEP</v>
      </c>
      <c r="F22" s="1975">
        <f>+'6-A. Proc. Sub-Annex'!F234</f>
        <v>0</v>
      </c>
      <c r="G22" s="1975">
        <f>+'6-A. Proc. Sub-Annex'!G234</f>
        <v>0</v>
      </c>
      <c r="H22" s="1975">
        <f>+'6-A. Proc. Sub-Annex'!H234</f>
        <v>0</v>
      </c>
      <c r="I22" s="1975">
        <f>+'6-A. Proc. Sub-Annex'!I234</f>
        <v>0</v>
      </c>
      <c r="J22" s="1975">
        <f>+'6-A. Proc. Sub-Annex'!J234</f>
        <v>0</v>
      </c>
      <c r="K22" s="1975">
        <f>+'6-A. Proc. Sub-Annex'!K234</f>
        <v>0</v>
      </c>
      <c r="L22" s="1975">
        <f>+'6-A. Proc. Sub-Annex'!L234</f>
        <v>0</v>
      </c>
      <c r="M22" s="162">
        <f>+'6-A. Proc. Sub-Annex'!M234</f>
        <v>0</v>
      </c>
      <c r="N22" s="1975">
        <f>+'6-A. Proc. Sub-Annex'!N234</f>
        <v>0</v>
      </c>
      <c r="O22" s="162">
        <f>+'6-A. Proc. Sub-Annex'!O234</f>
        <v>0</v>
      </c>
      <c r="P22" s="88">
        <f>+'6-A. Proc. Sub-Annex'!P234</f>
        <v>0</v>
      </c>
      <c r="Q22" s="54"/>
      <c r="R22" s="142"/>
    </row>
    <row r="23" spans="1:18">
      <c r="A23" s="1812">
        <f>'9.Training Annex'!A7</f>
        <v>9</v>
      </c>
      <c r="B23" s="1812"/>
      <c r="C23" s="331" t="str">
        <f>'9.Training Annex'!C7</f>
        <v>Training and Capacity Building</v>
      </c>
      <c r="D23" s="1812"/>
      <c r="E23" s="1812"/>
      <c r="F23" s="1812"/>
      <c r="G23" s="1812"/>
      <c r="H23" s="994"/>
      <c r="I23" s="1812"/>
      <c r="J23" s="994"/>
      <c r="K23" s="1812"/>
      <c r="L23" s="1812"/>
      <c r="M23" s="994"/>
      <c r="N23" s="1866"/>
      <c r="O23" s="1867">
        <f>SUM(O24:O25)</f>
        <v>7.83</v>
      </c>
      <c r="P23" s="1868"/>
      <c r="Q23" s="1889"/>
      <c r="R23" s="1890">
        <f>SUM(R24:R25)</f>
        <v>7.83</v>
      </c>
    </row>
    <row r="24" spans="1:18" ht="30">
      <c r="A24" s="1975" t="str">
        <f>'9.Training Annex'!A49</f>
        <v>9.2.3.3</v>
      </c>
      <c r="B24" s="1975" t="str">
        <f>'9-A.Training Sub-Annex'!B229</f>
        <v>G.3.1</v>
      </c>
      <c r="C24" s="88" t="str">
        <f>+'9-A.Training Sub-Annex'!C229</f>
        <v>Capacity building under NLEP</v>
      </c>
      <c r="D24" s="1975" t="str">
        <f>+'9-A.Training Sub-Annex'!D229</f>
        <v>NDCP</v>
      </c>
      <c r="E24" s="1975" t="str">
        <f>+'9-A.Training Sub-Annex'!E229</f>
        <v>NLEP</v>
      </c>
      <c r="F24" s="1975">
        <f>+'9-A.Training Sub-Annex'!F229</f>
        <v>30</v>
      </c>
      <c r="G24" s="1975">
        <f>+'9-A.Training Sub-Annex'!G229</f>
        <v>11</v>
      </c>
      <c r="H24" s="1975">
        <f>+'9-A.Training Sub-Annex'!H229</f>
        <v>16.8</v>
      </c>
      <c r="I24" s="1975">
        <f>+'9-A.Training Sub-Annex'!I229</f>
        <v>0</v>
      </c>
      <c r="J24" s="1975">
        <f>+'9-A.Training Sub-Annex'!J229</f>
        <v>5</v>
      </c>
      <c r="K24" s="1975">
        <f>+'9-A.Training Sub-Annex'!K229</f>
        <v>0</v>
      </c>
      <c r="L24" s="1975">
        <f>+'9-A.Training Sub-Annex'!L229</f>
        <v>43500</v>
      </c>
      <c r="M24" s="162">
        <f>+'9-A.Training Sub-Annex'!M229</f>
        <v>0.435</v>
      </c>
      <c r="N24" s="1975">
        <f>+'9-A.Training Sub-Annex'!N229</f>
        <v>18</v>
      </c>
      <c r="O24" s="162">
        <f>+'9-A.Training Sub-Annex'!O229</f>
        <v>7.83</v>
      </c>
      <c r="P24" s="88" t="str">
        <f>+'9-A.Training Sub-Annex'!P229</f>
        <v xml:space="preserve">Fresher training for MO, MPW, CHO and Asha Sensitization under NLEP Program proposed </v>
      </c>
      <c r="Q24" s="54" t="s">
        <v>5697</v>
      </c>
      <c r="R24" s="142">
        <v>7.83</v>
      </c>
    </row>
    <row r="25" spans="1:18">
      <c r="A25" s="1975"/>
      <c r="B25" s="1975">
        <f>'9-A.Training Sub-Annex'!B230</f>
        <v>0</v>
      </c>
      <c r="C25" s="88" t="str">
        <f>+'9-A.Training Sub-Annex'!C230</f>
        <v>Any other (please specify)</v>
      </c>
      <c r="D25" s="1975" t="str">
        <f>+'9-A.Training Sub-Annex'!D230</f>
        <v>NDCP</v>
      </c>
      <c r="E25" s="1975" t="str">
        <f>+'9-A.Training Sub-Annex'!E230</f>
        <v>NLEP</v>
      </c>
      <c r="F25" s="1975">
        <f>+'9-A.Training Sub-Annex'!F230</f>
        <v>0</v>
      </c>
      <c r="G25" s="1975">
        <f>+'9-A.Training Sub-Annex'!G230</f>
        <v>0</v>
      </c>
      <c r="H25" s="1975">
        <f>+'9-A.Training Sub-Annex'!H230</f>
        <v>0</v>
      </c>
      <c r="I25" s="1975">
        <f>+'9-A.Training Sub-Annex'!I230</f>
        <v>0</v>
      </c>
      <c r="J25" s="1975">
        <f>+'9-A.Training Sub-Annex'!J230</f>
        <v>0</v>
      </c>
      <c r="K25" s="1975">
        <f>+'9-A.Training Sub-Annex'!K230</f>
        <v>0</v>
      </c>
      <c r="L25" s="1975">
        <f>+'9-A.Training Sub-Annex'!L230</f>
        <v>0</v>
      </c>
      <c r="M25" s="162">
        <f>+'9-A.Training Sub-Annex'!M230</f>
        <v>0</v>
      </c>
      <c r="N25" s="1975">
        <f>+'9-A.Training Sub-Annex'!N230</f>
        <v>0</v>
      </c>
      <c r="O25" s="162">
        <f>+'9-A.Training Sub-Annex'!O230</f>
        <v>0</v>
      </c>
      <c r="P25" s="88">
        <f>+'9-A.Training Sub-Annex'!P230</f>
        <v>0</v>
      </c>
      <c r="Q25" s="54"/>
      <c r="R25" s="142"/>
    </row>
    <row r="26" spans="1:18">
      <c r="A26" s="1812">
        <f>'10.Review Research &amp; Surveillen'!A7</f>
        <v>10</v>
      </c>
      <c r="B26" s="1812"/>
      <c r="C26" s="331" t="str">
        <f>'10.Review Research &amp; Surveillen'!C7</f>
        <v>Reviews, Research, Surveys and Surveillance</v>
      </c>
      <c r="D26" s="1812"/>
      <c r="E26" s="1812"/>
      <c r="F26" s="1812"/>
      <c r="G26" s="1812"/>
      <c r="H26" s="994"/>
      <c r="I26" s="1812"/>
      <c r="J26" s="994"/>
      <c r="K26" s="1812"/>
      <c r="L26" s="1812"/>
      <c r="M26" s="994"/>
      <c r="N26" s="1866"/>
      <c r="O26" s="1867">
        <f>O27</f>
        <v>0</v>
      </c>
      <c r="P26" s="1868"/>
      <c r="Q26" s="1889"/>
      <c r="R26" s="1890">
        <f>R27</f>
        <v>0</v>
      </c>
    </row>
    <row r="27" spans="1:18">
      <c r="A27" s="1975" t="str">
        <f>'10.Review Research &amp; Surveillen'!A57</f>
        <v>10.5.2</v>
      </c>
      <c r="B27" s="1975">
        <f>'10.Review Research &amp; Surveillen'!B57</f>
        <v>0</v>
      </c>
      <c r="C27" s="88" t="str">
        <f>'10.Review Research &amp; Surveillen'!C57</f>
        <v>Sub-national Disease Free Certification: Leprosy</v>
      </c>
      <c r="D27" s="1975" t="str">
        <f>'10.Review Research &amp; Surveillen'!D57</f>
        <v>NDCP</v>
      </c>
      <c r="E27" s="1975" t="str">
        <f>'10.Review Research &amp; Surveillen'!E57</f>
        <v>NLEP</v>
      </c>
      <c r="F27" s="1975">
        <f>'10.Review Research &amp; Surveillen'!F57</f>
        <v>3</v>
      </c>
      <c r="G27" s="1975">
        <f>'10.Review Research &amp; Surveillen'!G57</f>
        <v>0</v>
      </c>
      <c r="H27" s="1975">
        <f>'10.Review Research &amp; Surveillen'!H57</f>
        <v>15</v>
      </c>
      <c r="I27" s="1975">
        <f>'10.Review Research &amp; Surveillen'!I57</f>
        <v>0</v>
      </c>
      <c r="J27" s="1975">
        <f>'10.Review Research &amp; Surveillen'!J57</f>
        <v>10</v>
      </c>
      <c r="K27" s="1975">
        <f>'10.Review Research &amp; Surveillen'!K57</f>
        <v>0</v>
      </c>
      <c r="L27" s="1975">
        <f>'10.Review Research &amp; Surveillen'!L57</f>
        <v>0</v>
      </c>
      <c r="M27" s="162">
        <f>'10.Review Research &amp; Surveillen'!M57</f>
        <v>0</v>
      </c>
      <c r="N27" s="1975">
        <f>'10.Review Research &amp; Surveillen'!N57</f>
        <v>0</v>
      </c>
      <c r="O27" s="162">
        <f>'10.Review Research &amp; Surveillen'!O57</f>
        <v>0</v>
      </c>
      <c r="P27" s="88">
        <f>'10.Review Research &amp; Surveillen'!P57</f>
        <v>0</v>
      </c>
      <c r="Q27" s="54"/>
      <c r="R27" s="142"/>
    </row>
    <row r="28" spans="1:18">
      <c r="A28" s="1880">
        <f>'11.IEC-BCC Annex'!A7</f>
        <v>11</v>
      </c>
      <c r="B28" s="1880"/>
      <c r="C28" s="1878" t="str">
        <f>'11.IEC-BCC Annex'!C7</f>
        <v>IEC/BCC</v>
      </c>
      <c r="D28" s="1880"/>
      <c r="E28" s="1880"/>
      <c r="F28" s="1880"/>
      <c r="G28" s="1880"/>
      <c r="H28" s="994"/>
      <c r="I28" s="1880"/>
      <c r="J28" s="994"/>
      <c r="K28" s="1880"/>
      <c r="L28" s="1880"/>
      <c r="M28" s="994"/>
      <c r="N28" s="1866"/>
      <c r="O28" s="1867">
        <f>SUM(O29:O30)</f>
        <v>8</v>
      </c>
      <c r="P28" s="1868"/>
      <c r="Q28" s="1889"/>
      <c r="R28" s="1890">
        <f>SUM(R29:R30)</f>
        <v>8</v>
      </c>
    </row>
    <row r="29" spans="1:18" ht="90">
      <c r="A29" s="4104" t="str">
        <f>'11.IEC-BCC Annex'!A26</f>
        <v>11.3.2</v>
      </c>
      <c r="B29" s="1975" t="str">
        <f>+'11-A. IEC Sub-Annex'!B67</f>
        <v>B.10.6.10</v>
      </c>
      <c r="C29" s="88" t="str">
        <f>+'11-A. IEC Sub-Annex'!C67</f>
        <v>IEC/BCC: Mass media, Outdoor media, Rural media, Advocacy media for NLEP including Sparsh Leprosy Awareness Campaign</v>
      </c>
      <c r="D29" s="1975" t="str">
        <f>+'11-A. IEC Sub-Annex'!D67</f>
        <v>NDCP</v>
      </c>
      <c r="E29" s="1975" t="str">
        <f>+'11-A. IEC Sub-Annex'!E67</f>
        <v>NLEP</v>
      </c>
      <c r="F29" s="1975">
        <f>+'11-A. IEC Sub-Annex'!F67</f>
        <v>13</v>
      </c>
      <c r="G29" s="1975">
        <f>+'11-A. IEC Sub-Annex'!G67</f>
        <v>1.36</v>
      </c>
      <c r="H29" s="1975">
        <f>+'11-A. IEC Sub-Annex'!H67</f>
        <v>12.74</v>
      </c>
      <c r="I29" s="1975">
        <f>+'11-A. IEC Sub-Annex'!I67</f>
        <v>3.32</v>
      </c>
      <c r="J29" s="1975">
        <f>+'11-A. IEC Sub-Annex'!J67</f>
        <v>9.42</v>
      </c>
      <c r="K29" s="1975">
        <f>+'11-A. IEC Sub-Annex'!K67</f>
        <v>0</v>
      </c>
      <c r="L29" s="1975">
        <f>+'11-A. IEC Sub-Annex'!L67</f>
        <v>98000</v>
      </c>
      <c r="M29" s="162">
        <f>+'11-A. IEC Sub-Annex'!M67</f>
        <v>0.98</v>
      </c>
      <c r="N29" s="1975">
        <f>+'11-A. IEC Sub-Annex'!N67</f>
        <v>13</v>
      </c>
      <c r="O29" s="162">
        <f>+'11-A. IEC Sub-Annex'!O67</f>
        <v>8</v>
      </c>
      <c r="P29" s="88" t="str">
        <f>+'11-A. IEC Sub-Annex'!P67</f>
        <v>Funds for IEC from state and all district during ACF Campaign and other online activities for awareness generation of the community/ proples have been proposed</v>
      </c>
      <c r="Q29" s="54" t="s">
        <v>5700</v>
      </c>
      <c r="R29" s="142">
        <v>8</v>
      </c>
    </row>
    <row r="30" spans="1:18">
      <c r="A30" s="4106"/>
      <c r="B30" s="1975"/>
      <c r="C30" s="88" t="str">
        <f>+'11-A. IEC Sub-Annex'!C68</f>
        <v>Any other IEC/BCC activities (please specify)</v>
      </c>
      <c r="D30" s="1975" t="str">
        <f>+'11-A. IEC Sub-Annex'!D68</f>
        <v>NDCP</v>
      </c>
      <c r="E30" s="1975" t="str">
        <f>+'11-A. IEC Sub-Annex'!E68</f>
        <v>NLEP</v>
      </c>
      <c r="F30" s="1975">
        <f>+'11-A. IEC Sub-Annex'!F68</f>
        <v>0</v>
      </c>
      <c r="G30" s="1975">
        <f>+'11-A. IEC Sub-Annex'!G68</f>
        <v>0</v>
      </c>
      <c r="H30" s="1975">
        <f>+'11-A. IEC Sub-Annex'!H68</f>
        <v>0</v>
      </c>
      <c r="I30" s="1975">
        <f>+'11-A. IEC Sub-Annex'!I68</f>
        <v>0</v>
      </c>
      <c r="J30" s="1975">
        <f>+'11-A. IEC Sub-Annex'!J68</f>
        <v>0</v>
      </c>
      <c r="K30" s="1975">
        <f>+'11-A. IEC Sub-Annex'!K68</f>
        <v>0</v>
      </c>
      <c r="L30" s="1975">
        <f>+'11-A. IEC Sub-Annex'!L68</f>
        <v>0</v>
      </c>
      <c r="M30" s="162">
        <f>+'11-A. IEC Sub-Annex'!M68</f>
        <v>0</v>
      </c>
      <c r="N30" s="1975">
        <f>+'11-A. IEC Sub-Annex'!N68</f>
        <v>0</v>
      </c>
      <c r="O30" s="162">
        <f>+'11-A. IEC Sub-Annex'!O68</f>
        <v>0</v>
      </c>
      <c r="P30" s="88">
        <f>+'11-A. IEC Sub-Annex'!P68</f>
        <v>0</v>
      </c>
      <c r="Q30" s="54"/>
      <c r="R30" s="142"/>
    </row>
    <row r="31" spans="1:18">
      <c r="A31" s="1880">
        <f>'12.Printing Annex'!A7</f>
        <v>12</v>
      </c>
      <c r="B31" s="1880"/>
      <c r="C31" s="1878" t="str">
        <f>'12.Printing Annex'!C7</f>
        <v>Printing</v>
      </c>
      <c r="D31" s="1880"/>
      <c r="E31" s="1880"/>
      <c r="F31" s="1880"/>
      <c r="G31" s="1880"/>
      <c r="H31" s="994"/>
      <c r="I31" s="1880"/>
      <c r="J31" s="994"/>
      <c r="K31" s="1880"/>
      <c r="L31" s="1880"/>
      <c r="M31" s="994"/>
      <c r="N31" s="1866"/>
      <c r="O31" s="1867">
        <f>O32</f>
        <v>0</v>
      </c>
      <c r="P31" s="1868"/>
      <c r="Q31" s="1889"/>
      <c r="R31" s="1890">
        <f>R32</f>
        <v>0</v>
      </c>
    </row>
    <row r="32" spans="1:18">
      <c r="A32" s="1975" t="str">
        <f>'12.Printing Annex'!A27</f>
        <v>12.3.2</v>
      </c>
      <c r="B32" s="1975" t="str">
        <f>+'12-A. Print Sub-Annex'!B83</f>
        <v>G.1.4</v>
      </c>
      <c r="C32" s="88" t="str">
        <f>+'12-A. Print Sub-Annex'!C83</f>
        <v>Printing works</v>
      </c>
      <c r="D32" s="1975" t="str">
        <f>+'12-A. Print Sub-Annex'!D83</f>
        <v>NDCP</v>
      </c>
      <c r="E32" s="1975" t="str">
        <f>+'12-A. Print Sub-Annex'!E83</f>
        <v>NLEP</v>
      </c>
      <c r="F32" s="1975">
        <f>+'12-A. Print Sub-Annex'!F83</f>
        <v>13</v>
      </c>
      <c r="G32" s="1975">
        <f>+'12-A. Print Sub-Annex'!G83</f>
        <v>0</v>
      </c>
      <c r="H32" s="1975">
        <f>+'12-A. Print Sub-Annex'!H83</f>
        <v>2.6</v>
      </c>
      <c r="I32" s="1975">
        <f>+'12-A. Print Sub-Annex'!I83</f>
        <v>0.15</v>
      </c>
      <c r="J32" s="1975">
        <f>+'12-A. Print Sub-Annex'!J83</f>
        <v>0</v>
      </c>
      <c r="K32" s="1975">
        <f>+'12-A. Print Sub-Annex'!K83</f>
        <v>0</v>
      </c>
      <c r="L32" s="1975">
        <f>+'12-A. Print Sub-Annex'!L83</f>
        <v>0</v>
      </c>
      <c r="M32" s="162">
        <f>+'12-A. Print Sub-Annex'!M83</f>
        <v>0</v>
      </c>
      <c r="N32" s="1975">
        <f>+'12-A. Print Sub-Annex'!N83</f>
        <v>0</v>
      </c>
      <c r="O32" s="162">
        <f>+'12-A. Print Sub-Annex'!O83</f>
        <v>0</v>
      </c>
      <c r="P32" s="88">
        <f>+'12-A. Print Sub-Annex'!P83</f>
        <v>0</v>
      </c>
      <c r="Q32" s="54"/>
      <c r="R32" s="142"/>
    </row>
    <row r="33" spans="1:18">
      <c r="A33" s="1880">
        <f>'15.PPP Annex'!A7</f>
        <v>15</v>
      </c>
      <c r="B33" s="1880"/>
      <c r="C33" s="1878" t="str">
        <f>'15.PPP Annex'!C7</f>
        <v>PPP</v>
      </c>
      <c r="D33" s="1880"/>
      <c r="E33" s="1880"/>
      <c r="F33" s="1880"/>
      <c r="G33" s="1880"/>
      <c r="H33" s="994"/>
      <c r="I33" s="1880"/>
      <c r="J33" s="994"/>
      <c r="K33" s="1880"/>
      <c r="L33" s="1880"/>
      <c r="M33" s="994"/>
      <c r="N33" s="1866"/>
      <c r="O33" s="1867">
        <f>SUM(O34:O35)</f>
        <v>0</v>
      </c>
      <c r="P33" s="1868"/>
      <c r="Q33" s="1889"/>
      <c r="R33" s="1890">
        <f>SUM(R34:R35)</f>
        <v>0</v>
      </c>
    </row>
    <row r="34" spans="1:18">
      <c r="A34" s="1975" t="str">
        <f>+'15.PPP Annex'!A24</f>
        <v>15.3.2.1</v>
      </c>
      <c r="B34" s="1975" t="str">
        <f>+'15.PPP Annex'!B24</f>
        <v>15.4.1/ G.1.5</v>
      </c>
      <c r="C34" s="88" t="str">
        <f>+'15.PPP Annex'!C24</f>
        <v>NGO -  Scheme</v>
      </c>
      <c r="D34" s="1975" t="str">
        <f>+'15.PPP Annex'!D24</f>
        <v>NDCP</v>
      </c>
      <c r="E34" s="1975" t="str">
        <f>+'15.PPP Annex'!E24</f>
        <v>NLEP</v>
      </c>
      <c r="F34" s="1975">
        <f>+'15.PPP Annex'!F24</f>
        <v>0</v>
      </c>
      <c r="G34" s="1975">
        <f>+'15.PPP Annex'!G24</f>
        <v>0</v>
      </c>
      <c r="H34" s="1975">
        <f>+'15.PPP Annex'!H24</f>
        <v>0</v>
      </c>
      <c r="I34" s="1975">
        <f>+'15.PPP Annex'!I24</f>
        <v>0</v>
      </c>
      <c r="J34" s="1975">
        <f>+'15.PPP Annex'!J24</f>
        <v>0</v>
      </c>
      <c r="K34" s="1975">
        <f>+'15.PPP Annex'!K24</f>
        <v>0</v>
      </c>
      <c r="L34" s="1975">
        <f>+'15.PPP Annex'!L24</f>
        <v>0</v>
      </c>
      <c r="M34" s="162">
        <f>+'15.PPP Annex'!M24</f>
        <v>0</v>
      </c>
      <c r="N34" s="1975">
        <f>+'15.PPP Annex'!N24</f>
        <v>0</v>
      </c>
      <c r="O34" s="162">
        <f>+'15.PPP Annex'!O24</f>
        <v>0</v>
      </c>
      <c r="P34" s="88">
        <f>+'15.PPP Annex'!P24</f>
        <v>0</v>
      </c>
      <c r="Q34" s="54"/>
      <c r="R34" s="142"/>
    </row>
    <row r="35" spans="1:18">
      <c r="A35" s="1975" t="str">
        <f>+'15.PPP Annex'!A25</f>
        <v>15.3.2.2</v>
      </c>
      <c r="B35" s="1975"/>
      <c r="C35" s="88" t="str">
        <f>+'15.PPP Annex'!C25</f>
        <v>Any other (please specify)</v>
      </c>
      <c r="D35" s="1975" t="str">
        <f>+'15.PPP Annex'!D25</f>
        <v>NDCP</v>
      </c>
      <c r="E35" s="1975" t="str">
        <f>+'15.PPP Annex'!E25</f>
        <v>NLEP</v>
      </c>
      <c r="F35" s="1975">
        <f>+'15.PPP Annex'!F25</f>
        <v>0</v>
      </c>
      <c r="G35" s="1975">
        <f>+'15.PPP Annex'!G25</f>
        <v>0</v>
      </c>
      <c r="H35" s="1975">
        <f>+'15.PPP Annex'!H25</f>
        <v>0</v>
      </c>
      <c r="I35" s="1975">
        <f>+'15.PPP Annex'!I25</f>
        <v>0</v>
      </c>
      <c r="J35" s="1975">
        <f>+'15.PPP Annex'!J25</f>
        <v>0</v>
      </c>
      <c r="K35" s="1975">
        <f>+'15.PPP Annex'!K25</f>
        <v>0</v>
      </c>
      <c r="L35" s="1975">
        <f>+'15.PPP Annex'!L25</f>
        <v>0</v>
      </c>
      <c r="M35" s="162">
        <f>+'15.PPP Annex'!M25</f>
        <v>0</v>
      </c>
      <c r="N35" s="1975">
        <f>+'15.PPP Annex'!N25</f>
        <v>0</v>
      </c>
      <c r="O35" s="162">
        <f>+'15.PPP Annex'!O25</f>
        <v>0</v>
      </c>
      <c r="P35" s="88">
        <f>+'15.PPP Annex'!P25</f>
        <v>0</v>
      </c>
      <c r="Q35" s="54"/>
      <c r="R35" s="142"/>
    </row>
    <row r="36" spans="1:18">
      <c r="A36" s="1882">
        <f>'16.PM Annex'!A7</f>
        <v>16</v>
      </c>
      <c r="B36" s="1882"/>
      <c r="C36" s="1863" t="str">
        <f>'16.PM Annex'!C7</f>
        <v>Programme Management</v>
      </c>
      <c r="D36" s="1882"/>
      <c r="E36" s="1882"/>
      <c r="F36" s="1882"/>
      <c r="G36" s="1882"/>
      <c r="H36" s="994"/>
      <c r="I36" s="1882"/>
      <c r="J36" s="994"/>
      <c r="K36" s="1882"/>
      <c r="L36" s="1882"/>
      <c r="M36" s="994"/>
      <c r="N36" s="1866"/>
      <c r="O36" s="1867">
        <f>SUM(O37:O47)</f>
        <v>0</v>
      </c>
      <c r="P36" s="1868"/>
      <c r="Q36" s="1889"/>
      <c r="R36" s="1890">
        <f>SUM(R37:R47)</f>
        <v>0</v>
      </c>
    </row>
    <row r="37" spans="1:18">
      <c r="A37" s="1975" t="str">
        <f>'16-A. PM sub Annex'!A41</f>
        <v>16.1.2.1.20</v>
      </c>
      <c r="B37" s="1975" t="e">
        <f>'16-A. PM sub Annex'!#REF!</f>
        <v>#REF!</v>
      </c>
      <c r="C37" s="88" t="str">
        <f>'16-A. PM sub Annex'!C41</f>
        <v xml:space="preserve">NLEP Review Meetings </v>
      </c>
      <c r="D37" s="1975" t="str">
        <f>'16-A. PM sub Annex'!D41</f>
        <v>NDCP</v>
      </c>
      <c r="E37" s="1975" t="str">
        <f>'16-A. PM sub Annex'!E41</f>
        <v>HRH&amp;HPIP/NLEP</v>
      </c>
      <c r="F37" s="1975">
        <f>'16-A. PM sub Annex'!F41</f>
        <v>13</v>
      </c>
      <c r="G37" s="1975">
        <f>'16-A. PM sub Annex'!G41</f>
        <v>0</v>
      </c>
      <c r="H37" s="1975">
        <f>'16-A. PM sub Annex'!H41</f>
        <v>0</v>
      </c>
      <c r="I37" s="1975">
        <f>'16-A. PM sub Annex'!I41</f>
        <v>0</v>
      </c>
      <c r="J37" s="1975">
        <f>'16-A. PM sub Annex'!J41</f>
        <v>2.6</v>
      </c>
      <c r="K37" s="1975">
        <f>'16-A. PM sub Annex'!K41</f>
        <v>0</v>
      </c>
      <c r="L37" s="1975">
        <f>'16-A. PM sub Annex'!L41</f>
        <v>0</v>
      </c>
      <c r="M37" s="162">
        <f>'16-A. PM sub Annex'!M41</f>
        <v>0</v>
      </c>
      <c r="N37" s="1975">
        <f>'16-A. PM sub Annex'!N41</f>
        <v>0</v>
      </c>
      <c r="O37" s="162">
        <f>'16-A. PM sub Annex'!O41</f>
        <v>0</v>
      </c>
      <c r="P37" s="88">
        <f>'16-A. PM sub Annex'!P41</f>
        <v>0</v>
      </c>
      <c r="Q37" s="54"/>
      <c r="R37" s="142"/>
    </row>
    <row r="38" spans="1:18">
      <c r="A38" s="1975" t="str">
        <f>'16-A. PM sub Annex'!A80</f>
        <v>16.1.3.1.11</v>
      </c>
      <c r="B38" s="1975" t="e">
        <f>'16-A. PM sub Annex'!#REF!</f>
        <v>#REF!</v>
      </c>
      <c r="C38" s="88" t="str">
        <f>'16-A. PM sub Annex'!C80</f>
        <v>Travel expenses - Contractual Staff at State level</v>
      </c>
      <c r="D38" s="1975" t="str">
        <f>'16-A. PM sub Annex'!D80</f>
        <v>NDCP</v>
      </c>
      <c r="E38" s="1975" t="str">
        <f>'16-A. PM sub Annex'!E80</f>
        <v>HRH&amp;HPIP/NLEP</v>
      </c>
      <c r="F38" s="1975">
        <f>'16-A. PM sub Annex'!F80</f>
        <v>0</v>
      </c>
      <c r="G38" s="1975">
        <f>'16-A. PM sub Annex'!G80</f>
        <v>0</v>
      </c>
      <c r="H38" s="1975">
        <f>'16-A. PM sub Annex'!H80</f>
        <v>0</v>
      </c>
      <c r="I38" s="1975">
        <f>'16-A. PM sub Annex'!I80</f>
        <v>0</v>
      </c>
      <c r="J38" s="1975">
        <f>'16-A. PM sub Annex'!J80</f>
        <v>0</v>
      </c>
      <c r="K38" s="1975">
        <f>'16-A. PM sub Annex'!K80</f>
        <v>0</v>
      </c>
      <c r="L38" s="1975">
        <f>'16-A. PM sub Annex'!L80</f>
        <v>0</v>
      </c>
      <c r="M38" s="162">
        <f>'16-A. PM sub Annex'!M80</f>
        <v>0</v>
      </c>
      <c r="N38" s="1975">
        <f>'16-A. PM sub Annex'!N80</f>
        <v>0</v>
      </c>
      <c r="O38" s="162">
        <f>'16-A. PM sub Annex'!O80</f>
        <v>0</v>
      </c>
      <c r="P38" s="88">
        <f>'16-A. PM sub Annex'!P80</f>
        <v>0</v>
      </c>
      <c r="Q38" s="54"/>
      <c r="R38" s="142"/>
    </row>
    <row r="39" spans="1:18">
      <c r="A39" s="1975" t="str">
        <f>'16-A. PM sub Annex'!A81</f>
        <v>16.1.3.1.12</v>
      </c>
      <c r="B39" s="1975" t="e">
        <f>'16-A. PM sub Annex'!#REF!</f>
        <v>#REF!</v>
      </c>
      <c r="C39" s="88" t="str">
        <f>'16-A. PM sub Annex'!C81</f>
        <v>Mobility Support: State Cell</v>
      </c>
      <c r="D39" s="1975" t="str">
        <f>'16-A. PM sub Annex'!D81</f>
        <v>NDCP</v>
      </c>
      <c r="E39" s="1975" t="str">
        <f>'16-A. PM sub Annex'!E81</f>
        <v>HRH&amp;HPIP/NLEP</v>
      </c>
      <c r="F39" s="1975">
        <f>'16-A. PM sub Annex'!F81</f>
        <v>1</v>
      </c>
      <c r="G39" s="1975">
        <f>'16-A. PM sub Annex'!G81</f>
        <v>0</v>
      </c>
      <c r="H39" s="1975">
        <f>'16-A. PM sub Annex'!H81</f>
        <v>2</v>
      </c>
      <c r="I39" s="1975">
        <f>'16-A. PM sub Annex'!I81</f>
        <v>0</v>
      </c>
      <c r="J39" s="1975">
        <f>'16-A. PM sub Annex'!J81</f>
        <v>2</v>
      </c>
      <c r="K39" s="1975">
        <f>'16-A. PM sub Annex'!K81</f>
        <v>0</v>
      </c>
      <c r="L39" s="1975">
        <f>'16-A. PM sub Annex'!L81</f>
        <v>0</v>
      </c>
      <c r="M39" s="162">
        <f>'16-A. PM sub Annex'!M81</f>
        <v>0</v>
      </c>
      <c r="N39" s="1975">
        <f>'16-A. PM sub Annex'!N81</f>
        <v>0</v>
      </c>
      <c r="O39" s="162">
        <f>'16-A. PM sub Annex'!O81</f>
        <v>0</v>
      </c>
      <c r="P39" s="88">
        <f>'16-A. PM sub Annex'!P81</f>
        <v>0</v>
      </c>
      <c r="Q39" s="54"/>
      <c r="R39" s="142"/>
    </row>
    <row r="40" spans="1:18">
      <c r="A40" s="1975" t="str">
        <f>'16-A. PM sub Annex'!A104</f>
        <v>16.1.3.3.10</v>
      </c>
      <c r="B40" s="1975" t="e">
        <f>'16-A. PM sub Annex'!#REF!</f>
        <v>#REF!</v>
      </c>
      <c r="C40" s="88" t="str">
        <f>'16-A. PM sub Annex'!C104</f>
        <v>Travel expenses - Contractual Staff at District level</v>
      </c>
      <c r="D40" s="1975" t="str">
        <f>'16-A. PM sub Annex'!D104</f>
        <v>NDCP</v>
      </c>
      <c r="E40" s="1975" t="str">
        <f>'16-A. PM sub Annex'!E104</f>
        <v>HRH&amp;HPIP/NLEP</v>
      </c>
      <c r="F40" s="1975">
        <f>'16-A. PM sub Annex'!F104</f>
        <v>7</v>
      </c>
      <c r="G40" s="1975">
        <f>'16-A. PM sub Annex'!G104</f>
        <v>0</v>
      </c>
      <c r="H40" s="1975">
        <f>'16-A. PM sub Annex'!H104</f>
        <v>1.4</v>
      </c>
      <c r="I40" s="1975">
        <f>'16-A. PM sub Annex'!I104</f>
        <v>0</v>
      </c>
      <c r="J40" s="1975">
        <f>'16-A. PM sub Annex'!J104</f>
        <v>1.4</v>
      </c>
      <c r="K40" s="1975">
        <f>'16-A. PM sub Annex'!K104</f>
        <v>0</v>
      </c>
      <c r="L40" s="1975">
        <f>'16-A. PM sub Annex'!L104</f>
        <v>0</v>
      </c>
      <c r="M40" s="162">
        <f>'16-A. PM sub Annex'!M104</f>
        <v>0</v>
      </c>
      <c r="N40" s="1975">
        <f>'16-A. PM sub Annex'!N104</f>
        <v>0</v>
      </c>
      <c r="O40" s="162">
        <f>'16-A. PM sub Annex'!O104</f>
        <v>0</v>
      </c>
      <c r="P40" s="88">
        <f>'16-A. PM sub Annex'!P104</f>
        <v>0</v>
      </c>
      <c r="Q40" s="54"/>
      <c r="R40" s="142"/>
    </row>
    <row r="41" spans="1:18">
      <c r="A41" s="1975" t="str">
        <f>'16-A. PM sub Annex'!A105</f>
        <v>16.1.3.3.11</v>
      </c>
      <c r="B41" s="1975" t="e">
        <f>'16-A. PM sub Annex'!#REF!</f>
        <v>#REF!</v>
      </c>
      <c r="C41" s="88" t="str">
        <f>'16-A. PM sub Annex'!C105</f>
        <v>Mobility Support: District Cell</v>
      </c>
      <c r="D41" s="1975" t="str">
        <f>'16-A. PM sub Annex'!D105</f>
        <v>NDCP</v>
      </c>
      <c r="E41" s="1975" t="str">
        <f>'16-A. PM sub Annex'!E105</f>
        <v>HRH&amp;HPIP/NLEP</v>
      </c>
      <c r="F41" s="1975">
        <f>'16-A. PM sub Annex'!F105</f>
        <v>12</v>
      </c>
      <c r="G41" s="1975">
        <f>'16-A. PM sub Annex'!G105</f>
        <v>0</v>
      </c>
      <c r="H41" s="1975">
        <f>'16-A. PM sub Annex'!H105</f>
        <v>20</v>
      </c>
      <c r="I41" s="1975">
        <f>'16-A. PM sub Annex'!I105</f>
        <v>0.63</v>
      </c>
      <c r="J41" s="1975">
        <f>'16-A. PM sub Annex'!J105</f>
        <v>19.37</v>
      </c>
      <c r="K41" s="1975">
        <f>'16-A. PM sub Annex'!K105</f>
        <v>0</v>
      </c>
      <c r="L41" s="1975">
        <f>'16-A. PM sub Annex'!L105</f>
        <v>0</v>
      </c>
      <c r="M41" s="162">
        <f>'16-A. PM sub Annex'!M105</f>
        <v>0</v>
      </c>
      <c r="N41" s="1975">
        <f>'16-A. PM sub Annex'!N105</f>
        <v>0</v>
      </c>
      <c r="O41" s="162">
        <f>'16-A. PM sub Annex'!O105</f>
        <v>0</v>
      </c>
      <c r="P41" s="88">
        <f>'16-A. PM sub Annex'!P105</f>
        <v>0</v>
      </c>
      <c r="Q41" s="54"/>
      <c r="R41" s="142"/>
    </row>
    <row r="42" spans="1:18">
      <c r="A42" s="1975" t="str">
        <f>'16-A. PM sub Annex'!A118</f>
        <v>16.1.3.5.1</v>
      </c>
      <c r="B42" s="1975" t="e">
        <f>'16-A. PM sub Annex'!#REF!</f>
        <v>#REF!</v>
      </c>
      <c r="C42" s="88" t="str">
        <f>'16-A. PM sub Annex'!C118</f>
        <v>Others: travel expenses  for regular staff.</v>
      </c>
      <c r="D42" s="1975" t="str">
        <f>'16-A. PM sub Annex'!D118</f>
        <v>NDCP</v>
      </c>
      <c r="E42" s="1975" t="str">
        <f>'16-A. PM sub Annex'!E118</f>
        <v>HRH&amp;HPIP/NLEP</v>
      </c>
      <c r="F42" s="1975">
        <f>'16-A. PM sub Annex'!F118</f>
        <v>0</v>
      </c>
      <c r="G42" s="1975">
        <f>'16-A. PM sub Annex'!G118</f>
        <v>0</v>
      </c>
      <c r="H42" s="1975">
        <f>'16-A. PM sub Annex'!H118</f>
        <v>0</v>
      </c>
      <c r="I42" s="1975">
        <f>'16-A. PM sub Annex'!I118</f>
        <v>0</v>
      </c>
      <c r="J42" s="1975">
        <f>'16-A. PM sub Annex'!J118</f>
        <v>0</v>
      </c>
      <c r="K42" s="1975">
        <f>'16-A. PM sub Annex'!K118</f>
        <v>0</v>
      </c>
      <c r="L42" s="1975">
        <f>'16-A. PM sub Annex'!L118</f>
        <v>0</v>
      </c>
      <c r="M42" s="162">
        <f>'16-A. PM sub Annex'!M118</f>
        <v>0</v>
      </c>
      <c r="N42" s="1975">
        <f>'16-A. PM sub Annex'!N118</f>
        <v>0</v>
      </c>
      <c r="O42" s="162">
        <f>'16-A. PM sub Annex'!O118</f>
        <v>0</v>
      </c>
      <c r="P42" s="88">
        <f>'16-A. PM sub Annex'!P118</f>
        <v>0</v>
      </c>
      <c r="Q42" s="54"/>
      <c r="R42" s="142"/>
    </row>
    <row r="43" spans="1:18">
      <c r="A43" s="1975" t="str">
        <f>'16-A. PM sub Annex'!A128</f>
        <v>16.1.4.1.8</v>
      </c>
      <c r="B43" s="1975" t="e">
        <f>'16-A. PM sub Annex'!#REF!</f>
        <v>#REF!</v>
      </c>
      <c r="C43" s="88" t="str">
        <f>'16-A. PM sub Annex'!C128</f>
        <v>Office operation &amp; Maintenance - State Cell</v>
      </c>
      <c r="D43" s="1975" t="str">
        <f>'16-A. PM sub Annex'!D128</f>
        <v>NDCP</v>
      </c>
      <c r="E43" s="1975" t="str">
        <f>'16-A. PM sub Annex'!E128</f>
        <v>HRH&amp;HPIP/NLEP</v>
      </c>
      <c r="F43" s="1975">
        <f>'16-A. PM sub Annex'!F128</f>
        <v>1</v>
      </c>
      <c r="G43" s="1975">
        <f>'16-A. PM sub Annex'!G128</f>
        <v>0</v>
      </c>
      <c r="H43" s="1975">
        <f>'16-A. PM sub Annex'!H128</f>
        <v>1.4</v>
      </c>
      <c r="I43" s="1975">
        <f>'16-A. PM sub Annex'!I128</f>
        <v>0.02</v>
      </c>
      <c r="J43" s="1975">
        <f>'16-A. PM sub Annex'!J128</f>
        <v>0.5</v>
      </c>
      <c r="K43" s="1975">
        <f>'16-A. PM sub Annex'!K128</f>
        <v>0</v>
      </c>
      <c r="L43" s="1975">
        <f>'16-A. PM sub Annex'!L128</f>
        <v>0</v>
      </c>
      <c r="M43" s="162">
        <f>'16-A. PM sub Annex'!M128</f>
        <v>0</v>
      </c>
      <c r="N43" s="1975">
        <f>'16-A. PM sub Annex'!N128</f>
        <v>0</v>
      </c>
      <c r="O43" s="162">
        <f>'16-A. PM sub Annex'!O128</f>
        <v>0</v>
      </c>
      <c r="P43" s="88">
        <f>'16-A. PM sub Annex'!P128</f>
        <v>0</v>
      </c>
      <c r="Q43" s="54"/>
      <c r="R43" s="142"/>
    </row>
    <row r="44" spans="1:18">
      <c r="A44" s="1975" t="str">
        <f>'16-A. PM sub Annex'!A129</f>
        <v>16.1.4.1.9</v>
      </c>
      <c r="B44" s="1975" t="e">
        <f>'16-A. PM sub Annex'!#REF!</f>
        <v>#REF!</v>
      </c>
      <c r="C44" s="88" t="str">
        <f>'16-A. PM sub Annex'!C129</f>
        <v>State Cell - Consumables</v>
      </c>
      <c r="D44" s="1975" t="str">
        <f>'16-A. PM sub Annex'!D129</f>
        <v>NDCP</v>
      </c>
      <c r="E44" s="1975" t="str">
        <f>'16-A. PM sub Annex'!E129</f>
        <v>HRH&amp;HPIP/NLEP</v>
      </c>
      <c r="F44" s="1975">
        <f>'16-A. PM sub Annex'!F129</f>
        <v>1</v>
      </c>
      <c r="G44" s="1975">
        <f>'16-A. PM sub Annex'!G129</f>
        <v>0</v>
      </c>
      <c r="H44" s="1975">
        <f>'16-A. PM sub Annex'!H129</f>
        <v>0.5</v>
      </c>
      <c r="I44" s="1975">
        <f>'16-A. PM sub Annex'!I129</f>
        <v>0</v>
      </c>
      <c r="J44" s="1975">
        <f>'16-A. PM sub Annex'!J129</f>
        <v>0.5</v>
      </c>
      <c r="K44" s="1975">
        <f>'16-A. PM sub Annex'!K129</f>
        <v>0</v>
      </c>
      <c r="L44" s="1975">
        <f>'16-A. PM sub Annex'!L129</f>
        <v>0</v>
      </c>
      <c r="M44" s="162">
        <f>'16-A. PM sub Annex'!M129</f>
        <v>0</v>
      </c>
      <c r="N44" s="1975">
        <f>'16-A. PM sub Annex'!N129</f>
        <v>0</v>
      </c>
      <c r="O44" s="162">
        <f>'16-A. PM sub Annex'!O129</f>
        <v>0</v>
      </c>
      <c r="P44" s="88">
        <f>'16-A. PM sub Annex'!P129</f>
        <v>0</v>
      </c>
      <c r="Q44" s="54"/>
      <c r="R44" s="142"/>
    </row>
    <row r="45" spans="1:18">
      <c r="A45" s="1975" t="str">
        <f>'16-A. PM sub Annex'!A140</f>
        <v>16.1.4.2.4</v>
      </c>
      <c r="B45" s="1975" t="e">
        <f>'16-A. PM sub Annex'!#REF!</f>
        <v>#REF!</v>
      </c>
      <c r="C45" s="88" t="str">
        <f>'16-A. PM sub Annex'!C140</f>
        <v>Office operation &amp; Maintenance - District Cell</v>
      </c>
      <c r="D45" s="1975" t="str">
        <f>'16-A. PM sub Annex'!D140</f>
        <v>NDCP</v>
      </c>
      <c r="E45" s="1975" t="str">
        <f>'16-A. PM sub Annex'!E140</f>
        <v>HRH&amp;HPIP/NLEP</v>
      </c>
      <c r="F45" s="1975">
        <f>'16-A. PM sub Annex'!F140</f>
        <v>12</v>
      </c>
      <c r="G45" s="1975">
        <f>'16-A. PM sub Annex'!G140</f>
        <v>0</v>
      </c>
      <c r="H45" s="1975">
        <f>'16-A. PM sub Annex'!H140</f>
        <v>3.6</v>
      </c>
      <c r="I45" s="1975">
        <f>'16-A. PM sub Annex'!I140</f>
        <v>0.84</v>
      </c>
      <c r="J45" s="1975">
        <f>'16-A. PM sub Annex'!J140</f>
        <v>2.76</v>
      </c>
      <c r="K45" s="1975">
        <f>'16-A. PM sub Annex'!K140</f>
        <v>0</v>
      </c>
      <c r="L45" s="1975">
        <f>'16-A. PM sub Annex'!L140</f>
        <v>0</v>
      </c>
      <c r="M45" s="162">
        <f>'16-A. PM sub Annex'!M140</f>
        <v>0</v>
      </c>
      <c r="N45" s="1975">
        <f>'16-A. PM sub Annex'!N140</f>
        <v>0</v>
      </c>
      <c r="O45" s="162">
        <f>'16-A. PM sub Annex'!O140</f>
        <v>0</v>
      </c>
      <c r="P45" s="88">
        <f>'16-A. PM sub Annex'!P140</f>
        <v>0</v>
      </c>
      <c r="Q45" s="54"/>
      <c r="R45" s="142"/>
    </row>
    <row r="46" spans="1:18">
      <c r="A46" s="1975" t="str">
        <f>'16-A. PM sub Annex'!A141</f>
        <v>16.1.4.2.5</v>
      </c>
      <c r="B46" s="1975" t="e">
        <f>'16-A. PM sub Annex'!#REF!</f>
        <v>#REF!</v>
      </c>
      <c r="C46" s="88" t="str">
        <f>'16-A. PM sub Annex'!C141</f>
        <v>District Cell - Consumables</v>
      </c>
      <c r="D46" s="1975" t="str">
        <f>'16-A. PM sub Annex'!D141</f>
        <v>NDCP</v>
      </c>
      <c r="E46" s="1975" t="str">
        <f>'16-A. PM sub Annex'!E141</f>
        <v>HRH&amp;HPIP/NLEP</v>
      </c>
      <c r="F46" s="1975">
        <f>'16-A. PM sub Annex'!F141</f>
        <v>12</v>
      </c>
      <c r="G46" s="1975">
        <f>'16-A. PM sub Annex'!G141</f>
        <v>0</v>
      </c>
      <c r="H46" s="1975">
        <f>'16-A. PM sub Annex'!H141</f>
        <v>2.4</v>
      </c>
      <c r="I46" s="1975">
        <f>'16-A. PM sub Annex'!I141</f>
        <v>0</v>
      </c>
      <c r="J46" s="1975">
        <f>'16-A. PM sub Annex'!J141</f>
        <v>2.4</v>
      </c>
      <c r="K46" s="1975">
        <f>'16-A. PM sub Annex'!K141</f>
        <v>0</v>
      </c>
      <c r="L46" s="1975">
        <f>'16-A. PM sub Annex'!L141</f>
        <v>0</v>
      </c>
      <c r="M46" s="162">
        <f>'16-A. PM sub Annex'!M141</f>
        <v>0</v>
      </c>
      <c r="N46" s="1975">
        <f>'16-A. PM sub Annex'!N141</f>
        <v>0</v>
      </c>
      <c r="O46" s="162">
        <f>'16-A. PM sub Annex'!O141</f>
        <v>0</v>
      </c>
      <c r="P46" s="88">
        <f>'16-A. PM sub Annex'!P141</f>
        <v>0</v>
      </c>
      <c r="Q46" s="54"/>
      <c r="R46" s="142"/>
    </row>
    <row r="47" spans="1:18">
      <c r="A47" s="1975" t="str">
        <f>'16-A. PM sub Annex'!A156</f>
        <v>16.1.5.2.3</v>
      </c>
      <c r="B47" s="1975" t="e">
        <f>'16-A. PM sub Annex'!#REF!</f>
        <v>#REF!</v>
      </c>
      <c r="C47" s="88" t="str">
        <f>'16-A. PM sub Annex'!C156</f>
        <v>Office equipment maintenance State</v>
      </c>
      <c r="D47" s="1975" t="str">
        <f>'16-A. PM sub Annex'!D156</f>
        <v>NDCP</v>
      </c>
      <c r="E47" s="1975" t="str">
        <f>'16-A. PM sub Annex'!E156</f>
        <v>HRH&amp;HPIP/NLEP</v>
      </c>
      <c r="F47" s="1975">
        <f>'16-A. PM sub Annex'!F156</f>
        <v>0</v>
      </c>
      <c r="G47" s="1975">
        <f>'16-A. PM sub Annex'!G156</f>
        <v>0</v>
      </c>
      <c r="H47" s="1975">
        <f>'16-A. PM sub Annex'!H156</f>
        <v>0</v>
      </c>
      <c r="I47" s="1975">
        <f>'16-A. PM sub Annex'!I156</f>
        <v>0</v>
      </c>
      <c r="J47" s="1975">
        <f>'16-A. PM sub Annex'!J156</f>
        <v>0</v>
      </c>
      <c r="K47" s="1975">
        <f>'16-A. PM sub Annex'!K156</f>
        <v>0</v>
      </c>
      <c r="L47" s="1975">
        <f>'16-A. PM sub Annex'!L156</f>
        <v>0</v>
      </c>
      <c r="M47" s="162">
        <f>'16-A. PM sub Annex'!M156</f>
        <v>0</v>
      </c>
      <c r="N47" s="1975">
        <f>'16-A. PM sub Annex'!N156</f>
        <v>0</v>
      </c>
      <c r="O47" s="162">
        <f>'16-A. PM sub Annex'!O156</f>
        <v>0</v>
      </c>
      <c r="P47" s="88">
        <f>'16-A. PM sub Annex'!P156</f>
        <v>0</v>
      </c>
      <c r="Q47" s="54"/>
      <c r="R47" s="142"/>
    </row>
    <row r="48" spans="1:18">
      <c r="Q48" s="2016"/>
      <c r="R48" s="2020"/>
    </row>
    <row r="49" spans="1:18">
      <c r="Q49" s="2016"/>
      <c r="R49" s="2020"/>
    </row>
    <row r="50" spans="1:18" s="1942" customFormat="1">
      <c r="A50" s="4098" t="s">
        <v>5130</v>
      </c>
      <c r="B50" s="4098"/>
      <c r="C50" s="4098"/>
      <c r="D50" s="785"/>
      <c r="E50" s="785"/>
      <c r="F50" s="785"/>
      <c r="G50" s="785"/>
      <c r="H50" s="547"/>
      <c r="I50" s="785"/>
      <c r="J50" s="547"/>
      <c r="K50" s="2007"/>
      <c r="L50" s="2007"/>
      <c r="M50" s="547"/>
      <c r="N50" s="1997"/>
      <c r="O50" s="1957"/>
      <c r="P50" s="1953"/>
      <c r="Q50" s="1964"/>
      <c r="R50" s="1965"/>
    </row>
    <row r="51" spans="1:18" s="1942" customFormat="1">
      <c r="A51" s="1958" t="str">
        <f>'NUHM-Non Metro Abst'!A13</f>
        <v>U.1.1.1.3</v>
      </c>
      <c r="B51" s="1958">
        <f>'NUHM-Non Metro Abst'!B13</f>
        <v>0</v>
      </c>
      <c r="C51" s="1958" t="str">
        <f>'NUHM-Non Metro Abst'!C13</f>
        <v>Support for implementation of NLEP</v>
      </c>
      <c r="D51" s="1975"/>
      <c r="E51" s="1958" t="str">
        <f>'NUHM-Non Metro Abst'!D13</f>
        <v>NLEP</v>
      </c>
      <c r="F51" s="1958">
        <f>'NUHM-Non Metro Abst'!E13</f>
        <v>0</v>
      </c>
      <c r="G51" s="1958">
        <f>'NUHM-Non Metro Abst'!F13</f>
        <v>0</v>
      </c>
      <c r="H51" s="1958">
        <f>'NUHM-Non Metro Abst'!G13</f>
        <v>0</v>
      </c>
      <c r="I51" s="1958">
        <f>'NUHM-Non Metro Abst'!H13</f>
        <v>0</v>
      </c>
      <c r="J51" s="1958">
        <f>'NUHM-Non Metro Abst'!I13</f>
        <v>0</v>
      </c>
      <c r="K51" s="1958">
        <f>'NUHM-Non Metro Abst'!J13</f>
        <v>0</v>
      </c>
      <c r="L51" s="1958">
        <f>'NUHM-Non Metro Abst'!K13</f>
        <v>0</v>
      </c>
      <c r="M51" s="1958">
        <f>'NUHM-Non Metro Abst'!L13</f>
        <v>0</v>
      </c>
      <c r="N51" s="1958">
        <f>'NUHM-Non Metro Abst'!M13</f>
        <v>0</v>
      </c>
      <c r="O51" s="1958">
        <f>'NUHM-Non Metro Abst'!N13</f>
        <v>0</v>
      </c>
      <c r="P51" s="1958">
        <f>'NUHM-Non Metro Abst'!O13</f>
        <v>0</v>
      </c>
      <c r="Q51" s="55"/>
      <c r="R51" s="1966"/>
    </row>
    <row r="52" spans="1:18" s="1942" customFormat="1">
      <c r="A52" s="4098" t="s">
        <v>5129</v>
      </c>
      <c r="B52" s="4098"/>
      <c r="C52" s="4098"/>
      <c r="D52" s="785"/>
      <c r="E52" s="785"/>
      <c r="F52" s="785"/>
      <c r="G52" s="785"/>
      <c r="H52" s="785"/>
      <c r="I52" s="785"/>
      <c r="J52" s="785"/>
      <c r="K52" s="785"/>
      <c r="L52" s="785"/>
      <c r="M52" s="785"/>
      <c r="N52" s="785"/>
      <c r="O52" s="785"/>
      <c r="P52" s="785"/>
      <c r="Q52" s="1964"/>
      <c r="R52" s="1965"/>
    </row>
    <row r="53" spans="1:18" s="1942" customFormat="1">
      <c r="A53" s="1958" t="str">
        <f>'NUHM Metro Abst'!A13</f>
        <v>U.1.1.1.3</v>
      </c>
      <c r="B53" s="1958">
        <f>'NUHM Metro Abst'!B13</f>
        <v>0</v>
      </c>
      <c r="C53" s="1958" t="str">
        <f>'NUHM Metro Abst'!C13</f>
        <v>Support for implementation of NLEP</v>
      </c>
      <c r="D53" s="1975"/>
      <c r="E53" s="1958" t="str">
        <f>'NUHM Metro Abst'!D13</f>
        <v>NLEP</v>
      </c>
      <c r="F53" s="1958">
        <f>'NUHM Metro Abst'!E13</f>
        <v>0</v>
      </c>
      <c r="G53" s="1958">
        <f>'NUHM Metro Abst'!F13</f>
        <v>0</v>
      </c>
      <c r="H53" s="1958">
        <f>'NUHM Metro Abst'!G13</f>
        <v>0</v>
      </c>
      <c r="I53" s="1958">
        <f>'NUHM Metro Abst'!H13</f>
        <v>0</v>
      </c>
      <c r="J53" s="1958">
        <f>'NUHM Metro Abst'!I13</f>
        <v>0</v>
      </c>
      <c r="K53" s="1958">
        <f>'NUHM Metro Abst'!J13</f>
        <v>0</v>
      </c>
      <c r="L53" s="1958">
        <f>'NUHM Metro Abst'!K13</f>
        <v>0</v>
      </c>
      <c r="M53" s="1958">
        <f>'NUHM Metro Abst'!L13</f>
        <v>0</v>
      </c>
      <c r="N53" s="1958">
        <f>'NUHM Metro Abst'!M13</f>
        <v>0</v>
      </c>
      <c r="O53" s="1958">
        <f>'NUHM Metro Abst'!N13</f>
        <v>0</v>
      </c>
      <c r="P53" s="1958">
        <f>'NUHM Metro Abst'!O13</f>
        <v>0</v>
      </c>
      <c r="Q53" s="55"/>
      <c r="R53" s="55"/>
    </row>
  </sheetData>
  <sheetProtection sheet="1" formatCells="0" formatColumns="0" formatRows="0" autoFilter="0"/>
  <autoFilter ref="A5:M47"/>
  <mergeCells count="15">
    <mergeCell ref="Q4:R4"/>
    <mergeCell ref="E4:E5"/>
    <mergeCell ref="F4:J4"/>
    <mergeCell ref="K4:P4"/>
    <mergeCell ref="D4:D5"/>
    <mergeCell ref="A52:C52"/>
    <mergeCell ref="A1:C1"/>
    <mergeCell ref="A4:A5"/>
    <mergeCell ref="B4:B5"/>
    <mergeCell ref="C4:C5"/>
    <mergeCell ref="A13:A15"/>
    <mergeCell ref="A17:A20"/>
    <mergeCell ref="A21:A22"/>
    <mergeCell ref="A29:A30"/>
    <mergeCell ref="A50:C50"/>
  </mergeCells>
  <pageMargins left="0.7" right="0.7" top="0.75" bottom="0.75" header="0.3" footer="0.3"/>
</worksheet>
</file>

<file path=xl/worksheets/sheet38.xml><?xml version="1.0" encoding="utf-8"?>
<worksheet xmlns="http://schemas.openxmlformats.org/spreadsheetml/2006/main" xmlns:r="http://schemas.openxmlformats.org/officeDocument/2006/relationships">
  <sheetPr codeName="Sheet34">
    <tabColor theme="5" tint="0.79998168889431442"/>
  </sheetPr>
  <dimension ref="A1:R69"/>
  <sheetViews>
    <sheetView zoomScale="60" zoomScaleNormal="60" workbookViewId="0">
      <pane xSplit="3" ySplit="5" topLeftCell="H7" activePane="bottomRight" state="frozen"/>
      <selection activeCell="R108" sqref="R108"/>
      <selection pane="topRight" activeCell="R108" sqref="R108"/>
      <selection pane="bottomLeft" activeCell="R108" sqref="R108"/>
      <selection pane="bottomRight" activeCell="Q7" sqref="Q7"/>
    </sheetView>
  </sheetViews>
  <sheetFormatPr defaultColWidth="9.140625" defaultRowHeight="15"/>
  <cols>
    <col min="1" max="1" width="10.85546875" style="904" bestFit="1" customWidth="1"/>
    <col min="2" max="2" width="16" style="904" customWidth="1"/>
    <col min="3" max="3" width="46.85546875" style="904" bestFit="1" customWidth="1"/>
    <col min="4" max="4" width="5.5703125" style="868" bestFit="1" customWidth="1"/>
    <col min="5" max="5" width="16.42578125" style="868" bestFit="1" customWidth="1"/>
    <col min="6" max="6" width="20.7109375" style="868" customWidth="1"/>
    <col min="7" max="7" width="16.5703125" style="868" customWidth="1"/>
    <col min="8" max="8" width="16" style="978" customWidth="1"/>
    <col min="9" max="9" width="8.140625" style="868" bestFit="1" customWidth="1"/>
    <col min="10" max="10" width="12.140625" style="978" bestFit="1" customWidth="1"/>
    <col min="11" max="11" width="11.5703125" style="904" customWidth="1"/>
    <col min="12" max="12" width="12" style="904" customWidth="1"/>
    <col min="13" max="13" width="13" style="978" customWidth="1"/>
    <col min="14" max="14" width="9.140625" style="868"/>
    <col min="15" max="15" width="15.28515625" style="868" customWidth="1"/>
    <col min="16" max="16" width="38.28515625" style="904" customWidth="1"/>
    <col min="17" max="17" width="39.85546875" style="868" customWidth="1"/>
    <col min="18" max="18" width="13" style="978" customWidth="1"/>
    <col min="19" max="16384" width="9.140625" style="868"/>
  </cols>
  <sheetData>
    <row r="1" spans="1:18">
      <c r="A1" s="4107" t="s">
        <v>4551</v>
      </c>
      <c r="B1" s="4103"/>
      <c r="C1" s="4103"/>
      <c r="D1" s="1840"/>
      <c r="E1" s="1840"/>
      <c r="F1" s="83" t="s">
        <v>4527</v>
      </c>
      <c r="G1" s="1841"/>
      <c r="H1" s="1841"/>
      <c r="I1" s="1841"/>
      <c r="J1" s="1841"/>
      <c r="K1" s="2021"/>
      <c r="L1" s="2021"/>
      <c r="M1" s="1841"/>
      <c r="R1" s="868"/>
    </row>
    <row r="2" spans="1:18">
      <c r="A2" s="1842" t="str">
        <f>HYPERLINK("#Index!F3", "Index Pg")</f>
        <v>Index Pg</v>
      </c>
      <c r="B2" s="1847"/>
      <c r="C2" s="864" t="str">
        <f>HYPERLINK("#'Budget Summary I'!A1:AL1", "Budget Summary I")</f>
        <v>Budget Summary I</v>
      </c>
      <c r="D2" s="2022"/>
      <c r="E2" s="1463" t="s">
        <v>4460</v>
      </c>
      <c r="F2" s="161">
        <f>R6+R10+R12+R18+R20+R29+R32+R36+R40+R44+R47+R51+R56</f>
        <v>1473.08</v>
      </c>
      <c r="G2" s="1145"/>
      <c r="H2" s="1145"/>
      <c r="I2" s="1145"/>
      <c r="J2" s="1145"/>
      <c r="K2" s="2023"/>
      <c r="L2" s="2023"/>
      <c r="M2" s="1145"/>
      <c r="R2" s="868"/>
    </row>
    <row r="3" spans="1:18" s="2024" customFormat="1">
      <c r="A3" s="1846"/>
      <c r="B3" s="1847"/>
      <c r="C3" s="864" t="str">
        <f>HYPERLINK("#'Budget Summary II'!A3:B5", "Budget Summary II")</f>
        <v>Budget Summary II</v>
      </c>
      <c r="D3" s="2022"/>
      <c r="E3" s="1463" t="s">
        <v>4461</v>
      </c>
      <c r="F3" s="161">
        <f>O6+O10+O12+O18+O20+O29+O32+O36+O40+O44+O47+O51+O56</f>
        <v>1473.0540400000002</v>
      </c>
      <c r="G3" s="1145"/>
      <c r="H3" s="1145"/>
      <c r="I3" s="1145"/>
      <c r="J3" s="1145"/>
      <c r="K3" s="2023"/>
      <c r="M3" s="1145"/>
      <c r="P3" s="2118"/>
    </row>
    <row r="4" spans="1:18">
      <c r="A4" s="3801" t="s">
        <v>48</v>
      </c>
      <c r="B4" s="3801" t="s">
        <v>49</v>
      </c>
      <c r="C4" s="3801" t="s">
        <v>50</v>
      </c>
      <c r="D4" s="3801" t="s">
        <v>51</v>
      </c>
      <c r="E4" s="3801" t="s">
        <v>52</v>
      </c>
      <c r="F4" s="3799" t="s">
        <v>4478</v>
      </c>
      <c r="G4" s="3799"/>
      <c r="H4" s="3799"/>
      <c r="I4" s="3799"/>
      <c r="J4" s="3799"/>
      <c r="K4" s="3799" t="s">
        <v>4484</v>
      </c>
      <c r="L4" s="3799"/>
      <c r="M4" s="3799"/>
      <c r="N4" s="3799"/>
      <c r="O4" s="3799"/>
      <c r="P4" s="3799"/>
      <c r="Q4" s="3800" t="s">
        <v>4514</v>
      </c>
      <c r="R4" s="3800"/>
    </row>
    <row r="5" spans="1:18" ht="60">
      <c r="A5" s="3801"/>
      <c r="B5" s="3801"/>
      <c r="C5" s="3801"/>
      <c r="D5" s="3801"/>
      <c r="E5" s="3801"/>
      <c r="F5" s="918" t="s">
        <v>4479</v>
      </c>
      <c r="G5" s="918" t="s">
        <v>4482</v>
      </c>
      <c r="H5" s="918" t="s">
        <v>4480</v>
      </c>
      <c r="I5" s="918" t="s">
        <v>4483</v>
      </c>
      <c r="J5" s="918" t="s">
        <v>2448</v>
      </c>
      <c r="K5" s="919" t="s">
        <v>53</v>
      </c>
      <c r="L5" s="919" t="s">
        <v>54</v>
      </c>
      <c r="M5" s="920" t="s">
        <v>55</v>
      </c>
      <c r="N5" s="919" t="s">
        <v>56</v>
      </c>
      <c r="O5" s="920" t="s">
        <v>57</v>
      </c>
      <c r="P5" s="1924" t="s">
        <v>58</v>
      </c>
      <c r="Q5" s="921" t="s">
        <v>2450</v>
      </c>
      <c r="R5" s="922" t="s">
        <v>4515</v>
      </c>
    </row>
    <row r="6" spans="1:18">
      <c r="A6" s="1858">
        <f>'1.SD Facility Based Annex'!A7</f>
        <v>1</v>
      </c>
      <c r="B6" s="1858"/>
      <c r="C6" s="1858" t="str">
        <f>'1.SD Facility Based Annex'!C7</f>
        <v>Service Delivery - Facility Based</v>
      </c>
      <c r="D6" s="1860"/>
      <c r="E6" s="1860"/>
      <c r="F6" s="1860"/>
      <c r="G6" s="1860"/>
      <c r="H6" s="994"/>
      <c r="I6" s="1860"/>
      <c r="J6" s="994"/>
      <c r="K6" s="1858"/>
      <c r="L6" s="1858"/>
      <c r="M6" s="994"/>
      <c r="N6" s="994"/>
      <c r="O6" s="994">
        <f>SUM(O7:O9)</f>
        <v>526.82279000000005</v>
      </c>
      <c r="P6" s="1150"/>
      <c r="Q6" s="994"/>
      <c r="R6" s="994">
        <f>SUM(R7:R9)</f>
        <v>526.82000000000005</v>
      </c>
    </row>
    <row r="7" spans="1:18" s="869" customFormat="1" ht="409.5">
      <c r="A7" s="1862" t="str">
        <f>'1.SD Facility Based Annex'!A38</f>
        <v>1.1.5.7</v>
      </c>
      <c r="B7" s="972">
        <f>'1.SD Facility Based Annex'!B38</f>
        <v>0</v>
      </c>
      <c r="C7" s="1864" t="str">
        <f>'1.SD Facility Based Annex'!C38</f>
        <v>Diagnosis and Management under Latent TB Infection Management</v>
      </c>
      <c r="D7" s="1862" t="str">
        <f>'1.SD Facility Based Annex'!D38</f>
        <v>NDCP</v>
      </c>
      <c r="E7" s="1862" t="str">
        <f>'1.SD Facility Based Annex'!E38</f>
        <v>NTEP</v>
      </c>
      <c r="F7" s="2025">
        <f>'1.SD Facility Based Annex'!F38</f>
        <v>0</v>
      </c>
      <c r="G7" s="2025">
        <f>'1.SD Facility Based Annex'!G38</f>
        <v>0</v>
      </c>
      <c r="H7" s="2025">
        <f>'1.SD Facility Based Annex'!H38</f>
        <v>0</v>
      </c>
      <c r="I7" s="2025">
        <f>'1.SD Facility Based Annex'!I38</f>
        <v>0</v>
      </c>
      <c r="J7" s="2025">
        <f>'1.SD Facility Based Annex'!J38</f>
        <v>0</v>
      </c>
      <c r="K7" s="2025">
        <f>'1.SD Facility Based Annex'!K38</f>
        <v>0</v>
      </c>
      <c r="L7" s="2025">
        <f>'1.SD Facility Based Annex'!L38</f>
        <v>1078</v>
      </c>
      <c r="M7" s="962">
        <f>'1.SD Facility Based Annex'!M38</f>
        <v>1.078E-2</v>
      </c>
      <c r="N7" s="2025">
        <f>'1.SD Facility Based Annex'!N38</f>
        <v>5260</v>
      </c>
      <c r="O7" s="962">
        <f>'1.SD Facility Based Annex'!O38</f>
        <v>56.702799999999996</v>
      </c>
      <c r="P7" s="2891" t="str">
        <f>'1.SD Facility Based Annex'!P38</f>
        <v xml:space="preserve">Central TB Division Government of India has shared a “Guidance document on TB Preventive Treatment” for the upcoming PIPs for the year 2021-22 on14th December 2020. As per the guidance document, State will roll out LTBI management in a phased manner. State has selected 4 Districts (Bilaspur, Una, Kinnaur and Lahul &amp; Spiti) for roll out of LTBI management in the 1st phase based upon lowest TB burden in the State in 2020. District Bilaspur recorded TB burden of 115 cases/lac/annum, whereas District Una and Kinnaur has 106 cases/lac/annum and Lahul&amp; Spiti has 52 cases/lac/annum in 2020.All the 4 districts (Bilaspur, Una, Kinnaur and Lahul &amp; Spiti) has around 1100 microbiologically confirmed TB cases in a year. Considering the family size of 5 persons in Himachal Pradesh, there are estimated 4400contacts (1100*4) of these microbiologically confirmed TB patients. Out of these 4400 contacts, about 10% will be of age &lt;5 years (440 No.). In addition, 300no. patients undergoing dialysis, 100 no. patients on chemotherapy and 70no. newly diagnosed PLHIV will also be offered LTBI management.Total eligible for LTBI will be (4400+300+100+70) =4870Strategies for Testing and treatment 1. For population of age &lt; 5 years: Screening for ruling out active TB will be done by Medical Officer, once active TB is ruled out, child is put on IPT (INH @Rs.10 mg/kg) for 6 months. 2. For newly diagnosed PLHIV: Screening for ruling out active TB will be done by ART-Medical Officer, once active TB is ruled out, PLHIV is put on IPT (INH @Rs.10 mg/kg) for 6 months. Paediatric contacts of age &lt; 6 years and PLHIV are already being initiated on IPT as per the existing guidelines. 3. For population of age 5years and above (4400-440=3960No.): All contacts will be tested using IGRA. Estimated cost of IGRA including transportation of blood sample is Rs. 1300/-. Hence total estimated cost for IGRA testing will be Rs. 5148000/-.4. Patients undergoing dialysis (300 no.) and patients on chemotherapy (100 no.) will also be offered testing with IGRA, estimated cost will be Rs. 1300* 400= Rs. 520000/- only.5. Hence total amount of testing with IGRA proposed is Rs 5668000/-6. It is anticipated that IGRA will be positive among 60% of this population. As per the guidelines, child of age &lt; 5years and PLHIV will be treated as per the ongoing regimen 6H, whereas adult contacts will be treated with 3HR and or3HP regimen, all drugs will be supplied by Central TB Division. </v>
      </c>
      <c r="Q7" s="1892" t="s">
        <v>5701</v>
      </c>
      <c r="R7" s="691">
        <v>56.7</v>
      </c>
    </row>
    <row r="8" spans="1:18" ht="300">
      <c r="A8" s="2026" t="str">
        <f>'1.SD Facility Based Annex'!A79</f>
        <v>1.2.3.2</v>
      </c>
      <c r="B8" s="2026" t="str">
        <f>'1.SD Facility Based Annex'!B79</f>
        <v xml:space="preserve">H.3.5 </v>
      </c>
      <c r="C8" s="1558" t="str">
        <f>'1.SD Facility Based Annex'!C79</f>
        <v>TB Patient Nutritional Support under Nikshay Poshan Yojana</v>
      </c>
      <c r="D8" s="2026" t="str">
        <f>'1.SD Facility Based Annex'!D79</f>
        <v>NDCP</v>
      </c>
      <c r="E8" s="2026" t="str">
        <f>'1.SD Facility Based Annex'!E79</f>
        <v>NTEP</v>
      </c>
      <c r="F8" s="2027">
        <f>'1.SD Facility Based Annex'!F79</f>
        <v>15000</v>
      </c>
      <c r="G8" s="2027">
        <f>'1.SD Facility Based Annex'!G79</f>
        <v>12000</v>
      </c>
      <c r="H8" s="2027">
        <f>'1.SD Facility Based Annex'!H79</f>
        <v>450</v>
      </c>
      <c r="I8" s="2027">
        <f>'1.SD Facility Based Annex'!I79</f>
        <v>465</v>
      </c>
      <c r="J8" s="2027">
        <f>'1.SD Facility Based Annex'!J79</f>
        <v>47</v>
      </c>
      <c r="K8" s="2027">
        <f>'1.SD Facility Based Annex'!K79</f>
        <v>15000</v>
      </c>
      <c r="L8" s="2027">
        <f>'1.SD Facility Based Annex'!L79</f>
        <v>3100</v>
      </c>
      <c r="M8" s="162">
        <f>'1.SD Facility Based Annex'!M79</f>
        <v>3.1E-2</v>
      </c>
      <c r="N8" s="2027">
        <f>'1.SD Facility Based Annex'!N79</f>
        <v>15000</v>
      </c>
      <c r="O8" s="162">
        <f>'1.SD Facility Based Annex'!O79</f>
        <v>465</v>
      </c>
      <c r="P8" s="2892" t="str">
        <f>'1.SD Facility Based Annex'!P79</f>
        <v>NTEP-3  (3,5)        Rs 3.90 Cr for 15,000 Pt.(13,000*500*6) TB patients (including patients from private sector proposed as per GOI instructions for Nikshay Poshan Yojana (NPY) for providing nutritional support to TB patients @ Rs 500/-month during the treatment period for all the patients from public and private sector. The Total cost of Rs. 4.65 Cr. proposed under PIP 2021-22.MDR TB Patient treatment is for 1-2 years and they are also eligible for 500 per month for DBT. Approx. MDR TB Patients are 500*6000. So  fund purposed is 30.00 Lac.Private TB Patients 1,500*500*6 per month for DBT so we purposed fund 45.00 lac.Total fund purposed for Nikshay Poshan Yojana are: 4,65,00,000(4.65 Cr.)(Nutrition support at an average of Rs. 500 per month till completion of treatment).</v>
      </c>
      <c r="Q8" s="1892" t="s">
        <v>5702</v>
      </c>
      <c r="R8" s="1448">
        <f>(14500*3000+500*6000)/100000</f>
        <v>465</v>
      </c>
    </row>
    <row r="9" spans="1:18" ht="210">
      <c r="A9" s="2026" t="str">
        <f>'1.SD Facility Based Annex'!A95</f>
        <v>1.3.1.12</v>
      </c>
      <c r="B9" s="2026" t="str">
        <f>'1.SD Facility Based Annex'!B95</f>
        <v>H.5</v>
      </c>
      <c r="C9" s="1558" t="str">
        <f>'1.SD Facility Based Annex'!C95</f>
        <v>Maintenance of office equipment for DTC, DRTB centre and Labs (under NTEP)</v>
      </c>
      <c r="D9" s="2026" t="str">
        <f>'1.SD Facility Based Annex'!D95</f>
        <v>NDCP</v>
      </c>
      <c r="E9" s="2026" t="str">
        <f>'1.SD Facility Based Annex'!E95</f>
        <v>NTEP</v>
      </c>
      <c r="F9" s="2027">
        <f>'1.SD Facility Based Annex'!F95</f>
        <v>26</v>
      </c>
      <c r="G9" s="2027">
        <f>'1.SD Facility Based Annex'!G95</f>
        <v>20</v>
      </c>
      <c r="H9" s="2027">
        <f>'1.SD Facility Based Annex'!H95</f>
        <v>3.7</v>
      </c>
      <c r="I9" s="2027">
        <f>'1.SD Facility Based Annex'!I95</f>
        <v>1.81</v>
      </c>
      <c r="J9" s="2027">
        <f>'1.SD Facility Based Annex'!J95</f>
        <v>1.6</v>
      </c>
      <c r="K9" s="2027">
        <f>'1.SD Facility Based Annex'!K95</f>
        <v>329</v>
      </c>
      <c r="L9" s="2027">
        <f>'1.SD Facility Based Annex'!L95</f>
        <v>6481</v>
      </c>
      <c r="M9" s="162">
        <f>'1.SD Facility Based Annex'!M95</f>
        <v>6.4810000000000006E-2</v>
      </c>
      <c r="N9" s="2027">
        <f>'1.SD Facility Based Annex'!N95</f>
        <v>79</v>
      </c>
      <c r="O9" s="162">
        <f>'1.SD Facility Based Annex'!O95</f>
        <v>5.1199900000000005</v>
      </c>
      <c r="P9" s="2892" t="str">
        <f>'1.SD Facility Based Annex'!P95</f>
        <v xml:space="preserve">NTEP-1     Maintenance cost of office equipments at DTCs, Nodal DRTB Centres, STDC, IRL, SDS and operational cost of generator installed at IRL . 1. Maintenance cost of printers, computer and  UPS  for DTC (36):-   Nodal DRTB Centre (4), STDC Dharampur (1), IRL (3 ), SDS (3) and STC (3) and 53  Desktops provided for DTC  and  District DR-TB Center and 12 laptops  computers procurred  under NTEP is proposed. POL worth Rs. 1,20,000/-for  genset installed at  IRL Dharampur proposed under PIP 2021-22 </v>
      </c>
      <c r="Q9" s="1892" t="s">
        <v>5703</v>
      </c>
      <c r="R9" s="1448">
        <v>5.12</v>
      </c>
    </row>
    <row r="10" spans="1:18">
      <c r="A10" s="331">
        <f>'2.SD Community Based Annex'!A7</f>
        <v>2</v>
      </c>
      <c r="B10" s="331"/>
      <c r="C10" s="331" t="str">
        <f>'2.SD Community Based Annex'!C7</f>
        <v>Service Delivery - Community Based</v>
      </c>
      <c r="D10" s="1812"/>
      <c r="E10" s="1812"/>
      <c r="F10" s="1812"/>
      <c r="G10" s="1812"/>
      <c r="H10" s="994"/>
      <c r="I10" s="1812"/>
      <c r="J10" s="994"/>
      <c r="K10" s="331"/>
      <c r="L10" s="331"/>
      <c r="M10" s="994"/>
      <c r="N10" s="994"/>
      <c r="O10" s="994">
        <f>O11</f>
        <v>0</v>
      </c>
      <c r="P10" s="1150"/>
      <c r="Q10" s="115"/>
      <c r="R10" s="115">
        <f>R11</f>
        <v>0</v>
      </c>
    </row>
    <row r="11" spans="1:18" ht="30">
      <c r="A11" s="2026" t="str">
        <f>'2.SD Community Based Annex'!A54</f>
        <v>2.3.2.8</v>
      </c>
      <c r="B11" s="2026">
        <f>'2.SD Community Based Annex'!B54</f>
        <v>0</v>
      </c>
      <c r="C11" s="1558" t="str">
        <f>'2.SD Community Based Annex'!C54</f>
        <v>Screening, referral linkages and follow-up under Latent TB Infection Management</v>
      </c>
      <c r="D11" s="2026" t="str">
        <f>'2.SD Community Based Annex'!D54</f>
        <v>NDCP</v>
      </c>
      <c r="E11" s="2026" t="str">
        <f>'2.SD Community Based Annex'!E54</f>
        <v>NTEP</v>
      </c>
      <c r="F11" s="2027">
        <f>'2.SD Community Based Annex'!F54</f>
        <v>7100</v>
      </c>
      <c r="G11" s="2027">
        <f>'2.SD Community Based Annex'!G54</f>
        <v>564</v>
      </c>
      <c r="H11" s="2027">
        <f>'2.SD Community Based Annex'!H54</f>
        <v>7.1</v>
      </c>
      <c r="I11" s="2027">
        <f>'2.SD Community Based Annex'!I54</f>
        <v>3</v>
      </c>
      <c r="J11" s="2027">
        <f>'2.SD Community Based Annex'!J54</f>
        <v>5</v>
      </c>
      <c r="K11" s="2027">
        <f>'2.SD Community Based Annex'!K54</f>
        <v>0</v>
      </c>
      <c r="L11" s="2027">
        <f>'2.SD Community Based Annex'!L54</f>
        <v>0</v>
      </c>
      <c r="M11" s="162">
        <f>'2.SD Community Based Annex'!M54</f>
        <v>0</v>
      </c>
      <c r="N11" s="2027">
        <f>'2.SD Community Based Annex'!N54</f>
        <v>0</v>
      </c>
      <c r="O11" s="162">
        <f>'2.SD Community Based Annex'!O54</f>
        <v>0</v>
      </c>
      <c r="P11" s="2892">
        <f>'2.SD Community Based Annex'!P54</f>
        <v>0</v>
      </c>
      <c r="Q11" s="1892"/>
      <c r="R11" s="2020"/>
    </row>
    <row r="12" spans="1:18">
      <c r="A12" s="331">
        <f>'3.Community Intervention Annexn'!A7</f>
        <v>3</v>
      </c>
      <c r="B12" s="331"/>
      <c r="C12" s="331" t="str">
        <f>'3.Community Intervention Annexn'!C7</f>
        <v>Community Interventions</v>
      </c>
      <c r="D12" s="1812"/>
      <c r="E12" s="1812"/>
      <c r="F12" s="1812"/>
      <c r="G12" s="1812"/>
      <c r="H12" s="994"/>
      <c r="I12" s="1812"/>
      <c r="J12" s="994"/>
      <c r="K12" s="331"/>
      <c r="L12" s="331"/>
      <c r="M12" s="994"/>
      <c r="N12" s="994"/>
      <c r="O12" s="994">
        <f>SUM(O13:O17)</f>
        <v>105.7</v>
      </c>
      <c r="P12" s="1150"/>
      <c r="Q12" s="115"/>
      <c r="R12" s="115">
        <f>SUM(R13:R17)</f>
        <v>105.7</v>
      </c>
    </row>
    <row r="13" spans="1:18" ht="195">
      <c r="A13" s="2026" t="str">
        <f>'3.Community Intervention Annexn'!A41</f>
        <v>3.2.3.1.1</v>
      </c>
      <c r="B13" s="2026" t="str">
        <f>'3-A. CI Sub-Annex'!B107</f>
        <v>H.3.1</v>
      </c>
      <c r="C13" s="1558" t="str">
        <f>'3-A. CI Sub-Annex'!C107</f>
        <v>Treatment Supporter Honorarium (Rs 1000)</v>
      </c>
      <c r="D13" s="2026" t="str">
        <f>'3-A. CI Sub-Annex'!D107</f>
        <v>NDCP</v>
      </c>
      <c r="E13" s="2026" t="str">
        <f>'3-A. CI Sub-Annex'!E107</f>
        <v>NTEP</v>
      </c>
      <c r="F13" s="2026">
        <f>'3-A. CI Sub-Annex'!F107</f>
        <v>7000</v>
      </c>
      <c r="G13" s="2026">
        <f>'3-A. CI Sub-Annex'!G107</f>
        <v>4500</v>
      </c>
      <c r="H13" s="2026">
        <f>'3-A. CI Sub-Annex'!H107</f>
        <v>70</v>
      </c>
      <c r="I13" s="2026">
        <f>'3-A. CI Sub-Annex'!I107</f>
        <v>27.51</v>
      </c>
      <c r="J13" s="2026">
        <f>'3-A. CI Sub-Annex'!J107</f>
        <v>40</v>
      </c>
      <c r="K13" s="2026">
        <f>'3-A. CI Sub-Annex'!K107</f>
        <v>7000</v>
      </c>
      <c r="L13" s="2026">
        <f>'3-A. CI Sub-Annex'!L107</f>
        <v>1000</v>
      </c>
      <c r="M13" s="162">
        <f>'3-A. CI Sub-Annex'!M107</f>
        <v>0.01</v>
      </c>
      <c r="N13" s="2026">
        <f>'3-A. CI Sub-Annex'!N107</f>
        <v>7000</v>
      </c>
      <c r="O13" s="162">
        <f>'3-A. CI Sub-Annex'!O107</f>
        <v>70</v>
      </c>
      <c r="P13" s="2790" t="str">
        <f>'3-A. CI Sub-Annex'!P107</f>
        <v>NTEP-3    This is for Treatment Supporter Honorarium @ Rs 1000/patient (Drug Sensitive TB patient).These may be for any non-salaried person like ASHA,AWW, PRIs Any Community volunteer, previously cured TB patient and Chemists etc. The responsibility of such person will be to provide DOTS as per guideline. Approx. TB Patients are 7000*1000 and fund purposed is 70.00 lakhs.Honorarium to treatment supporter to be disbursed upon completion or cure of TB patient.</v>
      </c>
      <c r="Q13" s="1892" t="s">
        <v>5704</v>
      </c>
      <c r="R13" s="2020">
        <f>7000*1000/100000</f>
        <v>70</v>
      </c>
    </row>
    <row r="14" spans="1:18" ht="255">
      <c r="A14" s="2026" t="str">
        <f>'3.Community Intervention Annexn'!A42</f>
        <v>3.2.3.1.2</v>
      </c>
      <c r="B14" s="2026" t="str">
        <f>'3-A. CI Sub-Annex'!B108</f>
        <v>H.3.4</v>
      </c>
      <c r="C14" s="1558" t="str">
        <f>'3-A. CI Sub-Annex'!C108</f>
        <v>Treatment Supporter Honorarium (Rs 5000)</v>
      </c>
      <c r="D14" s="2026" t="str">
        <f>'3-A. CI Sub-Annex'!D108</f>
        <v>NDCP</v>
      </c>
      <c r="E14" s="2026" t="str">
        <f>'3-A. CI Sub-Annex'!E108</f>
        <v>NTEP</v>
      </c>
      <c r="F14" s="2026">
        <f>'3-A. CI Sub-Annex'!F108</f>
        <v>100</v>
      </c>
      <c r="G14" s="2026">
        <f>'3-A. CI Sub-Annex'!G108</f>
        <v>80</v>
      </c>
      <c r="H14" s="2026">
        <f>'3-A. CI Sub-Annex'!H108</f>
        <v>5</v>
      </c>
      <c r="I14" s="2026">
        <f>'3-A. CI Sub-Annex'!I108</f>
        <v>0.62</v>
      </c>
      <c r="J14" s="2026">
        <f>'3-A. CI Sub-Annex'!J108</f>
        <v>2</v>
      </c>
      <c r="K14" s="2026">
        <f>'3-A. CI Sub-Annex'!K108</f>
        <v>100</v>
      </c>
      <c r="L14" s="2026">
        <f>'3-A. CI Sub-Annex'!L108</f>
        <v>5000</v>
      </c>
      <c r="M14" s="162">
        <f>'3-A. CI Sub-Annex'!M108</f>
        <v>0.05</v>
      </c>
      <c r="N14" s="2026">
        <f>'3-A. CI Sub-Annex'!N108</f>
        <v>100</v>
      </c>
      <c r="O14" s="162">
        <f>'3-A. CI Sub-Annex'!O108</f>
        <v>5</v>
      </c>
      <c r="P14" s="2790" t="str">
        <f>'3-A. CI Sub-Annex'!P108</f>
        <v>NTEP-3    Funds under this head has been allocated for Treatment Supporter Honorarium for providing DOTS to Drug Resistant TB cases.Honorarium to treatment supporter to be disbursed upon completion or cure of TB patient. Rs. 5000 (Rs. 2000 at the end of IP   and Rs. 3000 for CP) for Drug Resistant TB patients (including shorter regimen, MDR and XoR TB patients or as per latest programme guidelines). These may be for any non-salaried person like ASHA, AWW, PRIs Any Community volunteer, previously cured TB patient and Chemists etc. So the Approx. TB patients are 100*5000 and  purposed fund is 5.00 Lakh.</v>
      </c>
      <c r="Q14" s="1892" t="s">
        <v>5705</v>
      </c>
      <c r="R14" s="2020">
        <v>5</v>
      </c>
    </row>
    <row r="15" spans="1:18" ht="375">
      <c r="A15" s="2026" t="str">
        <f>'3.Community Intervention Annexn'!A43</f>
        <v>3.2.3.1.3</v>
      </c>
      <c r="B15" s="2026">
        <f>'3-A. CI Sub-Annex'!B109</f>
        <v>0</v>
      </c>
      <c r="C15" s="1558" t="str">
        <f>'3-A. CI Sub-Annex'!C109</f>
        <v>Incentive for informant (Rs 500)</v>
      </c>
      <c r="D15" s="2026" t="str">
        <f>'3-A. CI Sub-Annex'!D109</f>
        <v>NDCP</v>
      </c>
      <c r="E15" s="2026" t="str">
        <f>'3-A. CI Sub-Annex'!E109</f>
        <v>NTEP</v>
      </c>
      <c r="F15" s="2026">
        <f>'3-A. CI Sub-Annex'!F109</f>
        <v>3000</v>
      </c>
      <c r="G15" s="2026">
        <f>'3-A. CI Sub-Annex'!G109</f>
        <v>995</v>
      </c>
      <c r="H15" s="2026">
        <f>'3-A. CI Sub-Annex'!H109</f>
        <v>5</v>
      </c>
      <c r="I15" s="2026">
        <f>'3-A. CI Sub-Annex'!I109</f>
        <v>1.75</v>
      </c>
      <c r="J15" s="2026">
        <f>'3-A. CI Sub-Annex'!J109</f>
        <v>5</v>
      </c>
      <c r="K15" s="2026">
        <f>'3-A. CI Sub-Annex'!K109</f>
        <v>3000</v>
      </c>
      <c r="L15" s="2026">
        <f>'3-A. CI Sub-Annex'!L109</f>
        <v>500</v>
      </c>
      <c r="M15" s="162">
        <f>'3-A. CI Sub-Annex'!M109</f>
        <v>5.0000000000000001E-3</v>
      </c>
      <c r="N15" s="2026">
        <f>'3-A. CI Sub-Annex'!N109</f>
        <v>3000</v>
      </c>
      <c r="O15" s="162">
        <f>'3-A. CI Sub-Annex'!O109</f>
        <v>15</v>
      </c>
      <c r="P15" s="2790" t="str">
        <f>'3-A. CI Sub-Annex'!P109</f>
        <v>NTEP-1 (1)    Funds under this head has been allocated as Incentive for informant @ Rs 500/-patient. This scheme is launched by Government of India on 9th-July-2019 with D.O No. Z-28015/24/2017-TBto increase the TB case notification. Incentive to informant for referral of presumptive TB patients to public health facility is to be given on diagnosis of TB. Rs. 500 for referral of presumptive TB patient to public health facility and diagnosis as TB. Any non-salaried person such as Patient himself/herself, ASHA, AWW, PRI, Chemists, Community Volunteers, Private practitioners etc. who refers the presumptive TB patients using the triplicate referral form/Nikshay to nearest DMC/CBNAAT and patient comes out to be Microbiologically confirmed, the “Informant” as described above is eligible to receive the informer incentive of Rs. 500/- patient. This scheme is also implemented through DBT.</v>
      </c>
      <c r="Q15" s="1892" t="s">
        <v>5706</v>
      </c>
      <c r="R15" s="2020">
        <v>15</v>
      </c>
    </row>
    <row r="16" spans="1:18" ht="120">
      <c r="A16" s="2026" t="str">
        <f>'3.Community Intervention Annexn'!A44</f>
        <v>3.2.3.1.4</v>
      </c>
      <c r="B16" s="2026">
        <f>'3-A. CI Sub-Annex'!B110</f>
        <v>0</v>
      </c>
      <c r="C16" s="1558" t="str">
        <f>'3-A. CI Sub-Annex'!C110</f>
        <v>State/District TB Forums</v>
      </c>
      <c r="D16" s="2026" t="str">
        <f>'3-A. CI Sub-Annex'!D110</f>
        <v>NDCP</v>
      </c>
      <c r="E16" s="2026" t="str">
        <f>'3-A. CI Sub-Annex'!E110</f>
        <v>NTEP</v>
      </c>
      <c r="F16" s="2026">
        <f>'3-A. CI Sub-Annex'!F110</f>
        <v>0</v>
      </c>
      <c r="G16" s="2026">
        <f>'3-A. CI Sub-Annex'!G110</f>
        <v>0</v>
      </c>
      <c r="H16" s="2026">
        <f>'3-A. CI Sub-Annex'!H110</f>
        <v>0</v>
      </c>
      <c r="I16" s="2026">
        <f>'3-A. CI Sub-Annex'!I110</f>
        <v>0</v>
      </c>
      <c r="J16" s="2026">
        <f>'3-A. CI Sub-Annex'!J110</f>
        <v>0</v>
      </c>
      <c r="K16" s="2026">
        <f>'3-A. CI Sub-Annex'!K110</f>
        <v>1</v>
      </c>
      <c r="L16" s="2026">
        <f>'3-A. CI Sub-Annex'!L110</f>
        <v>31538</v>
      </c>
      <c r="M16" s="162">
        <f>'3-A. CI Sub-Annex'!M110</f>
        <v>0.31537999999999999</v>
      </c>
      <c r="N16" s="2026">
        <f>'3-A. CI Sub-Annex'!N110</f>
        <v>26</v>
      </c>
      <c r="O16" s="162">
        <f>'3-A. CI Sub-Annex'!O110</f>
        <v>8.1998800000000003</v>
      </c>
      <c r="P16" s="2790" t="str">
        <f>'3-A. CI Sub-Annex'!P110</f>
        <v xml:space="preserve">NTEP-2:-   Funds for state level TB Forum Meeting 1 meetings in twice a year @ 50000 , Total =. 50000x2=1.00 lacs + District TB Forum Meetings Total 12 districts  , 1 meeting twice a year@30,000 per meeting  . Hence total = 12x2x30000= 7.20 lacs . Total funds for State and District Forum = 8.20 lacs proposed.    </v>
      </c>
      <c r="Q16" s="1892" t="s">
        <v>5707</v>
      </c>
      <c r="R16" s="2020">
        <f>1+12*0.6</f>
        <v>8.1999999999999993</v>
      </c>
    </row>
    <row r="17" spans="1:18" ht="195">
      <c r="A17" s="2026"/>
      <c r="B17" s="2026">
        <f>'3-A. CI Sub-Annex'!B111</f>
        <v>0</v>
      </c>
      <c r="C17" s="1558" t="str">
        <f>'3-A. CI Sub-Annex'!C111</f>
        <v>Community engagement activities</v>
      </c>
      <c r="D17" s="2026" t="str">
        <f>'3-A. CI Sub-Annex'!D111</f>
        <v>NDCP</v>
      </c>
      <c r="E17" s="2026" t="str">
        <f>'3-A. CI Sub-Annex'!E111</f>
        <v>NTEP</v>
      </c>
      <c r="F17" s="2026">
        <f>'3-A. CI Sub-Annex'!F111</f>
        <v>12</v>
      </c>
      <c r="G17" s="2026">
        <f>'3-A. CI Sub-Annex'!G111</f>
        <v>0</v>
      </c>
      <c r="H17" s="2026">
        <f>'3-A. CI Sub-Annex'!H111</f>
        <v>5</v>
      </c>
      <c r="I17" s="2026">
        <f>'3-A. CI Sub-Annex'!I111</f>
        <v>0</v>
      </c>
      <c r="J17" s="2026">
        <f>'3-A. CI Sub-Annex'!J111</f>
        <v>0</v>
      </c>
      <c r="K17" s="2026">
        <f>'3-A. CI Sub-Annex'!K111</f>
        <v>1</v>
      </c>
      <c r="L17" s="2026">
        <f>'3-A. CI Sub-Annex'!L111</f>
        <v>62501</v>
      </c>
      <c r="M17" s="162">
        <f>'3-A. CI Sub-Annex'!M111</f>
        <v>0.62500999999999995</v>
      </c>
      <c r="N17" s="2026">
        <f>'3-A. CI Sub-Annex'!N111</f>
        <v>12</v>
      </c>
      <c r="O17" s="162">
        <f>'3-A. CI Sub-Annex'!O111</f>
        <v>7.500119999999999</v>
      </c>
      <c r="P17" s="2790" t="str">
        <f>'3-A. CI Sub-Annex'!P111</f>
        <v xml:space="preserve">NTEP-2         Government of India has issued directions to identify the pools of TB Champions atleast at block level, These TB champions will successfully cured TB patients. Every Block will identify at least one TB champion in their block. built their capacity and utilize their services in spreading awareness about TB in the community..The funds   for capacity building of TB champions from all 12 districts, TA/DA and etc. proposed . Hence Total  7.50 lacs for all districts proposed. </v>
      </c>
      <c r="Q17" s="1892" t="s">
        <v>5708</v>
      </c>
      <c r="R17" s="2020">
        <v>7.5</v>
      </c>
    </row>
    <row r="18" spans="1:18">
      <c r="A18" s="1970">
        <f>'5.Infrastructure Annex'!A7</f>
        <v>5</v>
      </c>
      <c r="B18" s="1970"/>
      <c r="C18" s="1970" t="str">
        <f>'5.Infrastructure Annex'!C7</f>
        <v>Infrastructure</v>
      </c>
      <c r="D18" s="1969"/>
      <c r="E18" s="1969"/>
      <c r="F18" s="1969"/>
      <c r="G18" s="1969"/>
      <c r="H18" s="994"/>
      <c r="I18" s="1969"/>
      <c r="J18" s="994"/>
      <c r="K18" s="1970"/>
      <c r="L18" s="1970"/>
      <c r="M18" s="994"/>
      <c r="N18" s="994"/>
      <c r="O18" s="994">
        <f>O19</f>
        <v>125.68770000000001</v>
      </c>
      <c r="P18" s="1150"/>
      <c r="Q18" s="115"/>
      <c r="R18" s="115">
        <f>R19</f>
        <v>125.69</v>
      </c>
    </row>
    <row r="19" spans="1:18" ht="409.5">
      <c r="A19" s="1006" t="str">
        <f>'5.Infrastructure Annex'!A94</f>
        <v>5.3.14</v>
      </c>
      <c r="B19" s="1006"/>
      <c r="C19" s="2014" t="str">
        <f>'5.Infrastructure Annex'!C94</f>
        <v>Civil Works under NTEP</v>
      </c>
      <c r="D19" s="1006" t="str">
        <f>'5.Infrastructure Annex'!D94</f>
        <v>NDCP</v>
      </c>
      <c r="E19" s="1006" t="str">
        <f>'5.Infrastructure Annex'!E94</f>
        <v>NTEP</v>
      </c>
      <c r="F19" s="2028">
        <f>'5.Infrastructure Annex'!F94</f>
        <v>15</v>
      </c>
      <c r="G19" s="2028">
        <f>'5.Infrastructure Annex'!G94</f>
        <v>6</v>
      </c>
      <c r="H19" s="2028">
        <f>'5.Infrastructure Annex'!H94</f>
        <v>124.97</v>
      </c>
      <c r="I19" s="2028">
        <f>'5.Infrastructure Annex'!I94</f>
        <v>10.25</v>
      </c>
      <c r="J19" s="2028">
        <f>'5.Infrastructure Annex'!J94</f>
        <v>114</v>
      </c>
      <c r="K19" s="2028">
        <f>'5.Infrastructure Annex'!K94</f>
        <v>26</v>
      </c>
      <c r="L19" s="2028">
        <f>'5.Infrastructure Annex'!L94</f>
        <v>213030</v>
      </c>
      <c r="M19" s="162">
        <f>'5.Infrastructure Annex'!M94</f>
        <v>2.1303000000000001</v>
      </c>
      <c r="N19" s="2028">
        <f>'5.Infrastructure Annex'!N94</f>
        <v>59</v>
      </c>
      <c r="O19" s="162">
        <f>'5.Infrastructure Annex'!O94</f>
        <v>125.68770000000001</v>
      </c>
      <c r="P19" s="2893" t="str">
        <f>'5.Infrastructure Annex'!P94</f>
        <v>NTEP-1Funds under this head has been allocated for carrying out Civil Work under NTEP. Details of activities and allocated funds is as follow: -• Rs. 50000 maintenances cost of 5 DMCs, total proposed by District Bilaspur .• Rs.40,000/-  proposed by and  minor repair of 4  DMCs  by district Kullu district.• Rs.100000 proposed by District L&amp;S for repair of DMC Taboo, DMC Gondhla, DMC Kaza  and DMC Udhaypur  in the district .•  Rs.3.00 lacs Minor repair of DMC Lab IGMC Shimla for install CB-NAAT machine in the DMC Lab. • Rs. 5.50 lacs proposed by district Shimla for roof repair of DDS  Center DDU.• Rs. 80,000 lacs proposed by District Sirmaur for maintenance of DMC Narag  DMC Sarahan, DMC Rajgarh, DMC Sangrah, DMC Guttadhar, DMC Shillai, DMC Haripurdhar, DMC Nauradhar,  in the district.• Rs. 2,50000 proposed by District Hamirpur for repair and Iron paneling in the DTC Office Hamirpur. • Rs. 3,28,685 lacs proposed by District Kullu for repair and Iron paneling in the DTC.• Rs. 12,73,600 proposed by roof and repair of DTC  Mandi as per estimate from PWD Division • Rs. 2,02,222 estimate received from CMO Sirmaur for DR-TB center Pounta Sahib.• Rs 2,17,778 proposed by CMO Sirmaur for minor repair of TB Unit , Sarahan, Shillai and Sangrah  proposed @ 72500 each. • Rs. 4.00 lacs for DR-TB Center Ayurvedic Collage Paprola District kangra.• Rs. 5.00 lacs for repair of DTC walls at  Dharamshala • 25.00 lacs for Establishment of electrical transformer for made BSL-III Laboratory functional as per estimate from PWD Division at Dharampur. • The funds for provision of lift for Nodal DR-TB Center , Dr. RPGMC Tanda , district Kangra  amount of Rs. 55,25,500/- proposed. The cost of Ramp and R/ wall amount of Rs. 22,37,215 removed as discussed in NPCC meeting. • Total 25 new DMC proposed @10,000 each as per details mentioned below:1. PHC Tapri  Justifications:- Tribal Area: DMC Tapri will serve for the population of nearby PHCs i.e. PHC Urni, PHC Meeru, JSW Hospital Sholtu including PHC Tapri2. CHC Baroh Justifications:- No service in this area, can be made a hub for surrounding PHCs and HSCs3. Kala Amb Justifications:-Industrial Area, large no. of migrants.4. Kola WalaBhood Justification:-Hard to reach area, no service in the vicinity5. Dhagera Justification:- Hard to reach area, no service in the vicinity6. Staun Justifications:- Mining and stone crushing area, vulnerable population, migrant labor7. Majara Justifications:- Highly Populous area, industrial population.8. Nanidhar Justifications:- Hard to reach area, no service in the vicinity9. Kotidhiman Justifications:- Hard to reach area, no service in the vicinity10. Kalibari PHC Justifications:- 13 KM distance from nearest DMC, high patient load, industrial area11. PHC Kalol Justifications:- Services not available in the vicinity, can be made hub for other PHCs and HSCs12. PHC Behal Justifications:- Services not available in the vicinity, can be made hub for other PHCs and HSCs 13. Tihra Justifications:- Services not available in the vicinity, central point of Block Dharampur14. Sudhar Justifications:- Very hard area: Services not available in the vicinity15. Pandoh Justifications:-  Services not available in the vicinity; high patient load16. Baggi Justifications:-  High footfall, can be made a hub for large no of PHCs and HSCs17. Thalot Justifications:-  Services not available in the vicinity. Migrant labor  populous area18. Haraboi Justifications:-  Very hard area. Services not available in the vicinity.19. Churag Justifications:-  Hard area, Services not available in the vicinity, thickly populated. 20. Asla Justifications Hard area, Services not available in the vicinity 21. PHC JaonJustifications :-  PHC Jaon covers many hard areas. High footfall22. PHC Sundla Justifications PHC is located at centre point of Block Kihar, High patient load23. PHC SagnamJustifications :- Tribal Area, snow bound. Patient needs diagnostic service 24. CH SantoshGarh Justifications :- Civil Hospital: High footfall, can be made a hub for large no of PHCs and HSCs25. CHC Dhusara Justifications :- CHC: High footfall, can be made a hub for large no of PHCs and HSCsTotal= 125.59 lacs.</v>
      </c>
      <c r="Q19" s="2016" t="s">
        <v>5709</v>
      </c>
      <c r="R19" s="2020">
        <v>125.69</v>
      </c>
    </row>
    <row r="20" spans="1:18">
      <c r="A20" s="1970">
        <f>'6.Procurement Annex'!A7</f>
        <v>6</v>
      </c>
      <c r="B20" s="1970"/>
      <c r="C20" s="1970" t="str">
        <f>'6.Procurement Annex'!C7</f>
        <v>Procurement</v>
      </c>
      <c r="D20" s="1969"/>
      <c r="E20" s="1969"/>
      <c r="F20" s="1969"/>
      <c r="G20" s="1969"/>
      <c r="H20" s="994"/>
      <c r="I20" s="1969"/>
      <c r="J20" s="994"/>
      <c r="K20" s="1970"/>
      <c r="L20" s="1970"/>
      <c r="M20" s="994"/>
      <c r="N20" s="994"/>
      <c r="O20" s="994">
        <f>SUM(O21:O28)</f>
        <v>241.7345</v>
      </c>
      <c r="P20" s="1150"/>
      <c r="Q20" s="115"/>
      <c r="R20" s="115">
        <f>SUM(R21:R28)</f>
        <v>241.73</v>
      </c>
    </row>
    <row r="21" spans="1:18" ht="409.5">
      <c r="A21" s="4104" t="str">
        <f>'6.Procurement Annex'!A49</f>
        <v>6.1.6.3</v>
      </c>
      <c r="B21" s="1975" t="str">
        <f>'6-A. Proc. Sub-Annex'!B89</f>
        <v>H.17</v>
      </c>
      <c r="C21" s="88" t="str">
        <f>'6-A. Proc. Sub-Annex'!C89</f>
        <v>Procurement of Equipment</v>
      </c>
      <c r="D21" s="1975" t="str">
        <f>'6-A. Proc. Sub-Annex'!D89</f>
        <v>NDCP</v>
      </c>
      <c r="E21" s="1975" t="str">
        <f>'6-A. Proc. Sub-Annex'!E89</f>
        <v>NTEP</v>
      </c>
      <c r="F21" s="2029">
        <f>'6-A. Proc. Sub-Annex'!F89</f>
        <v>34</v>
      </c>
      <c r="G21" s="2029">
        <f>'6-A. Proc. Sub-Annex'!G89</f>
        <v>32</v>
      </c>
      <c r="H21" s="2029">
        <f>'6-A. Proc. Sub-Annex'!H89</f>
        <v>58.8</v>
      </c>
      <c r="I21" s="2029">
        <f>'6-A. Proc. Sub-Annex'!I89</f>
        <v>2.72</v>
      </c>
      <c r="J21" s="2029">
        <f>'6-A. Proc. Sub-Annex'!J89</f>
        <v>35.770000000000003</v>
      </c>
      <c r="K21" s="2029">
        <f>'6-A. Proc. Sub-Annex'!K89</f>
        <v>29</v>
      </c>
      <c r="L21" s="2029">
        <f>'6-A. Proc. Sub-Annex'!L89</f>
        <v>120540</v>
      </c>
      <c r="M21" s="162">
        <f>'6-A. Proc. Sub-Annex'!M89</f>
        <v>1.2054</v>
      </c>
      <c r="N21" s="2029">
        <f>'6-A. Proc. Sub-Annex'!N89</f>
        <v>74</v>
      </c>
      <c r="O21" s="162">
        <f>'6-A. Proc. Sub-Annex'!O89</f>
        <v>89.199600000000004</v>
      </c>
      <c r="P21" s="1988" t="str">
        <f>'6-A. Proc. Sub-Annex'!O300</f>
        <v>NTEP-1 Procurement of equipments by STDC/IRL/SDS -1) State Drug Store Racking 2) Bed side monitors 3) Computer with printer and internetEstimated budget required:-1) State Drug Store Racking Rs 23,00,000/-       2) Bed side monitors 6 No. Rs 7,00,000/-   3) Computer with printer and internet for procurement, e tendering Rs 70,000/- Total =30.70 lacsDetail:-• The New building of the State drug Store is likely to be functional in the year 2021-22. This store will require racking to store drugs and other consumables for which heavy duty racks are required. As per the current layout, approximately 30 heavy duty racks will be required with an estimate of Rs. 23,00,000/-.  • Bed side monitors with basic parameters are required, one each for six wards, in order to monitor the sick patients• Computer with printer and internet is required for the procurement and e-tendering2. District Hamirpur Rs 1.50 lacs for water bath / electronic weighing machine for chemial ,&amp; Purchase of office equipments for  DTC  Office ( 20,000*4= 80,000/- for  DTO,Accountant , DPC &amp; DRTB-C ). 3. Rs.3.50 lacs proposed by District kullu for procurement of office equipments ,Photostate Machine Fax and Scanner and at DTC  Office.4) Rs. 47.20 lacs by all districts for procurement of 40(40*55,000). Microscopes as per rates found lowest  in the tender by the IRL Dharampur .5) Rs. 3.00 lacs proposed by DTO Sirmaur for procurement of two cardiac monitor, one projector for training hall.6) Rs. 1.50 lacs  by DTO Una for online UPS for CB-NAAT machine.7) Rs.1.00 lacs by District L&amp;S, for office equipments   for DTC  Office.8)Power backup at DRTB ward/ Site and DMC Tanda Rs. 60,000/-10) Power backup at DTC/ Site and CBNAAT Site DMC Dharamshala  @50,000/-11) Procurement of UPS for CB-NAAT site Jewalamukhi @ 80, 000/-12) Procurement of ECG Machine for Dalek Hospital Dharamshala @70,000/- Total=89.20.00 lacs proposed in PIP 2021-22</v>
      </c>
      <c r="Q21" s="54" t="s">
        <v>5710</v>
      </c>
      <c r="R21" s="142">
        <v>89.2</v>
      </c>
    </row>
    <row r="22" spans="1:18" ht="105">
      <c r="A22" s="4105"/>
      <c r="B22" s="1975" t="str">
        <f>'6-A. Proc. Sub-Annex'!B139</f>
        <v>H.5</v>
      </c>
      <c r="C22" s="88" t="str">
        <f>'6-A. Proc. Sub-Annex'!C139</f>
        <v>Equipment Maintenance</v>
      </c>
      <c r="D22" s="1975" t="str">
        <f>'6-A. Proc. Sub-Annex'!D139</f>
        <v>NDCP</v>
      </c>
      <c r="E22" s="1975" t="str">
        <f>'6-A. Proc. Sub-Annex'!E139</f>
        <v>NTEP</v>
      </c>
      <c r="F22" s="2029">
        <f>'6-A. Proc. Sub-Annex'!F139</f>
        <v>0</v>
      </c>
      <c r="G22" s="2029">
        <f>'6-A. Proc. Sub-Annex'!G139</f>
        <v>232</v>
      </c>
      <c r="H22" s="2029">
        <f>'6-A. Proc. Sub-Annex'!H139</f>
        <v>0</v>
      </c>
      <c r="I22" s="2029">
        <f>'6-A. Proc. Sub-Annex'!I139</f>
        <v>0</v>
      </c>
      <c r="J22" s="2029">
        <f>'6-A. Proc. Sub-Annex'!J139</f>
        <v>0</v>
      </c>
      <c r="K22" s="2029">
        <f>'6-A. Proc. Sub-Annex'!K139</f>
        <v>0</v>
      </c>
      <c r="L22" s="2029">
        <f>'6-A. Proc. Sub-Annex'!L139</f>
        <v>7016</v>
      </c>
      <c r="M22" s="162">
        <f>'6-A. Proc. Sub-Annex'!M139</f>
        <v>7.016E-2</v>
      </c>
      <c r="N22" s="2029">
        <f>'6-A. Proc. Sub-Annex'!N139</f>
        <v>386</v>
      </c>
      <c r="O22" s="162">
        <f>'6-A. Proc. Sub-Annex'!O139</f>
        <v>27.081759999999999</v>
      </c>
      <c r="P22" s="1988" t="str">
        <f>'6-A. Proc. Sub-Annex'!P139</f>
        <v>NTEP-1.1  AMC of  55 IRL equipments installed at Dharampur 23 Equipments installed at IRL Tanda  7 CB-NAAT machines procured under MMKRNY  and 271 Tablets /computers supplied by GOI proposed. The total cost of Rs. 27.08 lacs  proposed under PIP 2021-22</v>
      </c>
      <c r="Q22" s="54" t="s">
        <v>5711</v>
      </c>
      <c r="R22" s="142">
        <v>27.08</v>
      </c>
    </row>
    <row r="23" spans="1:18" ht="105">
      <c r="A23" s="4106"/>
      <c r="B23" s="1975" t="str">
        <f>'6-A. Proc. Sub-Annex'!B236</f>
        <v>H.2</v>
      </c>
      <c r="C23" s="88" t="str">
        <f>'6-A. Proc. Sub-Annex'!C236</f>
        <v>Laboratory Materials</v>
      </c>
      <c r="D23" s="1975" t="str">
        <f>'6-A. Proc. Sub-Annex'!D236</f>
        <v>NDCP</v>
      </c>
      <c r="E23" s="1975" t="str">
        <f>'6-A. Proc. Sub-Annex'!E236</f>
        <v>NTEP</v>
      </c>
      <c r="F23" s="2029">
        <f>'6-A. Proc. Sub-Annex'!F236</f>
        <v>10244</v>
      </c>
      <c r="G23" s="2029">
        <f>'6-A. Proc. Sub-Annex'!G236</f>
        <v>265</v>
      </c>
      <c r="H23" s="2029">
        <f>'6-A. Proc. Sub-Annex'!H236</f>
        <v>60.03</v>
      </c>
      <c r="I23" s="2029">
        <f>'6-A. Proc. Sub-Annex'!I236</f>
        <v>25.27</v>
      </c>
      <c r="J23" s="2029">
        <f>'6-A. Proc. Sub-Annex'!J236</f>
        <v>34.76</v>
      </c>
      <c r="K23" s="2029">
        <f>'6-A. Proc. Sub-Annex'!K236</f>
        <v>981</v>
      </c>
      <c r="L23" s="2029">
        <f>'6-A. Proc. Sub-Annex'!L236</f>
        <v>10194</v>
      </c>
      <c r="M23" s="162">
        <f>'6-A. Proc. Sub-Annex'!M236</f>
        <v>0.10194</v>
      </c>
      <c r="N23" s="2029">
        <f>'6-A. Proc. Sub-Annex'!N236</f>
        <v>981</v>
      </c>
      <c r="O23" s="162">
        <f>'6-A. Proc. Sub-Annex'!O236</f>
        <v>100.00314</v>
      </c>
      <c r="P23" s="1988">
        <f>'6-A. Proc. Sub-Annex'!P236</f>
        <v>0</v>
      </c>
      <c r="Q23" s="54" t="s">
        <v>5712</v>
      </c>
      <c r="R23" s="142">
        <v>100</v>
      </c>
    </row>
    <row r="24" spans="1:18" ht="90">
      <c r="A24" s="4104" t="str">
        <f>'6.Procurement Annex'!A74</f>
        <v>6.2.3.3</v>
      </c>
      <c r="B24" s="1975" t="str">
        <f>'6-A. Proc. Sub-Annex'!B237</f>
        <v>H.15</v>
      </c>
      <c r="C24" s="88" t="str">
        <f>'6-A. Proc. Sub-Annex'!C237</f>
        <v>Procurement of Drugs</v>
      </c>
      <c r="D24" s="1975" t="str">
        <f>'6-A. Proc. Sub-Annex'!D237</f>
        <v>NDCP</v>
      </c>
      <c r="E24" s="1975" t="str">
        <f>'6-A. Proc. Sub-Annex'!E237</f>
        <v>NTEP</v>
      </c>
      <c r="F24" s="2029">
        <f>'6-A. Proc. Sub-Annex'!F237</f>
        <v>12</v>
      </c>
      <c r="G24" s="2029">
        <f>'6-A. Proc. Sub-Annex'!G237</f>
        <v>2</v>
      </c>
      <c r="H24" s="2029">
        <f>'6-A. Proc. Sub-Annex'!H237</f>
        <v>20</v>
      </c>
      <c r="I24" s="2029">
        <f>'6-A. Proc. Sub-Annex'!I237</f>
        <v>0.31</v>
      </c>
      <c r="J24" s="2029">
        <f>'6-A. Proc. Sub-Annex'!J237</f>
        <v>1</v>
      </c>
      <c r="K24" s="2029">
        <f>'6-A. Proc. Sub-Annex'!K237</f>
        <v>12</v>
      </c>
      <c r="L24" s="2029">
        <f>'6-A. Proc. Sub-Annex'!L237</f>
        <v>100000</v>
      </c>
      <c r="M24" s="162">
        <f>'6-A. Proc. Sub-Annex'!M237</f>
        <v>1</v>
      </c>
      <c r="N24" s="2029">
        <f>'6-A. Proc. Sub-Annex'!N237</f>
        <v>10</v>
      </c>
      <c r="O24" s="162">
        <f>'6-A. Proc. Sub-Annex'!O237</f>
        <v>10</v>
      </c>
      <c r="P24" s="1988" t="str">
        <f>'6-A. Proc. Sub-Annex'!P237</f>
        <v xml:space="preserve">NTEP-3.6 As per instructions from Gvernment of India, State has to budget 25% amount of the total cost of second line TB drugs.  State is also proposing procuremnt of INH 100 mg and 300 mg and Pyridoxine 10 mg, 25 mg and 50 mg </v>
      </c>
      <c r="Q24" s="54" t="s">
        <v>5713</v>
      </c>
      <c r="R24" s="142">
        <v>10</v>
      </c>
    </row>
    <row r="25" spans="1:18" ht="30">
      <c r="A25" s="4106"/>
      <c r="B25" s="1975"/>
      <c r="C25" s="88" t="str">
        <f>'6-A. Proc. Sub-Annex'!C238</f>
        <v>Any other drugs &amp; supplies (please specify)</v>
      </c>
      <c r="D25" s="1975" t="str">
        <f>'6-A. Proc. Sub-Annex'!D238</f>
        <v>NDCP</v>
      </c>
      <c r="E25" s="1975" t="str">
        <f>'6-A. Proc. Sub-Annex'!E238</f>
        <v>NTEP</v>
      </c>
      <c r="F25" s="2029">
        <f>'6-A. Proc. Sub-Annex'!F238</f>
        <v>0</v>
      </c>
      <c r="G25" s="2029">
        <f>'6-A. Proc. Sub-Annex'!G238</f>
        <v>0</v>
      </c>
      <c r="H25" s="2029">
        <f>'6-A. Proc. Sub-Annex'!H238</f>
        <v>0</v>
      </c>
      <c r="I25" s="2029">
        <f>'6-A. Proc. Sub-Annex'!I238</f>
        <v>0</v>
      </c>
      <c r="J25" s="2029">
        <f>'6-A. Proc. Sub-Annex'!J238</f>
        <v>0</v>
      </c>
      <c r="K25" s="2029">
        <f>'6-A. Proc. Sub-Annex'!K238</f>
        <v>0</v>
      </c>
      <c r="L25" s="2029">
        <f>'6-A. Proc. Sub-Annex'!L238</f>
        <v>0</v>
      </c>
      <c r="M25" s="162">
        <f>'6-A. Proc. Sub-Annex'!M238</f>
        <v>0</v>
      </c>
      <c r="N25" s="2029">
        <f>'6-A. Proc. Sub-Annex'!N238</f>
        <v>0</v>
      </c>
      <c r="O25" s="162">
        <f>'6-A. Proc. Sub-Annex'!O238</f>
        <v>0</v>
      </c>
      <c r="P25" s="1988">
        <f>'6-A. Proc. Sub-Annex'!P238</f>
        <v>0</v>
      </c>
      <c r="Q25" s="155"/>
      <c r="R25" s="142"/>
    </row>
    <row r="26" spans="1:18" ht="30">
      <c r="A26" s="4104" t="str">
        <f>'6.Procurement Annex'!A87</f>
        <v>6.3.1</v>
      </c>
      <c r="B26" s="1975" t="str">
        <f>'6-A. Proc. Sub-Annex'!B278</f>
        <v>H.16</v>
      </c>
      <c r="C26" s="88" t="str">
        <f>'6-A. Proc. Sub-Annex'!C278</f>
        <v>Replacement of Vehicles under NTEP</v>
      </c>
      <c r="D26" s="1975" t="str">
        <f>'6-A. Proc. Sub-Annex'!D278</f>
        <v>NDCP</v>
      </c>
      <c r="E26" s="1975" t="str">
        <f>'6-A. Proc. Sub-Annex'!E278</f>
        <v>NTEP</v>
      </c>
      <c r="F26" s="2029">
        <f>'6-A. Proc. Sub-Annex'!F278</f>
        <v>37</v>
      </c>
      <c r="G26" s="2029">
        <f>'6-A. Proc. Sub-Annex'!G278</f>
        <v>37</v>
      </c>
      <c r="H26" s="2029">
        <f>'6-A. Proc. Sub-Annex'!H278</f>
        <v>24.05</v>
      </c>
      <c r="I26" s="2029">
        <f>'6-A. Proc. Sub-Annex'!I278</f>
        <v>41.76</v>
      </c>
      <c r="J26" s="2029">
        <f>'6-A. Proc. Sub-Annex'!J278</f>
        <v>30</v>
      </c>
      <c r="K26" s="2029">
        <f>'6-A. Proc. Sub-Annex'!K278</f>
        <v>3</v>
      </c>
      <c r="L26" s="2029">
        <f>'6-A. Proc. Sub-Annex'!L278</f>
        <v>0</v>
      </c>
      <c r="M26" s="162">
        <f>'6-A. Proc. Sub-Annex'!M278</f>
        <v>0</v>
      </c>
      <c r="N26" s="2029">
        <f>'6-A. Proc. Sub-Annex'!N278</f>
        <v>0</v>
      </c>
      <c r="O26" s="162">
        <f>'6-A. Proc. Sub-Annex'!O278</f>
        <v>0</v>
      </c>
      <c r="P26" s="1988">
        <f>'6-A. Proc. Sub-Annex'!P278</f>
        <v>0</v>
      </c>
      <c r="Q26" s="155"/>
      <c r="R26" s="142"/>
    </row>
    <row r="27" spans="1:18" ht="135">
      <c r="A27" s="4105"/>
      <c r="B27" s="1975" t="str">
        <f>'6-A. Proc. Sub-Annex'!B279</f>
        <v>H.11</v>
      </c>
      <c r="C27" s="88" t="str">
        <f>'6-A. Proc. Sub-Annex'!C279</f>
        <v>Procurement of sleeves and drug boxes</v>
      </c>
      <c r="D27" s="1975" t="str">
        <f>'6-A. Proc. Sub-Annex'!D279</f>
        <v>NDCP</v>
      </c>
      <c r="E27" s="1975" t="str">
        <f>'6-A. Proc. Sub-Annex'!E279</f>
        <v>NTEP</v>
      </c>
      <c r="F27" s="2029">
        <f>'6-A. Proc. Sub-Annex'!F279</f>
        <v>19000</v>
      </c>
      <c r="G27" s="2029">
        <f>'6-A. Proc. Sub-Annex'!G279</f>
        <v>105</v>
      </c>
      <c r="H27" s="2029">
        <f>'6-A. Proc. Sub-Annex'!H279</f>
        <v>24.7</v>
      </c>
      <c r="I27" s="2029">
        <f>'6-A. Proc. Sub-Annex'!I279</f>
        <v>7.05</v>
      </c>
      <c r="J27" s="2029">
        <f>'6-A. Proc. Sub-Annex'!J279</f>
        <v>8</v>
      </c>
      <c r="K27" s="2029">
        <f>'6-A. Proc. Sub-Annex'!K279</f>
        <v>0</v>
      </c>
      <c r="L27" s="2029">
        <f>'6-A. Proc. Sub-Annex'!L279</f>
        <v>15000</v>
      </c>
      <c r="M27" s="162">
        <f>'6-A. Proc. Sub-Annex'!M279</f>
        <v>0.15</v>
      </c>
      <c r="N27" s="2029">
        <f>'6-A. Proc. Sub-Annex'!N279</f>
        <v>103</v>
      </c>
      <c r="O27" s="162">
        <f>'6-A. Proc. Sub-Annex'!O279</f>
        <v>15.45</v>
      </c>
      <c r="P27" s="1988" t="str">
        <f>'6-A. Proc. Sub-Annex'!P279</f>
        <v xml:space="preserve">NTEP-3.6 As per GOI instructions, the cost of  99 DOTS blisters under IT based DOTS tools need to be proposed in PIP. For 18500 patients, @ 6 sleeves on an average per month for 6 months @ Rs. 3/sleeve. 14305.55*6*6*3= 15.45 lakh  2. Monthly drug boxes for 500 DRTB patients @ Rs. 80 per patient per month * 12 months= Rs. 4.80  lakh.  </v>
      </c>
      <c r="Q27" s="54" t="s">
        <v>5714</v>
      </c>
      <c r="R27" s="142">
        <v>15.45</v>
      </c>
    </row>
    <row r="28" spans="1:18" ht="30">
      <c r="A28" s="4106"/>
      <c r="B28" s="1975"/>
      <c r="C28" s="88" t="str">
        <f>'6-A. Proc. Sub-Annex'!C280</f>
        <v>Any other (please specify)</v>
      </c>
      <c r="D28" s="1975" t="str">
        <f>'6-A. Proc. Sub-Annex'!D280</f>
        <v>NDCP</v>
      </c>
      <c r="E28" s="1975" t="str">
        <f>'6-A. Proc. Sub-Annex'!E280</f>
        <v>NTEP</v>
      </c>
      <c r="F28" s="2029">
        <f>'6-A. Proc. Sub-Annex'!F280</f>
        <v>0</v>
      </c>
      <c r="G28" s="2029">
        <f>'6-A. Proc. Sub-Annex'!G280</f>
        <v>0</v>
      </c>
      <c r="H28" s="2029">
        <f>'6-A. Proc. Sub-Annex'!H280</f>
        <v>0</v>
      </c>
      <c r="I28" s="2029">
        <f>'6-A. Proc. Sub-Annex'!I280</f>
        <v>0</v>
      </c>
      <c r="J28" s="2029">
        <f>'6-A. Proc. Sub-Annex'!J280</f>
        <v>0</v>
      </c>
      <c r="K28" s="2029">
        <f>'6-A. Proc. Sub-Annex'!K280</f>
        <v>0</v>
      </c>
      <c r="L28" s="2029">
        <f>'6-A. Proc. Sub-Annex'!L280</f>
        <v>0</v>
      </c>
      <c r="M28" s="162">
        <f>'6-A. Proc. Sub-Annex'!M280</f>
        <v>0</v>
      </c>
      <c r="N28" s="2029">
        <f>'6-A. Proc. Sub-Annex'!N280</f>
        <v>0</v>
      </c>
      <c r="O28" s="162">
        <f>'6-A. Proc. Sub-Annex'!O280</f>
        <v>0</v>
      </c>
      <c r="P28" s="1988">
        <f>'6-A. Proc. Sub-Annex'!P280</f>
        <v>0</v>
      </c>
      <c r="Q28" s="155"/>
      <c r="R28" s="142"/>
    </row>
    <row r="29" spans="1:18">
      <c r="A29" s="1970">
        <f>'7.Referral Transport Annex'!A7</f>
        <v>7</v>
      </c>
      <c r="B29" s="1970"/>
      <c r="C29" s="1970" t="str">
        <f>'7.Referral Transport Annex'!C7</f>
        <v>Referral Transport</v>
      </c>
      <c r="D29" s="1969"/>
      <c r="E29" s="1969"/>
      <c r="F29" s="1969"/>
      <c r="G29" s="1969"/>
      <c r="H29" s="994"/>
      <c r="I29" s="1969"/>
      <c r="J29" s="994"/>
      <c r="K29" s="1970"/>
      <c r="L29" s="1970"/>
      <c r="M29" s="994"/>
      <c r="N29" s="994"/>
      <c r="O29" s="994">
        <f>SUM(O30:O31)</f>
        <v>102.97221</v>
      </c>
      <c r="P29" s="2894"/>
      <c r="Q29" s="115"/>
      <c r="R29" s="115">
        <f>SUM(R30:R31)</f>
        <v>103</v>
      </c>
    </row>
    <row r="30" spans="1:18" s="869" customFormat="1" ht="60">
      <c r="A30" s="1015" t="str">
        <f>'7.Referral Transport Annex'!A23</f>
        <v>7.5.1</v>
      </c>
      <c r="B30" s="1015" t="str">
        <f>'7.Referral Transport Annex'!B23</f>
        <v>H.18.1</v>
      </c>
      <c r="C30" s="1971" t="str">
        <f>'7.Referral Transport Annex'!C23</f>
        <v>Tribal Patient Support and transportation charges</v>
      </c>
      <c r="D30" s="1015" t="str">
        <f>'7.Referral Transport Annex'!D23</f>
        <v>NDCP</v>
      </c>
      <c r="E30" s="1015" t="str">
        <f>'7.Referral Transport Annex'!E23</f>
        <v>NTEP</v>
      </c>
      <c r="F30" s="2030">
        <f>'7.Referral Transport Annex'!F23</f>
        <v>350</v>
      </c>
      <c r="G30" s="2030">
        <f>'7.Referral Transport Annex'!G23</f>
        <v>295</v>
      </c>
      <c r="H30" s="2030">
        <f>'7.Referral Transport Annex'!H23</f>
        <v>2.63</v>
      </c>
      <c r="I30" s="2030">
        <f>'7.Referral Transport Annex'!I23</f>
        <v>4.9000000000000004</v>
      </c>
      <c r="J30" s="2030">
        <f>'7.Referral Transport Annex'!J23</f>
        <v>0.41</v>
      </c>
      <c r="K30" s="2030">
        <f>'7.Referral Transport Annex'!K23</f>
        <v>400</v>
      </c>
      <c r="L30" s="2030">
        <f>'7.Referral Transport Annex'!L23</f>
        <v>750</v>
      </c>
      <c r="M30" s="962">
        <f>'7.Referral Transport Annex'!M23</f>
        <v>7.4999999999999997E-3</v>
      </c>
      <c r="N30" s="2030">
        <f>'7.Referral Transport Annex'!N23</f>
        <v>400</v>
      </c>
      <c r="O30" s="962">
        <f>'7.Referral Transport Annex'!O23</f>
        <v>3</v>
      </c>
      <c r="P30" s="2895" t="str">
        <f>'7.Referral Transport Annex'!P23</f>
        <v xml:space="preserve">NTEP-3 Incentive for Tribal TB Patients Rs. 750. one time installment for tribal area tb patients. Estimated patients 400*750 and total amount is 300000                          </v>
      </c>
      <c r="Q30" s="108" t="s">
        <v>5715</v>
      </c>
      <c r="R30" s="1887">
        <v>3</v>
      </c>
    </row>
    <row r="31" spans="1:18" s="869" customFormat="1" ht="150">
      <c r="A31" s="1015" t="str">
        <f>'7.Referral Transport Annex'!A24</f>
        <v>7.5.2</v>
      </c>
      <c r="B31" s="1015"/>
      <c r="C31" s="1971" t="str">
        <f>'7.Referral Transport Annex'!C24</f>
        <v>Sample collection &amp; transportation charges</v>
      </c>
      <c r="D31" s="1015" t="str">
        <f>'7.Referral Transport Annex'!D24</f>
        <v>NDCP</v>
      </c>
      <c r="E31" s="1015" t="str">
        <f>'7.Referral Transport Annex'!E24</f>
        <v>NTEP</v>
      </c>
      <c r="F31" s="2030">
        <f>'7.Referral Transport Annex'!F24</f>
        <v>2600</v>
      </c>
      <c r="G31" s="2030">
        <f>'7.Referral Transport Annex'!G24</f>
        <v>520</v>
      </c>
      <c r="H31" s="2030">
        <f>'7.Referral Transport Annex'!H24</f>
        <v>214.99</v>
      </c>
      <c r="I31" s="2030">
        <f>'7.Referral Transport Annex'!I24</f>
        <v>2.36</v>
      </c>
      <c r="J31" s="2030">
        <f>'7.Referral Transport Annex'!J24</f>
        <v>20</v>
      </c>
      <c r="K31" s="2030">
        <f>'7.Referral Transport Annex'!K24</f>
        <v>8269</v>
      </c>
      <c r="L31" s="2030">
        <f>'7.Referral Transport Annex'!L24</f>
        <v>1209</v>
      </c>
      <c r="M31" s="962">
        <f>'7.Referral Transport Annex'!M24</f>
        <v>1.209E-2</v>
      </c>
      <c r="N31" s="2030">
        <f>'7.Referral Transport Annex'!N24</f>
        <v>8269</v>
      </c>
      <c r="O31" s="962">
        <f>'7.Referral Transport Annex'!O24</f>
        <v>99.972210000000004</v>
      </c>
      <c r="P31" s="2895">
        <f>'7.Referral Transport Annex'!P24</f>
        <v>0</v>
      </c>
      <c r="Q31" s="108" t="s">
        <v>5716</v>
      </c>
      <c r="R31" s="1887">
        <v>100</v>
      </c>
    </row>
    <row r="32" spans="1:18">
      <c r="A32" s="1970">
        <f>'9.Training Annex'!A7</f>
        <v>9</v>
      </c>
      <c r="B32" s="1970"/>
      <c r="C32" s="1970" t="str">
        <f>'9.Training Annex'!C7</f>
        <v>Training and Capacity Building</v>
      </c>
      <c r="D32" s="1969"/>
      <c r="E32" s="1969"/>
      <c r="F32" s="1969"/>
      <c r="G32" s="1969"/>
      <c r="H32" s="994"/>
      <c r="I32" s="1969"/>
      <c r="J32" s="994"/>
      <c r="K32" s="1970"/>
      <c r="L32" s="1970"/>
      <c r="M32" s="994"/>
      <c r="N32" s="994"/>
      <c r="O32" s="994">
        <f>SUM(O33:O35)</f>
        <v>36.067149999999998</v>
      </c>
      <c r="P32" s="2894"/>
      <c r="Q32" s="115"/>
      <c r="R32" s="115">
        <f>SUM(R33:R35)</f>
        <v>36.07</v>
      </c>
    </row>
    <row r="33" spans="1:18" ht="409.5">
      <c r="A33" s="4104" t="str">
        <f>'9.Training Annex'!A50</f>
        <v>9.2.3.4</v>
      </c>
      <c r="B33" s="1975" t="str">
        <f>'9-A.Training Sub-Annex'!B232</f>
        <v>H.6</v>
      </c>
      <c r="C33" s="88" t="str">
        <f>'9-A.Training Sub-Annex'!C232</f>
        <v>Trainings under NTEP</v>
      </c>
      <c r="D33" s="1975" t="str">
        <f>'9-A.Training Sub-Annex'!D232</f>
        <v>NDCP</v>
      </c>
      <c r="E33" s="1975" t="str">
        <f>'9-A.Training Sub-Annex'!E232</f>
        <v>NTEP</v>
      </c>
      <c r="F33" s="2029">
        <f>'9-A.Training Sub-Annex'!F232</f>
        <v>87</v>
      </c>
      <c r="G33" s="2029">
        <f>'9-A.Training Sub-Annex'!G232</f>
        <v>132</v>
      </c>
      <c r="H33" s="2029">
        <f>'9-A.Training Sub-Annex'!H232</f>
        <v>26.62</v>
      </c>
      <c r="I33" s="2029">
        <f>'9-A.Training Sub-Annex'!I232</f>
        <v>8.59</v>
      </c>
      <c r="J33" s="2029">
        <f>'9-A.Training Sub-Annex'!J232</f>
        <v>18</v>
      </c>
      <c r="K33" s="2029">
        <f>'9-A.Training Sub-Annex'!K232</f>
        <v>1</v>
      </c>
      <c r="L33" s="2029">
        <f>'9-A.Training Sub-Annex'!L232</f>
        <v>30597</v>
      </c>
      <c r="M33" s="162">
        <f>'9-A.Training Sub-Annex'!M232</f>
        <v>0.30597000000000002</v>
      </c>
      <c r="N33" s="2029">
        <f>'9-A.Training Sub-Annex'!N232</f>
        <v>95</v>
      </c>
      <c r="O33" s="162">
        <f>'9-A.Training Sub-Annex'!O232</f>
        <v>29.067150000000002</v>
      </c>
      <c r="P33" s="2896" t="str">
        <f>'9-A.Training Sub-Annex'!P232</f>
        <v>NTEP-1 Funds under this head has been allocated for Training under NTEP. Trainings and capacity building is the major program activity of NTEP. There are different types of trainings planned for all categories of staff such as Induction training, refresher training of staff, skill based modular trainings for DMC and CBNAAT LTs, IT based trainings for DEOs, Program staff, pharmacists and lab staff for data entry in LIMS, Nikshay and Nikshay Aushadhi portals. Besides this, PMDT guidelines and Paediatric TB guidelines has been released recently, all MOs and paramedical staff in the field (all health institutions other than the medical colleges) has to be trained on these guidelines. Comprehensive training calendar for training of various categories has already been submitted with the NHM training division. All trainings will be completed by February 2021.These trainings are to be imparted at TBS Dharampur, SIHFW Parimahal, RHFWTC at CHEEB, in Medical colleges, as well as in districts. The Training calendar attached. The total cost of Rs. 29.07 lacs proposed for trimmings of various staff under NTEP F.Y. 2021-22.</v>
      </c>
      <c r="Q33" s="54" t="s">
        <v>5717</v>
      </c>
      <c r="R33" s="142">
        <v>29.07</v>
      </c>
    </row>
    <row r="34" spans="1:18" ht="165">
      <c r="A34" s="4105"/>
      <c r="B34" s="1975" t="str">
        <f>'9-A.Training Sub-Annex'!B233</f>
        <v>H.10</v>
      </c>
      <c r="C34" s="88" t="str">
        <f>'9-A.Training Sub-Annex'!C233</f>
        <v>CME (Medical Colleges)</v>
      </c>
      <c r="D34" s="1975" t="str">
        <f>'9-A.Training Sub-Annex'!D233</f>
        <v>NDCP</v>
      </c>
      <c r="E34" s="1975" t="str">
        <f>'9-A.Training Sub-Annex'!E233</f>
        <v>NTEP</v>
      </c>
      <c r="F34" s="2029">
        <f>'9-A.Training Sub-Annex'!F233</f>
        <v>957</v>
      </c>
      <c r="G34" s="2029">
        <f>'9-A.Training Sub-Annex'!G233</f>
        <v>3</v>
      </c>
      <c r="H34" s="2029">
        <f>'9-A.Training Sub-Annex'!H233</f>
        <v>7.1</v>
      </c>
      <c r="I34" s="2029">
        <f>'9-A.Training Sub-Annex'!I233</f>
        <v>2</v>
      </c>
      <c r="J34" s="2029">
        <f>'9-A.Training Sub-Annex'!J233</f>
        <v>3</v>
      </c>
      <c r="K34" s="2029">
        <f>'9-A.Training Sub-Annex'!K233</f>
        <v>14</v>
      </c>
      <c r="L34" s="2029">
        <f>'9-A.Training Sub-Annex'!L233</f>
        <v>50000</v>
      </c>
      <c r="M34" s="162">
        <f>'9-A.Training Sub-Annex'!M233</f>
        <v>0.5</v>
      </c>
      <c r="N34" s="2029">
        <f>'9-A.Training Sub-Annex'!N233</f>
        <v>14</v>
      </c>
      <c r="O34" s="162">
        <f>'9-A.Training Sub-Annex'!O233</f>
        <v>7</v>
      </c>
      <c r="P34" s="2896" t="str">
        <f>'9-A.Training Sub-Annex'!P233</f>
        <v>NTEP-1 As recently, PMDT guidelines and Pediatric TB guidelines has been revised, entire faculties/residents have to be oriented on these guidelines. Rs 7.10 lakhs has been proposed by Chairman STF, NTEP Himachal  for conducting training and CMEs of faculty members/residents/students of medical colleges in the state. Trainings/CMEs in medical colleges total 14 CMEs @50000 each . Hence total= 7.00 lacs proposed.</v>
      </c>
      <c r="Q34" s="54" t="s">
        <v>5718</v>
      </c>
      <c r="R34" s="142">
        <v>7</v>
      </c>
    </row>
    <row r="35" spans="1:18" ht="30">
      <c r="A35" s="4106"/>
      <c r="B35" s="1975"/>
      <c r="C35" s="88" t="str">
        <f>'9-A.Training Sub-Annex'!C234</f>
        <v>Any other (please specify)</v>
      </c>
      <c r="D35" s="1975" t="str">
        <f>'9-A.Training Sub-Annex'!D234</f>
        <v>NDCP</v>
      </c>
      <c r="E35" s="1975" t="str">
        <f>'9-A.Training Sub-Annex'!E234</f>
        <v>NTEP</v>
      </c>
      <c r="F35" s="2029">
        <f>'9-A.Training Sub-Annex'!F234</f>
        <v>0</v>
      </c>
      <c r="G35" s="2029">
        <f>'9-A.Training Sub-Annex'!G234</f>
        <v>0</v>
      </c>
      <c r="H35" s="2029">
        <f>'9-A.Training Sub-Annex'!H234</f>
        <v>0</v>
      </c>
      <c r="I35" s="2029">
        <f>'9-A.Training Sub-Annex'!I234</f>
        <v>0</v>
      </c>
      <c r="J35" s="2029">
        <f>'9-A.Training Sub-Annex'!J234</f>
        <v>0</v>
      </c>
      <c r="K35" s="2029">
        <f>'9-A.Training Sub-Annex'!K234</f>
        <v>0</v>
      </c>
      <c r="L35" s="2029">
        <f>'9-A.Training Sub-Annex'!L234</f>
        <v>0</v>
      </c>
      <c r="M35" s="162">
        <f>'9-A.Training Sub-Annex'!M234</f>
        <v>0</v>
      </c>
      <c r="N35" s="2029">
        <f>'9-A.Training Sub-Annex'!N234</f>
        <v>0</v>
      </c>
      <c r="O35" s="162">
        <f>'9-A.Training Sub-Annex'!O234</f>
        <v>0</v>
      </c>
      <c r="P35" s="2896">
        <f>'9-A.Training Sub-Annex'!P234</f>
        <v>0</v>
      </c>
      <c r="Q35" s="155"/>
      <c r="R35" s="142"/>
    </row>
    <row r="36" spans="1:18">
      <c r="A36" s="1970">
        <f>'10.Review Research &amp; Surveillen'!A7</f>
        <v>10</v>
      </c>
      <c r="B36" s="1970"/>
      <c r="C36" s="1970" t="str">
        <f>'10.Review Research &amp; Surveillen'!C7</f>
        <v>Reviews, Research, Surveys and Surveillance</v>
      </c>
      <c r="D36" s="1969"/>
      <c r="E36" s="1969"/>
      <c r="F36" s="1969"/>
      <c r="G36" s="1969"/>
      <c r="H36" s="994"/>
      <c r="I36" s="1969"/>
      <c r="J36" s="994"/>
      <c r="K36" s="1970"/>
      <c r="L36" s="1970"/>
      <c r="M36" s="994"/>
      <c r="N36" s="994"/>
      <c r="O36" s="994">
        <f>SUM(O37:O39)</f>
        <v>9</v>
      </c>
      <c r="P36" s="2894"/>
      <c r="Q36" s="115"/>
      <c r="R36" s="115">
        <f>SUM(R37:R39)</f>
        <v>9</v>
      </c>
    </row>
    <row r="37" spans="1:18" ht="30">
      <c r="A37" s="2015" t="str">
        <f>'10.Review Research &amp; Surveillen'!A25</f>
        <v>10.2.8</v>
      </c>
      <c r="B37" s="2015" t="str">
        <f>'10.Review Research &amp; Surveillen'!B25</f>
        <v>H.14</v>
      </c>
      <c r="C37" s="1987" t="str">
        <f>'10.Review Research &amp; Surveillen'!C25</f>
        <v>Research &amp; Studies &amp; Consultancy</v>
      </c>
      <c r="D37" s="2015" t="str">
        <f>'10.Review Research &amp; Surveillen'!D25</f>
        <v>NDCP</v>
      </c>
      <c r="E37" s="2015" t="str">
        <f>'10.Review Research &amp; Surveillen'!E25</f>
        <v>NTEP</v>
      </c>
      <c r="F37" s="2029">
        <f>'10.Review Research &amp; Surveillen'!F25</f>
        <v>0</v>
      </c>
      <c r="G37" s="2029">
        <f>'10.Review Research &amp; Surveillen'!G25</f>
        <v>0</v>
      </c>
      <c r="H37" s="2029">
        <f>'10.Review Research &amp; Surveillen'!H25</f>
        <v>0</v>
      </c>
      <c r="I37" s="2029">
        <f>'10.Review Research &amp; Surveillen'!I25</f>
        <v>0</v>
      </c>
      <c r="J37" s="2029">
        <f>'10.Review Research &amp; Surveillen'!J25</f>
        <v>0</v>
      </c>
      <c r="K37" s="2029">
        <f>'10.Review Research &amp; Surveillen'!K25</f>
        <v>0</v>
      </c>
      <c r="L37" s="2029">
        <f>'10.Review Research &amp; Surveillen'!L25</f>
        <v>0</v>
      </c>
      <c r="M37" s="162">
        <f>'10.Review Research &amp; Surveillen'!M25</f>
        <v>0</v>
      </c>
      <c r="N37" s="2029">
        <f>'10.Review Research &amp; Surveillen'!N25</f>
        <v>0</v>
      </c>
      <c r="O37" s="162">
        <f>'10.Review Research &amp; Surveillen'!O25</f>
        <v>0</v>
      </c>
      <c r="P37" s="2896">
        <f>'10.Review Research &amp; Surveillen'!P25</f>
        <v>0</v>
      </c>
      <c r="Q37" s="155"/>
      <c r="R37" s="142"/>
    </row>
    <row r="38" spans="1:18" ht="60">
      <c r="A38" s="2015" t="str">
        <f>'10.Review Research &amp; Surveillen'!A26</f>
        <v>10.2.9</v>
      </c>
      <c r="B38" s="2015" t="str">
        <f>'10.Review Research &amp; Surveillen'!B26</f>
        <v>H.10</v>
      </c>
      <c r="C38" s="1987" t="str">
        <f>'10.Review Research &amp; Surveillen'!C26</f>
        <v>Research for medical colleges</v>
      </c>
      <c r="D38" s="2015" t="str">
        <f>'10.Review Research &amp; Surveillen'!D26</f>
        <v>NDCP</v>
      </c>
      <c r="E38" s="2015" t="str">
        <f>'10.Review Research &amp; Surveillen'!E26</f>
        <v>NTEP</v>
      </c>
      <c r="F38" s="2029">
        <f>'10.Review Research &amp; Surveillen'!F26</f>
        <v>0</v>
      </c>
      <c r="G38" s="2029">
        <f>'10.Review Research &amp; Surveillen'!G26</f>
        <v>0</v>
      </c>
      <c r="H38" s="2029">
        <f>'10.Review Research &amp; Surveillen'!H26</f>
        <v>0</v>
      </c>
      <c r="I38" s="2029">
        <f>'10.Review Research &amp; Surveillen'!I26</f>
        <v>0</v>
      </c>
      <c r="J38" s="2029">
        <f>'10.Review Research &amp; Surveillen'!J26</f>
        <v>0</v>
      </c>
      <c r="K38" s="2029">
        <f>'10.Review Research &amp; Surveillen'!K26</f>
        <v>0</v>
      </c>
      <c r="L38" s="2029">
        <f>'10.Review Research &amp; Surveillen'!L26</f>
        <v>300000</v>
      </c>
      <c r="M38" s="162">
        <f>'10.Review Research &amp; Surveillen'!M26</f>
        <v>3</v>
      </c>
      <c r="N38" s="2029">
        <f>'10.Review Research &amp; Surveillen'!N26</f>
        <v>3</v>
      </c>
      <c r="O38" s="162">
        <f>'10.Review Research &amp; Surveillen'!O26</f>
        <v>9</v>
      </c>
      <c r="P38" s="2896" t="str">
        <f>'10.Review Research &amp; Surveillen'!P26</f>
        <v xml:space="preserve">NTEP-1   RS. 9.00 lacs for Operational research proposals submitted by the Chairman STF from the different medical collages in the state </v>
      </c>
      <c r="Q38" s="54" t="s">
        <v>5719</v>
      </c>
      <c r="R38" s="142">
        <v>9</v>
      </c>
    </row>
    <row r="39" spans="1:18" ht="60">
      <c r="A39" s="2015" t="str">
        <f>'10.Review Research &amp; Surveillen'!A56</f>
        <v>10.5.1</v>
      </c>
      <c r="B39" s="2015">
        <f>'10.Review Research &amp; Surveillen'!B56</f>
        <v>0</v>
      </c>
      <c r="C39" s="1987" t="str">
        <f>'10.Review Research &amp; Surveillen'!C56</f>
        <v>Sub-national Disease Free Certification: Tuberculosis</v>
      </c>
      <c r="D39" s="2015" t="str">
        <f>'10.Review Research &amp; Surveillen'!D56</f>
        <v>NDCP</v>
      </c>
      <c r="E39" s="2015" t="str">
        <f>'10.Review Research &amp; Surveillen'!E56</f>
        <v>NTEP</v>
      </c>
      <c r="F39" s="2029">
        <f>'10.Review Research &amp; Surveillen'!F56</f>
        <v>5</v>
      </c>
      <c r="G39" s="2029">
        <f>'10.Review Research &amp; Surveillen'!G56</f>
        <v>0</v>
      </c>
      <c r="H39" s="2029">
        <f>'10.Review Research &amp; Surveillen'!H56</f>
        <v>7</v>
      </c>
      <c r="I39" s="2029">
        <f>'10.Review Research &amp; Surveillen'!I56</f>
        <v>0</v>
      </c>
      <c r="J39" s="2029">
        <f>'10.Review Research &amp; Surveillen'!J56</f>
        <v>0</v>
      </c>
      <c r="K39" s="2029">
        <f>'10.Review Research &amp; Surveillen'!K56</f>
        <v>0</v>
      </c>
      <c r="L39" s="2029">
        <f>'10.Review Research &amp; Surveillen'!L56</f>
        <v>0</v>
      </c>
      <c r="M39" s="162">
        <f>'10.Review Research &amp; Surveillen'!M56</f>
        <v>0</v>
      </c>
      <c r="N39" s="2029">
        <f>'10.Review Research &amp; Surveillen'!N56</f>
        <v>0</v>
      </c>
      <c r="O39" s="162">
        <f>'10.Review Research &amp; Surveillen'!O56</f>
        <v>0</v>
      </c>
      <c r="P39" s="2896">
        <f>'10.Review Research &amp; Surveillen'!P56</f>
        <v>0</v>
      </c>
      <c r="Q39" s="54" t="s">
        <v>5720</v>
      </c>
      <c r="R39" s="142"/>
    </row>
    <row r="40" spans="1:18">
      <c r="A40" s="1970">
        <f>'11.IEC-BCC Annex'!A7</f>
        <v>11</v>
      </c>
      <c r="B40" s="1970"/>
      <c r="C40" s="1970" t="str">
        <f>'11.IEC-BCC Annex'!C7</f>
        <v>IEC/BCC</v>
      </c>
      <c r="D40" s="1969"/>
      <c r="E40" s="1969"/>
      <c r="F40" s="1969"/>
      <c r="G40" s="1969"/>
      <c r="H40" s="994"/>
      <c r="I40" s="1969"/>
      <c r="J40" s="994"/>
      <c r="K40" s="1970"/>
      <c r="L40" s="1970"/>
      <c r="M40" s="994"/>
      <c r="N40" s="994"/>
      <c r="O40" s="994">
        <f>SUM(O41:O43)</f>
        <v>75.527799999999999</v>
      </c>
      <c r="P40" s="2894"/>
      <c r="Q40" s="115"/>
      <c r="R40" s="115">
        <f>SUM(R41:R43)</f>
        <v>75.53</v>
      </c>
    </row>
    <row r="41" spans="1:18" ht="240">
      <c r="A41" s="4104" t="str">
        <f>'11.IEC-BCC Annex'!A26</f>
        <v>11.3.2</v>
      </c>
      <c r="B41" s="1975" t="str">
        <f>'11-A. IEC Sub-Annex'!B70</f>
        <v>H.4</v>
      </c>
      <c r="C41" s="88" t="str">
        <f>'11-A. IEC Sub-Annex'!C70</f>
        <v>ACSM (State &amp; district)</v>
      </c>
      <c r="D41" s="1975" t="str">
        <f>'11-A. IEC Sub-Annex'!D70</f>
        <v>NDCP</v>
      </c>
      <c r="E41" s="1975" t="str">
        <f>'11-A. IEC Sub-Annex'!E70</f>
        <v>NTEP</v>
      </c>
      <c r="F41" s="2029">
        <f>'11-A. IEC Sub-Annex'!F70</f>
        <v>87</v>
      </c>
      <c r="G41" s="2029">
        <f>'11-A. IEC Sub-Annex'!G70</f>
        <v>31</v>
      </c>
      <c r="H41" s="2029">
        <f>'11-A. IEC Sub-Annex'!H70</f>
        <v>45.5</v>
      </c>
      <c r="I41" s="2029">
        <f>'11-A. IEC Sub-Annex'!I70</f>
        <v>11.32</v>
      </c>
      <c r="J41" s="2029">
        <f>'11-A. IEC Sub-Annex'!J70</f>
        <v>34.18</v>
      </c>
      <c r="K41" s="2029">
        <f>'11-A. IEC Sub-Annex'!K70</f>
        <v>1</v>
      </c>
      <c r="L41" s="2029">
        <f>'11-A. IEC Sub-Annex'!L70</f>
        <v>52298</v>
      </c>
      <c r="M41" s="162">
        <f>'11-A. IEC Sub-Annex'!M70</f>
        <v>0.52298</v>
      </c>
      <c r="N41" s="2029">
        <f>'11-A. IEC Sub-Annex'!N70</f>
        <v>110</v>
      </c>
      <c r="O41" s="162">
        <f>'11-A. IEC Sub-Annex'!O70</f>
        <v>57.527799999999999</v>
      </c>
      <c r="P41" s="2896" t="str">
        <f>'11-A. IEC Sub-Annex'!P70</f>
        <v xml:space="preserve">NTEP 2.5 Funds under this head has been allocated for IEC/ BCC under RNTCP. IEC/BCC activities to play a critical role in achieving the targets of Ending TB in India. There are specific activities under IEC/BCC such as TB Harega Desh Jitega Campaign, Patients provider meetings, community meetings, school based activities, IEC through print and electronic media. IEC activities through display of posters, leaflets, pamphlets, hoardings, bus panel and World TB Day celebration activities etc. The state IEC/ACSM plan under 360 degrees are available with State TB Division for the year 2021-22. </v>
      </c>
      <c r="Q41" s="54" t="s">
        <v>5721</v>
      </c>
      <c r="R41" s="142">
        <v>57.53</v>
      </c>
    </row>
    <row r="42" spans="1:18" ht="150">
      <c r="A42" s="4105"/>
      <c r="B42" s="1975">
        <f>'11-A. IEC Sub-Annex'!B71</f>
        <v>0</v>
      </c>
      <c r="C42" s="88" t="str">
        <f>'11-A. IEC Sub-Annex'!C71</f>
        <v>TB Harega Desh Jeetega' Campaign</v>
      </c>
      <c r="D42" s="1975" t="str">
        <f>'11-A. IEC Sub-Annex'!D71</f>
        <v>NDCP</v>
      </c>
      <c r="E42" s="1975" t="str">
        <f>'11-A. IEC Sub-Annex'!E71</f>
        <v>NTEP</v>
      </c>
      <c r="F42" s="2029">
        <f>'11-A. IEC Sub-Annex'!F71</f>
        <v>0</v>
      </c>
      <c r="G42" s="2029">
        <f>'11-A. IEC Sub-Annex'!G71</f>
        <v>0</v>
      </c>
      <c r="H42" s="2029">
        <f>'11-A. IEC Sub-Annex'!H71</f>
        <v>0</v>
      </c>
      <c r="I42" s="2029">
        <f>'11-A. IEC Sub-Annex'!I71</f>
        <v>0</v>
      </c>
      <c r="J42" s="2029">
        <f>'11-A. IEC Sub-Annex'!J71</f>
        <v>0</v>
      </c>
      <c r="K42" s="2029">
        <f>'11-A. IEC Sub-Annex'!K71</f>
        <v>1</v>
      </c>
      <c r="L42" s="2029">
        <f>'11-A. IEC Sub-Annex'!L71</f>
        <v>150000</v>
      </c>
      <c r="M42" s="162">
        <f>'11-A. IEC Sub-Annex'!M71</f>
        <v>1.5</v>
      </c>
      <c r="N42" s="2029">
        <f>'11-A. IEC Sub-Annex'!N71</f>
        <v>12</v>
      </c>
      <c r="O42" s="162">
        <f>'11-A. IEC Sub-Annex'!O71</f>
        <v>18</v>
      </c>
      <c r="P42" s="2896" t="str">
        <f>'11-A. IEC Sub-Annex'!P71</f>
        <v xml:space="preserve">NTEP 2.5    Special activities under TB Harega Desh Jeetega campaign in the state in all districts proposed with the coordination of IEC Division of NHM in the entire state @800000. The state has proposed Rs. 10.00 lacs for training of  elected PRIs under TB Harega Desh Jeetega Campaign i.e 12 Jeela Parisad members, 80 BDC Members and 38000 Pardhan and Up pardhan for FY. 2021-22. </v>
      </c>
      <c r="Q42" s="54" t="s">
        <v>5722</v>
      </c>
      <c r="R42" s="142">
        <v>18</v>
      </c>
    </row>
    <row r="43" spans="1:18" ht="30">
      <c r="A43" s="4106"/>
      <c r="B43" s="1975">
        <f>'11-A. IEC Sub-Annex'!B72</f>
        <v>0</v>
      </c>
      <c r="C43" s="88" t="str">
        <f>'11-A. IEC Sub-Annex'!C72</f>
        <v>Any other IEC/BCC activities (please specify)</v>
      </c>
      <c r="D43" s="1975" t="str">
        <f>'11-A. IEC Sub-Annex'!D72</f>
        <v>NDCP</v>
      </c>
      <c r="E43" s="1975" t="str">
        <f>'11-A. IEC Sub-Annex'!E72</f>
        <v>NTEP</v>
      </c>
      <c r="F43" s="2029">
        <f>'11-A. IEC Sub-Annex'!F72</f>
        <v>0</v>
      </c>
      <c r="G43" s="2029">
        <f>'11-A. IEC Sub-Annex'!G72</f>
        <v>0</v>
      </c>
      <c r="H43" s="2029">
        <f>'11-A. IEC Sub-Annex'!H72</f>
        <v>0</v>
      </c>
      <c r="I43" s="2029">
        <f>'11-A. IEC Sub-Annex'!I72</f>
        <v>0</v>
      </c>
      <c r="J43" s="2029">
        <f>'11-A. IEC Sub-Annex'!J72</f>
        <v>0</v>
      </c>
      <c r="K43" s="2029">
        <f>'11-A. IEC Sub-Annex'!K72</f>
        <v>0</v>
      </c>
      <c r="L43" s="2029">
        <f>'11-A. IEC Sub-Annex'!L72</f>
        <v>0</v>
      </c>
      <c r="M43" s="162">
        <f>'11-A. IEC Sub-Annex'!M72</f>
        <v>0</v>
      </c>
      <c r="N43" s="2029">
        <f>'11-A. IEC Sub-Annex'!N72</f>
        <v>0</v>
      </c>
      <c r="O43" s="162">
        <f>'11-A. IEC Sub-Annex'!O72</f>
        <v>0</v>
      </c>
      <c r="P43" s="2896">
        <f>'11-A. IEC Sub-Annex'!P72</f>
        <v>0</v>
      </c>
      <c r="Q43" s="155"/>
      <c r="R43" s="142"/>
    </row>
    <row r="44" spans="1:18">
      <c r="A44" s="1970">
        <f>'12.Printing Annex'!A7</f>
        <v>12</v>
      </c>
      <c r="B44" s="1970"/>
      <c r="C44" s="1970" t="str">
        <f>'12.Printing Annex'!C7</f>
        <v>Printing</v>
      </c>
      <c r="D44" s="1969"/>
      <c r="E44" s="1969"/>
      <c r="F44" s="1969"/>
      <c r="G44" s="1969"/>
      <c r="H44" s="994"/>
      <c r="I44" s="1969"/>
      <c r="J44" s="994"/>
      <c r="K44" s="1970"/>
      <c r="L44" s="1970"/>
      <c r="M44" s="994"/>
      <c r="N44" s="994"/>
      <c r="O44" s="994">
        <f>SUM(O45:O46)</f>
        <v>25.595999999999997</v>
      </c>
      <c r="P44" s="2894"/>
      <c r="Q44" s="115"/>
      <c r="R44" s="115">
        <f>SUM(R45:R46)</f>
        <v>25.6</v>
      </c>
    </row>
    <row r="45" spans="1:18" ht="60">
      <c r="A45" s="4104" t="str">
        <f>'12.Printing Annex'!A28</f>
        <v>12.3.3</v>
      </c>
      <c r="B45" s="1975" t="str">
        <f>'12-A. Print Sub-Annex'!B85</f>
        <v>H.4</v>
      </c>
      <c r="C45" s="88" t="str">
        <f>'12-A. Print Sub-Annex'!C85</f>
        <v>Printing (ACSM)</v>
      </c>
      <c r="D45" s="1975" t="str">
        <f>'12-A. Print Sub-Annex'!D85</f>
        <v>NDCP</v>
      </c>
      <c r="E45" s="1975" t="str">
        <f>'12-A. Print Sub-Annex'!E85</f>
        <v>NTEP</v>
      </c>
      <c r="F45" s="2029">
        <f>'12-A. Print Sub-Annex'!F85</f>
        <v>86</v>
      </c>
      <c r="G45" s="2029">
        <f>'12-A. Print Sub-Annex'!G85</f>
        <v>4562</v>
      </c>
      <c r="H45" s="2029">
        <f>'12-A. Print Sub-Annex'!H85</f>
        <v>5.99</v>
      </c>
      <c r="I45" s="2029">
        <f>'12-A. Print Sub-Annex'!I85</f>
        <v>6</v>
      </c>
      <c r="J45" s="2029">
        <f>'12-A. Print Sub-Annex'!J85</f>
        <v>2</v>
      </c>
      <c r="K45" s="2029">
        <f>'12-A. Print Sub-Annex'!K85</f>
        <v>12</v>
      </c>
      <c r="L45" s="2029">
        <f>'12-A. Print Sub-Annex'!L85</f>
        <v>2965</v>
      </c>
      <c r="M45" s="162">
        <f>'12-A. Print Sub-Annex'!M85</f>
        <v>2.9649999999999999E-2</v>
      </c>
      <c r="N45" s="2029">
        <f>'12-A. Print Sub-Annex'!N85</f>
        <v>230</v>
      </c>
      <c r="O45" s="162">
        <f>'12-A. Print Sub-Annex'!O85</f>
        <v>6.8194999999999997</v>
      </c>
      <c r="P45" s="2896" t="str">
        <f>'12-A. Print Sub-Annex'!P85</f>
        <v xml:space="preserve">NTEP- 2.5   Printing of phamphlets and  posterd etc. for active case finding campaign  for 74 blocks and 12 DTC  have been proposed </v>
      </c>
      <c r="Q45" s="54" t="s">
        <v>5723</v>
      </c>
      <c r="R45" s="142">
        <v>6.82</v>
      </c>
    </row>
    <row r="46" spans="1:18" ht="90">
      <c r="A46" s="4106"/>
      <c r="B46" s="1975" t="str">
        <f>'12-A. Print Sub-Annex'!B86</f>
        <v>H.13</v>
      </c>
      <c r="C46" s="88" t="str">
        <f>'12-A. Print Sub-Annex'!C86</f>
        <v>Printing</v>
      </c>
      <c r="D46" s="1975" t="str">
        <f>'12-A. Print Sub-Annex'!D86</f>
        <v>NDCP</v>
      </c>
      <c r="E46" s="1975" t="str">
        <f>'12-A. Print Sub-Annex'!E86</f>
        <v>NTEP</v>
      </c>
      <c r="F46" s="2029">
        <f>'12-A. Print Sub-Annex'!F86</f>
        <v>351</v>
      </c>
      <c r="G46" s="2029">
        <f>'12-A. Print Sub-Annex'!G86</f>
        <v>2016</v>
      </c>
      <c r="H46" s="2029">
        <f>'12-A. Print Sub-Annex'!H86</f>
        <v>15.51</v>
      </c>
      <c r="I46" s="2029">
        <f>'12-A. Print Sub-Annex'!I86</f>
        <v>8.1999999999999993</v>
      </c>
      <c r="J46" s="2029">
        <f>'12-A. Print Sub-Annex'!J86</f>
        <v>6</v>
      </c>
      <c r="K46" s="2029">
        <f>'12-A. Print Sub-Annex'!K86</f>
        <v>12</v>
      </c>
      <c r="L46" s="2029">
        <f>'12-A. Print Sub-Annex'!L86</f>
        <v>4418</v>
      </c>
      <c r="M46" s="162">
        <f>'12-A. Print Sub-Annex'!M86</f>
        <v>4.4179999999999997E-2</v>
      </c>
      <c r="N46" s="2029">
        <f>'12-A. Print Sub-Annex'!N86</f>
        <v>425</v>
      </c>
      <c r="O46" s="162">
        <f>'12-A. Print Sub-Annex'!O86</f>
        <v>18.776499999999999</v>
      </c>
      <c r="P46" s="2896" t="str">
        <f>'12-A. Print Sub-Annex'!P86</f>
        <v xml:space="preserve">NTEP-2  The printing of Laboratory formats , Referral forms ,Laboratory Registers for all 218 DMCs , TB notification register for all 74 TB units, PMDT Register for all DR-TB Centers , TB-Center have been proposed </v>
      </c>
      <c r="Q46" s="54" t="s">
        <v>5723</v>
      </c>
      <c r="R46" s="142">
        <v>18.78</v>
      </c>
    </row>
    <row r="47" spans="1:18">
      <c r="A47" s="331">
        <f>'14.Drug warehouse &amp;Logistic Anx'!A7</f>
        <v>14</v>
      </c>
      <c r="B47" s="331"/>
      <c r="C47" s="331" t="str">
        <f>'14.Drug warehouse &amp;Logistic Anx'!C7</f>
        <v>Drug Warehousing and Logistics</v>
      </c>
      <c r="D47" s="1812"/>
      <c r="E47" s="1812"/>
      <c r="F47" s="1812"/>
      <c r="G47" s="1812"/>
      <c r="H47" s="994"/>
      <c r="I47" s="1812"/>
      <c r="J47" s="994"/>
      <c r="K47" s="331"/>
      <c r="L47" s="331"/>
      <c r="M47" s="994"/>
      <c r="N47" s="994"/>
      <c r="O47" s="994">
        <f>SUM(O48:O50)</f>
        <v>5.7</v>
      </c>
      <c r="P47" s="2894"/>
      <c r="Q47" s="115"/>
      <c r="R47" s="115">
        <f>SUM(R48:R50)</f>
        <v>5.7</v>
      </c>
    </row>
    <row r="48" spans="1:18">
      <c r="A48" s="1975" t="str">
        <f>'14.Drug warehouse &amp;Logistic Anx'!A11</f>
        <v>14.1.1.2</v>
      </c>
      <c r="B48" s="1975" t="str">
        <f>'14.Drug warehouse &amp;Logistic Anx'!B11</f>
        <v>B.30.1.7/H.12</v>
      </c>
      <c r="C48" s="88" t="str">
        <f>'14.Drug warehouse &amp;Logistic Anx'!C11</f>
        <v>Human resources for NTEP drug store</v>
      </c>
      <c r="D48" s="1975" t="str">
        <f>'14.Drug warehouse &amp;Logistic Anx'!D11</f>
        <v>HSS</v>
      </c>
      <c r="E48" s="1975" t="str">
        <f>'14.Drug warehouse &amp;Logistic Anx'!E11</f>
        <v>NTEP/ HRH</v>
      </c>
      <c r="F48" s="2029">
        <f>'14.Drug warehouse &amp;Logistic Anx'!F11</f>
        <v>0</v>
      </c>
      <c r="G48" s="2029">
        <f>'14.Drug warehouse &amp;Logistic Anx'!G11</f>
        <v>0</v>
      </c>
      <c r="H48" s="2029">
        <f>'14.Drug warehouse &amp;Logistic Anx'!H11</f>
        <v>0</v>
      </c>
      <c r="I48" s="2029">
        <f>'14.Drug warehouse &amp;Logistic Anx'!I11</f>
        <v>0</v>
      </c>
      <c r="J48" s="2029">
        <f>'14.Drug warehouse &amp;Logistic Anx'!J11</f>
        <v>0</v>
      </c>
      <c r="K48" s="2029">
        <f>'14.Drug warehouse &amp;Logistic Anx'!K11</f>
        <v>0</v>
      </c>
      <c r="L48" s="2029">
        <f>'14.Drug warehouse &amp;Logistic Anx'!L11</f>
        <v>0</v>
      </c>
      <c r="M48" s="162">
        <f>'14.Drug warehouse &amp;Logistic Anx'!M11</f>
        <v>0</v>
      </c>
      <c r="N48" s="2029">
        <f>'14.Drug warehouse &amp;Logistic Anx'!N11</f>
        <v>0</v>
      </c>
      <c r="O48" s="162">
        <f>'14.Drug warehouse &amp;Logistic Anx'!O11</f>
        <v>0</v>
      </c>
      <c r="P48" s="2896">
        <f>'14.Drug warehouse &amp;Logistic Anx'!P11</f>
        <v>0</v>
      </c>
      <c r="Q48" s="155"/>
      <c r="R48" s="142"/>
    </row>
    <row r="49" spans="1:18" ht="45">
      <c r="A49" s="1975" t="str">
        <f>'14.Drug warehouse &amp;Logistic Anx'!A29</f>
        <v>14.2.11</v>
      </c>
      <c r="B49" s="1975" t="str">
        <f>'14.Drug warehouse &amp;Logistic Anx'!B29</f>
        <v>H.8</v>
      </c>
      <c r="C49" s="88" t="str">
        <f>'14.Drug warehouse &amp;Logistic Anx'!C29</f>
        <v>Vehicle hiring for drug transportation</v>
      </c>
      <c r="D49" s="1975" t="str">
        <f>'14.Drug warehouse &amp;Logistic Anx'!D29</f>
        <v>NDCP</v>
      </c>
      <c r="E49" s="1975" t="str">
        <f>'14.Drug warehouse &amp;Logistic Anx'!E29</f>
        <v>NTEP</v>
      </c>
      <c r="F49" s="2029">
        <f>'14.Drug warehouse &amp;Logistic Anx'!F29</f>
        <v>2</v>
      </c>
      <c r="G49" s="2029">
        <f>'14.Drug warehouse &amp;Logistic Anx'!G29</f>
        <v>0</v>
      </c>
      <c r="H49" s="2029">
        <f>'14.Drug warehouse &amp;Logistic Anx'!H29</f>
        <v>115.1</v>
      </c>
      <c r="I49" s="2029">
        <f>'14.Drug warehouse &amp;Logistic Anx'!I29</f>
        <v>0</v>
      </c>
      <c r="J49" s="2029">
        <f>'14.Drug warehouse &amp;Logistic Anx'!J29</f>
        <v>115.1</v>
      </c>
      <c r="K49" s="2029">
        <f>'14.Drug warehouse &amp;Logistic Anx'!K29</f>
        <v>1</v>
      </c>
      <c r="L49" s="2029">
        <f>'14.Drug warehouse &amp;Logistic Anx'!L29</f>
        <v>5000</v>
      </c>
      <c r="M49" s="162">
        <f>'14.Drug warehouse &amp;Logistic Anx'!M29</f>
        <v>0.05</v>
      </c>
      <c r="N49" s="2029">
        <f>'14.Drug warehouse &amp;Logistic Anx'!N29</f>
        <v>74</v>
      </c>
      <c r="O49" s="162">
        <f>'14.Drug warehouse &amp;Logistic Anx'!O29</f>
        <v>3.7</v>
      </c>
      <c r="P49" s="2896" t="str">
        <f>'14.Drug warehouse &amp;Logistic Anx'!P29</f>
        <v xml:space="preserve">NTEP-3.1    The cost for hiring of vehicles for drugs supplies for districts level to periphery  have been proposed </v>
      </c>
      <c r="Q49" s="54" t="s">
        <v>5723</v>
      </c>
      <c r="R49" s="142">
        <v>3.7</v>
      </c>
    </row>
    <row r="50" spans="1:18" ht="45">
      <c r="A50" s="1975" t="str">
        <f>'14.Drug warehouse &amp;Logistic Anx'!A30</f>
        <v>14.2.12</v>
      </c>
      <c r="B50" s="1975" t="str">
        <f>'14.Drug warehouse &amp;Logistic Anx'!B30</f>
        <v>H.11</v>
      </c>
      <c r="C50" s="88" t="str">
        <f>'14.Drug warehouse &amp;Logistic Anx'!C30</f>
        <v>Drug transportation charges</v>
      </c>
      <c r="D50" s="1975" t="str">
        <f>'14.Drug warehouse &amp;Logistic Anx'!D30</f>
        <v>NDCP</v>
      </c>
      <c r="E50" s="1975" t="str">
        <f>'14.Drug warehouse &amp;Logistic Anx'!E30</f>
        <v>NTEP</v>
      </c>
      <c r="F50" s="2029">
        <f>'14.Drug warehouse &amp;Logistic Anx'!F30</f>
        <v>1</v>
      </c>
      <c r="G50" s="2029">
        <f>'14.Drug warehouse &amp;Logistic Anx'!G30</f>
        <v>1</v>
      </c>
      <c r="H50" s="2029">
        <f>'14.Drug warehouse &amp;Logistic Anx'!H30</f>
        <v>1</v>
      </c>
      <c r="I50" s="2029">
        <f>'14.Drug warehouse &amp;Logistic Anx'!I30</f>
        <v>0.49</v>
      </c>
      <c r="J50" s="2029">
        <f>'14.Drug warehouse &amp;Logistic Anx'!J30</f>
        <v>0.5</v>
      </c>
      <c r="K50" s="2029">
        <f>'14.Drug warehouse &amp;Logistic Anx'!K30</f>
        <v>1</v>
      </c>
      <c r="L50" s="2029">
        <f>'14.Drug warehouse &amp;Logistic Anx'!L30</f>
        <v>100000</v>
      </c>
      <c r="M50" s="162">
        <f>'14.Drug warehouse &amp;Logistic Anx'!M30</f>
        <v>1</v>
      </c>
      <c r="N50" s="2029">
        <f>'14.Drug warehouse &amp;Logistic Anx'!N30</f>
        <v>2</v>
      </c>
      <c r="O50" s="162">
        <f>'14.Drug warehouse &amp;Logistic Anx'!O30</f>
        <v>2</v>
      </c>
      <c r="P50" s="2896" t="str">
        <f>'14.Drug warehouse &amp;Logistic Anx'!P30</f>
        <v xml:space="preserve">NTEP 3-6  The funds for treansfer Drugs to SDS to DDS and out of state have been proposed. </v>
      </c>
      <c r="Q50" s="54" t="s">
        <v>5723</v>
      </c>
      <c r="R50" s="142">
        <v>2</v>
      </c>
    </row>
    <row r="51" spans="1:18">
      <c r="A51" s="1970">
        <f>'15.PPP Annex'!A7</f>
        <v>15</v>
      </c>
      <c r="B51" s="1970"/>
      <c r="C51" s="1970" t="str">
        <f>'15.PPP Annex'!C7</f>
        <v>PPP</v>
      </c>
      <c r="D51" s="1969"/>
      <c r="E51" s="1969"/>
      <c r="F51" s="1969"/>
      <c r="G51" s="1969"/>
      <c r="H51" s="994"/>
      <c r="I51" s="1969"/>
      <c r="J51" s="994"/>
      <c r="K51" s="1970"/>
      <c r="L51" s="1970"/>
      <c r="M51" s="994"/>
      <c r="N51" s="994"/>
      <c r="O51" s="994">
        <f>SUM(O52:O55)</f>
        <v>20.6</v>
      </c>
      <c r="P51" s="2894"/>
      <c r="Q51" s="115"/>
      <c r="R51" s="115">
        <f>SUM(R52:R55)</f>
        <v>20.6</v>
      </c>
    </row>
    <row r="52" spans="1:18" ht="150">
      <c r="A52" s="1975" t="str">
        <f>'15.PPP Annex'!A27</f>
        <v>15.3.3.1</v>
      </c>
      <c r="B52" s="900" t="str">
        <f>'15.PPP Annex'!B27</f>
        <v>15.5.1.1</v>
      </c>
      <c r="C52" s="107" t="str">
        <f>'15.PPP Annex'!C27</f>
        <v>Any PPM-PP/NGO Support</v>
      </c>
      <c r="D52" s="900" t="str">
        <f>'15.PPP Annex'!D27</f>
        <v>NDCP</v>
      </c>
      <c r="E52" s="900" t="str">
        <f>'15.PPP Annex'!E27</f>
        <v>NTEP</v>
      </c>
      <c r="F52" s="2031">
        <f>'15.PPP Annex'!F27</f>
        <v>21</v>
      </c>
      <c r="G52" s="2031">
        <f>'15.PPP Annex'!G27</f>
        <v>1023</v>
      </c>
      <c r="H52" s="2031">
        <f>'15.PPP Annex'!H27</f>
        <v>21.6</v>
      </c>
      <c r="I52" s="2031">
        <f>'15.PPP Annex'!I27</f>
        <v>6</v>
      </c>
      <c r="J52" s="2031">
        <f>'15.PPP Annex'!J27</f>
        <v>2</v>
      </c>
      <c r="K52" s="2031">
        <f>'15.PPP Annex'!K27</f>
        <v>1</v>
      </c>
      <c r="L52" s="2031">
        <f>'15.PPP Annex'!L27</f>
        <v>43000</v>
      </c>
      <c r="M52" s="962">
        <f>'15.PPP Annex'!M27</f>
        <v>0.43</v>
      </c>
      <c r="N52" s="2031">
        <f>'15.PPP Annex'!N27</f>
        <v>20</v>
      </c>
      <c r="O52" s="962">
        <f>'15.PPP Annex'!O27</f>
        <v>8.6</v>
      </c>
      <c r="P52" s="2897" t="str">
        <f>'15.PPP Annex'!P27</f>
        <v xml:space="preserve">NTEP-1.1      1. DR-TB centers in private sector ( 2 No.) are proposed in 2020-21 PIP at Delek Hospital Mcleodganj and MMUMC Sultanpur Total=2* 250000= 500000 proposed 2. Total 18 DMCs in private sector are currently operational in private sector.  Proposed cost @ Rs. 20000/- DMC. Proposed cost= Rs. 3,60,000Total =  Rs. 5 Lakh+ Rs. 3.60 lacs = 8.60  Lacs proposed.  </v>
      </c>
      <c r="Q52" s="54" t="s">
        <v>5724</v>
      </c>
      <c r="R52" s="142">
        <v>8.6</v>
      </c>
    </row>
    <row r="53" spans="1:18" ht="30">
      <c r="A53" s="1975" t="str">
        <f>'15.PPP Annex'!A28</f>
        <v>15.3.3.2</v>
      </c>
      <c r="B53" s="900" t="str">
        <f>'15.PPP Annex'!B28</f>
        <v>15.5.2/ H.9.1</v>
      </c>
      <c r="C53" s="107" t="str">
        <f>'15.PPP Annex'!C28</f>
        <v>Public Private Support Agency (PPSA)</v>
      </c>
      <c r="D53" s="900" t="str">
        <f>'15.PPP Annex'!D28</f>
        <v>NDCP</v>
      </c>
      <c r="E53" s="900" t="str">
        <f>'15.PPP Annex'!E28</f>
        <v>NTEP</v>
      </c>
      <c r="F53" s="2031">
        <f>'15.PPP Annex'!F28</f>
        <v>0</v>
      </c>
      <c r="G53" s="2031">
        <f>'15.PPP Annex'!G28</f>
        <v>0</v>
      </c>
      <c r="H53" s="2031">
        <f>'15.PPP Annex'!H28</f>
        <v>0</v>
      </c>
      <c r="I53" s="2031">
        <f>'15.PPP Annex'!I28</f>
        <v>0</v>
      </c>
      <c r="J53" s="2031">
        <f>'15.PPP Annex'!J28</f>
        <v>0</v>
      </c>
      <c r="K53" s="2031">
        <f>'15.PPP Annex'!K28</f>
        <v>0</v>
      </c>
      <c r="L53" s="2031">
        <f>'15.PPP Annex'!L28</f>
        <v>0</v>
      </c>
      <c r="M53" s="962">
        <f>'15.PPP Annex'!M28</f>
        <v>0</v>
      </c>
      <c r="N53" s="2031">
        <f>'15.PPP Annex'!N28</f>
        <v>0</v>
      </c>
      <c r="O53" s="962">
        <f>'15.PPP Annex'!O28</f>
        <v>0</v>
      </c>
      <c r="P53" s="2897">
        <f>'15.PPP Annex'!P28</f>
        <v>0</v>
      </c>
      <c r="Q53" s="54"/>
      <c r="R53" s="142"/>
    </row>
    <row r="54" spans="1:18" ht="60">
      <c r="A54" s="1975" t="str">
        <f>'15.PPP Annex'!A29</f>
        <v>15.5.3</v>
      </c>
      <c r="B54" s="900" t="str">
        <f>'15.PPP Annex'!B29</f>
        <v>15.5.3/ H.9.2</v>
      </c>
      <c r="C54" s="107" t="str">
        <f>'15.PPP Annex'!C29</f>
        <v xml:space="preserve">Private Provider Incentive </v>
      </c>
      <c r="D54" s="900" t="str">
        <f>'15.PPP Annex'!D29</f>
        <v>NDCP</v>
      </c>
      <c r="E54" s="900" t="str">
        <f>'15.PPP Annex'!E29</f>
        <v>NTEP</v>
      </c>
      <c r="F54" s="2031">
        <f>'15.PPP Annex'!F29</f>
        <v>2500</v>
      </c>
      <c r="G54" s="2031">
        <f>'15.PPP Annex'!G29</f>
        <v>0</v>
      </c>
      <c r="H54" s="2031">
        <f>'15.PPP Annex'!H29</f>
        <v>22.5</v>
      </c>
      <c r="I54" s="2031">
        <f>'15.PPP Annex'!I29</f>
        <v>2.75</v>
      </c>
      <c r="J54" s="2031">
        <f>'15.PPP Annex'!J29</f>
        <v>5</v>
      </c>
      <c r="K54" s="2031">
        <f>'15.PPP Annex'!K29</f>
        <v>1</v>
      </c>
      <c r="L54" s="2031">
        <f>'15.PPP Annex'!L29</f>
        <v>1000</v>
      </c>
      <c r="M54" s="962">
        <f>'15.PPP Annex'!M29</f>
        <v>0.01</v>
      </c>
      <c r="N54" s="2031">
        <f>'15.PPP Annex'!N29</f>
        <v>1200</v>
      </c>
      <c r="O54" s="962">
        <f>'15.PPP Annex'!O29</f>
        <v>12</v>
      </c>
      <c r="P54" s="2897" t="str">
        <f>'15.PPP Annex'!P29</f>
        <v>NTEP-3.4   Incentives  to private practitioners:    Rs. 12.00 lakh @ Rs. 1000/-patient to  estimated 1200 patients ( forTB notification and outcome).</v>
      </c>
      <c r="Q54" s="54" t="s">
        <v>5725</v>
      </c>
      <c r="R54" s="142">
        <v>12</v>
      </c>
    </row>
    <row r="55" spans="1:18" ht="30">
      <c r="A55" s="1975" t="str">
        <f>'15.PPP Annex'!A30</f>
        <v>15.3.3.4</v>
      </c>
      <c r="B55" s="1975" t="str">
        <f>'15.PPP Annex'!B30</f>
        <v>15.5.4</v>
      </c>
      <c r="C55" s="88" t="str">
        <f>'15.PPP Annex'!C30</f>
        <v>Multi-sectoral collaboration activities</v>
      </c>
      <c r="D55" s="1975" t="str">
        <f>'15.PPP Annex'!D30</f>
        <v>NDCP</v>
      </c>
      <c r="E55" s="1975" t="str">
        <f>'15.PPP Annex'!E30</f>
        <v>NTEP</v>
      </c>
      <c r="F55" s="2029">
        <f>'15.PPP Annex'!F30</f>
        <v>0</v>
      </c>
      <c r="G55" s="2029">
        <f>'15.PPP Annex'!G30</f>
        <v>0</v>
      </c>
      <c r="H55" s="2029">
        <f>'15.PPP Annex'!H30</f>
        <v>0</v>
      </c>
      <c r="I55" s="2029">
        <f>'15.PPP Annex'!I30</f>
        <v>0</v>
      </c>
      <c r="J55" s="2029">
        <f>'15.PPP Annex'!J30</f>
        <v>0</v>
      </c>
      <c r="K55" s="2029">
        <f>'15.PPP Annex'!K30</f>
        <v>0</v>
      </c>
      <c r="L55" s="2029">
        <f>'15.PPP Annex'!L30</f>
        <v>0</v>
      </c>
      <c r="M55" s="162">
        <f>'15.PPP Annex'!M30</f>
        <v>0</v>
      </c>
      <c r="N55" s="2029">
        <f>'15.PPP Annex'!N30</f>
        <v>0</v>
      </c>
      <c r="O55" s="162">
        <f>'15.PPP Annex'!O30</f>
        <v>0</v>
      </c>
      <c r="P55" s="2896">
        <f>'15.PPP Annex'!P30</f>
        <v>0</v>
      </c>
      <c r="Q55" s="155"/>
      <c r="R55" s="142"/>
    </row>
    <row r="56" spans="1:18">
      <c r="A56" s="1863">
        <f>'16.PM Annex'!A7</f>
        <v>16</v>
      </c>
      <c r="B56" s="1863"/>
      <c r="C56" s="1863" t="str">
        <f>'16.PM Annex'!C7</f>
        <v>Programme Management</v>
      </c>
      <c r="D56" s="1882"/>
      <c r="E56" s="1882"/>
      <c r="F56" s="1882"/>
      <c r="G56" s="1882"/>
      <c r="H56" s="994"/>
      <c r="I56" s="1882"/>
      <c r="J56" s="994"/>
      <c r="K56" s="1863"/>
      <c r="L56" s="1863"/>
      <c r="M56" s="994"/>
      <c r="N56" s="994"/>
      <c r="O56" s="994">
        <f>SUM(O57:O63)</f>
        <v>197.64588999999998</v>
      </c>
      <c r="P56" s="2894"/>
      <c r="Q56" s="115"/>
      <c r="R56" s="115">
        <f>SUM(R57:R63)</f>
        <v>197.64000000000001</v>
      </c>
    </row>
    <row r="57" spans="1:18" ht="390">
      <c r="A57" s="1975">
        <f>'16-A. PM sub Annex'!A42</f>
        <v>0</v>
      </c>
      <c r="B57" s="1975" t="e">
        <f>'16-A. PM sub Annex'!#REF!</f>
        <v>#REF!</v>
      </c>
      <c r="C57" s="88" t="str">
        <f>'16-A. PM sub Annex'!C42</f>
        <v>Medical Colleges (Any meetings)</v>
      </c>
      <c r="D57" s="1975" t="str">
        <f>'16-A. PM sub Annex'!D42</f>
        <v>NDCP</v>
      </c>
      <c r="E57" s="1975" t="str">
        <f>'16-A. PM sub Annex'!E42</f>
        <v>HRH&amp;HPIP/NTEP</v>
      </c>
      <c r="F57" s="2029">
        <f>'16-A. PM sub Annex'!F42</f>
        <v>41</v>
      </c>
      <c r="G57" s="2029">
        <f>'16-A. PM sub Annex'!G42</f>
        <v>13254</v>
      </c>
      <c r="H57" s="2029">
        <f>'16-A. PM sub Annex'!H42</f>
        <v>11.52</v>
      </c>
      <c r="I57" s="2029">
        <f>'16-A. PM sub Annex'!I42</f>
        <v>3.27</v>
      </c>
      <c r="J57" s="2029">
        <f>'16-A. PM sub Annex'!J42</f>
        <v>2</v>
      </c>
      <c r="K57" s="2029">
        <f>'16-A. PM sub Annex'!K42</f>
        <v>1</v>
      </c>
      <c r="L57" s="2029">
        <f>'16-A. PM sub Annex'!L42</f>
        <v>76000</v>
      </c>
      <c r="M57" s="162">
        <f>'16-A. PM sub Annex'!M42</f>
        <v>0.76</v>
      </c>
      <c r="N57" s="2029">
        <f>'16-A. PM sub Annex'!N42</f>
        <v>7</v>
      </c>
      <c r="O57" s="162">
        <f>'16-A. PM sub Annex'!O42</f>
        <v>5.32</v>
      </c>
      <c r="P57" s="2896" t="str">
        <f>'16-A. PM sub Annex'!P42</f>
        <v>NTEP-3.4   CTD, Government of India has established a mechanism of Task Force for ensuring engagement of medical colleges in NTEP. There is National Task Force, Zonal Task Force, State Task Force and core committee in the medical college. There are specified number of meetings of each of the body at different level, which has been approved in 2020-21 ROP. Details of each meetings and costing as follow: - 1) Core committee meetings of each medical college every quarter Rs. 2,80,000 2) Likewise, each quarter, STF meeting 4* @Rs 60000= Rs. 2,40,000/- 3) As per the CTD directions, STF chair and 2 members from each medical college to attend the Zonal Task Force meeting once in a year; . 4) ZTF chair has to attend the annual meeting of all 6 ZTF meeting. As per GOI directions, cost of TA/DA of STF/ZTF Chair and Members for attend the ZTF / NTF workshops in each six Zones. Office expenses for STF chairman @1000/- month= 12000/-.  Total = 2,80,000+2,40,000+12,000=5,32000/-</v>
      </c>
      <c r="Q57" s="54" t="s">
        <v>5726</v>
      </c>
      <c r="R57" s="142">
        <v>5.32</v>
      </c>
    </row>
    <row r="58" spans="1:18" ht="195">
      <c r="A58" s="1975" t="str">
        <f>'16-A. PM sub Annex'!A63</f>
        <v>16.1.2.2.13</v>
      </c>
      <c r="B58" s="1975" t="e">
        <f>'16-A. PM sub Annex'!#REF!</f>
        <v>#REF!</v>
      </c>
      <c r="C58" s="88" t="str">
        <f>'16-A. PM sub Annex'!C63</f>
        <v>Supervision and Monitoring</v>
      </c>
      <c r="D58" s="1975" t="str">
        <f>'16-A. PM sub Annex'!D63</f>
        <v>NDCP</v>
      </c>
      <c r="E58" s="1975" t="str">
        <f>'16-A. PM sub Annex'!E63</f>
        <v>HRH&amp;HPIP/NTEP</v>
      </c>
      <c r="F58" s="2029">
        <f>'16-A. PM sub Annex'!F63</f>
        <v>43</v>
      </c>
      <c r="G58" s="2029">
        <f>'16-A. PM sub Annex'!G63</f>
        <v>9564</v>
      </c>
      <c r="H58" s="2029">
        <f>'16-A. PM sub Annex'!H63</f>
        <v>47.48</v>
      </c>
      <c r="I58" s="2029">
        <f>'16-A. PM sub Annex'!I63</f>
        <v>6.44</v>
      </c>
      <c r="J58" s="2029">
        <f>'16-A. PM sub Annex'!J63</f>
        <v>40</v>
      </c>
      <c r="K58" s="2029">
        <f>'16-A. PM sub Annex'!K63</f>
        <v>1</v>
      </c>
      <c r="L58" s="2029">
        <f>'16-A. PM sub Annex'!L63</f>
        <v>87045</v>
      </c>
      <c r="M58" s="162">
        <f>'16-A. PM sub Annex'!M63</f>
        <v>0.87044999999999995</v>
      </c>
      <c r="N58" s="2029">
        <f>'16-A. PM sub Annex'!N63</f>
        <v>54</v>
      </c>
      <c r="O58" s="162">
        <f>'16-A. PM sub Annex'!O63</f>
        <v>47.004300000000001</v>
      </c>
      <c r="P58" s="2896" t="str">
        <f>'16-A. PM sub Annex'!P63</f>
        <v>NTEP-3.3  The funds for monthly review meeting  at  district level  ( 12 meeting* @ 50000= 6 lakh), State review meeting ( 4* 1 lakh= 4 lakh). RNTCP supervisory staff (DRTB Coordinator, STS and STLS) daily field visits ( 136 staff* 12* 1500)= 12.48 lakh. TA/DA of the 12  DTOs,  12 DPCs/74 MOTCs , STDC /IRL/SDS/STC staff during routine visits and also during the ACF campaign= 5 lakh. SIE of 2 districts @ 2 lakh= 2*2= 4 lakh and CIE @ 4 Lakh.  The total amount of Rs. 47 lacs have been proposed in the PIP 2021-22</v>
      </c>
      <c r="Q58" s="54" t="s">
        <v>5727</v>
      </c>
      <c r="R58" s="142">
        <v>47</v>
      </c>
    </row>
    <row r="59" spans="1:18" ht="210">
      <c r="A59" s="1975" t="str">
        <f>'16-A. PM sub Annex'!A82</f>
        <v>16.1.3.1.13</v>
      </c>
      <c r="B59" s="1975" t="e">
        <f>'16-A. PM sub Annex'!#REF!</f>
        <v>#REF!</v>
      </c>
      <c r="C59" s="88" t="str">
        <f>'16-A. PM sub Annex'!C82</f>
        <v>Vehicle Operation (POL)</v>
      </c>
      <c r="D59" s="1975" t="str">
        <f>'16-A. PM sub Annex'!D82</f>
        <v>NDCP</v>
      </c>
      <c r="E59" s="1975" t="str">
        <f>'16-A. PM sub Annex'!E82</f>
        <v>HRH&amp;HPIP/NTEP</v>
      </c>
      <c r="F59" s="2029">
        <f>'16-A. PM sub Annex'!F82</f>
        <v>160</v>
      </c>
      <c r="G59" s="2029">
        <f>'16-A. PM sub Annex'!G82</f>
        <v>160</v>
      </c>
      <c r="H59" s="2029">
        <f>'16-A. PM sub Annex'!H82</f>
        <v>34.78</v>
      </c>
      <c r="I59" s="2029">
        <f>'16-A. PM sub Annex'!I82</f>
        <v>17.48</v>
      </c>
      <c r="J59" s="2029">
        <f>'16-A. PM sub Annex'!J82</f>
        <v>17</v>
      </c>
      <c r="K59" s="2029">
        <f>'16-A. PM sub Annex'!K82</f>
        <v>105</v>
      </c>
      <c r="L59" s="2029">
        <f>'16-A. PM sub Annex'!L82</f>
        <v>26982</v>
      </c>
      <c r="M59" s="162">
        <f>'16-A. PM sub Annex'!M82</f>
        <v>0.26982</v>
      </c>
      <c r="N59" s="2029">
        <f>'16-A. PM sub Annex'!N82</f>
        <v>169</v>
      </c>
      <c r="O59" s="162">
        <f>'16-A. PM sub Annex'!O82</f>
        <v>45.599580000000003</v>
      </c>
      <c r="P59" s="2896" t="str">
        <f>'16-A. PM sub Annex'!P82</f>
        <v xml:space="preserve">NTEP-2 There are 49 RNTCP Vehicles in the state  (one STC, One STDC, 12 DTOs,  28 at MOTC/ blocks level , one Mobile on Wheel) and 79 Two wheelers for supervisory staff. The Funds for the maintenance of existing  49 RNTCP four vehicles  and 79 two wheelers  of STS/ STLS and DR-TB Coordinators.  In  PIP 2020-21, 37 new 2 wheelar will be procured  shortly Hence the  POL for all above vehicles and funds for insurance of new two wheelers proposed  , The total amount of Rs. 38.70 lacs proposed in the PIP 2021-22 </v>
      </c>
      <c r="Q59" s="54" t="s">
        <v>5728</v>
      </c>
      <c r="R59" s="142">
        <v>45.6</v>
      </c>
    </row>
    <row r="60" spans="1:18" ht="75">
      <c r="A60" s="1975" t="str">
        <f>'16-A. PM sub Annex'!A83</f>
        <v>16.1.3.1.14</v>
      </c>
      <c r="B60" s="1975" t="e">
        <f>'16-A. PM sub Annex'!#REF!</f>
        <v>#REF!</v>
      </c>
      <c r="C60" s="88" t="str">
        <f>'16-A. PM sub Annex'!C83</f>
        <v>Vehicle hiring</v>
      </c>
      <c r="D60" s="1975" t="str">
        <f>'16-A. PM sub Annex'!D83</f>
        <v>NDCP</v>
      </c>
      <c r="E60" s="1975" t="str">
        <f>'16-A. PM sub Annex'!E83</f>
        <v>HRH&amp;HPIP/NTEP</v>
      </c>
      <c r="F60" s="2029">
        <f>'16-A. PM sub Annex'!F83</f>
        <v>0</v>
      </c>
      <c r="G60" s="2029">
        <f>'16-A. PM sub Annex'!G83</f>
        <v>0</v>
      </c>
      <c r="H60" s="2029">
        <f>'16-A. PM sub Annex'!H83</f>
        <v>0</v>
      </c>
      <c r="I60" s="2029">
        <f>'16-A. PM sub Annex'!I83</f>
        <v>0</v>
      </c>
      <c r="J60" s="2029">
        <f>'16-A. PM sub Annex'!J83</f>
        <v>0</v>
      </c>
      <c r="K60" s="2029">
        <f>'16-A. PM sub Annex'!K83</f>
        <v>0</v>
      </c>
      <c r="L60" s="2029">
        <f>'16-A. PM sub Annex'!L83</f>
        <v>257143</v>
      </c>
      <c r="M60" s="162">
        <f>'16-A. PM sub Annex'!M83</f>
        <v>2.5714299999999999</v>
      </c>
      <c r="N60" s="2029">
        <f>'16-A. PM sub Annex'!N83</f>
        <v>21</v>
      </c>
      <c r="O60" s="162">
        <f>'16-A. PM sub Annex'!O83</f>
        <v>54.000029999999995</v>
      </c>
      <c r="P60" s="2896">
        <f>'16-A. PM sub Annex'!P83</f>
        <v>0</v>
      </c>
      <c r="Q60" s="54" t="s">
        <v>5729</v>
      </c>
      <c r="R60" s="142">
        <f>52.8+1.2</f>
        <v>54</v>
      </c>
    </row>
    <row r="61" spans="1:18" ht="30">
      <c r="A61" s="1975" t="str">
        <f>'16-A. PM sub Annex'!A106</f>
        <v>16.1.3.3.12</v>
      </c>
      <c r="B61" s="1975" t="e">
        <f>'16-A. PM sub Annex'!#REF!</f>
        <v>#REF!</v>
      </c>
      <c r="C61" s="88" t="str">
        <f>'16-A. PM sub Annex'!C106</f>
        <v>Medical Colleges (All service delivery to be budgeted under B.30)</v>
      </c>
      <c r="D61" s="1975" t="str">
        <f>'16-A. PM sub Annex'!D106</f>
        <v>NDCP</v>
      </c>
      <c r="E61" s="1975" t="str">
        <f>'16-A. PM sub Annex'!E106</f>
        <v>HRH&amp;HPIP/NTEP</v>
      </c>
      <c r="F61" s="2029">
        <f>'16-A. PM sub Annex'!F106</f>
        <v>0</v>
      </c>
      <c r="G61" s="2029">
        <f>'16-A. PM sub Annex'!G106</f>
        <v>0</v>
      </c>
      <c r="H61" s="2029">
        <f>'16-A. PM sub Annex'!H106</f>
        <v>0</v>
      </c>
      <c r="I61" s="2029">
        <f>'16-A. PM sub Annex'!I106</f>
        <v>0</v>
      </c>
      <c r="J61" s="2029">
        <f>'16-A. PM sub Annex'!J106</f>
        <v>0</v>
      </c>
      <c r="K61" s="2029">
        <f>'16-A. PM sub Annex'!K106</f>
        <v>0</v>
      </c>
      <c r="L61" s="2029">
        <f>'16-A. PM sub Annex'!L106</f>
        <v>0</v>
      </c>
      <c r="M61" s="162">
        <f>'16-A. PM sub Annex'!M106</f>
        <v>0</v>
      </c>
      <c r="N61" s="2029">
        <f>'16-A. PM sub Annex'!N106</f>
        <v>0</v>
      </c>
      <c r="O61" s="162">
        <f>'16-A. PM sub Annex'!O106</f>
        <v>0</v>
      </c>
      <c r="P61" s="2896">
        <f>'16-A. PM sub Annex'!P106</f>
        <v>0</v>
      </c>
      <c r="Q61" s="54"/>
      <c r="R61" s="142"/>
    </row>
    <row r="62" spans="1:18" ht="195">
      <c r="A62" s="1975" t="str">
        <f>'16-A. PM sub Annex'!A130</f>
        <v>16.1.4.1.10</v>
      </c>
      <c r="B62" s="1975" t="e">
        <f>'16-A. PM sub Annex'!#REF!</f>
        <v>#REF!</v>
      </c>
      <c r="C62" s="88" t="str">
        <f>'16-A. PM sub Annex'!C130</f>
        <v>Office Operation (Miscellaneous)</v>
      </c>
      <c r="D62" s="1975" t="str">
        <f>'16-A. PM sub Annex'!D130</f>
        <v>NDCP</v>
      </c>
      <c r="E62" s="1975" t="str">
        <f>'16-A. PM sub Annex'!E130</f>
        <v>HRH&amp;HPIP/NTEP</v>
      </c>
      <c r="F62" s="2029">
        <f>'16-A. PM sub Annex'!F130</f>
        <v>45</v>
      </c>
      <c r="G62" s="2029">
        <f>'16-A. PM sub Annex'!G130</f>
        <v>31</v>
      </c>
      <c r="H62" s="2029">
        <f>'16-A. PM sub Annex'!H130</f>
        <v>35.47</v>
      </c>
      <c r="I62" s="2029">
        <f>'16-A. PM sub Annex'!I130</f>
        <v>18.079999999999998</v>
      </c>
      <c r="J62" s="2029">
        <f>'16-A. PM sub Annex'!J130</f>
        <v>17.34</v>
      </c>
      <c r="K62" s="2029">
        <f>'16-A. PM sub Annex'!K130</f>
        <v>93</v>
      </c>
      <c r="L62" s="2029">
        <f>'16-A. PM sub Annex'!L130</f>
        <v>78831</v>
      </c>
      <c r="M62" s="162">
        <f>'16-A. PM sub Annex'!M130</f>
        <v>0.78830999999999996</v>
      </c>
      <c r="N62" s="2029">
        <f>'16-A. PM sub Annex'!N130</f>
        <v>58</v>
      </c>
      <c r="O62" s="162">
        <f>'16-A. PM sub Annex'!O130</f>
        <v>45.721979999999995</v>
      </c>
      <c r="P62" s="2896" t="str">
        <f>'16-A. PM sub Annex'!P130</f>
        <v>NTEP-1 The funds for the telephone operations,  stationary items, refilling of printers, photocopying charges,  for the all districts (12), State / STDC/ IRL/ 2 C&amp;DST, 76 TUs, 12 DDS, one SDS, 23 CB-NAAT sites, 12 DR-TB Centers , 3 Nodal DR-TB Centers of Rs.2500000/-                                                                                                                                                                                                                                Internet charges for 280 Tablets ( avilable with DTC SDS STDC STC and  IRL Dharampur) @ Rs.300 per month each =280X300X12=1008000/-Total cost 2500000+ 10008000/- = 45.72 lacs have been proposed .</v>
      </c>
      <c r="Q62" s="54" t="s">
        <v>5730</v>
      </c>
      <c r="R62" s="142">
        <v>45.72</v>
      </c>
    </row>
    <row r="63" spans="1:18" ht="30">
      <c r="A63" s="1975" t="str">
        <f>'16-A. PM sub Annex'!A157</f>
        <v>16.1.5.2.4</v>
      </c>
      <c r="B63" s="1975" t="e">
        <f>'16-A. PM sub Annex'!#REF!</f>
        <v>#REF!</v>
      </c>
      <c r="C63" s="88" t="str">
        <f>'16-A. PM sub Annex'!C157</f>
        <v>Vehicle Operation (Maintenance)</v>
      </c>
      <c r="D63" s="1975" t="str">
        <f>'16-A. PM sub Annex'!D157</f>
        <v>NDCP</v>
      </c>
      <c r="E63" s="1975" t="str">
        <f>'16-A. PM sub Annex'!E157</f>
        <v>HRH&amp;HPIP/NTEP</v>
      </c>
      <c r="F63" s="2029">
        <f>'16-A. PM sub Annex'!F157</f>
        <v>0</v>
      </c>
      <c r="G63" s="2029">
        <f>'16-A. PM sub Annex'!G157</f>
        <v>0</v>
      </c>
      <c r="H63" s="2029">
        <f>'16-A. PM sub Annex'!H157</f>
        <v>0</v>
      </c>
      <c r="I63" s="2029">
        <f>'16-A. PM sub Annex'!I157</f>
        <v>0</v>
      </c>
      <c r="J63" s="2029">
        <f>'16-A. PM sub Annex'!J157</f>
        <v>0</v>
      </c>
      <c r="K63" s="2029">
        <f>'16-A. PM sub Annex'!K157</f>
        <v>0</v>
      </c>
      <c r="L63" s="2029">
        <f>'16-A. PM sub Annex'!L157</f>
        <v>0</v>
      </c>
      <c r="M63" s="162">
        <f>'16-A. PM sub Annex'!M157</f>
        <v>0</v>
      </c>
      <c r="N63" s="2029">
        <f>'16-A. PM sub Annex'!N157</f>
        <v>0</v>
      </c>
      <c r="O63" s="162">
        <f>'16-A. PM sub Annex'!O157</f>
        <v>0</v>
      </c>
      <c r="P63" s="2896">
        <f>'16-A. PM sub Annex'!P157</f>
        <v>0</v>
      </c>
      <c r="Q63" s="155"/>
      <c r="R63" s="142"/>
    </row>
    <row r="64" spans="1:18">
      <c r="Q64" s="1894"/>
      <c r="R64" s="2020"/>
    </row>
    <row r="65" spans="1:18">
      <c r="Q65" s="1894"/>
      <c r="R65" s="2020"/>
    </row>
    <row r="66" spans="1:18" s="1942" customFormat="1">
      <c r="A66" s="4098" t="s">
        <v>5130</v>
      </c>
      <c r="B66" s="4098"/>
      <c r="C66" s="4098"/>
      <c r="D66" s="785"/>
      <c r="E66" s="785"/>
      <c r="F66" s="785"/>
      <c r="G66" s="785"/>
      <c r="H66" s="547"/>
      <c r="I66" s="785"/>
      <c r="J66" s="547"/>
      <c r="K66" s="2007"/>
      <c r="L66" s="2007"/>
      <c r="M66" s="547"/>
      <c r="N66" s="1997"/>
      <c r="O66" s="1957"/>
      <c r="P66" s="1953"/>
      <c r="Q66" s="1964"/>
      <c r="R66" s="1965"/>
    </row>
    <row r="67" spans="1:18" s="1942" customFormat="1">
      <c r="A67" s="1958" t="str">
        <f>'NUHM-Non Metro Abst'!A14</f>
        <v>U.1.1.1.4</v>
      </c>
      <c r="B67" s="1958">
        <f>'NUHM-Non Metro Abst'!B14</f>
        <v>0</v>
      </c>
      <c r="C67" s="1958" t="str">
        <f>'NUHM-Non Metro Abst'!C14</f>
        <v>Support for implementation of NTEP</v>
      </c>
      <c r="D67" s="1269"/>
      <c r="E67" s="1958" t="str">
        <f>'NUHM-Non Metro Abst'!D14</f>
        <v>NTEP</v>
      </c>
      <c r="F67" s="1958">
        <f>'NUHM-Non Metro Abst'!E14</f>
        <v>0</v>
      </c>
      <c r="G67" s="1958">
        <f>'NUHM-Non Metro Abst'!F14</f>
        <v>0</v>
      </c>
      <c r="H67" s="1958">
        <f>'NUHM-Non Metro Abst'!G14</f>
        <v>5</v>
      </c>
      <c r="I67" s="1958">
        <f>'NUHM-Non Metro Abst'!H14</f>
        <v>0</v>
      </c>
      <c r="J67" s="1958">
        <f>'NUHM-Non Metro Abst'!I14</f>
        <v>5</v>
      </c>
      <c r="K67" s="1958">
        <f>'NUHM-Non Metro Abst'!J14</f>
        <v>0</v>
      </c>
      <c r="L67" s="1958">
        <f>'NUHM-Non Metro Abst'!K14</f>
        <v>0</v>
      </c>
      <c r="M67" s="1958">
        <f>'NUHM-Non Metro Abst'!L14</f>
        <v>0</v>
      </c>
      <c r="N67" s="1958">
        <f>'NUHM-Non Metro Abst'!M14</f>
        <v>0</v>
      </c>
      <c r="O67" s="1958">
        <f>'NUHM-Non Metro Abst'!N14</f>
        <v>0</v>
      </c>
      <c r="P67" s="2788">
        <f>'NUHM-Non Metro Abst'!O14</f>
        <v>0</v>
      </c>
      <c r="Q67" s="55"/>
      <c r="R67" s="1966"/>
    </row>
    <row r="68" spans="1:18" s="1942" customFormat="1">
      <c r="A68" s="4098" t="s">
        <v>5129</v>
      </c>
      <c r="B68" s="4098"/>
      <c r="C68" s="4098"/>
      <c r="D68" s="785"/>
      <c r="E68" s="785"/>
      <c r="F68" s="785"/>
      <c r="G68" s="785"/>
      <c r="H68" s="547"/>
      <c r="I68" s="785"/>
      <c r="J68" s="547"/>
      <c r="K68" s="2007"/>
      <c r="L68" s="2007"/>
      <c r="M68" s="547"/>
      <c r="N68" s="1997"/>
      <c r="O68" s="1957"/>
      <c r="P68" s="1953"/>
      <c r="Q68" s="1964"/>
      <c r="R68" s="1965"/>
    </row>
    <row r="69" spans="1:18" s="1942" customFormat="1">
      <c r="A69" s="1958" t="str">
        <f>'NUHM Metro Abst'!A14</f>
        <v>U.1.1.1.4</v>
      </c>
      <c r="B69" s="1958">
        <f>'NUHM Metro Abst'!B14</f>
        <v>0</v>
      </c>
      <c r="C69" s="1958" t="str">
        <f>'NUHM Metro Abst'!C14</f>
        <v>Support for implementation of NTEP</v>
      </c>
      <c r="D69" s="1269"/>
      <c r="E69" s="1958" t="str">
        <f>'NUHM Metro Abst'!D14</f>
        <v>NTEP</v>
      </c>
      <c r="F69" s="1958">
        <f>'NUHM Metro Abst'!E14</f>
        <v>0</v>
      </c>
      <c r="G69" s="1958">
        <f>'NUHM Metro Abst'!F14</f>
        <v>0</v>
      </c>
      <c r="H69" s="1958">
        <f>'NUHM Metro Abst'!G14</f>
        <v>0</v>
      </c>
      <c r="I69" s="1958">
        <f>'NUHM Metro Abst'!H14</f>
        <v>0</v>
      </c>
      <c r="J69" s="1958">
        <f>'NUHM Metro Abst'!I14</f>
        <v>0</v>
      </c>
      <c r="K69" s="1958">
        <f>'NUHM Metro Abst'!J14</f>
        <v>0</v>
      </c>
      <c r="L69" s="1958">
        <f>'NUHM Metro Abst'!K14</f>
        <v>0</v>
      </c>
      <c r="M69" s="1958">
        <f>'NUHM Metro Abst'!L14</f>
        <v>0</v>
      </c>
      <c r="N69" s="1958">
        <f>'NUHM Metro Abst'!M14</f>
        <v>0</v>
      </c>
      <c r="O69" s="1958">
        <f>'NUHM Metro Abst'!N14</f>
        <v>0</v>
      </c>
      <c r="P69" s="2788">
        <f>'NUHM Metro Abst'!O14</f>
        <v>0</v>
      </c>
      <c r="Q69" s="55"/>
      <c r="R69" s="55"/>
    </row>
  </sheetData>
  <sheetProtection sheet="1" formatCells="0" formatColumns="0" formatRows="0" autoFilter="0"/>
  <autoFilter ref="A5:M63"/>
  <mergeCells count="17">
    <mergeCell ref="A41:A43"/>
    <mergeCell ref="A66:C66"/>
    <mergeCell ref="A68:C68"/>
    <mergeCell ref="Q4:R4"/>
    <mergeCell ref="E4:E5"/>
    <mergeCell ref="F4:J4"/>
    <mergeCell ref="K4:P4"/>
    <mergeCell ref="A45:A46"/>
    <mergeCell ref="A21:A23"/>
    <mergeCell ref="A24:A25"/>
    <mergeCell ref="A26:A28"/>
    <mergeCell ref="A33:A35"/>
    <mergeCell ref="A1:C1"/>
    <mergeCell ref="A4:A5"/>
    <mergeCell ref="B4:B5"/>
    <mergeCell ref="C4:C5"/>
    <mergeCell ref="D4:D5"/>
  </mergeCells>
  <pageMargins left="0.7" right="0.7" top="0.75" bottom="0.75" header="0.3" footer="0.3"/>
  <pageSetup orientation="portrait" horizontalDpi="4294967295" verticalDpi="4294967295" r:id="rId1"/>
</worksheet>
</file>

<file path=xl/worksheets/sheet39.xml><?xml version="1.0" encoding="utf-8"?>
<worksheet xmlns="http://schemas.openxmlformats.org/spreadsheetml/2006/main" xmlns:r="http://schemas.openxmlformats.org/officeDocument/2006/relationships">
  <sheetPr codeName="Sheet15">
    <tabColor theme="5" tint="0.79998168889431442"/>
  </sheetPr>
  <dimension ref="A1:S50"/>
  <sheetViews>
    <sheetView zoomScale="70" zoomScaleNormal="70" workbookViewId="0">
      <pane xSplit="3" ySplit="5" topLeftCell="L31" activePane="bottomRight" state="frozen"/>
      <selection activeCell="C107" sqref="C107"/>
      <selection pane="topRight" activeCell="C107" sqref="C107"/>
      <selection pane="bottomLeft" activeCell="C107" sqref="C107"/>
      <selection pane="bottomRight" activeCell="Q52" sqref="Q52"/>
    </sheetView>
  </sheetViews>
  <sheetFormatPr defaultColWidth="8.7109375" defaultRowHeight="15"/>
  <cols>
    <col min="1" max="1" width="10.5703125" style="2036" bestFit="1" customWidth="1"/>
    <col min="2" max="2" width="20" style="2036" customWidth="1"/>
    <col min="3" max="3" width="62.5703125" style="898" customWidth="1"/>
    <col min="4" max="4" width="6.140625" style="1851" bestFit="1" customWidth="1"/>
    <col min="5" max="5" width="21.7109375" style="1851" bestFit="1" customWidth="1"/>
    <col min="6" max="6" width="22.7109375" style="2037" bestFit="1" customWidth="1"/>
    <col min="7" max="7" width="14.85546875" style="2037" customWidth="1"/>
    <col min="8" max="8" width="15.140625" style="2040" customWidth="1"/>
    <col min="9" max="9" width="10" style="2037" customWidth="1"/>
    <col min="10" max="10" width="11.5703125" style="2040" customWidth="1"/>
    <col min="11" max="11" width="11.42578125" style="2036" customWidth="1"/>
    <col min="12" max="12" width="15.5703125" style="2036" customWidth="1"/>
    <col min="13" max="13" width="12" style="2040" bestFit="1" customWidth="1"/>
    <col min="14" max="14" width="8.7109375" style="2032"/>
    <col min="15" max="15" width="13.140625" style="2033" customWidth="1"/>
    <col min="16" max="16" width="51.5703125" style="2032" customWidth="1"/>
    <col min="17" max="17" width="42.85546875" style="2032" customWidth="1"/>
    <col min="18" max="18" width="11" style="2033" customWidth="1"/>
    <col min="19" max="16384" width="8.7109375" style="2032"/>
  </cols>
  <sheetData>
    <row r="1" spans="1:18">
      <c r="A1" s="4097" t="s">
        <v>3746</v>
      </c>
      <c r="B1" s="4097"/>
      <c r="C1" s="4097"/>
      <c r="D1" s="1902"/>
      <c r="E1" s="1943"/>
      <c r="F1" s="83" t="s">
        <v>3833</v>
      </c>
      <c r="G1" s="1980"/>
      <c r="H1" s="1980"/>
      <c r="I1" s="1980"/>
      <c r="J1" s="1906"/>
      <c r="K1" s="1980"/>
      <c r="L1" s="1980"/>
      <c r="M1" s="1906"/>
    </row>
    <row r="2" spans="1:18">
      <c r="A2" s="1842" t="str">
        <f>HYPERLINK("#Index!F3", "Index Pg")</f>
        <v>Index Pg</v>
      </c>
      <c r="B2" s="1847"/>
      <c r="C2" s="864" t="str">
        <f>HYPERLINK("#'Budget Summary I'!A1:AL1", "Budget Summary I")</f>
        <v>Budget Summary I</v>
      </c>
      <c r="D2" s="1909"/>
      <c r="E2" s="1463" t="s">
        <v>4460</v>
      </c>
      <c r="F2" s="161">
        <f>R6+R12+R14+R17+R22+R24+R32+R34+R36+R38+R40</f>
        <v>59.38000000000001</v>
      </c>
      <c r="G2" s="2034"/>
      <c r="H2" s="2034"/>
      <c r="I2" s="2034"/>
      <c r="J2" s="1913"/>
      <c r="K2" s="2034"/>
      <c r="L2" s="2034"/>
      <c r="M2" s="1913"/>
    </row>
    <row r="3" spans="1:18">
      <c r="A3" s="1846"/>
      <c r="B3" s="1847"/>
      <c r="C3" s="1916" t="str">
        <f>HYPERLINK("#'Budget Summary II'!A3:B5", "Budget Summary II")</f>
        <v>Budget Summary II</v>
      </c>
      <c r="D3" s="1909"/>
      <c r="E3" s="2035" t="s">
        <v>4461</v>
      </c>
      <c r="F3" s="786">
        <f>O6+O12+O14+O17+O22+O24+O32+O34+O36+O38+O40</f>
        <v>64.38000000000001</v>
      </c>
      <c r="G3" s="2034"/>
      <c r="H3" s="2034"/>
      <c r="I3" s="2034"/>
      <c r="J3" s="1913"/>
      <c r="K3" s="2034"/>
      <c r="M3" s="1913"/>
    </row>
    <row r="4" spans="1:18" s="2037" customFormat="1">
      <c r="A4" s="3801" t="s">
        <v>48</v>
      </c>
      <c r="B4" s="3801" t="s">
        <v>49</v>
      </c>
      <c r="C4" s="3801" t="s">
        <v>50</v>
      </c>
      <c r="D4" s="3801" t="s">
        <v>51</v>
      </c>
      <c r="E4" s="3801" t="s">
        <v>52</v>
      </c>
      <c r="F4" s="3866" t="s">
        <v>4478</v>
      </c>
      <c r="G4" s="3866"/>
      <c r="H4" s="3866"/>
      <c r="I4" s="3866"/>
      <c r="J4" s="3866"/>
      <c r="K4" s="3866" t="s">
        <v>4484</v>
      </c>
      <c r="L4" s="3866"/>
      <c r="M4" s="4109"/>
      <c r="N4" s="3866"/>
      <c r="O4" s="4109"/>
      <c r="P4" s="3866"/>
      <c r="Q4" s="3801" t="s">
        <v>4514</v>
      </c>
      <c r="R4" s="3801"/>
    </row>
    <row r="5" spans="1:18" s="2037" customFormat="1" ht="60">
      <c r="A5" s="3801"/>
      <c r="B5" s="3801"/>
      <c r="C5" s="3801"/>
      <c r="D5" s="3801"/>
      <c r="E5" s="3801"/>
      <c r="F5" s="918" t="s">
        <v>4479</v>
      </c>
      <c r="G5" s="918" t="s">
        <v>4482</v>
      </c>
      <c r="H5" s="918" t="s">
        <v>4480</v>
      </c>
      <c r="I5" s="918" t="s">
        <v>4483</v>
      </c>
      <c r="J5" s="918" t="s">
        <v>2448</v>
      </c>
      <c r="K5" s="919" t="s">
        <v>53</v>
      </c>
      <c r="L5" s="919" t="s">
        <v>54</v>
      </c>
      <c r="M5" s="920" t="s">
        <v>55</v>
      </c>
      <c r="N5" s="919" t="s">
        <v>56</v>
      </c>
      <c r="O5" s="920" t="s">
        <v>57</v>
      </c>
      <c r="P5" s="919" t="s">
        <v>58</v>
      </c>
      <c r="Q5" s="921" t="s">
        <v>2450</v>
      </c>
      <c r="R5" s="922" t="s">
        <v>4515</v>
      </c>
    </row>
    <row r="6" spans="1:18">
      <c r="A6" s="1858">
        <f>'1.SD Facility Based Annex'!A7</f>
        <v>1</v>
      </c>
      <c r="B6" s="1858"/>
      <c r="C6" s="1858" t="str">
        <f>'1.SD Facility Based Annex'!C7</f>
        <v>Service Delivery - Facility Based</v>
      </c>
      <c r="D6" s="1860"/>
      <c r="E6" s="1860"/>
      <c r="F6" s="1860"/>
      <c r="G6" s="1860"/>
      <c r="H6" s="994"/>
      <c r="I6" s="1860"/>
      <c r="J6" s="994"/>
      <c r="K6" s="1858"/>
      <c r="L6" s="1858"/>
      <c r="M6" s="994"/>
      <c r="N6" s="1984"/>
      <c r="O6" s="1985">
        <f>SUM(O7:O11)</f>
        <v>8</v>
      </c>
      <c r="P6" s="1984"/>
      <c r="Q6" s="1984"/>
      <c r="R6" s="1985">
        <f>SUM(R7:R11)</f>
        <v>8</v>
      </c>
    </row>
    <row r="7" spans="1:18">
      <c r="A7" s="1558" t="str">
        <f>'1.SD Facility Based Annex'!A99</f>
        <v>1.3.1.16</v>
      </c>
      <c r="B7" s="1558">
        <f>'1.SD Facility Based Annex'!B99</f>
        <v>0</v>
      </c>
      <c r="C7" s="1558" t="str">
        <f>'1.SD Facility Based Annex'!C99</f>
        <v>State lab: Meeting Costs/Office expenses/Contingency</v>
      </c>
      <c r="D7" s="2026" t="str">
        <f>'1.SD Facility Based Annex'!D99</f>
        <v>NDCP</v>
      </c>
      <c r="E7" s="2026" t="str">
        <f>'1.SD Facility Based Annex'!E99</f>
        <v>NVHCP</v>
      </c>
      <c r="F7" s="2026">
        <f>'1.SD Facility Based Annex'!F99</f>
        <v>0</v>
      </c>
      <c r="G7" s="2026">
        <f>'1.SD Facility Based Annex'!G99</f>
        <v>0</v>
      </c>
      <c r="H7" s="2026">
        <f>'1.SD Facility Based Annex'!H99</f>
        <v>0</v>
      </c>
      <c r="I7" s="2026">
        <f>'1.SD Facility Based Annex'!I99</f>
        <v>0</v>
      </c>
      <c r="J7" s="2026">
        <f>'1.SD Facility Based Annex'!J99</f>
        <v>0</v>
      </c>
      <c r="K7" s="2026">
        <f>'1.SD Facility Based Annex'!K99</f>
        <v>0</v>
      </c>
      <c r="L7" s="2026">
        <f>'1.SD Facility Based Annex'!L99</f>
        <v>0</v>
      </c>
      <c r="M7" s="162">
        <f>'1.SD Facility Based Annex'!M99</f>
        <v>0</v>
      </c>
      <c r="N7" s="2026">
        <f>'1.SD Facility Based Annex'!N99</f>
        <v>0</v>
      </c>
      <c r="O7" s="162">
        <f>'1.SD Facility Based Annex'!O99</f>
        <v>0</v>
      </c>
      <c r="P7" s="1558">
        <f>'1.SD Facility Based Annex'!P99</f>
        <v>0</v>
      </c>
      <c r="Q7" s="68"/>
      <c r="R7" s="1966"/>
    </row>
    <row r="8" spans="1:18" ht="45">
      <c r="A8" s="1558" t="str">
        <f>'1.SD Facility Based Annex'!A101</f>
        <v>1.3.1.17.1</v>
      </c>
      <c r="B8" s="1558">
        <f>'1.SD Facility Based Annex'!B101</f>
        <v>0</v>
      </c>
      <c r="C8" s="1558" t="str">
        <f>'1.SD Facility Based Annex'!C101</f>
        <v>MTC: Meeting Costs/Office expenses/Contingency (photocopy, internet/communication/ Resistance testing in selected cases/ Printing M &amp; E tools/ Tablets for M &amp; E if needed) etc)</v>
      </c>
      <c r="D8" s="2026" t="str">
        <f>'1.SD Facility Based Annex'!D101</f>
        <v>NDCP</v>
      </c>
      <c r="E8" s="2026" t="str">
        <f>'1.SD Facility Based Annex'!E101</f>
        <v>NVHCP</v>
      </c>
      <c r="F8" s="2026">
        <f>'1.SD Facility Based Annex'!F101</f>
        <v>2</v>
      </c>
      <c r="G8" s="2026">
        <f>'1.SD Facility Based Annex'!G101</f>
        <v>0</v>
      </c>
      <c r="H8" s="2026">
        <f>'1.SD Facility Based Annex'!H101</f>
        <v>1</v>
      </c>
      <c r="I8" s="2026">
        <f>'1.SD Facility Based Annex'!I101</f>
        <v>0</v>
      </c>
      <c r="J8" s="2026">
        <f>'1.SD Facility Based Annex'!J101</f>
        <v>1</v>
      </c>
      <c r="K8" s="2026">
        <f>'1.SD Facility Based Annex'!K101</f>
        <v>2</v>
      </c>
      <c r="L8" s="2026">
        <f>'1.SD Facility Based Annex'!L101</f>
        <v>50000</v>
      </c>
      <c r="M8" s="162">
        <f>'1.SD Facility Based Annex'!M101</f>
        <v>0.5</v>
      </c>
      <c r="N8" s="2026">
        <f>'1.SD Facility Based Annex'!N101</f>
        <v>2</v>
      </c>
      <c r="O8" s="162">
        <f>'1.SD Facility Based Annex'!O101</f>
        <v>1</v>
      </c>
      <c r="P8" s="1558" t="str">
        <f>'1.SD Facility Based Annex'!P101</f>
        <v xml:space="preserve">Both MTCs (IGMC Shimla &amp; Dr. RPGMC Tanda) </v>
      </c>
      <c r="Q8" s="69" t="s">
        <v>5733</v>
      </c>
      <c r="R8" s="1966">
        <v>1</v>
      </c>
    </row>
    <row r="9" spans="1:18" ht="45">
      <c r="A9" s="1558" t="str">
        <f>'1.SD Facility Based Annex'!A102</f>
        <v>1.3.1.17.2</v>
      </c>
      <c r="B9" s="1558">
        <f>'1.SD Facility Based Annex'!B102</f>
        <v>0</v>
      </c>
      <c r="C9" s="1558" t="str">
        <f>'1.SD Facility Based Annex'!C102</f>
        <v>MTC: Management of Hep A &amp; E</v>
      </c>
      <c r="D9" s="2026" t="str">
        <f>'1.SD Facility Based Annex'!D102</f>
        <v>NDCP</v>
      </c>
      <c r="E9" s="2026" t="str">
        <f>'1.SD Facility Based Annex'!E102</f>
        <v>NVHCP</v>
      </c>
      <c r="F9" s="2026">
        <f>'1.SD Facility Based Annex'!F102</f>
        <v>1000</v>
      </c>
      <c r="G9" s="2026">
        <f>'1.SD Facility Based Annex'!G102</f>
        <v>0</v>
      </c>
      <c r="H9" s="2026">
        <f>'1.SD Facility Based Annex'!H102</f>
        <v>1</v>
      </c>
      <c r="I9" s="2026">
        <f>'1.SD Facility Based Annex'!I102</f>
        <v>0</v>
      </c>
      <c r="J9" s="2026">
        <f>'1.SD Facility Based Annex'!J102</f>
        <v>1</v>
      </c>
      <c r="K9" s="2026">
        <f>'1.SD Facility Based Annex'!K102</f>
        <v>2</v>
      </c>
      <c r="L9" s="2026">
        <f>'1.SD Facility Based Annex'!L102</f>
        <v>50000</v>
      </c>
      <c r="M9" s="162">
        <f>'1.SD Facility Based Annex'!M102</f>
        <v>0.5</v>
      </c>
      <c r="N9" s="2026">
        <f>'1.SD Facility Based Annex'!N102</f>
        <v>2</v>
      </c>
      <c r="O9" s="162">
        <f>'1.SD Facility Based Annex'!O102</f>
        <v>1</v>
      </c>
      <c r="P9" s="1558" t="str">
        <f>'1.SD Facility Based Annex'!P102</f>
        <v xml:space="preserve">IGMC Shimla &amp; Dr. RPGMC Tanda </v>
      </c>
      <c r="Q9" s="69" t="s">
        <v>5734</v>
      </c>
      <c r="R9" s="1966">
        <v>1</v>
      </c>
    </row>
    <row r="10" spans="1:18" ht="45">
      <c r="A10" s="1558" t="str">
        <f>'1.SD Facility Based Annex'!A104</f>
        <v>1.3.1.18.1</v>
      </c>
      <c r="B10" s="1558">
        <f>'1.SD Facility Based Annex'!B104</f>
        <v>0</v>
      </c>
      <c r="C10" s="1558" t="str">
        <f>'1.SD Facility Based Annex'!C104</f>
        <v>TC: Meeting Costs/Office expenses/Contingency</v>
      </c>
      <c r="D10" s="2026" t="str">
        <f>'1.SD Facility Based Annex'!D104</f>
        <v>NDCP</v>
      </c>
      <c r="E10" s="2026" t="str">
        <f>'1.SD Facility Based Annex'!E104</f>
        <v>NVHCP</v>
      </c>
      <c r="F10" s="2026">
        <f>'1.SD Facility Based Annex'!F104</f>
        <v>12</v>
      </c>
      <c r="G10" s="2026">
        <f>'1.SD Facility Based Annex'!G104</f>
        <v>0</v>
      </c>
      <c r="H10" s="2026">
        <f>'1.SD Facility Based Annex'!H104</f>
        <v>6</v>
      </c>
      <c r="I10" s="2026">
        <f>'1.SD Facility Based Annex'!I104</f>
        <v>0</v>
      </c>
      <c r="J10" s="2026">
        <f>'1.SD Facility Based Annex'!J104</f>
        <v>6</v>
      </c>
      <c r="K10" s="2026">
        <f>'1.SD Facility Based Annex'!K104</f>
        <v>12</v>
      </c>
      <c r="L10" s="2026">
        <f>'1.SD Facility Based Annex'!L104</f>
        <v>20000</v>
      </c>
      <c r="M10" s="162">
        <f>'1.SD Facility Based Annex'!M104</f>
        <v>0.2</v>
      </c>
      <c r="N10" s="2026">
        <f>'1.SD Facility Based Annex'!N104</f>
        <v>12</v>
      </c>
      <c r="O10" s="162">
        <f>'1.SD Facility Based Annex'!O104</f>
        <v>2.4000000000000004</v>
      </c>
      <c r="P10" s="1558" t="str">
        <f>'1.SD Facility Based Annex'!P104</f>
        <v xml:space="preserve">For Treatment Centre at 12 Districts Head Quarter </v>
      </c>
      <c r="Q10" s="69" t="s">
        <v>5735</v>
      </c>
      <c r="R10" s="1966">
        <v>2.4</v>
      </c>
    </row>
    <row r="11" spans="1:18" ht="45">
      <c r="A11" s="1558" t="str">
        <f>'1.SD Facility Based Annex'!A105</f>
        <v>1.3.1.18.2</v>
      </c>
      <c r="B11" s="1558">
        <f>'1.SD Facility Based Annex'!B105</f>
        <v>0</v>
      </c>
      <c r="C11" s="1558" t="str">
        <f>'1.SD Facility Based Annex'!C105</f>
        <v>TC: Management of Hep A &amp; E</v>
      </c>
      <c r="D11" s="2026" t="str">
        <f>'1.SD Facility Based Annex'!D105</f>
        <v>NDCP</v>
      </c>
      <c r="E11" s="2026" t="str">
        <f>'1.SD Facility Based Annex'!E105</f>
        <v>NVHCP</v>
      </c>
      <c r="F11" s="2026">
        <f>'1.SD Facility Based Annex'!F105</f>
        <v>12</v>
      </c>
      <c r="G11" s="2026">
        <f>'1.SD Facility Based Annex'!G105</f>
        <v>0</v>
      </c>
      <c r="H11" s="2026">
        <f>'1.SD Facility Based Annex'!H105</f>
        <v>6</v>
      </c>
      <c r="I11" s="2026">
        <f>'1.SD Facility Based Annex'!I105</f>
        <v>0</v>
      </c>
      <c r="J11" s="2026">
        <f>'1.SD Facility Based Annex'!J105</f>
        <v>6</v>
      </c>
      <c r="K11" s="2026">
        <f>'1.SD Facility Based Annex'!K105</f>
        <v>12</v>
      </c>
      <c r="L11" s="2026">
        <f>'1.SD Facility Based Annex'!L105</f>
        <v>30000</v>
      </c>
      <c r="M11" s="162">
        <f>'1.SD Facility Based Annex'!M105</f>
        <v>0.3</v>
      </c>
      <c r="N11" s="2026">
        <f>'1.SD Facility Based Annex'!N105</f>
        <v>12</v>
      </c>
      <c r="O11" s="162">
        <f>'1.SD Facility Based Annex'!O105</f>
        <v>3.5999999999999996</v>
      </c>
      <c r="P11" s="1558" t="str">
        <f>'1.SD Facility Based Annex'!P105</f>
        <v xml:space="preserve">For test kits and management at Treatment Centres </v>
      </c>
      <c r="Q11" s="69" t="s">
        <v>5736</v>
      </c>
      <c r="R11" s="1966">
        <v>3.6</v>
      </c>
    </row>
    <row r="12" spans="1:18">
      <c r="A12" s="331">
        <f>'2.SD Community Based Annex'!A7</f>
        <v>2</v>
      </c>
      <c r="B12" s="331"/>
      <c r="C12" s="331" t="str">
        <f>'2.SD Community Based Annex'!C7</f>
        <v>Service Delivery - Community Based</v>
      </c>
      <c r="D12" s="1812"/>
      <c r="E12" s="1812"/>
      <c r="F12" s="1812"/>
      <c r="G12" s="1812"/>
      <c r="H12" s="994"/>
      <c r="I12" s="1812"/>
      <c r="J12" s="994"/>
      <c r="K12" s="331"/>
      <c r="L12" s="331"/>
      <c r="M12" s="994"/>
      <c r="N12" s="1984"/>
      <c r="O12" s="1985">
        <f>O13</f>
        <v>0</v>
      </c>
      <c r="P12" s="1984"/>
      <c r="Q12" s="1990"/>
      <c r="R12" s="1991">
        <f>R13</f>
        <v>0</v>
      </c>
    </row>
    <row r="13" spans="1:18" ht="30">
      <c r="A13" s="1558" t="str">
        <f>'2.SD Community Based Annex'!A45</f>
        <v>2.3.1.11</v>
      </c>
      <c r="B13" s="1558">
        <f>'2.SD Community Based Annex'!B45</f>
        <v>0</v>
      </c>
      <c r="C13" s="1864" t="str">
        <f>'2.SD Community Based Annex'!C45</f>
        <v>Outreach for demand generation, testing and treatment of Viral Hepatitis through Mobile Medical Units/NGOs/CBOs/etc</v>
      </c>
      <c r="D13" s="1862" t="str">
        <f>'2.SD Community Based Annex'!D45</f>
        <v>NDCP</v>
      </c>
      <c r="E13" s="1862" t="str">
        <f>'2.SD Community Based Annex'!E45</f>
        <v>NVHCP</v>
      </c>
      <c r="F13" s="1862">
        <f>'2.SD Community Based Annex'!F45</f>
        <v>0</v>
      </c>
      <c r="G13" s="1862">
        <f>'2.SD Community Based Annex'!G45</f>
        <v>0</v>
      </c>
      <c r="H13" s="1862">
        <f>'2.SD Community Based Annex'!H45</f>
        <v>0</v>
      </c>
      <c r="I13" s="1862">
        <f>'2.SD Community Based Annex'!I45</f>
        <v>0</v>
      </c>
      <c r="J13" s="1862">
        <f>'2.SD Community Based Annex'!J45</f>
        <v>0</v>
      </c>
      <c r="K13" s="1862">
        <f>'2.SD Community Based Annex'!K45</f>
        <v>0</v>
      </c>
      <c r="L13" s="1862">
        <f>'2.SD Community Based Annex'!L45</f>
        <v>0</v>
      </c>
      <c r="M13" s="962">
        <f>'2.SD Community Based Annex'!M45</f>
        <v>0</v>
      </c>
      <c r="N13" s="1862">
        <f>'2.SD Community Based Annex'!N45</f>
        <v>0</v>
      </c>
      <c r="O13" s="962">
        <f>'2.SD Community Based Annex'!O45</f>
        <v>0</v>
      </c>
      <c r="P13" s="1864" t="str">
        <f>'2.SD Community Based Annex'!P45</f>
        <v xml:space="preserve">Cash Grant </v>
      </c>
      <c r="Q13" s="68"/>
      <c r="R13" s="1966"/>
    </row>
    <row r="14" spans="1:18">
      <c r="A14" s="331">
        <f>'3.Community Intervention Annexn'!A7</f>
        <v>3</v>
      </c>
      <c r="B14" s="331"/>
      <c r="C14" s="331" t="str">
        <f>'3.Community Intervention Annexn'!C7</f>
        <v>Community Interventions</v>
      </c>
      <c r="D14" s="1812"/>
      <c r="E14" s="1812"/>
      <c r="F14" s="1812"/>
      <c r="G14" s="1812"/>
      <c r="H14" s="994"/>
      <c r="I14" s="1812"/>
      <c r="J14" s="994"/>
      <c r="K14" s="331"/>
      <c r="L14" s="331"/>
      <c r="M14" s="994"/>
      <c r="N14" s="1984"/>
      <c r="O14" s="1985">
        <f>SUM(O15:O16)</f>
        <v>0</v>
      </c>
      <c r="P14" s="1984"/>
      <c r="Q14" s="1990"/>
      <c r="R14" s="1991">
        <f>SUM(R15:R16)</f>
        <v>0</v>
      </c>
    </row>
    <row r="15" spans="1:18">
      <c r="A15" s="4108" t="str">
        <f>'3.Community Intervention Annexn'!A39</f>
        <v>3.2.2.3</v>
      </c>
      <c r="B15" s="1558"/>
      <c r="C15" s="1558" t="str">
        <f>'3-A. CI Sub-Annex'!C113</f>
        <v>Incentives for Peer Educators under NVHCP</v>
      </c>
      <c r="D15" s="2026" t="str">
        <f>'3-A. CI Sub-Annex'!D113</f>
        <v>NDCP</v>
      </c>
      <c r="E15" s="2026" t="str">
        <f>'3-A. CI Sub-Annex'!E113</f>
        <v>NVHCP</v>
      </c>
      <c r="F15" s="2026">
        <f>'3-A. CI Sub-Annex'!F113</f>
        <v>0</v>
      </c>
      <c r="G15" s="2026">
        <f>'3-A. CI Sub-Annex'!G113</f>
        <v>0</v>
      </c>
      <c r="H15" s="2026">
        <f>'3-A. CI Sub-Annex'!H113</f>
        <v>0</v>
      </c>
      <c r="I15" s="2026">
        <f>'3-A. CI Sub-Annex'!I113</f>
        <v>0</v>
      </c>
      <c r="J15" s="2026">
        <f>'3-A. CI Sub-Annex'!J113</f>
        <v>0</v>
      </c>
      <c r="K15" s="2026">
        <f>'3-A. CI Sub-Annex'!K113</f>
        <v>0</v>
      </c>
      <c r="L15" s="2026">
        <f>'3-A. CI Sub-Annex'!L113</f>
        <v>0</v>
      </c>
      <c r="M15" s="162">
        <f>'3-A. CI Sub-Annex'!M113</f>
        <v>0</v>
      </c>
      <c r="N15" s="2026">
        <f>'3-A. CI Sub-Annex'!N113</f>
        <v>0</v>
      </c>
      <c r="O15" s="162">
        <f>'3-A. CI Sub-Annex'!O113</f>
        <v>0</v>
      </c>
      <c r="P15" s="1558">
        <f>'3-A. CI Sub-Annex'!P113</f>
        <v>0</v>
      </c>
      <c r="Q15" s="68"/>
      <c r="R15" s="1966"/>
    </row>
    <row r="16" spans="1:18" ht="30">
      <c r="A16" s="4108"/>
      <c r="B16" s="1558"/>
      <c r="C16" s="1864" t="str">
        <f>'3-A. CI Sub-Annex'!C114</f>
        <v>Engagement with NGO CBO(Community Based Organisations) for outreach</v>
      </c>
      <c r="D16" s="1862" t="str">
        <f>'3-A. CI Sub-Annex'!D114</f>
        <v>NDCP</v>
      </c>
      <c r="E16" s="1862" t="str">
        <f>'3-A. CI Sub-Annex'!E114</f>
        <v>NVHCP</v>
      </c>
      <c r="F16" s="1862">
        <f>'3-A. CI Sub-Annex'!F114</f>
        <v>0</v>
      </c>
      <c r="G16" s="1862">
        <f>'3-A. CI Sub-Annex'!G114</f>
        <v>0</v>
      </c>
      <c r="H16" s="1862">
        <f>'3-A. CI Sub-Annex'!H114</f>
        <v>0</v>
      </c>
      <c r="I16" s="1862">
        <f>'3-A. CI Sub-Annex'!I114</f>
        <v>0</v>
      </c>
      <c r="J16" s="1862">
        <f>'3-A. CI Sub-Annex'!J114</f>
        <v>0</v>
      </c>
      <c r="K16" s="1862">
        <f>'3-A. CI Sub-Annex'!K114</f>
        <v>0</v>
      </c>
      <c r="L16" s="1862">
        <f>'3-A. CI Sub-Annex'!L114</f>
        <v>0</v>
      </c>
      <c r="M16" s="962">
        <f>'3-A. CI Sub-Annex'!M114</f>
        <v>0</v>
      </c>
      <c r="N16" s="1862">
        <f>'3-A. CI Sub-Annex'!N114</f>
        <v>0</v>
      </c>
      <c r="O16" s="962">
        <f>'3-A. CI Sub-Annex'!O114</f>
        <v>0</v>
      </c>
      <c r="P16" s="1864">
        <f>'3-A. CI Sub-Annex'!P114</f>
        <v>0</v>
      </c>
      <c r="Q16" s="68"/>
      <c r="R16" s="1966"/>
    </row>
    <row r="17" spans="1:19">
      <c r="A17" s="1970">
        <f>'6.Procurement Annex'!A7</f>
        <v>6</v>
      </c>
      <c r="B17" s="1970"/>
      <c r="C17" s="1970" t="str">
        <f>'6.Procurement Annex'!C7</f>
        <v>Procurement</v>
      </c>
      <c r="D17" s="1969"/>
      <c r="E17" s="1969"/>
      <c r="F17" s="1969"/>
      <c r="G17" s="1969"/>
      <c r="H17" s="994"/>
      <c r="I17" s="1969"/>
      <c r="J17" s="994"/>
      <c r="K17" s="1970"/>
      <c r="L17" s="1970"/>
      <c r="M17" s="994"/>
      <c r="N17" s="1984"/>
      <c r="O17" s="1985">
        <f>SUM(O18:O21)</f>
        <v>49.180000000000007</v>
      </c>
      <c r="P17" s="1984"/>
      <c r="Q17" s="1990"/>
      <c r="R17" s="1991">
        <f>SUM(R18:R21)</f>
        <v>44.180000000000007</v>
      </c>
    </row>
    <row r="18" spans="1:19" ht="75">
      <c r="A18" s="4094" t="str">
        <f>'6.Procurement Annex'!A75</f>
        <v>6.2.3.4</v>
      </c>
      <c r="B18" s="88">
        <f>'6-A. Proc. Sub-Annex'!B240</f>
        <v>0</v>
      </c>
      <c r="C18" s="88" t="str">
        <f>'6-A. Proc. Sub-Annex'!C240</f>
        <v>Drugs</v>
      </c>
      <c r="D18" s="1975" t="str">
        <f>'6-A. Proc. Sub-Annex'!D240</f>
        <v>NDCP</v>
      </c>
      <c r="E18" s="1975" t="str">
        <f>'6-A. Proc. Sub-Annex'!E240</f>
        <v>NVHCP</v>
      </c>
      <c r="F18" s="1975">
        <f>'6-A. Proc. Sub-Annex'!F240</f>
        <v>1</v>
      </c>
      <c r="G18" s="1975">
        <f>'6-A. Proc. Sub-Annex'!G240</f>
        <v>0</v>
      </c>
      <c r="H18" s="1975">
        <f>'6-A. Proc. Sub-Annex'!H240</f>
        <v>52.95</v>
      </c>
      <c r="I18" s="1975">
        <f>'6-A. Proc. Sub-Annex'!I240</f>
        <v>0</v>
      </c>
      <c r="J18" s="1975">
        <f>'6-A. Proc. Sub-Annex'!J240</f>
        <v>52.95</v>
      </c>
      <c r="K18" s="1975">
        <f>'6-A. Proc. Sub-Annex'!K240</f>
        <v>1</v>
      </c>
      <c r="L18" s="1975">
        <f>'6-A. Proc. Sub-Annex'!L240</f>
        <v>1976000</v>
      </c>
      <c r="M18" s="162">
        <f>'6-A. Proc. Sub-Annex'!M240</f>
        <v>19.760000000000002</v>
      </c>
      <c r="N18" s="1975">
        <f>'6-A. Proc. Sub-Annex'!N240</f>
        <v>1</v>
      </c>
      <c r="O18" s="162">
        <f>'6-A. Proc. Sub-Annex'!O240</f>
        <v>19.760000000000002</v>
      </c>
      <c r="P18" s="88" t="str">
        <f>'6-A. Proc. Sub-Annex'!P240</f>
        <v xml:space="preserve">To be procured by GOI </v>
      </c>
      <c r="Q18" s="69" t="s">
        <v>5737</v>
      </c>
      <c r="R18" s="1966">
        <v>19.760000000000002</v>
      </c>
    </row>
    <row r="19" spans="1:19" ht="60">
      <c r="A19" s="4094"/>
      <c r="B19" s="88">
        <f>'6-A. Proc. Sub-Annex'!B241</f>
        <v>0</v>
      </c>
      <c r="C19" s="88" t="str">
        <f>'6-A. Proc. Sub-Annex'!C241</f>
        <v>Kits</v>
      </c>
      <c r="D19" s="1975" t="str">
        <f>'6-A. Proc. Sub-Annex'!D241</f>
        <v>NDCP</v>
      </c>
      <c r="E19" s="1975" t="str">
        <f>'6-A. Proc. Sub-Annex'!E241</f>
        <v>NVHCP</v>
      </c>
      <c r="F19" s="1975">
        <f>'6-A. Proc. Sub-Annex'!F241</f>
        <v>1</v>
      </c>
      <c r="G19" s="1975">
        <f>'6-A. Proc. Sub-Annex'!G241</f>
        <v>0</v>
      </c>
      <c r="H19" s="1975">
        <f>'6-A. Proc. Sub-Annex'!H241</f>
        <v>48.06</v>
      </c>
      <c r="I19" s="1975">
        <f>'6-A. Proc. Sub-Annex'!I241</f>
        <v>0</v>
      </c>
      <c r="J19" s="1975">
        <f>'6-A. Proc. Sub-Annex'!J241</f>
        <v>48.06</v>
      </c>
      <c r="K19" s="1975">
        <f>'6-A. Proc. Sub-Annex'!K241</f>
        <v>1</v>
      </c>
      <c r="L19" s="1975">
        <f>'6-A. Proc. Sub-Annex'!L241</f>
        <v>2442000</v>
      </c>
      <c r="M19" s="162">
        <f>'6-A. Proc. Sub-Annex'!M241</f>
        <v>24.42</v>
      </c>
      <c r="N19" s="1975">
        <f>'6-A. Proc. Sub-Annex'!N241</f>
        <v>1</v>
      </c>
      <c r="O19" s="162">
        <f>'6-A. Proc. Sub-Annex'!O241</f>
        <v>24.42</v>
      </c>
      <c r="P19" s="88" t="str">
        <f>'6-A. Proc. Sub-Annex'!P241</f>
        <v xml:space="preserve">To be procured by GOI </v>
      </c>
      <c r="Q19" s="69" t="s">
        <v>5738</v>
      </c>
      <c r="R19" s="1966">
        <v>24.42</v>
      </c>
    </row>
    <row r="20" spans="1:19" ht="45">
      <c r="A20" s="4094"/>
      <c r="B20" s="88">
        <f>'6-A. Proc. Sub-Annex'!B242</f>
        <v>0</v>
      </c>
      <c r="C20" s="88" t="str">
        <f>'6-A. Proc. Sub-Annex'!C242</f>
        <v>Consumables for laboratory under NVHCP (plasticware, RUP, evacuated vacuum tubes, waste disposal bags, Kit for HBsAg titre, grant for calibration of small equipment, money for EQAS)</v>
      </c>
      <c r="D20" s="1975" t="str">
        <f>'6-A. Proc. Sub-Annex'!D242</f>
        <v>NDCP</v>
      </c>
      <c r="E20" s="1975" t="str">
        <f>'6-A. Proc. Sub-Annex'!E242</f>
        <v>NVHCP</v>
      </c>
      <c r="F20" s="1975">
        <f>'6-A. Proc. Sub-Annex'!F242</f>
        <v>2</v>
      </c>
      <c r="G20" s="1975">
        <f>'6-A. Proc. Sub-Annex'!G242</f>
        <v>0</v>
      </c>
      <c r="H20" s="1975">
        <f>'6-A. Proc. Sub-Annex'!H242</f>
        <v>10</v>
      </c>
      <c r="I20" s="1975">
        <f>'6-A. Proc. Sub-Annex'!I242</f>
        <v>0</v>
      </c>
      <c r="J20" s="1975">
        <f>'6-A. Proc. Sub-Annex'!J242</f>
        <v>10</v>
      </c>
      <c r="K20" s="1975">
        <f>'6-A. Proc. Sub-Annex'!K242</f>
        <v>1</v>
      </c>
      <c r="L20" s="1975">
        <f>'6-A. Proc. Sub-Annex'!L242</f>
        <v>500000</v>
      </c>
      <c r="M20" s="162">
        <f>'6-A. Proc. Sub-Annex'!M242</f>
        <v>5</v>
      </c>
      <c r="N20" s="1975">
        <f>'6-A. Proc. Sub-Annex'!N242</f>
        <v>1</v>
      </c>
      <c r="O20" s="162">
        <f>'6-A. Proc. Sub-Annex'!O242</f>
        <v>5</v>
      </c>
      <c r="P20" s="88" t="str">
        <f>'6-A. Proc. Sub-Annex'!P242</f>
        <v xml:space="preserve">State Lab IGMC Shimla </v>
      </c>
      <c r="Q20" s="353" t="s">
        <v>5739</v>
      </c>
      <c r="R20" s="3076">
        <v>0</v>
      </c>
      <c r="S20" s="2811"/>
    </row>
    <row r="21" spans="1:19" ht="30">
      <c r="A21" s="4094"/>
      <c r="B21" s="88">
        <f>'6-A. Proc. Sub-Annex'!B243</f>
        <v>0</v>
      </c>
      <c r="C21" s="88" t="str">
        <f>'6-A. Proc. Sub-Annex'!C243</f>
        <v>Consumables for treatment sites (plasticware, RUP, evacuated vacuum tubes, waste disposal bags etc)</v>
      </c>
      <c r="D21" s="1975" t="str">
        <f>'6-A. Proc. Sub-Annex'!D243</f>
        <v>NDCP</v>
      </c>
      <c r="E21" s="1975" t="str">
        <f>'6-A. Proc. Sub-Annex'!E243</f>
        <v>NVHCP</v>
      </c>
      <c r="F21" s="1975">
        <f>'6-A. Proc. Sub-Annex'!F243</f>
        <v>0</v>
      </c>
      <c r="G21" s="1975">
        <f>'6-A. Proc. Sub-Annex'!G243</f>
        <v>0</v>
      </c>
      <c r="H21" s="1975">
        <f>'6-A. Proc. Sub-Annex'!H243</f>
        <v>0</v>
      </c>
      <c r="I21" s="1975">
        <f>'6-A. Proc. Sub-Annex'!I243</f>
        <v>0</v>
      </c>
      <c r="J21" s="1975">
        <f>'6-A. Proc. Sub-Annex'!J243</f>
        <v>0</v>
      </c>
      <c r="K21" s="1975">
        <f>'6-A. Proc. Sub-Annex'!K243</f>
        <v>0</v>
      </c>
      <c r="L21" s="1975">
        <f>'6-A. Proc. Sub-Annex'!L243</f>
        <v>0</v>
      </c>
      <c r="M21" s="162">
        <f>'6-A. Proc. Sub-Annex'!M243</f>
        <v>0</v>
      </c>
      <c r="N21" s="1975">
        <f>'6-A. Proc. Sub-Annex'!N243</f>
        <v>0</v>
      </c>
      <c r="O21" s="162">
        <f>'6-A. Proc. Sub-Annex'!O243</f>
        <v>0</v>
      </c>
      <c r="P21" s="88">
        <f>'6-A. Proc. Sub-Annex'!P243</f>
        <v>0</v>
      </c>
      <c r="Q21" s="68"/>
      <c r="R21" s="1966"/>
    </row>
    <row r="22" spans="1:19">
      <c r="A22" s="1970">
        <f>'8.Human Resources (SD) Annex'!A7</f>
        <v>8</v>
      </c>
      <c r="B22" s="1970"/>
      <c r="C22" s="1970" t="str">
        <f>'8.Human Resources (SD) Annex'!C7</f>
        <v>Human Resources</v>
      </c>
      <c r="D22" s="1969"/>
      <c r="E22" s="1969"/>
      <c r="F22" s="1969"/>
      <c r="G22" s="1969"/>
      <c r="H22" s="994"/>
      <c r="I22" s="1969"/>
      <c r="J22" s="994"/>
      <c r="K22" s="1970"/>
      <c r="L22" s="1970"/>
      <c r="M22" s="994"/>
      <c r="N22" s="1984"/>
      <c r="O22" s="1985">
        <f>O23</f>
        <v>0</v>
      </c>
      <c r="P22" s="1984"/>
      <c r="Q22" s="1990"/>
      <c r="R22" s="1991">
        <f>R23</f>
        <v>0</v>
      </c>
    </row>
    <row r="23" spans="1:19">
      <c r="A23" s="1958" t="str">
        <f>'8.Human Resources (SD) Annex'!A174</f>
        <v>8.4.11</v>
      </c>
      <c r="B23" s="1958">
        <f>'8.Human Resources (SD) Annex'!B174</f>
        <v>0</v>
      </c>
      <c r="C23" s="1958" t="str">
        <f>'8.Human Resources (SD) Annex'!C174</f>
        <v>Incentives under NVHCP for MO, Pharmacist and LT</v>
      </c>
      <c r="D23" s="1974" t="str">
        <f>'8.Human Resources (SD) Annex'!D174</f>
        <v>HSS</v>
      </c>
      <c r="E23" s="1974" t="str">
        <f>'8.Human Resources (SD) Annex'!E174</f>
        <v>NVHCP</v>
      </c>
      <c r="F23" s="1974">
        <f>'8.Human Resources (SD) Annex'!F174</f>
        <v>0</v>
      </c>
      <c r="G23" s="1974">
        <f>'8.Human Resources (SD) Annex'!G174</f>
        <v>0</v>
      </c>
      <c r="H23" s="1974">
        <f>'8.Human Resources (SD) Annex'!H174</f>
        <v>0</v>
      </c>
      <c r="I23" s="1974">
        <f>'8.Human Resources (SD) Annex'!I174</f>
        <v>0</v>
      </c>
      <c r="J23" s="1974">
        <f>'8.Human Resources (SD) Annex'!J174</f>
        <v>0</v>
      </c>
      <c r="K23" s="1974">
        <f>'8.Human Resources (SD) Annex'!K174</f>
        <v>0</v>
      </c>
      <c r="L23" s="1974">
        <f>'8.Human Resources (SD) Annex'!L174</f>
        <v>0</v>
      </c>
      <c r="M23" s="1937">
        <f>'8.Human Resources (SD) Annex'!M174</f>
        <v>0</v>
      </c>
      <c r="N23" s="1974">
        <f>'8.Human Resources (SD) Annex'!N174</f>
        <v>0</v>
      </c>
      <c r="O23" s="1937">
        <f>'8.Human Resources (SD) Annex'!O174</f>
        <v>0</v>
      </c>
      <c r="P23" s="1958">
        <f>'8.Human Resources (SD) Annex'!P174</f>
        <v>0</v>
      </c>
      <c r="Q23" s="68"/>
      <c r="R23" s="1966"/>
    </row>
    <row r="24" spans="1:19">
      <c r="A24" s="1970">
        <f>'9.Training Annex'!A7</f>
        <v>9</v>
      </c>
      <c r="B24" s="1970"/>
      <c r="C24" s="1970" t="str">
        <f>'9.Training Annex'!C7</f>
        <v>Training and Capacity Building</v>
      </c>
      <c r="D24" s="1969"/>
      <c r="E24" s="1969"/>
      <c r="F24" s="1969"/>
      <c r="G24" s="1969"/>
      <c r="H24" s="994"/>
      <c r="I24" s="1969"/>
      <c r="J24" s="994"/>
      <c r="K24" s="1970"/>
      <c r="L24" s="1970"/>
      <c r="M24" s="994"/>
      <c r="N24" s="1984"/>
      <c r="O24" s="1985">
        <f>SUM(O25:O31)</f>
        <v>0</v>
      </c>
      <c r="P24" s="1984"/>
      <c r="Q24" s="1990"/>
      <c r="R24" s="1991">
        <f>SUM(R25:R31)</f>
        <v>0</v>
      </c>
    </row>
    <row r="25" spans="1:19" ht="30">
      <c r="A25" s="4095" t="str">
        <f>'9.Training Annex'!A51</f>
        <v>9.2.3.5</v>
      </c>
      <c r="B25" s="88"/>
      <c r="C25" s="88" t="str">
        <f>'9-A.Training Sub-Annex'!C236</f>
        <v>3 day training of Medical Officer of the Model Treatment Centre  (15 Medical officers in each batch)</v>
      </c>
      <c r="D25" s="1975" t="str">
        <f>'9-A.Training Sub-Annex'!D236</f>
        <v>NDCP</v>
      </c>
      <c r="E25" s="1975" t="str">
        <f>'9-A.Training Sub-Annex'!E236</f>
        <v>NVHCP</v>
      </c>
      <c r="F25" s="1975">
        <f>'9-A.Training Sub-Annex'!F236</f>
        <v>1</v>
      </c>
      <c r="G25" s="1975">
        <f>'9-A.Training Sub-Annex'!G236</f>
        <v>0</v>
      </c>
      <c r="H25" s="1975">
        <f>'9-A.Training Sub-Annex'!H236</f>
        <v>2.5</v>
      </c>
      <c r="I25" s="1975">
        <f>'9-A.Training Sub-Annex'!I236</f>
        <v>0</v>
      </c>
      <c r="J25" s="1975">
        <f>'9-A.Training Sub-Annex'!J236</f>
        <v>0</v>
      </c>
      <c r="K25" s="1975">
        <f>'9-A.Training Sub-Annex'!K236</f>
        <v>0</v>
      </c>
      <c r="L25" s="1975">
        <f>'9-A.Training Sub-Annex'!L236</f>
        <v>0</v>
      </c>
      <c r="M25" s="162">
        <f>'9-A.Training Sub-Annex'!M236</f>
        <v>0</v>
      </c>
      <c r="N25" s="1975">
        <f>'9-A.Training Sub-Annex'!N236</f>
        <v>0</v>
      </c>
      <c r="O25" s="162">
        <f>'9-A.Training Sub-Annex'!O236</f>
        <v>0</v>
      </c>
      <c r="P25" s="88">
        <f>'9-A.Training Sub-Annex'!P236</f>
        <v>0</v>
      </c>
      <c r="Q25" s="68"/>
      <c r="R25" s="1966"/>
    </row>
    <row r="26" spans="1:19" ht="30">
      <c r="A26" s="4095"/>
      <c r="B26" s="88"/>
      <c r="C26" s="88" t="str">
        <f>'9-A.Training Sub-Annex'!C237</f>
        <v>5 day training of the lab technicians (15 Lab Technicians in each batch)</v>
      </c>
      <c r="D26" s="1975" t="str">
        <f>'9-A.Training Sub-Annex'!D237</f>
        <v>NDCP</v>
      </c>
      <c r="E26" s="1975" t="str">
        <f>'9-A.Training Sub-Annex'!E237</f>
        <v>NVHCP</v>
      </c>
      <c r="F26" s="1975">
        <f>'9-A.Training Sub-Annex'!F237</f>
        <v>1</v>
      </c>
      <c r="G26" s="1975">
        <f>'9-A.Training Sub-Annex'!G237</f>
        <v>0</v>
      </c>
      <c r="H26" s="1975">
        <f>'9-A.Training Sub-Annex'!H237</f>
        <v>2.5</v>
      </c>
      <c r="I26" s="1975">
        <f>'9-A.Training Sub-Annex'!I237</f>
        <v>0</v>
      </c>
      <c r="J26" s="1975">
        <f>'9-A.Training Sub-Annex'!J237</f>
        <v>2.5</v>
      </c>
      <c r="K26" s="1975">
        <f>'9-A.Training Sub-Annex'!K237</f>
        <v>0</v>
      </c>
      <c r="L26" s="1975">
        <f>'9-A.Training Sub-Annex'!L237</f>
        <v>0</v>
      </c>
      <c r="M26" s="162">
        <f>'9-A.Training Sub-Annex'!M237</f>
        <v>0</v>
      </c>
      <c r="N26" s="1975">
        <f>'9-A.Training Sub-Annex'!N237</f>
        <v>0</v>
      </c>
      <c r="O26" s="162">
        <f>'9-A.Training Sub-Annex'!O237</f>
        <v>0</v>
      </c>
      <c r="P26" s="88">
        <f>'9-A.Training Sub-Annex'!P237</f>
        <v>0</v>
      </c>
      <c r="Q26" s="68"/>
      <c r="R26" s="1966"/>
    </row>
    <row r="27" spans="1:19">
      <c r="A27" s="4095"/>
      <c r="B27" s="88"/>
      <c r="C27" s="88" t="str">
        <f>'9-A.Training Sub-Annex'!C238</f>
        <v xml:space="preserve">1 day training of Peer support of the Treatment sites (MTC/TCs) </v>
      </c>
      <c r="D27" s="1975" t="str">
        <f>'9-A.Training Sub-Annex'!D238</f>
        <v>NDCP</v>
      </c>
      <c r="E27" s="1975" t="str">
        <f>'9-A.Training Sub-Annex'!E238</f>
        <v>NVHCP</v>
      </c>
      <c r="F27" s="1975">
        <f>'9-A.Training Sub-Annex'!F238</f>
        <v>0</v>
      </c>
      <c r="G27" s="1975">
        <f>'9-A.Training Sub-Annex'!G238</f>
        <v>0</v>
      </c>
      <c r="H27" s="1975">
        <f>'9-A.Training Sub-Annex'!H238</f>
        <v>0</v>
      </c>
      <c r="I27" s="1975">
        <f>'9-A.Training Sub-Annex'!I238</f>
        <v>0</v>
      </c>
      <c r="J27" s="1975">
        <f>'9-A.Training Sub-Annex'!J238</f>
        <v>0</v>
      </c>
      <c r="K27" s="1975">
        <f>'9-A.Training Sub-Annex'!K238</f>
        <v>0</v>
      </c>
      <c r="L27" s="1975">
        <f>'9-A.Training Sub-Annex'!L238</f>
        <v>0</v>
      </c>
      <c r="M27" s="162">
        <f>'9-A.Training Sub-Annex'!M238</f>
        <v>0</v>
      </c>
      <c r="N27" s="1975">
        <f>'9-A.Training Sub-Annex'!N238</f>
        <v>0</v>
      </c>
      <c r="O27" s="162">
        <f>'9-A.Training Sub-Annex'!O238</f>
        <v>0</v>
      </c>
      <c r="P27" s="88">
        <f>'9-A.Training Sub-Annex'!P238</f>
        <v>9</v>
      </c>
      <c r="Q27" s="68"/>
      <c r="R27" s="1966"/>
    </row>
    <row r="28" spans="1:19">
      <c r="A28" s="4095"/>
      <c r="B28" s="88"/>
      <c r="C28" s="88" t="str">
        <f>'9-A.Training Sub-Annex'!C239</f>
        <v xml:space="preserve">1 day training of pharmacist of the Treatment sites (MTC/TCs) </v>
      </c>
      <c r="D28" s="1975" t="str">
        <f>'9-A.Training Sub-Annex'!D239</f>
        <v>NDCP</v>
      </c>
      <c r="E28" s="1975" t="str">
        <f>'9-A.Training Sub-Annex'!E239</f>
        <v>NVHCP</v>
      </c>
      <c r="F28" s="1975">
        <f>'9-A.Training Sub-Annex'!F239</f>
        <v>0</v>
      </c>
      <c r="G28" s="1975">
        <f>'9-A.Training Sub-Annex'!G239</f>
        <v>0</v>
      </c>
      <c r="H28" s="1975">
        <f>'9-A.Training Sub-Annex'!H239</f>
        <v>0</v>
      </c>
      <c r="I28" s="1975">
        <f>'9-A.Training Sub-Annex'!I239</f>
        <v>0</v>
      </c>
      <c r="J28" s="1975">
        <f>'9-A.Training Sub-Annex'!J239</f>
        <v>0</v>
      </c>
      <c r="K28" s="1975">
        <f>'9-A.Training Sub-Annex'!K239</f>
        <v>0</v>
      </c>
      <c r="L28" s="1975">
        <f>'9-A.Training Sub-Annex'!L239</f>
        <v>0</v>
      </c>
      <c r="M28" s="162">
        <f>'9-A.Training Sub-Annex'!M239</f>
        <v>0</v>
      </c>
      <c r="N28" s="1975">
        <f>'9-A.Training Sub-Annex'!N239</f>
        <v>0</v>
      </c>
      <c r="O28" s="162">
        <f>'9-A.Training Sub-Annex'!O239</f>
        <v>0</v>
      </c>
      <c r="P28" s="88">
        <f>'9-A.Training Sub-Annex'!P239</f>
        <v>0</v>
      </c>
      <c r="Q28" s="68"/>
      <c r="R28" s="1966"/>
    </row>
    <row r="29" spans="1:19">
      <c r="A29" s="4095"/>
      <c r="B29" s="88"/>
      <c r="C29" s="88" t="str">
        <f>'9-A.Training Sub-Annex'!C240</f>
        <v xml:space="preserve">1 day training of DEO of the Treatment sites (MTC/TCs) </v>
      </c>
      <c r="D29" s="1975" t="str">
        <f>'9-A.Training Sub-Annex'!D240</f>
        <v>NDCP</v>
      </c>
      <c r="E29" s="1975" t="str">
        <f>'9-A.Training Sub-Annex'!E240</f>
        <v>NVHCP</v>
      </c>
      <c r="F29" s="1975">
        <f>'9-A.Training Sub-Annex'!F240</f>
        <v>0</v>
      </c>
      <c r="G29" s="1975">
        <f>'9-A.Training Sub-Annex'!G240</f>
        <v>0</v>
      </c>
      <c r="H29" s="1975">
        <f>'9-A.Training Sub-Annex'!H240</f>
        <v>0</v>
      </c>
      <c r="I29" s="1975">
        <f>'9-A.Training Sub-Annex'!I240</f>
        <v>0</v>
      </c>
      <c r="J29" s="1975">
        <f>'9-A.Training Sub-Annex'!J240</f>
        <v>0</v>
      </c>
      <c r="K29" s="1975">
        <f>'9-A.Training Sub-Annex'!K240</f>
        <v>0</v>
      </c>
      <c r="L29" s="1975">
        <f>'9-A.Training Sub-Annex'!L240</f>
        <v>0</v>
      </c>
      <c r="M29" s="162">
        <f>'9-A.Training Sub-Annex'!M240</f>
        <v>0</v>
      </c>
      <c r="N29" s="1975">
        <f>'9-A.Training Sub-Annex'!N240</f>
        <v>0</v>
      </c>
      <c r="O29" s="162">
        <f>'9-A.Training Sub-Annex'!O240</f>
        <v>0</v>
      </c>
      <c r="P29" s="88">
        <f>'9-A.Training Sub-Annex'!P240</f>
        <v>0</v>
      </c>
      <c r="Q29" s="68"/>
      <c r="R29" s="1966"/>
    </row>
    <row r="30" spans="1:19">
      <c r="A30" s="4095"/>
      <c r="B30" s="88">
        <f>'9-A.Training Sub-Annex'!B241</f>
        <v>0</v>
      </c>
      <c r="C30" s="88" t="str">
        <f>'9-A.Training Sub-Annex'!C241</f>
        <v>Training for Community Volunteers</v>
      </c>
      <c r="D30" s="1975" t="str">
        <f>'9-A.Training Sub-Annex'!D241</f>
        <v>NDCP</v>
      </c>
      <c r="E30" s="1975" t="str">
        <f>'9-A.Training Sub-Annex'!E241</f>
        <v>NVHCP</v>
      </c>
      <c r="F30" s="1975">
        <f>'9-A.Training Sub-Annex'!F241</f>
        <v>0</v>
      </c>
      <c r="G30" s="1975">
        <f>'9-A.Training Sub-Annex'!G241</f>
        <v>0</v>
      </c>
      <c r="H30" s="1975">
        <f>'9-A.Training Sub-Annex'!H241</f>
        <v>0</v>
      </c>
      <c r="I30" s="1975">
        <f>'9-A.Training Sub-Annex'!I241</f>
        <v>0</v>
      </c>
      <c r="J30" s="1975">
        <f>'9-A.Training Sub-Annex'!J241</f>
        <v>0</v>
      </c>
      <c r="K30" s="1975">
        <f>'9-A.Training Sub-Annex'!K241</f>
        <v>0</v>
      </c>
      <c r="L30" s="1975">
        <f>'9-A.Training Sub-Annex'!L241</f>
        <v>0</v>
      </c>
      <c r="M30" s="162">
        <f>'9-A.Training Sub-Annex'!M241</f>
        <v>0</v>
      </c>
      <c r="N30" s="1975">
        <f>'9-A.Training Sub-Annex'!N241</f>
        <v>0</v>
      </c>
      <c r="O30" s="162">
        <f>'9-A.Training Sub-Annex'!O241</f>
        <v>0</v>
      </c>
      <c r="P30" s="88">
        <f>'9-A.Training Sub-Annex'!P241</f>
        <v>0</v>
      </c>
      <c r="Q30" s="68"/>
      <c r="R30" s="1966"/>
    </row>
    <row r="31" spans="1:19">
      <c r="A31" s="4095"/>
      <c r="B31" s="88">
        <f>'9-A.Training Sub-Annex'!B242</f>
        <v>0</v>
      </c>
      <c r="C31" s="88" t="str">
        <f>'9-A.Training Sub-Annex'!C242</f>
        <v>Any other (please specify)</v>
      </c>
      <c r="D31" s="1975" t="str">
        <f>'9-A.Training Sub-Annex'!D242</f>
        <v>NDCP</v>
      </c>
      <c r="E31" s="1975" t="str">
        <f>'9-A.Training Sub-Annex'!E242</f>
        <v>NVHCP</v>
      </c>
      <c r="F31" s="1975">
        <f>'9-A.Training Sub-Annex'!F242</f>
        <v>0</v>
      </c>
      <c r="G31" s="1975">
        <f>'9-A.Training Sub-Annex'!G242</f>
        <v>0</v>
      </c>
      <c r="H31" s="1975">
        <f>'9-A.Training Sub-Annex'!H242</f>
        <v>0</v>
      </c>
      <c r="I31" s="1975">
        <f>'9-A.Training Sub-Annex'!I242</f>
        <v>0</v>
      </c>
      <c r="J31" s="1975">
        <f>'9-A.Training Sub-Annex'!J242</f>
        <v>0</v>
      </c>
      <c r="K31" s="1975">
        <f>'9-A.Training Sub-Annex'!K242</f>
        <v>0</v>
      </c>
      <c r="L31" s="1975">
        <f>'9-A.Training Sub-Annex'!L242</f>
        <v>0</v>
      </c>
      <c r="M31" s="162">
        <f>'9-A.Training Sub-Annex'!M242</f>
        <v>0</v>
      </c>
      <c r="N31" s="1975">
        <f>'9-A.Training Sub-Annex'!N242</f>
        <v>0</v>
      </c>
      <c r="O31" s="162">
        <f>'9-A.Training Sub-Annex'!O242</f>
        <v>0</v>
      </c>
      <c r="P31" s="88">
        <f>'9-A.Training Sub-Annex'!P242</f>
        <v>0</v>
      </c>
      <c r="Q31" s="68"/>
      <c r="R31" s="1966"/>
    </row>
    <row r="32" spans="1:19">
      <c r="A32" s="1970">
        <f>'11.IEC-BCC Annex'!A7</f>
        <v>11</v>
      </c>
      <c r="B32" s="1970"/>
      <c r="C32" s="1970" t="str">
        <f>'11.IEC-BCC Annex'!C7</f>
        <v>IEC/BCC</v>
      </c>
      <c r="D32" s="1969"/>
      <c r="E32" s="1969"/>
      <c r="F32" s="1969"/>
      <c r="G32" s="1969"/>
      <c r="H32" s="994"/>
      <c r="I32" s="1969"/>
      <c r="J32" s="994"/>
      <c r="K32" s="1970"/>
      <c r="L32" s="1970"/>
      <c r="M32" s="994"/>
      <c r="N32" s="1984"/>
      <c r="O32" s="1985">
        <f>SUM(O33:O33)</f>
        <v>6</v>
      </c>
      <c r="P32" s="1984"/>
      <c r="Q32" s="1990"/>
      <c r="R32" s="1991">
        <f>SUM(R33:R33)</f>
        <v>6</v>
      </c>
    </row>
    <row r="33" spans="1:18" ht="30">
      <c r="A33" s="1958">
        <f>'11-A. IEC Sub-Annex'!A75</f>
        <v>0</v>
      </c>
      <c r="B33" s="1958">
        <f>'11-A. IEC Sub-Annex'!B75</f>
        <v>0</v>
      </c>
      <c r="C33" s="1958" t="str">
        <f>'11-A. IEC Sub-Annex'!C75</f>
        <v>IEC under NVHCP</v>
      </c>
      <c r="D33" s="1958" t="str">
        <f>'11-A. IEC Sub-Annex'!D75</f>
        <v>NDCP</v>
      </c>
      <c r="E33" s="1958" t="str">
        <f>'11-A. IEC Sub-Annex'!E75</f>
        <v>NVHCP</v>
      </c>
      <c r="F33" s="1958">
        <f>'11-A. IEC Sub-Annex'!F75</f>
        <v>0</v>
      </c>
      <c r="G33" s="1958">
        <f>'11-A. IEC Sub-Annex'!G75</f>
        <v>0</v>
      </c>
      <c r="H33" s="1958">
        <f>'11-A. IEC Sub-Annex'!H75</f>
        <v>0</v>
      </c>
      <c r="I33" s="1958">
        <f>'11-A. IEC Sub-Annex'!I75</f>
        <v>0</v>
      </c>
      <c r="J33" s="1958">
        <f>'11-A. IEC Sub-Annex'!J75</f>
        <v>0</v>
      </c>
      <c r="K33" s="1958">
        <f>'11-A. IEC Sub-Annex'!K75</f>
        <v>12</v>
      </c>
      <c r="L33" s="1958">
        <f>'11-A. IEC Sub-Annex'!L75</f>
        <v>50000</v>
      </c>
      <c r="M33" s="1958">
        <f>'11-A. IEC Sub-Annex'!M75</f>
        <v>0.5</v>
      </c>
      <c r="N33" s="1958">
        <f>'11-A. IEC Sub-Annex'!N75</f>
        <v>12</v>
      </c>
      <c r="O33" s="1958">
        <f>'11-A. IEC Sub-Annex'!O75</f>
        <v>6</v>
      </c>
      <c r="P33" s="1958" t="str">
        <f>'11-A. IEC Sub-Annex'!P75</f>
        <v>IEC activities for treatment  center</v>
      </c>
      <c r="Q33" s="69" t="s">
        <v>5740</v>
      </c>
      <c r="R33" s="1966">
        <v>6</v>
      </c>
    </row>
    <row r="34" spans="1:18">
      <c r="A34" s="1970">
        <f>'12.Printing Annex'!A7</f>
        <v>12</v>
      </c>
      <c r="B34" s="1970"/>
      <c r="C34" s="1970" t="str">
        <f>'12.Printing Annex'!C7</f>
        <v>Printing</v>
      </c>
      <c r="D34" s="1969"/>
      <c r="E34" s="1969"/>
      <c r="F34" s="1969"/>
      <c r="G34" s="1969"/>
      <c r="H34" s="994"/>
      <c r="I34" s="1969"/>
      <c r="J34" s="994"/>
      <c r="K34" s="1970"/>
      <c r="L34" s="1970"/>
      <c r="M34" s="994"/>
      <c r="N34" s="1984"/>
      <c r="O34" s="1985">
        <f>O35</f>
        <v>0</v>
      </c>
      <c r="P34" s="1984"/>
      <c r="Q34" s="1990"/>
      <c r="R34" s="1991">
        <f>R35</f>
        <v>0</v>
      </c>
    </row>
    <row r="35" spans="1:18">
      <c r="A35" s="1958" t="str">
        <f>'12.Printing Annex'!A29</f>
        <v>12.3.4</v>
      </c>
      <c r="B35" s="1958">
        <f>'12-A. Print Sub-Annex'!B87</f>
        <v>0</v>
      </c>
      <c r="C35" s="1958" t="str">
        <f>'12-A. Print Sub-Annex'!C87</f>
        <v>Printing for formats/registers under NVHCP</v>
      </c>
      <c r="D35" s="1974" t="str">
        <f>'12-A. Print Sub-Annex'!D87</f>
        <v>NDCP</v>
      </c>
      <c r="E35" s="1974" t="str">
        <f>'12-A. Print Sub-Annex'!E87</f>
        <v>NVHCP</v>
      </c>
      <c r="F35" s="1974">
        <f>'12-A. Print Sub-Annex'!F87</f>
        <v>0</v>
      </c>
      <c r="G35" s="1974">
        <f>'12-A. Print Sub-Annex'!G87</f>
        <v>0</v>
      </c>
      <c r="H35" s="1974">
        <f>'12-A. Print Sub-Annex'!H87</f>
        <v>0</v>
      </c>
      <c r="I35" s="1974">
        <f>'12-A. Print Sub-Annex'!I87</f>
        <v>0</v>
      </c>
      <c r="J35" s="1974">
        <f>'12-A. Print Sub-Annex'!J87</f>
        <v>0</v>
      </c>
      <c r="K35" s="1974">
        <f>'12-A. Print Sub-Annex'!K87</f>
        <v>0</v>
      </c>
      <c r="L35" s="1974">
        <f>'12-A. Print Sub-Annex'!L87</f>
        <v>0</v>
      </c>
      <c r="M35" s="1937">
        <f>'12-A. Print Sub-Annex'!M87</f>
        <v>0</v>
      </c>
      <c r="N35" s="1974">
        <f>'12-A. Print Sub-Annex'!N87</f>
        <v>0</v>
      </c>
      <c r="O35" s="1937">
        <f>'12-A. Print Sub-Annex'!O87</f>
        <v>0</v>
      </c>
      <c r="P35" s="1958">
        <f>'12-A. Print Sub-Annex'!P87</f>
        <v>0</v>
      </c>
      <c r="Q35" s="68"/>
      <c r="R35" s="1966"/>
    </row>
    <row r="36" spans="1:18">
      <c r="A36" s="2038">
        <f>'14.Drug warehouse &amp;Logistic Anx'!A7</f>
        <v>14</v>
      </c>
      <c r="B36" s="1931"/>
      <c r="C36" s="2038" t="str">
        <f>'14.Drug warehouse &amp;Logistic Anx'!C7</f>
        <v>Drug Warehousing and Logistics</v>
      </c>
      <c r="D36" s="1812"/>
      <c r="E36" s="1812"/>
      <c r="F36" s="2039"/>
      <c r="G36" s="2039"/>
      <c r="H36" s="1928"/>
      <c r="I36" s="2039"/>
      <c r="J36" s="1928"/>
      <c r="K36" s="2038"/>
      <c r="L36" s="2038"/>
      <c r="M36" s="1928"/>
      <c r="N36" s="1984"/>
      <c r="O36" s="1985">
        <f>O37</f>
        <v>1.2</v>
      </c>
      <c r="P36" s="1984"/>
      <c r="Q36" s="1990"/>
      <c r="R36" s="1991">
        <f>R37</f>
        <v>1.2</v>
      </c>
    </row>
    <row r="37" spans="1:18" ht="45">
      <c r="A37" s="1958" t="str">
        <f>'14.Drug warehouse &amp;Logistic Anx'!A31</f>
        <v>14.2.13</v>
      </c>
      <c r="B37" s="1958"/>
      <c r="C37" s="1958" t="str">
        <f>'14.Drug warehouse &amp;Logistic Anx'!C31</f>
        <v>Sample transportation cost under NVHCP</v>
      </c>
      <c r="D37" s="1974" t="str">
        <f>'14.Drug warehouse &amp;Logistic Anx'!D31</f>
        <v>NDCP</v>
      </c>
      <c r="E37" s="1974" t="str">
        <f>'14.Drug warehouse &amp;Logistic Anx'!E31</f>
        <v>NVHCP</v>
      </c>
      <c r="F37" s="1974">
        <f>'14.Drug warehouse &amp;Logistic Anx'!F31</f>
        <v>0</v>
      </c>
      <c r="G37" s="1974">
        <f>'14.Drug warehouse &amp;Logistic Anx'!G31</f>
        <v>0</v>
      </c>
      <c r="H37" s="1974">
        <f>'14.Drug warehouse &amp;Logistic Anx'!H31</f>
        <v>0</v>
      </c>
      <c r="I37" s="1974">
        <f>'14.Drug warehouse &amp;Logistic Anx'!I31</f>
        <v>0</v>
      </c>
      <c r="J37" s="1974">
        <f>'14.Drug warehouse &amp;Logistic Anx'!J31</f>
        <v>0</v>
      </c>
      <c r="K37" s="1974">
        <f>'14.Drug warehouse &amp;Logistic Anx'!K31</f>
        <v>0</v>
      </c>
      <c r="L37" s="1974">
        <f>'14.Drug warehouse &amp;Logistic Anx'!L31</f>
        <v>2000</v>
      </c>
      <c r="M37" s="1937">
        <f>'14.Drug warehouse &amp;Logistic Anx'!M31</f>
        <v>0.02</v>
      </c>
      <c r="N37" s="1974">
        <f>'14.Drug warehouse &amp;Logistic Anx'!N31</f>
        <v>60</v>
      </c>
      <c r="O37" s="1937">
        <f>'14.Drug warehouse &amp;Logistic Anx'!O31</f>
        <v>1.2</v>
      </c>
      <c r="P37" s="1958" t="str">
        <f>'14.Drug warehouse &amp;Logistic Anx'!P31</f>
        <v>Samples will be transported for 6 months from 10 districts.</v>
      </c>
      <c r="Q37" s="69" t="s">
        <v>5741</v>
      </c>
      <c r="R37" s="1966">
        <v>1.2</v>
      </c>
    </row>
    <row r="38" spans="1:18">
      <c r="A38" s="1970">
        <f>'15.PPP Annex'!A7</f>
        <v>15</v>
      </c>
      <c r="B38" s="1970"/>
      <c r="C38" s="1970" t="str">
        <f>'15.PPP Annex'!C7</f>
        <v>PPP</v>
      </c>
      <c r="D38" s="1969"/>
      <c r="E38" s="1969"/>
      <c r="F38" s="1969"/>
      <c r="G38" s="1969"/>
      <c r="H38" s="994"/>
      <c r="I38" s="1969"/>
      <c r="J38" s="994"/>
      <c r="K38" s="1970"/>
      <c r="L38" s="1970"/>
      <c r="M38" s="994"/>
      <c r="N38" s="1984"/>
      <c r="O38" s="1985">
        <f>SUM(O39)</f>
        <v>0</v>
      </c>
      <c r="P38" s="1984"/>
      <c r="Q38" s="1990"/>
      <c r="R38" s="1991">
        <f>SUM(R39)</f>
        <v>0</v>
      </c>
    </row>
    <row r="39" spans="1:18">
      <c r="A39" s="1958" t="str">
        <f>'15.PPP Annex'!A32</f>
        <v>15.3.4.1</v>
      </c>
      <c r="B39" s="1958" t="str">
        <f>'15.PPP Annex'!B18</f>
        <v>15.9.7</v>
      </c>
      <c r="C39" s="1958" t="str">
        <f>'15.PPP Annex'!C32</f>
        <v>PPP initiative under NVHCP</v>
      </c>
      <c r="D39" s="1974" t="str">
        <f>'15.PPP Annex'!D32</f>
        <v>NDCP</v>
      </c>
      <c r="E39" s="1974" t="str">
        <f>'15.PPP Annex'!E32</f>
        <v>NVHCP</v>
      </c>
      <c r="F39" s="1974">
        <f>'15.PPP Annex'!F32</f>
        <v>0</v>
      </c>
      <c r="G39" s="1974">
        <f>'15.PPP Annex'!G32</f>
        <v>0</v>
      </c>
      <c r="H39" s="1974">
        <f>'15.PPP Annex'!H32</f>
        <v>0</v>
      </c>
      <c r="I39" s="1974">
        <f>'15.PPP Annex'!I32</f>
        <v>0</v>
      </c>
      <c r="J39" s="1974">
        <f>'15.PPP Annex'!J32</f>
        <v>0</v>
      </c>
      <c r="K39" s="1974">
        <f>'15.PPP Annex'!K32</f>
        <v>0</v>
      </c>
      <c r="L39" s="1974">
        <f>'15.PPP Annex'!L32</f>
        <v>0</v>
      </c>
      <c r="M39" s="1937">
        <f>'15.PPP Annex'!M32</f>
        <v>0</v>
      </c>
      <c r="N39" s="1974">
        <f>'15.PPP Annex'!N32</f>
        <v>0</v>
      </c>
      <c r="O39" s="1937">
        <f>'15.PPP Annex'!O32</f>
        <v>0</v>
      </c>
      <c r="P39" s="1958">
        <f>'15.PPP Annex'!P32</f>
        <v>0</v>
      </c>
      <c r="Q39" s="68"/>
      <c r="R39" s="1966"/>
    </row>
    <row r="40" spans="1:18">
      <c r="A40" s="2038">
        <f>'16.PM Annex'!A7</f>
        <v>16</v>
      </c>
      <c r="B40" s="2038"/>
      <c r="C40" s="2038" t="str">
        <f>'16.PM Annex'!C7</f>
        <v>Programme Management</v>
      </c>
      <c r="D40" s="1882"/>
      <c r="E40" s="1882"/>
      <c r="F40" s="2039"/>
      <c r="G40" s="2039"/>
      <c r="H40" s="1928"/>
      <c r="I40" s="2039"/>
      <c r="J40" s="1928"/>
      <c r="K40" s="2038"/>
      <c r="L40" s="2038"/>
      <c r="M40" s="1928"/>
      <c r="N40" s="1984"/>
      <c r="O40" s="1985">
        <f>SUM(O41:O44)</f>
        <v>0</v>
      </c>
      <c r="P40" s="1984"/>
      <c r="Q40" s="1990"/>
      <c r="R40" s="1991">
        <f>SUM(R41:R44)</f>
        <v>0</v>
      </c>
    </row>
    <row r="41" spans="1:18">
      <c r="A41" s="1958" t="str">
        <f>'16-A. PM sub Annex'!A46</f>
        <v>16.1.2.1.25</v>
      </c>
      <c r="B41" s="1958" t="e">
        <f>'16-A. PM sub Annex'!#REF!</f>
        <v>#REF!</v>
      </c>
      <c r="C41" s="1958" t="str">
        <f>'16-A. PM sub Annex'!C46</f>
        <v>State level review meeting under NVHCP</v>
      </c>
      <c r="D41" s="1974" t="str">
        <f>'16-A. PM sub Annex'!D46</f>
        <v>NDCP</v>
      </c>
      <c r="E41" s="1974" t="str">
        <f>'16-A. PM sub Annex'!E46</f>
        <v>HRH&amp;HPIP/NVHCP</v>
      </c>
      <c r="F41" s="1974">
        <f>'16-A. PM sub Annex'!F46</f>
        <v>0</v>
      </c>
      <c r="G41" s="1974">
        <f>'16-A. PM sub Annex'!G46</f>
        <v>0</v>
      </c>
      <c r="H41" s="1974">
        <f>'16-A. PM sub Annex'!H46</f>
        <v>0</v>
      </c>
      <c r="I41" s="1974">
        <f>'16-A. PM sub Annex'!I46</f>
        <v>0</v>
      </c>
      <c r="J41" s="1974">
        <f>'16-A. PM sub Annex'!J46</f>
        <v>0</v>
      </c>
      <c r="K41" s="1974">
        <f>'16-A. PM sub Annex'!K46</f>
        <v>0</v>
      </c>
      <c r="L41" s="1974">
        <f>'16-A. PM sub Annex'!L46</f>
        <v>0</v>
      </c>
      <c r="M41" s="1937">
        <f>'16-A. PM sub Annex'!M46</f>
        <v>0</v>
      </c>
      <c r="N41" s="1974">
        <f>'16-A. PM sub Annex'!N46</f>
        <v>0</v>
      </c>
      <c r="O41" s="1937">
        <f>'16-A. PM sub Annex'!O46</f>
        <v>0</v>
      </c>
      <c r="P41" s="1958">
        <f>'16-A. PM sub Annex'!P46</f>
        <v>0</v>
      </c>
      <c r="Q41" s="68"/>
      <c r="R41" s="1966"/>
    </row>
    <row r="42" spans="1:18">
      <c r="A42" s="1958" t="str">
        <f>'16-A. PM sub Annex'!A85</f>
        <v>16.1.3.1.17</v>
      </c>
      <c r="B42" s="1958" t="e">
        <f>'16-A. PM sub Annex'!#REF!</f>
        <v>#REF!</v>
      </c>
      <c r="C42" s="1958" t="str">
        <f>'16-A. PM sub Annex'!C85</f>
        <v>SVHMU: Cost of travel for supervision and monitoring</v>
      </c>
      <c r="D42" s="1974" t="str">
        <f>'16-A. PM sub Annex'!D85</f>
        <v>NDCP</v>
      </c>
      <c r="E42" s="1974" t="str">
        <f>'16-A. PM sub Annex'!E85</f>
        <v>HRH&amp;HPIP/NVHCP</v>
      </c>
      <c r="F42" s="1974">
        <f>'16-A. PM sub Annex'!F85</f>
        <v>1</v>
      </c>
      <c r="G42" s="1974">
        <f>'16-A. PM sub Annex'!G85</f>
        <v>0</v>
      </c>
      <c r="H42" s="1974">
        <f>'16-A. PM sub Annex'!H85</f>
        <v>1</v>
      </c>
      <c r="I42" s="1974">
        <f>'16-A. PM sub Annex'!I85</f>
        <v>0</v>
      </c>
      <c r="J42" s="1974">
        <f>'16-A. PM sub Annex'!J85</f>
        <v>1</v>
      </c>
      <c r="K42" s="1974">
        <f>'16-A. PM sub Annex'!K85</f>
        <v>0</v>
      </c>
      <c r="L42" s="1974">
        <f>'16-A. PM sub Annex'!L85</f>
        <v>0</v>
      </c>
      <c r="M42" s="1937">
        <f>'16-A. PM sub Annex'!M85</f>
        <v>0</v>
      </c>
      <c r="N42" s="1974">
        <f>'16-A. PM sub Annex'!N85</f>
        <v>0</v>
      </c>
      <c r="O42" s="1937">
        <f>'16-A. PM sub Annex'!O85</f>
        <v>0</v>
      </c>
      <c r="P42" s="1958">
        <f>'16-A. PM sub Annex'!P85</f>
        <v>0</v>
      </c>
      <c r="Q42" s="68"/>
      <c r="R42" s="1966"/>
    </row>
    <row r="43" spans="1:18">
      <c r="A43" s="1958" t="str">
        <f>'16-A. PM sub Annex'!A134</f>
        <v>16.1.4.1.14</v>
      </c>
      <c r="B43" s="1958" t="e">
        <f>'16-A. PM sub Annex'!#REF!</f>
        <v>#REF!</v>
      </c>
      <c r="C43" s="1958" t="str">
        <f>'16-A. PM sub Annex'!C134</f>
        <v>SVHMU: Meeting Costs/Office expenses/Contingency</v>
      </c>
      <c r="D43" s="1974" t="str">
        <f>'16-A. PM sub Annex'!D134</f>
        <v>NDCP</v>
      </c>
      <c r="E43" s="1974" t="str">
        <f>'16-A. PM sub Annex'!E134</f>
        <v>HRH&amp;HPIP/NVHCP</v>
      </c>
      <c r="F43" s="1974">
        <f>'16-A. PM sub Annex'!F134</f>
        <v>1</v>
      </c>
      <c r="G43" s="1974">
        <f>'16-A. PM sub Annex'!G134</f>
        <v>0</v>
      </c>
      <c r="H43" s="1974">
        <f>'16-A. PM sub Annex'!H134</f>
        <v>1</v>
      </c>
      <c r="I43" s="1974">
        <f>'16-A. PM sub Annex'!I134</f>
        <v>0</v>
      </c>
      <c r="J43" s="1974">
        <f>'16-A. PM sub Annex'!J134</f>
        <v>1</v>
      </c>
      <c r="K43" s="1974">
        <f>'16-A. PM sub Annex'!K134</f>
        <v>0</v>
      </c>
      <c r="L43" s="1974">
        <f>'16-A. PM sub Annex'!L134</f>
        <v>0</v>
      </c>
      <c r="M43" s="1937">
        <f>'16-A. PM sub Annex'!M134</f>
        <v>0</v>
      </c>
      <c r="N43" s="1974">
        <f>'16-A. PM sub Annex'!N134</f>
        <v>0</v>
      </c>
      <c r="O43" s="1937">
        <f>'16-A. PM sub Annex'!O134</f>
        <v>0</v>
      </c>
      <c r="P43" s="1958">
        <f>'16-A. PM sub Annex'!P134</f>
        <v>0</v>
      </c>
      <c r="Q43" s="68"/>
      <c r="R43" s="1966"/>
    </row>
    <row r="44" spans="1:18">
      <c r="A44" s="1958" t="str">
        <f>'16-A. PM sub Annex'!A161</f>
        <v>16.1.5.2.6</v>
      </c>
      <c r="B44" s="1958" t="e">
        <f>'16-A. PM sub Annex'!#REF!</f>
        <v>#REF!</v>
      </c>
      <c r="C44" s="1958" t="str">
        <f>'16-A. PM sub Annex'!C161</f>
        <v>SVHMU: Non-recurring Equipment- (computer, printer photocopier scanner etc)</v>
      </c>
      <c r="D44" s="1974" t="str">
        <f>'16-A. PM sub Annex'!D161</f>
        <v>NDCP</v>
      </c>
      <c r="E44" s="1974" t="str">
        <f>'16-A. PM sub Annex'!E161</f>
        <v>HRH&amp;HPIP/NVHCP</v>
      </c>
      <c r="F44" s="1974">
        <f>'16-A. PM sub Annex'!F161</f>
        <v>0</v>
      </c>
      <c r="G44" s="1974">
        <f>'16-A. PM sub Annex'!G161</f>
        <v>0</v>
      </c>
      <c r="H44" s="1974">
        <f>'16-A. PM sub Annex'!H161</f>
        <v>0</v>
      </c>
      <c r="I44" s="1974">
        <f>'16-A. PM sub Annex'!I161</f>
        <v>0</v>
      </c>
      <c r="J44" s="1974">
        <f>'16-A. PM sub Annex'!J161</f>
        <v>0</v>
      </c>
      <c r="K44" s="1974">
        <f>'16-A. PM sub Annex'!K161</f>
        <v>0</v>
      </c>
      <c r="L44" s="1974">
        <f>'16-A. PM sub Annex'!L161</f>
        <v>0</v>
      </c>
      <c r="M44" s="1937">
        <f>'16-A. PM sub Annex'!M161</f>
        <v>0</v>
      </c>
      <c r="N44" s="1974">
        <f>'16-A. PM sub Annex'!N161</f>
        <v>0</v>
      </c>
      <c r="O44" s="1937">
        <f>'16-A. PM sub Annex'!O161</f>
        <v>0</v>
      </c>
      <c r="P44" s="1958">
        <f>'16-A. PM sub Annex'!P161</f>
        <v>0</v>
      </c>
      <c r="Q44" s="68"/>
      <c r="R44" s="1966"/>
    </row>
    <row r="45" spans="1:18">
      <c r="Q45" s="2041"/>
      <c r="R45" s="2042"/>
    </row>
    <row r="46" spans="1:18">
      <c r="Q46" s="2041"/>
      <c r="R46" s="2042"/>
    </row>
    <row r="47" spans="1:18" s="1942" customFormat="1">
      <c r="A47" s="4098" t="s">
        <v>5130</v>
      </c>
      <c r="B47" s="4098"/>
      <c r="C47" s="4098"/>
      <c r="D47" s="785"/>
      <c r="E47" s="785"/>
      <c r="F47" s="785"/>
      <c r="G47" s="785"/>
      <c r="H47" s="547"/>
      <c r="I47" s="785"/>
      <c r="J47" s="547"/>
      <c r="K47" s="2007"/>
      <c r="L47" s="2007"/>
      <c r="M47" s="547"/>
      <c r="N47" s="1997"/>
      <c r="O47" s="1957"/>
      <c r="P47" s="1953"/>
      <c r="Q47" s="1964"/>
      <c r="R47" s="1965"/>
    </row>
    <row r="48" spans="1:18" s="1942" customFormat="1">
      <c r="A48" s="1958" t="str">
        <f>'NUHM-Non Metro Abst'!A15</f>
        <v>U.1.1.1.5</v>
      </c>
      <c r="B48" s="1958">
        <f>'NUHM-Non Metro Abst'!B15</f>
        <v>0</v>
      </c>
      <c r="C48" s="1958" t="str">
        <f>'NUHM-Non Metro Abst'!C15</f>
        <v>Support for implementation of NVHCP</v>
      </c>
      <c r="E48" s="1958" t="str">
        <f>'NUHM-Non Metro Abst'!D15</f>
        <v>NVHCP</v>
      </c>
      <c r="F48" s="1958">
        <f>'NUHM-Non Metro Abst'!E15</f>
        <v>0</v>
      </c>
      <c r="G48" s="1958">
        <f>'NUHM-Non Metro Abst'!F15</f>
        <v>0</v>
      </c>
      <c r="H48" s="1958">
        <f>'NUHM-Non Metro Abst'!G15</f>
        <v>0</v>
      </c>
      <c r="I48" s="1958">
        <f>'NUHM-Non Metro Abst'!H15</f>
        <v>0</v>
      </c>
      <c r="J48" s="1958">
        <f>'NUHM-Non Metro Abst'!I15</f>
        <v>0</v>
      </c>
      <c r="K48" s="1958">
        <f>'NUHM-Non Metro Abst'!J15</f>
        <v>0</v>
      </c>
      <c r="L48" s="1958">
        <f>'NUHM-Non Metro Abst'!K15</f>
        <v>0</v>
      </c>
      <c r="M48" s="1958">
        <f>'NUHM-Non Metro Abst'!L15</f>
        <v>0</v>
      </c>
      <c r="N48" s="1958">
        <f>'NUHM-Non Metro Abst'!M15</f>
        <v>0</v>
      </c>
      <c r="O48" s="1958">
        <f>'NUHM-Non Metro Abst'!N15</f>
        <v>0</v>
      </c>
      <c r="P48" s="1958">
        <f>'NUHM-Non Metro Abst'!O15</f>
        <v>0</v>
      </c>
      <c r="Q48" s="55"/>
      <c r="R48" s="1966"/>
    </row>
    <row r="49" spans="1:18" s="1942" customFormat="1">
      <c r="A49" s="4098" t="s">
        <v>5129</v>
      </c>
      <c r="B49" s="4098"/>
      <c r="C49" s="4098"/>
      <c r="D49" s="785"/>
      <c r="E49" s="785"/>
      <c r="F49" s="785"/>
      <c r="G49" s="785"/>
      <c r="H49" s="785"/>
      <c r="I49" s="785"/>
      <c r="J49" s="785"/>
      <c r="K49" s="785"/>
      <c r="L49" s="785"/>
      <c r="M49" s="785"/>
      <c r="N49" s="785"/>
      <c r="O49" s="785"/>
      <c r="P49" s="785"/>
      <c r="Q49" s="1964"/>
      <c r="R49" s="1965"/>
    </row>
    <row r="50" spans="1:18" s="1942" customFormat="1">
      <c r="A50" s="1958" t="str">
        <f>'NUHM Metro Abst'!A15</f>
        <v>U.1.1.1.5</v>
      </c>
      <c r="B50" s="1958">
        <f>'NUHM Metro Abst'!B15</f>
        <v>0</v>
      </c>
      <c r="C50" s="1958" t="str">
        <f>'NUHM Metro Abst'!C15</f>
        <v>Support for implementation of NVHCP</v>
      </c>
      <c r="E50" s="1958" t="str">
        <f>'NUHM Metro Abst'!D15</f>
        <v>NVHCP</v>
      </c>
      <c r="F50" s="1958">
        <f>'NUHM Metro Abst'!E15</f>
        <v>0</v>
      </c>
      <c r="G50" s="1958">
        <f>'NUHM Metro Abst'!F15</f>
        <v>0</v>
      </c>
      <c r="H50" s="1958">
        <f>'NUHM Metro Abst'!G15</f>
        <v>0</v>
      </c>
      <c r="I50" s="1958">
        <f>'NUHM Metro Abst'!H15</f>
        <v>0</v>
      </c>
      <c r="J50" s="1958">
        <f>'NUHM Metro Abst'!I15</f>
        <v>0</v>
      </c>
      <c r="K50" s="1958">
        <f>'NUHM Metro Abst'!J15</f>
        <v>0</v>
      </c>
      <c r="L50" s="1958">
        <f>'NUHM Metro Abst'!K15</f>
        <v>0</v>
      </c>
      <c r="M50" s="1958">
        <f>'NUHM Metro Abst'!L15</f>
        <v>0</v>
      </c>
      <c r="N50" s="1958">
        <f>'NUHM Metro Abst'!M15</f>
        <v>0</v>
      </c>
      <c r="O50" s="1958">
        <f>'NUHM Metro Abst'!N15</f>
        <v>0</v>
      </c>
      <c r="P50" s="1958">
        <f>'NUHM Metro Abst'!O15</f>
        <v>0</v>
      </c>
      <c r="Q50" s="55"/>
      <c r="R50" s="55"/>
    </row>
  </sheetData>
  <sheetProtection formatCells="0" formatColumns="0" formatRows="0" autoFilter="0"/>
  <autoFilter ref="A5:M44"/>
  <mergeCells count="14">
    <mergeCell ref="D4:D5"/>
    <mergeCell ref="A15:A16"/>
    <mergeCell ref="A18:A21"/>
    <mergeCell ref="A25:A31"/>
    <mergeCell ref="Q4:R4"/>
    <mergeCell ref="E4:E5"/>
    <mergeCell ref="F4:J4"/>
    <mergeCell ref="K4:P4"/>
    <mergeCell ref="A47:C47"/>
    <mergeCell ref="A49:C49"/>
    <mergeCell ref="A1:C1"/>
    <mergeCell ref="A4:A5"/>
    <mergeCell ref="B4:B5"/>
    <mergeCell ref="C4:C5"/>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sheetPr>
    <tabColor rgb="FF00B050"/>
  </sheetPr>
  <dimension ref="A1:CI57"/>
  <sheetViews>
    <sheetView zoomScale="80" zoomScaleNormal="80" workbookViewId="0">
      <pane xSplit="5" ySplit="7" topLeftCell="P8" activePane="bottomRight" state="frozen"/>
      <selection activeCell="A2" sqref="A2:A4"/>
      <selection pane="topRight" activeCell="A2" sqref="A2:A4"/>
      <selection pane="bottomLeft" activeCell="A2" sqref="A2:A4"/>
      <selection pane="bottomRight" activeCell="CJ1" sqref="CJ1:CJ1048576"/>
    </sheetView>
  </sheetViews>
  <sheetFormatPr defaultColWidth="64.5703125" defaultRowHeight="15"/>
  <cols>
    <col min="1" max="1" width="12.42578125" style="1128" customWidth="1"/>
    <col min="2" max="2" width="6.85546875" style="1114" customWidth="1"/>
    <col min="3" max="3" width="36.7109375" style="1129" customWidth="1"/>
    <col min="4" max="4" width="8.140625" style="1034" bestFit="1" customWidth="1"/>
    <col min="5" max="5" width="17.85546875" style="1034" customWidth="1"/>
    <col min="6" max="6" width="15.85546875" style="1024" hidden="1" customWidth="1"/>
    <col min="7" max="7" width="22.85546875" style="1024" hidden="1" customWidth="1"/>
    <col min="8" max="8" width="15.85546875" style="1024" hidden="1" customWidth="1"/>
    <col min="9" max="9" width="15.140625" style="1024" hidden="1" customWidth="1"/>
    <col min="10" max="10" width="15" style="1024" hidden="1" customWidth="1"/>
    <col min="11" max="11" width="21.85546875" style="1130" hidden="1" customWidth="1"/>
    <col min="12" max="12" width="12.42578125" style="1024" hidden="1" customWidth="1"/>
    <col min="13" max="13" width="31.42578125" style="1131" hidden="1" customWidth="1"/>
    <col min="14" max="14" width="22.85546875" style="1034" hidden="1" customWidth="1"/>
    <col min="15" max="15" width="16.85546875" style="1131" hidden="1" customWidth="1"/>
    <col min="16" max="16" width="17.28515625" style="1128" customWidth="1"/>
    <col min="17" max="17" width="20.7109375" style="1132" customWidth="1"/>
    <col min="18" max="18" width="15" style="1024" bestFit="1" customWidth="1"/>
    <col min="19" max="19" width="8.7109375" style="1024" hidden="1" customWidth="1"/>
    <col min="20" max="20" width="9.28515625" style="1024" hidden="1" customWidth="1"/>
    <col min="21" max="21" width="6.28515625" style="1024" hidden="1" customWidth="1"/>
    <col min="22" max="22" width="6.7109375" style="1024" hidden="1" customWidth="1"/>
    <col min="23" max="23" width="5.85546875" style="1024" hidden="1" customWidth="1"/>
    <col min="24" max="24" width="8.140625" style="1024" hidden="1" customWidth="1"/>
    <col min="25" max="25" width="9.42578125" style="1024" hidden="1" customWidth="1"/>
    <col min="26" max="26" width="11" style="1024" hidden="1" customWidth="1"/>
    <col min="27" max="27" width="6.28515625" style="1024" hidden="1" customWidth="1"/>
    <col min="28" max="28" width="11.85546875" style="1024" hidden="1" customWidth="1"/>
    <col min="29" max="29" width="6.7109375" style="1024" hidden="1" customWidth="1"/>
    <col min="30" max="30" width="6" style="1024" hidden="1" customWidth="1"/>
    <col min="31" max="31" width="18.140625" style="1024" hidden="1" customWidth="1"/>
    <col min="32" max="32" width="6" style="1024" hidden="1" customWidth="1"/>
    <col min="33" max="33" width="11" style="1024" hidden="1" customWidth="1"/>
    <col min="34" max="34" width="10.42578125" style="1024" hidden="1" customWidth="1"/>
    <col min="35" max="35" width="9.85546875" style="1024" hidden="1" customWidth="1"/>
    <col min="36" max="36" width="12" style="1024" hidden="1" customWidth="1"/>
    <col min="37" max="37" width="10.85546875" style="1024" hidden="1" customWidth="1"/>
    <col min="38" max="38" width="11" style="1024" hidden="1" customWidth="1"/>
    <col min="39" max="39" width="12.140625" style="1024" hidden="1" customWidth="1"/>
    <col min="40" max="40" width="7.85546875" style="1024" hidden="1" customWidth="1"/>
    <col min="41" max="41" width="12.5703125" style="1024" hidden="1" customWidth="1"/>
    <col min="42" max="42" width="8.5703125" style="1024" hidden="1" customWidth="1"/>
    <col min="43" max="43" width="8.7109375" style="1024" hidden="1" customWidth="1"/>
    <col min="44" max="44" width="10.85546875" style="1024" hidden="1" customWidth="1"/>
    <col min="45" max="45" width="9.140625" style="1024" hidden="1" customWidth="1"/>
    <col min="46" max="46" width="8.7109375" style="1024" hidden="1" customWidth="1"/>
    <col min="47" max="47" width="9.140625" style="1024" hidden="1" customWidth="1"/>
    <col min="48" max="48" width="9.5703125" style="1024" hidden="1" customWidth="1"/>
    <col min="49" max="49" width="10.85546875" style="1024" hidden="1" customWidth="1"/>
    <col min="50" max="50" width="9" style="1024" hidden="1" customWidth="1"/>
    <col min="51" max="51" width="12.5703125" style="1024" hidden="1" customWidth="1"/>
    <col min="52" max="52" width="11.42578125" style="1024" hidden="1" customWidth="1"/>
    <col min="53" max="53" width="12.85546875" style="1024" hidden="1" customWidth="1"/>
    <col min="54" max="54" width="8.28515625" style="1024" bestFit="1" customWidth="1"/>
    <col min="55" max="55" width="10.7109375" style="1024" customWidth="1"/>
    <col min="56" max="56" width="9.5703125" style="1024" bestFit="1" customWidth="1"/>
    <col min="57" max="57" width="13.7109375" style="1024" customWidth="1"/>
    <col min="58" max="58" width="10.85546875" style="1024" bestFit="1" customWidth="1"/>
    <col min="59" max="59" width="12.42578125" style="1024" customWidth="1"/>
    <col min="60" max="60" width="13.28515625" style="1024" customWidth="1"/>
    <col min="61" max="61" width="14.140625" style="1024" customWidth="1"/>
    <col min="62" max="62" width="11.28515625" style="1024" customWidth="1"/>
    <col min="63" max="63" width="12.85546875" style="1024" customWidth="1"/>
    <col min="64" max="64" width="13.42578125" style="1024" customWidth="1"/>
    <col min="65" max="65" width="13.140625" style="1024" customWidth="1"/>
    <col min="66" max="66" width="11.28515625" style="1024" customWidth="1"/>
    <col min="67" max="67" width="16.42578125" style="1024" customWidth="1"/>
    <col min="68" max="68" width="18.140625" style="1024" customWidth="1"/>
    <col min="69" max="69" width="13.28515625" style="1024" customWidth="1"/>
    <col min="70" max="70" width="16.85546875" style="1024" customWidth="1"/>
    <col min="71" max="71" width="13.85546875" style="1024" customWidth="1"/>
    <col min="72" max="72" width="13.28515625" style="1024" customWidth="1"/>
    <col min="73" max="73" width="11.7109375" style="1024" customWidth="1"/>
    <col min="74" max="74" width="13" style="1024" customWidth="1"/>
    <col min="75" max="75" width="12.28515625" style="1024" customWidth="1"/>
    <col min="76" max="76" width="8" style="1024" customWidth="1"/>
    <col min="77" max="77" width="14.28515625" style="1024" customWidth="1"/>
    <col min="78" max="78" width="17.85546875" style="1024" customWidth="1"/>
    <col min="79" max="79" width="14.85546875" style="1024" customWidth="1"/>
    <col min="80" max="80" width="15.42578125" style="1024" customWidth="1"/>
    <col min="81" max="81" width="15.28515625" style="1024" customWidth="1"/>
    <col min="82" max="82" width="15.140625" style="1024" customWidth="1"/>
    <col min="83" max="83" width="13.42578125" style="1024" bestFit="1" customWidth="1"/>
    <col min="84" max="86" width="13.140625" style="1024" customWidth="1"/>
    <col min="87" max="87" width="18.28515625" style="1024" customWidth="1"/>
    <col min="88" max="88" width="21.140625" style="1024" customWidth="1"/>
    <col min="89" max="89" width="64.5703125" style="1024" customWidth="1"/>
    <col min="90" max="16384" width="64.5703125" style="1024"/>
  </cols>
  <sheetData>
    <row r="1" spans="1:87">
      <c r="A1" s="3869" t="s">
        <v>157</v>
      </c>
      <c r="B1" s="3870"/>
      <c r="C1" s="3871"/>
      <c r="D1" s="1023"/>
      <c r="E1" s="3872" t="s">
        <v>4534</v>
      </c>
      <c r="F1" s="3874" t="s">
        <v>4532</v>
      </c>
      <c r="G1" s="3875"/>
      <c r="H1" s="3875"/>
      <c r="I1" s="3875"/>
      <c r="J1" s="3875"/>
      <c r="K1" s="3875"/>
      <c r="L1" s="3875"/>
      <c r="M1" s="3875"/>
      <c r="N1" s="3876"/>
      <c r="O1" s="3883" t="s">
        <v>65</v>
      </c>
      <c r="P1" s="3884"/>
      <c r="Q1" s="3884"/>
      <c r="R1" s="3884"/>
      <c r="S1" s="3884"/>
      <c r="T1" s="3884"/>
      <c r="U1" s="3884"/>
      <c r="V1" s="3884"/>
      <c r="W1" s="3884"/>
      <c r="X1" s="3884"/>
      <c r="Y1" s="3884"/>
      <c r="Z1" s="3884"/>
      <c r="AA1" s="3884"/>
      <c r="AB1" s="3884"/>
      <c r="AC1" s="3884"/>
      <c r="AD1" s="3884"/>
      <c r="AE1" s="3884"/>
      <c r="AF1" s="3884"/>
      <c r="AG1" s="3884"/>
      <c r="AH1" s="3885"/>
      <c r="AI1" s="3886" t="s">
        <v>4219</v>
      </c>
      <c r="AJ1" s="3887"/>
      <c r="AK1" s="3887"/>
      <c r="AL1" s="3887"/>
      <c r="AM1" s="3887"/>
      <c r="AN1" s="3887"/>
      <c r="AO1" s="3888"/>
      <c r="AP1" s="3889" t="s">
        <v>80</v>
      </c>
      <c r="AQ1" s="3890"/>
      <c r="AR1" s="3890"/>
      <c r="AS1" s="3890"/>
      <c r="AT1" s="3890"/>
      <c r="AU1" s="3890"/>
      <c r="AV1" s="3890"/>
      <c r="AW1" s="3890"/>
      <c r="AX1" s="3890"/>
      <c r="AY1" s="3890"/>
      <c r="AZ1" s="3890"/>
      <c r="BA1" s="3891"/>
    </row>
    <row r="2" spans="1:87" s="1031" customFormat="1">
      <c r="A2" s="3855" t="str">
        <f>HYPERLINK("#Index!A4", "Index Pg")</f>
        <v>Index Pg</v>
      </c>
      <c r="B2" s="1025"/>
      <c r="C2" s="982"/>
      <c r="D2" s="1025"/>
      <c r="E2" s="3873"/>
      <c r="F2" s="1026" t="s">
        <v>113</v>
      </c>
      <c r="G2" s="1026" t="s">
        <v>126</v>
      </c>
      <c r="H2" s="1026" t="s">
        <v>86</v>
      </c>
      <c r="I2" s="1026" t="s">
        <v>4530</v>
      </c>
      <c r="J2" s="1026" t="s">
        <v>91</v>
      </c>
      <c r="K2" s="1027" t="s">
        <v>3933</v>
      </c>
      <c r="L2" s="1028" t="s">
        <v>4531</v>
      </c>
      <c r="M2" s="1028" t="s">
        <v>4535</v>
      </c>
      <c r="N2" s="1028" t="s">
        <v>203</v>
      </c>
      <c r="O2" s="1029" t="s">
        <v>4218</v>
      </c>
      <c r="P2" s="1029" t="s">
        <v>3751</v>
      </c>
      <c r="Q2" s="1029" t="s">
        <v>4543</v>
      </c>
      <c r="R2" s="1029" t="s">
        <v>4540</v>
      </c>
      <c r="S2" s="1029" t="s">
        <v>4541</v>
      </c>
      <c r="T2" s="1029" t="s">
        <v>4542</v>
      </c>
      <c r="U2" s="1029" t="s">
        <v>4544</v>
      </c>
      <c r="V2" s="1029" t="s">
        <v>4528</v>
      </c>
      <c r="W2" s="1029" t="s">
        <v>4545</v>
      </c>
      <c r="X2" s="1029" t="s">
        <v>29</v>
      </c>
      <c r="Y2" s="1029" t="s">
        <v>4546</v>
      </c>
      <c r="Z2" s="1029" t="s">
        <v>4547</v>
      </c>
      <c r="AA2" s="1029" t="s">
        <v>4537</v>
      </c>
      <c r="AB2" s="1029" t="s">
        <v>737</v>
      </c>
      <c r="AC2" s="1029" t="s">
        <v>4538</v>
      </c>
      <c r="AD2" s="1029" t="s">
        <v>4539</v>
      </c>
      <c r="AE2" s="1029" t="s">
        <v>2293</v>
      </c>
      <c r="AF2" s="1029" t="s">
        <v>4548</v>
      </c>
      <c r="AG2" s="1029" t="s">
        <v>3750</v>
      </c>
      <c r="AH2" s="1029" t="s">
        <v>302</v>
      </c>
      <c r="AI2" s="1030" t="s">
        <v>288</v>
      </c>
      <c r="AJ2" s="1030" t="s">
        <v>109</v>
      </c>
      <c r="AK2" s="1030" t="s">
        <v>141</v>
      </c>
      <c r="AL2" s="1030" t="s">
        <v>4525</v>
      </c>
      <c r="AM2" s="1030" t="s">
        <v>3223</v>
      </c>
      <c r="AN2" s="1030" t="s">
        <v>3855</v>
      </c>
      <c r="AO2" s="1030" t="s">
        <v>4405</v>
      </c>
      <c r="AP2" s="911" t="s">
        <v>81</v>
      </c>
      <c r="AQ2" s="911" t="s">
        <v>145</v>
      </c>
      <c r="AR2" s="911" t="s">
        <v>394</v>
      </c>
      <c r="AS2" s="911" t="s">
        <v>147</v>
      </c>
      <c r="AT2" s="911" t="s">
        <v>410</v>
      </c>
      <c r="AU2" s="911" t="s">
        <v>4459</v>
      </c>
      <c r="AV2" s="911" t="s">
        <v>3989</v>
      </c>
      <c r="AW2" s="911" t="s">
        <v>307</v>
      </c>
      <c r="AX2" s="911" t="s">
        <v>309</v>
      </c>
      <c r="AY2" s="911" t="s">
        <v>1028</v>
      </c>
      <c r="AZ2" s="911" t="s">
        <v>1014</v>
      </c>
      <c r="BA2" s="911" t="s">
        <v>4533</v>
      </c>
    </row>
    <row r="3" spans="1:87" s="1033" customFormat="1">
      <c r="A3" s="3856"/>
      <c r="B3" s="914" t="str">
        <f>HYPERLINK("#'Budget Summary I'!A1:AL1", "Budget Summary I")</f>
        <v>Budget Summary I</v>
      </c>
      <c r="C3" s="865" t="s">
        <v>4460</v>
      </c>
      <c r="D3" s="984"/>
      <c r="E3" s="984">
        <f>R7</f>
        <v>3402.6530000000002</v>
      </c>
      <c r="F3" s="984">
        <f>R11</f>
        <v>160.59399999999999</v>
      </c>
      <c r="G3" s="984">
        <f>R12</f>
        <v>316.14600000000002</v>
      </c>
      <c r="H3" s="984">
        <f>R14+R35</f>
        <v>5.6999999999999993</v>
      </c>
      <c r="I3" s="984">
        <f>R15+R36</f>
        <v>12.696</v>
      </c>
      <c r="J3" s="984"/>
      <c r="K3" s="1032"/>
      <c r="L3" s="984">
        <f>R13</f>
        <v>254.25</v>
      </c>
      <c r="M3" s="984"/>
      <c r="N3" s="1032">
        <f>R17</f>
        <v>23.427</v>
      </c>
      <c r="O3" s="1032"/>
      <c r="P3" s="1032">
        <f>R23+R24+R26+R27+R28+R30+R31+R32+R48+R16+R21+R22</f>
        <v>2519.75</v>
      </c>
      <c r="Q3" s="1032"/>
      <c r="R3" s="1032"/>
      <c r="S3" s="1032"/>
      <c r="T3" s="1032">
        <f>R47</f>
        <v>0</v>
      </c>
      <c r="U3" s="1032"/>
      <c r="V3" s="1032"/>
      <c r="W3" s="1032"/>
      <c r="X3" s="1032"/>
      <c r="Y3" s="1032"/>
      <c r="Z3" s="1032"/>
      <c r="AA3" s="1032"/>
      <c r="AB3" s="1032"/>
      <c r="AC3" s="1032"/>
      <c r="AD3" s="1032"/>
      <c r="AE3" s="1032"/>
      <c r="AF3" s="1032"/>
      <c r="AG3" s="1032"/>
      <c r="AH3" s="1032">
        <f>R50+R51+R56</f>
        <v>0</v>
      </c>
      <c r="AI3" s="1032">
        <f>R53</f>
        <v>0</v>
      </c>
      <c r="AJ3" s="1032">
        <f>R19+R38</f>
        <v>4</v>
      </c>
      <c r="AK3" s="1032">
        <f>R20</f>
        <v>0.39</v>
      </c>
      <c r="AL3" s="1032">
        <f>SUM(R41:R44)</f>
        <v>105.7</v>
      </c>
      <c r="AM3" s="1032">
        <f>R39</f>
        <v>0</v>
      </c>
      <c r="AN3" s="1032"/>
      <c r="AO3" s="1032"/>
      <c r="AP3" s="1032"/>
      <c r="AQ3" s="1032">
        <f>R46</f>
        <v>0</v>
      </c>
      <c r="AR3" s="1032"/>
      <c r="AS3" s="1032">
        <f>R54</f>
        <v>0</v>
      </c>
      <c r="AT3" s="1032"/>
      <c r="AU3" s="1032"/>
      <c r="AV3" s="1032">
        <f>R55</f>
        <v>0</v>
      </c>
      <c r="AW3" s="1032"/>
      <c r="AX3" s="1032"/>
      <c r="AY3" s="1032"/>
      <c r="AZ3" s="1032"/>
      <c r="BA3" s="1032"/>
    </row>
    <row r="4" spans="1:87" s="1031" customFormat="1">
      <c r="A4" s="3857"/>
      <c r="B4" s="864" t="str">
        <f>HYPERLINK("#'Budget Summary II'!A3:B5", "Budget Summary II")</f>
        <v>Budget Summary II</v>
      </c>
      <c r="C4" s="865" t="s">
        <v>4461</v>
      </c>
      <c r="D4" s="1032"/>
      <c r="E4" s="984">
        <f>O7</f>
        <v>3450.9549000000006</v>
      </c>
      <c r="F4" s="984">
        <f>O11</f>
        <v>208.59299999999999</v>
      </c>
      <c r="G4" s="984">
        <f>O12</f>
        <v>316.14600000000002</v>
      </c>
      <c r="H4" s="984">
        <f>O14+O35</f>
        <v>5.6999999999999993</v>
      </c>
      <c r="I4" s="984">
        <f>O15+O36</f>
        <v>12.696</v>
      </c>
      <c r="J4" s="984"/>
      <c r="K4" s="1032"/>
      <c r="L4" s="984">
        <f>O13</f>
        <v>254.24999999999997</v>
      </c>
      <c r="M4" s="984"/>
      <c r="N4" s="1032">
        <f>O17</f>
        <v>23.427</v>
      </c>
      <c r="O4" s="1032"/>
      <c r="P4" s="1032">
        <f>O23+O24+O26+O27+O28+O30+O31+O32+O48+O16+O21+O22</f>
        <v>2519.7579000000001</v>
      </c>
      <c r="Q4" s="1032"/>
      <c r="R4" s="1032"/>
      <c r="S4" s="1032"/>
      <c r="T4" s="1032">
        <f>O47</f>
        <v>0</v>
      </c>
      <c r="U4" s="1032"/>
      <c r="V4" s="1032"/>
      <c r="W4" s="1032"/>
      <c r="X4" s="1032"/>
      <c r="Y4" s="1032"/>
      <c r="Z4" s="1032"/>
      <c r="AA4" s="1032"/>
      <c r="AB4" s="1032"/>
      <c r="AC4" s="1032"/>
      <c r="AD4" s="1032"/>
      <c r="AE4" s="1032"/>
      <c r="AF4" s="1032"/>
      <c r="AG4" s="1032"/>
      <c r="AH4" s="1032">
        <f>O50+O51+O56</f>
        <v>0</v>
      </c>
      <c r="AI4" s="1032">
        <f>O53</f>
        <v>0</v>
      </c>
      <c r="AJ4" s="1032">
        <f>O19+O38</f>
        <v>4</v>
      </c>
      <c r="AK4" s="1032">
        <f>O20</f>
        <v>0.68500000000000005</v>
      </c>
      <c r="AL4" s="1032">
        <f>SUM(O41:O44)</f>
        <v>105.7</v>
      </c>
      <c r="AM4" s="1032">
        <f>O39</f>
        <v>0</v>
      </c>
      <c r="AN4" s="1032"/>
      <c r="AO4" s="1032"/>
      <c r="AP4" s="1032"/>
      <c r="AQ4" s="1032">
        <f>O46</f>
        <v>0</v>
      </c>
      <c r="AR4" s="1032"/>
      <c r="AS4" s="1032">
        <f>O54</f>
        <v>0</v>
      </c>
      <c r="AT4" s="1032"/>
      <c r="AU4" s="1032"/>
      <c r="AV4" s="1032">
        <f>O55</f>
        <v>0</v>
      </c>
      <c r="AW4" s="1032"/>
      <c r="AX4" s="1032"/>
      <c r="AY4" s="1032"/>
      <c r="AZ4" s="1032"/>
      <c r="BA4" s="1032"/>
    </row>
    <row r="5" spans="1:87" s="1034" customFormat="1" ht="12.75" customHeight="1">
      <c r="A5" s="3877" t="s">
        <v>48</v>
      </c>
      <c r="B5" s="3877" t="s">
        <v>49</v>
      </c>
      <c r="C5" s="3801" t="s">
        <v>50</v>
      </c>
      <c r="D5" s="3877" t="s">
        <v>51</v>
      </c>
      <c r="E5" s="3877" t="s">
        <v>52</v>
      </c>
      <c r="F5" s="3892" t="s">
        <v>4478</v>
      </c>
      <c r="G5" s="3892"/>
      <c r="H5" s="3892"/>
      <c r="I5" s="3892"/>
      <c r="J5" s="3892"/>
      <c r="K5" s="3878" t="s">
        <v>4484</v>
      </c>
      <c r="L5" s="3879"/>
      <c r="M5" s="3879"/>
      <c r="N5" s="3879"/>
      <c r="O5" s="3879"/>
      <c r="P5" s="3880"/>
      <c r="Q5" s="3881" t="s">
        <v>4514</v>
      </c>
      <c r="R5" s="3882"/>
    </row>
    <row r="6" spans="1:87" s="1034" customFormat="1" ht="45">
      <c r="A6" s="3877"/>
      <c r="B6" s="3877"/>
      <c r="C6" s="3801"/>
      <c r="D6" s="3877"/>
      <c r="E6" s="3877"/>
      <c r="F6" s="1035" t="s">
        <v>4479</v>
      </c>
      <c r="G6" s="1035" t="s">
        <v>4482</v>
      </c>
      <c r="H6" s="1035" t="s">
        <v>4480</v>
      </c>
      <c r="I6" s="1035" t="s">
        <v>4483</v>
      </c>
      <c r="J6" s="1035" t="s">
        <v>2448</v>
      </c>
      <c r="K6" s="1036" t="s">
        <v>53</v>
      </c>
      <c r="L6" s="1037" t="s">
        <v>54</v>
      </c>
      <c r="M6" s="1038" t="s">
        <v>55</v>
      </c>
      <c r="N6" s="1037" t="s">
        <v>56</v>
      </c>
      <c r="O6" s="1038" t="s">
        <v>57</v>
      </c>
      <c r="P6" s="1037" t="s">
        <v>5069</v>
      </c>
      <c r="Q6" s="1039" t="s">
        <v>2450</v>
      </c>
      <c r="R6" s="1040" t="s">
        <v>4515</v>
      </c>
      <c r="BB6" s="886" t="s">
        <v>5973</v>
      </c>
      <c r="BC6" s="886" t="s">
        <v>5432</v>
      </c>
      <c r="BD6" s="886" t="s">
        <v>5433</v>
      </c>
      <c r="BE6" s="886" t="s">
        <v>5434</v>
      </c>
      <c r="BF6" s="886" t="s">
        <v>5435</v>
      </c>
      <c r="BG6" s="886" t="s">
        <v>5436</v>
      </c>
      <c r="BH6" s="886" t="s">
        <v>5437</v>
      </c>
      <c r="BI6" s="886" t="s">
        <v>5959</v>
      </c>
      <c r="BJ6" s="886" t="s">
        <v>5438</v>
      </c>
      <c r="BK6" s="886" t="s">
        <v>5439</v>
      </c>
      <c r="BL6" s="886" t="s">
        <v>5960</v>
      </c>
      <c r="BM6" s="886" t="s">
        <v>5440</v>
      </c>
      <c r="BN6" s="886" t="s">
        <v>5441</v>
      </c>
      <c r="BO6" s="886" t="s">
        <v>5961</v>
      </c>
      <c r="BP6" s="886" t="s">
        <v>5974</v>
      </c>
      <c r="BQ6" s="886" t="s">
        <v>5975</v>
      </c>
      <c r="BR6" s="886" t="s">
        <v>5976</v>
      </c>
      <c r="BS6" s="886" t="s">
        <v>5977</v>
      </c>
      <c r="BT6" s="886" t="s">
        <v>5978</v>
      </c>
      <c r="BU6" s="886" t="s">
        <v>5979</v>
      </c>
      <c r="BV6" s="886" t="s">
        <v>5962</v>
      </c>
      <c r="BW6" s="886" t="s">
        <v>5963</v>
      </c>
      <c r="BX6" s="886" t="s">
        <v>5964</v>
      </c>
      <c r="BY6" s="886" t="s">
        <v>5965</v>
      </c>
      <c r="BZ6" s="886" t="s">
        <v>5966</v>
      </c>
      <c r="CA6" s="886" t="s">
        <v>5967</v>
      </c>
      <c r="CB6" s="886" t="s">
        <v>5968</v>
      </c>
      <c r="CC6" s="886" t="s">
        <v>5969</v>
      </c>
      <c r="CD6" s="886" t="s">
        <v>5970</v>
      </c>
      <c r="CE6" s="886" t="s">
        <v>5980</v>
      </c>
      <c r="CF6" s="886" t="s">
        <v>5971</v>
      </c>
      <c r="CG6" s="886" t="s">
        <v>5981</v>
      </c>
      <c r="CH6" s="886" t="s">
        <v>5982</v>
      </c>
      <c r="CI6" s="886" t="s">
        <v>5972</v>
      </c>
    </row>
    <row r="7" spans="1:87">
      <c r="A7" s="1041">
        <v>3</v>
      </c>
      <c r="B7" s="1042"/>
      <c r="C7" s="217" t="s">
        <v>6</v>
      </c>
      <c r="D7" s="1043"/>
      <c r="E7" s="1043"/>
      <c r="F7" s="1041"/>
      <c r="G7" s="1041"/>
      <c r="H7" s="1041"/>
      <c r="I7" s="1041"/>
      <c r="J7" s="1041"/>
      <c r="K7" s="1044"/>
      <c r="L7" s="1041"/>
      <c r="M7" s="1045"/>
      <c r="N7" s="1046"/>
      <c r="O7" s="1047">
        <f>O8+O33+O49</f>
        <v>3450.9549000000006</v>
      </c>
      <c r="P7" s="1041"/>
      <c r="Q7" s="1048"/>
      <c r="R7" s="1049">
        <f>R8+R33+R49</f>
        <v>3402.6530000000002</v>
      </c>
      <c r="S7" s="1050"/>
      <c r="BB7" s="840"/>
      <c r="BC7" s="840"/>
      <c r="BD7" s="840"/>
      <c r="BE7" s="840"/>
      <c r="BF7" s="840"/>
      <c r="BG7" s="840"/>
      <c r="BH7" s="840"/>
      <c r="BI7" s="840"/>
      <c r="BJ7" s="840"/>
      <c r="BK7" s="840"/>
      <c r="BL7" s="840"/>
      <c r="BM7" s="840"/>
      <c r="BN7" s="840"/>
      <c r="BO7" s="840"/>
      <c r="BP7" s="840"/>
      <c r="BQ7" s="840"/>
      <c r="BR7" s="840"/>
      <c r="BS7" s="840"/>
      <c r="BT7" s="840"/>
      <c r="BU7" s="840"/>
      <c r="BV7" s="840"/>
      <c r="BW7" s="840"/>
      <c r="BX7" s="840"/>
      <c r="BY7" s="840"/>
      <c r="BZ7" s="840"/>
      <c r="CA7" s="840"/>
      <c r="CB7" s="840"/>
      <c r="CC7" s="840"/>
      <c r="CD7" s="840"/>
      <c r="CE7" s="840"/>
      <c r="CF7" s="840"/>
      <c r="CG7" s="840"/>
      <c r="CH7" s="840"/>
      <c r="CI7" s="840">
        <f>SUM(BB7:CH7)</f>
        <v>0</v>
      </c>
    </row>
    <row r="8" spans="1:87">
      <c r="A8" s="1051">
        <v>3.1</v>
      </c>
      <c r="B8" s="1052"/>
      <c r="C8" s="1053" t="s">
        <v>7</v>
      </c>
      <c r="D8" s="1054"/>
      <c r="E8" s="1054"/>
      <c r="F8" s="1055"/>
      <c r="G8" s="1055"/>
      <c r="H8" s="1055"/>
      <c r="I8" s="1055"/>
      <c r="J8" s="1055"/>
      <c r="K8" s="1056"/>
      <c r="L8" s="1055"/>
      <c r="M8" s="1057"/>
      <c r="N8" s="1054"/>
      <c r="O8" s="1057">
        <f>O9+O25+O29</f>
        <v>3329.0589000000004</v>
      </c>
      <c r="P8" s="1051"/>
      <c r="Q8" s="821"/>
      <c r="R8" s="1058">
        <f>R9+R25+R29</f>
        <v>3280.7570000000001</v>
      </c>
      <c r="S8" s="1050"/>
      <c r="BB8" s="840"/>
      <c r="BC8" s="840"/>
      <c r="BD8" s="840"/>
      <c r="BE8" s="840"/>
      <c r="BF8" s="840"/>
      <c r="BG8" s="840"/>
      <c r="BH8" s="840"/>
      <c r="BI8" s="840"/>
      <c r="BJ8" s="840"/>
      <c r="BK8" s="840"/>
      <c r="BL8" s="840"/>
      <c r="BM8" s="840"/>
      <c r="BN8" s="840"/>
      <c r="BO8" s="840"/>
      <c r="BP8" s="840"/>
      <c r="BQ8" s="840"/>
      <c r="BR8" s="840"/>
      <c r="BS8" s="840"/>
      <c r="BT8" s="840"/>
      <c r="BU8" s="840"/>
      <c r="BV8" s="840"/>
      <c r="BW8" s="840"/>
      <c r="BX8" s="840"/>
      <c r="BY8" s="840"/>
      <c r="BZ8" s="840"/>
      <c r="CA8" s="840"/>
      <c r="CB8" s="840"/>
      <c r="CC8" s="840"/>
      <c r="CD8" s="840"/>
      <c r="CE8" s="840"/>
      <c r="CF8" s="840"/>
      <c r="CG8" s="840"/>
      <c r="CH8" s="840"/>
      <c r="CI8" s="840">
        <f t="shared" ref="CI8:CI57" si="0">SUM(BB8:CH8)</f>
        <v>0</v>
      </c>
    </row>
    <row r="9" spans="1:87" ht="30">
      <c r="A9" s="1059" t="s">
        <v>41</v>
      </c>
      <c r="B9" s="1060"/>
      <c r="C9" s="1061" t="s">
        <v>158</v>
      </c>
      <c r="D9" s="1062"/>
      <c r="E9" s="1062"/>
      <c r="F9" s="1063"/>
      <c r="G9" s="1063"/>
      <c r="H9" s="1063"/>
      <c r="I9" s="1063"/>
      <c r="J9" s="1063"/>
      <c r="K9" s="1064"/>
      <c r="L9" s="1063"/>
      <c r="M9" s="1065"/>
      <c r="N9" s="1066"/>
      <c r="O9" s="1067">
        <f>O10+O18+O22+O23+O24+O17</f>
        <v>2976.8210000000004</v>
      </c>
      <c r="P9" s="1068"/>
      <c r="Q9" s="826"/>
      <c r="R9" s="1069">
        <f>R10+R18+R22+R23+R24+R17</f>
        <v>2928.5070000000001</v>
      </c>
      <c r="S9" s="1050"/>
      <c r="BB9" s="840"/>
      <c r="BC9" s="840"/>
      <c r="BD9" s="840"/>
      <c r="BE9" s="840"/>
      <c r="BF9" s="840"/>
      <c r="BG9" s="840"/>
      <c r="BH9" s="840"/>
      <c r="BI9" s="840"/>
      <c r="BJ9" s="840"/>
      <c r="BK9" s="840"/>
      <c r="BL9" s="840"/>
      <c r="BM9" s="840"/>
      <c r="BN9" s="840"/>
      <c r="BO9" s="840"/>
      <c r="BP9" s="840"/>
      <c r="BQ9" s="840"/>
      <c r="BR9" s="840"/>
      <c r="BS9" s="840"/>
      <c r="BT9" s="840"/>
      <c r="BU9" s="840"/>
      <c r="BV9" s="840"/>
      <c r="BW9" s="840"/>
      <c r="BX9" s="840"/>
      <c r="BY9" s="840"/>
      <c r="BZ9" s="840"/>
      <c r="CA9" s="840"/>
      <c r="CB9" s="840"/>
      <c r="CC9" s="840"/>
      <c r="CD9" s="840"/>
      <c r="CE9" s="840"/>
      <c r="CF9" s="840"/>
      <c r="CG9" s="840"/>
      <c r="CH9" s="840"/>
      <c r="CI9" s="840">
        <f t="shared" si="0"/>
        <v>0</v>
      </c>
    </row>
    <row r="10" spans="1:87">
      <c r="A10" s="1070" t="s">
        <v>159</v>
      </c>
      <c r="B10" s="1071"/>
      <c r="C10" s="1072" t="s">
        <v>4579</v>
      </c>
      <c r="D10" s="1073" t="s">
        <v>85</v>
      </c>
      <c r="E10" s="1074"/>
      <c r="F10" s="849"/>
      <c r="G10" s="849"/>
      <c r="H10" s="849"/>
      <c r="I10" s="849"/>
      <c r="J10" s="849"/>
      <c r="K10" s="1075"/>
      <c r="L10" s="849"/>
      <c r="M10" s="1076"/>
      <c r="N10" s="1077"/>
      <c r="O10" s="1078">
        <f>SUM(O11:O16)</f>
        <v>784.68900000000008</v>
      </c>
      <c r="P10" s="1079"/>
      <c r="Q10" s="829"/>
      <c r="R10" s="850">
        <f>SUM(R11:R16)</f>
        <v>736.69</v>
      </c>
      <c r="S10" s="1050"/>
      <c r="BB10" s="840"/>
      <c r="BC10" s="840"/>
      <c r="BD10" s="840"/>
      <c r="BE10" s="840"/>
      <c r="BF10" s="840"/>
      <c r="BG10" s="840"/>
      <c r="BH10" s="840"/>
      <c r="BI10" s="840"/>
      <c r="BJ10" s="840"/>
      <c r="BK10" s="840"/>
      <c r="BL10" s="840"/>
      <c r="BM10" s="840"/>
      <c r="BN10" s="840"/>
      <c r="BO10" s="840"/>
      <c r="BP10" s="840"/>
      <c r="BQ10" s="840"/>
      <c r="BR10" s="840"/>
      <c r="BS10" s="840"/>
      <c r="BT10" s="840"/>
      <c r="BU10" s="840"/>
      <c r="BV10" s="840"/>
      <c r="BW10" s="840"/>
      <c r="BX10" s="840"/>
      <c r="BY10" s="840"/>
      <c r="BZ10" s="840"/>
      <c r="CA10" s="840"/>
      <c r="CB10" s="840"/>
      <c r="CC10" s="840"/>
      <c r="CD10" s="840"/>
      <c r="CE10" s="840"/>
      <c r="CF10" s="840"/>
      <c r="CG10" s="840"/>
      <c r="CH10" s="840"/>
      <c r="CI10" s="840">
        <f t="shared" si="0"/>
        <v>0</v>
      </c>
    </row>
    <row r="11" spans="1:87">
      <c r="A11" s="1070" t="s">
        <v>2646</v>
      </c>
      <c r="B11" s="1071"/>
      <c r="C11" s="1080" t="s">
        <v>4580</v>
      </c>
      <c r="D11" s="1073" t="s">
        <v>85</v>
      </c>
      <c r="E11" s="1074" t="s">
        <v>4586</v>
      </c>
      <c r="F11" s="1081"/>
      <c r="G11" s="1082"/>
      <c r="H11" s="1083"/>
      <c r="I11" s="1083"/>
      <c r="J11" s="1084"/>
      <c r="K11" s="1085"/>
      <c r="L11" s="1086"/>
      <c r="M11" s="830"/>
      <c r="N11" s="1086"/>
      <c r="O11" s="1076">
        <f>'3-A. CI Sub-Annex'!O7</f>
        <v>208.59299999999999</v>
      </c>
      <c r="P11" s="1087"/>
      <c r="Q11" s="831"/>
      <c r="R11" s="832">
        <f>'3-A. CI Sub-Annex'!R7</f>
        <v>160.59399999999999</v>
      </c>
      <c r="S11" s="1050"/>
      <c r="BB11" s="832">
        <f>'3-A. CI Sub-Annex'!BB7</f>
        <v>0</v>
      </c>
      <c r="BC11" s="832">
        <f>'3-A. CI Sub-Annex'!BC7</f>
        <v>0</v>
      </c>
      <c r="BD11" s="832">
        <f>'3-A. CI Sub-Annex'!BD7</f>
        <v>0</v>
      </c>
      <c r="BE11" s="832">
        <f>'3-A. CI Sub-Annex'!BE7</f>
        <v>0</v>
      </c>
      <c r="BF11" s="832">
        <f>'3-A. CI Sub-Annex'!BF7</f>
        <v>0</v>
      </c>
      <c r="BG11" s="832">
        <f>'3-A. CI Sub-Annex'!BG7</f>
        <v>0</v>
      </c>
      <c r="BH11" s="832">
        <f>'3-A. CI Sub-Annex'!BH7</f>
        <v>0</v>
      </c>
      <c r="BI11" s="832">
        <f>'3-A. CI Sub-Annex'!BI7</f>
        <v>0</v>
      </c>
      <c r="BJ11" s="832">
        <f>'3-A. CI Sub-Annex'!BJ7</f>
        <v>0</v>
      </c>
      <c r="BK11" s="832">
        <f>'3-A. CI Sub-Annex'!BK7</f>
        <v>0</v>
      </c>
      <c r="BL11" s="832">
        <f>'3-A. CI Sub-Annex'!BL7</f>
        <v>0</v>
      </c>
      <c r="BM11" s="832">
        <f>'3-A. CI Sub-Annex'!BM7</f>
        <v>0</v>
      </c>
      <c r="BN11" s="832">
        <f>'3-A. CI Sub-Annex'!BN7</f>
        <v>0</v>
      </c>
      <c r="BO11" s="832">
        <f>'3-A. CI Sub-Annex'!BO7</f>
        <v>0</v>
      </c>
      <c r="BP11" s="832">
        <f>'3-A. CI Sub-Annex'!BP7</f>
        <v>0</v>
      </c>
      <c r="BQ11" s="832">
        <f>'3-A. CI Sub-Annex'!BQ7</f>
        <v>0</v>
      </c>
      <c r="BR11" s="832">
        <f>'3-A. CI Sub-Annex'!BR7</f>
        <v>0</v>
      </c>
      <c r="BS11" s="832">
        <f>'3-A. CI Sub-Annex'!BS7</f>
        <v>0</v>
      </c>
      <c r="BT11" s="832">
        <f>'3-A. CI Sub-Annex'!BT7</f>
        <v>0</v>
      </c>
      <c r="BU11" s="832">
        <f>'3-A. CI Sub-Annex'!BU7</f>
        <v>0</v>
      </c>
      <c r="BV11" s="832">
        <f>'3-A. CI Sub-Annex'!BV7</f>
        <v>0</v>
      </c>
      <c r="BW11" s="832">
        <f>'3-A. CI Sub-Annex'!BW7</f>
        <v>0</v>
      </c>
      <c r="BX11" s="832">
        <f>'3-A. CI Sub-Annex'!BX7</f>
        <v>0</v>
      </c>
      <c r="BY11" s="832">
        <f>'3-A. CI Sub-Annex'!BY7</f>
        <v>0</v>
      </c>
      <c r="BZ11" s="832">
        <f>'3-A. CI Sub-Annex'!BZ7</f>
        <v>0</v>
      </c>
      <c r="CA11" s="832">
        <f>'3-A. CI Sub-Annex'!CA7</f>
        <v>0</v>
      </c>
      <c r="CB11" s="832">
        <f>'3-A. CI Sub-Annex'!CB7</f>
        <v>0</v>
      </c>
      <c r="CC11" s="832">
        <f>'3-A. CI Sub-Annex'!CC7</f>
        <v>0</v>
      </c>
      <c r="CD11" s="832">
        <f>'3-A. CI Sub-Annex'!CD7</f>
        <v>0</v>
      </c>
      <c r="CE11" s="832">
        <f>'3-A. CI Sub-Annex'!CE7</f>
        <v>0</v>
      </c>
      <c r="CF11" s="832">
        <f>'3-A. CI Sub-Annex'!CF7</f>
        <v>0</v>
      </c>
      <c r="CG11" s="832">
        <f>'3-A. CI Sub-Annex'!CG7</f>
        <v>0</v>
      </c>
      <c r="CH11" s="832">
        <f>'3-A. CI Sub-Annex'!CH7</f>
        <v>0</v>
      </c>
      <c r="CI11" s="840">
        <f t="shared" si="0"/>
        <v>0</v>
      </c>
    </row>
    <row r="12" spans="1:87">
      <c r="A12" s="1070" t="s">
        <v>2647</v>
      </c>
      <c r="B12" s="1071"/>
      <c r="C12" s="1080" t="s">
        <v>4582</v>
      </c>
      <c r="D12" s="1073" t="s">
        <v>85</v>
      </c>
      <c r="E12" s="1074" t="s">
        <v>4231</v>
      </c>
      <c r="F12" s="1081"/>
      <c r="G12" s="1082"/>
      <c r="H12" s="1083"/>
      <c r="I12" s="1083"/>
      <c r="J12" s="1084"/>
      <c r="K12" s="1085"/>
      <c r="L12" s="1086"/>
      <c r="M12" s="830"/>
      <c r="N12" s="1086"/>
      <c r="O12" s="1076">
        <f>'3-A. CI Sub-Annex'!O12</f>
        <v>316.14600000000002</v>
      </c>
      <c r="P12" s="1087"/>
      <c r="Q12" s="831"/>
      <c r="R12" s="832">
        <f>'3-A. CI Sub-Annex'!R12</f>
        <v>316.14600000000002</v>
      </c>
      <c r="S12" s="1050"/>
      <c r="BB12" s="832">
        <f>'3-A. CI Sub-Annex'!BB12</f>
        <v>0</v>
      </c>
      <c r="BC12" s="832">
        <f>'3-A. CI Sub-Annex'!BC12</f>
        <v>0</v>
      </c>
      <c r="BD12" s="832">
        <f>'3-A. CI Sub-Annex'!BD12</f>
        <v>0</v>
      </c>
      <c r="BE12" s="832">
        <f>'3-A. CI Sub-Annex'!BE12</f>
        <v>0</v>
      </c>
      <c r="BF12" s="832">
        <f>'3-A. CI Sub-Annex'!BF12</f>
        <v>0</v>
      </c>
      <c r="BG12" s="832">
        <f>'3-A. CI Sub-Annex'!BG12</f>
        <v>0</v>
      </c>
      <c r="BH12" s="832">
        <f>'3-A. CI Sub-Annex'!BH12</f>
        <v>0</v>
      </c>
      <c r="BI12" s="832">
        <f>'3-A. CI Sub-Annex'!BI12</f>
        <v>0</v>
      </c>
      <c r="BJ12" s="832">
        <f>'3-A. CI Sub-Annex'!BJ12</f>
        <v>0</v>
      </c>
      <c r="BK12" s="832">
        <f>'3-A. CI Sub-Annex'!BK12</f>
        <v>0</v>
      </c>
      <c r="BL12" s="832">
        <f>'3-A. CI Sub-Annex'!BL12</f>
        <v>0</v>
      </c>
      <c r="BM12" s="832">
        <f>'3-A. CI Sub-Annex'!BM12</f>
        <v>0</v>
      </c>
      <c r="BN12" s="832">
        <f>'3-A. CI Sub-Annex'!BN12</f>
        <v>0</v>
      </c>
      <c r="BO12" s="832">
        <f>'3-A. CI Sub-Annex'!BO12</f>
        <v>0</v>
      </c>
      <c r="BP12" s="832">
        <f>'3-A. CI Sub-Annex'!BP12</f>
        <v>0</v>
      </c>
      <c r="BQ12" s="832">
        <f>'3-A. CI Sub-Annex'!BQ12</f>
        <v>0</v>
      </c>
      <c r="BR12" s="832">
        <f>'3-A. CI Sub-Annex'!BR12</f>
        <v>0</v>
      </c>
      <c r="BS12" s="832">
        <f>'3-A. CI Sub-Annex'!BS12</f>
        <v>0</v>
      </c>
      <c r="BT12" s="832">
        <f>'3-A. CI Sub-Annex'!BT12</f>
        <v>0</v>
      </c>
      <c r="BU12" s="832">
        <f>'3-A. CI Sub-Annex'!BU12</f>
        <v>0</v>
      </c>
      <c r="BV12" s="832">
        <f>'3-A. CI Sub-Annex'!BV12</f>
        <v>0</v>
      </c>
      <c r="BW12" s="832">
        <f>'3-A. CI Sub-Annex'!BW12</f>
        <v>0</v>
      </c>
      <c r="BX12" s="832">
        <f>'3-A. CI Sub-Annex'!BX12</f>
        <v>0</v>
      </c>
      <c r="BY12" s="832">
        <f>'3-A. CI Sub-Annex'!BY12</f>
        <v>0</v>
      </c>
      <c r="BZ12" s="832">
        <f>'3-A. CI Sub-Annex'!BZ12</f>
        <v>0</v>
      </c>
      <c r="CA12" s="832">
        <f>'3-A. CI Sub-Annex'!CA12</f>
        <v>0</v>
      </c>
      <c r="CB12" s="832">
        <f>'3-A. CI Sub-Annex'!CB12</f>
        <v>0</v>
      </c>
      <c r="CC12" s="832">
        <f>'3-A. CI Sub-Annex'!CC12</f>
        <v>0</v>
      </c>
      <c r="CD12" s="832">
        <f>'3-A. CI Sub-Annex'!CD12</f>
        <v>0</v>
      </c>
      <c r="CE12" s="832">
        <f>'3-A. CI Sub-Annex'!CE12</f>
        <v>0</v>
      </c>
      <c r="CF12" s="832">
        <f>'3-A. CI Sub-Annex'!CF12</f>
        <v>0</v>
      </c>
      <c r="CG12" s="832">
        <f>'3-A. CI Sub-Annex'!CG12</f>
        <v>0</v>
      </c>
      <c r="CH12" s="832">
        <f>'3-A. CI Sub-Annex'!CH12</f>
        <v>0</v>
      </c>
      <c r="CI12" s="840">
        <f t="shared" si="0"/>
        <v>0</v>
      </c>
    </row>
    <row r="13" spans="1:87">
      <c r="A13" s="1070" t="s">
        <v>2648</v>
      </c>
      <c r="B13" s="1071"/>
      <c r="C13" s="1080" t="s">
        <v>4583</v>
      </c>
      <c r="D13" s="1073" t="s">
        <v>85</v>
      </c>
      <c r="E13" s="1074" t="s">
        <v>4587</v>
      </c>
      <c r="F13" s="1081"/>
      <c r="G13" s="1082"/>
      <c r="H13" s="1083"/>
      <c r="I13" s="1083"/>
      <c r="J13" s="1084"/>
      <c r="K13" s="1085"/>
      <c r="L13" s="1086"/>
      <c r="M13" s="830"/>
      <c r="N13" s="1086"/>
      <c r="O13" s="1076">
        <f>'3-A. CI Sub-Annex'!O20</f>
        <v>254.24999999999997</v>
      </c>
      <c r="P13" s="1087"/>
      <c r="Q13" s="831"/>
      <c r="R13" s="832">
        <f>'3-A. CI Sub-Annex'!R20</f>
        <v>254.25</v>
      </c>
      <c r="S13" s="1050"/>
      <c r="BB13" s="832">
        <f>'3-A. CI Sub-Annex'!BB13</f>
        <v>0</v>
      </c>
      <c r="BC13" s="832">
        <f>'3-A. CI Sub-Annex'!BC13</f>
        <v>2</v>
      </c>
      <c r="BD13" s="832">
        <f>'3-A. CI Sub-Annex'!BD13</f>
        <v>2.4</v>
      </c>
      <c r="BE13" s="832">
        <f>'3-A. CI Sub-Annex'!BE13</f>
        <v>2.14</v>
      </c>
      <c r="BF13" s="832">
        <f>'3-A. CI Sub-Annex'!BF13</f>
        <v>7.34</v>
      </c>
      <c r="BG13" s="832">
        <f>'3-A. CI Sub-Annex'!BG13</f>
        <v>0.43</v>
      </c>
      <c r="BH13" s="832">
        <f>'3-A. CI Sub-Annex'!BH13</f>
        <v>1.99</v>
      </c>
      <c r="BI13" s="832">
        <f>'3-A. CI Sub-Annex'!BI13</f>
        <v>0.19</v>
      </c>
      <c r="BJ13" s="832">
        <f>'3-A. CI Sub-Annex'!BJ13</f>
        <v>5.01</v>
      </c>
      <c r="BK13" s="832">
        <f>'3-A. CI Sub-Annex'!BK13</f>
        <v>3.34</v>
      </c>
      <c r="BL13" s="832">
        <f>'3-A. CI Sub-Annex'!BL13</f>
        <v>2.46</v>
      </c>
      <c r="BM13" s="832">
        <f>'3-A. CI Sub-Annex'!BM13</f>
        <v>2.54</v>
      </c>
      <c r="BN13" s="832">
        <f>'3-A. CI Sub-Annex'!BN13</f>
        <v>2.42</v>
      </c>
      <c r="BO13" s="832">
        <f>'3-A. CI Sub-Annex'!BO13</f>
        <v>0</v>
      </c>
      <c r="BP13" s="832">
        <f>'3-A. CI Sub-Annex'!BP13</f>
        <v>0</v>
      </c>
      <c r="BQ13" s="832">
        <f>'3-A. CI Sub-Annex'!BQ13</f>
        <v>0</v>
      </c>
      <c r="BR13" s="832">
        <f>'3-A. CI Sub-Annex'!BR13</f>
        <v>0</v>
      </c>
      <c r="BS13" s="832">
        <f>'3-A. CI Sub-Annex'!BS13</f>
        <v>0</v>
      </c>
      <c r="BT13" s="832">
        <f>'3-A. CI Sub-Annex'!BT13</f>
        <v>0</v>
      </c>
      <c r="BU13" s="832">
        <f>'3-A. CI Sub-Annex'!BU13</f>
        <v>0</v>
      </c>
      <c r="BV13" s="832">
        <f>'3-A. CI Sub-Annex'!BV13</f>
        <v>0</v>
      </c>
      <c r="BW13" s="832">
        <f>'3-A. CI Sub-Annex'!BW13</f>
        <v>0</v>
      </c>
      <c r="BX13" s="832">
        <f>'3-A. CI Sub-Annex'!BX13</f>
        <v>0</v>
      </c>
      <c r="BY13" s="832">
        <f>'3-A. CI Sub-Annex'!BY13</f>
        <v>0</v>
      </c>
      <c r="BZ13" s="832">
        <f>'3-A. CI Sub-Annex'!BZ13</f>
        <v>0</v>
      </c>
      <c r="CA13" s="832">
        <f>'3-A. CI Sub-Annex'!CA13</f>
        <v>0</v>
      </c>
      <c r="CB13" s="832">
        <f>'3-A. CI Sub-Annex'!CB13</f>
        <v>0</v>
      </c>
      <c r="CC13" s="832">
        <f>'3-A. CI Sub-Annex'!CC13</f>
        <v>0</v>
      </c>
      <c r="CD13" s="832">
        <f>'3-A. CI Sub-Annex'!CD13</f>
        <v>0</v>
      </c>
      <c r="CE13" s="832">
        <f>'3-A. CI Sub-Annex'!CE13</f>
        <v>0</v>
      </c>
      <c r="CF13" s="832">
        <f>'3-A. CI Sub-Annex'!CF13</f>
        <v>0</v>
      </c>
      <c r="CG13" s="832">
        <f>'3-A. CI Sub-Annex'!CG13</f>
        <v>0</v>
      </c>
      <c r="CH13" s="832">
        <f>'3-A. CI Sub-Annex'!CH13</f>
        <v>0</v>
      </c>
      <c r="CI13" s="840">
        <f t="shared" si="0"/>
        <v>32.26</v>
      </c>
    </row>
    <row r="14" spans="1:87">
      <c r="A14" s="1070" t="s">
        <v>2649</v>
      </c>
      <c r="B14" s="1071"/>
      <c r="C14" s="1080" t="s">
        <v>2644</v>
      </c>
      <c r="D14" s="1073" t="s">
        <v>85</v>
      </c>
      <c r="E14" s="1074" t="s">
        <v>4588</v>
      </c>
      <c r="F14" s="1081"/>
      <c r="G14" s="1082"/>
      <c r="H14" s="1083"/>
      <c r="I14" s="1083"/>
      <c r="J14" s="1081"/>
      <c r="K14" s="1085"/>
      <c r="L14" s="1086"/>
      <c r="M14" s="830"/>
      <c r="N14" s="1086"/>
      <c r="O14" s="1076">
        <f>'3-A. CI Sub-Annex'!O23</f>
        <v>5.6999999999999993</v>
      </c>
      <c r="P14" s="1079"/>
      <c r="Q14" s="831"/>
      <c r="R14" s="833">
        <f>'3-A. CI Sub-Annex'!R23</f>
        <v>5.6999999999999993</v>
      </c>
      <c r="S14" s="1050"/>
      <c r="BB14" s="832">
        <f>'3-A. CI Sub-Annex'!BB14</f>
        <v>0</v>
      </c>
      <c r="BC14" s="832">
        <f>'3-A. CI Sub-Annex'!BC14</f>
        <v>11.25</v>
      </c>
      <c r="BD14" s="832">
        <f>'3-A. CI Sub-Annex'!BD14</f>
        <v>12.5</v>
      </c>
      <c r="BE14" s="832">
        <f>'3-A. CI Sub-Annex'!BE14</f>
        <v>11.25</v>
      </c>
      <c r="BF14" s="832">
        <f>'3-A. CI Sub-Annex'!BF14</f>
        <v>45</v>
      </c>
      <c r="BG14" s="832">
        <f>'3-A. CI Sub-Annex'!BG14</f>
        <v>1</v>
      </c>
      <c r="BH14" s="832">
        <f>'3-A. CI Sub-Annex'!BH14</f>
        <v>11.25</v>
      </c>
      <c r="BI14" s="832">
        <f>'3-A. CI Sub-Annex'!BI14</f>
        <v>0.25</v>
      </c>
      <c r="BJ14" s="832">
        <f>'3-A. CI Sub-Annex'!BJ14</f>
        <v>22.5</v>
      </c>
      <c r="BK14" s="832">
        <f>'3-A. CI Sub-Annex'!BK14</f>
        <v>27.5</v>
      </c>
      <c r="BL14" s="832">
        <f>'3-A. CI Sub-Annex'!BL14</f>
        <v>20</v>
      </c>
      <c r="BM14" s="832">
        <f>'3-A. CI Sub-Annex'!BM14</f>
        <v>22.5</v>
      </c>
      <c r="BN14" s="832">
        <f>'3-A. CI Sub-Annex'!BN14</f>
        <v>15</v>
      </c>
      <c r="BO14" s="832">
        <f>'3-A. CI Sub-Annex'!BO14</f>
        <v>0</v>
      </c>
      <c r="BP14" s="832">
        <f>'3-A. CI Sub-Annex'!BP14</f>
        <v>0</v>
      </c>
      <c r="BQ14" s="832">
        <f>'3-A. CI Sub-Annex'!BQ14</f>
        <v>0</v>
      </c>
      <c r="BR14" s="832">
        <f>'3-A. CI Sub-Annex'!BR14</f>
        <v>0</v>
      </c>
      <c r="BS14" s="832">
        <f>'3-A. CI Sub-Annex'!BS14</f>
        <v>0</v>
      </c>
      <c r="BT14" s="832">
        <f>'3-A. CI Sub-Annex'!BT14</f>
        <v>0</v>
      </c>
      <c r="BU14" s="832">
        <f>'3-A. CI Sub-Annex'!BU14</f>
        <v>0</v>
      </c>
      <c r="BV14" s="832">
        <f>'3-A. CI Sub-Annex'!BV14</f>
        <v>0</v>
      </c>
      <c r="BW14" s="832">
        <f>'3-A. CI Sub-Annex'!BW14</f>
        <v>0</v>
      </c>
      <c r="BX14" s="832">
        <f>'3-A. CI Sub-Annex'!BX14</f>
        <v>0</v>
      </c>
      <c r="BY14" s="832">
        <f>'3-A. CI Sub-Annex'!BY14</f>
        <v>0</v>
      </c>
      <c r="BZ14" s="832">
        <f>'3-A. CI Sub-Annex'!BZ14</f>
        <v>0</v>
      </c>
      <c r="CA14" s="832">
        <f>'3-A. CI Sub-Annex'!CA14</f>
        <v>0</v>
      </c>
      <c r="CB14" s="832">
        <f>'3-A. CI Sub-Annex'!CB14</f>
        <v>0</v>
      </c>
      <c r="CC14" s="832">
        <f>'3-A. CI Sub-Annex'!CC14</f>
        <v>0</v>
      </c>
      <c r="CD14" s="832">
        <f>'3-A. CI Sub-Annex'!CD14</f>
        <v>0</v>
      </c>
      <c r="CE14" s="832">
        <f>'3-A. CI Sub-Annex'!CE14</f>
        <v>0</v>
      </c>
      <c r="CF14" s="832">
        <f>'3-A. CI Sub-Annex'!CF14</f>
        <v>0</v>
      </c>
      <c r="CG14" s="832">
        <f>'3-A. CI Sub-Annex'!CG14</f>
        <v>0</v>
      </c>
      <c r="CH14" s="832">
        <f>'3-A. CI Sub-Annex'!CH14</f>
        <v>0</v>
      </c>
      <c r="CI14" s="840">
        <f t="shared" si="0"/>
        <v>200</v>
      </c>
    </row>
    <row r="15" spans="1:87">
      <c r="A15" s="1070" t="s">
        <v>2650</v>
      </c>
      <c r="B15" s="1071"/>
      <c r="C15" s="1080" t="s">
        <v>2645</v>
      </c>
      <c r="D15" s="1073" t="s">
        <v>85</v>
      </c>
      <c r="E15" s="1074" t="s">
        <v>4589</v>
      </c>
      <c r="F15" s="1081"/>
      <c r="G15" s="1082"/>
      <c r="H15" s="1083"/>
      <c r="I15" s="1083"/>
      <c r="J15" s="1081"/>
      <c r="K15" s="1085"/>
      <c r="L15" s="1086"/>
      <c r="M15" s="830"/>
      <c r="N15" s="1086"/>
      <c r="O15" s="1076">
        <f>'3-A. CI Sub-Annex'!O33</f>
        <v>0</v>
      </c>
      <c r="P15" s="1079"/>
      <c r="Q15" s="831"/>
      <c r="R15" s="833">
        <f>'3-A. CI Sub-Annex'!R33</f>
        <v>0</v>
      </c>
      <c r="S15" s="1050"/>
      <c r="BB15" s="832">
        <f>'3-A. CI Sub-Annex'!BB15</f>
        <v>2.98</v>
      </c>
      <c r="BC15" s="832">
        <f>'3-A. CI Sub-Annex'!BC15</f>
        <v>0.37</v>
      </c>
      <c r="BD15" s="832">
        <f>'3-A. CI Sub-Annex'!BD15</f>
        <v>0.51</v>
      </c>
      <c r="BE15" s="832">
        <f>'3-A. CI Sub-Annex'!BE15</f>
        <v>0.69</v>
      </c>
      <c r="BF15" s="832">
        <f>'3-A. CI Sub-Annex'!BF15</f>
        <v>2.0499999999999998</v>
      </c>
      <c r="BG15" s="832">
        <f>'3-A. CI Sub-Annex'!BG15</f>
        <v>0.4</v>
      </c>
      <c r="BH15" s="832">
        <f>'3-A. CI Sub-Annex'!BH15</f>
        <v>0.68</v>
      </c>
      <c r="BI15" s="832">
        <f>'3-A. CI Sub-Annex'!BI15</f>
        <v>0.99</v>
      </c>
      <c r="BJ15" s="832">
        <f>'3-A. CI Sub-Annex'!BJ15</f>
        <v>0.53</v>
      </c>
      <c r="BK15" s="832">
        <f>'3-A. CI Sub-Annex'!BK15</f>
        <v>0.21</v>
      </c>
      <c r="BL15" s="832">
        <f>'3-A. CI Sub-Annex'!BL15</f>
        <v>0.59</v>
      </c>
      <c r="BM15" s="832">
        <f>'3-A. CI Sub-Annex'!BM15</f>
        <v>0</v>
      </c>
      <c r="BN15" s="832">
        <f>'3-A. CI Sub-Annex'!BN15</f>
        <v>0</v>
      </c>
      <c r="BO15" s="832">
        <f>'3-A. CI Sub-Annex'!BO15</f>
        <v>0</v>
      </c>
      <c r="BP15" s="832">
        <f>'3-A. CI Sub-Annex'!BP15</f>
        <v>0</v>
      </c>
      <c r="BQ15" s="832">
        <f>'3-A. CI Sub-Annex'!BQ15</f>
        <v>0</v>
      </c>
      <c r="BR15" s="832">
        <f>'3-A. CI Sub-Annex'!BR15</f>
        <v>0</v>
      </c>
      <c r="BS15" s="832">
        <f>'3-A. CI Sub-Annex'!BS15</f>
        <v>0</v>
      </c>
      <c r="BT15" s="832">
        <f>'3-A. CI Sub-Annex'!BT15</f>
        <v>0</v>
      </c>
      <c r="BU15" s="832">
        <f>'3-A. CI Sub-Annex'!BU15</f>
        <v>0</v>
      </c>
      <c r="BV15" s="832">
        <f>'3-A. CI Sub-Annex'!BV15</f>
        <v>0</v>
      </c>
      <c r="BW15" s="832">
        <f>'3-A. CI Sub-Annex'!BW15</f>
        <v>0</v>
      </c>
      <c r="BX15" s="832">
        <f>'3-A. CI Sub-Annex'!BX15</f>
        <v>0</v>
      </c>
      <c r="BY15" s="832">
        <f>'3-A. CI Sub-Annex'!BY15</f>
        <v>0</v>
      </c>
      <c r="BZ15" s="832">
        <f>'3-A. CI Sub-Annex'!BZ15</f>
        <v>0</v>
      </c>
      <c r="CA15" s="832">
        <f>'3-A. CI Sub-Annex'!CA15</f>
        <v>0</v>
      </c>
      <c r="CB15" s="832">
        <f>'3-A. CI Sub-Annex'!CB15</f>
        <v>0</v>
      </c>
      <c r="CC15" s="832">
        <f>'3-A. CI Sub-Annex'!CC15</f>
        <v>0</v>
      </c>
      <c r="CD15" s="832">
        <f>'3-A. CI Sub-Annex'!CD15</f>
        <v>0</v>
      </c>
      <c r="CE15" s="832">
        <f>'3-A. CI Sub-Annex'!CE15</f>
        <v>0</v>
      </c>
      <c r="CF15" s="832">
        <f>'3-A. CI Sub-Annex'!CF15</f>
        <v>0</v>
      </c>
      <c r="CG15" s="832">
        <f>'3-A. CI Sub-Annex'!CG15</f>
        <v>0</v>
      </c>
      <c r="CH15" s="832">
        <f>'3-A. CI Sub-Annex'!CH15</f>
        <v>0</v>
      </c>
      <c r="CI15" s="840">
        <f t="shared" si="0"/>
        <v>10</v>
      </c>
    </row>
    <row r="16" spans="1:87">
      <c r="A16" s="1070" t="s">
        <v>2651</v>
      </c>
      <c r="B16" s="1071"/>
      <c r="C16" s="1080" t="s">
        <v>2883</v>
      </c>
      <c r="D16" s="1088" t="s">
        <v>65</v>
      </c>
      <c r="E16" s="1074" t="s">
        <v>2583</v>
      </c>
      <c r="F16" s="1081"/>
      <c r="G16" s="1082"/>
      <c r="H16" s="1083"/>
      <c r="I16" s="1083"/>
      <c r="J16" s="1081"/>
      <c r="K16" s="1085"/>
      <c r="L16" s="1086"/>
      <c r="M16" s="830"/>
      <c r="N16" s="1086"/>
      <c r="O16" s="1076">
        <f>'3-A. CI Sub-Annex'!O36</f>
        <v>0</v>
      </c>
      <c r="P16" s="1079"/>
      <c r="Q16" s="831"/>
      <c r="R16" s="833">
        <f>'3-A. CI Sub-Annex'!R36</f>
        <v>0</v>
      </c>
      <c r="S16" s="1050"/>
      <c r="BB16" s="832">
        <f>'3-A. CI Sub-Annex'!BB16</f>
        <v>0</v>
      </c>
      <c r="BC16" s="832">
        <f>'3-A. CI Sub-Annex'!BC16</f>
        <v>0.03</v>
      </c>
      <c r="BD16" s="832">
        <f>'3-A. CI Sub-Annex'!BD16</f>
        <v>0.05</v>
      </c>
      <c r="BE16" s="832">
        <f>'3-A. CI Sub-Annex'!BE16</f>
        <v>0.05</v>
      </c>
      <c r="BF16" s="832">
        <f>'3-A. CI Sub-Annex'!BF16</f>
        <v>7.0000000000000007E-2</v>
      </c>
      <c r="BG16" s="832">
        <f>'3-A. CI Sub-Annex'!BG16</f>
        <v>0.03</v>
      </c>
      <c r="BH16" s="832">
        <f>'3-A. CI Sub-Annex'!BH16</f>
        <v>7.0000000000000007E-2</v>
      </c>
      <c r="BI16" s="832">
        <f>'3-A. CI Sub-Annex'!BI16</f>
        <v>0.03</v>
      </c>
      <c r="BJ16" s="832">
        <f>'3-A. CI Sub-Annex'!BJ16</f>
        <v>0.12</v>
      </c>
      <c r="BK16" s="832">
        <f>'3-A. CI Sub-Annex'!BK16</f>
        <v>0.06</v>
      </c>
      <c r="BL16" s="832">
        <f>'3-A. CI Sub-Annex'!BL16</f>
        <v>0.1</v>
      </c>
      <c r="BM16" s="832">
        <f>'3-A. CI Sub-Annex'!BM16</f>
        <v>0.09</v>
      </c>
      <c r="BN16" s="832">
        <f>'3-A. CI Sub-Annex'!BN16</f>
        <v>0.05</v>
      </c>
      <c r="BO16" s="832">
        <f>'3-A. CI Sub-Annex'!BO16</f>
        <v>0</v>
      </c>
      <c r="BP16" s="832">
        <f>'3-A. CI Sub-Annex'!BP16</f>
        <v>0</v>
      </c>
      <c r="BQ16" s="832">
        <f>'3-A. CI Sub-Annex'!BQ16</f>
        <v>0</v>
      </c>
      <c r="BR16" s="832">
        <f>'3-A. CI Sub-Annex'!BR16</f>
        <v>0</v>
      </c>
      <c r="BS16" s="832">
        <f>'3-A. CI Sub-Annex'!BS16</f>
        <v>0</v>
      </c>
      <c r="BT16" s="832">
        <f>'3-A. CI Sub-Annex'!BT16</f>
        <v>0</v>
      </c>
      <c r="BU16" s="832">
        <f>'3-A. CI Sub-Annex'!BU16</f>
        <v>0</v>
      </c>
      <c r="BV16" s="832">
        <f>'3-A. CI Sub-Annex'!BV16</f>
        <v>0</v>
      </c>
      <c r="BW16" s="832">
        <f>'3-A. CI Sub-Annex'!BW16</f>
        <v>0</v>
      </c>
      <c r="BX16" s="832">
        <f>'3-A. CI Sub-Annex'!BX16</f>
        <v>0</v>
      </c>
      <c r="BY16" s="832">
        <f>'3-A. CI Sub-Annex'!BY16</f>
        <v>0</v>
      </c>
      <c r="BZ16" s="832">
        <f>'3-A. CI Sub-Annex'!BZ16</f>
        <v>0</v>
      </c>
      <c r="CA16" s="832">
        <f>'3-A. CI Sub-Annex'!CA16</f>
        <v>0</v>
      </c>
      <c r="CB16" s="832">
        <f>'3-A. CI Sub-Annex'!CB16</f>
        <v>0</v>
      </c>
      <c r="CC16" s="832">
        <f>'3-A. CI Sub-Annex'!CC16</f>
        <v>0</v>
      </c>
      <c r="CD16" s="832">
        <f>'3-A. CI Sub-Annex'!CD16</f>
        <v>0</v>
      </c>
      <c r="CE16" s="832">
        <f>'3-A. CI Sub-Annex'!CE16</f>
        <v>0</v>
      </c>
      <c r="CF16" s="832">
        <f>'3-A. CI Sub-Annex'!CF16</f>
        <v>0</v>
      </c>
      <c r="CG16" s="832">
        <f>'3-A. CI Sub-Annex'!CG16</f>
        <v>0</v>
      </c>
      <c r="CH16" s="832">
        <f>'3-A. CI Sub-Annex'!CH16</f>
        <v>0</v>
      </c>
      <c r="CI16" s="840">
        <f t="shared" si="0"/>
        <v>0.75</v>
      </c>
    </row>
    <row r="17" spans="1:87">
      <c r="A17" s="1070" t="s">
        <v>162</v>
      </c>
      <c r="B17" s="1071" t="s">
        <v>201</v>
      </c>
      <c r="C17" s="1072" t="s">
        <v>4614</v>
      </c>
      <c r="D17" s="1073" t="s">
        <v>85</v>
      </c>
      <c r="E17" s="1074" t="s">
        <v>2585</v>
      </c>
      <c r="F17" s="849"/>
      <c r="G17" s="849"/>
      <c r="H17" s="849"/>
      <c r="I17" s="849"/>
      <c r="J17" s="849"/>
      <c r="K17" s="1075"/>
      <c r="L17" s="1086"/>
      <c r="M17" s="830"/>
      <c r="N17" s="1086"/>
      <c r="O17" s="1078">
        <f>'3-A. CI Sub-Annex'!O37</f>
        <v>23.427</v>
      </c>
      <c r="P17" s="1079"/>
      <c r="Q17" s="831"/>
      <c r="R17" s="834">
        <f>'3-A. CI Sub-Annex'!R37</f>
        <v>23.427</v>
      </c>
      <c r="S17" s="1050"/>
      <c r="BB17" s="833">
        <f>'3-A. CI Sub-Annex'!BB37</f>
        <v>0</v>
      </c>
      <c r="BC17" s="833">
        <f>'3-A. CI Sub-Annex'!BC37</f>
        <v>1.5</v>
      </c>
      <c r="BD17" s="833">
        <f>'3-A. CI Sub-Annex'!BD37</f>
        <v>1.8</v>
      </c>
      <c r="BE17" s="833">
        <f>'3-A. CI Sub-Annex'!BE37</f>
        <v>1.6</v>
      </c>
      <c r="BF17" s="833">
        <f>'3-A. CI Sub-Annex'!BF37</f>
        <v>5.46</v>
      </c>
      <c r="BG17" s="833">
        <f>'3-A. CI Sub-Annex'!BG37</f>
        <v>0</v>
      </c>
      <c r="BH17" s="833">
        <f>'3-A. CI Sub-Annex'!BH37</f>
        <v>1.48</v>
      </c>
      <c r="BI17" s="833">
        <f>'3-A. CI Sub-Annex'!BI37</f>
        <v>0</v>
      </c>
      <c r="BJ17" s="833">
        <f>'3-A. CI Sub-Annex'!BJ37</f>
        <v>3.75</v>
      </c>
      <c r="BK17" s="833">
        <f>'3-A. CI Sub-Annex'!BK37</f>
        <v>2.34</v>
      </c>
      <c r="BL17" s="833">
        <f>'3-A. CI Sub-Annex'!BL37</f>
        <v>1.84</v>
      </c>
      <c r="BM17" s="833">
        <f>'3-A. CI Sub-Annex'!BM37</f>
        <v>1.84</v>
      </c>
      <c r="BN17" s="833">
        <f>'3-A. CI Sub-Annex'!BN37</f>
        <v>1.82</v>
      </c>
      <c r="BO17" s="833">
        <f>'3-A. CI Sub-Annex'!BO37</f>
        <v>0</v>
      </c>
      <c r="BP17" s="833">
        <f>'3-A. CI Sub-Annex'!BP37</f>
        <v>0</v>
      </c>
      <c r="BQ17" s="833">
        <f>'3-A. CI Sub-Annex'!BQ37</f>
        <v>0</v>
      </c>
      <c r="BR17" s="833">
        <f>'3-A. CI Sub-Annex'!BR37</f>
        <v>0</v>
      </c>
      <c r="BS17" s="833">
        <f>'3-A. CI Sub-Annex'!BS37</f>
        <v>0</v>
      </c>
      <c r="BT17" s="833">
        <f>'3-A. CI Sub-Annex'!BT37</f>
        <v>0</v>
      </c>
      <c r="BU17" s="833">
        <f>'3-A. CI Sub-Annex'!BU37</f>
        <v>0</v>
      </c>
      <c r="BV17" s="833">
        <f>'3-A. CI Sub-Annex'!BV37</f>
        <v>0</v>
      </c>
      <c r="BW17" s="833">
        <f>'3-A. CI Sub-Annex'!BW37</f>
        <v>0</v>
      </c>
      <c r="BX17" s="833">
        <f>'3-A. CI Sub-Annex'!BX37</f>
        <v>0</v>
      </c>
      <c r="BY17" s="833">
        <f>'3-A. CI Sub-Annex'!BY37</f>
        <v>0</v>
      </c>
      <c r="BZ17" s="833">
        <f>'3-A. CI Sub-Annex'!BZ37</f>
        <v>0</v>
      </c>
      <c r="CA17" s="833">
        <f>'3-A. CI Sub-Annex'!CA37</f>
        <v>0</v>
      </c>
      <c r="CB17" s="833">
        <f>'3-A. CI Sub-Annex'!CB37</f>
        <v>0</v>
      </c>
      <c r="CC17" s="833">
        <f>'3-A. CI Sub-Annex'!CC37</f>
        <v>0</v>
      </c>
      <c r="CD17" s="833">
        <f>'3-A. CI Sub-Annex'!CD37</f>
        <v>0</v>
      </c>
      <c r="CE17" s="833">
        <f>'3-A. CI Sub-Annex'!CE37</f>
        <v>0</v>
      </c>
      <c r="CF17" s="833">
        <f>'3-A. CI Sub-Annex'!CF37</f>
        <v>0</v>
      </c>
      <c r="CG17" s="833">
        <f>'3-A. CI Sub-Annex'!CG37</f>
        <v>0</v>
      </c>
      <c r="CH17" s="833">
        <f>'3-A. CI Sub-Annex'!CH37</f>
        <v>0</v>
      </c>
      <c r="CI17" s="840">
        <f t="shared" si="0"/>
        <v>23.43</v>
      </c>
    </row>
    <row r="18" spans="1:87">
      <c r="A18" s="1070" t="s">
        <v>165</v>
      </c>
      <c r="B18" s="1071"/>
      <c r="C18" s="1072" t="s">
        <v>4627</v>
      </c>
      <c r="D18" s="1089" t="s">
        <v>4219</v>
      </c>
      <c r="E18" s="1074"/>
      <c r="F18" s="849"/>
      <c r="G18" s="849"/>
      <c r="H18" s="849"/>
      <c r="I18" s="849"/>
      <c r="J18" s="849"/>
      <c r="K18" s="1075"/>
      <c r="L18" s="849"/>
      <c r="M18" s="1076"/>
      <c r="N18" s="1077"/>
      <c r="O18" s="1078">
        <f>SUM(O19:O21)</f>
        <v>1.1850000000000001</v>
      </c>
      <c r="P18" s="1079"/>
      <c r="Q18" s="831"/>
      <c r="R18" s="850">
        <f>SUM(R19:R21)</f>
        <v>0.89</v>
      </c>
      <c r="S18" s="1050"/>
      <c r="BB18" s="840"/>
      <c r="BC18" s="840"/>
      <c r="BD18" s="840"/>
      <c r="BE18" s="840"/>
      <c r="BF18" s="840"/>
      <c r="BG18" s="840"/>
      <c r="BH18" s="840"/>
      <c r="BI18" s="840"/>
      <c r="BJ18" s="840"/>
      <c r="BK18" s="840"/>
      <c r="BL18" s="840"/>
      <c r="BM18" s="840"/>
      <c r="BN18" s="840"/>
      <c r="BO18" s="840"/>
      <c r="BP18" s="840"/>
      <c r="BQ18" s="840"/>
      <c r="BR18" s="840"/>
      <c r="BS18" s="840"/>
      <c r="BT18" s="840"/>
      <c r="BU18" s="840"/>
      <c r="BV18" s="840"/>
      <c r="BW18" s="840"/>
      <c r="BX18" s="840"/>
      <c r="BY18" s="840"/>
      <c r="BZ18" s="840"/>
      <c r="CA18" s="840"/>
      <c r="CB18" s="840"/>
      <c r="CC18" s="840"/>
      <c r="CD18" s="840"/>
      <c r="CE18" s="840"/>
      <c r="CF18" s="840"/>
      <c r="CG18" s="840"/>
      <c r="CH18" s="840"/>
      <c r="CI18" s="840">
        <f t="shared" si="0"/>
        <v>0</v>
      </c>
    </row>
    <row r="19" spans="1:87">
      <c r="A19" s="1090" t="s">
        <v>2665</v>
      </c>
      <c r="B19" s="1071"/>
      <c r="C19" s="1080" t="s">
        <v>5118</v>
      </c>
      <c r="D19" s="1089" t="s">
        <v>4219</v>
      </c>
      <c r="E19" s="1074" t="s">
        <v>109</v>
      </c>
      <c r="F19" s="849"/>
      <c r="G19" s="849"/>
      <c r="H19" s="849"/>
      <c r="I19" s="849"/>
      <c r="J19" s="849"/>
      <c r="K19" s="1085"/>
      <c r="L19" s="1086"/>
      <c r="M19" s="830"/>
      <c r="N19" s="1086"/>
      <c r="O19" s="1076">
        <f>'3-A. CI Sub-Annex'!O39</f>
        <v>0.5</v>
      </c>
      <c r="P19" s="1079"/>
      <c r="Q19" s="831"/>
      <c r="R19" s="833">
        <f>'3-A. CI Sub-Annex'!R39</f>
        <v>0.5</v>
      </c>
      <c r="S19" s="1050"/>
      <c r="BB19" s="833">
        <f>'3-A. CI Sub-Annex'!BB39</f>
        <v>0</v>
      </c>
      <c r="BC19" s="833">
        <f>'3-A. CI Sub-Annex'!BC39</f>
        <v>0</v>
      </c>
      <c r="BD19" s="833">
        <f>'3-A. CI Sub-Annex'!BD39</f>
        <v>0</v>
      </c>
      <c r="BE19" s="833">
        <f>'3-A. CI Sub-Annex'!BE39</f>
        <v>0</v>
      </c>
      <c r="BF19" s="833">
        <f>'3-A. CI Sub-Annex'!BF39</f>
        <v>0</v>
      </c>
      <c r="BG19" s="833">
        <f>'3-A. CI Sub-Annex'!BG39</f>
        <v>0</v>
      </c>
      <c r="BH19" s="833">
        <f>'3-A. CI Sub-Annex'!BH39</f>
        <v>0</v>
      </c>
      <c r="BI19" s="833">
        <f>'3-A. CI Sub-Annex'!BI39</f>
        <v>0</v>
      </c>
      <c r="BJ19" s="833">
        <f>'3-A. CI Sub-Annex'!BJ39</f>
        <v>0</v>
      </c>
      <c r="BK19" s="833">
        <f>'3-A. CI Sub-Annex'!BK39</f>
        <v>0</v>
      </c>
      <c r="BL19" s="833">
        <f>'3-A. CI Sub-Annex'!BL39</f>
        <v>0</v>
      </c>
      <c r="BM19" s="833">
        <f>'3-A. CI Sub-Annex'!BM39</f>
        <v>0</v>
      </c>
      <c r="BN19" s="833">
        <f>'3-A. CI Sub-Annex'!BN39</f>
        <v>0</v>
      </c>
      <c r="BO19" s="833">
        <f>'3-A. CI Sub-Annex'!BO39</f>
        <v>0</v>
      </c>
      <c r="BP19" s="833">
        <f>'3-A. CI Sub-Annex'!BP39</f>
        <v>0</v>
      </c>
      <c r="BQ19" s="833">
        <f>'3-A. CI Sub-Annex'!BQ39</f>
        <v>0</v>
      </c>
      <c r="BR19" s="833">
        <f>'3-A. CI Sub-Annex'!BR39</f>
        <v>0</v>
      </c>
      <c r="BS19" s="833">
        <f>'3-A. CI Sub-Annex'!BS39</f>
        <v>0</v>
      </c>
      <c r="BT19" s="833">
        <f>'3-A. CI Sub-Annex'!BT39</f>
        <v>0</v>
      </c>
      <c r="BU19" s="833">
        <f>'3-A. CI Sub-Annex'!BU39</f>
        <v>0</v>
      </c>
      <c r="BV19" s="833">
        <f>'3-A. CI Sub-Annex'!BV39</f>
        <v>0</v>
      </c>
      <c r="BW19" s="833">
        <f>'3-A. CI Sub-Annex'!BW39</f>
        <v>0</v>
      </c>
      <c r="BX19" s="833">
        <f>'3-A. CI Sub-Annex'!BX39</f>
        <v>0</v>
      </c>
      <c r="BY19" s="833">
        <f>'3-A. CI Sub-Annex'!BY39</f>
        <v>0</v>
      </c>
      <c r="BZ19" s="833">
        <f>'3-A. CI Sub-Annex'!BZ39</f>
        <v>0</v>
      </c>
      <c r="CA19" s="833">
        <f>'3-A. CI Sub-Annex'!CA39</f>
        <v>0</v>
      </c>
      <c r="CB19" s="833">
        <f>'3-A. CI Sub-Annex'!CB39</f>
        <v>0</v>
      </c>
      <c r="CC19" s="833">
        <f>'3-A. CI Sub-Annex'!CC39</f>
        <v>0</v>
      </c>
      <c r="CD19" s="833">
        <f>'3-A. CI Sub-Annex'!CD39</f>
        <v>0</v>
      </c>
      <c r="CE19" s="833">
        <f>'3-A. CI Sub-Annex'!CE39</f>
        <v>0</v>
      </c>
      <c r="CF19" s="833">
        <f>'3-A. CI Sub-Annex'!CF39</f>
        <v>0</v>
      </c>
      <c r="CG19" s="833">
        <f>'3-A. CI Sub-Annex'!CG39</f>
        <v>0</v>
      </c>
      <c r="CH19" s="833">
        <f>'3-A. CI Sub-Annex'!CH39</f>
        <v>0</v>
      </c>
      <c r="CI19" s="840">
        <f t="shared" si="0"/>
        <v>0</v>
      </c>
    </row>
    <row r="20" spans="1:87">
      <c r="A20" s="1090" t="s">
        <v>2666</v>
      </c>
      <c r="B20" s="1071"/>
      <c r="C20" s="1080" t="s">
        <v>4628</v>
      </c>
      <c r="D20" s="1089" t="s">
        <v>4219</v>
      </c>
      <c r="E20" s="1074" t="s">
        <v>141</v>
      </c>
      <c r="F20" s="849"/>
      <c r="G20" s="849"/>
      <c r="H20" s="849"/>
      <c r="I20" s="849"/>
      <c r="J20" s="849"/>
      <c r="K20" s="1085"/>
      <c r="L20" s="1086"/>
      <c r="M20" s="830"/>
      <c r="N20" s="1086"/>
      <c r="O20" s="1076">
        <f>'3-A. CI Sub-Annex'!O47</f>
        <v>0.68500000000000005</v>
      </c>
      <c r="P20" s="1079"/>
      <c r="Q20" s="831"/>
      <c r="R20" s="833">
        <f>'3-A. CI Sub-Annex'!R47</f>
        <v>0.39</v>
      </c>
      <c r="S20" s="1050"/>
      <c r="BB20" s="833">
        <f>'3-A. CI Sub-Annex'!BB40</f>
        <v>0</v>
      </c>
      <c r="BC20" s="833">
        <f>'3-A. CI Sub-Annex'!BC40</f>
        <v>0.05</v>
      </c>
      <c r="BD20" s="833">
        <f>'3-A. CI Sub-Annex'!BD40</f>
        <v>0.02</v>
      </c>
      <c r="BE20" s="833">
        <f>'3-A. CI Sub-Annex'!BE40</f>
        <v>0.05</v>
      </c>
      <c r="BF20" s="833">
        <f>'3-A. CI Sub-Annex'!BF40</f>
        <v>0.08</v>
      </c>
      <c r="BG20" s="833">
        <f>'3-A. CI Sub-Annex'!BG40</f>
        <v>0</v>
      </c>
      <c r="BH20" s="833">
        <f>'3-A. CI Sub-Annex'!BH40</f>
        <v>0.02</v>
      </c>
      <c r="BI20" s="833">
        <f>'3-A. CI Sub-Annex'!BI40</f>
        <v>0</v>
      </c>
      <c r="BJ20" s="833">
        <f>'3-A. CI Sub-Annex'!BJ40</f>
        <v>0.08</v>
      </c>
      <c r="BK20" s="833">
        <f>'3-A. CI Sub-Annex'!BK40</f>
        <v>0.02</v>
      </c>
      <c r="BL20" s="833">
        <f>'3-A. CI Sub-Annex'!BL40</f>
        <v>0.06</v>
      </c>
      <c r="BM20" s="833">
        <f>'3-A. CI Sub-Annex'!BM40</f>
        <v>0.06</v>
      </c>
      <c r="BN20" s="833">
        <f>'3-A. CI Sub-Annex'!BN40</f>
        <v>0.06</v>
      </c>
      <c r="BO20" s="833">
        <f>'3-A. CI Sub-Annex'!BO40</f>
        <v>0</v>
      </c>
      <c r="BP20" s="833">
        <f>'3-A. CI Sub-Annex'!BP40</f>
        <v>0</v>
      </c>
      <c r="BQ20" s="833">
        <f>'3-A. CI Sub-Annex'!BQ40</f>
        <v>0</v>
      </c>
      <c r="BR20" s="833">
        <f>'3-A. CI Sub-Annex'!BR40</f>
        <v>0</v>
      </c>
      <c r="BS20" s="833">
        <f>'3-A. CI Sub-Annex'!BS40</f>
        <v>0</v>
      </c>
      <c r="BT20" s="833">
        <f>'3-A. CI Sub-Annex'!BT40</f>
        <v>0</v>
      </c>
      <c r="BU20" s="833">
        <f>'3-A. CI Sub-Annex'!BU40</f>
        <v>0</v>
      </c>
      <c r="BV20" s="833">
        <f>'3-A. CI Sub-Annex'!BV40</f>
        <v>0</v>
      </c>
      <c r="BW20" s="833">
        <f>'3-A. CI Sub-Annex'!BW40</f>
        <v>0</v>
      </c>
      <c r="BX20" s="833">
        <f>'3-A. CI Sub-Annex'!BX40</f>
        <v>0</v>
      </c>
      <c r="BY20" s="833">
        <f>'3-A. CI Sub-Annex'!BY40</f>
        <v>0</v>
      </c>
      <c r="BZ20" s="833">
        <f>'3-A. CI Sub-Annex'!BZ40</f>
        <v>0</v>
      </c>
      <c r="CA20" s="833">
        <f>'3-A. CI Sub-Annex'!CA40</f>
        <v>0</v>
      </c>
      <c r="CB20" s="833">
        <f>'3-A. CI Sub-Annex'!CB40</f>
        <v>0</v>
      </c>
      <c r="CC20" s="833">
        <f>'3-A. CI Sub-Annex'!CC40</f>
        <v>0</v>
      </c>
      <c r="CD20" s="833">
        <f>'3-A. CI Sub-Annex'!CD40</f>
        <v>0</v>
      </c>
      <c r="CE20" s="833">
        <f>'3-A. CI Sub-Annex'!CE40</f>
        <v>0</v>
      </c>
      <c r="CF20" s="833">
        <f>'3-A. CI Sub-Annex'!CF40</f>
        <v>0</v>
      </c>
      <c r="CG20" s="833">
        <f>'3-A. CI Sub-Annex'!CG40</f>
        <v>0</v>
      </c>
      <c r="CH20" s="833">
        <f>'3-A. CI Sub-Annex'!CH40</f>
        <v>0</v>
      </c>
      <c r="CI20" s="840">
        <f t="shared" si="0"/>
        <v>0.5</v>
      </c>
    </row>
    <row r="21" spans="1:87">
      <c r="A21" s="1090" t="s">
        <v>2667</v>
      </c>
      <c r="B21" s="1071"/>
      <c r="C21" s="1080" t="s">
        <v>2883</v>
      </c>
      <c r="D21" s="1088" t="s">
        <v>65</v>
      </c>
      <c r="E21" s="1074" t="s">
        <v>2583</v>
      </c>
      <c r="F21" s="1081"/>
      <c r="G21" s="1082"/>
      <c r="H21" s="1083"/>
      <c r="I21" s="1083"/>
      <c r="J21" s="1081"/>
      <c r="K21" s="1085"/>
      <c r="L21" s="1086"/>
      <c r="M21" s="830"/>
      <c r="N21" s="1086"/>
      <c r="O21" s="1076">
        <f>'3-A. CI Sub-Annex'!O51</f>
        <v>0</v>
      </c>
      <c r="P21" s="1079"/>
      <c r="Q21" s="831"/>
      <c r="R21" s="833">
        <f>'3-A. CI Sub-Annex'!R51</f>
        <v>0</v>
      </c>
      <c r="S21" s="1050"/>
      <c r="BB21" s="833">
        <f>'3-A. CI Sub-Annex'!BB41</f>
        <v>0</v>
      </c>
      <c r="BC21" s="833">
        <f>'3-A. CI Sub-Annex'!BC41</f>
        <v>0</v>
      </c>
      <c r="BD21" s="833">
        <f>'3-A. CI Sub-Annex'!BD41</f>
        <v>0</v>
      </c>
      <c r="BE21" s="833">
        <f>'3-A. CI Sub-Annex'!BE41</f>
        <v>0</v>
      </c>
      <c r="BF21" s="833">
        <f>'3-A. CI Sub-Annex'!BF41</f>
        <v>0</v>
      </c>
      <c r="BG21" s="833">
        <f>'3-A. CI Sub-Annex'!BG41</f>
        <v>0</v>
      </c>
      <c r="BH21" s="833">
        <f>'3-A. CI Sub-Annex'!BH41</f>
        <v>0</v>
      </c>
      <c r="BI21" s="833">
        <f>'3-A. CI Sub-Annex'!BI41</f>
        <v>0</v>
      </c>
      <c r="BJ21" s="833">
        <f>'3-A. CI Sub-Annex'!BJ41</f>
        <v>0</v>
      </c>
      <c r="BK21" s="833">
        <f>'3-A. CI Sub-Annex'!BK41</f>
        <v>0</v>
      </c>
      <c r="BL21" s="833">
        <f>'3-A. CI Sub-Annex'!BL41</f>
        <v>0</v>
      </c>
      <c r="BM21" s="833">
        <f>'3-A. CI Sub-Annex'!BM41</f>
        <v>0</v>
      </c>
      <c r="BN21" s="833">
        <f>'3-A. CI Sub-Annex'!BN41</f>
        <v>0</v>
      </c>
      <c r="BO21" s="833">
        <f>'3-A. CI Sub-Annex'!BO41</f>
        <v>0</v>
      </c>
      <c r="BP21" s="833">
        <f>'3-A. CI Sub-Annex'!BP41</f>
        <v>0</v>
      </c>
      <c r="BQ21" s="833">
        <f>'3-A. CI Sub-Annex'!BQ41</f>
        <v>0</v>
      </c>
      <c r="BR21" s="833">
        <f>'3-A. CI Sub-Annex'!BR41</f>
        <v>0</v>
      </c>
      <c r="BS21" s="833">
        <f>'3-A. CI Sub-Annex'!BS41</f>
        <v>0</v>
      </c>
      <c r="BT21" s="833">
        <f>'3-A. CI Sub-Annex'!BT41</f>
        <v>0</v>
      </c>
      <c r="BU21" s="833">
        <f>'3-A. CI Sub-Annex'!BU41</f>
        <v>0</v>
      </c>
      <c r="BV21" s="833">
        <f>'3-A. CI Sub-Annex'!BV41</f>
        <v>0</v>
      </c>
      <c r="BW21" s="833">
        <f>'3-A. CI Sub-Annex'!BW41</f>
        <v>0</v>
      </c>
      <c r="BX21" s="833">
        <f>'3-A. CI Sub-Annex'!BX41</f>
        <v>0</v>
      </c>
      <c r="BY21" s="833">
        <f>'3-A. CI Sub-Annex'!BY41</f>
        <v>0</v>
      </c>
      <c r="BZ21" s="833">
        <f>'3-A. CI Sub-Annex'!BZ41</f>
        <v>0</v>
      </c>
      <c r="CA21" s="833">
        <f>'3-A. CI Sub-Annex'!CA41</f>
        <v>0</v>
      </c>
      <c r="CB21" s="833">
        <f>'3-A. CI Sub-Annex'!CB41</f>
        <v>0</v>
      </c>
      <c r="CC21" s="833">
        <f>'3-A. CI Sub-Annex'!CC41</f>
        <v>0</v>
      </c>
      <c r="CD21" s="833">
        <f>'3-A. CI Sub-Annex'!CD41</f>
        <v>0</v>
      </c>
      <c r="CE21" s="833">
        <f>'3-A. CI Sub-Annex'!CE41</f>
        <v>0</v>
      </c>
      <c r="CF21" s="833">
        <f>'3-A. CI Sub-Annex'!CF41</f>
        <v>0</v>
      </c>
      <c r="CG21" s="833">
        <f>'3-A. CI Sub-Annex'!CG41</f>
        <v>0</v>
      </c>
      <c r="CH21" s="833">
        <f>'3-A. CI Sub-Annex'!CH41</f>
        <v>0</v>
      </c>
      <c r="CI21" s="840">
        <f t="shared" si="0"/>
        <v>0</v>
      </c>
    </row>
    <row r="22" spans="1:87">
      <c r="A22" s="1070" t="s">
        <v>168</v>
      </c>
      <c r="B22" s="1071"/>
      <c r="C22" s="1072" t="s">
        <v>4613</v>
      </c>
      <c r="D22" s="1088" t="s">
        <v>65</v>
      </c>
      <c r="E22" s="1074" t="s">
        <v>2583</v>
      </c>
      <c r="F22" s="849"/>
      <c r="G22" s="849"/>
      <c r="H22" s="849"/>
      <c r="I22" s="849"/>
      <c r="J22" s="849"/>
      <c r="K22" s="1075"/>
      <c r="L22" s="849"/>
      <c r="M22" s="1076"/>
      <c r="N22" s="1077"/>
      <c r="O22" s="1078">
        <f>'3-A. CI Sub-Annex'!O53</f>
        <v>260</v>
      </c>
      <c r="P22" s="1079"/>
      <c r="Q22" s="831"/>
      <c r="R22" s="834">
        <f>'3-A. CI Sub-Annex'!R53</f>
        <v>260</v>
      </c>
      <c r="S22" s="1050"/>
      <c r="BB22" s="834">
        <f>'3-A. CI Sub-Annex'!BB53</f>
        <v>0</v>
      </c>
      <c r="BC22" s="834">
        <f>'3-A. CI Sub-Annex'!BC53</f>
        <v>0</v>
      </c>
      <c r="BD22" s="834">
        <f>'3-A. CI Sub-Annex'!BD53</f>
        <v>0</v>
      </c>
      <c r="BE22" s="834">
        <f>'3-A. CI Sub-Annex'!BE53</f>
        <v>0</v>
      </c>
      <c r="BF22" s="834">
        <f>'3-A. CI Sub-Annex'!BF53</f>
        <v>0</v>
      </c>
      <c r="BG22" s="834">
        <f>'3-A. CI Sub-Annex'!BG53</f>
        <v>0</v>
      </c>
      <c r="BH22" s="834">
        <f>'3-A. CI Sub-Annex'!BH53</f>
        <v>0</v>
      </c>
      <c r="BI22" s="834">
        <f>'3-A. CI Sub-Annex'!BI53</f>
        <v>0</v>
      </c>
      <c r="BJ22" s="834">
        <f>'3-A. CI Sub-Annex'!BJ53</f>
        <v>0</v>
      </c>
      <c r="BK22" s="834">
        <f>'3-A. CI Sub-Annex'!BK53</f>
        <v>0</v>
      </c>
      <c r="BL22" s="834">
        <f>'3-A. CI Sub-Annex'!BL53</f>
        <v>0</v>
      </c>
      <c r="BM22" s="834">
        <f>'3-A. CI Sub-Annex'!BM53</f>
        <v>0</v>
      </c>
      <c r="BN22" s="834">
        <f>'3-A. CI Sub-Annex'!BN53</f>
        <v>0</v>
      </c>
      <c r="BO22" s="834">
        <f>'3-A. CI Sub-Annex'!BO53</f>
        <v>0</v>
      </c>
      <c r="BP22" s="834">
        <f>'3-A. CI Sub-Annex'!BP53</f>
        <v>0</v>
      </c>
      <c r="BQ22" s="834">
        <f>'3-A. CI Sub-Annex'!BQ53</f>
        <v>0</v>
      </c>
      <c r="BR22" s="834">
        <f>'3-A. CI Sub-Annex'!BR53</f>
        <v>0</v>
      </c>
      <c r="BS22" s="834">
        <f>'3-A. CI Sub-Annex'!BS53</f>
        <v>0</v>
      </c>
      <c r="BT22" s="834">
        <f>'3-A. CI Sub-Annex'!BT53</f>
        <v>0</v>
      </c>
      <c r="BU22" s="834">
        <f>'3-A. CI Sub-Annex'!BU53</f>
        <v>0</v>
      </c>
      <c r="BV22" s="834">
        <f>'3-A. CI Sub-Annex'!BV53</f>
        <v>0</v>
      </c>
      <c r="BW22" s="834">
        <f>'3-A. CI Sub-Annex'!BW53</f>
        <v>0</v>
      </c>
      <c r="BX22" s="834">
        <f>'3-A. CI Sub-Annex'!BX53</f>
        <v>0</v>
      </c>
      <c r="BY22" s="834">
        <f>'3-A. CI Sub-Annex'!BY53</f>
        <v>0</v>
      </c>
      <c r="BZ22" s="834">
        <f>'3-A. CI Sub-Annex'!BZ53</f>
        <v>0</v>
      </c>
      <c r="CA22" s="834">
        <f>'3-A. CI Sub-Annex'!CA53</f>
        <v>0</v>
      </c>
      <c r="CB22" s="834">
        <f>'3-A. CI Sub-Annex'!CB53</f>
        <v>0</v>
      </c>
      <c r="CC22" s="834">
        <f>'3-A. CI Sub-Annex'!CC53</f>
        <v>0</v>
      </c>
      <c r="CD22" s="834">
        <f>'3-A. CI Sub-Annex'!CD53</f>
        <v>0</v>
      </c>
      <c r="CE22" s="834">
        <f>'3-A. CI Sub-Annex'!CE53</f>
        <v>0</v>
      </c>
      <c r="CF22" s="834">
        <f>'3-A. CI Sub-Annex'!CF53</f>
        <v>0</v>
      </c>
      <c r="CG22" s="834">
        <f>'3-A. CI Sub-Annex'!CG53</f>
        <v>0</v>
      </c>
      <c r="CH22" s="834">
        <f>'3-A. CI Sub-Annex'!CH53</f>
        <v>0</v>
      </c>
      <c r="CI22" s="840">
        <f t="shared" si="0"/>
        <v>0</v>
      </c>
    </row>
    <row r="23" spans="1:87">
      <c r="A23" s="1070" t="s">
        <v>170</v>
      </c>
      <c r="B23" s="1071"/>
      <c r="C23" s="1072" t="s">
        <v>198</v>
      </c>
      <c r="D23" s="1091" t="s">
        <v>65</v>
      </c>
      <c r="E23" s="1074" t="s">
        <v>2583</v>
      </c>
      <c r="F23" s="1081"/>
      <c r="G23" s="1082"/>
      <c r="H23" s="1083"/>
      <c r="I23" s="1083"/>
      <c r="J23" s="1081"/>
      <c r="K23" s="1075"/>
      <c r="L23" s="1086"/>
      <c r="M23" s="830"/>
      <c r="N23" s="1086"/>
      <c r="O23" s="1078">
        <f>'3-A. CI Sub-Annex'!O58</f>
        <v>1907.52</v>
      </c>
      <c r="P23" s="1079"/>
      <c r="Q23" s="831"/>
      <c r="R23" s="834">
        <f>'3-A. CI Sub-Annex'!R58</f>
        <v>1907.5</v>
      </c>
      <c r="S23" s="1050"/>
      <c r="BB23" s="834">
        <f>'3-A. CI Sub-Annex'!BB54</f>
        <v>0</v>
      </c>
      <c r="BC23" s="834">
        <f>'3-A. CI Sub-Annex'!BC54</f>
        <v>15</v>
      </c>
      <c r="BD23" s="834">
        <f>'3-A. CI Sub-Annex'!BD54</f>
        <v>15</v>
      </c>
      <c r="BE23" s="834">
        <f>'3-A. CI Sub-Annex'!BE54</f>
        <v>15</v>
      </c>
      <c r="BF23" s="834">
        <f>'3-A. CI Sub-Annex'!BF54</f>
        <v>40</v>
      </c>
      <c r="BG23" s="834">
        <f>'3-A. CI Sub-Annex'!BG54</f>
        <v>3</v>
      </c>
      <c r="BH23" s="834">
        <f>'3-A. CI Sub-Annex'!BH54</f>
        <v>15</v>
      </c>
      <c r="BI23" s="834">
        <f>'3-A. CI Sub-Annex'!BI54</f>
        <v>2</v>
      </c>
      <c r="BJ23" s="834">
        <f>'3-A. CI Sub-Annex'!BJ54</f>
        <v>30</v>
      </c>
      <c r="BK23" s="834">
        <f>'3-A. CI Sub-Annex'!BK54</f>
        <v>30</v>
      </c>
      <c r="BL23" s="834">
        <f>'3-A. CI Sub-Annex'!BL54</f>
        <v>15</v>
      </c>
      <c r="BM23" s="834">
        <f>'3-A. CI Sub-Annex'!BM54</f>
        <v>15</v>
      </c>
      <c r="BN23" s="834">
        <f>'3-A. CI Sub-Annex'!BN54</f>
        <v>15</v>
      </c>
      <c r="BO23" s="834">
        <f>'3-A. CI Sub-Annex'!BO54</f>
        <v>0</v>
      </c>
      <c r="BP23" s="834">
        <f>'3-A. CI Sub-Annex'!BP54</f>
        <v>0</v>
      </c>
      <c r="BQ23" s="834">
        <f>'3-A. CI Sub-Annex'!BQ54</f>
        <v>0</v>
      </c>
      <c r="BR23" s="834">
        <f>'3-A. CI Sub-Annex'!BR54</f>
        <v>0</v>
      </c>
      <c r="BS23" s="834">
        <f>'3-A. CI Sub-Annex'!BS54</f>
        <v>0</v>
      </c>
      <c r="BT23" s="834">
        <f>'3-A. CI Sub-Annex'!BT54</f>
        <v>0</v>
      </c>
      <c r="BU23" s="834">
        <f>'3-A. CI Sub-Annex'!BU54</f>
        <v>0</v>
      </c>
      <c r="BV23" s="834">
        <f>'3-A. CI Sub-Annex'!BV54</f>
        <v>0</v>
      </c>
      <c r="BW23" s="834">
        <f>'3-A. CI Sub-Annex'!BW54</f>
        <v>0</v>
      </c>
      <c r="BX23" s="834">
        <f>'3-A. CI Sub-Annex'!BX54</f>
        <v>0</v>
      </c>
      <c r="BY23" s="834">
        <f>'3-A. CI Sub-Annex'!BY54</f>
        <v>0</v>
      </c>
      <c r="BZ23" s="834">
        <f>'3-A. CI Sub-Annex'!BZ54</f>
        <v>0</v>
      </c>
      <c r="CA23" s="834">
        <f>'3-A. CI Sub-Annex'!CA54</f>
        <v>0</v>
      </c>
      <c r="CB23" s="834">
        <f>'3-A. CI Sub-Annex'!CB54</f>
        <v>0</v>
      </c>
      <c r="CC23" s="834">
        <f>'3-A. CI Sub-Annex'!CC54</f>
        <v>0</v>
      </c>
      <c r="CD23" s="834">
        <f>'3-A. CI Sub-Annex'!CD54</f>
        <v>0</v>
      </c>
      <c r="CE23" s="834">
        <f>'3-A. CI Sub-Annex'!CE54</f>
        <v>0</v>
      </c>
      <c r="CF23" s="834">
        <f>'3-A. CI Sub-Annex'!CF54</f>
        <v>0</v>
      </c>
      <c r="CG23" s="834">
        <f>'3-A. CI Sub-Annex'!CG54</f>
        <v>0</v>
      </c>
      <c r="CH23" s="834">
        <f>'3-A. CI Sub-Annex'!CH54</f>
        <v>0</v>
      </c>
      <c r="CI23" s="840">
        <f t="shared" si="0"/>
        <v>210</v>
      </c>
    </row>
    <row r="24" spans="1:87">
      <c r="A24" s="1070" t="s">
        <v>3211</v>
      </c>
      <c r="B24" s="1090"/>
      <c r="C24" s="1072" t="s">
        <v>4590</v>
      </c>
      <c r="D24" s="1091" t="s">
        <v>65</v>
      </c>
      <c r="E24" s="1092" t="s">
        <v>2583</v>
      </c>
      <c r="F24" s="849"/>
      <c r="G24" s="849"/>
      <c r="H24" s="849"/>
      <c r="I24" s="849"/>
      <c r="J24" s="849"/>
      <c r="K24" s="1075"/>
      <c r="L24" s="1086"/>
      <c r="M24" s="830"/>
      <c r="N24" s="1086"/>
      <c r="O24" s="1078">
        <f>'3-A. CI Sub-Annex'!O59</f>
        <v>0</v>
      </c>
      <c r="P24" s="1079"/>
      <c r="Q24" s="831"/>
      <c r="R24" s="834">
        <f>'3-A. CI Sub-Annex'!R59</f>
        <v>0</v>
      </c>
      <c r="S24" s="1050"/>
      <c r="BB24" s="834">
        <f>'3-A. CI Sub-Annex'!BB55</f>
        <v>0</v>
      </c>
      <c r="BC24" s="834">
        <f>'3-A. CI Sub-Annex'!BC55</f>
        <v>4</v>
      </c>
      <c r="BD24" s="834">
        <f>'3-A. CI Sub-Annex'!BD55</f>
        <v>4</v>
      </c>
      <c r="BE24" s="834">
        <f>'3-A. CI Sub-Annex'!BE55</f>
        <v>4</v>
      </c>
      <c r="BF24" s="834">
        <f>'3-A. CI Sub-Annex'!BF55</f>
        <v>6</v>
      </c>
      <c r="BG24" s="834">
        <f>'3-A. CI Sub-Annex'!BG55</f>
        <v>2.5</v>
      </c>
      <c r="BH24" s="834">
        <f>'3-A. CI Sub-Annex'!BH55</f>
        <v>4</v>
      </c>
      <c r="BI24" s="834">
        <f>'3-A. CI Sub-Annex'!BI55</f>
        <v>1.5</v>
      </c>
      <c r="BJ24" s="834">
        <f>'3-A. CI Sub-Annex'!BJ55</f>
        <v>6</v>
      </c>
      <c r="BK24" s="834">
        <f>'3-A. CI Sub-Annex'!BK55</f>
        <v>6</v>
      </c>
      <c r="BL24" s="834">
        <f>'3-A. CI Sub-Annex'!BL55</f>
        <v>4</v>
      </c>
      <c r="BM24" s="834">
        <f>'3-A. CI Sub-Annex'!BM55</f>
        <v>4</v>
      </c>
      <c r="BN24" s="834">
        <f>'3-A. CI Sub-Annex'!BN55</f>
        <v>4</v>
      </c>
      <c r="BO24" s="834">
        <f>'3-A. CI Sub-Annex'!BO55</f>
        <v>0</v>
      </c>
      <c r="BP24" s="834">
        <f>'3-A. CI Sub-Annex'!BP55</f>
        <v>0</v>
      </c>
      <c r="BQ24" s="834">
        <f>'3-A. CI Sub-Annex'!BQ55</f>
        <v>0</v>
      </c>
      <c r="BR24" s="834">
        <f>'3-A. CI Sub-Annex'!BR55</f>
        <v>0</v>
      </c>
      <c r="BS24" s="834">
        <f>'3-A. CI Sub-Annex'!BS55</f>
        <v>0</v>
      </c>
      <c r="BT24" s="834">
        <f>'3-A. CI Sub-Annex'!BT55</f>
        <v>0</v>
      </c>
      <c r="BU24" s="834">
        <f>'3-A. CI Sub-Annex'!BU55</f>
        <v>0</v>
      </c>
      <c r="BV24" s="834">
        <f>'3-A. CI Sub-Annex'!BV55</f>
        <v>0</v>
      </c>
      <c r="BW24" s="834">
        <f>'3-A. CI Sub-Annex'!BW55</f>
        <v>0</v>
      </c>
      <c r="BX24" s="834">
        <f>'3-A. CI Sub-Annex'!BX55</f>
        <v>0</v>
      </c>
      <c r="BY24" s="834">
        <f>'3-A. CI Sub-Annex'!BY55</f>
        <v>0</v>
      </c>
      <c r="BZ24" s="834">
        <f>'3-A. CI Sub-Annex'!BZ55</f>
        <v>0</v>
      </c>
      <c r="CA24" s="834">
        <f>'3-A. CI Sub-Annex'!CA55</f>
        <v>0</v>
      </c>
      <c r="CB24" s="834">
        <f>'3-A. CI Sub-Annex'!CB55</f>
        <v>0</v>
      </c>
      <c r="CC24" s="834">
        <f>'3-A. CI Sub-Annex'!CC55</f>
        <v>0</v>
      </c>
      <c r="CD24" s="834">
        <f>'3-A. CI Sub-Annex'!CD55</f>
        <v>0</v>
      </c>
      <c r="CE24" s="834">
        <f>'3-A. CI Sub-Annex'!CE55</f>
        <v>0</v>
      </c>
      <c r="CF24" s="834">
        <f>'3-A. CI Sub-Annex'!CF55</f>
        <v>0</v>
      </c>
      <c r="CG24" s="834">
        <f>'3-A. CI Sub-Annex'!CG55</f>
        <v>0</v>
      </c>
      <c r="CH24" s="834">
        <f>'3-A. CI Sub-Annex'!CH55</f>
        <v>0</v>
      </c>
      <c r="CI24" s="840">
        <f t="shared" si="0"/>
        <v>50</v>
      </c>
    </row>
    <row r="25" spans="1:87">
      <c r="A25" s="1059" t="s">
        <v>42</v>
      </c>
      <c r="B25" s="1060"/>
      <c r="C25" s="1061" t="s">
        <v>737</v>
      </c>
      <c r="D25" s="1062"/>
      <c r="E25" s="1062"/>
      <c r="F25" s="1063"/>
      <c r="G25" s="1063"/>
      <c r="H25" s="1063"/>
      <c r="I25" s="1063"/>
      <c r="J25" s="1063"/>
      <c r="K25" s="1064"/>
      <c r="L25" s="1063"/>
      <c r="M25" s="1065"/>
      <c r="N25" s="1066"/>
      <c r="O25" s="1067">
        <f>SUM(O26:O28)</f>
        <v>263.51189999999997</v>
      </c>
      <c r="P25" s="1068"/>
      <c r="Q25" s="826"/>
      <c r="R25" s="1069">
        <f>SUM(R26:R28)</f>
        <v>263.52</v>
      </c>
      <c r="S25" s="1050"/>
      <c r="BB25" s="840"/>
      <c r="BC25" s="840"/>
      <c r="BD25" s="840"/>
      <c r="BE25" s="840"/>
      <c r="BF25" s="840"/>
      <c r="BG25" s="840"/>
      <c r="BH25" s="840"/>
      <c r="BI25" s="840"/>
      <c r="BJ25" s="840"/>
      <c r="BK25" s="840"/>
      <c r="BL25" s="840"/>
      <c r="BM25" s="840"/>
      <c r="BN25" s="840"/>
      <c r="BO25" s="840"/>
      <c r="BP25" s="840"/>
      <c r="BQ25" s="840"/>
      <c r="BR25" s="840"/>
      <c r="BS25" s="840"/>
      <c r="BT25" s="840"/>
      <c r="BU25" s="840"/>
      <c r="BV25" s="840"/>
      <c r="BW25" s="840"/>
      <c r="BX25" s="840"/>
      <c r="BY25" s="840"/>
      <c r="BZ25" s="840"/>
      <c r="CA25" s="840"/>
      <c r="CB25" s="840"/>
      <c r="CC25" s="840"/>
      <c r="CD25" s="840"/>
      <c r="CE25" s="840"/>
      <c r="CF25" s="840"/>
      <c r="CG25" s="840"/>
      <c r="CH25" s="840"/>
      <c r="CI25" s="840">
        <f t="shared" si="0"/>
        <v>0</v>
      </c>
    </row>
    <row r="26" spans="1:87">
      <c r="A26" s="1079" t="s">
        <v>220</v>
      </c>
      <c r="B26" s="849"/>
      <c r="C26" s="896" t="s">
        <v>4591</v>
      </c>
      <c r="D26" s="1091" t="s">
        <v>65</v>
      </c>
      <c r="E26" s="1093" t="s">
        <v>2583</v>
      </c>
      <c r="F26" s="1094"/>
      <c r="G26" s="1094"/>
      <c r="H26" s="1094"/>
      <c r="I26" s="1094"/>
      <c r="J26" s="1094"/>
      <c r="K26" s="1075"/>
      <c r="L26" s="1094"/>
      <c r="M26" s="1095"/>
      <c r="N26" s="1093"/>
      <c r="O26" s="1095">
        <f>'3-A. CI Sub-Annex'!O61</f>
        <v>235.92617999999999</v>
      </c>
      <c r="P26" s="846"/>
      <c r="Q26" s="1096"/>
      <c r="R26" s="840">
        <f>'3-A. CI Sub-Annex'!R61</f>
        <v>235.93</v>
      </c>
      <c r="BB26" s="840">
        <f>'3-A. CI Sub-Annex'!BB61</f>
        <v>0</v>
      </c>
      <c r="BC26" s="840">
        <f>'3-A. CI Sub-Annex'!BC61</f>
        <v>0</v>
      </c>
      <c r="BD26" s="840">
        <f>'3-A. CI Sub-Annex'!BD61</f>
        <v>0</v>
      </c>
      <c r="BE26" s="840">
        <f>'3-A. CI Sub-Annex'!BE61</f>
        <v>0</v>
      </c>
      <c r="BF26" s="840">
        <f>'3-A. CI Sub-Annex'!BF61</f>
        <v>0</v>
      </c>
      <c r="BG26" s="840">
        <f>'3-A. CI Sub-Annex'!BG61</f>
        <v>0</v>
      </c>
      <c r="BH26" s="840">
        <f>'3-A. CI Sub-Annex'!BH61</f>
        <v>0</v>
      </c>
      <c r="BI26" s="840">
        <f>'3-A. CI Sub-Annex'!BI61</f>
        <v>0</v>
      </c>
      <c r="BJ26" s="840">
        <f>'3-A. CI Sub-Annex'!BJ61</f>
        <v>0</v>
      </c>
      <c r="BK26" s="840">
        <f>'3-A. CI Sub-Annex'!BK61</f>
        <v>0</v>
      </c>
      <c r="BL26" s="840">
        <f>'3-A. CI Sub-Annex'!BL61</f>
        <v>0</v>
      </c>
      <c r="BM26" s="840">
        <f>'3-A. CI Sub-Annex'!BM61</f>
        <v>0</v>
      </c>
      <c r="BN26" s="840">
        <f>'3-A. CI Sub-Annex'!BN61</f>
        <v>0</v>
      </c>
      <c r="BO26" s="840">
        <f>'3-A. CI Sub-Annex'!BO61</f>
        <v>0</v>
      </c>
      <c r="BP26" s="840">
        <f>'3-A. CI Sub-Annex'!BP61</f>
        <v>0</v>
      </c>
      <c r="BQ26" s="840">
        <f>'3-A. CI Sub-Annex'!BQ61</f>
        <v>0</v>
      </c>
      <c r="BR26" s="840">
        <f>'3-A. CI Sub-Annex'!BR61</f>
        <v>0</v>
      </c>
      <c r="BS26" s="840">
        <f>'3-A. CI Sub-Annex'!BS61</f>
        <v>0</v>
      </c>
      <c r="BT26" s="840">
        <f>'3-A. CI Sub-Annex'!BT61</f>
        <v>0</v>
      </c>
      <c r="BU26" s="840">
        <f>'3-A. CI Sub-Annex'!BU61</f>
        <v>0</v>
      </c>
      <c r="BV26" s="840">
        <f>'3-A. CI Sub-Annex'!BV61</f>
        <v>0</v>
      </c>
      <c r="BW26" s="840">
        <f>'3-A. CI Sub-Annex'!BW61</f>
        <v>0</v>
      </c>
      <c r="BX26" s="840">
        <f>'3-A. CI Sub-Annex'!BX61</f>
        <v>0</v>
      </c>
      <c r="BY26" s="840">
        <f>'3-A. CI Sub-Annex'!BY61</f>
        <v>0</v>
      </c>
      <c r="BZ26" s="840">
        <f>'3-A. CI Sub-Annex'!BZ61</f>
        <v>0</v>
      </c>
      <c r="CA26" s="840">
        <f>'3-A. CI Sub-Annex'!CA61</f>
        <v>0</v>
      </c>
      <c r="CB26" s="840">
        <f>'3-A. CI Sub-Annex'!CB61</f>
        <v>0</v>
      </c>
      <c r="CC26" s="840">
        <f>'3-A. CI Sub-Annex'!CC61</f>
        <v>0</v>
      </c>
      <c r="CD26" s="840">
        <f>'3-A. CI Sub-Annex'!CD61</f>
        <v>0</v>
      </c>
      <c r="CE26" s="840">
        <f>'3-A. CI Sub-Annex'!CE61</f>
        <v>0</v>
      </c>
      <c r="CF26" s="840">
        <f>'3-A. CI Sub-Annex'!CF61</f>
        <v>0</v>
      </c>
      <c r="CG26" s="840">
        <f>'3-A. CI Sub-Annex'!CG61</f>
        <v>0</v>
      </c>
      <c r="CH26" s="840">
        <f>'3-A. CI Sub-Annex'!CH61</f>
        <v>0</v>
      </c>
      <c r="CI26" s="840">
        <f t="shared" si="0"/>
        <v>0</v>
      </c>
    </row>
    <row r="27" spans="1:87">
      <c r="A27" s="1079" t="s">
        <v>223</v>
      </c>
      <c r="B27" s="1097"/>
      <c r="C27" s="882" t="s">
        <v>1132</v>
      </c>
      <c r="D27" s="1091" t="s">
        <v>65</v>
      </c>
      <c r="E27" s="1093" t="s">
        <v>2583</v>
      </c>
      <c r="F27" s="1094"/>
      <c r="G27" s="1094"/>
      <c r="H27" s="1094"/>
      <c r="I27" s="1094"/>
      <c r="J27" s="1094"/>
      <c r="K27" s="1075"/>
      <c r="L27" s="1098"/>
      <c r="M27" s="837"/>
      <c r="N27" s="1098"/>
      <c r="O27" s="1095">
        <f>'3-A. CI Sub-Annex'!O72</f>
        <v>0</v>
      </c>
      <c r="P27" s="846"/>
      <c r="Q27" s="839"/>
      <c r="R27" s="840">
        <f>'3-A. CI Sub-Annex'!R72</f>
        <v>0</v>
      </c>
      <c r="S27" s="1050"/>
      <c r="BB27" s="840">
        <f>'3-A. CI Sub-Annex'!BB62</f>
        <v>4.33</v>
      </c>
      <c r="BC27" s="840">
        <f>'3-A. CI Sub-Annex'!BC62</f>
        <v>2.16</v>
      </c>
      <c r="BD27" s="840">
        <f>'3-A. CI Sub-Annex'!BD62</f>
        <v>0</v>
      </c>
      <c r="BE27" s="840">
        <f>'3-A. CI Sub-Annex'!BE62</f>
        <v>0</v>
      </c>
      <c r="BF27" s="840">
        <f>'3-A. CI Sub-Annex'!BF62</f>
        <v>0</v>
      </c>
      <c r="BG27" s="840">
        <f>'3-A. CI Sub-Annex'!BG62</f>
        <v>0</v>
      </c>
      <c r="BH27" s="840">
        <f>'3-A. CI Sub-Annex'!BH62</f>
        <v>0</v>
      </c>
      <c r="BI27" s="840">
        <f>'3-A. CI Sub-Annex'!BI62</f>
        <v>0</v>
      </c>
      <c r="BJ27" s="840">
        <f>'3-A. CI Sub-Annex'!BJ62</f>
        <v>0</v>
      </c>
      <c r="BK27" s="840">
        <f>'3-A. CI Sub-Annex'!BK62</f>
        <v>2.16</v>
      </c>
      <c r="BL27" s="840">
        <f>'3-A. CI Sub-Annex'!BL62</f>
        <v>0</v>
      </c>
      <c r="BM27" s="840">
        <f>'3-A. CI Sub-Annex'!BM62</f>
        <v>2.16</v>
      </c>
      <c r="BN27" s="840">
        <f>'3-A. CI Sub-Annex'!BN62</f>
        <v>0</v>
      </c>
      <c r="BO27" s="840">
        <f>'3-A. CI Sub-Annex'!BO62</f>
        <v>0</v>
      </c>
      <c r="BP27" s="840">
        <f>'3-A. CI Sub-Annex'!BP62</f>
        <v>0</v>
      </c>
      <c r="BQ27" s="840">
        <f>'3-A. CI Sub-Annex'!BQ62</f>
        <v>0</v>
      </c>
      <c r="BR27" s="840">
        <f>'3-A. CI Sub-Annex'!BR62</f>
        <v>0</v>
      </c>
      <c r="BS27" s="840">
        <f>'3-A. CI Sub-Annex'!BS62</f>
        <v>0</v>
      </c>
      <c r="BT27" s="840">
        <f>'3-A. CI Sub-Annex'!BT62</f>
        <v>0</v>
      </c>
      <c r="BU27" s="840">
        <f>'3-A. CI Sub-Annex'!BU62</f>
        <v>0</v>
      </c>
      <c r="BV27" s="840">
        <f>'3-A. CI Sub-Annex'!BV62</f>
        <v>0</v>
      </c>
      <c r="BW27" s="840">
        <f>'3-A. CI Sub-Annex'!BW62</f>
        <v>0</v>
      </c>
      <c r="BX27" s="840">
        <f>'3-A. CI Sub-Annex'!BX62</f>
        <v>0</v>
      </c>
      <c r="BY27" s="840">
        <f>'3-A. CI Sub-Annex'!BY62</f>
        <v>0</v>
      </c>
      <c r="BZ27" s="840">
        <f>'3-A. CI Sub-Annex'!BZ62</f>
        <v>0</v>
      </c>
      <c r="CA27" s="840">
        <f>'3-A. CI Sub-Annex'!CA62</f>
        <v>0</v>
      </c>
      <c r="CB27" s="840">
        <f>'3-A. CI Sub-Annex'!CB62</f>
        <v>0</v>
      </c>
      <c r="CC27" s="840">
        <f>'3-A. CI Sub-Annex'!CC62</f>
        <v>0</v>
      </c>
      <c r="CD27" s="840">
        <f>'3-A. CI Sub-Annex'!CD62</f>
        <v>0</v>
      </c>
      <c r="CE27" s="840">
        <f>'3-A. CI Sub-Annex'!CE62</f>
        <v>0</v>
      </c>
      <c r="CF27" s="840">
        <f>'3-A. CI Sub-Annex'!CF62</f>
        <v>0</v>
      </c>
      <c r="CG27" s="840">
        <f>'3-A. CI Sub-Annex'!CG62</f>
        <v>0</v>
      </c>
      <c r="CH27" s="840">
        <f>'3-A. CI Sub-Annex'!CH62</f>
        <v>0</v>
      </c>
      <c r="CI27" s="840">
        <f t="shared" si="0"/>
        <v>10.81</v>
      </c>
    </row>
    <row r="28" spans="1:87">
      <c r="A28" s="1079" t="s">
        <v>229</v>
      </c>
      <c r="B28" s="1099"/>
      <c r="C28" s="225" t="s">
        <v>4375</v>
      </c>
      <c r="D28" s="1091" t="s">
        <v>65</v>
      </c>
      <c r="E28" s="1093" t="s">
        <v>2583</v>
      </c>
      <c r="F28" s="1094"/>
      <c r="G28" s="1094"/>
      <c r="H28" s="1094"/>
      <c r="I28" s="1094"/>
      <c r="J28" s="1094"/>
      <c r="K28" s="1075"/>
      <c r="L28" s="1098"/>
      <c r="M28" s="837"/>
      <c r="N28" s="1098"/>
      <c r="O28" s="1095">
        <f>'3-A. CI Sub-Annex'!O75</f>
        <v>27.585719999999998</v>
      </c>
      <c r="P28" s="846"/>
      <c r="Q28" s="839"/>
      <c r="R28" s="840">
        <f>'3-A. CI Sub-Annex'!R75</f>
        <v>27.59</v>
      </c>
      <c r="S28" s="1050"/>
      <c r="BB28" s="840">
        <f>'3-A. CI Sub-Annex'!BB63</f>
        <v>0</v>
      </c>
      <c r="BC28" s="840">
        <f>'3-A. CI Sub-Annex'!BC63</f>
        <v>0</v>
      </c>
      <c r="BD28" s="840">
        <f>'3-A. CI Sub-Annex'!BD63</f>
        <v>3.04</v>
      </c>
      <c r="BE28" s="840">
        <f>'3-A. CI Sub-Annex'!BE63</f>
        <v>6.08</v>
      </c>
      <c r="BF28" s="840">
        <f>'3-A. CI Sub-Annex'!BF63</f>
        <v>6.08</v>
      </c>
      <c r="BG28" s="840">
        <f>'3-A. CI Sub-Annex'!BG63</f>
        <v>0</v>
      </c>
      <c r="BH28" s="840">
        <f>'3-A. CI Sub-Annex'!BH63</f>
        <v>3.04</v>
      </c>
      <c r="BI28" s="840">
        <f>'3-A. CI Sub-Annex'!BI63</f>
        <v>0</v>
      </c>
      <c r="BJ28" s="840">
        <f>'3-A. CI Sub-Annex'!BJ63</f>
        <v>4.5599999999999996</v>
      </c>
      <c r="BK28" s="840">
        <f>'3-A. CI Sub-Annex'!BK63</f>
        <v>13.58</v>
      </c>
      <c r="BL28" s="840">
        <f>'3-A. CI Sub-Annex'!BL63</f>
        <v>3.04</v>
      </c>
      <c r="BM28" s="840">
        <f>'3-A. CI Sub-Annex'!BM63</f>
        <v>4.5599999999999996</v>
      </c>
      <c r="BN28" s="840">
        <f>'3-A. CI Sub-Annex'!BN63</f>
        <v>4.5599999999999996</v>
      </c>
      <c r="BO28" s="840">
        <f>'3-A. CI Sub-Annex'!BO63</f>
        <v>0</v>
      </c>
      <c r="BP28" s="840">
        <f>'3-A. CI Sub-Annex'!BP63</f>
        <v>0</v>
      </c>
      <c r="BQ28" s="840">
        <f>'3-A. CI Sub-Annex'!BQ63</f>
        <v>0</v>
      </c>
      <c r="BR28" s="840">
        <f>'3-A. CI Sub-Annex'!BR63</f>
        <v>0</v>
      </c>
      <c r="BS28" s="840">
        <f>'3-A. CI Sub-Annex'!BS63</f>
        <v>0</v>
      </c>
      <c r="BT28" s="840">
        <f>'3-A. CI Sub-Annex'!BT63</f>
        <v>0</v>
      </c>
      <c r="BU28" s="840">
        <f>'3-A. CI Sub-Annex'!BU63</f>
        <v>0</v>
      </c>
      <c r="BV28" s="840">
        <f>'3-A. CI Sub-Annex'!BV63</f>
        <v>0</v>
      </c>
      <c r="BW28" s="840">
        <f>'3-A. CI Sub-Annex'!BW63</f>
        <v>0</v>
      </c>
      <c r="BX28" s="840">
        <f>'3-A. CI Sub-Annex'!BX63</f>
        <v>0</v>
      </c>
      <c r="BY28" s="840">
        <f>'3-A. CI Sub-Annex'!BY63</f>
        <v>0</v>
      </c>
      <c r="BZ28" s="840">
        <f>'3-A. CI Sub-Annex'!BZ63</f>
        <v>0</v>
      </c>
      <c r="CA28" s="840">
        <f>'3-A. CI Sub-Annex'!CA63</f>
        <v>0</v>
      </c>
      <c r="CB28" s="840">
        <f>'3-A. CI Sub-Annex'!CB63</f>
        <v>0</v>
      </c>
      <c r="CC28" s="840">
        <f>'3-A. CI Sub-Annex'!CC63</f>
        <v>0</v>
      </c>
      <c r="CD28" s="840">
        <f>'3-A. CI Sub-Annex'!CD63</f>
        <v>0</v>
      </c>
      <c r="CE28" s="840">
        <f>'3-A. CI Sub-Annex'!CE63</f>
        <v>0</v>
      </c>
      <c r="CF28" s="840">
        <f>'3-A. CI Sub-Annex'!CF63</f>
        <v>0</v>
      </c>
      <c r="CG28" s="840">
        <f>'3-A. CI Sub-Annex'!CG63</f>
        <v>0</v>
      </c>
      <c r="CH28" s="840">
        <f>'3-A. CI Sub-Annex'!CH63</f>
        <v>0</v>
      </c>
      <c r="CI28" s="840">
        <f t="shared" si="0"/>
        <v>48.540000000000006</v>
      </c>
    </row>
    <row r="29" spans="1:87" s="1101" customFormat="1">
      <c r="A29" s="1059" t="s">
        <v>43</v>
      </c>
      <c r="B29" s="1060"/>
      <c r="C29" s="1061" t="s">
        <v>4592</v>
      </c>
      <c r="D29" s="1062"/>
      <c r="E29" s="1062"/>
      <c r="F29" s="1063"/>
      <c r="G29" s="1063"/>
      <c r="H29" s="1063"/>
      <c r="I29" s="1063"/>
      <c r="J29" s="1063"/>
      <c r="K29" s="1064"/>
      <c r="L29" s="1063"/>
      <c r="M29" s="1065"/>
      <c r="N29" s="1066"/>
      <c r="O29" s="1067">
        <f>SUM(O30:O32)</f>
        <v>88.725999999999999</v>
      </c>
      <c r="P29" s="1068"/>
      <c r="Q29" s="841"/>
      <c r="R29" s="842">
        <f>SUM(R30:R32)</f>
        <v>88.73</v>
      </c>
      <c r="S29" s="1100"/>
      <c r="BB29" s="3225"/>
      <c r="BC29" s="3225"/>
      <c r="BD29" s="3225"/>
      <c r="BE29" s="3225"/>
      <c r="BF29" s="3225"/>
      <c r="BG29" s="3225"/>
      <c r="BH29" s="3225"/>
      <c r="BI29" s="3225"/>
      <c r="BJ29" s="3225"/>
      <c r="BK29" s="3225"/>
      <c r="BL29" s="3225"/>
      <c r="BM29" s="3225"/>
      <c r="BN29" s="3225"/>
      <c r="BO29" s="3225"/>
      <c r="BP29" s="3225"/>
      <c r="BQ29" s="3225"/>
      <c r="BR29" s="3225"/>
      <c r="BS29" s="3225"/>
      <c r="BT29" s="3225"/>
      <c r="BU29" s="3225"/>
      <c r="BV29" s="3225"/>
      <c r="BW29" s="3225"/>
      <c r="BX29" s="3225"/>
      <c r="BY29" s="3225"/>
      <c r="BZ29" s="3225"/>
      <c r="CA29" s="3225"/>
      <c r="CB29" s="3225"/>
      <c r="CC29" s="3225"/>
      <c r="CD29" s="3225"/>
      <c r="CE29" s="3225"/>
      <c r="CF29" s="3225"/>
      <c r="CG29" s="3225"/>
      <c r="CH29" s="3225"/>
      <c r="CI29" s="840">
        <f t="shared" si="0"/>
        <v>0</v>
      </c>
    </row>
    <row r="30" spans="1:87" ht="30">
      <c r="A30" s="1090" t="s">
        <v>234</v>
      </c>
      <c r="B30" s="1097"/>
      <c r="C30" s="882" t="s">
        <v>4593</v>
      </c>
      <c r="D30" s="1102" t="s">
        <v>65</v>
      </c>
      <c r="E30" s="1093" t="s">
        <v>2583</v>
      </c>
      <c r="F30" s="1103"/>
      <c r="G30" s="1104"/>
      <c r="H30" s="1105"/>
      <c r="I30" s="1105"/>
      <c r="J30" s="1103"/>
      <c r="K30" s="1075"/>
      <c r="L30" s="1098"/>
      <c r="M30" s="837"/>
      <c r="N30" s="1098"/>
      <c r="O30" s="1095">
        <f>'3-A. CI Sub-Annex'!O77</f>
        <v>88.725999999999999</v>
      </c>
      <c r="P30" s="846"/>
      <c r="Q30" s="839"/>
      <c r="R30" s="840">
        <f>'3-A. CI Sub-Annex'!R77</f>
        <v>88.73</v>
      </c>
      <c r="S30" s="1106"/>
      <c r="BB30" s="840">
        <f>'3-A. CI Sub-Annex'!BB77</f>
        <v>0</v>
      </c>
      <c r="BC30" s="840">
        <f>'3-A. CI Sub-Annex'!BC77</f>
        <v>0</v>
      </c>
      <c r="BD30" s="840">
        <f>'3-A. CI Sub-Annex'!BD77</f>
        <v>0</v>
      </c>
      <c r="BE30" s="840">
        <f>'3-A. CI Sub-Annex'!BE77</f>
        <v>0</v>
      </c>
      <c r="BF30" s="840">
        <f>'3-A. CI Sub-Annex'!BF77</f>
        <v>0</v>
      </c>
      <c r="BG30" s="840">
        <f>'3-A. CI Sub-Annex'!BG77</f>
        <v>0</v>
      </c>
      <c r="BH30" s="840">
        <f>'3-A. CI Sub-Annex'!BH77</f>
        <v>0</v>
      </c>
      <c r="BI30" s="840">
        <f>'3-A. CI Sub-Annex'!BI77</f>
        <v>0</v>
      </c>
      <c r="BJ30" s="840">
        <f>'3-A. CI Sub-Annex'!BJ77</f>
        <v>0</v>
      </c>
      <c r="BK30" s="840">
        <f>'3-A. CI Sub-Annex'!BK77</f>
        <v>0</v>
      </c>
      <c r="BL30" s="840">
        <f>'3-A. CI Sub-Annex'!BL77</f>
        <v>0</v>
      </c>
      <c r="BM30" s="840">
        <f>'3-A. CI Sub-Annex'!BM77</f>
        <v>0</v>
      </c>
      <c r="BN30" s="840">
        <f>'3-A. CI Sub-Annex'!BN77</f>
        <v>0</v>
      </c>
      <c r="BO30" s="840">
        <f>'3-A. CI Sub-Annex'!BO77</f>
        <v>0</v>
      </c>
      <c r="BP30" s="840">
        <f>'3-A. CI Sub-Annex'!BP77</f>
        <v>0</v>
      </c>
      <c r="BQ30" s="840">
        <f>'3-A. CI Sub-Annex'!BQ77</f>
        <v>0</v>
      </c>
      <c r="BR30" s="840">
        <f>'3-A. CI Sub-Annex'!BR77</f>
        <v>0</v>
      </c>
      <c r="BS30" s="840">
        <f>'3-A. CI Sub-Annex'!BS77</f>
        <v>0</v>
      </c>
      <c r="BT30" s="840">
        <f>'3-A. CI Sub-Annex'!BT77</f>
        <v>0</v>
      </c>
      <c r="BU30" s="840">
        <f>'3-A. CI Sub-Annex'!BU77</f>
        <v>0</v>
      </c>
      <c r="BV30" s="840">
        <f>'3-A. CI Sub-Annex'!BV77</f>
        <v>0</v>
      </c>
      <c r="BW30" s="840">
        <f>'3-A. CI Sub-Annex'!BW77</f>
        <v>0</v>
      </c>
      <c r="BX30" s="840">
        <f>'3-A. CI Sub-Annex'!BX77</f>
        <v>0</v>
      </c>
      <c r="BY30" s="840">
        <f>'3-A. CI Sub-Annex'!BY77</f>
        <v>0</v>
      </c>
      <c r="BZ30" s="840">
        <f>'3-A. CI Sub-Annex'!BZ77</f>
        <v>0</v>
      </c>
      <c r="CA30" s="840">
        <f>'3-A. CI Sub-Annex'!CA77</f>
        <v>0</v>
      </c>
      <c r="CB30" s="840">
        <f>'3-A. CI Sub-Annex'!CB77</f>
        <v>0</v>
      </c>
      <c r="CC30" s="840">
        <f>'3-A. CI Sub-Annex'!CC77</f>
        <v>0</v>
      </c>
      <c r="CD30" s="840">
        <f>'3-A. CI Sub-Annex'!CD77</f>
        <v>0</v>
      </c>
      <c r="CE30" s="840">
        <f>'3-A. CI Sub-Annex'!CE77</f>
        <v>0</v>
      </c>
      <c r="CF30" s="840">
        <f>'3-A. CI Sub-Annex'!CF77</f>
        <v>0</v>
      </c>
      <c r="CG30" s="840">
        <f>'3-A. CI Sub-Annex'!CG77</f>
        <v>0</v>
      </c>
      <c r="CH30" s="840">
        <f>'3-A. CI Sub-Annex'!CH77</f>
        <v>0</v>
      </c>
      <c r="CI30" s="840">
        <f t="shared" si="0"/>
        <v>0</v>
      </c>
    </row>
    <row r="31" spans="1:87">
      <c r="A31" s="1090" t="s">
        <v>237</v>
      </c>
      <c r="B31" s="1097" t="s">
        <v>4607</v>
      </c>
      <c r="C31" s="882" t="s">
        <v>362</v>
      </c>
      <c r="D31" s="1102" t="s">
        <v>65</v>
      </c>
      <c r="E31" s="1074" t="s">
        <v>2583</v>
      </c>
      <c r="F31" s="1103"/>
      <c r="G31" s="1104"/>
      <c r="H31" s="1105"/>
      <c r="I31" s="1105"/>
      <c r="J31" s="1103"/>
      <c r="K31" s="1075"/>
      <c r="L31" s="1098"/>
      <c r="M31" s="837"/>
      <c r="N31" s="1098"/>
      <c r="O31" s="1095">
        <f>'3-A. CI Sub-Annex'!O84</f>
        <v>0</v>
      </c>
      <c r="P31" s="846"/>
      <c r="Q31" s="846"/>
      <c r="R31" s="840">
        <f>'3-A. CI Sub-Annex'!R84</f>
        <v>0</v>
      </c>
      <c r="S31" s="1050"/>
      <c r="BB31" s="840"/>
      <c r="BC31" s="840"/>
      <c r="BD31" s="840"/>
      <c r="BE31" s="840"/>
      <c r="BF31" s="840"/>
      <c r="BG31" s="840"/>
      <c r="BH31" s="840"/>
      <c r="BI31" s="840"/>
      <c r="BJ31" s="840"/>
      <c r="BK31" s="840"/>
      <c r="BL31" s="840"/>
      <c r="BM31" s="840"/>
      <c r="BN31" s="840"/>
      <c r="BO31" s="840"/>
      <c r="BP31" s="840"/>
      <c r="BQ31" s="840"/>
      <c r="BR31" s="840"/>
      <c r="BS31" s="840"/>
      <c r="BT31" s="840"/>
      <c r="BU31" s="840"/>
      <c r="BV31" s="840"/>
      <c r="BW31" s="840"/>
      <c r="BX31" s="840"/>
      <c r="BY31" s="840"/>
      <c r="BZ31" s="840"/>
      <c r="CA31" s="840"/>
      <c r="CB31" s="840"/>
      <c r="CC31" s="840"/>
      <c r="CD31" s="840"/>
      <c r="CE31" s="840"/>
      <c r="CF31" s="840"/>
      <c r="CG31" s="840"/>
      <c r="CH31" s="840"/>
      <c r="CI31" s="840">
        <f t="shared" si="0"/>
        <v>0</v>
      </c>
    </row>
    <row r="32" spans="1:87">
      <c r="A32" s="1090" t="s">
        <v>239</v>
      </c>
      <c r="B32" s="1097"/>
      <c r="C32" s="882" t="s">
        <v>4375</v>
      </c>
      <c r="D32" s="1102" t="s">
        <v>65</v>
      </c>
      <c r="E32" s="1093" t="s">
        <v>2583</v>
      </c>
      <c r="F32" s="1103"/>
      <c r="G32" s="1104"/>
      <c r="H32" s="1105"/>
      <c r="I32" s="1105"/>
      <c r="J32" s="1103"/>
      <c r="K32" s="1075"/>
      <c r="L32" s="1098"/>
      <c r="M32" s="837"/>
      <c r="N32" s="1098"/>
      <c r="O32" s="1095">
        <f>'3-A. CI Sub-Annex'!O85</f>
        <v>0</v>
      </c>
      <c r="P32" s="846"/>
      <c r="Q32" s="839"/>
      <c r="R32" s="840">
        <f>'3-A. CI Sub-Annex'!R85</f>
        <v>0</v>
      </c>
      <c r="S32" s="1050"/>
      <c r="BB32" s="840">
        <f>'3-A. CI Sub-Annex'!BB79</f>
        <v>0</v>
      </c>
      <c r="BC32" s="840"/>
      <c r="BD32" s="840"/>
      <c r="BE32" s="840"/>
      <c r="BF32" s="840"/>
      <c r="BG32" s="840"/>
      <c r="BH32" s="840"/>
      <c r="BI32" s="840"/>
      <c r="BJ32" s="840"/>
      <c r="BK32" s="840"/>
      <c r="BL32" s="840"/>
      <c r="BM32" s="840"/>
      <c r="BN32" s="840"/>
      <c r="BO32" s="840"/>
      <c r="BP32" s="840"/>
      <c r="BQ32" s="840"/>
      <c r="BR32" s="840"/>
      <c r="BS32" s="840"/>
      <c r="BT32" s="840"/>
      <c r="BU32" s="840"/>
      <c r="BV32" s="840"/>
      <c r="BW32" s="840"/>
      <c r="BX32" s="840"/>
      <c r="BY32" s="840"/>
      <c r="BZ32" s="840"/>
      <c r="CA32" s="840"/>
      <c r="CB32" s="840"/>
      <c r="CC32" s="840"/>
      <c r="CD32" s="840"/>
      <c r="CE32" s="840"/>
      <c r="CF32" s="840"/>
      <c r="CG32" s="840"/>
      <c r="CH32" s="840"/>
      <c r="CI32" s="840">
        <f t="shared" si="0"/>
        <v>0</v>
      </c>
    </row>
    <row r="33" spans="1:87">
      <c r="A33" s="1051">
        <v>3.2</v>
      </c>
      <c r="B33" s="1052"/>
      <c r="C33" s="1053" t="s">
        <v>8</v>
      </c>
      <c r="D33" s="1054"/>
      <c r="E33" s="1054"/>
      <c r="F33" s="1055"/>
      <c r="G33" s="1055"/>
      <c r="H33" s="1055"/>
      <c r="I33" s="1055"/>
      <c r="J33" s="1055"/>
      <c r="K33" s="1056"/>
      <c r="L33" s="1055"/>
      <c r="M33" s="1057"/>
      <c r="N33" s="1054"/>
      <c r="O33" s="1057">
        <f>O34+O37+O45+O47+O48+O40</f>
        <v>121.896</v>
      </c>
      <c r="P33" s="1051"/>
      <c r="Q33" s="847"/>
      <c r="R33" s="1057">
        <f>R34+R37+R45+R47+R48+R40</f>
        <v>121.896</v>
      </c>
      <c r="S33" s="1050"/>
      <c r="BB33" s="840"/>
      <c r="BC33" s="840"/>
      <c r="BD33" s="840"/>
      <c r="BE33" s="840"/>
      <c r="BF33" s="840"/>
      <c r="BG33" s="840"/>
      <c r="BH33" s="840"/>
      <c r="BI33" s="840"/>
      <c r="BJ33" s="840"/>
      <c r="BK33" s="840"/>
      <c r="BL33" s="840"/>
      <c r="BM33" s="840"/>
      <c r="BN33" s="840"/>
      <c r="BO33" s="840"/>
      <c r="BP33" s="840"/>
      <c r="BQ33" s="840"/>
      <c r="BR33" s="840"/>
      <c r="BS33" s="840"/>
      <c r="BT33" s="840"/>
      <c r="BU33" s="840"/>
      <c r="BV33" s="840"/>
      <c r="BW33" s="840"/>
      <c r="BX33" s="840"/>
      <c r="BY33" s="840"/>
      <c r="BZ33" s="840"/>
      <c r="CA33" s="840"/>
      <c r="CB33" s="840"/>
      <c r="CC33" s="840"/>
      <c r="CD33" s="840"/>
      <c r="CE33" s="840"/>
      <c r="CF33" s="840"/>
      <c r="CG33" s="840"/>
      <c r="CH33" s="840"/>
      <c r="CI33" s="840">
        <f t="shared" si="0"/>
        <v>0</v>
      </c>
    </row>
    <row r="34" spans="1:87" ht="30.6" customHeight="1">
      <c r="A34" s="1107" t="s">
        <v>244</v>
      </c>
      <c r="B34" s="1060"/>
      <c r="C34" s="1061" t="s">
        <v>4612</v>
      </c>
      <c r="D34" s="1108"/>
      <c r="E34" s="1108"/>
      <c r="F34" s="1109"/>
      <c r="G34" s="1109"/>
      <c r="H34" s="1109"/>
      <c r="I34" s="1109"/>
      <c r="J34" s="1109"/>
      <c r="K34" s="1110"/>
      <c r="L34" s="1109"/>
      <c r="M34" s="1067"/>
      <c r="N34" s="1108"/>
      <c r="O34" s="1067">
        <f>SUM(O35:O36)</f>
        <v>12.696</v>
      </c>
      <c r="P34" s="1107"/>
      <c r="Q34" s="848"/>
      <c r="R34" s="1111">
        <f>SUM(R35:R36)</f>
        <v>12.696</v>
      </c>
      <c r="S34" s="1050"/>
      <c r="BB34" s="840"/>
      <c r="BC34" s="840"/>
      <c r="BD34" s="840"/>
      <c r="BE34" s="840"/>
      <c r="BF34" s="840"/>
      <c r="BG34" s="840"/>
      <c r="BH34" s="840"/>
      <c r="BI34" s="840"/>
      <c r="BJ34" s="840"/>
      <c r="BK34" s="840"/>
      <c r="BL34" s="840"/>
      <c r="BM34" s="840"/>
      <c r="BN34" s="840"/>
      <c r="BO34" s="840"/>
      <c r="BP34" s="840"/>
      <c r="BQ34" s="840"/>
      <c r="BR34" s="840"/>
      <c r="BS34" s="840"/>
      <c r="BT34" s="840"/>
      <c r="BU34" s="840"/>
      <c r="BV34" s="840"/>
      <c r="BW34" s="840"/>
      <c r="BX34" s="840"/>
      <c r="BY34" s="840"/>
      <c r="BZ34" s="840"/>
      <c r="CA34" s="840"/>
      <c r="CB34" s="840"/>
      <c r="CC34" s="840"/>
      <c r="CD34" s="840"/>
      <c r="CE34" s="840"/>
      <c r="CF34" s="840"/>
      <c r="CG34" s="840"/>
      <c r="CH34" s="840"/>
      <c r="CI34" s="840">
        <f t="shared" si="0"/>
        <v>0</v>
      </c>
    </row>
    <row r="35" spans="1:87" ht="30">
      <c r="A35" s="1090" t="s">
        <v>4615</v>
      </c>
      <c r="B35" s="1071" t="s">
        <v>245</v>
      </c>
      <c r="C35" s="1080" t="s">
        <v>4611</v>
      </c>
      <c r="D35" s="1073" t="s">
        <v>85</v>
      </c>
      <c r="E35" s="1093" t="s">
        <v>86</v>
      </c>
      <c r="F35" s="1103"/>
      <c r="G35" s="1103"/>
      <c r="H35" s="1103"/>
      <c r="I35" s="1103"/>
      <c r="J35" s="1103"/>
      <c r="K35" s="1075"/>
      <c r="L35" s="1098"/>
      <c r="M35" s="837"/>
      <c r="N35" s="1098"/>
      <c r="O35" s="1095">
        <f>'3-A. CI Sub-Annex'!O88</f>
        <v>0</v>
      </c>
      <c r="P35" s="846"/>
      <c r="Q35" s="839"/>
      <c r="R35" s="840">
        <f>'3-A. CI Sub-Annex'!R88</f>
        <v>0</v>
      </c>
      <c r="S35" s="1050"/>
      <c r="BB35" s="840">
        <f>'3-A. CI Sub-Annex'!BB88</f>
        <v>0</v>
      </c>
      <c r="BC35" s="840">
        <f>'3-A. CI Sub-Annex'!BC88</f>
        <v>0</v>
      </c>
      <c r="BD35" s="840">
        <f>'3-A. CI Sub-Annex'!BD88</f>
        <v>0</v>
      </c>
      <c r="BE35" s="840">
        <f>'3-A. CI Sub-Annex'!BE88</f>
        <v>0</v>
      </c>
      <c r="BF35" s="840">
        <f>'3-A. CI Sub-Annex'!BF88</f>
        <v>0</v>
      </c>
      <c r="BG35" s="840">
        <f>'3-A. CI Sub-Annex'!BG88</f>
        <v>0</v>
      </c>
      <c r="BH35" s="840">
        <f>'3-A. CI Sub-Annex'!BH88</f>
        <v>0</v>
      </c>
      <c r="BI35" s="840">
        <f>'3-A. CI Sub-Annex'!BI88</f>
        <v>0</v>
      </c>
      <c r="BJ35" s="840">
        <f>'3-A. CI Sub-Annex'!BJ88</f>
        <v>0</v>
      </c>
      <c r="BK35" s="840">
        <f>'3-A. CI Sub-Annex'!BK88</f>
        <v>0</v>
      </c>
      <c r="BL35" s="840">
        <f>'3-A. CI Sub-Annex'!BL88</f>
        <v>0</v>
      </c>
      <c r="BM35" s="840">
        <f>'3-A. CI Sub-Annex'!BM88</f>
        <v>0</v>
      </c>
      <c r="BN35" s="840">
        <f>'3-A. CI Sub-Annex'!BN88</f>
        <v>0</v>
      </c>
      <c r="BO35" s="840">
        <f>'3-A. CI Sub-Annex'!BO88</f>
        <v>0</v>
      </c>
      <c r="BP35" s="840">
        <f>'3-A. CI Sub-Annex'!BP88</f>
        <v>0</v>
      </c>
      <c r="BQ35" s="840">
        <f>'3-A. CI Sub-Annex'!BQ88</f>
        <v>0</v>
      </c>
      <c r="BR35" s="840">
        <f>'3-A. CI Sub-Annex'!BR88</f>
        <v>0</v>
      </c>
      <c r="BS35" s="840">
        <f>'3-A. CI Sub-Annex'!BS88</f>
        <v>0</v>
      </c>
      <c r="BT35" s="840">
        <f>'3-A. CI Sub-Annex'!BT88</f>
        <v>0</v>
      </c>
      <c r="BU35" s="840">
        <f>'3-A. CI Sub-Annex'!BU88</f>
        <v>0</v>
      </c>
      <c r="BV35" s="840">
        <f>'3-A. CI Sub-Annex'!BV88</f>
        <v>0</v>
      </c>
      <c r="BW35" s="840">
        <f>'3-A. CI Sub-Annex'!BW88</f>
        <v>0</v>
      </c>
      <c r="BX35" s="840">
        <f>'3-A. CI Sub-Annex'!BX88</f>
        <v>0</v>
      </c>
      <c r="BY35" s="840">
        <f>'3-A. CI Sub-Annex'!BY88</f>
        <v>0</v>
      </c>
      <c r="BZ35" s="840">
        <f>'3-A. CI Sub-Annex'!BZ88</f>
        <v>0</v>
      </c>
      <c r="CA35" s="840">
        <f>'3-A. CI Sub-Annex'!CA88</f>
        <v>0</v>
      </c>
      <c r="CB35" s="840">
        <f>'3-A. CI Sub-Annex'!CB88</f>
        <v>0</v>
      </c>
      <c r="CC35" s="840">
        <f>'3-A. CI Sub-Annex'!CC88</f>
        <v>0</v>
      </c>
      <c r="CD35" s="840">
        <f>'3-A. CI Sub-Annex'!CD88</f>
        <v>0</v>
      </c>
      <c r="CE35" s="840">
        <f>'3-A. CI Sub-Annex'!CE88</f>
        <v>0</v>
      </c>
      <c r="CF35" s="840">
        <f>'3-A. CI Sub-Annex'!CF88</f>
        <v>0</v>
      </c>
      <c r="CG35" s="840">
        <f>'3-A. CI Sub-Annex'!CG88</f>
        <v>0</v>
      </c>
      <c r="CH35" s="840">
        <f>'3-A. CI Sub-Annex'!CH88</f>
        <v>0</v>
      </c>
      <c r="CI35" s="840">
        <f t="shared" si="0"/>
        <v>0</v>
      </c>
    </row>
    <row r="36" spans="1:87" ht="30">
      <c r="A36" s="1090" t="s">
        <v>4616</v>
      </c>
      <c r="B36" s="1071" t="s">
        <v>247</v>
      </c>
      <c r="C36" s="1080" t="s">
        <v>4617</v>
      </c>
      <c r="D36" s="1073" t="s">
        <v>85</v>
      </c>
      <c r="E36" s="1093" t="s">
        <v>188</v>
      </c>
      <c r="F36" s="1103"/>
      <c r="G36" s="1104"/>
      <c r="H36" s="1105"/>
      <c r="I36" s="1105"/>
      <c r="J36" s="1112"/>
      <c r="K36" s="1075"/>
      <c r="L36" s="1098"/>
      <c r="M36" s="837"/>
      <c r="N36" s="1098"/>
      <c r="O36" s="1095">
        <f>'3-A. CI Sub-Annex'!O90</f>
        <v>12.696</v>
      </c>
      <c r="P36" s="846"/>
      <c r="Q36" s="839"/>
      <c r="R36" s="840">
        <f>'3-A. CI Sub-Annex'!R90</f>
        <v>12.696</v>
      </c>
      <c r="S36" s="1050"/>
      <c r="BB36" s="840">
        <f>'3-A. CI Sub-Annex'!BB89</f>
        <v>0</v>
      </c>
      <c r="BC36" s="840">
        <f>'3-A. CI Sub-Annex'!BC89</f>
        <v>0</v>
      </c>
      <c r="BD36" s="840">
        <f>'3-A. CI Sub-Annex'!BD89</f>
        <v>0</v>
      </c>
      <c r="BE36" s="840">
        <f>'3-A. CI Sub-Annex'!BE89</f>
        <v>0</v>
      </c>
      <c r="BF36" s="840">
        <f>'3-A. CI Sub-Annex'!BF89</f>
        <v>0</v>
      </c>
      <c r="BG36" s="840">
        <f>'3-A. CI Sub-Annex'!BG89</f>
        <v>0</v>
      </c>
      <c r="BH36" s="840">
        <f>'3-A. CI Sub-Annex'!BH89</f>
        <v>0</v>
      </c>
      <c r="BI36" s="840">
        <f>'3-A. CI Sub-Annex'!BI89</f>
        <v>0</v>
      </c>
      <c r="BJ36" s="840">
        <f>'3-A. CI Sub-Annex'!BJ89</f>
        <v>0</v>
      </c>
      <c r="BK36" s="840">
        <f>'3-A. CI Sub-Annex'!BK89</f>
        <v>0</v>
      </c>
      <c r="BL36" s="840">
        <f>'3-A. CI Sub-Annex'!BL89</f>
        <v>0</v>
      </c>
      <c r="BM36" s="840">
        <f>'3-A. CI Sub-Annex'!BM89</f>
        <v>0</v>
      </c>
      <c r="BN36" s="840">
        <f>'3-A. CI Sub-Annex'!BN89</f>
        <v>0</v>
      </c>
      <c r="BO36" s="840">
        <f>'3-A. CI Sub-Annex'!BO89</f>
        <v>0</v>
      </c>
      <c r="BP36" s="840">
        <f>'3-A. CI Sub-Annex'!BP89</f>
        <v>0</v>
      </c>
      <c r="BQ36" s="840">
        <f>'3-A. CI Sub-Annex'!BQ89</f>
        <v>0</v>
      </c>
      <c r="BR36" s="840">
        <f>'3-A. CI Sub-Annex'!BR89</f>
        <v>0</v>
      </c>
      <c r="BS36" s="840">
        <f>'3-A. CI Sub-Annex'!BS89</f>
        <v>0</v>
      </c>
      <c r="BT36" s="840">
        <f>'3-A. CI Sub-Annex'!BT89</f>
        <v>0</v>
      </c>
      <c r="BU36" s="840">
        <f>'3-A. CI Sub-Annex'!BU89</f>
        <v>0</v>
      </c>
      <c r="BV36" s="840">
        <f>'3-A. CI Sub-Annex'!BV89</f>
        <v>0</v>
      </c>
      <c r="BW36" s="840">
        <f>'3-A. CI Sub-Annex'!BW89</f>
        <v>0</v>
      </c>
      <c r="BX36" s="840">
        <f>'3-A. CI Sub-Annex'!BX89</f>
        <v>0</v>
      </c>
      <c r="BY36" s="840">
        <f>'3-A. CI Sub-Annex'!BY89</f>
        <v>0</v>
      </c>
      <c r="BZ36" s="840">
        <f>'3-A. CI Sub-Annex'!BZ89</f>
        <v>0</v>
      </c>
      <c r="CA36" s="840">
        <f>'3-A. CI Sub-Annex'!CA89</f>
        <v>0</v>
      </c>
      <c r="CB36" s="840">
        <f>'3-A. CI Sub-Annex'!CB89</f>
        <v>0</v>
      </c>
      <c r="CC36" s="840">
        <f>'3-A. CI Sub-Annex'!CC89</f>
        <v>0</v>
      </c>
      <c r="CD36" s="840">
        <f>'3-A. CI Sub-Annex'!CD89</f>
        <v>0</v>
      </c>
      <c r="CE36" s="840">
        <f>'3-A. CI Sub-Annex'!CE89</f>
        <v>0</v>
      </c>
      <c r="CF36" s="840">
        <f>'3-A. CI Sub-Annex'!CF89</f>
        <v>0</v>
      </c>
      <c r="CG36" s="840">
        <f>'3-A. CI Sub-Annex'!CG89</f>
        <v>0</v>
      </c>
      <c r="CH36" s="840">
        <f>'3-A. CI Sub-Annex'!CH89</f>
        <v>0</v>
      </c>
      <c r="CI36" s="840">
        <f t="shared" si="0"/>
        <v>0</v>
      </c>
    </row>
    <row r="37" spans="1:87" ht="29.45" customHeight="1">
      <c r="A37" s="1059" t="s">
        <v>246</v>
      </c>
      <c r="B37" s="1060"/>
      <c r="C37" s="1061" t="s">
        <v>5101</v>
      </c>
      <c r="D37" s="1062"/>
      <c r="E37" s="1062"/>
      <c r="F37" s="1063"/>
      <c r="G37" s="1063"/>
      <c r="H37" s="1063"/>
      <c r="I37" s="1063"/>
      <c r="J37" s="1063"/>
      <c r="K37" s="1064"/>
      <c r="L37" s="1063"/>
      <c r="M37" s="1065"/>
      <c r="N37" s="1066"/>
      <c r="O37" s="1067">
        <f>SUM(O38:O39)</f>
        <v>3.5</v>
      </c>
      <c r="P37" s="1068"/>
      <c r="Q37" s="841"/>
      <c r="R37" s="1069">
        <f>SUM(R38:R39)</f>
        <v>3.5</v>
      </c>
      <c r="S37" s="1050"/>
      <c r="BB37" s="840"/>
      <c r="BC37" s="840"/>
      <c r="BD37" s="840"/>
      <c r="BE37" s="840"/>
      <c r="BF37" s="840"/>
      <c r="BG37" s="840"/>
      <c r="BH37" s="840"/>
      <c r="BI37" s="840"/>
      <c r="BJ37" s="840"/>
      <c r="BK37" s="840"/>
      <c r="BL37" s="840"/>
      <c r="BM37" s="840"/>
      <c r="BN37" s="840"/>
      <c r="BO37" s="840"/>
      <c r="BP37" s="840"/>
      <c r="BQ37" s="840"/>
      <c r="BR37" s="840"/>
      <c r="BS37" s="840"/>
      <c r="BT37" s="840"/>
      <c r="BU37" s="840"/>
      <c r="BV37" s="840"/>
      <c r="BW37" s="840"/>
      <c r="BX37" s="840"/>
      <c r="BY37" s="840"/>
      <c r="BZ37" s="840"/>
      <c r="CA37" s="840"/>
      <c r="CB37" s="840"/>
      <c r="CC37" s="840"/>
      <c r="CD37" s="840"/>
      <c r="CE37" s="840"/>
      <c r="CF37" s="840"/>
      <c r="CG37" s="840"/>
      <c r="CH37" s="840"/>
      <c r="CI37" s="840">
        <f t="shared" si="0"/>
        <v>0</v>
      </c>
    </row>
    <row r="38" spans="1:87" s="1114" customFormat="1" ht="30">
      <c r="A38" s="1090" t="s">
        <v>4625</v>
      </c>
      <c r="B38" s="1090"/>
      <c r="C38" s="1080" t="s">
        <v>4621</v>
      </c>
      <c r="D38" s="1089" t="s">
        <v>4219</v>
      </c>
      <c r="E38" s="1074" t="s">
        <v>109</v>
      </c>
      <c r="F38" s="1081"/>
      <c r="G38" s="1082"/>
      <c r="H38" s="1083"/>
      <c r="I38" s="1083"/>
      <c r="J38" s="1081"/>
      <c r="K38" s="1075"/>
      <c r="L38" s="1081"/>
      <c r="M38" s="1076"/>
      <c r="N38" s="1074"/>
      <c r="O38" s="1078">
        <f>'3-A. CI Sub-Annex'!O93</f>
        <v>3.5</v>
      </c>
      <c r="P38" s="1079"/>
      <c r="Q38" s="849"/>
      <c r="R38" s="850">
        <f>'3-A. CI Sub-Annex'!R93</f>
        <v>3.5</v>
      </c>
      <c r="S38" s="1113"/>
      <c r="BB38" s="850">
        <f>'3-A. CI Sub-Annex'!BB93</f>
        <v>0</v>
      </c>
      <c r="BC38" s="850">
        <f>'3-A. CI Sub-Annex'!BC93</f>
        <v>0</v>
      </c>
      <c r="BD38" s="850">
        <f>'3-A. CI Sub-Annex'!BD93</f>
        <v>0</v>
      </c>
      <c r="BE38" s="850">
        <f>'3-A. CI Sub-Annex'!BE93</f>
        <v>0</v>
      </c>
      <c r="BF38" s="850">
        <f>'3-A. CI Sub-Annex'!BF93</f>
        <v>0</v>
      </c>
      <c r="BG38" s="850">
        <f>'3-A. CI Sub-Annex'!BG93</f>
        <v>0</v>
      </c>
      <c r="BH38" s="850">
        <f>'3-A. CI Sub-Annex'!BH93</f>
        <v>0</v>
      </c>
      <c r="BI38" s="850">
        <f>'3-A. CI Sub-Annex'!BI93</f>
        <v>0</v>
      </c>
      <c r="BJ38" s="850">
        <f>'3-A. CI Sub-Annex'!BJ93</f>
        <v>0</v>
      </c>
      <c r="BK38" s="850">
        <f>'3-A. CI Sub-Annex'!BK93</f>
        <v>0</v>
      </c>
      <c r="BL38" s="850">
        <f>'3-A. CI Sub-Annex'!BL93</f>
        <v>0</v>
      </c>
      <c r="BM38" s="850">
        <f>'3-A. CI Sub-Annex'!BM93</f>
        <v>0</v>
      </c>
      <c r="BN38" s="850">
        <f>'3-A. CI Sub-Annex'!BN93</f>
        <v>0</v>
      </c>
      <c r="BO38" s="850">
        <f>'3-A. CI Sub-Annex'!BO93</f>
        <v>0</v>
      </c>
      <c r="BP38" s="850">
        <f>'3-A. CI Sub-Annex'!BP93</f>
        <v>0</v>
      </c>
      <c r="BQ38" s="850">
        <f>'3-A. CI Sub-Annex'!BQ93</f>
        <v>0</v>
      </c>
      <c r="BR38" s="850">
        <f>'3-A. CI Sub-Annex'!BR93</f>
        <v>0</v>
      </c>
      <c r="BS38" s="850">
        <f>'3-A. CI Sub-Annex'!BS93</f>
        <v>0</v>
      </c>
      <c r="BT38" s="850">
        <f>'3-A. CI Sub-Annex'!BT93</f>
        <v>0</v>
      </c>
      <c r="BU38" s="850">
        <f>'3-A. CI Sub-Annex'!BU93</f>
        <v>0</v>
      </c>
      <c r="BV38" s="850">
        <f>'3-A. CI Sub-Annex'!BV93</f>
        <v>0</v>
      </c>
      <c r="BW38" s="850">
        <f>'3-A. CI Sub-Annex'!BW93</f>
        <v>0</v>
      </c>
      <c r="BX38" s="850">
        <f>'3-A. CI Sub-Annex'!BX93</f>
        <v>0</v>
      </c>
      <c r="BY38" s="850">
        <f>'3-A. CI Sub-Annex'!BY93</f>
        <v>0</v>
      </c>
      <c r="BZ38" s="850">
        <f>'3-A. CI Sub-Annex'!BZ93</f>
        <v>0</v>
      </c>
      <c r="CA38" s="850">
        <f>'3-A. CI Sub-Annex'!CA93</f>
        <v>0</v>
      </c>
      <c r="CB38" s="850">
        <f>'3-A. CI Sub-Annex'!CB93</f>
        <v>0</v>
      </c>
      <c r="CC38" s="850">
        <f>'3-A. CI Sub-Annex'!CC93</f>
        <v>0</v>
      </c>
      <c r="CD38" s="850">
        <f>'3-A. CI Sub-Annex'!CD93</f>
        <v>0</v>
      </c>
      <c r="CE38" s="850">
        <f>'3-A. CI Sub-Annex'!CE93</f>
        <v>0</v>
      </c>
      <c r="CF38" s="850">
        <f>'3-A. CI Sub-Annex'!CF93</f>
        <v>0</v>
      </c>
      <c r="CG38" s="850">
        <f>'3-A. CI Sub-Annex'!CG93</f>
        <v>0</v>
      </c>
      <c r="CH38" s="850">
        <f>'3-A. CI Sub-Annex'!CH93</f>
        <v>0</v>
      </c>
      <c r="CI38" s="840">
        <f t="shared" si="0"/>
        <v>0</v>
      </c>
    </row>
    <row r="39" spans="1:87" s="1114" customFormat="1" ht="30">
      <c r="A39" s="1090" t="s">
        <v>4626</v>
      </c>
      <c r="B39" s="1090"/>
      <c r="C39" s="1080" t="s">
        <v>4618</v>
      </c>
      <c r="D39" s="1089" t="s">
        <v>4219</v>
      </c>
      <c r="E39" s="1074" t="s">
        <v>3223</v>
      </c>
      <c r="F39" s="1081"/>
      <c r="G39" s="1082"/>
      <c r="H39" s="1083"/>
      <c r="I39" s="1083"/>
      <c r="J39" s="1081"/>
      <c r="K39" s="1075"/>
      <c r="L39" s="1098"/>
      <c r="M39" s="837"/>
      <c r="N39" s="1098"/>
      <c r="O39" s="1078">
        <f>'3-A. CI Sub-Annex'!O112</f>
        <v>0</v>
      </c>
      <c r="P39" s="1079"/>
      <c r="Q39" s="831"/>
      <c r="R39" s="834">
        <f>'3-A. CI Sub-Annex'!R112</f>
        <v>0</v>
      </c>
      <c r="S39" s="1113"/>
      <c r="BB39" s="833"/>
      <c r="BC39" s="833"/>
      <c r="BD39" s="833"/>
      <c r="BE39" s="833"/>
      <c r="BF39" s="833"/>
      <c r="BG39" s="833"/>
      <c r="BH39" s="833"/>
      <c r="BI39" s="833"/>
      <c r="BJ39" s="833"/>
      <c r="BK39" s="833"/>
      <c r="BL39" s="833"/>
      <c r="BM39" s="833"/>
      <c r="BN39" s="833"/>
      <c r="BO39" s="833"/>
      <c r="BP39" s="833"/>
      <c r="BQ39" s="833"/>
      <c r="BR39" s="833"/>
      <c r="BS39" s="833"/>
      <c r="BT39" s="833"/>
      <c r="BU39" s="833"/>
      <c r="BV39" s="833"/>
      <c r="BW39" s="833"/>
      <c r="BX39" s="833"/>
      <c r="BY39" s="833"/>
      <c r="BZ39" s="833"/>
      <c r="CA39" s="833"/>
      <c r="CB39" s="833"/>
      <c r="CC39" s="833"/>
      <c r="CD39" s="833"/>
      <c r="CE39" s="833"/>
      <c r="CF39" s="833"/>
      <c r="CG39" s="833"/>
      <c r="CH39" s="833"/>
      <c r="CI39" s="840">
        <f t="shared" si="0"/>
        <v>0</v>
      </c>
    </row>
    <row r="40" spans="1:87" s="1114" customFormat="1" ht="30">
      <c r="A40" s="1059" t="s">
        <v>249</v>
      </c>
      <c r="B40" s="1060"/>
      <c r="C40" s="1061" t="s">
        <v>5102</v>
      </c>
      <c r="D40" s="1062"/>
      <c r="E40" s="1062"/>
      <c r="F40" s="1063"/>
      <c r="G40" s="1063"/>
      <c r="H40" s="1063"/>
      <c r="I40" s="1063"/>
      <c r="J40" s="1063"/>
      <c r="K40" s="1064"/>
      <c r="L40" s="1063"/>
      <c r="M40" s="1065"/>
      <c r="N40" s="1066"/>
      <c r="O40" s="1067">
        <f>SUM(O41:O44)</f>
        <v>105.7</v>
      </c>
      <c r="P40" s="1068"/>
      <c r="Q40" s="841"/>
      <c r="R40" s="1067">
        <f>SUM(R41:R44)</f>
        <v>105.7</v>
      </c>
      <c r="S40" s="1113"/>
      <c r="BB40" s="833"/>
      <c r="BC40" s="833"/>
      <c r="BD40" s="833"/>
      <c r="BE40" s="833"/>
      <c r="BF40" s="833"/>
      <c r="BG40" s="833"/>
      <c r="BH40" s="833"/>
      <c r="BI40" s="833"/>
      <c r="BJ40" s="833"/>
      <c r="BK40" s="833"/>
      <c r="BL40" s="833"/>
      <c r="BM40" s="833"/>
      <c r="BN40" s="833"/>
      <c r="BO40" s="833"/>
      <c r="BP40" s="833"/>
      <c r="BQ40" s="833"/>
      <c r="BR40" s="833"/>
      <c r="BS40" s="833"/>
      <c r="BT40" s="833"/>
      <c r="BU40" s="833"/>
      <c r="BV40" s="833"/>
      <c r="BW40" s="833"/>
      <c r="BX40" s="833"/>
      <c r="BY40" s="833"/>
      <c r="BZ40" s="833"/>
      <c r="CA40" s="833"/>
      <c r="CB40" s="833"/>
      <c r="CC40" s="833"/>
      <c r="CD40" s="833"/>
      <c r="CE40" s="833"/>
      <c r="CF40" s="833"/>
      <c r="CG40" s="833"/>
      <c r="CH40" s="833"/>
      <c r="CI40" s="840">
        <f t="shared" si="0"/>
        <v>0</v>
      </c>
    </row>
    <row r="41" spans="1:87" s="1114" customFormat="1" ht="75">
      <c r="A41" s="1090" t="s">
        <v>3937</v>
      </c>
      <c r="B41" s="1090" t="s">
        <v>4238</v>
      </c>
      <c r="C41" s="1080" t="s">
        <v>4236</v>
      </c>
      <c r="D41" s="1089" t="s">
        <v>4219</v>
      </c>
      <c r="E41" s="1074" t="s">
        <v>4525</v>
      </c>
      <c r="F41" s="849">
        <f>'3-A. CI Sub-Annex'!F107</f>
        <v>7000</v>
      </c>
      <c r="G41" s="849">
        <f>'3-A. CI Sub-Annex'!G107</f>
        <v>4500</v>
      </c>
      <c r="H41" s="849">
        <f>'3-A. CI Sub-Annex'!H107</f>
        <v>70</v>
      </c>
      <c r="I41" s="849">
        <f>'3-A. CI Sub-Annex'!I107</f>
        <v>27.51</v>
      </c>
      <c r="J41" s="849">
        <f>'3-A. CI Sub-Annex'!J107</f>
        <v>40</v>
      </c>
      <c r="K41" s="1075">
        <f>'3-A. CI Sub-Annex'!K107</f>
        <v>7000</v>
      </c>
      <c r="L41" s="1075">
        <f>'3-A. CI Sub-Annex'!L107</f>
        <v>1000</v>
      </c>
      <c r="M41" s="562">
        <f>'3-A. CI Sub-Annex'!M107</f>
        <v>0.01</v>
      </c>
      <c r="N41" s="1075">
        <f>'3-A. CI Sub-Annex'!N107</f>
        <v>7000</v>
      </c>
      <c r="O41" s="562">
        <f>'3-A. CI Sub-Annex'!O107</f>
        <v>70</v>
      </c>
      <c r="P41" s="480"/>
      <c r="Q41" s="391" t="str">
        <f>'3-A. CI Sub-Annex'!Q107</f>
        <v>Recommended Rs 70 lakhs towards Treatment Supporter Honorarium for DSTB patients</v>
      </c>
      <c r="R41" s="562">
        <f>'3-A. CI Sub-Annex'!R107</f>
        <v>70</v>
      </c>
      <c r="S41" s="1113"/>
      <c r="BB41" s="562">
        <f>'3-A. CI Sub-Annex'!BB107</f>
        <v>0</v>
      </c>
      <c r="BC41" s="562">
        <f>'3-A. CI Sub-Annex'!BC107</f>
        <v>2.48</v>
      </c>
      <c r="BD41" s="562">
        <f>'3-A. CI Sub-Annex'!BD107</f>
        <v>0.52</v>
      </c>
      <c r="BE41" s="562">
        <f>'3-A. CI Sub-Annex'!BE107</f>
        <v>3.06</v>
      </c>
      <c r="BF41" s="562">
        <f>'3-A. CI Sub-Annex'!BF107</f>
        <v>17.12</v>
      </c>
      <c r="BG41" s="562">
        <f>'3-A. CI Sub-Annex'!BG107</f>
        <v>0.51</v>
      </c>
      <c r="BH41" s="562">
        <f>'3-A. CI Sub-Annex'!BH107</f>
        <v>6.45</v>
      </c>
      <c r="BI41" s="562">
        <f>'3-A. CI Sub-Annex'!BI107</f>
        <v>0.15</v>
      </c>
      <c r="BJ41" s="562">
        <f>'3-A. CI Sub-Annex'!BJ107</f>
        <v>9.92</v>
      </c>
      <c r="BK41" s="562">
        <f>'3-A. CI Sub-Annex'!BK107</f>
        <v>13.43</v>
      </c>
      <c r="BL41" s="562">
        <f>'3-A. CI Sub-Annex'!BL107</f>
        <v>5.41</v>
      </c>
      <c r="BM41" s="562">
        <f>'3-A. CI Sub-Annex'!BM107</f>
        <v>8.0500000000000007</v>
      </c>
      <c r="BN41" s="562">
        <f>'3-A. CI Sub-Annex'!BN107</f>
        <v>2.9</v>
      </c>
      <c r="BO41" s="562">
        <f>'3-A. CI Sub-Annex'!BO107</f>
        <v>0</v>
      </c>
      <c r="BP41" s="562">
        <f>'3-A. CI Sub-Annex'!BP107</f>
        <v>0</v>
      </c>
      <c r="BQ41" s="562">
        <f>'3-A. CI Sub-Annex'!BQ107</f>
        <v>0</v>
      </c>
      <c r="BR41" s="562">
        <f>'3-A. CI Sub-Annex'!BR107</f>
        <v>0</v>
      </c>
      <c r="BS41" s="562">
        <f>'3-A. CI Sub-Annex'!BS107</f>
        <v>0</v>
      </c>
      <c r="BT41" s="562">
        <f>'3-A. CI Sub-Annex'!BT107</f>
        <v>0</v>
      </c>
      <c r="BU41" s="562">
        <f>'3-A. CI Sub-Annex'!BU107</f>
        <v>0</v>
      </c>
      <c r="BV41" s="562">
        <f>'3-A. CI Sub-Annex'!BV107</f>
        <v>0</v>
      </c>
      <c r="BW41" s="562">
        <f>'3-A. CI Sub-Annex'!BW107</f>
        <v>0</v>
      </c>
      <c r="BX41" s="562">
        <f>'3-A. CI Sub-Annex'!BX107</f>
        <v>0</v>
      </c>
      <c r="BY41" s="562">
        <f>'3-A. CI Sub-Annex'!BY107</f>
        <v>0</v>
      </c>
      <c r="BZ41" s="562">
        <f>'3-A. CI Sub-Annex'!BZ107</f>
        <v>0</v>
      </c>
      <c r="CA41" s="562">
        <f>'3-A. CI Sub-Annex'!CA107</f>
        <v>0</v>
      </c>
      <c r="CB41" s="562">
        <f>'3-A. CI Sub-Annex'!CB107</f>
        <v>0</v>
      </c>
      <c r="CC41" s="562">
        <f>'3-A. CI Sub-Annex'!CC107</f>
        <v>0</v>
      </c>
      <c r="CD41" s="562">
        <f>'3-A. CI Sub-Annex'!CD107</f>
        <v>0</v>
      </c>
      <c r="CE41" s="562">
        <f>'3-A. CI Sub-Annex'!CE107</f>
        <v>0</v>
      </c>
      <c r="CF41" s="562">
        <f>'3-A. CI Sub-Annex'!CF107</f>
        <v>0</v>
      </c>
      <c r="CG41" s="562">
        <f>'3-A. CI Sub-Annex'!CG107</f>
        <v>0</v>
      </c>
      <c r="CH41" s="562">
        <f>'3-A. CI Sub-Annex'!CH107</f>
        <v>0</v>
      </c>
      <c r="CI41" s="840">
        <f t="shared" si="0"/>
        <v>70</v>
      </c>
    </row>
    <row r="42" spans="1:87" s="1114" customFormat="1" ht="75">
      <c r="A42" s="1090" t="s">
        <v>3938</v>
      </c>
      <c r="B42" s="1090" t="s">
        <v>4239</v>
      </c>
      <c r="C42" s="1080" t="s">
        <v>4237</v>
      </c>
      <c r="D42" s="1089" t="s">
        <v>4219</v>
      </c>
      <c r="E42" s="1074" t="s">
        <v>4525</v>
      </c>
      <c r="F42" s="849">
        <f>'3-A. CI Sub-Annex'!F108</f>
        <v>100</v>
      </c>
      <c r="G42" s="849">
        <f>'3-A. CI Sub-Annex'!G108</f>
        <v>80</v>
      </c>
      <c r="H42" s="849">
        <f>'3-A. CI Sub-Annex'!H108</f>
        <v>5</v>
      </c>
      <c r="I42" s="849">
        <f>'3-A. CI Sub-Annex'!I108</f>
        <v>0.62</v>
      </c>
      <c r="J42" s="849">
        <f>'3-A. CI Sub-Annex'!J108</f>
        <v>2</v>
      </c>
      <c r="K42" s="1075">
        <f>'3-A. CI Sub-Annex'!K108</f>
        <v>100</v>
      </c>
      <c r="L42" s="1075">
        <f>'3-A. CI Sub-Annex'!L108</f>
        <v>5000</v>
      </c>
      <c r="M42" s="562">
        <f>'3-A. CI Sub-Annex'!M108</f>
        <v>0.05</v>
      </c>
      <c r="N42" s="1075">
        <f>'3-A. CI Sub-Annex'!N108</f>
        <v>100</v>
      </c>
      <c r="O42" s="562">
        <f>'3-A. CI Sub-Annex'!O108</f>
        <v>5</v>
      </c>
      <c r="P42" s="480"/>
      <c r="Q42" s="391" t="str">
        <f>'3-A. CI Sub-Annex'!Q108</f>
        <v>Recommended Rs 5 lakhs for Treatment Supporter Honorarium for DRTB patients</v>
      </c>
      <c r="R42" s="562">
        <f>'3-A. CI Sub-Annex'!R108</f>
        <v>5</v>
      </c>
      <c r="S42" s="1113"/>
      <c r="BB42" s="562">
        <f>'3-A. CI Sub-Annex'!BB108</f>
        <v>0</v>
      </c>
      <c r="BC42" s="562">
        <f>'3-A. CI Sub-Annex'!BC108</f>
        <v>0.3</v>
      </c>
      <c r="BD42" s="562">
        <f>'3-A. CI Sub-Annex'!BD108</f>
        <v>0.45</v>
      </c>
      <c r="BE42" s="562">
        <f>'3-A. CI Sub-Annex'!BE108</f>
        <v>0.35</v>
      </c>
      <c r="BF42" s="562">
        <f>'3-A. CI Sub-Annex'!BF108</f>
        <v>0.85</v>
      </c>
      <c r="BG42" s="562">
        <f>'3-A. CI Sub-Annex'!BG108</f>
        <v>0.1</v>
      </c>
      <c r="BH42" s="562">
        <f>'3-A. CI Sub-Annex'!BH108</f>
        <v>0.5</v>
      </c>
      <c r="BI42" s="562">
        <f>'3-A. CI Sub-Annex'!BI108</f>
        <v>0.45</v>
      </c>
      <c r="BJ42" s="562">
        <f>'3-A. CI Sub-Annex'!BJ108</f>
        <v>0.6</v>
      </c>
      <c r="BK42" s="562">
        <f>'3-A. CI Sub-Annex'!BK108</f>
        <v>0.45</v>
      </c>
      <c r="BL42" s="562">
        <f>'3-A. CI Sub-Annex'!BL108</f>
        <v>0.3</v>
      </c>
      <c r="BM42" s="562">
        <f>'3-A. CI Sub-Annex'!BM108</f>
        <v>0.35</v>
      </c>
      <c r="BN42" s="562">
        <f>'3-A. CI Sub-Annex'!BN108</f>
        <v>0.3</v>
      </c>
      <c r="BO42" s="562">
        <f>'3-A. CI Sub-Annex'!BO108</f>
        <v>0</v>
      </c>
      <c r="BP42" s="562">
        <f>'3-A. CI Sub-Annex'!BP108</f>
        <v>0</v>
      </c>
      <c r="BQ42" s="562">
        <f>'3-A. CI Sub-Annex'!BQ108</f>
        <v>0</v>
      </c>
      <c r="BR42" s="562">
        <f>'3-A. CI Sub-Annex'!BR108</f>
        <v>0</v>
      </c>
      <c r="BS42" s="562">
        <f>'3-A. CI Sub-Annex'!BS108</f>
        <v>0</v>
      </c>
      <c r="BT42" s="562">
        <f>'3-A. CI Sub-Annex'!BT108</f>
        <v>0</v>
      </c>
      <c r="BU42" s="562">
        <f>'3-A. CI Sub-Annex'!BU108</f>
        <v>0</v>
      </c>
      <c r="BV42" s="562">
        <f>'3-A. CI Sub-Annex'!BV108</f>
        <v>0</v>
      </c>
      <c r="BW42" s="562">
        <f>'3-A. CI Sub-Annex'!BW108</f>
        <v>0</v>
      </c>
      <c r="BX42" s="562">
        <f>'3-A. CI Sub-Annex'!BX108</f>
        <v>0</v>
      </c>
      <c r="BY42" s="562">
        <f>'3-A. CI Sub-Annex'!BY108</f>
        <v>0</v>
      </c>
      <c r="BZ42" s="562">
        <f>'3-A. CI Sub-Annex'!BZ108</f>
        <v>0</v>
      </c>
      <c r="CA42" s="562">
        <f>'3-A. CI Sub-Annex'!CA108</f>
        <v>0</v>
      </c>
      <c r="CB42" s="562">
        <f>'3-A. CI Sub-Annex'!CB108</f>
        <v>0</v>
      </c>
      <c r="CC42" s="562">
        <f>'3-A. CI Sub-Annex'!CC108</f>
        <v>0</v>
      </c>
      <c r="CD42" s="562">
        <f>'3-A. CI Sub-Annex'!CD108</f>
        <v>0</v>
      </c>
      <c r="CE42" s="562">
        <f>'3-A. CI Sub-Annex'!CE108</f>
        <v>0</v>
      </c>
      <c r="CF42" s="562">
        <f>'3-A. CI Sub-Annex'!CF108</f>
        <v>0</v>
      </c>
      <c r="CG42" s="562">
        <f>'3-A. CI Sub-Annex'!CG108</f>
        <v>0</v>
      </c>
      <c r="CH42" s="562">
        <f>'3-A. CI Sub-Annex'!CH108</f>
        <v>0</v>
      </c>
      <c r="CI42" s="840">
        <f t="shared" si="0"/>
        <v>5</v>
      </c>
    </row>
    <row r="43" spans="1:87" s="1114" customFormat="1" ht="120">
      <c r="A43" s="1090" t="s">
        <v>4408</v>
      </c>
      <c r="B43" s="1090"/>
      <c r="C43" s="1080" t="s">
        <v>4409</v>
      </c>
      <c r="D43" s="1089" t="s">
        <v>4219</v>
      </c>
      <c r="E43" s="1074" t="s">
        <v>4525</v>
      </c>
      <c r="F43" s="849">
        <f>'3-A. CI Sub-Annex'!F109</f>
        <v>3000</v>
      </c>
      <c r="G43" s="849">
        <f>'3-A. CI Sub-Annex'!G109</f>
        <v>995</v>
      </c>
      <c r="H43" s="849">
        <f>'3-A. CI Sub-Annex'!H109</f>
        <v>5</v>
      </c>
      <c r="I43" s="849">
        <f>'3-A. CI Sub-Annex'!I109</f>
        <v>1.75</v>
      </c>
      <c r="J43" s="849">
        <f>'3-A. CI Sub-Annex'!J109</f>
        <v>5</v>
      </c>
      <c r="K43" s="1075">
        <f>'3-A. CI Sub-Annex'!K109</f>
        <v>3000</v>
      </c>
      <c r="L43" s="1075">
        <f>'3-A. CI Sub-Annex'!L109</f>
        <v>500</v>
      </c>
      <c r="M43" s="562">
        <f>'3-A. CI Sub-Annex'!M109</f>
        <v>5.0000000000000001E-3</v>
      </c>
      <c r="N43" s="1075">
        <f>'3-A. CI Sub-Annex'!N109</f>
        <v>3000</v>
      </c>
      <c r="O43" s="562">
        <f>'3-A. CI Sub-Annex'!O109</f>
        <v>15</v>
      </c>
      <c r="P43" s="480"/>
      <c r="Q43" s="391" t="str">
        <f>'3-A. CI Sub-Annex'!Q109</f>
        <v>Recommended Rs 15 lakhs towards Informant Incentives for referral of presumptive TB patients to public health facility for diagnosed TB patients</v>
      </c>
      <c r="R43" s="562">
        <f>'3-A. CI Sub-Annex'!R109</f>
        <v>15</v>
      </c>
      <c r="S43" s="1113"/>
      <c r="BB43" s="562">
        <f>'3-A. CI Sub-Annex'!BB109</f>
        <v>0</v>
      </c>
      <c r="BC43" s="562">
        <f>'3-A. CI Sub-Annex'!BC109</f>
        <v>1</v>
      </c>
      <c r="BD43" s="562">
        <f>'3-A. CI Sub-Annex'!BD109</f>
        <v>1.05</v>
      </c>
      <c r="BE43" s="562">
        <f>'3-A. CI Sub-Annex'!BE109</f>
        <v>1.1499999999999999</v>
      </c>
      <c r="BF43" s="562">
        <f>'3-A. CI Sub-Annex'!BF109</f>
        <v>2.4</v>
      </c>
      <c r="BG43" s="562">
        <f>'3-A. CI Sub-Annex'!BG109</f>
        <v>0.64</v>
      </c>
      <c r="BH43" s="562">
        <f>'3-A. CI Sub-Annex'!BH109</f>
        <v>1.2</v>
      </c>
      <c r="BI43" s="562">
        <f>'3-A. CI Sub-Annex'!BI109</f>
        <v>0.55000000000000004</v>
      </c>
      <c r="BJ43" s="562">
        <f>'3-A. CI Sub-Annex'!BJ109</f>
        <v>1.53</v>
      </c>
      <c r="BK43" s="562">
        <f>'3-A. CI Sub-Annex'!BK109</f>
        <v>1.55</v>
      </c>
      <c r="BL43" s="562">
        <f>'3-A. CI Sub-Annex'!BL109</f>
        <v>1.38</v>
      </c>
      <c r="BM43" s="562">
        <f>'3-A. CI Sub-Annex'!BM109</f>
        <v>1.5</v>
      </c>
      <c r="BN43" s="562">
        <f>'3-A. CI Sub-Annex'!BN109</f>
        <v>1.05</v>
      </c>
      <c r="BO43" s="562">
        <f>'3-A. CI Sub-Annex'!BO109</f>
        <v>0</v>
      </c>
      <c r="BP43" s="562">
        <f>'3-A. CI Sub-Annex'!BP109</f>
        <v>0</v>
      </c>
      <c r="BQ43" s="562">
        <f>'3-A. CI Sub-Annex'!BQ109</f>
        <v>0</v>
      </c>
      <c r="BR43" s="562">
        <f>'3-A. CI Sub-Annex'!BR109</f>
        <v>0</v>
      </c>
      <c r="BS43" s="562">
        <f>'3-A. CI Sub-Annex'!BS109</f>
        <v>0</v>
      </c>
      <c r="BT43" s="562">
        <f>'3-A. CI Sub-Annex'!BT109</f>
        <v>0</v>
      </c>
      <c r="BU43" s="562">
        <f>'3-A. CI Sub-Annex'!BU109</f>
        <v>0</v>
      </c>
      <c r="BV43" s="562">
        <f>'3-A. CI Sub-Annex'!BV109</f>
        <v>0</v>
      </c>
      <c r="BW43" s="562">
        <f>'3-A. CI Sub-Annex'!BW109</f>
        <v>0</v>
      </c>
      <c r="BX43" s="562">
        <f>'3-A. CI Sub-Annex'!BX109</f>
        <v>0</v>
      </c>
      <c r="BY43" s="562">
        <f>'3-A. CI Sub-Annex'!BY109</f>
        <v>0</v>
      </c>
      <c r="BZ43" s="562">
        <f>'3-A. CI Sub-Annex'!BZ109</f>
        <v>0</v>
      </c>
      <c r="CA43" s="562">
        <f>'3-A. CI Sub-Annex'!CA109</f>
        <v>0</v>
      </c>
      <c r="CB43" s="562">
        <f>'3-A. CI Sub-Annex'!CB109</f>
        <v>0</v>
      </c>
      <c r="CC43" s="562">
        <f>'3-A. CI Sub-Annex'!CC109</f>
        <v>0</v>
      </c>
      <c r="CD43" s="562">
        <f>'3-A. CI Sub-Annex'!CD109</f>
        <v>0</v>
      </c>
      <c r="CE43" s="562">
        <f>'3-A. CI Sub-Annex'!CE109</f>
        <v>0</v>
      </c>
      <c r="CF43" s="562">
        <f>'3-A. CI Sub-Annex'!CF109</f>
        <v>0</v>
      </c>
      <c r="CG43" s="562">
        <f>'3-A. CI Sub-Annex'!CG109</f>
        <v>0</v>
      </c>
      <c r="CH43" s="562">
        <f>'3-A. CI Sub-Annex'!CH109</f>
        <v>0</v>
      </c>
      <c r="CI43" s="840">
        <f t="shared" si="0"/>
        <v>15</v>
      </c>
    </row>
    <row r="44" spans="1:87" s="1114" customFormat="1">
      <c r="A44" s="1090" t="s">
        <v>5103</v>
      </c>
      <c r="B44" s="1090"/>
      <c r="C44" s="1080" t="s">
        <v>5104</v>
      </c>
      <c r="D44" s="1089" t="s">
        <v>4219</v>
      </c>
      <c r="E44" s="1074" t="s">
        <v>4525</v>
      </c>
      <c r="F44" s="1081"/>
      <c r="G44" s="1082"/>
      <c r="H44" s="1083"/>
      <c r="I44" s="1083"/>
      <c r="J44" s="1081"/>
      <c r="K44" s="1075"/>
      <c r="L44" s="1098"/>
      <c r="M44" s="837"/>
      <c r="N44" s="1098"/>
      <c r="O44" s="1078">
        <f>'3-A. CI Sub-Annex'!O110+'3-A. CI Sub-Annex'!O111</f>
        <v>15.7</v>
      </c>
      <c r="P44" s="1079"/>
      <c r="Q44" s="831"/>
      <c r="R44" s="1078">
        <f>'3-A. CI Sub-Annex'!R110+'3-A. CI Sub-Annex'!R111</f>
        <v>15.7</v>
      </c>
      <c r="S44" s="1113"/>
      <c r="BB44" s="562">
        <f>'3-A. CI Sub-Annex'!BB110</f>
        <v>4.3499999999999996</v>
      </c>
      <c r="BC44" s="562">
        <f>'3-A. CI Sub-Annex'!BC110</f>
        <v>0.3</v>
      </c>
      <c r="BD44" s="562">
        <f>'3-A. CI Sub-Annex'!BD110</f>
        <v>0.3</v>
      </c>
      <c r="BE44" s="562">
        <f>'3-A. CI Sub-Annex'!BE110</f>
        <v>0.3</v>
      </c>
      <c r="BF44" s="562">
        <f>'3-A. CI Sub-Annex'!BF110</f>
        <v>0.5</v>
      </c>
      <c r="BG44" s="562">
        <f>'3-A. CI Sub-Annex'!BG110</f>
        <v>0.2</v>
      </c>
      <c r="BH44" s="562">
        <f>'3-A. CI Sub-Annex'!BH110</f>
        <v>0.35</v>
      </c>
      <c r="BI44" s="562">
        <f>'3-A. CI Sub-Annex'!BI110</f>
        <v>0.2</v>
      </c>
      <c r="BJ44" s="562">
        <f>'3-A. CI Sub-Annex'!BJ110</f>
        <v>0.4</v>
      </c>
      <c r="BK44" s="562">
        <f>'3-A. CI Sub-Annex'!BK110</f>
        <v>0.4</v>
      </c>
      <c r="BL44" s="562">
        <f>'3-A. CI Sub-Annex'!BL110</f>
        <v>0.3</v>
      </c>
      <c r="BM44" s="562">
        <f>'3-A. CI Sub-Annex'!BM110</f>
        <v>0.3</v>
      </c>
      <c r="BN44" s="562">
        <f>'3-A. CI Sub-Annex'!BN110</f>
        <v>0.3</v>
      </c>
      <c r="BO44" s="562">
        <f>'3-A. CI Sub-Annex'!BO110</f>
        <v>0</v>
      </c>
      <c r="BP44" s="562">
        <f>'3-A. CI Sub-Annex'!BP110</f>
        <v>0</v>
      </c>
      <c r="BQ44" s="562">
        <f>'3-A. CI Sub-Annex'!BQ110</f>
        <v>0</v>
      </c>
      <c r="BR44" s="562">
        <f>'3-A. CI Sub-Annex'!BR110</f>
        <v>0</v>
      </c>
      <c r="BS44" s="562">
        <f>'3-A. CI Sub-Annex'!BS110</f>
        <v>0</v>
      </c>
      <c r="BT44" s="562">
        <f>'3-A. CI Sub-Annex'!BT110</f>
        <v>0</v>
      </c>
      <c r="BU44" s="562">
        <f>'3-A. CI Sub-Annex'!BU110</f>
        <v>0</v>
      </c>
      <c r="BV44" s="562">
        <f>'3-A. CI Sub-Annex'!BV110</f>
        <v>0</v>
      </c>
      <c r="BW44" s="562">
        <f>'3-A. CI Sub-Annex'!BW110</f>
        <v>0</v>
      </c>
      <c r="BX44" s="562">
        <f>'3-A. CI Sub-Annex'!BX110</f>
        <v>0</v>
      </c>
      <c r="BY44" s="562">
        <f>'3-A. CI Sub-Annex'!BY110</f>
        <v>0</v>
      </c>
      <c r="BZ44" s="562">
        <f>'3-A. CI Sub-Annex'!BZ110</f>
        <v>0</v>
      </c>
      <c r="CA44" s="562">
        <f>'3-A. CI Sub-Annex'!CA110</f>
        <v>0</v>
      </c>
      <c r="CB44" s="562">
        <f>'3-A. CI Sub-Annex'!CB110</f>
        <v>0</v>
      </c>
      <c r="CC44" s="562">
        <f>'3-A. CI Sub-Annex'!CC110</f>
        <v>0</v>
      </c>
      <c r="CD44" s="562">
        <f>'3-A. CI Sub-Annex'!CD110</f>
        <v>0</v>
      </c>
      <c r="CE44" s="562">
        <f>'3-A. CI Sub-Annex'!CE110</f>
        <v>0</v>
      </c>
      <c r="CF44" s="562">
        <f>'3-A. CI Sub-Annex'!CF110</f>
        <v>0</v>
      </c>
      <c r="CG44" s="562">
        <f>'3-A. CI Sub-Annex'!CG110</f>
        <v>0</v>
      </c>
      <c r="CH44" s="562">
        <f>'3-A. CI Sub-Annex'!CH110</f>
        <v>0</v>
      </c>
      <c r="CI44" s="840">
        <f t="shared" si="0"/>
        <v>8.1999999999999993</v>
      </c>
    </row>
    <row r="45" spans="1:87" s="1114" customFormat="1" ht="30">
      <c r="A45" s="1059" t="s">
        <v>2474</v>
      </c>
      <c r="B45" s="1060"/>
      <c r="C45" s="1061" t="s">
        <v>4622</v>
      </c>
      <c r="D45" s="1062"/>
      <c r="E45" s="1062"/>
      <c r="F45" s="1063"/>
      <c r="G45" s="1063"/>
      <c r="H45" s="1063"/>
      <c r="I45" s="1063"/>
      <c r="J45" s="1063"/>
      <c r="K45" s="1064"/>
      <c r="L45" s="1063"/>
      <c r="M45" s="1065"/>
      <c r="N45" s="1066"/>
      <c r="O45" s="1067">
        <f>O46</f>
        <v>0</v>
      </c>
      <c r="P45" s="1068"/>
      <c r="Q45" s="841"/>
      <c r="R45" s="1069">
        <f>R46</f>
        <v>0</v>
      </c>
      <c r="S45" s="1113"/>
      <c r="BB45" s="833"/>
      <c r="BC45" s="833"/>
      <c r="BD45" s="833"/>
      <c r="BE45" s="833"/>
      <c r="BF45" s="833"/>
      <c r="BG45" s="833"/>
      <c r="BH45" s="833"/>
      <c r="BI45" s="833"/>
      <c r="BJ45" s="833"/>
      <c r="BK45" s="833"/>
      <c r="BL45" s="833"/>
      <c r="BM45" s="833"/>
      <c r="BN45" s="833"/>
      <c r="BO45" s="833"/>
      <c r="BP45" s="833"/>
      <c r="BQ45" s="833"/>
      <c r="BR45" s="833"/>
      <c r="BS45" s="833"/>
      <c r="BT45" s="833"/>
      <c r="BU45" s="833"/>
      <c r="BV45" s="833"/>
      <c r="BW45" s="833"/>
      <c r="BX45" s="833"/>
      <c r="BY45" s="833"/>
      <c r="BZ45" s="833"/>
      <c r="CA45" s="833"/>
      <c r="CB45" s="833"/>
      <c r="CC45" s="833"/>
      <c r="CD45" s="833"/>
      <c r="CE45" s="833"/>
      <c r="CF45" s="833"/>
      <c r="CG45" s="833"/>
      <c r="CH45" s="833"/>
      <c r="CI45" s="840">
        <f t="shared" si="0"/>
        <v>0</v>
      </c>
    </row>
    <row r="46" spans="1:87" s="1114" customFormat="1" ht="30">
      <c r="A46" s="1090" t="s">
        <v>2475</v>
      </c>
      <c r="B46" s="1090" t="s">
        <v>2265</v>
      </c>
      <c r="C46" s="1080" t="s">
        <v>4624</v>
      </c>
      <c r="D46" s="1115" t="s">
        <v>80</v>
      </c>
      <c r="E46" s="1074" t="s">
        <v>145</v>
      </c>
      <c r="F46" s="1081"/>
      <c r="G46" s="1082"/>
      <c r="H46" s="1083"/>
      <c r="I46" s="1083"/>
      <c r="J46" s="1081"/>
      <c r="K46" s="1075"/>
      <c r="L46" s="1081"/>
      <c r="M46" s="1076"/>
      <c r="N46" s="1074"/>
      <c r="O46" s="1078">
        <f>'3-A. CI Sub-Annex'!O116</f>
        <v>0</v>
      </c>
      <c r="P46" s="1079"/>
      <c r="Q46" s="849"/>
      <c r="R46" s="850">
        <f>'3-A. CI Sub-Annex'!R116</f>
        <v>0</v>
      </c>
      <c r="S46" s="1113"/>
      <c r="BB46" s="833"/>
      <c r="BC46" s="833"/>
      <c r="BD46" s="833"/>
      <c r="BE46" s="833"/>
      <c r="BF46" s="833"/>
      <c r="BG46" s="833"/>
      <c r="BH46" s="833"/>
      <c r="BI46" s="833"/>
      <c r="BJ46" s="833"/>
      <c r="BK46" s="833"/>
      <c r="BL46" s="833"/>
      <c r="BM46" s="833"/>
      <c r="BN46" s="833"/>
      <c r="BO46" s="833"/>
      <c r="BP46" s="833"/>
      <c r="BQ46" s="833"/>
      <c r="BR46" s="833"/>
      <c r="BS46" s="833"/>
      <c r="BT46" s="833"/>
      <c r="BU46" s="833"/>
      <c r="BV46" s="833"/>
      <c r="BW46" s="833"/>
      <c r="BX46" s="833"/>
      <c r="BY46" s="833"/>
      <c r="BZ46" s="833"/>
      <c r="CA46" s="833"/>
      <c r="CB46" s="833"/>
      <c r="CC46" s="833"/>
      <c r="CD46" s="833"/>
      <c r="CE46" s="833"/>
      <c r="CF46" s="833"/>
      <c r="CG46" s="833"/>
      <c r="CH46" s="833"/>
      <c r="CI46" s="840">
        <f t="shared" si="0"/>
        <v>0</v>
      </c>
    </row>
    <row r="47" spans="1:87" s="1114" customFormat="1">
      <c r="A47" s="1070" t="s">
        <v>260</v>
      </c>
      <c r="B47" s="1071" t="s">
        <v>250</v>
      </c>
      <c r="C47" s="1072" t="s">
        <v>4619</v>
      </c>
      <c r="D47" s="1102" t="s">
        <v>65</v>
      </c>
      <c r="E47" s="1093" t="s">
        <v>65</v>
      </c>
      <c r="F47" s="849"/>
      <c r="G47" s="849"/>
      <c r="H47" s="849"/>
      <c r="I47" s="849"/>
      <c r="J47" s="849"/>
      <c r="K47" s="1075"/>
      <c r="L47" s="849"/>
      <c r="M47" s="1076"/>
      <c r="N47" s="1077"/>
      <c r="O47" s="1078">
        <f>'3-A. CI Sub-Annex'!O119</f>
        <v>0</v>
      </c>
      <c r="P47" s="1079"/>
      <c r="Q47" s="831"/>
      <c r="R47" s="834">
        <f>'3-A. CI Sub-Annex'!R119</f>
        <v>0</v>
      </c>
      <c r="S47" s="1113"/>
      <c r="BB47" s="833"/>
      <c r="BC47" s="833"/>
      <c r="BD47" s="833"/>
      <c r="BE47" s="833"/>
      <c r="BF47" s="833"/>
      <c r="BG47" s="833"/>
      <c r="BH47" s="833"/>
      <c r="BI47" s="833"/>
      <c r="BJ47" s="833"/>
      <c r="BK47" s="833"/>
      <c r="BL47" s="833"/>
      <c r="BM47" s="833"/>
      <c r="BN47" s="833"/>
      <c r="BO47" s="833"/>
      <c r="BP47" s="833"/>
      <c r="BQ47" s="833"/>
      <c r="BR47" s="833"/>
      <c r="BS47" s="833"/>
      <c r="BT47" s="833"/>
      <c r="BU47" s="833"/>
      <c r="BV47" s="833"/>
      <c r="BW47" s="833"/>
      <c r="BX47" s="833"/>
      <c r="BY47" s="833"/>
      <c r="BZ47" s="833"/>
      <c r="CA47" s="833"/>
      <c r="CB47" s="833"/>
      <c r="CC47" s="833"/>
      <c r="CD47" s="833"/>
      <c r="CE47" s="833"/>
      <c r="CF47" s="833"/>
      <c r="CG47" s="833"/>
      <c r="CH47" s="833"/>
      <c r="CI47" s="840">
        <f t="shared" si="0"/>
        <v>0</v>
      </c>
    </row>
    <row r="48" spans="1:87">
      <c r="A48" s="1116" t="s">
        <v>5105</v>
      </c>
      <c r="B48" s="1117"/>
      <c r="C48" s="1118" t="s">
        <v>3753</v>
      </c>
      <c r="D48" s="1102" t="s">
        <v>65</v>
      </c>
      <c r="E48" s="1119" t="s">
        <v>2583</v>
      </c>
      <c r="F48" s="843"/>
      <c r="G48" s="844"/>
      <c r="H48" s="845"/>
      <c r="I48" s="845"/>
      <c r="J48" s="843"/>
      <c r="K48" s="460"/>
      <c r="L48" s="460"/>
      <c r="M48" s="851">
        <f>L48/100000</f>
        <v>0</v>
      </c>
      <c r="N48" s="460"/>
      <c r="O48" s="1121">
        <f>M48*N48</f>
        <v>0</v>
      </c>
      <c r="P48" s="838"/>
      <c r="Q48" s="852"/>
      <c r="R48" s="853"/>
      <c r="S48" s="1050"/>
      <c r="BB48" s="840"/>
      <c r="BC48" s="840"/>
      <c r="BD48" s="840"/>
      <c r="BE48" s="840"/>
      <c r="BF48" s="840"/>
      <c r="BG48" s="840"/>
      <c r="BH48" s="840"/>
      <c r="BI48" s="840"/>
      <c r="BJ48" s="840"/>
      <c r="BK48" s="840"/>
      <c r="BL48" s="840"/>
      <c r="BM48" s="840"/>
      <c r="BN48" s="840"/>
      <c r="BO48" s="840"/>
      <c r="BP48" s="840"/>
      <c r="BQ48" s="840"/>
      <c r="BR48" s="840"/>
      <c r="BS48" s="840"/>
      <c r="BT48" s="840"/>
      <c r="BU48" s="840"/>
      <c r="BV48" s="840"/>
      <c r="BW48" s="840"/>
      <c r="BX48" s="840"/>
      <c r="BY48" s="840"/>
      <c r="BZ48" s="840"/>
      <c r="CA48" s="840"/>
      <c r="CB48" s="840"/>
      <c r="CC48" s="840"/>
      <c r="CD48" s="840"/>
      <c r="CE48" s="840"/>
      <c r="CF48" s="840"/>
      <c r="CG48" s="840"/>
      <c r="CH48" s="840"/>
      <c r="CI48" s="840">
        <f t="shared" si="0"/>
        <v>0</v>
      </c>
    </row>
    <row r="49" spans="1:87">
      <c r="A49" s="1051">
        <v>3.3</v>
      </c>
      <c r="B49" s="1052" t="s">
        <v>2635</v>
      </c>
      <c r="C49" s="1053" t="s">
        <v>9</v>
      </c>
      <c r="D49" s="1054"/>
      <c r="E49" s="1054"/>
      <c r="F49" s="817"/>
      <c r="G49" s="817"/>
      <c r="H49" s="817"/>
      <c r="I49" s="817"/>
      <c r="J49" s="817"/>
      <c r="K49" s="818"/>
      <c r="L49" s="817"/>
      <c r="M49" s="1057"/>
      <c r="N49" s="819"/>
      <c r="O49" s="1057">
        <f>O50+O51+O52+O56</f>
        <v>0</v>
      </c>
      <c r="P49" s="820"/>
      <c r="Q49" s="847"/>
      <c r="R49" s="1122">
        <f>R50+R51+R52+R56</f>
        <v>0</v>
      </c>
      <c r="S49" s="1050"/>
      <c r="BB49" s="840"/>
      <c r="BC49" s="840"/>
      <c r="BD49" s="840"/>
      <c r="BE49" s="840"/>
      <c r="BF49" s="840"/>
      <c r="BG49" s="840"/>
      <c r="BH49" s="840"/>
      <c r="BI49" s="840"/>
      <c r="BJ49" s="840"/>
      <c r="BK49" s="840"/>
      <c r="BL49" s="840"/>
      <c r="BM49" s="840"/>
      <c r="BN49" s="840"/>
      <c r="BO49" s="840"/>
      <c r="BP49" s="840"/>
      <c r="BQ49" s="840"/>
      <c r="BR49" s="840"/>
      <c r="BS49" s="840"/>
      <c r="BT49" s="840"/>
      <c r="BU49" s="840"/>
      <c r="BV49" s="840"/>
      <c r="BW49" s="840"/>
      <c r="BX49" s="840"/>
      <c r="BY49" s="840"/>
      <c r="BZ49" s="840"/>
      <c r="CA49" s="840"/>
      <c r="CB49" s="840"/>
      <c r="CC49" s="840"/>
      <c r="CD49" s="840"/>
      <c r="CE49" s="840"/>
      <c r="CF49" s="840"/>
      <c r="CG49" s="840"/>
      <c r="CH49" s="840"/>
      <c r="CI49" s="840">
        <f t="shared" si="0"/>
        <v>0</v>
      </c>
    </row>
    <row r="50" spans="1:87" ht="28.5" customHeight="1">
      <c r="A50" s="1079" t="s">
        <v>277</v>
      </c>
      <c r="B50" s="1097" t="s">
        <v>278</v>
      </c>
      <c r="C50" s="896" t="s">
        <v>279</v>
      </c>
      <c r="D50" s="1102" t="s">
        <v>65</v>
      </c>
      <c r="E50" s="1093" t="s">
        <v>65</v>
      </c>
      <c r="F50" s="835"/>
      <c r="G50" s="835"/>
      <c r="H50" s="835"/>
      <c r="I50" s="835"/>
      <c r="J50" s="835"/>
      <c r="K50" s="460"/>
      <c r="L50" s="836"/>
      <c r="M50" s="837">
        <f>L50/100000</f>
        <v>0</v>
      </c>
      <c r="N50" s="836"/>
      <c r="O50" s="1095">
        <f>M50*N50</f>
        <v>0</v>
      </c>
      <c r="P50" s="838"/>
      <c r="Q50" s="852"/>
      <c r="R50" s="854"/>
      <c r="S50" s="1050"/>
      <c r="BB50" s="840"/>
      <c r="BC50" s="840"/>
      <c r="BD50" s="840"/>
      <c r="BE50" s="840"/>
      <c r="BF50" s="840"/>
      <c r="BG50" s="840"/>
      <c r="BH50" s="840"/>
      <c r="BI50" s="840"/>
      <c r="BJ50" s="840"/>
      <c r="BK50" s="840"/>
      <c r="BL50" s="840"/>
      <c r="BM50" s="840"/>
      <c r="BN50" s="840"/>
      <c r="BO50" s="840"/>
      <c r="BP50" s="840"/>
      <c r="BQ50" s="840"/>
      <c r="BR50" s="840"/>
      <c r="BS50" s="840"/>
      <c r="BT50" s="840"/>
      <c r="BU50" s="840"/>
      <c r="BV50" s="840"/>
      <c r="BW50" s="840"/>
      <c r="BX50" s="840"/>
      <c r="BY50" s="840"/>
      <c r="BZ50" s="840"/>
      <c r="CA50" s="840"/>
      <c r="CB50" s="840"/>
      <c r="CC50" s="840"/>
      <c r="CD50" s="840"/>
      <c r="CE50" s="840"/>
      <c r="CF50" s="840"/>
      <c r="CG50" s="840"/>
      <c r="CH50" s="840"/>
      <c r="CI50" s="840">
        <f t="shared" si="0"/>
        <v>0</v>
      </c>
    </row>
    <row r="51" spans="1:87" ht="45">
      <c r="A51" s="1079" t="s">
        <v>280</v>
      </c>
      <c r="B51" s="1097" t="s">
        <v>281</v>
      </c>
      <c r="C51" s="896" t="s">
        <v>282</v>
      </c>
      <c r="D51" s="1102" t="s">
        <v>65</v>
      </c>
      <c r="E51" s="1093" t="s">
        <v>65</v>
      </c>
      <c r="F51" s="835"/>
      <c r="G51" s="835"/>
      <c r="H51" s="835"/>
      <c r="I51" s="835"/>
      <c r="J51" s="835"/>
      <c r="K51" s="460"/>
      <c r="L51" s="836"/>
      <c r="M51" s="837">
        <f>L51/100000</f>
        <v>0</v>
      </c>
      <c r="N51" s="836"/>
      <c r="O51" s="1095">
        <f>M51*N51</f>
        <v>0</v>
      </c>
      <c r="P51" s="838"/>
      <c r="Q51" s="852"/>
      <c r="R51" s="854"/>
      <c r="S51" s="1050"/>
      <c r="BB51" s="840"/>
      <c r="BC51" s="840"/>
      <c r="BD51" s="840"/>
      <c r="BE51" s="840"/>
      <c r="BF51" s="840"/>
      <c r="BG51" s="840"/>
      <c r="BH51" s="840"/>
      <c r="BI51" s="840"/>
      <c r="BJ51" s="840"/>
      <c r="BK51" s="840"/>
      <c r="BL51" s="840"/>
      <c r="BM51" s="840"/>
      <c r="BN51" s="840"/>
      <c r="BO51" s="840"/>
      <c r="BP51" s="840"/>
      <c r="BQ51" s="840"/>
      <c r="BR51" s="840"/>
      <c r="BS51" s="840"/>
      <c r="BT51" s="840"/>
      <c r="BU51" s="840"/>
      <c r="BV51" s="840"/>
      <c r="BW51" s="840"/>
      <c r="BX51" s="840"/>
      <c r="BY51" s="840"/>
      <c r="BZ51" s="840"/>
      <c r="CA51" s="840"/>
      <c r="CB51" s="840"/>
      <c r="CC51" s="840"/>
      <c r="CD51" s="840"/>
      <c r="CE51" s="840"/>
      <c r="CF51" s="840"/>
      <c r="CG51" s="840"/>
      <c r="CH51" s="840"/>
      <c r="CI51" s="840">
        <f t="shared" si="0"/>
        <v>0</v>
      </c>
    </row>
    <row r="52" spans="1:87">
      <c r="A52" s="1059" t="s">
        <v>283</v>
      </c>
      <c r="B52" s="1060"/>
      <c r="C52" s="1061" t="s">
        <v>284</v>
      </c>
      <c r="D52" s="1062"/>
      <c r="E52" s="1062"/>
      <c r="F52" s="822"/>
      <c r="G52" s="822"/>
      <c r="H52" s="822"/>
      <c r="I52" s="822"/>
      <c r="J52" s="822"/>
      <c r="K52" s="823"/>
      <c r="L52" s="822"/>
      <c r="M52" s="1065"/>
      <c r="N52" s="824"/>
      <c r="O52" s="1123">
        <f>SUM(O53:O55)</f>
        <v>0</v>
      </c>
      <c r="P52" s="825"/>
      <c r="Q52" s="841"/>
      <c r="R52" s="842">
        <f>SUM(R53:R55)</f>
        <v>0</v>
      </c>
      <c r="S52" s="1050"/>
      <c r="BB52" s="840"/>
      <c r="BC52" s="840"/>
      <c r="BD52" s="840"/>
      <c r="BE52" s="840"/>
      <c r="BF52" s="840"/>
      <c r="BG52" s="840"/>
      <c r="BH52" s="840"/>
      <c r="BI52" s="840"/>
      <c r="BJ52" s="840"/>
      <c r="BK52" s="840"/>
      <c r="BL52" s="840"/>
      <c r="BM52" s="840"/>
      <c r="BN52" s="840"/>
      <c r="BO52" s="840"/>
      <c r="BP52" s="840"/>
      <c r="BQ52" s="840"/>
      <c r="BR52" s="840"/>
      <c r="BS52" s="840"/>
      <c r="BT52" s="840"/>
      <c r="BU52" s="840"/>
      <c r="BV52" s="840"/>
      <c r="BW52" s="840"/>
      <c r="BX52" s="840"/>
      <c r="BY52" s="840"/>
      <c r="BZ52" s="840"/>
      <c r="CA52" s="840"/>
      <c r="CB52" s="840"/>
      <c r="CC52" s="840"/>
      <c r="CD52" s="840"/>
      <c r="CE52" s="840"/>
      <c r="CF52" s="840"/>
      <c r="CG52" s="840"/>
      <c r="CH52" s="840"/>
      <c r="CI52" s="840">
        <f t="shared" si="0"/>
        <v>0</v>
      </c>
    </row>
    <row r="53" spans="1:87">
      <c r="A53" s="1079" t="s">
        <v>285</v>
      </c>
      <c r="B53" s="846" t="s">
        <v>286</v>
      </c>
      <c r="C53" s="225" t="s">
        <v>287</v>
      </c>
      <c r="D53" s="1089" t="s">
        <v>4219</v>
      </c>
      <c r="E53" s="1093" t="s">
        <v>288</v>
      </c>
      <c r="F53" s="835"/>
      <c r="G53" s="835"/>
      <c r="H53" s="835"/>
      <c r="I53" s="835"/>
      <c r="J53" s="835"/>
      <c r="K53" s="460"/>
      <c r="L53" s="836"/>
      <c r="M53" s="837">
        <f>L53/100000</f>
        <v>0</v>
      </c>
      <c r="N53" s="836"/>
      <c r="O53" s="1095">
        <f>M53*N53</f>
        <v>0</v>
      </c>
      <c r="P53" s="838"/>
      <c r="Q53" s="839">
        <f>'Abs8. IDSP'!Q7</f>
        <v>0</v>
      </c>
      <c r="R53" s="1124">
        <f>'Abs8. IDSP'!R7</f>
        <v>0</v>
      </c>
      <c r="S53" s="1050"/>
      <c r="BB53" s="840"/>
      <c r="BC53" s="840"/>
      <c r="BD53" s="840"/>
      <c r="BE53" s="840"/>
      <c r="BF53" s="840"/>
      <c r="BG53" s="840"/>
      <c r="BH53" s="840"/>
      <c r="BI53" s="840"/>
      <c r="BJ53" s="840"/>
      <c r="BK53" s="840"/>
      <c r="BL53" s="840"/>
      <c r="BM53" s="840"/>
      <c r="BN53" s="840"/>
      <c r="BO53" s="840"/>
      <c r="BP53" s="840"/>
      <c r="BQ53" s="840"/>
      <c r="BR53" s="840"/>
      <c r="BS53" s="840"/>
      <c r="BT53" s="840"/>
      <c r="BU53" s="840"/>
      <c r="BV53" s="840"/>
      <c r="BW53" s="840"/>
      <c r="BX53" s="840"/>
      <c r="BY53" s="840"/>
      <c r="BZ53" s="840"/>
      <c r="CA53" s="840"/>
      <c r="CB53" s="840"/>
      <c r="CC53" s="840"/>
      <c r="CD53" s="840"/>
      <c r="CE53" s="840"/>
      <c r="CF53" s="840"/>
      <c r="CG53" s="840"/>
      <c r="CH53" s="840"/>
      <c r="CI53" s="840">
        <f t="shared" si="0"/>
        <v>0</v>
      </c>
    </row>
    <row r="54" spans="1:87" s="1114" customFormat="1" ht="60">
      <c r="A54" s="1079" t="s">
        <v>289</v>
      </c>
      <c r="B54" s="1071" t="s">
        <v>290</v>
      </c>
      <c r="C54" s="1080" t="s">
        <v>291</v>
      </c>
      <c r="D54" s="1699" t="s">
        <v>80</v>
      </c>
      <c r="E54" s="1074" t="s">
        <v>147</v>
      </c>
      <c r="F54" s="827"/>
      <c r="G54" s="827"/>
      <c r="H54" s="827">
        <v>5</v>
      </c>
      <c r="I54" s="827">
        <v>1.1000000000000001</v>
      </c>
      <c r="J54" s="827">
        <v>2</v>
      </c>
      <c r="K54" s="828"/>
      <c r="L54" s="2539"/>
      <c r="M54" s="830">
        <f>L54/100000</f>
        <v>0</v>
      </c>
      <c r="N54" s="2539"/>
      <c r="O54" s="1076">
        <f>M54*N54</f>
        <v>0</v>
      </c>
      <c r="P54" s="2540"/>
      <c r="Q54" s="831">
        <f>'Abs18. NTCP'!Q10</f>
        <v>0</v>
      </c>
      <c r="R54" s="832">
        <f>'Abs18. NTCP'!R10</f>
        <v>0</v>
      </c>
      <c r="S54" s="1113"/>
      <c r="BB54" s="833"/>
      <c r="BC54" s="833"/>
      <c r="BD54" s="833"/>
      <c r="BE54" s="833"/>
      <c r="BF54" s="833"/>
      <c r="BG54" s="833"/>
      <c r="BH54" s="833"/>
      <c r="BI54" s="833"/>
      <c r="BJ54" s="833"/>
      <c r="BK54" s="833"/>
      <c r="BL54" s="833"/>
      <c r="BM54" s="833"/>
      <c r="BN54" s="833"/>
      <c r="BO54" s="833"/>
      <c r="BP54" s="833"/>
      <c r="BQ54" s="833"/>
      <c r="BR54" s="833"/>
      <c r="BS54" s="833"/>
      <c r="BT54" s="833"/>
      <c r="BU54" s="833"/>
      <c r="BV54" s="833"/>
      <c r="BW54" s="833"/>
      <c r="BX54" s="833"/>
      <c r="BY54" s="833"/>
      <c r="BZ54" s="833"/>
      <c r="CA54" s="833"/>
      <c r="CB54" s="833"/>
      <c r="CC54" s="833"/>
      <c r="CD54" s="833"/>
      <c r="CE54" s="833"/>
      <c r="CF54" s="833"/>
      <c r="CG54" s="833"/>
      <c r="CH54" s="833"/>
      <c r="CI54" s="840">
        <f t="shared" si="0"/>
        <v>0</v>
      </c>
    </row>
    <row r="55" spans="1:87" s="1114" customFormat="1" ht="45">
      <c r="A55" s="1079" t="s">
        <v>3990</v>
      </c>
      <c r="B55" s="1071"/>
      <c r="C55" s="1080" t="s">
        <v>3988</v>
      </c>
      <c r="D55" s="1699" t="s">
        <v>80</v>
      </c>
      <c r="E55" s="1074" t="s">
        <v>3989</v>
      </c>
      <c r="F55" s="827"/>
      <c r="G55" s="827"/>
      <c r="H55" s="827"/>
      <c r="I55" s="827"/>
      <c r="J55" s="827"/>
      <c r="K55" s="828"/>
      <c r="L55" s="2539"/>
      <c r="M55" s="830">
        <f>L55/100000</f>
        <v>0</v>
      </c>
      <c r="N55" s="2539"/>
      <c r="O55" s="1076">
        <f>M55*N55</f>
        <v>0</v>
      </c>
      <c r="P55" s="2540"/>
      <c r="Q55" s="831">
        <f>'Abs21. NPCCHH'!Q7</f>
        <v>0</v>
      </c>
      <c r="R55" s="832">
        <f>'Abs21. NPCCHH'!R7</f>
        <v>0</v>
      </c>
      <c r="S55" s="1113"/>
      <c r="BB55" s="833"/>
      <c r="BC55" s="833"/>
      <c r="BD55" s="833"/>
      <c r="BE55" s="833"/>
      <c r="BF55" s="833"/>
      <c r="BG55" s="833"/>
      <c r="BH55" s="833"/>
      <c r="BI55" s="833"/>
      <c r="BJ55" s="833"/>
      <c r="BK55" s="833"/>
      <c r="BL55" s="833"/>
      <c r="BM55" s="833"/>
      <c r="BN55" s="833"/>
      <c r="BO55" s="833"/>
      <c r="BP55" s="833"/>
      <c r="BQ55" s="833"/>
      <c r="BR55" s="833"/>
      <c r="BS55" s="833"/>
      <c r="BT55" s="833"/>
      <c r="BU55" s="833"/>
      <c r="BV55" s="833"/>
      <c r="BW55" s="833"/>
      <c r="BX55" s="833"/>
      <c r="BY55" s="833"/>
      <c r="BZ55" s="833"/>
      <c r="CA55" s="833"/>
      <c r="CB55" s="833"/>
      <c r="CC55" s="833"/>
      <c r="CD55" s="833"/>
      <c r="CE55" s="833"/>
      <c r="CF55" s="833"/>
      <c r="CG55" s="833"/>
      <c r="CH55" s="833"/>
      <c r="CI55" s="840">
        <f t="shared" si="0"/>
        <v>0</v>
      </c>
    </row>
    <row r="56" spans="1:87" s="1127" customFormat="1">
      <c r="A56" s="1079" t="s">
        <v>2479</v>
      </c>
      <c r="B56" s="1125"/>
      <c r="C56" s="882" t="s">
        <v>1304</v>
      </c>
      <c r="D56" s="1102" t="s">
        <v>65</v>
      </c>
      <c r="E56" s="1119" t="s">
        <v>65</v>
      </c>
      <c r="F56" s="855"/>
      <c r="G56" s="855"/>
      <c r="H56" s="855"/>
      <c r="I56" s="855"/>
      <c r="J56" s="855"/>
      <c r="K56" s="856"/>
      <c r="L56" s="836"/>
      <c r="M56" s="837">
        <f>L56/100000</f>
        <v>0</v>
      </c>
      <c r="N56" s="836"/>
      <c r="O56" s="1121">
        <f>M56*N56</f>
        <v>0</v>
      </c>
      <c r="P56" s="838"/>
      <c r="Q56" s="857"/>
      <c r="R56" s="854"/>
      <c r="S56" s="1050"/>
      <c r="BB56" s="3263"/>
      <c r="BC56" s="3263"/>
      <c r="BD56" s="3263"/>
      <c r="BE56" s="3263"/>
      <c r="BF56" s="3263"/>
      <c r="BG56" s="3263"/>
      <c r="BH56" s="3263"/>
      <c r="BI56" s="3263"/>
      <c r="BJ56" s="3263"/>
      <c r="BK56" s="3263"/>
      <c r="BL56" s="3263"/>
      <c r="BM56" s="3263"/>
      <c r="BN56" s="3263"/>
      <c r="BO56" s="3263"/>
      <c r="BP56" s="3263"/>
      <c r="BQ56" s="3263"/>
      <c r="BR56" s="3263"/>
      <c r="BS56" s="3263"/>
      <c r="BT56" s="3263"/>
      <c r="BU56" s="3263"/>
      <c r="BV56" s="3263"/>
      <c r="BW56" s="3263"/>
      <c r="BX56" s="3263"/>
      <c r="BY56" s="3263"/>
      <c r="BZ56" s="3263"/>
      <c r="CA56" s="3263"/>
      <c r="CB56" s="3263"/>
      <c r="CC56" s="3263"/>
      <c r="CD56" s="3263"/>
      <c r="CE56" s="3263"/>
      <c r="CF56" s="3263"/>
      <c r="CG56" s="3263"/>
      <c r="CH56" s="3263"/>
      <c r="CI56" s="840">
        <f t="shared" si="0"/>
        <v>0</v>
      </c>
    </row>
    <row r="57" spans="1:87">
      <c r="B57" s="1024"/>
      <c r="BB57" s="840">
        <f>SUM(BB7:BB56)</f>
        <v>11.66</v>
      </c>
      <c r="BC57" s="840">
        <f t="shared" ref="BC57:CH57" si="1">SUM(BC7:BC56)</f>
        <v>40.439999999999991</v>
      </c>
      <c r="BD57" s="840">
        <f t="shared" si="1"/>
        <v>41.64</v>
      </c>
      <c r="BE57" s="840">
        <f t="shared" si="1"/>
        <v>45.72</v>
      </c>
      <c r="BF57" s="840">
        <f t="shared" si="1"/>
        <v>132.94999999999999</v>
      </c>
      <c r="BG57" s="840">
        <f t="shared" si="1"/>
        <v>8.8099999999999987</v>
      </c>
      <c r="BH57" s="840">
        <f t="shared" si="1"/>
        <v>46.030000000000008</v>
      </c>
      <c r="BI57" s="840">
        <f t="shared" si="1"/>
        <v>6.3100000000000005</v>
      </c>
      <c r="BJ57" s="840">
        <f t="shared" si="1"/>
        <v>85</v>
      </c>
      <c r="BK57" s="840">
        <f t="shared" si="1"/>
        <v>101.03999999999999</v>
      </c>
      <c r="BL57" s="840">
        <f t="shared" si="1"/>
        <v>54.48</v>
      </c>
      <c r="BM57" s="840">
        <f t="shared" si="1"/>
        <v>62.949999999999996</v>
      </c>
      <c r="BN57" s="840">
        <f t="shared" si="1"/>
        <v>47.459999999999994</v>
      </c>
      <c r="BO57" s="840">
        <f t="shared" si="1"/>
        <v>0</v>
      </c>
      <c r="BP57" s="840">
        <f t="shared" si="1"/>
        <v>0</v>
      </c>
      <c r="BQ57" s="840">
        <f t="shared" si="1"/>
        <v>0</v>
      </c>
      <c r="BR57" s="840">
        <f t="shared" si="1"/>
        <v>0</v>
      </c>
      <c r="BS57" s="840">
        <f t="shared" si="1"/>
        <v>0</v>
      </c>
      <c r="BT57" s="840">
        <f t="shared" si="1"/>
        <v>0</v>
      </c>
      <c r="BU57" s="840">
        <f t="shared" si="1"/>
        <v>0</v>
      </c>
      <c r="BV57" s="840">
        <f t="shared" si="1"/>
        <v>0</v>
      </c>
      <c r="BW57" s="840">
        <f t="shared" si="1"/>
        <v>0</v>
      </c>
      <c r="BX57" s="840">
        <f t="shared" si="1"/>
        <v>0</v>
      </c>
      <c r="BY57" s="840">
        <f t="shared" si="1"/>
        <v>0</v>
      </c>
      <c r="BZ57" s="840">
        <f t="shared" si="1"/>
        <v>0</v>
      </c>
      <c r="CA57" s="840">
        <f t="shared" si="1"/>
        <v>0</v>
      </c>
      <c r="CB57" s="840">
        <f t="shared" si="1"/>
        <v>0</v>
      </c>
      <c r="CC57" s="840">
        <f t="shared" si="1"/>
        <v>0</v>
      </c>
      <c r="CD57" s="840">
        <f t="shared" si="1"/>
        <v>0</v>
      </c>
      <c r="CE57" s="840">
        <f t="shared" si="1"/>
        <v>0</v>
      </c>
      <c r="CF57" s="840">
        <f t="shared" si="1"/>
        <v>0</v>
      </c>
      <c r="CG57" s="840">
        <f t="shared" si="1"/>
        <v>0</v>
      </c>
      <c r="CH57" s="840">
        <f t="shared" si="1"/>
        <v>0</v>
      </c>
      <c r="CI57" s="840">
        <f t="shared" si="0"/>
        <v>684.49000000000012</v>
      </c>
    </row>
  </sheetData>
  <sheetProtection password="CC49" sheet="1" objects="1" scenarios="1" autoFilter="0"/>
  <autoFilter ref="A7:B56"/>
  <mergeCells count="15">
    <mergeCell ref="Q5:R5"/>
    <mergeCell ref="O1:AH1"/>
    <mergeCell ref="AI1:AO1"/>
    <mergeCell ref="AP1:BA1"/>
    <mergeCell ref="F5:J5"/>
    <mergeCell ref="A1:C1"/>
    <mergeCell ref="E1:E2"/>
    <mergeCell ref="F1:N1"/>
    <mergeCell ref="A2:A4"/>
    <mergeCell ref="A5:A6"/>
    <mergeCell ref="B5:B6"/>
    <mergeCell ref="C5:C6"/>
    <mergeCell ref="D5:D6"/>
    <mergeCell ref="E5:E6"/>
    <mergeCell ref="K5:P5"/>
  </mergeCells>
  <phoneticPr fontId="68" type="noConversion"/>
  <pageMargins left="0.7" right="0.7" top="0.75" bottom="0.75" header="0.3" footer="0.3"/>
</worksheet>
</file>

<file path=xl/worksheets/sheet40.xml><?xml version="1.0" encoding="utf-8"?>
<worksheet xmlns="http://schemas.openxmlformats.org/spreadsheetml/2006/main" xmlns:r="http://schemas.openxmlformats.org/officeDocument/2006/relationships">
  <sheetPr>
    <tabColor theme="5" tint="0.79998168889431442"/>
  </sheetPr>
  <dimension ref="A1:R22"/>
  <sheetViews>
    <sheetView zoomScale="60" zoomScaleNormal="60" zoomScaleSheetLayoutView="80" workbookViewId="0">
      <pane xSplit="3" ySplit="5" topLeftCell="F6" activePane="bottomRight" state="frozen"/>
      <selection activeCell="C107" sqref="C107"/>
      <selection pane="topRight" activeCell="C107" sqref="C107"/>
      <selection pane="bottomLeft" activeCell="C107" sqref="C107"/>
      <selection pane="bottomRight" activeCell="Q12" sqref="Q12"/>
    </sheetView>
  </sheetViews>
  <sheetFormatPr defaultColWidth="8.7109375" defaultRowHeight="15"/>
  <cols>
    <col min="1" max="1" width="11.85546875" style="2073" customWidth="1"/>
    <col min="2" max="2" width="20.5703125" style="2073" customWidth="1"/>
    <col min="3" max="3" width="40.85546875" style="2073" customWidth="1"/>
    <col min="4" max="4" width="9.7109375" style="2049" customWidth="1"/>
    <col min="5" max="5" width="15.5703125" style="2049" customWidth="1"/>
    <col min="6" max="6" width="17.140625" style="2049" bestFit="1" customWidth="1"/>
    <col min="7" max="7" width="20.85546875" style="2049" bestFit="1" customWidth="1"/>
    <col min="8" max="8" width="23.7109375" style="2074" bestFit="1" customWidth="1"/>
    <col min="9" max="9" width="13.42578125" style="2049" customWidth="1"/>
    <col min="10" max="10" width="12.42578125" style="2074" customWidth="1"/>
    <col min="11" max="11" width="18.140625" style="2073" customWidth="1"/>
    <col min="12" max="12" width="16" style="2073" customWidth="1"/>
    <col min="13" max="13" width="16.5703125" style="2074" customWidth="1"/>
    <col min="14" max="14" width="8.7109375" style="2046"/>
    <col min="15" max="15" width="10.7109375" style="2046" customWidth="1"/>
    <col min="16" max="16" width="27.28515625" style="2046" customWidth="1"/>
    <col min="17" max="17" width="24" style="2046" customWidth="1"/>
    <col min="18" max="16384" width="8.7109375" style="2046"/>
  </cols>
  <sheetData>
    <row r="1" spans="1:18" ht="14.45" customHeight="1">
      <c r="A1" s="4111" t="s">
        <v>3856</v>
      </c>
      <c r="B1" s="4111"/>
      <c r="C1" s="4111"/>
      <c r="D1" s="2043"/>
      <c r="E1" s="905"/>
      <c r="F1" s="2000" t="s">
        <v>3857</v>
      </c>
      <c r="G1" s="2044"/>
      <c r="H1" s="2044"/>
      <c r="I1" s="2044"/>
      <c r="J1" s="2044"/>
      <c r="K1" s="2044"/>
      <c r="L1" s="2044"/>
      <c r="M1" s="2045"/>
    </row>
    <row r="2" spans="1:18">
      <c r="A2" s="1842" t="str">
        <f>HYPERLINK("#Index!F3", "Index Pg")</f>
        <v>Index Pg</v>
      </c>
      <c r="B2" s="1847"/>
      <c r="C2" s="864" t="str">
        <f>HYPERLINK("#'Budget Summary I'!A1:AL1", "Budget Summary I")</f>
        <v>Budget Summary I</v>
      </c>
      <c r="D2" s="2047"/>
      <c r="E2" s="1463" t="s">
        <v>4460</v>
      </c>
      <c r="F2" s="161">
        <f>R6+R9+R11+R13+R15</f>
        <v>5</v>
      </c>
      <c r="G2" s="1981"/>
      <c r="H2" s="1981"/>
      <c r="I2" s="1981"/>
      <c r="J2" s="1981"/>
      <c r="K2" s="1981"/>
      <c r="L2" s="1981"/>
      <c r="M2" s="1841"/>
    </row>
    <row r="3" spans="1:18" s="2048" customFormat="1">
      <c r="A3" s="1846"/>
      <c r="B3" s="1847"/>
      <c r="C3" s="864" t="str">
        <f>HYPERLINK("#'Budget Summary II'!A3:B5", "Budget Summary II")</f>
        <v>Budget Summary II</v>
      </c>
      <c r="D3" s="2047"/>
      <c r="E3" s="1463" t="s">
        <v>4461</v>
      </c>
      <c r="F3" s="161">
        <f>O6+O9+O11+O13+O15</f>
        <v>5.0000600000000004</v>
      </c>
      <c r="G3" s="1981"/>
      <c r="H3" s="1981"/>
      <c r="I3" s="1981"/>
      <c r="J3" s="1981"/>
      <c r="K3" s="1981"/>
      <c r="L3" s="1981"/>
      <c r="M3" s="1841"/>
    </row>
    <row r="4" spans="1:18" s="2049" customFormat="1" ht="14.45" customHeight="1">
      <c r="A4" s="3801" t="s">
        <v>48</v>
      </c>
      <c r="B4" s="3801" t="s">
        <v>49</v>
      </c>
      <c r="C4" s="3801" t="s">
        <v>50</v>
      </c>
      <c r="D4" s="3801" t="s">
        <v>51</v>
      </c>
      <c r="E4" s="3801" t="s">
        <v>52</v>
      </c>
      <c r="F4" s="3799" t="s">
        <v>4478</v>
      </c>
      <c r="G4" s="3799"/>
      <c r="H4" s="3799"/>
      <c r="I4" s="3799"/>
      <c r="J4" s="3799"/>
      <c r="K4" s="3799" t="s">
        <v>4484</v>
      </c>
      <c r="L4" s="3799"/>
      <c r="M4" s="3799"/>
      <c r="N4" s="3799"/>
      <c r="O4" s="3799"/>
      <c r="P4" s="3799"/>
      <c r="Q4" s="3800" t="s">
        <v>4514</v>
      </c>
      <c r="R4" s="3800"/>
    </row>
    <row r="5" spans="1:18" s="2049" customFormat="1" ht="60">
      <c r="A5" s="4110"/>
      <c r="B5" s="4110"/>
      <c r="C5" s="4110"/>
      <c r="D5" s="4110"/>
      <c r="E5" s="4110"/>
      <c r="F5" s="2050" t="s">
        <v>4479</v>
      </c>
      <c r="G5" s="2050" t="s">
        <v>4482</v>
      </c>
      <c r="H5" s="2050" t="s">
        <v>4480</v>
      </c>
      <c r="I5" s="2050" t="s">
        <v>4483</v>
      </c>
      <c r="J5" s="2050" t="s">
        <v>2448</v>
      </c>
      <c r="K5" s="2051" t="s">
        <v>53</v>
      </c>
      <c r="L5" s="2051" t="s">
        <v>54</v>
      </c>
      <c r="M5" s="2052" t="s">
        <v>55</v>
      </c>
      <c r="N5" s="2051" t="s">
        <v>56</v>
      </c>
      <c r="O5" s="2052" t="s">
        <v>57</v>
      </c>
      <c r="P5" s="919" t="s">
        <v>58</v>
      </c>
      <c r="Q5" s="921" t="s">
        <v>2450</v>
      </c>
      <c r="R5" s="922" t="s">
        <v>4515</v>
      </c>
    </row>
    <row r="6" spans="1:18">
      <c r="A6" s="2007">
        <f>'6.Procurement Annex'!A7</f>
        <v>6</v>
      </c>
      <c r="B6" s="2007"/>
      <c r="C6" s="2007" t="str">
        <f>'6.Procurement Annex'!C7</f>
        <v>Procurement</v>
      </c>
      <c r="D6" s="785"/>
      <c r="E6" s="785"/>
      <c r="F6" s="785"/>
      <c r="G6" s="785"/>
      <c r="H6" s="547"/>
      <c r="I6" s="785"/>
      <c r="J6" s="547"/>
      <c r="K6" s="2007"/>
      <c r="L6" s="2007"/>
      <c r="M6" s="547"/>
      <c r="N6" s="2053"/>
      <c r="O6" s="2054">
        <f>SUM(O7:O8)</f>
        <v>0</v>
      </c>
      <c r="P6" s="2053"/>
      <c r="Q6" s="2053"/>
      <c r="R6" s="2054">
        <f>SUM(R7:R8)</f>
        <v>0</v>
      </c>
    </row>
    <row r="7" spans="1:18" s="2059" customFormat="1" ht="45">
      <c r="A7" s="2055" t="str">
        <f>'6.Procurement Annex'!A34</f>
        <v>6.1.4.5</v>
      </c>
      <c r="B7" s="2056">
        <f>'6-A. Proc. Sub-Annex'!B91</f>
        <v>0</v>
      </c>
      <c r="C7" s="2055" t="str">
        <f>'6-A. Proc. Sub-Annex'!C91</f>
        <v>Procurement of equipment &amp; computer for district level Model Anti Rabies Clinics in existing health facilities</v>
      </c>
      <c r="D7" s="2057" t="str">
        <f>'6-A. Proc. Sub-Annex'!D91</f>
        <v>NDCP</v>
      </c>
      <c r="E7" s="2057" t="str">
        <f>'6-A. Proc. Sub-Annex'!E91</f>
        <v>NRCP</v>
      </c>
      <c r="F7" s="2057">
        <f>'6-A. Proc. Sub-Annex'!F91</f>
        <v>0</v>
      </c>
      <c r="G7" s="2057">
        <f>'6-A. Proc. Sub-Annex'!G91</f>
        <v>0</v>
      </c>
      <c r="H7" s="2057">
        <f>'6-A. Proc. Sub-Annex'!H91</f>
        <v>0</v>
      </c>
      <c r="I7" s="2057">
        <f>'6-A. Proc. Sub-Annex'!I91</f>
        <v>0</v>
      </c>
      <c r="J7" s="2057">
        <f>'6-A. Proc. Sub-Annex'!J91</f>
        <v>0</v>
      </c>
      <c r="K7" s="2057">
        <f>'6-A. Proc. Sub-Annex'!K91</f>
        <v>0</v>
      </c>
      <c r="L7" s="2057">
        <f>'6-A. Proc. Sub-Annex'!L91</f>
        <v>0</v>
      </c>
      <c r="M7" s="2058">
        <f>'6-A. Proc. Sub-Annex'!M91</f>
        <v>0</v>
      </c>
      <c r="N7" s="2057">
        <f>'6-A. Proc. Sub-Annex'!N91</f>
        <v>0</v>
      </c>
      <c r="O7" s="2058">
        <f>'6-A. Proc. Sub-Annex'!O91</f>
        <v>0</v>
      </c>
      <c r="P7" s="1971">
        <f>'6-A. Proc. Sub-Annex'!P91</f>
        <v>0</v>
      </c>
      <c r="Q7" s="2078"/>
      <c r="R7" s="2079"/>
    </row>
    <row r="8" spans="1:18" ht="30">
      <c r="A8" s="2060" t="str">
        <f>'6.Procurement Annex'!A76</f>
        <v>6.2.3.5</v>
      </c>
      <c r="B8" s="2060">
        <f>'6-A. Proc. Sub-Annex'!B245</f>
        <v>0</v>
      </c>
      <c r="C8" s="2060" t="str">
        <f>'6-A. Proc. Sub-Annex'!C245</f>
        <v>Provision of Anti-Rabies Vaccine/Anti-Rabies Serum for animal bite victims</v>
      </c>
      <c r="D8" s="2061" t="str">
        <f>'6-A. Proc. Sub-Annex'!D245</f>
        <v>NDCP</v>
      </c>
      <c r="E8" s="2061" t="str">
        <f>'6-A. Proc. Sub-Annex'!E245</f>
        <v>NRCP</v>
      </c>
      <c r="F8" s="2061">
        <f>'6-A. Proc. Sub-Annex'!F245</f>
        <v>0</v>
      </c>
      <c r="G8" s="2061">
        <f>'6-A. Proc. Sub-Annex'!G245</f>
        <v>0</v>
      </c>
      <c r="H8" s="2061">
        <f>'6-A. Proc. Sub-Annex'!H245</f>
        <v>0</v>
      </c>
      <c r="I8" s="2061">
        <f>'6-A. Proc. Sub-Annex'!I245</f>
        <v>0</v>
      </c>
      <c r="J8" s="2061">
        <f>'6-A. Proc. Sub-Annex'!J245</f>
        <v>0</v>
      </c>
      <c r="K8" s="2061">
        <f>'6-A. Proc. Sub-Annex'!K245</f>
        <v>0</v>
      </c>
      <c r="L8" s="2061">
        <f>'6-A. Proc. Sub-Annex'!L245</f>
        <v>0</v>
      </c>
      <c r="M8" s="2062">
        <f>'6-A. Proc. Sub-Annex'!M245</f>
        <v>0</v>
      </c>
      <c r="N8" s="2061">
        <f>'6-A. Proc. Sub-Annex'!N245</f>
        <v>0</v>
      </c>
      <c r="O8" s="2062">
        <f>'6-A. Proc. Sub-Annex'!O245</f>
        <v>0</v>
      </c>
      <c r="P8" s="2063">
        <f>'6-A. Proc. Sub-Annex'!P245</f>
        <v>0</v>
      </c>
      <c r="Q8" s="2080"/>
      <c r="R8" s="2081"/>
    </row>
    <row r="9" spans="1:18">
      <c r="A9" s="2007">
        <f>'9.Training Annex'!A7</f>
        <v>9</v>
      </c>
      <c r="B9" s="2007"/>
      <c r="C9" s="2007" t="str">
        <f>'9.Training Annex'!C7</f>
        <v>Training and Capacity Building</v>
      </c>
      <c r="D9" s="785"/>
      <c r="E9" s="785"/>
      <c r="F9" s="785"/>
      <c r="G9" s="785"/>
      <c r="H9" s="547"/>
      <c r="I9" s="785"/>
      <c r="J9" s="547"/>
      <c r="K9" s="2007"/>
      <c r="L9" s="2007"/>
      <c r="M9" s="547"/>
      <c r="N9" s="2053"/>
      <c r="O9" s="2064">
        <f>O10</f>
        <v>0</v>
      </c>
      <c r="P9" s="2065"/>
      <c r="Q9" s="2082"/>
      <c r="R9" s="2083">
        <f>R10</f>
        <v>0</v>
      </c>
    </row>
    <row r="10" spans="1:18" ht="30">
      <c r="A10" s="2066" t="str">
        <f>'9-A.Training Sub-Annex'!A244</f>
        <v>9.5.29.7</v>
      </c>
      <c r="B10" s="2066"/>
      <c r="C10" s="2066" t="str">
        <f>'9-A.Training Sub-Annex'!C244</f>
        <v>Trainings of Medical Officers and Health Workers under NRCP</v>
      </c>
      <c r="D10" s="2067" t="str">
        <f>'9-A.Training Sub-Annex'!D244</f>
        <v>NDCP</v>
      </c>
      <c r="E10" s="2067" t="str">
        <f>'9-A.Training Sub-Annex'!E244</f>
        <v>NRCP</v>
      </c>
      <c r="F10" s="2067">
        <f>'9-A.Training Sub-Annex'!F244</f>
        <v>0</v>
      </c>
      <c r="G10" s="2067">
        <f>'9-A.Training Sub-Annex'!G244</f>
        <v>0</v>
      </c>
      <c r="H10" s="2067">
        <f>'9-A.Training Sub-Annex'!H244</f>
        <v>0</v>
      </c>
      <c r="I10" s="2067">
        <f>'9-A.Training Sub-Annex'!I244</f>
        <v>0</v>
      </c>
      <c r="J10" s="2067">
        <f>'9-A.Training Sub-Annex'!J244</f>
        <v>0</v>
      </c>
      <c r="K10" s="2067">
        <f>'9-A.Training Sub-Annex'!K244</f>
        <v>0</v>
      </c>
      <c r="L10" s="2067">
        <f>'9-A.Training Sub-Annex'!L244</f>
        <v>0</v>
      </c>
      <c r="M10" s="2068">
        <f>'9-A.Training Sub-Annex'!M244</f>
        <v>0</v>
      </c>
      <c r="N10" s="2067">
        <f>'9-A.Training Sub-Annex'!N244</f>
        <v>0</v>
      </c>
      <c r="O10" s="2068">
        <f>'9-A.Training Sub-Annex'!O244</f>
        <v>0</v>
      </c>
      <c r="P10" s="88">
        <f>'9-A.Training Sub-Annex'!P244</f>
        <v>0</v>
      </c>
      <c r="Q10" s="2080"/>
      <c r="R10" s="2081"/>
    </row>
    <row r="11" spans="1:18">
      <c r="A11" s="2007">
        <f>'11.IEC-BCC Annex'!A7</f>
        <v>11</v>
      </c>
      <c r="B11" s="2007"/>
      <c r="C11" s="2007" t="str">
        <f>'11.IEC-BCC Annex'!C7</f>
        <v>IEC/BCC</v>
      </c>
      <c r="D11" s="785"/>
      <c r="E11" s="785"/>
      <c r="F11" s="785"/>
      <c r="G11" s="785"/>
      <c r="H11" s="547"/>
      <c r="I11" s="785"/>
      <c r="J11" s="547"/>
      <c r="K11" s="2007"/>
      <c r="L11" s="2007"/>
      <c r="M11" s="547"/>
      <c r="N11" s="2053"/>
      <c r="O11" s="2064">
        <f>O12</f>
        <v>5.0000600000000004</v>
      </c>
      <c r="P11" s="2065"/>
      <c r="Q11" s="2082"/>
      <c r="R11" s="2083">
        <f>R12</f>
        <v>5</v>
      </c>
    </row>
    <row r="12" spans="1:18" ht="105.75" thickBot="1">
      <c r="A12" s="2066" t="str">
        <f>'11.IEC-BCC Annex'!A30</f>
        <v>11.3.6</v>
      </c>
      <c r="B12" s="2066"/>
      <c r="C12" s="2066" t="str">
        <f>'11-A. IEC Sub-Annex'!C73</f>
        <v>IEC/BCC under NRCP: Rabies Awareness and Do's and Don'ts in the event of Animal Bites</v>
      </c>
      <c r="D12" s="2067" t="str">
        <f>'11-A. IEC Sub-Annex'!D73</f>
        <v>NDCP</v>
      </c>
      <c r="E12" s="2067" t="str">
        <f>'11-A. IEC Sub-Annex'!E73</f>
        <v>NRCP</v>
      </c>
      <c r="F12" s="2067">
        <f>'11-A. IEC Sub-Annex'!F73</f>
        <v>0</v>
      </c>
      <c r="G12" s="2067">
        <f>'11-A. IEC Sub-Annex'!G73</f>
        <v>0</v>
      </c>
      <c r="H12" s="2067">
        <f>'11-A. IEC Sub-Annex'!H73</f>
        <v>0</v>
      </c>
      <c r="I12" s="2067">
        <f>'11-A. IEC Sub-Annex'!I73</f>
        <v>0</v>
      </c>
      <c r="J12" s="2067">
        <f>'11-A. IEC Sub-Annex'!J73</f>
        <v>0</v>
      </c>
      <c r="K12" s="2067">
        <f>'11-A. IEC Sub-Annex'!K73</f>
        <v>0</v>
      </c>
      <c r="L12" s="2067">
        <f>'11-A. IEC Sub-Annex'!L73</f>
        <v>38462</v>
      </c>
      <c r="M12" s="2068">
        <f>'11-A. IEC Sub-Annex'!M73</f>
        <v>0.38462000000000002</v>
      </c>
      <c r="N12" s="2067">
        <f>'11-A. IEC Sub-Annex'!N73</f>
        <v>13</v>
      </c>
      <c r="O12" s="2068">
        <f>'11-A. IEC Sub-Annex'!O73</f>
        <v>5.0000600000000004</v>
      </c>
      <c r="P12" s="88" t="str">
        <f>'11-A. IEC Sub-Annex'!P73</f>
        <v>State propososes for IEC activities for Anti Rabbies Day @ Rs. 5000/- per district @ Rs. 3000/- per block &amp; remaining amount for newpapers advertisement at State Head Quarter</v>
      </c>
      <c r="Q12" s="2812" t="s">
        <v>5742</v>
      </c>
      <c r="R12" s="2813">
        <v>5</v>
      </c>
    </row>
    <row r="13" spans="1:18">
      <c r="A13" s="2007">
        <f>'12.Printing Annex'!A7</f>
        <v>12</v>
      </c>
      <c r="B13" s="2007"/>
      <c r="C13" s="2007" t="str">
        <f>'12.Printing Annex'!C7</f>
        <v>Printing</v>
      </c>
      <c r="D13" s="785"/>
      <c r="E13" s="785"/>
      <c r="F13" s="785"/>
      <c r="G13" s="785"/>
      <c r="H13" s="547"/>
      <c r="I13" s="785"/>
      <c r="J13" s="547"/>
      <c r="K13" s="2007"/>
      <c r="L13" s="2007"/>
      <c r="M13" s="547"/>
      <c r="N13" s="2053"/>
      <c r="O13" s="2064">
        <f>O14</f>
        <v>0</v>
      </c>
      <c r="P13" s="2065"/>
      <c r="Q13" s="2082"/>
      <c r="R13" s="2083">
        <f>R14</f>
        <v>0</v>
      </c>
    </row>
    <row r="14" spans="1:18" ht="30">
      <c r="A14" s="2066" t="str">
        <f>'12.Printing Annex'!A31</f>
        <v>12.3.6</v>
      </c>
      <c r="B14" s="2066"/>
      <c r="C14" s="2066" t="str">
        <f>'12-A. Print Sub-Annex'!C89</f>
        <v>Printing of formats for Monitoring and Surveillance under NRCP</v>
      </c>
      <c r="D14" s="2067" t="str">
        <f>'12-A. Print Sub-Annex'!D89</f>
        <v>NDCP</v>
      </c>
      <c r="E14" s="2067" t="str">
        <f>'12-A. Print Sub-Annex'!E89</f>
        <v>NRCP</v>
      </c>
      <c r="F14" s="2067">
        <f>'12-A. Print Sub-Annex'!F89</f>
        <v>0</v>
      </c>
      <c r="G14" s="2067">
        <f>'12-A. Print Sub-Annex'!G89</f>
        <v>0</v>
      </c>
      <c r="H14" s="2067">
        <f>'12-A. Print Sub-Annex'!H89</f>
        <v>0</v>
      </c>
      <c r="I14" s="2067">
        <f>'12-A. Print Sub-Annex'!I89</f>
        <v>0</v>
      </c>
      <c r="J14" s="2067">
        <f>'12-A. Print Sub-Annex'!J89</f>
        <v>0</v>
      </c>
      <c r="K14" s="2067">
        <f>'12-A. Print Sub-Annex'!K89</f>
        <v>0</v>
      </c>
      <c r="L14" s="2067">
        <f>'12-A. Print Sub-Annex'!L89</f>
        <v>0</v>
      </c>
      <c r="M14" s="2068">
        <f>'12-A. Print Sub-Annex'!M89</f>
        <v>0</v>
      </c>
      <c r="N14" s="2067">
        <f>'12-A. Print Sub-Annex'!N89</f>
        <v>0</v>
      </c>
      <c r="O14" s="2068">
        <f>'12-A. Print Sub-Annex'!O89</f>
        <v>0</v>
      </c>
      <c r="P14" s="88">
        <f>'12-A. Print Sub-Annex'!P89</f>
        <v>0</v>
      </c>
      <c r="Q14" s="2080"/>
      <c r="R14" s="2081"/>
    </row>
    <row r="15" spans="1:18">
      <c r="A15" s="876">
        <f>'16.PM Annex'!A7</f>
        <v>16</v>
      </c>
      <c r="B15" s="876"/>
      <c r="C15" s="876" t="str">
        <f>'16.PM Annex'!C7</f>
        <v>Programme Management</v>
      </c>
      <c r="D15" s="2069"/>
      <c r="E15" s="2069"/>
      <c r="F15" s="2069"/>
      <c r="G15" s="2069"/>
      <c r="H15" s="1995"/>
      <c r="I15" s="2069"/>
      <c r="J15" s="547"/>
      <c r="K15" s="876"/>
      <c r="L15" s="876"/>
      <c r="M15" s="547"/>
      <c r="N15" s="2053"/>
      <c r="O15" s="2064">
        <f>O16</f>
        <v>0</v>
      </c>
      <c r="P15" s="2065"/>
      <c r="Q15" s="2082"/>
      <c r="R15" s="2083">
        <f>R16</f>
        <v>0</v>
      </c>
    </row>
    <row r="16" spans="1:18" ht="30">
      <c r="A16" s="2070" t="str">
        <f>'16-A. PM sub Annex'!A65</f>
        <v>16.1.2.2.16</v>
      </c>
      <c r="B16" s="2070"/>
      <c r="C16" s="2070" t="str">
        <f>'16-A. PM sub Annex'!C65</f>
        <v>Monitoring and Surveillance (review meetings , Travel) under NRCP</v>
      </c>
      <c r="D16" s="2071" t="str">
        <f>'16-A. PM sub Annex'!D65</f>
        <v>NDCP</v>
      </c>
      <c r="E16" s="2071" t="str">
        <f>'16-A. PM sub Annex'!E65</f>
        <v>HRH&amp;HPIP/NRCP</v>
      </c>
      <c r="F16" s="2071">
        <f>'16-A. PM sub Annex'!F65</f>
        <v>0</v>
      </c>
      <c r="G16" s="2071">
        <f>'16-A. PM sub Annex'!G65</f>
        <v>0</v>
      </c>
      <c r="H16" s="2071">
        <f>'16-A. PM sub Annex'!H65</f>
        <v>0</v>
      </c>
      <c r="I16" s="2071">
        <f>'16-A. PM sub Annex'!I65</f>
        <v>0</v>
      </c>
      <c r="J16" s="2071">
        <f>'16-A. PM sub Annex'!J65</f>
        <v>0</v>
      </c>
      <c r="K16" s="2071">
        <f>'16-A. PM sub Annex'!K65</f>
        <v>0</v>
      </c>
      <c r="L16" s="2071">
        <f>'16-A. PM sub Annex'!L65</f>
        <v>0</v>
      </c>
      <c r="M16" s="2072">
        <f>'16-A. PM sub Annex'!M65</f>
        <v>0</v>
      </c>
      <c r="N16" s="2071">
        <f>'16-A. PM sub Annex'!N65</f>
        <v>0</v>
      </c>
      <c r="O16" s="2072">
        <f>'16-A. PM sub Annex'!O65</f>
        <v>0</v>
      </c>
      <c r="P16" s="88">
        <f>'16-A. PM sub Annex'!P65</f>
        <v>0</v>
      </c>
      <c r="Q16" s="2080"/>
      <c r="R16" s="2081"/>
    </row>
    <row r="17" spans="1:18">
      <c r="K17" s="2075"/>
      <c r="L17" s="2075"/>
      <c r="M17" s="2076"/>
      <c r="O17" s="2077"/>
      <c r="Q17" s="2084"/>
      <c r="R17" s="2084"/>
    </row>
    <row r="18" spans="1:18">
      <c r="K18" s="2075"/>
      <c r="L18" s="2075"/>
      <c r="M18" s="2076"/>
      <c r="Q18" s="2084"/>
      <c r="R18" s="2084"/>
    </row>
    <row r="19" spans="1:18" s="1942" customFormat="1">
      <c r="A19" s="4098" t="s">
        <v>5130</v>
      </c>
      <c r="B19" s="4098"/>
      <c r="C19" s="4098"/>
      <c r="D19" s="785"/>
      <c r="E19" s="785"/>
      <c r="F19" s="785"/>
      <c r="G19" s="785"/>
      <c r="H19" s="547"/>
      <c r="I19" s="785"/>
      <c r="J19" s="547"/>
      <c r="K19" s="2007"/>
      <c r="L19" s="2007"/>
      <c r="M19" s="547"/>
      <c r="N19" s="1997"/>
      <c r="O19" s="1957"/>
      <c r="P19" s="1953"/>
      <c r="Q19" s="1964"/>
      <c r="R19" s="1965"/>
    </row>
    <row r="20" spans="1:18" s="1942" customFormat="1">
      <c r="A20" s="1958" t="str">
        <f>'NUHM-Non Metro Abst'!A16</f>
        <v>U.1.1.1.6</v>
      </c>
      <c r="B20" s="1958">
        <f>'NUHM-Non Metro Abst'!B16</f>
        <v>0</v>
      </c>
      <c r="C20" s="1958" t="str">
        <f>'NUHM-Non Metro Abst'!C16</f>
        <v>Support for implementation of NRCP</v>
      </c>
      <c r="E20" s="1958" t="str">
        <f>'NUHM-Non Metro Abst'!D16</f>
        <v>NRCP</v>
      </c>
      <c r="F20" s="1958">
        <f>'NUHM-Non Metro Abst'!E16</f>
        <v>0</v>
      </c>
      <c r="G20" s="1958">
        <f>'NUHM-Non Metro Abst'!F16</f>
        <v>0</v>
      </c>
      <c r="H20" s="1958">
        <f>'NUHM-Non Metro Abst'!G16</f>
        <v>0</v>
      </c>
      <c r="I20" s="1958">
        <f>'NUHM-Non Metro Abst'!H16</f>
        <v>0</v>
      </c>
      <c r="J20" s="1958">
        <f>'NUHM-Non Metro Abst'!I16</f>
        <v>0</v>
      </c>
      <c r="K20" s="1958">
        <f>'NUHM-Non Metro Abst'!J16</f>
        <v>0</v>
      </c>
      <c r="L20" s="1958">
        <f>'NUHM-Non Metro Abst'!K16</f>
        <v>0</v>
      </c>
      <c r="M20" s="1958">
        <f>'NUHM-Non Metro Abst'!L16</f>
        <v>0</v>
      </c>
      <c r="N20" s="1958">
        <f>'NUHM-Non Metro Abst'!M16</f>
        <v>0</v>
      </c>
      <c r="O20" s="1958">
        <f>'NUHM-Non Metro Abst'!N16</f>
        <v>0</v>
      </c>
      <c r="P20" s="1958">
        <f>'NUHM-Non Metro Abst'!O16</f>
        <v>0</v>
      </c>
      <c r="Q20" s="55"/>
      <c r="R20" s="1966"/>
    </row>
    <row r="21" spans="1:18" s="1942" customFormat="1">
      <c r="A21" s="4098" t="s">
        <v>5129</v>
      </c>
      <c r="B21" s="4098"/>
      <c r="C21" s="4098"/>
      <c r="D21" s="785"/>
      <c r="E21" s="785"/>
      <c r="F21" s="785"/>
      <c r="G21" s="785"/>
      <c r="H21" s="785"/>
      <c r="I21" s="785"/>
      <c r="J21" s="785"/>
      <c r="K21" s="785"/>
      <c r="L21" s="785"/>
      <c r="M21" s="785"/>
      <c r="N21" s="785"/>
      <c r="O21" s="785"/>
      <c r="P21" s="785"/>
      <c r="Q21" s="1964"/>
      <c r="R21" s="1965"/>
    </row>
    <row r="22" spans="1:18" s="1942" customFormat="1">
      <c r="A22" s="1958" t="str">
        <f>'NUHM Metro Abst'!A16</f>
        <v>U.1.1.1.6</v>
      </c>
      <c r="B22" s="1958">
        <f>'NUHM Metro Abst'!B16</f>
        <v>0</v>
      </c>
      <c r="C22" s="1958" t="str">
        <f>'NUHM Metro Abst'!C16</f>
        <v>Support for implementation of NRCP</v>
      </c>
      <c r="E22" s="1958" t="str">
        <f>'NUHM Metro Abst'!D16</f>
        <v>NRCP</v>
      </c>
      <c r="F22" s="1958">
        <f>'NUHM Metro Abst'!E16</f>
        <v>0</v>
      </c>
      <c r="G22" s="1958">
        <f>'NUHM Metro Abst'!F16</f>
        <v>0</v>
      </c>
      <c r="H22" s="1958">
        <f>'NUHM Metro Abst'!G16</f>
        <v>0</v>
      </c>
      <c r="I22" s="1958">
        <f>'NUHM Metro Abst'!H16</f>
        <v>0</v>
      </c>
      <c r="J22" s="1958">
        <f>'NUHM Metro Abst'!I16</f>
        <v>0</v>
      </c>
      <c r="K22" s="1958">
        <f>'NUHM Metro Abst'!J16</f>
        <v>0</v>
      </c>
      <c r="L22" s="1958">
        <f>'NUHM Metro Abst'!K16</f>
        <v>0</v>
      </c>
      <c r="M22" s="1958">
        <f>'NUHM Metro Abst'!L16</f>
        <v>0</v>
      </c>
      <c r="N22" s="1958">
        <f>'NUHM Metro Abst'!M16</f>
        <v>0</v>
      </c>
      <c r="O22" s="1958">
        <f>'NUHM Metro Abst'!N16</f>
        <v>0</v>
      </c>
      <c r="P22" s="1958">
        <f>'NUHM Metro Abst'!O16</f>
        <v>0</v>
      </c>
      <c r="Q22" s="1958"/>
      <c r="R22" s="1958"/>
    </row>
  </sheetData>
  <sheetProtection sheet="1" formatCells="0" formatColumns="0" autoFilter="0"/>
  <autoFilter ref="A5:M16"/>
  <mergeCells count="11">
    <mergeCell ref="A19:C19"/>
    <mergeCell ref="A21:C21"/>
    <mergeCell ref="Q4:R4"/>
    <mergeCell ref="E4:E5"/>
    <mergeCell ref="A1:C1"/>
    <mergeCell ref="A4:A5"/>
    <mergeCell ref="B4:B5"/>
    <mergeCell ref="C4:C5"/>
    <mergeCell ref="D4:D5"/>
    <mergeCell ref="F4:J4"/>
    <mergeCell ref="K4:P4"/>
  </mergeCells>
  <pageMargins left="0.7" right="0.7" top="0.75" bottom="0.75" header="0.3" footer="0.3"/>
  <pageSetup orientation="portrait" horizontalDpi="300" verticalDpi="300" r:id="rId1"/>
</worksheet>
</file>

<file path=xl/worksheets/sheet41.xml><?xml version="1.0" encoding="utf-8"?>
<worksheet xmlns="http://schemas.openxmlformats.org/spreadsheetml/2006/main" xmlns:r="http://schemas.openxmlformats.org/officeDocument/2006/relationships">
  <sheetPr>
    <tabColor theme="5" tint="0.79998168889431442"/>
  </sheetPr>
  <dimension ref="A1:S23"/>
  <sheetViews>
    <sheetView zoomScale="70" zoomScaleNormal="70" workbookViewId="0">
      <pane xSplit="3" ySplit="5" topLeftCell="F6" activePane="bottomRight" state="frozen"/>
      <selection activeCell="C107" sqref="C107"/>
      <selection pane="topRight" activeCell="C107" sqref="C107"/>
      <selection pane="bottomLeft" activeCell="C107" sqref="C107"/>
      <selection pane="bottomRight" activeCell="Q8" sqref="Q8:S8"/>
    </sheetView>
  </sheetViews>
  <sheetFormatPr defaultColWidth="8.7109375" defaultRowHeight="15"/>
  <cols>
    <col min="1" max="1" width="10.5703125" style="904" bestFit="1" customWidth="1"/>
    <col min="2" max="2" width="16.42578125" style="904" customWidth="1"/>
    <col min="3" max="3" width="40.85546875" style="904" customWidth="1"/>
    <col min="4" max="4" width="5.5703125" style="868" bestFit="1" customWidth="1"/>
    <col min="5" max="5" width="16.7109375" style="868" customWidth="1"/>
    <col min="6" max="6" width="17.28515625" style="868" bestFit="1" customWidth="1"/>
    <col min="7" max="7" width="13.42578125" style="868" customWidth="1"/>
    <col min="8" max="8" width="15.85546875" style="978" bestFit="1" customWidth="1"/>
    <col min="9" max="9" width="9.85546875" style="868" customWidth="1"/>
    <col min="10" max="10" width="11.28515625" style="978" customWidth="1"/>
    <col min="11" max="11" width="9.42578125" style="904" customWidth="1"/>
    <col min="12" max="12" width="12.140625" style="904" customWidth="1"/>
    <col min="13" max="13" width="9.85546875" style="978" customWidth="1"/>
    <col min="14" max="14" width="8.7109375" style="860"/>
    <col min="15" max="15" width="8.7109375" style="1212"/>
    <col min="16" max="16" width="24.5703125" style="860" customWidth="1"/>
    <col min="17" max="17" width="27.28515625" style="860" customWidth="1"/>
    <col min="18" max="18" width="8.7109375" style="1212"/>
    <col min="19" max="16384" width="8.7109375" style="860"/>
  </cols>
  <sheetData>
    <row r="1" spans="1:19">
      <c r="A1" s="4111" t="s">
        <v>4355</v>
      </c>
      <c r="B1" s="4111"/>
      <c r="C1" s="4111"/>
      <c r="D1" s="2085"/>
      <c r="E1" s="2086"/>
      <c r="F1" s="83" t="s">
        <v>4458</v>
      </c>
      <c r="G1" s="1847"/>
      <c r="H1" s="1847"/>
      <c r="I1" s="1847"/>
      <c r="J1" s="2087"/>
      <c r="K1" s="2088"/>
      <c r="L1" s="2088"/>
      <c r="M1" s="2087"/>
    </row>
    <row r="2" spans="1:19">
      <c r="A2" s="1842" t="str">
        <f>HYPERLINK("#Index!F3", "Index Pg")</f>
        <v>Index Pg</v>
      </c>
      <c r="B2" s="1847"/>
      <c r="C2" s="864" t="str">
        <f>HYPERLINK("#'Budget Summary I'!A1:AL1", "Budget Summary I")</f>
        <v>Budget Summary I</v>
      </c>
      <c r="D2" s="1146"/>
      <c r="E2" s="1463" t="s">
        <v>4460</v>
      </c>
      <c r="F2" s="978">
        <f>R6+R9+R11+R15</f>
        <v>0</v>
      </c>
      <c r="G2" s="1847"/>
      <c r="H2" s="1847"/>
      <c r="I2" s="1847"/>
      <c r="J2" s="1145"/>
      <c r="K2" s="2023"/>
      <c r="L2" s="2023"/>
      <c r="M2" s="1145"/>
    </row>
    <row r="3" spans="1:19">
      <c r="A3" s="1846"/>
      <c r="B3" s="1847"/>
      <c r="C3" s="1916" t="str">
        <f>HYPERLINK("#'Budget Summary II'!A3:B5", "Budget Summary II")</f>
        <v>Budget Summary II</v>
      </c>
      <c r="D3" s="1146"/>
      <c r="E3" s="2035" t="s">
        <v>4461</v>
      </c>
      <c r="F3" s="786">
        <f>O6+O9+O11+O15</f>
        <v>50</v>
      </c>
      <c r="G3" s="1847"/>
      <c r="H3" s="1847"/>
      <c r="I3" s="1847"/>
      <c r="J3" s="1145"/>
      <c r="K3" s="2023"/>
      <c r="L3" s="2023"/>
      <c r="M3" s="1145"/>
    </row>
    <row r="4" spans="1:19" s="868" customFormat="1" ht="14.45" customHeight="1">
      <c r="A4" s="3801" t="s">
        <v>48</v>
      </c>
      <c r="B4" s="3801" t="s">
        <v>49</v>
      </c>
      <c r="C4" s="3801" t="s">
        <v>50</v>
      </c>
      <c r="D4" s="3801" t="s">
        <v>51</v>
      </c>
      <c r="E4" s="3801" t="s">
        <v>52</v>
      </c>
      <c r="F4" s="3866" t="s">
        <v>4478</v>
      </c>
      <c r="G4" s="3866"/>
      <c r="H4" s="3866"/>
      <c r="I4" s="3866"/>
      <c r="J4" s="3866"/>
      <c r="K4" s="3866" t="s">
        <v>4484</v>
      </c>
      <c r="L4" s="3866"/>
      <c r="M4" s="3866"/>
      <c r="N4" s="3866"/>
      <c r="O4" s="3866"/>
      <c r="P4" s="3866"/>
      <c r="Q4" s="3801" t="s">
        <v>4514</v>
      </c>
      <c r="R4" s="3801"/>
    </row>
    <row r="5" spans="1:19" s="868" customFormat="1" ht="60">
      <c r="A5" s="3801"/>
      <c r="B5" s="3801"/>
      <c r="C5" s="3801"/>
      <c r="D5" s="3801"/>
      <c r="E5" s="3801"/>
      <c r="F5" s="918" t="s">
        <v>4479</v>
      </c>
      <c r="G5" s="918" t="s">
        <v>4482</v>
      </c>
      <c r="H5" s="918" t="s">
        <v>4480</v>
      </c>
      <c r="I5" s="918" t="s">
        <v>4483</v>
      </c>
      <c r="J5" s="918" t="s">
        <v>2448</v>
      </c>
      <c r="K5" s="919" t="s">
        <v>53</v>
      </c>
      <c r="L5" s="919" t="s">
        <v>54</v>
      </c>
      <c r="M5" s="920" t="s">
        <v>55</v>
      </c>
      <c r="N5" s="919" t="s">
        <v>56</v>
      </c>
      <c r="O5" s="920" t="s">
        <v>57</v>
      </c>
      <c r="P5" s="919" t="s">
        <v>58</v>
      </c>
      <c r="Q5" s="921" t="s">
        <v>2450</v>
      </c>
      <c r="R5" s="922" t="s">
        <v>4515</v>
      </c>
    </row>
    <row r="6" spans="1:19">
      <c r="A6" s="2007">
        <f>'6.Procurement Annex'!A7</f>
        <v>6</v>
      </c>
      <c r="B6" s="2007"/>
      <c r="C6" s="2007" t="str">
        <f>'6.Procurement Annex'!C7</f>
        <v>Procurement</v>
      </c>
      <c r="D6" s="785"/>
      <c r="E6" s="785"/>
      <c r="F6" s="785"/>
      <c r="G6" s="785"/>
      <c r="H6" s="547"/>
      <c r="I6" s="785"/>
      <c r="J6" s="547"/>
      <c r="K6" s="2007"/>
      <c r="L6" s="2007"/>
      <c r="M6" s="547"/>
      <c r="N6" s="2089"/>
      <c r="O6" s="2090">
        <f>SUM(O7:O8)</f>
        <v>50</v>
      </c>
      <c r="P6" s="2089"/>
      <c r="Q6" s="2089"/>
      <c r="R6" s="2090">
        <f>SUM(R7:R8)</f>
        <v>0</v>
      </c>
    </row>
    <row r="7" spans="1:19" ht="45">
      <c r="A7" s="4112" t="str">
        <f>'6.Procurement Annex'!A77</f>
        <v>6.2.3.6</v>
      </c>
      <c r="B7" s="89"/>
      <c r="C7" s="86" t="str">
        <f>'6-A. Proc. Sub-Annex'!C247</f>
        <v xml:space="preserve">Procurement of drugs, diagnostic kits, supplies etc under Programme for Prevention and Control of Leptospirosis </v>
      </c>
      <c r="D7" s="159" t="str">
        <f>'6-A. Proc. Sub-Annex'!D247</f>
        <v>NDCP</v>
      </c>
      <c r="E7" s="159" t="str">
        <f>'6-A. Proc. Sub-Annex'!E247</f>
        <v>PPCL</v>
      </c>
      <c r="F7" s="159">
        <f>'6-A. Proc. Sub-Annex'!F247</f>
        <v>0</v>
      </c>
      <c r="G7" s="159">
        <f>'6-A. Proc. Sub-Annex'!G247</f>
        <v>0</v>
      </c>
      <c r="H7" s="159">
        <f>'6-A. Proc. Sub-Annex'!H247</f>
        <v>0</v>
      </c>
      <c r="I7" s="159">
        <f>'6-A. Proc. Sub-Annex'!I247</f>
        <v>0</v>
      </c>
      <c r="J7" s="159">
        <f>'6-A. Proc. Sub-Annex'!J247</f>
        <v>0</v>
      </c>
      <c r="K7" s="159">
        <f>'6-A. Proc. Sub-Annex'!K247</f>
        <v>0</v>
      </c>
      <c r="L7" s="159">
        <f>'6-A. Proc. Sub-Annex'!L247</f>
        <v>0</v>
      </c>
      <c r="M7" s="799">
        <f>'6-A. Proc. Sub-Annex'!M247</f>
        <v>0</v>
      </c>
      <c r="N7" s="159">
        <f>'6-A. Proc. Sub-Annex'!N247</f>
        <v>0</v>
      </c>
      <c r="O7" s="799">
        <f>'6-A. Proc. Sub-Annex'!O247</f>
        <v>0</v>
      </c>
      <c r="P7" s="86">
        <f>'6-A. Proc. Sub-Annex'!P247</f>
        <v>0</v>
      </c>
      <c r="Q7" s="54"/>
      <c r="R7" s="694"/>
    </row>
    <row r="8" spans="1:19" ht="60">
      <c r="A8" s="4112"/>
      <c r="B8" s="89"/>
      <c r="C8" s="86" t="str">
        <f>'6-A. Proc. Sub-Annex'!C248</f>
        <v>Any other (please specify)</v>
      </c>
      <c r="D8" s="159" t="str">
        <f>'6-A. Proc. Sub-Annex'!D248</f>
        <v>NDCP</v>
      </c>
      <c r="E8" s="159" t="str">
        <f>'6-A. Proc. Sub-Annex'!E248</f>
        <v>PPCL</v>
      </c>
      <c r="F8" s="159">
        <f>'6-A. Proc. Sub-Annex'!F248</f>
        <v>0</v>
      </c>
      <c r="G8" s="159">
        <f>'6-A. Proc. Sub-Annex'!G248</f>
        <v>0</v>
      </c>
      <c r="H8" s="159">
        <f>'6-A. Proc. Sub-Annex'!H248</f>
        <v>0</v>
      </c>
      <c r="I8" s="159">
        <f>'6-A. Proc. Sub-Annex'!I248</f>
        <v>0</v>
      </c>
      <c r="J8" s="159">
        <f>'6-A. Proc. Sub-Annex'!J248</f>
        <v>0</v>
      </c>
      <c r="K8" s="159">
        <f>'6-A. Proc. Sub-Annex'!K248</f>
        <v>0</v>
      </c>
      <c r="L8" s="159">
        <f>'6-A. Proc. Sub-Annex'!L248</f>
        <v>5000000</v>
      </c>
      <c r="M8" s="799">
        <f>'6-A. Proc. Sub-Annex'!M248</f>
        <v>50</v>
      </c>
      <c r="N8" s="159">
        <f>'6-A. Proc. Sub-Annex'!N248</f>
        <v>1</v>
      </c>
      <c r="O8" s="799">
        <f>'6-A. Proc. Sub-Annex'!O248</f>
        <v>50</v>
      </c>
      <c r="P8" s="86" t="str">
        <f>'6-A. Proc. Sub-Annex'!P248</f>
        <v>State proposes Rs. 50 lacs for essenciation of Rare disease Diagonsitic &amp; Management.</v>
      </c>
      <c r="Q8" s="108" t="s">
        <v>5870</v>
      </c>
      <c r="R8" s="2729">
        <v>0</v>
      </c>
      <c r="S8" s="861" t="s">
        <v>5904</v>
      </c>
    </row>
    <row r="9" spans="1:19">
      <c r="A9" s="2007">
        <f>'9.Training Annex'!A7</f>
        <v>9</v>
      </c>
      <c r="B9" s="2007"/>
      <c r="C9" s="2007" t="str">
        <f>'9.Training Annex'!C7</f>
        <v>Training and Capacity Building</v>
      </c>
      <c r="D9" s="785"/>
      <c r="E9" s="785"/>
      <c r="F9" s="785"/>
      <c r="G9" s="785"/>
      <c r="H9" s="547"/>
      <c r="I9" s="785"/>
      <c r="J9" s="547"/>
      <c r="K9" s="2007"/>
      <c r="L9" s="2007"/>
      <c r="M9" s="547"/>
      <c r="N9" s="2089"/>
      <c r="O9" s="2090">
        <f>O10</f>
        <v>0</v>
      </c>
      <c r="P9" s="2091"/>
      <c r="Q9" s="2092"/>
      <c r="R9" s="2093">
        <f>R10</f>
        <v>0</v>
      </c>
    </row>
    <row r="10" spans="1:19" ht="45">
      <c r="A10" s="88" t="str">
        <f>'9.Training Annex'!A53</f>
        <v>9.2.3.7</v>
      </c>
      <c r="B10" s="88"/>
      <c r="C10" s="88" t="str">
        <f>'9-A.Training Sub-Annex'!C246</f>
        <v>Training at State and District level under Programme for Prevention and Control of Leptospirosis</v>
      </c>
      <c r="D10" s="1975" t="str">
        <f>'9-A.Training Sub-Annex'!D246</f>
        <v>NDCP</v>
      </c>
      <c r="E10" s="1975" t="str">
        <f>'9-A.Training Sub-Annex'!E246</f>
        <v>PPCL</v>
      </c>
      <c r="F10" s="1975">
        <f>'9-A.Training Sub-Annex'!F246</f>
        <v>0</v>
      </c>
      <c r="G10" s="1975">
        <f>'9-A.Training Sub-Annex'!G246</f>
        <v>0</v>
      </c>
      <c r="H10" s="1975">
        <f>'9-A.Training Sub-Annex'!H246</f>
        <v>0</v>
      </c>
      <c r="I10" s="1975">
        <f>'9-A.Training Sub-Annex'!I246</f>
        <v>0</v>
      </c>
      <c r="J10" s="1975">
        <f>'9-A.Training Sub-Annex'!J246</f>
        <v>0</v>
      </c>
      <c r="K10" s="1975">
        <f>'9-A.Training Sub-Annex'!K246</f>
        <v>0</v>
      </c>
      <c r="L10" s="1975">
        <f>'9-A.Training Sub-Annex'!L246</f>
        <v>0</v>
      </c>
      <c r="M10" s="162">
        <f>'9-A.Training Sub-Annex'!M246</f>
        <v>0</v>
      </c>
      <c r="N10" s="1975">
        <f>'9-A.Training Sub-Annex'!N246</f>
        <v>0</v>
      </c>
      <c r="O10" s="162">
        <f>'9-A.Training Sub-Annex'!O246</f>
        <v>0</v>
      </c>
      <c r="P10" s="88">
        <f>'9-A.Training Sub-Annex'!P246</f>
        <v>0</v>
      </c>
      <c r="Q10" s="54"/>
      <c r="R10" s="694"/>
    </row>
    <row r="11" spans="1:19">
      <c r="A11" s="2007">
        <f>'11.IEC-BCC Annex'!A7</f>
        <v>11</v>
      </c>
      <c r="B11" s="2007"/>
      <c r="C11" s="2007" t="str">
        <f>'11.IEC-BCC Annex'!C7</f>
        <v>IEC/BCC</v>
      </c>
      <c r="D11" s="785"/>
      <c r="E11" s="785"/>
      <c r="F11" s="785"/>
      <c r="G11" s="785"/>
      <c r="H11" s="547"/>
      <c r="I11" s="785"/>
      <c r="J11" s="547"/>
      <c r="K11" s="2007"/>
      <c r="L11" s="2007"/>
      <c r="M11" s="547"/>
      <c r="N11" s="2089"/>
      <c r="O11" s="2090">
        <f>O12</f>
        <v>0</v>
      </c>
      <c r="P11" s="2091"/>
      <c r="Q11" s="2092"/>
      <c r="R11" s="2093">
        <f>R12</f>
        <v>0</v>
      </c>
    </row>
    <row r="12" spans="1:19" ht="30">
      <c r="A12" s="88" t="str">
        <f>'11.IEC-BCC Annex'!A29</f>
        <v>11.3.5</v>
      </c>
      <c r="B12" s="88"/>
      <c r="C12" s="88" t="str">
        <f>'11-A. IEC Sub-Annex'!C74</f>
        <v>IEC under Programme for Prevention and Control of Leptospirosis</v>
      </c>
      <c r="D12" s="1975" t="str">
        <f>'11-A. IEC Sub-Annex'!D74</f>
        <v>NDCP</v>
      </c>
      <c r="E12" s="1975" t="str">
        <f>'11-A. IEC Sub-Annex'!E74</f>
        <v>PPCL</v>
      </c>
      <c r="F12" s="1975">
        <f>'11-A. IEC Sub-Annex'!F74</f>
        <v>0</v>
      </c>
      <c r="G12" s="1975">
        <f>'11-A. IEC Sub-Annex'!G74</f>
        <v>0</v>
      </c>
      <c r="H12" s="1975">
        <f>'11-A. IEC Sub-Annex'!H74</f>
        <v>0</v>
      </c>
      <c r="I12" s="1975">
        <f>'11-A. IEC Sub-Annex'!I74</f>
        <v>0</v>
      </c>
      <c r="J12" s="1975">
        <f>'11-A. IEC Sub-Annex'!J74</f>
        <v>0</v>
      </c>
      <c r="K12" s="1975">
        <f>'11-A. IEC Sub-Annex'!K74</f>
        <v>0</v>
      </c>
      <c r="L12" s="1975">
        <f>'11-A. IEC Sub-Annex'!L74</f>
        <v>0</v>
      </c>
      <c r="M12" s="162">
        <f>'11-A. IEC Sub-Annex'!M74</f>
        <v>0</v>
      </c>
      <c r="N12" s="1975">
        <f>'11-A. IEC Sub-Annex'!N74</f>
        <v>0</v>
      </c>
      <c r="O12" s="162">
        <f>'11-A. IEC Sub-Annex'!O74</f>
        <v>0</v>
      </c>
      <c r="P12" s="88">
        <f>'11-A. IEC Sub-Annex'!P74</f>
        <v>0</v>
      </c>
      <c r="Q12" s="54"/>
      <c r="R12" s="694"/>
    </row>
    <row r="13" spans="1:19">
      <c r="A13" s="2007">
        <f>'12.Printing Annex'!A7</f>
        <v>12</v>
      </c>
      <c r="B13" s="2007"/>
      <c r="C13" s="2007" t="str">
        <f>'12.Printing Annex'!C7</f>
        <v>Printing</v>
      </c>
      <c r="D13" s="785"/>
      <c r="E13" s="785"/>
      <c r="F13" s="785"/>
      <c r="G13" s="785"/>
      <c r="H13" s="547"/>
      <c r="I13" s="785"/>
      <c r="J13" s="547"/>
      <c r="K13" s="2007"/>
      <c r="L13" s="2007"/>
      <c r="M13" s="547"/>
      <c r="N13" s="2089"/>
      <c r="O13" s="2090">
        <f>O14</f>
        <v>0</v>
      </c>
      <c r="P13" s="2091"/>
      <c r="Q13" s="2092"/>
      <c r="R13" s="2093">
        <f>R14</f>
        <v>0</v>
      </c>
    </row>
    <row r="14" spans="1:19" ht="30">
      <c r="A14" s="88" t="str">
        <f>'12.Printing Annex'!A32</f>
        <v>12.3.7</v>
      </c>
      <c r="B14" s="88"/>
      <c r="C14" s="88" t="str">
        <f>'12.Printing Annex'!C32</f>
        <v>Printing activities under PPCL</v>
      </c>
      <c r="D14" s="88" t="str">
        <f>'12.Printing Annex'!D32</f>
        <v>NDCP</v>
      </c>
      <c r="E14" s="1975" t="str">
        <f>'12.Printing Annex'!E32</f>
        <v>PPCL</v>
      </c>
      <c r="F14" s="1975">
        <f>'12.Printing Annex'!F32</f>
        <v>0</v>
      </c>
      <c r="G14" s="1975">
        <f>'12.Printing Annex'!G32</f>
        <v>0</v>
      </c>
      <c r="H14" s="1975">
        <f>'12.Printing Annex'!H32</f>
        <v>0</v>
      </c>
      <c r="I14" s="1975">
        <f>'12.Printing Annex'!I32</f>
        <v>0</v>
      </c>
      <c r="J14" s="1975">
        <f>'12.Printing Annex'!J32</f>
        <v>0</v>
      </c>
      <c r="K14" s="1975">
        <f>'12.Printing Annex'!K32</f>
        <v>0</v>
      </c>
      <c r="L14" s="1975">
        <f>'12.Printing Annex'!L32</f>
        <v>0</v>
      </c>
      <c r="M14" s="162">
        <f>'12.Printing Annex'!M32</f>
        <v>0</v>
      </c>
      <c r="N14" s="1975">
        <f>'12.Printing Annex'!N32</f>
        <v>0</v>
      </c>
      <c r="O14" s="162">
        <f>'12.Printing Annex'!O32</f>
        <v>0</v>
      </c>
      <c r="P14" s="88">
        <f>'12.Printing Annex'!P32</f>
        <v>0</v>
      </c>
      <c r="Q14" s="54"/>
      <c r="R14" s="694"/>
    </row>
    <row r="15" spans="1:19">
      <c r="A15" s="876">
        <f>'16.PM Annex'!A7</f>
        <v>16</v>
      </c>
      <c r="B15" s="876"/>
      <c r="C15" s="876" t="str">
        <f>'16.PM Annex'!C7</f>
        <v>Programme Management</v>
      </c>
      <c r="D15" s="2069"/>
      <c r="E15" s="2069"/>
      <c r="F15" s="2069"/>
      <c r="G15" s="2069"/>
      <c r="H15" s="1995"/>
      <c r="I15" s="2069"/>
      <c r="J15" s="547"/>
      <c r="K15" s="2091"/>
      <c r="L15" s="2091"/>
      <c r="M15" s="547"/>
      <c r="N15" s="2089"/>
      <c r="O15" s="2090">
        <f>SUM(O16:O17)</f>
        <v>0</v>
      </c>
      <c r="P15" s="2091"/>
      <c r="Q15" s="2092"/>
      <c r="R15" s="2093">
        <f>SUM(R16:R17)</f>
        <v>0</v>
      </c>
    </row>
    <row r="16" spans="1:19" ht="30">
      <c r="A16" s="88" t="str">
        <f>'16-A. PM sub Annex'!A48</f>
        <v>16.1.2.1.27</v>
      </c>
      <c r="B16" s="88"/>
      <c r="C16" s="88" t="str">
        <f>'16-A. PM sub Annex'!C48</f>
        <v>Review meetings under Programme for Prevention and Control of Leptospirosis</v>
      </c>
      <c r="D16" s="1975" t="str">
        <f>'16-A. PM sub Annex'!D48</f>
        <v>NDCP</v>
      </c>
      <c r="E16" s="1975" t="str">
        <f>'16-A. PM sub Annex'!E48</f>
        <v>HRH&amp;HPIP/PPCL</v>
      </c>
      <c r="F16" s="1975">
        <f>'16-A. PM sub Annex'!F48</f>
        <v>0</v>
      </c>
      <c r="G16" s="1975">
        <f>'16-A. PM sub Annex'!G48</f>
        <v>0</v>
      </c>
      <c r="H16" s="1975">
        <f>'16-A. PM sub Annex'!H48</f>
        <v>0</v>
      </c>
      <c r="I16" s="1975">
        <f>'16-A. PM sub Annex'!I48</f>
        <v>0</v>
      </c>
      <c r="J16" s="1975">
        <f>'16-A. PM sub Annex'!J48</f>
        <v>0</v>
      </c>
      <c r="K16" s="1975">
        <f>'16-A. PM sub Annex'!K48</f>
        <v>0</v>
      </c>
      <c r="L16" s="1975">
        <f>'16-A. PM sub Annex'!L48</f>
        <v>0</v>
      </c>
      <c r="M16" s="162">
        <f>'16-A. PM sub Annex'!M48</f>
        <v>0</v>
      </c>
      <c r="N16" s="1975">
        <f>'16-A. PM sub Annex'!N48</f>
        <v>0</v>
      </c>
      <c r="O16" s="162">
        <f>'16-A. PM sub Annex'!O48</f>
        <v>0</v>
      </c>
      <c r="P16" s="88">
        <f>'16-A. PM sub Annex'!P48</f>
        <v>0</v>
      </c>
      <c r="Q16" s="54"/>
      <c r="R16" s="694"/>
    </row>
    <row r="17" spans="1:18" ht="30">
      <c r="A17" s="88" t="str">
        <f>'16-A. PM sub Annex'!A89</f>
        <v>16.1.3.1.20</v>
      </c>
      <c r="B17" s="88"/>
      <c r="C17" s="88" t="str">
        <f>'16-A. PM sub Annex'!C89</f>
        <v>Mobility support under Programme for Prevention and Control of Leptospirosis</v>
      </c>
      <c r="D17" s="1975" t="str">
        <f>'16-A. PM sub Annex'!D89</f>
        <v>NDCP</v>
      </c>
      <c r="E17" s="1975" t="str">
        <f>'16-A. PM sub Annex'!E89</f>
        <v>HRH&amp;HPIP/PPCL</v>
      </c>
      <c r="F17" s="1975">
        <f>'16-A. PM sub Annex'!F89</f>
        <v>0</v>
      </c>
      <c r="G17" s="1975">
        <f>'16-A. PM sub Annex'!G89</f>
        <v>0</v>
      </c>
      <c r="H17" s="1975">
        <f>'16-A. PM sub Annex'!H89</f>
        <v>0</v>
      </c>
      <c r="I17" s="1975">
        <f>'16-A. PM sub Annex'!I89</f>
        <v>0</v>
      </c>
      <c r="J17" s="1975">
        <f>'16-A. PM sub Annex'!J89</f>
        <v>0</v>
      </c>
      <c r="K17" s="1975">
        <f>'16-A. PM sub Annex'!K89</f>
        <v>0</v>
      </c>
      <c r="L17" s="1975">
        <f>'16-A. PM sub Annex'!L89</f>
        <v>0</v>
      </c>
      <c r="M17" s="162">
        <f>'16-A. PM sub Annex'!M89</f>
        <v>0</v>
      </c>
      <c r="N17" s="1975">
        <f>'16-A. PM sub Annex'!N89</f>
        <v>0</v>
      </c>
      <c r="O17" s="162">
        <f>'16-A. PM sub Annex'!O89</f>
        <v>0</v>
      </c>
      <c r="P17" s="88">
        <f>'16-A. PM sub Annex'!P89</f>
        <v>0</v>
      </c>
      <c r="Q17" s="54"/>
      <c r="R17" s="694"/>
    </row>
    <row r="18" spans="1:18">
      <c r="Q18" s="599"/>
      <c r="R18" s="2017"/>
    </row>
    <row r="19" spans="1:18">
      <c r="Q19" s="599"/>
      <c r="R19" s="2017"/>
    </row>
    <row r="20" spans="1:18" s="1942" customFormat="1">
      <c r="A20" s="4098" t="s">
        <v>5130</v>
      </c>
      <c r="B20" s="4098"/>
      <c r="C20" s="4098"/>
      <c r="D20" s="785"/>
      <c r="E20" s="785"/>
      <c r="F20" s="785"/>
      <c r="G20" s="785"/>
      <c r="H20" s="547"/>
      <c r="I20" s="785"/>
      <c r="J20" s="547"/>
      <c r="K20" s="2007"/>
      <c r="L20" s="2007"/>
      <c r="M20" s="547"/>
      <c r="N20" s="1997"/>
      <c r="O20" s="1957"/>
      <c r="P20" s="1953"/>
      <c r="Q20" s="1964"/>
      <c r="R20" s="1965"/>
    </row>
    <row r="21" spans="1:18" s="1942" customFormat="1">
      <c r="A21" s="1958" t="str">
        <f>'NUHM-Non Metro Abst'!A17</f>
        <v>U.1.1.1.7</v>
      </c>
      <c r="B21" s="1958">
        <f>'NUHM-Non Metro Abst'!B17</f>
        <v>0</v>
      </c>
      <c r="C21" s="1958" t="str">
        <f>'NUHM-Non Metro Abst'!C17</f>
        <v>Support for implementation of PPCL</v>
      </c>
      <c r="E21" s="1958" t="str">
        <f>'NUHM-Non Metro Abst'!D17</f>
        <v>PPCL</v>
      </c>
      <c r="F21" s="1958">
        <f>'NUHM-Non Metro Abst'!E17</f>
        <v>0</v>
      </c>
      <c r="G21" s="1958">
        <f>'NUHM-Non Metro Abst'!F17</f>
        <v>0</v>
      </c>
      <c r="H21" s="1958">
        <f>'NUHM-Non Metro Abst'!G17</f>
        <v>0</v>
      </c>
      <c r="I21" s="1958">
        <f>'NUHM-Non Metro Abst'!H17</f>
        <v>0</v>
      </c>
      <c r="J21" s="1958">
        <f>'NUHM-Non Metro Abst'!I17</f>
        <v>0</v>
      </c>
      <c r="K21" s="1958">
        <f>'NUHM-Non Metro Abst'!J17</f>
        <v>0</v>
      </c>
      <c r="L21" s="1958">
        <f>'NUHM-Non Metro Abst'!K17</f>
        <v>0</v>
      </c>
      <c r="M21" s="1958">
        <f>'NUHM-Non Metro Abst'!L17</f>
        <v>0</v>
      </c>
      <c r="N21" s="1958">
        <f>'NUHM-Non Metro Abst'!M17</f>
        <v>0</v>
      </c>
      <c r="O21" s="1958">
        <f>'NUHM-Non Metro Abst'!N17</f>
        <v>0</v>
      </c>
      <c r="P21" s="1958">
        <f>'NUHM-Non Metro Abst'!O17</f>
        <v>0</v>
      </c>
      <c r="Q21" s="55"/>
      <c r="R21" s="1966"/>
    </row>
    <row r="22" spans="1:18" s="1942" customFormat="1">
      <c r="A22" s="4098" t="s">
        <v>5129</v>
      </c>
      <c r="B22" s="4098"/>
      <c r="C22" s="4098"/>
      <c r="D22" s="785"/>
      <c r="E22" s="785"/>
      <c r="F22" s="785"/>
      <c r="G22" s="785"/>
      <c r="H22" s="785"/>
      <c r="I22" s="785"/>
      <c r="J22" s="785"/>
      <c r="K22" s="785"/>
      <c r="L22" s="785"/>
      <c r="M22" s="785"/>
      <c r="N22" s="785"/>
      <c r="O22" s="785"/>
      <c r="P22" s="785"/>
      <c r="Q22" s="1964"/>
      <c r="R22" s="1965"/>
    </row>
    <row r="23" spans="1:18" s="1942" customFormat="1">
      <c r="A23" s="1958" t="str">
        <f>'NUHM Metro Abst'!A17</f>
        <v>U.1.1.1.7</v>
      </c>
      <c r="B23" s="1958">
        <f>'NUHM Metro Abst'!B17</f>
        <v>0</v>
      </c>
      <c r="C23" s="1958" t="str">
        <f>'NUHM Metro Abst'!C17</f>
        <v>Support for implementation of PPCL</v>
      </c>
      <c r="E23" s="1958" t="str">
        <f>'NUHM Metro Abst'!D17</f>
        <v>PPCL</v>
      </c>
      <c r="F23" s="1958">
        <f>'NUHM Metro Abst'!E17</f>
        <v>0</v>
      </c>
      <c r="G23" s="1958">
        <f>'NUHM Metro Abst'!F17</f>
        <v>0</v>
      </c>
      <c r="H23" s="1958">
        <f>'NUHM Metro Abst'!G17</f>
        <v>0</v>
      </c>
      <c r="I23" s="1958">
        <f>'NUHM Metro Abst'!H17</f>
        <v>0</v>
      </c>
      <c r="J23" s="1958">
        <f>'NUHM Metro Abst'!I17</f>
        <v>0</v>
      </c>
      <c r="K23" s="1958">
        <f>'NUHM Metro Abst'!J17</f>
        <v>0</v>
      </c>
      <c r="L23" s="1958">
        <f>'NUHM Metro Abst'!K17</f>
        <v>0</v>
      </c>
      <c r="M23" s="1958">
        <f>'NUHM Metro Abst'!L17</f>
        <v>0</v>
      </c>
      <c r="N23" s="1958">
        <f>'NUHM Metro Abst'!M17</f>
        <v>0</v>
      </c>
      <c r="O23" s="1958">
        <f>'NUHM Metro Abst'!N17</f>
        <v>0</v>
      </c>
      <c r="P23" s="1958">
        <f>'NUHM Metro Abst'!O17</f>
        <v>0</v>
      </c>
      <c r="Q23" s="55"/>
      <c r="R23" s="55"/>
    </row>
  </sheetData>
  <sheetProtection formatCells="0" formatColumns="0" formatRows="0" autoFilter="0"/>
  <autoFilter ref="A5:M17"/>
  <mergeCells count="12">
    <mergeCell ref="A1:C1"/>
    <mergeCell ref="A4:A5"/>
    <mergeCell ref="B4:B5"/>
    <mergeCell ref="C4:C5"/>
    <mergeCell ref="D4:D5"/>
    <mergeCell ref="A20:C20"/>
    <mergeCell ref="A22:C22"/>
    <mergeCell ref="A7:A8"/>
    <mergeCell ref="Q4:R4"/>
    <mergeCell ref="E4:E5"/>
    <mergeCell ref="F4:J4"/>
    <mergeCell ref="K4:P4"/>
  </mergeCells>
  <pageMargins left="0.7" right="0.7" top="0.75" bottom="0.75" header="0.3" footer="0.3"/>
</worksheet>
</file>

<file path=xl/worksheets/sheet42.xml><?xml version="1.0" encoding="utf-8"?>
<worksheet xmlns="http://schemas.openxmlformats.org/spreadsheetml/2006/main" xmlns:r="http://schemas.openxmlformats.org/officeDocument/2006/relationships">
  <sheetPr codeName="Sheet37">
    <tabColor theme="7" tint="0.79998168889431442"/>
  </sheetPr>
  <dimension ref="A1:R34"/>
  <sheetViews>
    <sheetView zoomScale="70" zoomScaleNormal="70" workbookViewId="0">
      <pane xSplit="3" ySplit="5" topLeftCell="I6" activePane="bottomRight" state="frozen"/>
      <selection activeCell="A4" sqref="A4:R11"/>
      <selection pane="topRight" activeCell="A4" sqref="A4:R11"/>
      <selection pane="bottomLeft" activeCell="A4" sqref="A4:R11"/>
      <selection pane="bottomRight" activeCell="R1" sqref="R1"/>
    </sheetView>
  </sheetViews>
  <sheetFormatPr defaultColWidth="9.140625" defaultRowHeight="15"/>
  <cols>
    <col min="1" max="1" width="11.42578125" style="904" customWidth="1"/>
    <col min="2" max="2" width="15.7109375" style="904" bestFit="1" customWidth="1"/>
    <col min="3" max="3" width="52.85546875" style="904" bestFit="1" customWidth="1"/>
    <col min="4" max="4" width="4.5703125" style="868" bestFit="1" customWidth="1"/>
    <col min="5" max="5" width="16.140625" style="868" bestFit="1" customWidth="1"/>
    <col min="6" max="6" width="17.42578125" style="868" customWidth="1"/>
    <col min="7" max="7" width="16.140625" style="868" bestFit="1" customWidth="1"/>
    <col min="8" max="8" width="17.140625" style="978" bestFit="1" customWidth="1"/>
    <col min="9" max="9" width="16.7109375" style="868" bestFit="1" customWidth="1"/>
    <col min="10" max="10" width="17.140625" style="978" bestFit="1" customWidth="1"/>
    <col min="11" max="11" width="13.85546875" style="868" customWidth="1"/>
    <col min="12" max="12" width="13.140625" style="868" customWidth="1"/>
    <col min="13" max="13" width="19.85546875" style="978" bestFit="1" customWidth="1"/>
    <col min="14" max="14" width="9.140625" style="868"/>
    <col min="15" max="15" width="10.42578125" style="978" customWidth="1"/>
    <col min="16" max="16" width="40.42578125" style="904" customWidth="1"/>
    <col min="17" max="17" width="32.5703125" style="904" customWidth="1"/>
    <col min="18" max="18" width="9.140625" style="1212"/>
    <col min="19" max="16384" width="9.140625" style="860"/>
  </cols>
  <sheetData>
    <row r="1" spans="1:18" s="963" customFormat="1" ht="30">
      <c r="A1" s="4111" t="s">
        <v>2124</v>
      </c>
      <c r="B1" s="4111"/>
      <c r="C1" s="4111"/>
      <c r="D1" s="2094"/>
      <c r="E1" s="2095"/>
      <c r="F1" s="83" t="s">
        <v>3846</v>
      </c>
      <c r="G1" s="2045"/>
      <c r="H1" s="2045"/>
      <c r="I1" s="2045"/>
      <c r="J1" s="2045"/>
      <c r="K1" s="2043"/>
      <c r="L1" s="2043"/>
      <c r="M1" s="2045"/>
      <c r="N1" s="2096"/>
      <c r="O1" s="2097"/>
      <c r="P1" s="2098"/>
      <c r="Q1" s="2098"/>
      <c r="R1" s="2099"/>
    </row>
    <row r="2" spans="1:18" s="2105" customFormat="1">
      <c r="A2" s="1842" t="str">
        <f>HYPERLINK("#Index!F3", "Index Pg")</f>
        <v>Index Pg</v>
      </c>
      <c r="B2" s="1847"/>
      <c r="C2" s="864" t="str">
        <f>HYPERLINK("#'Budget Summary I'!A1:AL1", "Budget Summary I")</f>
        <v>Budget Summary I</v>
      </c>
      <c r="D2" s="2100"/>
      <c r="E2" s="1460" t="s">
        <v>4460</v>
      </c>
      <c r="F2" s="161">
        <f>R6+R8+R10+R20+R25+R27+R30+R32</f>
        <v>9.4</v>
      </c>
      <c r="G2" s="1145"/>
      <c r="H2" s="1145"/>
      <c r="I2" s="1145"/>
      <c r="J2" s="1145"/>
      <c r="K2" s="1146"/>
      <c r="L2" s="1146"/>
      <c r="M2" s="1145"/>
      <c r="N2" s="2101"/>
      <c r="O2" s="2102"/>
      <c r="P2" s="2103"/>
      <c r="Q2" s="2103"/>
      <c r="R2" s="2104"/>
    </row>
    <row r="3" spans="1:18" s="2114" customFormat="1">
      <c r="A3" s="1846"/>
      <c r="B3" s="1847"/>
      <c r="C3" s="1916" t="str">
        <f>HYPERLINK("#'Budget Summary II'!A3:B5", "Budget Summary II")</f>
        <v>Budget Summary II</v>
      </c>
      <c r="D3" s="2106"/>
      <c r="E3" s="2107" t="s">
        <v>4461</v>
      </c>
      <c r="F3" s="786">
        <f>O6+O8+O10+O20+O25+O27+O30+O32</f>
        <v>35.800000000000004</v>
      </c>
      <c r="G3" s="1145"/>
      <c r="H3" s="1145"/>
      <c r="I3" s="1145"/>
      <c r="J3" s="1145"/>
      <c r="K3" s="2108"/>
      <c r="L3" s="2109"/>
      <c r="M3" s="2110"/>
      <c r="N3" s="2109"/>
      <c r="O3" s="2111"/>
      <c r="P3" s="2112"/>
      <c r="Q3" s="2112"/>
      <c r="R3" s="2113"/>
    </row>
    <row r="4" spans="1:18" s="868" customFormat="1" ht="14.45" customHeight="1">
      <c r="A4" s="3801" t="s">
        <v>48</v>
      </c>
      <c r="B4" s="3801" t="s">
        <v>49</v>
      </c>
      <c r="C4" s="3801" t="s">
        <v>50</v>
      </c>
      <c r="D4" s="3801" t="s">
        <v>51</v>
      </c>
      <c r="E4" s="3801" t="s">
        <v>52</v>
      </c>
      <c r="F4" s="3866" t="s">
        <v>4478</v>
      </c>
      <c r="G4" s="3866"/>
      <c r="H4" s="3866"/>
      <c r="I4" s="3866"/>
      <c r="J4" s="3866"/>
      <c r="K4" s="3866" t="s">
        <v>4484</v>
      </c>
      <c r="L4" s="3866"/>
      <c r="M4" s="3866"/>
      <c r="N4" s="3866"/>
      <c r="O4" s="3866"/>
      <c r="P4" s="3866"/>
      <c r="Q4" s="3801" t="s">
        <v>4514</v>
      </c>
      <c r="R4" s="3801"/>
    </row>
    <row r="5" spans="1:18" s="868" customFormat="1" ht="45">
      <c r="A5" s="3801"/>
      <c r="B5" s="3801"/>
      <c r="C5" s="3801"/>
      <c r="D5" s="3801"/>
      <c r="E5" s="3801"/>
      <c r="F5" s="918" t="s">
        <v>4479</v>
      </c>
      <c r="G5" s="918" t="s">
        <v>4482</v>
      </c>
      <c r="H5" s="918" t="s">
        <v>4480</v>
      </c>
      <c r="I5" s="918" t="s">
        <v>4483</v>
      </c>
      <c r="J5" s="918" t="s">
        <v>2448</v>
      </c>
      <c r="K5" s="919" t="s">
        <v>53</v>
      </c>
      <c r="L5" s="919" t="s">
        <v>54</v>
      </c>
      <c r="M5" s="920" t="s">
        <v>55</v>
      </c>
      <c r="N5" s="919" t="s">
        <v>56</v>
      </c>
      <c r="O5" s="920" t="s">
        <v>57</v>
      </c>
      <c r="P5" s="919" t="s">
        <v>58</v>
      </c>
      <c r="Q5" s="921" t="s">
        <v>2450</v>
      </c>
      <c r="R5" s="922" t="s">
        <v>4515</v>
      </c>
    </row>
    <row r="6" spans="1:18">
      <c r="A6" s="2007">
        <f>'2.SD Community Based Annex'!A7</f>
        <v>2</v>
      </c>
      <c r="B6" s="2007"/>
      <c r="C6" s="2007" t="str">
        <f>'2.SD Community Based Annex'!C7</f>
        <v>Service Delivery - Community Based</v>
      </c>
      <c r="D6" s="785"/>
      <c r="E6" s="785"/>
      <c r="F6" s="785"/>
      <c r="G6" s="785"/>
      <c r="H6" s="547"/>
      <c r="I6" s="785"/>
      <c r="J6" s="547"/>
      <c r="K6" s="785"/>
      <c r="L6" s="785"/>
      <c r="M6" s="547"/>
      <c r="N6" s="2069"/>
      <c r="O6" s="1995">
        <f>O7</f>
        <v>0</v>
      </c>
      <c r="P6" s="2091"/>
      <c r="Q6" s="2091"/>
      <c r="R6" s="1995">
        <f>R7</f>
        <v>0</v>
      </c>
    </row>
    <row r="7" spans="1:18" ht="30">
      <c r="A7" s="2115" t="str">
        <f>'2.SD Community Based Annex'!A52</f>
        <v>2.3.2.6</v>
      </c>
      <c r="B7" s="2115"/>
      <c r="C7" s="1971" t="str">
        <f>'2.SD Community Based Annex'!C52</f>
        <v>Home based care for bed-ridden elderly under NPHCE</v>
      </c>
      <c r="D7" s="1015" t="str">
        <f>'2.SD Community Based Annex'!D52</f>
        <v>NCD</v>
      </c>
      <c r="E7" s="1015" t="str">
        <f>'2.SD Community Based Annex'!E52</f>
        <v>NPHCE</v>
      </c>
      <c r="F7" s="1015">
        <f>'2.SD Community Based Annex'!F52</f>
        <v>0</v>
      </c>
      <c r="G7" s="1015">
        <f>'2.SD Community Based Annex'!G52</f>
        <v>0</v>
      </c>
      <c r="H7" s="1015">
        <f>'2.SD Community Based Annex'!H52</f>
        <v>0</v>
      </c>
      <c r="I7" s="1015">
        <f>'2.SD Community Based Annex'!I52</f>
        <v>0</v>
      </c>
      <c r="J7" s="1015">
        <f>'2.SD Community Based Annex'!J52</f>
        <v>0</v>
      </c>
      <c r="K7" s="1015">
        <f>'2.SD Community Based Annex'!K52</f>
        <v>0</v>
      </c>
      <c r="L7" s="1015">
        <f>'2.SD Community Based Annex'!L52</f>
        <v>0</v>
      </c>
      <c r="M7" s="962">
        <f>'2.SD Community Based Annex'!M52</f>
        <v>0</v>
      </c>
      <c r="N7" s="1015">
        <f>'2.SD Community Based Annex'!N52</f>
        <v>0</v>
      </c>
      <c r="O7" s="962">
        <f>'2.SD Community Based Annex'!O52</f>
        <v>0</v>
      </c>
      <c r="P7" s="1971">
        <f>'2.SD Community Based Annex'!P52</f>
        <v>0</v>
      </c>
      <c r="Q7" s="54"/>
      <c r="R7" s="694"/>
    </row>
    <row r="8" spans="1:18">
      <c r="A8" s="2007">
        <f>'5.Infrastructure Annex'!A7</f>
        <v>5</v>
      </c>
      <c r="B8" s="2007"/>
      <c r="C8" s="2007" t="str">
        <f>'5.Infrastructure Annex'!C7</f>
        <v>Infrastructure</v>
      </c>
      <c r="D8" s="785"/>
      <c r="E8" s="785"/>
      <c r="F8" s="785"/>
      <c r="G8" s="785"/>
      <c r="H8" s="547"/>
      <c r="I8" s="785"/>
      <c r="J8" s="547"/>
      <c r="K8" s="785"/>
      <c r="L8" s="785"/>
      <c r="M8" s="547"/>
      <c r="N8" s="2069"/>
      <c r="O8" s="1995">
        <f>O9</f>
        <v>0</v>
      </c>
      <c r="P8" s="2091"/>
      <c r="Q8" s="2092"/>
      <c r="R8" s="2116">
        <f>R9</f>
        <v>0</v>
      </c>
    </row>
    <row r="9" spans="1:18" ht="60">
      <c r="A9" s="88" t="str">
        <f>'5.Infrastructure Annex'!A96</f>
        <v>5.3.16</v>
      </c>
      <c r="B9" s="88" t="str">
        <f>'5.Infrastructure Annex'!B96</f>
        <v>K.2.1.1</v>
      </c>
      <c r="C9" s="88" t="str">
        <f>'5.Infrastructure Annex'!C96</f>
        <v>Non-recurring GIA: New Construction @80  lakh/ Extension of existing ward @ 40 lakh/ Renovation @20 lakh/ for Geriatrics Unit with 10 beds and OPD facilities at DH</v>
      </c>
      <c r="D9" s="1975" t="str">
        <f>'5.Infrastructure Annex'!D96</f>
        <v>NCD</v>
      </c>
      <c r="E9" s="1975" t="str">
        <f>'5.Infrastructure Annex'!E96</f>
        <v>NPHCE</v>
      </c>
      <c r="F9" s="1975">
        <f>'5.Infrastructure Annex'!F96</f>
        <v>0</v>
      </c>
      <c r="G9" s="1975">
        <f>'5.Infrastructure Annex'!G96</f>
        <v>0</v>
      </c>
      <c r="H9" s="1975">
        <f>'5.Infrastructure Annex'!H96</f>
        <v>0</v>
      </c>
      <c r="I9" s="1975">
        <f>'5.Infrastructure Annex'!I96</f>
        <v>0</v>
      </c>
      <c r="J9" s="1975">
        <f>'5.Infrastructure Annex'!J96</f>
        <v>0</v>
      </c>
      <c r="K9" s="1975">
        <f>'5.Infrastructure Annex'!K96</f>
        <v>0</v>
      </c>
      <c r="L9" s="1975">
        <f>'5.Infrastructure Annex'!L96</f>
        <v>0</v>
      </c>
      <c r="M9" s="162">
        <f>'5.Infrastructure Annex'!M96</f>
        <v>0</v>
      </c>
      <c r="N9" s="1975">
        <f>'5.Infrastructure Annex'!N96</f>
        <v>0</v>
      </c>
      <c r="O9" s="162">
        <f>'5.Infrastructure Annex'!O96</f>
        <v>0</v>
      </c>
      <c r="P9" s="88">
        <f>'5.Infrastructure Annex'!P96</f>
        <v>0</v>
      </c>
      <c r="Q9" s="54"/>
      <c r="R9" s="694"/>
    </row>
    <row r="10" spans="1:18">
      <c r="A10" s="2007">
        <f>'6.Procurement Annex'!A7</f>
        <v>6</v>
      </c>
      <c r="B10" s="2007"/>
      <c r="C10" s="2007" t="str">
        <f>'6.Procurement Annex'!C7</f>
        <v>Procurement</v>
      </c>
      <c r="D10" s="785"/>
      <c r="E10" s="785"/>
      <c r="F10" s="785"/>
      <c r="G10" s="785"/>
      <c r="H10" s="547"/>
      <c r="I10" s="785"/>
      <c r="J10" s="547"/>
      <c r="K10" s="785"/>
      <c r="L10" s="785"/>
      <c r="M10" s="547"/>
      <c r="N10" s="2069"/>
      <c r="O10" s="1995">
        <f>SUM(O11:O19)</f>
        <v>26.400000000000002</v>
      </c>
      <c r="P10" s="2091"/>
      <c r="Q10" s="2092"/>
      <c r="R10" s="2116">
        <f>SUM(R11:R19)</f>
        <v>0</v>
      </c>
    </row>
    <row r="11" spans="1:18" ht="30">
      <c r="A11" s="4095" t="str">
        <f>'6.Procurement Annex'!A38</f>
        <v>6.1.5.3</v>
      </c>
      <c r="B11" s="88" t="str">
        <f>'6-A. Proc. Sub-Annex'!B102</f>
        <v>K.1.1.1</v>
      </c>
      <c r="C11" s="88" t="str">
        <f>'6-A. Proc. Sub-Annex'!C102</f>
        <v>Recurring GIA: Machinery &amp; Equipment for DH @ 3 lakh/ CHC @ 0.50 lakh/ PHC @ 0.20 lakh</v>
      </c>
      <c r="D11" s="1975" t="str">
        <f>'6-A. Proc. Sub-Annex'!D102</f>
        <v>NCD</v>
      </c>
      <c r="E11" s="1975" t="str">
        <f>'6-A. Proc. Sub-Annex'!E102</f>
        <v>NPHCE</v>
      </c>
      <c r="F11" s="1975">
        <f>'6-A. Proc. Sub-Annex'!F102</f>
        <v>0</v>
      </c>
      <c r="G11" s="1975">
        <f>'6-A. Proc. Sub-Annex'!G102</f>
        <v>0</v>
      </c>
      <c r="H11" s="1975">
        <f>'6-A. Proc. Sub-Annex'!H102</f>
        <v>0</v>
      </c>
      <c r="I11" s="1975">
        <f>'6-A. Proc. Sub-Annex'!I102</f>
        <v>0</v>
      </c>
      <c r="J11" s="1975">
        <f>'6-A. Proc. Sub-Annex'!J102</f>
        <v>0</v>
      </c>
      <c r="K11" s="1975">
        <f>'6-A. Proc. Sub-Annex'!K102</f>
        <v>0</v>
      </c>
      <c r="L11" s="1975">
        <f>'6-A. Proc. Sub-Annex'!L102</f>
        <v>0</v>
      </c>
      <c r="M11" s="162">
        <f>'6-A. Proc. Sub-Annex'!M102</f>
        <v>0</v>
      </c>
      <c r="N11" s="1975">
        <f>'6-A. Proc. Sub-Annex'!N102</f>
        <v>0</v>
      </c>
      <c r="O11" s="162">
        <f>'6-A. Proc. Sub-Annex'!O102</f>
        <v>0</v>
      </c>
      <c r="P11" s="88">
        <f>'6-A. Proc. Sub-Annex'!P102</f>
        <v>0</v>
      </c>
      <c r="Q11" s="54"/>
      <c r="R11" s="694"/>
    </row>
    <row r="12" spans="1:18" ht="30">
      <c r="A12" s="4095"/>
      <c r="B12" s="88" t="str">
        <f>'6-A. Proc. Sub-Annex'!B103</f>
        <v>K.1.4.1</v>
      </c>
      <c r="C12" s="88" t="str">
        <f>'6-A. Proc. Sub-Annex'!C103</f>
        <v>Aids and Appliances for Sub-Centre/HWC Sub Centre</v>
      </c>
      <c r="D12" s="1975" t="str">
        <f>'6-A. Proc. Sub-Annex'!D103</f>
        <v>NCD</v>
      </c>
      <c r="E12" s="1975" t="str">
        <f>'6-A. Proc. Sub-Annex'!E103</f>
        <v>NPHCE</v>
      </c>
      <c r="F12" s="1975">
        <f>'6-A. Proc. Sub-Annex'!F103</f>
        <v>0</v>
      </c>
      <c r="G12" s="1975">
        <f>'6-A. Proc. Sub-Annex'!G103</f>
        <v>0</v>
      </c>
      <c r="H12" s="1975">
        <f>'6-A. Proc. Sub-Annex'!H103</f>
        <v>0</v>
      </c>
      <c r="I12" s="1975">
        <f>'6-A. Proc. Sub-Annex'!I103</f>
        <v>0</v>
      </c>
      <c r="J12" s="1975">
        <f>'6-A. Proc. Sub-Annex'!J103</f>
        <v>0</v>
      </c>
      <c r="K12" s="1975">
        <f>'6-A. Proc. Sub-Annex'!K103</f>
        <v>0</v>
      </c>
      <c r="L12" s="1975">
        <f>'6-A. Proc. Sub-Annex'!L103</f>
        <v>0</v>
      </c>
      <c r="M12" s="162">
        <f>'6-A. Proc. Sub-Annex'!M103</f>
        <v>0</v>
      </c>
      <c r="N12" s="1975">
        <f>'6-A. Proc. Sub-Annex'!N103</f>
        <v>0</v>
      </c>
      <c r="O12" s="162">
        <f>'6-A. Proc. Sub-Annex'!O103</f>
        <v>0</v>
      </c>
      <c r="P12" s="88">
        <f>'6-A. Proc. Sub-Annex'!P103</f>
        <v>0</v>
      </c>
      <c r="Q12" s="54"/>
      <c r="R12" s="694"/>
    </row>
    <row r="13" spans="1:18" ht="30">
      <c r="A13" s="4095"/>
      <c r="B13" s="88" t="str">
        <f>'6-A. Proc. Sub-Annex'!B104</f>
        <v>K.2.1.2</v>
      </c>
      <c r="C13" s="88" t="str">
        <f>'6-A. Proc. Sub-Annex'!C104</f>
        <v>Non-recurring GIA: Machinery &amp; Equipment for DH</v>
      </c>
      <c r="D13" s="1975" t="str">
        <f>'6-A. Proc. Sub-Annex'!D104</f>
        <v>NCD</v>
      </c>
      <c r="E13" s="1975" t="str">
        <f>'6-A. Proc. Sub-Annex'!E104</f>
        <v>NPHCE</v>
      </c>
      <c r="F13" s="1975">
        <f>'6-A. Proc. Sub-Annex'!F104</f>
        <v>0</v>
      </c>
      <c r="G13" s="1975">
        <f>'6-A. Proc. Sub-Annex'!G104</f>
        <v>0</v>
      </c>
      <c r="H13" s="1975">
        <f>'6-A. Proc. Sub-Annex'!H104</f>
        <v>0</v>
      </c>
      <c r="I13" s="1975">
        <f>'6-A. Proc. Sub-Annex'!I104</f>
        <v>0</v>
      </c>
      <c r="J13" s="1975">
        <f>'6-A. Proc. Sub-Annex'!J104</f>
        <v>0</v>
      </c>
      <c r="K13" s="1975">
        <f>'6-A. Proc. Sub-Annex'!K104</f>
        <v>0</v>
      </c>
      <c r="L13" s="1975">
        <f>'6-A. Proc. Sub-Annex'!L104</f>
        <v>0</v>
      </c>
      <c r="M13" s="162">
        <f>'6-A. Proc. Sub-Annex'!M104</f>
        <v>0</v>
      </c>
      <c r="N13" s="1975">
        <f>'6-A. Proc. Sub-Annex'!N104</f>
        <v>0</v>
      </c>
      <c r="O13" s="162">
        <f>'6-A. Proc. Sub-Annex'!O104</f>
        <v>0</v>
      </c>
      <c r="P13" s="88">
        <f>'6-A. Proc. Sub-Annex'!P104</f>
        <v>0</v>
      </c>
      <c r="Q13" s="54"/>
      <c r="R13" s="694"/>
    </row>
    <row r="14" spans="1:18" ht="30">
      <c r="A14" s="4095"/>
      <c r="B14" s="88" t="str">
        <f>'6-A. Proc. Sub-Annex'!B105</f>
        <v>K.2.2</v>
      </c>
      <c r="C14" s="88" t="str">
        <f>'6-A. Proc. Sub-Annex'!C105</f>
        <v>Non-recurring GIA: Machinery &amp; Equipment for CHC</v>
      </c>
      <c r="D14" s="1975" t="str">
        <f>'6-A. Proc. Sub-Annex'!D105</f>
        <v>NCD</v>
      </c>
      <c r="E14" s="1975" t="str">
        <f>'6-A. Proc. Sub-Annex'!E105</f>
        <v>NPHCE</v>
      </c>
      <c r="F14" s="1975">
        <f>'6-A. Proc. Sub-Annex'!F105</f>
        <v>0</v>
      </c>
      <c r="G14" s="1975">
        <f>'6-A. Proc. Sub-Annex'!G105</f>
        <v>0</v>
      </c>
      <c r="H14" s="1975">
        <f>'6-A. Proc. Sub-Annex'!H105</f>
        <v>0</v>
      </c>
      <c r="I14" s="1975">
        <f>'6-A. Proc. Sub-Annex'!I105</f>
        <v>0</v>
      </c>
      <c r="J14" s="1975">
        <f>'6-A. Proc. Sub-Annex'!J105</f>
        <v>0</v>
      </c>
      <c r="K14" s="1975">
        <f>'6-A. Proc. Sub-Annex'!K105</f>
        <v>0</v>
      </c>
      <c r="L14" s="1975">
        <f>'6-A. Proc. Sub-Annex'!L105</f>
        <v>0</v>
      </c>
      <c r="M14" s="162">
        <f>'6-A. Proc. Sub-Annex'!M105</f>
        <v>0</v>
      </c>
      <c r="N14" s="1975">
        <f>'6-A. Proc. Sub-Annex'!N105</f>
        <v>0</v>
      </c>
      <c r="O14" s="162">
        <f>'6-A. Proc. Sub-Annex'!O105</f>
        <v>0</v>
      </c>
      <c r="P14" s="88">
        <f>'6-A. Proc. Sub-Annex'!P105</f>
        <v>0</v>
      </c>
      <c r="Q14" s="54"/>
      <c r="R14" s="694"/>
    </row>
    <row r="15" spans="1:18" ht="30">
      <c r="A15" s="4095"/>
      <c r="B15" s="88" t="str">
        <f>'6-A. Proc. Sub-Annex'!B106</f>
        <v>K.2.3</v>
      </c>
      <c r="C15" s="88" t="str">
        <f>'6-A. Proc. Sub-Annex'!C106</f>
        <v>Non-recurring GIA: Machinery &amp; Equipment for PHC</v>
      </c>
      <c r="D15" s="1975" t="str">
        <f>'6-A. Proc. Sub-Annex'!D106</f>
        <v>NCD</v>
      </c>
      <c r="E15" s="1975" t="str">
        <f>'6-A. Proc. Sub-Annex'!E106</f>
        <v>NPHCE</v>
      </c>
      <c r="F15" s="1975">
        <f>'6-A. Proc. Sub-Annex'!F106</f>
        <v>0</v>
      </c>
      <c r="G15" s="1975">
        <f>'6-A. Proc. Sub-Annex'!G106</f>
        <v>0</v>
      </c>
      <c r="H15" s="1975">
        <f>'6-A. Proc. Sub-Annex'!H106</f>
        <v>0</v>
      </c>
      <c r="I15" s="1975">
        <f>'6-A. Proc. Sub-Annex'!I106</f>
        <v>0</v>
      </c>
      <c r="J15" s="1975">
        <f>'6-A. Proc. Sub-Annex'!J106</f>
        <v>0</v>
      </c>
      <c r="K15" s="1975">
        <f>'6-A. Proc. Sub-Annex'!K106</f>
        <v>0</v>
      </c>
      <c r="L15" s="1975">
        <f>'6-A. Proc. Sub-Annex'!L106</f>
        <v>0</v>
      </c>
      <c r="M15" s="162">
        <f>'6-A. Proc. Sub-Annex'!M106</f>
        <v>0</v>
      </c>
      <c r="N15" s="1975">
        <f>'6-A. Proc. Sub-Annex'!N106</f>
        <v>0</v>
      </c>
      <c r="O15" s="162">
        <f>'6-A. Proc. Sub-Annex'!O106</f>
        <v>0</v>
      </c>
      <c r="P15" s="88">
        <f>'6-A. Proc. Sub-Annex'!P106</f>
        <v>0</v>
      </c>
      <c r="Q15" s="54"/>
      <c r="R15" s="694"/>
    </row>
    <row r="16" spans="1:18" ht="30">
      <c r="A16" s="4095"/>
      <c r="B16" s="88" t="str">
        <f>'6-A. Proc. Sub-Annex'!B107</f>
        <v>K.2.1.1</v>
      </c>
      <c r="C16" s="88" t="str">
        <f>'6-A. Proc. Sub-Annex'!C107</f>
        <v>Non-recurring GIA: Furniture of Geriatrics Unit with 10 beds and OPD facilities at DH</v>
      </c>
      <c r="D16" s="1975" t="str">
        <f>'6-A. Proc. Sub-Annex'!D107</f>
        <v>NCD</v>
      </c>
      <c r="E16" s="1975" t="str">
        <f>'6-A. Proc. Sub-Annex'!E107</f>
        <v>NPHCE</v>
      </c>
      <c r="F16" s="1975">
        <f>'6-A. Proc. Sub-Annex'!F107</f>
        <v>0</v>
      </c>
      <c r="G16" s="1975">
        <f>'6-A. Proc. Sub-Annex'!G107</f>
        <v>0</v>
      </c>
      <c r="H16" s="1975">
        <f>'6-A. Proc. Sub-Annex'!H107</f>
        <v>0</v>
      </c>
      <c r="I16" s="1975">
        <f>'6-A. Proc. Sub-Annex'!I107</f>
        <v>0</v>
      </c>
      <c r="J16" s="1975">
        <f>'6-A. Proc. Sub-Annex'!J107</f>
        <v>0</v>
      </c>
      <c r="K16" s="1975">
        <f>'6-A. Proc. Sub-Annex'!K107</f>
        <v>0</v>
      </c>
      <c r="L16" s="1975">
        <f>'6-A. Proc. Sub-Annex'!L107</f>
        <v>0</v>
      </c>
      <c r="M16" s="162">
        <f>'6-A. Proc. Sub-Annex'!M107</f>
        <v>0</v>
      </c>
      <c r="N16" s="1975">
        <f>'6-A. Proc. Sub-Annex'!N107</f>
        <v>0</v>
      </c>
      <c r="O16" s="162">
        <f>'6-A. Proc. Sub-Annex'!O107</f>
        <v>0</v>
      </c>
      <c r="P16" s="88">
        <f>'6-A. Proc. Sub-Annex'!P107</f>
        <v>0</v>
      </c>
      <c r="Q16" s="54"/>
      <c r="R16" s="694"/>
    </row>
    <row r="17" spans="1:18" ht="30">
      <c r="A17" s="4095"/>
      <c r="B17" s="88">
        <f>'6-A. Proc. Sub-Annex'!B108</f>
        <v>0</v>
      </c>
      <c r="C17" s="88" t="str">
        <f>'6-A. Proc. Sub-Annex'!C108</f>
        <v>Any other equipment (please specify)</v>
      </c>
      <c r="D17" s="1975" t="str">
        <f>'6-A. Proc. Sub-Annex'!D108</f>
        <v>NCD</v>
      </c>
      <c r="E17" s="1975" t="str">
        <f>'6-A. Proc. Sub-Annex'!E108</f>
        <v>NPHCE</v>
      </c>
      <c r="F17" s="1975">
        <f>'6-A. Proc. Sub-Annex'!F108</f>
        <v>0</v>
      </c>
      <c r="G17" s="1975">
        <f>'6-A. Proc. Sub-Annex'!G108</f>
        <v>0</v>
      </c>
      <c r="H17" s="1975">
        <f>'6-A. Proc. Sub-Annex'!H108</f>
        <v>0</v>
      </c>
      <c r="I17" s="1975">
        <f>'6-A. Proc. Sub-Annex'!I108</f>
        <v>0</v>
      </c>
      <c r="J17" s="1975">
        <f>'6-A. Proc. Sub-Annex'!J108</f>
        <v>0</v>
      </c>
      <c r="K17" s="1975">
        <f>'6-A. Proc. Sub-Annex'!K108</f>
        <v>0</v>
      </c>
      <c r="L17" s="1975">
        <f>'6-A. Proc. Sub-Annex'!L108</f>
        <v>0</v>
      </c>
      <c r="M17" s="162">
        <f>'6-A. Proc. Sub-Annex'!M108</f>
        <v>0</v>
      </c>
      <c r="N17" s="1975">
        <f>'6-A. Proc. Sub-Annex'!N108</f>
        <v>0</v>
      </c>
      <c r="O17" s="162">
        <f>'6-A. Proc. Sub-Annex'!O108</f>
        <v>0</v>
      </c>
      <c r="P17" s="88">
        <f>'6-A. Proc. Sub-Annex'!P108</f>
        <v>0</v>
      </c>
      <c r="Q17" s="54"/>
      <c r="R17" s="694"/>
    </row>
    <row r="18" spans="1:18" ht="30">
      <c r="A18" s="4095" t="str">
        <f>'6.Procurement Annex'!A81</f>
        <v>6.2.4.3</v>
      </c>
      <c r="B18" s="88"/>
      <c r="C18" s="88" t="str">
        <f>'6-A. Proc. Sub-Annex'!C257</f>
        <v>Drugs and supplies for NPHCE</v>
      </c>
      <c r="D18" s="1975" t="str">
        <f>'6-A. Proc. Sub-Annex'!D257</f>
        <v>NCD</v>
      </c>
      <c r="E18" s="1975" t="str">
        <f>'6-A. Proc. Sub-Annex'!E257</f>
        <v>NPHCE</v>
      </c>
      <c r="F18" s="1975">
        <f>'6-A. Proc. Sub-Annex'!F257</f>
        <v>12</v>
      </c>
      <c r="G18" s="1975">
        <f>'6-A. Proc. Sub-Annex'!G257</f>
        <v>0</v>
      </c>
      <c r="H18" s="1975">
        <f>'6-A. Proc. Sub-Annex'!H257</f>
        <v>6</v>
      </c>
      <c r="I18" s="1975">
        <f>'6-A. Proc. Sub-Annex'!I257</f>
        <v>0</v>
      </c>
      <c r="J18" s="1975">
        <f>'6-A. Proc. Sub-Annex'!J257</f>
        <v>0</v>
      </c>
      <c r="K18" s="1975">
        <f>'6-A. Proc. Sub-Annex'!K257</f>
        <v>0</v>
      </c>
      <c r="L18" s="1975">
        <f>'6-A. Proc. Sub-Annex'!L257</f>
        <v>0</v>
      </c>
      <c r="M18" s="162">
        <f>'6-A. Proc. Sub-Annex'!M257</f>
        <v>0</v>
      </c>
      <c r="N18" s="1975">
        <f>'6-A. Proc. Sub-Annex'!N257</f>
        <v>0</v>
      </c>
      <c r="O18" s="162">
        <f>'6-A. Proc. Sub-Annex'!O257</f>
        <v>0</v>
      </c>
      <c r="P18" s="88">
        <f>'6-A. Proc. Sub-Annex'!P257</f>
        <v>0</v>
      </c>
      <c r="Q18" s="54"/>
      <c r="R18" s="694"/>
    </row>
    <row r="19" spans="1:18" ht="150">
      <c r="A19" s="4095"/>
      <c r="B19" s="88"/>
      <c r="C19" s="88">
        <f>'6-A. Proc. Sub-Annex'!C258</f>
        <v>0</v>
      </c>
      <c r="D19" s="1975" t="str">
        <f>'6-A. Proc. Sub-Annex'!D258</f>
        <v>NCD</v>
      </c>
      <c r="E19" s="1975" t="str">
        <f>'6-A. Proc. Sub-Annex'!E258</f>
        <v>NPHCE</v>
      </c>
      <c r="F19" s="1975">
        <f>'6-A. Proc. Sub-Annex'!F258</f>
        <v>0</v>
      </c>
      <c r="G19" s="1975">
        <f>'6-A. Proc. Sub-Annex'!G258</f>
        <v>0</v>
      </c>
      <c r="H19" s="1975">
        <f>'6-A. Proc. Sub-Annex'!H258</f>
        <v>0</v>
      </c>
      <c r="I19" s="1975">
        <f>'6-A. Proc. Sub-Annex'!I258</f>
        <v>0</v>
      </c>
      <c r="J19" s="1975">
        <f>'6-A. Proc. Sub-Annex'!J258</f>
        <v>0</v>
      </c>
      <c r="K19" s="1975">
        <f>'6-A. Proc. Sub-Annex'!K258</f>
        <v>1</v>
      </c>
      <c r="L19" s="1975">
        <f>'6-A. Proc. Sub-Annex'!L258</f>
        <v>880000</v>
      </c>
      <c r="M19" s="162">
        <f>'6-A. Proc. Sub-Annex'!M258</f>
        <v>8.8000000000000007</v>
      </c>
      <c r="N19" s="1975">
        <f>'6-A. Proc. Sub-Annex'!N258</f>
        <v>3</v>
      </c>
      <c r="O19" s="162">
        <f>'6-A. Proc. Sub-Annex'!O258</f>
        <v>26.400000000000002</v>
      </c>
      <c r="P19" s="88" t="str">
        <f>'6-A. Proc. Sub-Annex'!P258</f>
        <v xml:space="preserve">We are running 3 day care centers in colaboration with Help age NGO @ 264000 Rs per year ( 880000 [per unit) and we wish to continue it in 2021-22. The centers are providing day care facilities, health checkups, physiotherapy and recreational activities to the elderlies at Shimla, Dharamshala and Mandi </v>
      </c>
      <c r="Q19" s="54" t="s">
        <v>5743</v>
      </c>
      <c r="R19" s="2815">
        <v>0</v>
      </c>
    </row>
    <row r="20" spans="1:18">
      <c r="A20" s="2007">
        <f>'9.Training Annex'!A7</f>
        <v>9</v>
      </c>
      <c r="B20" s="2007"/>
      <c r="C20" s="2007" t="str">
        <f>'9.Training Annex'!C7</f>
        <v>Training and Capacity Building</v>
      </c>
      <c r="D20" s="785"/>
      <c r="E20" s="785"/>
      <c r="F20" s="785"/>
      <c r="G20" s="785"/>
      <c r="H20" s="547"/>
      <c r="I20" s="785"/>
      <c r="J20" s="547"/>
      <c r="K20" s="785"/>
      <c r="L20" s="785"/>
      <c r="M20" s="547"/>
      <c r="N20" s="2069"/>
      <c r="O20" s="1995">
        <f>SUM(O21:O24)</f>
        <v>7</v>
      </c>
      <c r="P20" s="2091"/>
      <c r="Q20" s="2092"/>
      <c r="R20" s="2116">
        <f>SUM(R21:R24)</f>
        <v>7</v>
      </c>
    </row>
    <row r="21" spans="1:18" ht="30">
      <c r="A21" s="4095" t="str">
        <f>'9.Training Annex'!A57</f>
        <v>9.2.4.3</v>
      </c>
      <c r="B21" s="88" t="str">
        <f>'9-A.Training Sub-Annex'!B255</f>
        <v>K.1.1.2</v>
      </c>
      <c r="C21" s="88" t="str">
        <f>'9-A.Training Sub-Annex'!C255</f>
        <v>Training of doctors and staff at DH level under NPHCE</v>
      </c>
      <c r="D21" s="1975" t="str">
        <f>'9-A.Training Sub-Annex'!D255</f>
        <v>NCD</v>
      </c>
      <c r="E21" s="1975" t="str">
        <f>'9-A.Training Sub-Annex'!E255</f>
        <v>NPHCE</v>
      </c>
      <c r="F21" s="1975">
        <f>'9-A.Training Sub-Annex'!F255</f>
        <v>1</v>
      </c>
      <c r="G21" s="1975">
        <f>'9-A.Training Sub-Annex'!G255</f>
        <v>0</v>
      </c>
      <c r="H21" s="1975">
        <f>'9-A.Training Sub-Annex'!H255</f>
        <v>1.5</v>
      </c>
      <c r="I21" s="1975">
        <f>'9-A.Training Sub-Annex'!I255</f>
        <v>0</v>
      </c>
      <c r="J21" s="1975">
        <f>'9-A.Training Sub-Annex'!J255</f>
        <v>1.5</v>
      </c>
      <c r="K21" s="1975">
        <f>'9-A.Training Sub-Annex'!K255</f>
        <v>0</v>
      </c>
      <c r="L21" s="1975">
        <f>'9-A.Training Sub-Annex'!L255</f>
        <v>0</v>
      </c>
      <c r="M21" s="162">
        <f>'9-A.Training Sub-Annex'!M255</f>
        <v>0</v>
      </c>
      <c r="N21" s="1975">
        <f>'9-A.Training Sub-Annex'!N255</f>
        <v>0</v>
      </c>
      <c r="O21" s="162">
        <f>'9-A.Training Sub-Annex'!O255</f>
        <v>0</v>
      </c>
      <c r="P21" s="88">
        <f>'9-A.Training Sub-Annex'!P255</f>
        <v>0</v>
      </c>
      <c r="Q21" s="54"/>
      <c r="R21" s="694"/>
    </row>
    <row r="22" spans="1:18" ht="300">
      <c r="A22" s="4095"/>
      <c r="B22" s="88" t="str">
        <f>'9-A.Training Sub-Annex'!B256</f>
        <v>K.1.2.1</v>
      </c>
      <c r="C22" s="88" t="str">
        <f>'9-A.Training Sub-Annex'!C256</f>
        <v>Training of doctors and staff at CHC level under NPHCE</v>
      </c>
      <c r="D22" s="1975" t="str">
        <f>'9-A.Training Sub-Annex'!D256</f>
        <v>NCD</v>
      </c>
      <c r="E22" s="1975" t="str">
        <f>'9-A.Training Sub-Annex'!E256</f>
        <v>NPHCE</v>
      </c>
      <c r="F22" s="1975">
        <f>'9-A.Training Sub-Annex'!F256</f>
        <v>0</v>
      </c>
      <c r="G22" s="1975">
        <f>'9-A.Training Sub-Annex'!G256</f>
        <v>0</v>
      </c>
      <c r="H22" s="1975">
        <f>'9-A.Training Sub-Annex'!H256</f>
        <v>0</v>
      </c>
      <c r="I22" s="1975">
        <f>'9-A.Training Sub-Annex'!I256</f>
        <v>0</v>
      </c>
      <c r="J22" s="1975">
        <f>'9-A.Training Sub-Annex'!J256</f>
        <v>0</v>
      </c>
      <c r="K22" s="1975">
        <f>'9-A.Training Sub-Annex'!K256</f>
        <v>1</v>
      </c>
      <c r="L22" s="1975">
        <f>'9-A.Training Sub-Annex'!L256</f>
        <v>1000</v>
      </c>
      <c r="M22" s="162">
        <f>'9-A.Training Sub-Annex'!M256</f>
        <v>0.01</v>
      </c>
      <c r="N22" s="1975">
        <f>'9-A.Training Sub-Annex'!N256</f>
        <v>200</v>
      </c>
      <c r="O22" s="162">
        <f>'9-A.Training Sub-Annex'!O256</f>
        <v>2</v>
      </c>
      <c r="P22" s="88" t="str">
        <f>'9-A.Training Sub-Annex'!P256</f>
        <v xml:space="preserve">Orientation training of 200 Mos and 100 Staff for Geriatric clinics at CHC levels  ( batchwise trainings in 8 batches) . We will club the training with other NCDs training so as to reduce the cost of travel and stay but the duration of training will remain the same i.e 3 days for MOs and 3 days for staff nurses </v>
      </c>
      <c r="Q22" s="54" t="s">
        <v>5744</v>
      </c>
      <c r="R22" s="694">
        <v>2</v>
      </c>
    </row>
    <row r="23" spans="1:18" ht="120">
      <c r="A23" s="4095"/>
      <c r="B23" s="88" t="str">
        <f>'9-A.Training Sub-Annex'!B257</f>
        <v>K.1.3.1.</v>
      </c>
      <c r="C23" s="88" t="str">
        <f>'9-A.Training Sub-Annex'!C257</f>
        <v>Training of doctors and staff at PHC level under NPHCE</v>
      </c>
      <c r="D23" s="1975" t="str">
        <f>'9-A.Training Sub-Annex'!D257</f>
        <v>NCD</v>
      </c>
      <c r="E23" s="1975" t="str">
        <f>'9-A.Training Sub-Annex'!E257</f>
        <v>NPHCE</v>
      </c>
      <c r="F23" s="1975">
        <f>'9-A.Training Sub-Annex'!F257</f>
        <v>0</v>
      </c>
      <c r="G23" s="1975">
        <f>'9-A.Training Sub-Annex'!G257</f>
        <v>0</v>
      </c>
      <c r="H23" s="1975">
        <f>'9-A.Training Sub-Annex'!H257</f>
        <v>0</v>
      </c>
      <c r="I23" s="1975">
        <f>'9-A.Training Sub-Annex'!I257</f>
        <v>0</v>
      </c>
      <c r="J23" s="1975">
        <f>'9-A.Training Sub-Annex'!J257</f>
        <v>0</v>
      </c>
      <c r="K23" s="1975">
        <f>'9-A.Training Sub-Annex'!K257</f>
        <v>1</v>
      </c>
      <c r="L23" s="1975">
        <f>'9-A.Training Sub-Annex'!L257</f>
        <v>1000</v>
      </c>
      <c r="M23" s="162">
        <f>'9-A.Training Sub-Annex'!M257</f>
        <v>0.01</v>
      </c>
      <c r="N23" s="1975">
        <f>'9-A.Training Sub-Annex'!N257</f>
        <v>500</v>
      </c>
      <c r="O23" s="162">
        <f>'9-A.Training Sub-Annex'!O257</f>
        <v>5</v>
      </c>
      <c r="P23" s="88" t="str">
        <f>'9-A.Training Sub-Annex'!P257</f>
        <v xml:space="preserve">Orientation training of 200  Mos for  Geriatric care at PHCs levels (batchwise trainings in  batches 8 ).We will club the training with other NCDs training so as to reduce the cost of travel and stay but the duration of training will remain the same i.e 3 days for MOs and 3 days for staff nurses </v>
      </c>
      <c r="Q23" s="54" t="s">
        <v>5745</v>
      </c>
      <c r="R23" s="694">
        <v>5</v>
      </c>
    </row>
    <row r="24" spans="1:18" ht="30">
      <c r="A24" s="4095"/>
      <c r="B24" s="88"/>
      <c r="C24" s="88" t="str">
        <f>'9-A.Training Sub-Annex'!C258</f>
        <v>Any other (please specify)</v>
      </c>
      <c r="D24" s="1975" t="str">
        <f>'9-A.Training Sub-Annex'!D258</f>
        <v>NCD</v>
      </c>
      <c r="E24" s="1975" t="str">
        <f>'9-A.Training Sub-Annex'!E258</f>
        <v>NPHCE</v>
      </c>
      <c r="F24" s="1975">
        <f>'9-A.Training Sub-Annex'!F258</f>
        <v>0</v>
      </c>
      <c r="G24" s="1975">
        <f>'9-A.Training Sub-Annex'!G258</f>
        <v>0</v>
      </c>
      <c r="H24" s="1975">
        <f>'9-A.Training Sub-Annex'!H258</f>
        <v>0</v>
      </c>
      <c r="I24" s="1975">
        <f>'9-A.Training Sub-Annex'!I258</f>
        <v>0</v>
      </c>
      <c r="J24" s="1975">
        <f>'9-A.Training Sub-Annex'!J258</f>
        <v>0</v>
      </c>
      <c r="K24" s="1975">
        <f>'9-A.Training Sub-Annex'!K258</f>
        <v>0</v>
      </c>
      <c r="L24" s="1975">
        <f>'9-A.Training Sub-Annex'!L258</f>
        <v>0</v>
      </c>
      <c r="M24" s="162">
        <f>'9-A.Training Sub-Annex'!M258</f>
        <v>0</v>
      </c>
      <c r="N24" s="1975">
        <f>'9-A.Training Sub-Annex'!N258</f>
        <v>0</v>
      </c>
      <c r="O24" s="162">
        <f>'9-A.Training Sub-Annex'!O258</f>
        <v>0</v>
      </c>
      <c r="P24" s="88">
        <f>'9-A.Training Sub-Annex'!P258</f>
        <v>0</v>
      </c>
      <c r="Q24" s="54"/>
      <c r="R24" s="694"/>
    </row>
    <row r="25" spans="1:18">
      <c r="A25" s="2007">
        <f>'10.Review Research &amp; Surveillen'!A7</f>
        <v>10</v>
      </c>
      <c r="B25" s="2007"/>
      <c r="C25" s="2007" t="str">
        <f>'10.Review Research &amp; Surveillen'!C7</f>
        <v>Reviews, Research, Surveys and Surveillance</v>
      </c>
      <c r="D25" s="1419"/>
      <c r="E25" s="1419"/>
      <c r="F25" s="785"/>
      <c r="G25" s="785"/>
      <c r="H25" s="547"/>
      <c r="I25" s="785"/>
      <c r="J25" s="547"/>
      <c r="K25" s="785"/>
      <c r="L25" s="785"/>
      <c r="M25" s="547"/>
      <c r="N25" s="2069"/>
      <c r="O25" s="1995">
        <f>O26</f>
        <v>0</v>
      </c>
      <c r="P25" s="2091"/>
      <c r="Q25" s="2092"/>
      <c r="R25" s="2116">
        <f>R26</f>
        <v>0</v>
      </c>
    </row>
    <row r="26" spans="1:18" ht="30">
      <c r="A26" s="1987" t="str">
        <f>'10.Review Research &amp; Surveillen'!A32</f>
        <v>10.2.15</v>
      </c>
      <c r="B26" s="88"/>
      <c r="C26" s="88" t="str">
        <f>'10.Review Research &amp; Surveillen'!C32</f>
        <v>Research in the field of Geriatric health</v>
      </c>
      <c r="D26" s="1975" t="str">
        <f>'10.Review Research &amp; Surveillen'!D32</f>
        <v>NCD</v>
      </c>
      <c r="E26" s="1975" t="str">
        <f>'10.Review Research &amp; Surveillen'!E32</f>
        <v>NPHCE</v>
      </c>
      <c r="F26" s="1975">
        <f>'10.Review Research &amp; Surveillen'!F32</f>
        <v>0</v>
      </c>
      <c r="G26" s="1975">
        <f>'10.Review Research &amp; Surveillen'!G32</f>
        <v>0</v>
      </c>
      <c r="H26" s="1975">
        <f>'10.Review Research &amp; Surveillen'!H32</f>
        <v>0</v>
      </c>
      <c r="I26" s="1975">
        <f>'10.Review Research &amp; Surveillen'!I32</f>
        <v>0</v>
      </c>
      <c r="J26" s="1975">
        <f>'10.Review Research &amp; Surveillen'!J32</f>
        <v>0</v>
      </c>
      <c r="K26" s="1975">
        <f>'10.Review Research &amp; Surveillen'!K32</f>
        <v>0</v>
      </c>
      <c r="L26" s="1975">
        <f>'10.Review Research &amp; Surveillen'!L32</f>
        <v>0</v>
      </c>
      <c r="M26" s="162">
        <f>'10.Review Research &amp; Surveillen'!M32</f>
        <v>0</v>
      </c>
      <c r="N26" s="1975">
        <f>'10.Review Research &amp; Surveillen'!N32</f>
        <v>0</v>
      </c>
      <c r="O26" s="162">
        <f>'10.Review Research &amp; Surveillen'!O32</f>
        <v>0</v>
      </c>
      <c r="P26" s="88">
        <f>'10.Review Research &amp; Surveillen'!P32</f>
        <v>0</v>
      </c>
      <c r="Q26" s="54"/>
      <c r="R26" s="694"/>
    </row>
    <row r="27" spans="1:18">
      <c r="A27" s="2007">
        <f>'11.IEC-BCC Annex'!A7</f>
        <v>11</v>
      </c>
      <c r="B27" s="2007"/>
      <c r="C27" s="2007" t="str">
        <f>'11.IEC-BCC Annex'!C7</f>
        <v>IEC/BCC</v>
      </c>
      <c r="D27" s="785"/>
      <c r="E27" s="785"/>
      <c r="F27" s="785"/>
      <c r="G27" s="785"/>
      <c r="H27" s="547"/>
      <c r="I27" s="785"/>
      <c r="J27" s="547"/>
      <c r="K27" s="785"/>
      <c r="L27" s="785"/>
      <c r="M27" s="547"/>
      <c r="N27" s="2069"/>
      <c r="O27" s="1995">
        <f>SUM(O28:O29)</f>
        <v>2.4000000000000004</v>
      </c>
      <c r="P27" s="2091"/>
      <c r="Q27" s="2092"/>
      <c r="R27" s="2116">
        <f>SUM(R28:R29)</f>
        <v>2.4</v>
      </c>
    </row>
    <row r="28" spans="1:18" ht="210">
      <c r="A28" s="4100" t="str">
        <f>'11.IEC-BCC Annex'!A34</f>
        <v>11.4.3</v>
      </c>
      <c r="B28" s="88" t="str">
        <f>'11-A. IEC Sub-Annex'!B85</f>
        <v>B.10.6.13</v>
      </c>
      <c r="C28" s="88" t="str">
        <f>'11-A. IEC Sub-Annex'!C85</f>
        <v>IPC,Group activities and mass media for NPHCE</v>
      </c>
      <c r="D28" s="1975" t="str">
        <f>'11-A. IEC Sub-Annex'!D85</f>
        <v>NCD</v>
      </c>
      <c r="E28" s="1975" t="str">
        <f>'11-A. IEC Sub-Annex'!E85</f>
        <v>NPHCE</v>
      </c>
      <c r="F28" s="1975">
        <f>'11-A. IEC Sub-Annex'!F85</f>
        <v>12</v>
      </c>
      <c r="G28" s="1975">
        <f>'11-A. IEC Sub-Annex'!G85</f>
        <v>0</v>
      </c>
      <c r="H28" s="1975">
        <f>'11-A. IEC Sub-Annex'!H85</f>
        <v>1.2</v>
      </c>
      <c r="I28" s="1975">
        <f>'11-A. IEC Sub-Annex'!I85</f>
        <v>0.01</v>
      </c>
      <c r="J28" s="1975">
        <f>'11-A. IEC Sub-Annex'!J85</f>
        <v>1.19</v>
      </c>
      <c r="K28" s="1975">
        <f>'11-A. IEC Sub-Annex'!K85</f>
        <v>0</v>
      </c>
      <c r="L28" s="1975">
        <f>'11-A. IEC Sub-Annex'!L85</f>
        <v>10000</v>
      </c>
      <c r="M28" s="162">
        <f>'11-A. IEC Sub-Annex'!M85</f>
        <v>0.1</v>
      </c>
      <c r="N28" s="1975">
        <f>'11-A. IEC Sub-Annex'!N85</f>
        <v>12</v>
      </c>
      <c r="O28" s="162">
        <f>'11-A. IEC Sub-Annex'!O85</f>
        <v>1.2000000000000002</v>
      </c>
      <c r="P28" s="88" t="str">
        <f>'11-A. IEC Sub-Annex'!P85</f>
        <v xml:space="preserve">To conduct various IEC activites in all 12 District regarding geriatric care and healthy life styles and awarenss of the  family menbers of the geriatric populations </v>
      </c>
      <c r="Q28" s="54" t="s">
        <v>5746</v>
      </c>
      <c r="R28" s="694">
        <v>1.2</v>
      </c>
    </row>
    <row r="29" spans="1:18" ht="30">
      <c r="A29" s="4100"/>
      <c r="B29" s="88"/>
      <c r="C29" s="88" t="str">
        <f>'11-A. IEC Sub-Annex'!C86</f>
        <v>Celebration of days-ie International Day for older persons</v>
      </c>
      <c r="D29" s="1975" t="str">
        <f>'11-A. IEC Sub-Annex'!D86</f>
        <v>NCD</v>
      </c>
      <c r="E29" s="1975" t="str">
        <f>'11-A. IEC Sub-Annex'!E86</f>
        <v>NPHCE</v>
      </c>
      <c r="F29" s="1975">
        <f>'11-A. IEC Sub-Annex'!F86</f>
        <v>12</v>
      </c>
      <c r="G29" s="1975">
        <f>'11-A. IEC Sub-Annex'!G86</f>
        <v>0</v>
      </c>
      <c r="H29" s="1975">
        <f>'11-A. IEC Sub-Annex'!H86</f>
        <v>1.2</v>
      </c>
      <c r="I29" s="1975">
        <f>'11-A. IEC Sub-Annex'!I86</f>
        <v>0</v>
      </c>
      <c r="J29" s="1975">
        <f>'11-A. IEC Sub-Annex'!J86</f>
        <v>0</v>
      </c>
      <c r="K29" s="1975">
        <f>'11-A. IEC Sub-Annex'!K86</f>
        <v>0</v>
      </c>
      <c r="L29" s="1975">
        <f>'11-A. IEC Sub-Annex'!L86</f>
        <v>10000</v>
      </c>
      <c r="M29" s="162">
        <f>'11-A. IEC Sub-Annex'!M86</f>
        <v>0.1</v>
      </c>
      <c r="N29" s="1975">
        <f>'11-A. IEC Sub-Annex'!N86</f>
        <v>12</v>
      </c>
      <c r="O29" s="162">
        <f>'11-A. IEC Sub-Annex'!O86</f>
        <v>1.2000000000000002</v>
      </c>
      <c r="P29" s="88" t="str">
        <f>'11-A. IEC Sub-Annex'!P86</f>
        <v xml:space="preserve">Celebration of the Elderly day at various levels </v>
      </c>
      <c r="Q29" s="54" t="s">
        <v>5747</v>
      </c>
      <c r="R29" s="694">
        <v>1.2</v>
      </c>
    </row>
    <row r="30" spans="1:18">
      <c r="A30" s="2007">
        <f>'12.Printing Annex'!A7</f>
        <v>12</v>
      </c>
      <c r="B30" s="2007"/>
      <c r="C30" s="2007" t="str">
        <f>'12.Printing Annex'!C7</f>
        <v>Printing</v>
      </c>
      <c r="D30" s="1419"/>
      <c r="E30" s="1419"/>
      <c r="F30" s="785"/>
      <c r="G30" s="785"/>
      <c r="H30" s="547"/>
      <c r="I30" s="785"/>
      <c r="J30" s="547"/>
      <c r="K30" s="785"/>
      <c r="L30" s="785"/>
      <c r="M30" s="547"/>
      <c r="N30" s="2069"/>
      <c r="O30" s="1995">
        <f>O31</f>
        <v>0</v>
      </c>
      <c r="P30" s="2091"/>
      <c r="Q30" s="2092"/>
      <c r="R30" s="2116">
        <f>R31</f>
        <v>0</v>
      </c>
    </row>
    <row r="31" spans="1:18" ht="30">
      <c r="A31" s="1987" t="str">
        <f>'12.Printing Annex'!A36</f>
        <v>12.4.3</v>
      </c>
      <c r="B31" s="88">
        <f>'12-A. Print Sub-Annex'!B94</f>
        <v>0</v>
      </c>
      <c r="C31" s="88" t="str">
        <f>'12-A. Print Sub-Annex'!C94</f>
        <v>Printing activities under NPHCE</v>
      </c>
      <c r="D31" s="1975" t="str">
        <f>'12-A. Print Sub-Annex'!D94</f>
        <v>NCD</v>
      </c>
      <c r="E31" s="1975" t="str">
        <f>'12-A. Print Sub-Annex'!E94</f>
        <v>NPHCE</v>
      </c>
      <c r="F31" s="1975">
        <f>'12-A. Print Sub-Annex'!F94</f>
        <v>0</v>
      </c>
      <c r="G31" s="1975">
        <f>'12-A. Print Sub-Annex'!G94</f>
        <v>0</v>
      </c>
      <c r="H31" s="1975">
        <f>'12-A. Print Sub-Annex'!H94</f>
        <v>0</v>
      </c>
      <c r="I31" s="1975">
        <f>'12-A. Print Sub-Annex'!I94</f>
        <v>0</v>
      </c>
      <c r="J31" s="1975">
        <f>'12-A. Print Sub-Annex'!J94</f>
        <v>0</v>
      </c>
      <c r="K31" s="1975">
        <f>'12-A. Print Sub-Annex'!K94</f>
        <v>0</v>
      </c>
      <c r="L31" s="1975">
        <f>'12-A. Print Sub-Annex'!L94</f>
        <v>0</v>
      </c>
      <c r="M31" s="162">
        <f>'12-A. Print Sub-Annex'!M94</f>
        <v>0</v>
      </c>
      <c r="N31" s="1975">
        <f>'12-A. Print Sub-Annex'!N94</f>
        <v>0</v>
      </c>
      <c r="O31" s="162">
        <f>'12-A. Print Sub-Annex'!O94</f>
        <v>0</v>
      </c>
      <c r="P31" s="88">
        <f>'12-A. Print Sub-Annex'!P94</f>
        <v>0</v>
      </c>
      <c r="Q31" s="54"/>
      <c r="R31" s="694"/>
    </row>
    <row r="32" spans="1:18">
      <c r="A32" s="876">
        <f>'16.PM Annex'!A7</f>
        <v>16</v>
      </c>
      <c r="B32" s="876"/>
      <c r="C32" s="876" t="str">
        <f>'16.PM Annex'!C7</f>
        <v>Programme Management</v>
      </c>
      <c r="D32" s="877"/>
      <c r="E32" s="877"/>
      <c r="F32" s="877"/>
      <c r="G32" s="877"/>
      <c r="H32" s="547"/>
      <c r="I32" s="877"/>
      <c r="J32" s="547"/>
      <c r="K32" s="877"/>
      <c r="L32" s="877"/>
      <c r="M32" s="547"/>
      <c r="N32" s="2069"/>
      <c r="O32" s="1995">
        <f>SUM(O33:O33)</f>
        <v>0</v>
      </c>
      <c r="P32" s="2091"/>
      <c r="Q32" s="2092"/>
      <c r="R32" s="2116">
        <f>SUM(R33:R33)</f>
        <v>0</v>
      </c>
    </row>
    <row r="33" spans="1:18" ht="30">
      <c r="A33" s="88" t="str">
        <f>'16-A. PM sub Annex'!A47</f>
        <v>16.1.2.1.26</v>
      </c>
      <c r="B33" s="88" t="e">
        <f>'16-A. PM sub Annex'!#REF!</f>
        <v>#REF!</v>
      </c>
      <c r="C33" s="88" t="str">
        <f>'16-A. PM sub Annex'!C47</f>
        <v>Workshops, Conferences &amp; review meetings under NPHCE</v>
      </c>
      <c r="D33" s="1975" t="str">
        <f>'16-A. PM sub Annex'!D47</f>
        <v>NCD</v>
      </c>
      <c r="E33" s="1975" t="str">
        <f>'16-A. PM sub Annex'!E47</f>
        <v>HRH&amp;HPIP/NPHCE</v>
      </c>
      <c r="F33" s="1975">
        <f>'16-A. PM sub Annex'!F47</f>
        <v>0</v>
      </c>
      <c r="G33" s="1975">
        <f>'16-A. PM sub Annex'!G47</f>
        <v>0</v>
      </c>
      <c r="H33" s="1975">
        <f>'16-A. PM sub Annex'!H47</f>
        <v>0</v>
      </c>
      <c r="I33" s="1975">
        <f>'16-A. PM sub Annex'!I47</f>
        <v>0</v>
      </c>
      <c r="J33" s="1975">
        <f>'16-A. PM sub Annex'!J47</f>
        <v>0</v>
      </c>
      <c r="K33" s="1975">
        <f>'16-A. PM sub Annex'!K47</f>
        <v>0</v>
      </c>
      <c r="L33" s="1975">
        <f>'16-A. PM sub Annex'!L47</f>
        <v>0</v>
      </c>
      <c r="M33" s="162">
        <f>'16-A. PM sub Annex'!M47</f>
        <v>0</v>
      </c>
      <c r="N33" s="1975">
        <f>'16-A. PM sub Annex'!N47</f>
        <v>0</v>
      </c>
      <c r="O33" s="162">
        <f>'16-A. PM sub Annex'!O47</f>
        <v>0</v>
      </c>
      <c r="P33" s="88">
        <f>'16-A. PM sub Annex'!P47</f>
        <v>0</v>
      </c>
      <c r="Q33" s="54"/>
      <c r="R33" s="694"/>
    </row>
    <row r="34" spans="1:18">
      <c r="Q34" s="2016"/>
      <c r="R34" s="2017"/>
    </row>
  </sheetData>
  <sheetProtection sheet="1" formatCells="0" formatColumns="0" formatRows="0" autoFilter="0"/>
  <autoFilter ref="A5:M33"/>
  <mergeCells count="13">
    <mergeCell ref="A18:A19"/>
    <mergeCell ref="A11:A17"/>
    <mergeCell ref="A21:A24"/>
    <mergeCell ref="A28:A29"/>
    <mergeCell ref="Q4:R4"/>
    <mergeCell ref="E4:E5"/>
    <mergeCell ref="F4:J4"/>
    <mergeCell ref="K4:P4"/>
    <mergeCell ref="A1:C1"/>
    <mergeCell ref="A4:A5"/>
    <mergeCell ref="B4:B5"/>
    <mergeCell ref="C4:C5"/>
    <mergeCell ref="D4:D5"/>
  </mergeCells>
  <pageMargins left="0.7" right="0.7" top="0.75" bottom="0.75" header="0.3" footer="0.3"/>
</worksheet>
</file>

<file path=xl/worksheets/sheet43.xml><?xml version="1.0" encoding="utf-8"?>
<worksheet xmlns="http://schemas.openxmlformats.org/spreadsheetml/2006/main" xmlns:r="http://schemas.openxmlformats.org/officeDocument/2006/relationships">
  <sheetPr codeName="Sheet38">
    <tabColor theme="7" tint="0.79998168889431442"/>
  </sheetPr>
  <dimension ref="A1:R41"/>
  <sheetViews>
    <sheetView zoomScale="60" zoomScaleNormal="60" workbookViewId="0">
      <pane xSplit="3" ySplit="5" topLeftCell="F19" activePane="bottomRight" state="frozen"/>
      <selection activeCell="A4" sqref="A4:R11"/>
      <selection pane="topRight" activeCell="A4" sqref="A4:R11"/>
      <selection pane="bottomLeft" activeCell="A4" sqref="A4:R11"/>
      <selection pane="bottomRight" activeCell="Q35" sqref="Q35"/>
    </sheetView>
  </sheetViews>
  <sheetFormatPr defaultColWidth="10.85546875" defaultRowHeight="15"/>
  <cols>
    <col min="1" max="1" width="12.85546875" style="904" customWidth="1"/>
    <col min="2" max="2" width="16.42578125" style="904" customWidth="1"/>
    <col min="3" max="3" width="45.85546875" style="904" customWidth="1"/>
    <col min="4" max="4" width="7.85546875" style="868" bestFit="1" customWidth="1"/>
    <col min="5" max="5" width="20.140625" style="868" bestFit="1" customWidth="1"/>
    <col min="6" max="6" width="22.140625" style="868" bestFit="1" customWidth="1"/>
    <col min="7" max="7" width="16.140625" style="868" bestFit="1" customWidth="1"/>
    <col min="8" max="8" width="17.140625" style="978" bestFit="1" customWidth="1"/>
    <col min="9" max="9" width="10.85546875" style="868"/>
    <col min="10" max="10" width="10.85546875" style="978"/>
    <col min="11" max="11" width="16.140625" style="868" customWidth="1"/>
    <col min="12" max="12" width="13.5703125" style="868" customWidth="1"/>
    <col min="13" max="13" width="15.140625" style="978" customWidth="1"/>
    <col min="14" max="14" width="10.85546875" style="868"/>
    <col min="15" max="15" width="10.85546875" style="978"/>
    <col min="16" max="16" width="28.140625" style="904" customWidth="1"/>
    <col min="17" max="17" width="42.42578125" style="904" customWidth="1"/>
    <col min="18" max="16384" width="10.85546875" style="860"/>
  </cols>
  <sheetData>
    <row r="1" spans="1:18">
      <c r="A1" s="4113" t="s">
        <v>2119</v>
      </c>
      <c r="B1" s="4113"/>
      <c r="C1" s="4113"/>
      <c r="D1" s="1840"/>
      <c r="E1" s="2095"/>
      <c r="F1" s="83" t="s">
        <v>3847</v>
      </c>
      <c r="G1" s="1841"/>
      <c r="H1" s="1841"/>
      <c r="I1" s="1841"/>
      <c r="J1" s="1841"/>
      <c r="K1" s="1840"/>
      <c r="L1" s="1840"/>
      <c r="M1" s="1841"/>
    </row>
    <row r="2" spans="1:18" s="2119" customFormat="1" ht="30">
      <c r="A2" s="1842" t="str">
        <f>HYPERLINK("#Index!F3", "Index Pg")</f>
        <v>Index Pg</v>
      </c>
      <c r="B2" s="1379" t="str">
        <f>HYPERLINK("#'Summary of Abstracts'!A2", "Summary of Abst.")</f>
        <v>Summary of Abst.</v>
      </c>
      <c r="C2" s="864" t="str">
        <f>HYPERLINK("#'Budget Summary I'!A1:AL1", "Budget Summary I")</f>
        <v>Budget Summary I</v>
      </c>
      <c r="D2" s="2019"/>
      <c r="E2" s="1460" t="s">
        <v>4460</v>
      </c>
      <c r="F2" s="161">
        <f>M25+M20+M17+M11+M9+M6+M23+M28</f>
        <v>0</v>
      </c>
      <c r="G2" s="1145"/>
      <c r="H2" s="1145"/>
      <c r="I2" s="1145"/>
      <c r="J2" s="1145"/>
      <c r="K2" s="1146"/>
      <c r="L2" s="1146"/>
      <c r="M2" s="1145"/>
      <c r="N2" s="2024"/>
      <c r="O2" s="2117"/>
      <c r="P2" s="2118"/>
      <c r="Q2" s="2118"/>
    </row>
    <row r="3" spans="1:18" s="2105" customFormat="1">
      <c r="A3" s="1846"/>
      <c r="B3" s="1847"/>
      <c r="C3" s="1916" t="str">
        <f>HYPERLINK("#'Budget Summary II'!A3:B5", "Budget Summary II")</f>
        <v>Budget Summary II</v>
      </c>
      <c r="D3" s="2019"/>
      <c r="E3" s="2107" t="s">
        <v>4461</v>
      </c>
      <c r="F3" s="786">
        <f>J25+J20+J17+J11+J9+J6+J23+J28</f>
        <v>0</v>
      </c>
      <c r="G3" s="1145"/>
      <c r="H3" s="1145"/>
      <c r="I3" s="1145"/>
      <c r="J3" s="1145"/>
      <c r="K3" s="1146"/>
      <c r="L3" s="2101"/>
      <c r="M3" s="1145"/>
      <c r="N3" s="2101"/>
      <c r="O3" s="2102"/>
      <c r="P3" s="2103"/>
      <c r="Q3" s="2103"/>
    </row>
    <row r="4" spans="1:18" s="868" customFormat="1">
      <c r="A4" s="3801" t="s">
        <v>48</v>
      </c>
      <c r="B4" s="3801" t="s">
        <v>49</v>
      </c>
      <c r="C4" s="3801" t="s">
        <v>50</v>
      </c>
      <c r="D4" s="3801" t="s">
        <v>51</v>
      </c>
      <c r="E4" s="3801" t="s">
        <v>52</v>
      </c>
      <c r="F4" s="3866" t="s">
        <v>4478</v>
      </c>
      <c r="G4" s="3866"/>
      <c r="H4" s="3866"/>
      <c r="I4" s="3866"/>
      <c r="J4" s="3866"/>
      <c r="K4" s="3866" t="s">
        <v>4484</v>
      </c>
      <c r="L4" s="3866"/>
      <c r="M4" s="3866"/>
      <c r="N4" s="3866"/>
      <c r="O4" s="3866"/>
      <c r="P4" s="3866"/>
      <c r="Q4" s="3801" t="s">
        <v>4514</v>
      </c>
      <c r="R4" s="3801"/>
    </row>
    <row r="5" spans="1:18" s="868" customFormat="1" ht="60">
      <c r="A5" s="3801"/>
      <c r="B5" s="3801"/>
      <c r="C5" s="3801"/>
      <c r="D5" s="3801"/>
      <c r="E5" s="3801"/>
      <c r="F5" s="918" t="s">
        <v>4479</v>
      </c>
      <c r="G5" s="918" t="s">
        <v>4482</v>
      </c>
      <c r="H5" s="918" t="s">
        <v>4480</v>
      </c>
      <c r="I5" s="918" t="s">
        <v>4483</v>
      </c>
      <c r="J5" s="918" t="s">
        <v>2448</v>
      </c>
      <c r="K5" s="919" t="s">
        <v>53</v>
      </c>
      <c r="L5" s="919" t="s">
        <v>54</v>
      </c>
      <c r="M5" s="920" t="s">
        <v>55</v>
      </c>
      <c r="N5" s="919" t="s">
        <v>56</v>
      </c>
      <c r="O5" s="920" t="s">
        <v>57</v>
      </c>
      <c r="P5" s="919" t="s">
        <v>58</v>
      </c>
      <c r="Q5" s="921" t="s">
        <v>2450</v>
      </c>
      <c r="R5" s="922" t="s">
        <v>4515</v>
      </c>
    </row>
    <row r="6" spans="1:18">
      <c r="A6" s="2007">
        <f>'2.SD Community Based Annex'!A7</f>
        <v>2</v>
      </c>
      <c r="B6" s="2007"/>
      <c r="C6" s="2007" t="str">
        <f>'2.SD Community Based Annex'!C7</f>
        <v>Service Delivery - Community Based</v>
      </c>
      <c r="D6" s="785"/>
      <c r="E6" s="785"/>
      <c r="F6" s="1994"/>
      <c r="G6" s="1994"/>
      <c r="H6" s="1995"/>
      <c r="I6" s="1994"/>
      <c r="J6" s="547"/>
      <c r="K6" s="1994"/>
      <c r="L6" s="1994"/>
      <c r="M6" s="547"/>
      <c r="N6" s="2069"/>
      <c r="O6" s="2090">
        <f>SUM(O7:O8)</f>
        <v>25</v>
      </c>
      <c r="P6" s="2091"/>
      <c r="Q6" s="2091"/>
      <c r="R6" s="2090">
        <f>SUM(R7:R8)</f>
        <v>25</v>
      </c>
    </row>
    <row r="7" spans="1:18" ht="120">
      <c r="A7" s="2014" t="str">
        <f>'2.SD Community Based Annex'!A60</f>
        <v>2.3.3.4.1</v>
      </c>
      <c r="B7" s="2014" t="str">
        <f>'2.SD Community Based Annex'!B60</f>
        <v>M.1.2.1</v>
      </c>
      <c r="C7" s="2014" t="str">
        <f>'2.SD Community Based Annex'!C60</f>
        <v>Coverage of Public School and Pvt School</v>
      </c>
      <c r="D7" s="1006" t="str">
        <f>'2.SD Community Based Annex'!D60</f>
        <v>NCD</v>
      </c>
      <c r="E7" s="1006" t="str">
        <f>'2.SD Community Based Annex'!E60</f>
        <v>NTCP</v>
      </c>
      <c r="F7" s="1006">
        <f>'2.SD Community Based Annex'!F60</f>
        <v>2500</v>
      </c>
      <c r="G7" s="1006">
        <f>'2.SD Community Based Annex'!G60</f>
        <v>0</v>
      </c>
      <c r="H7" s="1006">
        <f>'2.SD Community Based Annex'!H60</f>
        <v>25</v>
      </c>
      <c r="I7" s="1006">
        <f>'2.SD Community Based Annex'!I60</f>
        <v>1.35</v>
      </c>
      <c r="J7" s="1006">
        <f>'2.SD Community Based Annex'!J60</f>
        <v>10</v>
      </c>
      <c r="K7" s="1006">
        <f>'2.SD Community Based Annex'!K60</f>
        <v>0</v>
      </c>
      <c r="L7" s="1006">
        <f>'2.SD Community Based Annex'!L60</f>
        <v>1000</v>
      </c>
      <c r="M7" s="162">
        <f>'2.SD Community Based Annex'!M60</f>
        <v>0.01</v>
      </c>
      <c r="N7" s="1006">
        <f>'2.SD Community Based Annex'!N60</f>
        <v>2500</v>
      </c>
      <c r="O7" s="162">
        <f>'2.SD Community Based Annex'!O60</f>
        <v>25</v>
      </c>
      <c r="P7" s="2014" t="str">
        <f>'2.SD Community Based Annex'!P60</f>
        <v xml:space="preserve">To train the key stakeholders (School management committess and teachers )about the tobacco free Edu Instt guidelines/concept  and to enfiorce it @ Rs 1000 per Edu Instt (2000Govt and 500 Pvt Edu Instt) </v>
      </c>
      <c r="Q7" s="54" t="s">
        <v>5748</v>
      </c>
      <c r="R7" s="694">
        <v>25</v>
      </c>
    </row>
    <row r="8" spans="1:18" ht="30">
      <c r="A8" s="88" t="str">
        <f>'2.SD Community Based Annex'!A64</f>
        <v>2.3.3.4.5</v>
      </c>
      <c r="B8" s="88" t="str">
        <f>'2.SD Community Based Annex'!B64</f>
        <v>M.1.2.5</v>
      </c>
      <c r="C8" s="88" t="str">
        <f>'2.SD Community Based Annex'!C64</f>
        <v>Sensitization campaign for college students and other educational institutions</v>
      </c>
      <c r="D8" s="1975" t="str">
        <f>'2.SD Community Based Annex'!D64</f>
        <v>NCD</v>
      </c>
      <c r="E8" s="1975" t="str">
        <f>'2.SD Community Based Annex'!E64</f>
        <v>NTCP</v>
      </c>
      <c r="F8" s="1975">
        <f>'2.SD Community Based Annex'!F64</f>
        <v>0</v>
      </c>
      <c r="G8" s="1975">
        <f>'2.SD Community Based Annex'!G64</f>
        <v>0</v>
      </c>
      <c r="H8" s="1975">
        <f>'2.SD Community Based Annex'!H64</f>
        <v>0</v>
      </c>
      <c r="I8" s="1975">
        <f>'2.SD Community Based Annex'!I64</f>
        <v>0</v>
      </c>
      <c r="J8" s="1975">
        <f>'2.SD Community Based Annex'!J64</f>
        <v>0</v>
      </c>
      <c r="K8" s="1975">
        <f>'2.SD Community Based Annex'!K64</f>
        <v>0</v>
      </c>
      <c r="L8" s="1975">
        <f>'2.SD Community Based Annex'!L64</f>
        <v>0</v>
      </c>
      <c r="M8" s="162">
        <f>'2.SD Community Based Annex'!M64</f>
        <v>0</v>
      </c>
      <c r="N8" s="1975">
        <f>'2.SD Community Based Annex'!N64</f>
        <v>0</v>
      </c>
      <c r="O8" s="162">
        <f>'2.SD Community Based Annex'!O64</f>
        <v>0</v>
      </c>
      <c r="P8" s="88">
        <f>'2.SD Community Based Annex'!P64</f>
        <v>0</v>
      </c>
      <c r="Q8" s="54"/>
      <c r="R8" s="694"/>
    </row>
    <row r="9" spans="1:18">
      <c r="A9" s="2007">
        <f>'3.Community Intervention Annexn'!A7</f>
        <v>3</v>
      </c>
      <c r="B9" s="2007"/>
      <c r="C9" s="2007" t="str">
        <f>'3.Community Intervention Annexn'!C7</f>
        <v>Community Interventions</v>
      </c>
      <c r="D9" s="785"/>
      <c r="E9" s="785"/>
      <c r="F9" s="1994"/>
      <c r="G9" s="1994"/>
      <c r="H9" s="1995"/>
      <c r="I9" s="1994"/>
      <c r="J9" s="547"/>
      <c r="K9" s="1994"/>
      <c r="L9" s="1994"/>
      <c r="M9" s="547"/>
      <c r="N9" s="2069"/>
      <c r="O9" s="2090">
        <f>O10</f>
        <v>0</v>
      </c>
      <c r="P9" s="2091"/>
      <c r="Q9" s="2092"/>
      <c r="R9" s="2093">
        <f>R10</f>
        <v>0</v>
      </c>
    </row>
    <row r="10" spans="1:18" ht="45">
      <c r="A10" s="88" t="str">
        <f>'3.Community Intervention Annexn'!A54</f>
        <v>3.3.3.2</v>
      </c>
      <c r="B10" s="88" t="str">
        <f>'3.Community Intervention Annexn'!B54</f>
        <v>M.1.1.4</v>
      </c>
      <c r="C10" s="88" t="str">
        <f>'3.Community Intervention Annexn'!C54</f>
        <v>Training of PRI's representatives/ Police personnel/ Teachers/ Transport personnel/ NGO personnel/ other stakeholders</v>
      </c>
      <c r="D10" s="1975" t="str">
        <f>'3.Community Intervention Annexn'!D54</f>
        <v>NCD</v>
      </c>
      <c r="E10" s="1975" t="str">
        <f>'3.Community Intervention Annexn'!E54</f>
        <v>NTCP</v>
      </c>
      <c r="F10" s="1975">
        <f>'3.Community Intervention Annexn'!F54</f>
        <v>0</v>
      </c>
      <c r="G10" s="1975">
        <f>'3.Community Intervention Annexn'!G54</f>
        <v>0</v>
      </c>
      <c r="H10" s="1975">
        <f>'3.Community Intervention Annexn'!H54</f>
        <v>5</v>
      </c>
      <c r="I10" s="1975">
        <f>'3.Community Intervention Annexn'!I54</f>
        <v>1.1000000000000001</v>
      </c>
      <c r="J10" s="1975">
        <f>'3.Community Intervention Annexn'!J54</f>
        <v>2</v>
      </c>
      <c r="K10" s="1975">
        <f>'3.Community Intervention Annexn'!K54</f>
        <v>0</v>
      </c>
      <c r="L10" s="1975">
        <f>'3.Community Intervention Annexn'!L54</f>
        <v>0</v>
      </c>
      <c r="M10" s="162">
        <f>'3.Community Intervention Annexn'!M54</f>
        <v>0</v>
      </c>
      <c r="N10" s="1975">
        <f>'3.Community Intervention Annexn'!N54</f>
        <v>0</v>
      </c>
      <c r="O10" s="162">
        <f>'3.Community Intervention Annexn'!O54</f>
        <v>0</v>
      </c>
      <c r="P10" s="88">
        <f>'3.Community Intervention Annexn'!P54</f>
        <v>0</v>
      </c>
      <c r="Q10" s="54"/>
      <c r="R10" s="694"/>
    </row>
    <row r="11" spans="1:18">
      <c r="A11" s="785">
        <f>'6.Procurement Annex'!A7</f>
        <v>6</v>
      </c>
      <c r="B11" s="785"/>
      <c r="C11" s="2007" t="e">
        <f>'6-A. Proc. Sub-Annex'!#REF!</f>
        <v>#REF!</v>
      </c>
      <c r="D11" s="785"/>
      <c r="E11" s="785"/>
      <c r="F11" s="1994"/>
      <c r="G11" s="1994"/>
      <c r="H11" s="1995"/>
      <c r="I11" s="1994"/>
      <c r="J11" s="547"/>
      <c r="K11" s="1994"/>
      <c r="L11" s="1994"/>
      <c r="M11" s="547"/>
      <c r="N11" s="2069"/>
      <c r="O11" s="2090">
        <f>SUM(O12:O16)</f>
        <v>0</v>
      </c>
      <c r="P11" s="2091"/>
      <c r="Q11" s="2092"/>
      <c r="R11" s="2093">
        <f>SUM(R12:R16)</f>
        <v>0</v>
      </c>
    </row>
    <row r="12" spans="1:18">
      <c r="A12" s="4095" t="str">
        <f>'6.Procurement Annex'!A39</f>
        <v>6.1.5.4</v>
      </c>
      <c r="B12" s="1975" t="str">
        <f>'6-A. Proc. Sub-Annex'!B110</f>
        <v>M.1.5.1</v>
      </c>
      <c r="C12" s="88" t="str">
        <f>'6-A. Proc. Sub-Annex'!C110</f>
        <v>Non-recurring: Equipment for DTCC</v>
      </c>
      <c r="D12" s="1975" t="str">
        <f>'6-A. Proc. Sub-Annex'!D110</f>
        <v>NCD</v>
      </c>
      <c r="E12" s="1975" t="str">
        <f>'6-A. Proc. Sub-Annex'!E110</f>
        <v>NTCP</v>
      </c>
      <c r="F12" s="1975">
        <f>'6-A. Proc. Sub-Annex'!F110</f>
        <v>0</v>
      </c>
      <c r="G12" s="1975">
        <f>'6-A. Proc. Sub-Annex'!G110</f>
        <v>0</v>
      </c>
      <c r="H12" s="1975">
        <f>'6-A. Proc. Sub-Annex'!H110</f>
        <v>0</v>
      </c>
      <c r="I12" s="1975">
        <f>'6-A. Proc. Sub-Annex'!I110</f>
        <v>0</v>
      </c>
      <c r="J12" s="1975">
        <f>'6-A. Proc. Sub-Annex'!J110</f>
        <v>0</v>
      </c>
      <c r="K12" s="1975">
        <f>'6-A. Proc. Sub-Annex'!K110</f>
        <v>0</v>
      </c>
      <c r="L12" s="1975">
        <f>'6-A. Proc. Sub-Annex'!L110</f>
        <v>0</v>
      </c>
      <c r="M12" s="162">
        <f>'6-A. Proc. Sub-Annex'!M110</f>
        <v>0</v>
      </c>
      <c r="N12" s="1975">
        <f>'6-A. Proc. Sub-Annex'!N110</f>
        <v>0</v>
      </c>
      <c r="O12" s="162">
        <f>'6-A. Proc. Sub-Annex'!O110</f>
        <v>0</v>
      </c>
      <c r="P12" s="88">
        <f>'6-A. Proc. Sub-Annex'!P110</f>
        <v>0</v>
      </c>
      <c r="Q12" s="54"/>
      <c r="R12" s="694"/>
    </row>
    <row r="13" spans="1:18">
      <c r="A13" s="4095"/>
      <c r="B13" s="1975" t="str">
        <f>'6-A. Proc. Sub-Annex'!B111</f>
        <v>M.2.3.1</v>
      </c>
      <c r="C13" s="88" t="str">
        <f>'6-A. Proc. Sub-Annex'!C111</f>
        <v>Non-recurring: Equipment for TCC</v>
      </c>
      <c r="D13" s="1975" t="str">
        <f>'6-A. Proc. Sub-Annex'!D111</f>
        <v>NCD</v>
      </c>
      <c r="E13" s="1975" t="str">
        <f>'6-A. Proc. Sub-Annex'!E111</f>
        <v>NTCP</v>
      </c>
      <c r="F13" s="1975">
        <f>'6-A. Proc. Sub-Annex'!F111</f>
        <v>0</v>
      </c>
      <c r="G13" s="1975">
        <f>'6-A. Proc. Sub-Annex'!G111</f>
        <v>0</v>
      </c>
      <c r="H13" s="1975">
        <f>'6-A. Proc. Sub-Annex'!H111</f>
        <v>0</v>
      </c>
      <c r="I13" s="1975">
        <f>'6-A. Proc. Sub-Annex'!I111</f>
        <v>0</v>
      </c>
      <c r="J13" s="1975">
        <f>'6-A. Proc. Sub-Annex'!J111</f>
        <v>0</v>
      </c>
      <c r="K13" s="1975">
        <f>'6-A. Proc. Sub-Annex'!K111</f>
        <v>0</v>
      </c>
      <c r="L13" s="1975">
        <f>'6-A. Proc. Sub-Annex'!L111</f>
        <v>0</v>
      </c>
      <c r="M13" s="162">
        <f>'6-A. Proc. Sub-Annex'!M111</f>
        <v>0</v>
      </c>
      <c r="N13" s="1975">
        <f>'6-A. Proc. Sub-Annex'!N111</f>
        <v>0</v>
      </c>
      <c r="O13" s="162">
        <f>'6-A. Proc. Sub-Annex'!O111</f>
        <v>0</v>
      </c>
      <c r="P13" s="88">
        <f>'6-A. Proc. Sub-Annex'!P111</f>
        <v>0</v>
      </c>
      <c r="Q13" s="54"/>
      <c r="R13" s="694"/>
    </row>
    <row r="14" spans="1:18">
      <c r="A14" s="4095"/>
      <c r="B14" s="1975">
        <f>'6-A. Proc. Sub-Annex'!B112</f>
        <v>0</v>
      </c>
      <c r="C14" s="88" t="str">
        <f>'6-A. Proc. Sub-Annex'!C112</f>
        <v>Any other equipment (please specify)</v>
      </c>
      <c r="D14" s="1975" t="str">
        <f>'6-A. Proc. Sub-Annex'!D112</f>
        <v>NCD</v>
      </c>
      <c r="E14" s="1975" t="str">
        <f>'6-A. Proc. Sub-Annex'!E112</f>
        <v>NTCP</v>
      </c>
      <c r="F14" s="1975">
        <f>'6-A. Proc. Sub-Annex'!F112</f>
        <v>0</v>
      </c>
      <c r="G14" s="1975">
        <f>'6-A. Proc. Sub-Annex'!G112</f>
        <v>0</v>
      </c>
      <c r="H14" s="1975">
        <f>'6-A. Proc. Sub-Annex'!H112</f>
        <v>0</v>
      </c>
      <c r="I14" s="1975">
        <f>'6-A. Proc. Sub-Annex'!I112</f>
        <v>0</v>
      </c>
      <c r="J14" s="1975">
        <f>'6-A. Proc. Sub-Annex'!J112</f>
        <v>0</v>
      </c>
      <c r="K14" s="1975">
        <f>'6-A. Proc. Sub-Annex'!K112</f>
        <v>0</v>
      </c>
      <c r="L14" s="1975">
        <f>'6-A. Proc. Sub-Annex'!L112</f>
        <v>0</v>
      </c>
      <c r="M14" s="162">
        <f>'6-A. Proc. Sub-Annex'!M112</f>
        <v>0</v>
      </c>
      <c r="N14" s="1975">
        <f>'6-A. Proc. Sub-Annex'!N112</f>
        <v>0</v>
      </c>
      <c r="O14" s="162">
        <f>'6-A. Proc. Sub-Annex'!O112</f>
        <v>0</v>
      </c>
      <c r="P14" s="88">
        <f>'6-A. Proc. Sub-Annex'!P112</f>
        <v>0</v>
      </c>
      <c r="Q14" s="54"/>
      <c r="R14" s="694"/>
    </row>
    <row r="15" spans="1:18" ht="30">
      <c r="A15" s="4095" t="str">
        <f>'6.Procurement Annex'!A82</f>
        <v>6.2.4.4</v>
      </c>
      <c r="B15" s="1975" t="str">
        <f>'6-A. Proc. Sub-Annex'!B260</f>
        <v>B.16.2.11.7</v>
      </c>
      <c r="C15" s="88" t="str">
        <f>'6-A. Proc. Sub-Annex'!C260</f>
        <v>Procurement of medicine &amp; consumables for TCC under NTCP</v>
      </c>
      <c r="D15" s="1975" t="str">
        <f>'6-A. Proc. Sub-Annex'!D260</f>
        <v>NCD</v>
      </c>
      <c r="E15" s="1975" t="str">
        <f>'6-A. Proc. Sub-Annex'!E260</f>
        <v>NTCP</v>
      </c>
      <c r="F15" s="1975">
        <f>'6-A. Proc. Sub-Annex'!F260</f>
        <v>12</v>
      </c>
      <c r="G15" s="1975">
        <f>'6-A. Proc. Sub-Annex'!G260</f>
        <v>0</v>
      </c>
      <c r="H15" s="1975">
        <f>'6-A. Proc. Sub-Annex'!H260</f>
        <v>12</v>
      </c>
      <c r="I15" s="1975">
        <f>'6-A. Proc. Sub-Annex'!I260</f>
        <v>0</v>
      </c>
      <c r="J15" s="1975">
        <f>'6-A. Proc. Sub-Annex'!J260</f>
        <v>0</v>
      </c>
      <c r="K15" s="1975">
        <f>'6-A. Proc. Sub-Annex'!K260</f>
        <v>0</v>
      </c>
      <c r="L15" s="1975">
        <f>'6-A. Proc. Sub-Annex'!L260</f>
        <v>0</v>
      </c>
      <c r="M15" s="162">
        <f>'6-A. Proc. Sub-Annex'!M260</f>
        <v>0</v>
      </c>
      <c r="N15" s="1975">
        <f>'6-A. Proc. Sub-Annex'!N260</f>
        <v>0</v>
      </c>
      <c r="O15" s="162">
        <f>'6-A. Proc. Sub-Annex'!O260</f>
        <v>0</v>
      </c>
      <c r="P15" s="88">
        <f>'6-A. Proc. Sub-Annex'!P260</f>
        <v>0</v>
      </c>
      <c r="Q15" s="54"/>
      <c r="R15" s="694"/>
    </row>
    <row r="16" spans="1:18">
      <c r="A16" s="4095"/>
      <c r="B16" s="1975">
        <f>'6-A. Proc. Sub-Annex'!B261</f>
        <v>0</v>
      </c>
      <c r="C16" s="88" t="str">
        <f>'6-A. Proc. Sub-Annex'!C261</f>
        <v>Any other drugs &amp; supplies (please specify)</v>
      </c>
      <c r="D16" s="1975" t="str">
        <f>'6-A. Proc. Sub-Annex'!D261</f>
        <v>NCD</v>
      </c>
      <c r="E16" s="1975" t="str">
        <f>'6-A. Proc. Sub-Annex'!E261</f>
        <v>NTCP</v>
      </c>
      <c r="F16" s="1975">
        <f>'6-A. Proc. Sub-Annex'!F261</f>
        <v>0</v>
      </c>
      <c r="G16" s="1975">
        <f>'6-A. Proc. Sub-Annex'!G261</f>
        <v>0</v>
      </c>
      <c r="H16" s="1975">
        <f>'6-A. Proc. Sub-Annex'!H261</f>
        <v>0</v>
      </c>
      <c r="I16" s="1975">
        <f>'6-A. Proc. Sub-Annex'!I261</f>
        <v>0</v>
      </c>
      <c r="J16" s="1975">
        <f>'6-A. Proc. Sub-Annex'!J261</f>
        <v>0</v>
      </c>
      <c r="K16" s="1975">
        <f>'6-A. Proc. Sub-Annex'!K261</f>
        <v>0</v>
      </c>
      <c r="L16" s="1975">
        <f>'6-A. Proc. Sub-Annex'!L261</f>
        <v>0</v>
      </c>
      <c r="M16" s="162">
        <f>'6-A. Proc. Sub-Annex'!M261</f>
        <v>0</v>
      </c>
      <c r="N16" s="1975">
        <f>'6-A. Proc. Sub-Annex'!N261</f>
        <v>0</v>
      </c>
      <c r="O16" s="162">
        <f>'6-A. Proc. Sub-Annex'!O261</f>
        <v>0</v>
      </c>
      <c r="P16" s="88">
        <f>'6-A. Proc. Sub-Annex'!P261</f>
        <v>0</v>
      </c>
      <c r="Q16" s="54"/>
      <c r="R16" s="694"/>
    </row>
    <row r="17" spans="1:18">
      <c r="A17" s="785">
        <f>'9.Training Annex'!A7</f>
        <v>9</v>
      </c>
      <c r="B17" s="785"/>
      <c r="C17" s="2007" t="str">
        <f>'9.Training Annex'!C7</f>
        <v>Training and Capacity Building</v>
      </c>
      <c r="D17" s="785"/>
      <c r="E17" s="785"/>
      <c r="F17" s="1994"/>
      <c r="G17" s="1994"/>
      <c r="H17" s="1995"/>
      <c r="I17" s="1994"/>
      <c r="J17" s="547"/>
      <c r="K17" s="1994"/>
      <c r="L17" s="1994"/>
      <c r="M17" s="547"/>
      <c r="N17" s="2069"/>
      <c r="O17" s="2090">
        <f>SUM(O18:O19)</f>
        <v>15</v>
      </c>
      <c r="P17" s="2091"/>
      <c r="Q17" s="2092"/>
      <c r="R17" s="2093">
        <f>SUM(R18:R19)</f>
        <v>15</v>
      </c>
    </row>
    <row r="18" spans="1:18" ht="105">
      <c r="A18" s="4095" t="str">
        <f>'9.Training Annex'!A58</f>
        <v>9.2.4.4</v>
      </c>
      <c r="B18" s="1975" t="str">
        <f>'9-A.Training Sub-Annex'!B260</f>
        <v>M.1.1</v>
      </c>
      <c r="C18" s="88" t="str">
        <f>'9-A.Training Sub-Annex'!C260</f>
        <v>Trainings under NTCP at District level</v>
      </c>
      <c r="D18" s="1975" t="str">
        <f>'9-A.Training Sub-Annex'!D260</f>
        <v>NCD</v>
      </c>
      <c r="E18" s="1975" t="str">
        <f>'9-A.Training Sub-Annex'!E260</f>
        <v>NTCP</v>
      </c>
      <c r="F18" s="1975">
        <f>'9-A.Training Sub-Annex'!F260</f>
        <v>0</v>
      </c>
      <c r="G18" s="1975">
        <f>'9-A.Training Sub-Annex'!G260</f>
        <v>0</v>
      </c>
      <c r="H18" s="1975">
        <f>'9-A.Training Sub-Annex'!H260</f>
        <v>10</v>
      </c>
      <c r="I18" s="1975">
        <f>'9-A.Training Sub-Annex'!I260</f>
        <v>0</v>
      </c>
      <c r="J18" s="1975">
        <f>'9-A.Training Sub-Annex'!J260</f>
        <v>5</v>
      </c>
      <c r="K18" s="1975">
        <f>'9-A.Training Sub-Annex'!K260</f>
        <v>1</v>
      </c>
      <c r="L18" s="1975">
        <f>'9-A.Training Sub-Annex'!L260</f>
        <v>10000</v>
      </c>
      <c r="M18" s="162">
        <f>'9-A.Training Sub-Annex'!M260</f>
        <v>0.1</v>
      </c>
      <c r="N18" s="1975">
        <f>'9-A.Training Sub-Annex'!N260</f>
        <v>100</v>
      </c>
      <c r="O18" s="162">
        <f>'9-A.Training Sub-Annex'!O260</f>
        <v>10</v>
      </c>
      <c r="P18" s="88" t="str">
        <f>'9-A.Training Sub-Annex'!P260</f>
        <v xml:space="preserve">Training and senstization  of the key stakeholder for tobacco control law, NTCP , Tobacco Free Edu Instt and Tobacco Free panchyat campaign  in all Health Blocks and Distt  and state level </v>
      </c>
      <c r="Q18" s="54" t="s">
        <v>5749</v>
      </c>
      <c r="R18" s="694">
        <v>10</v>
      </c>
    </row>
    <row r="19" spans="1:18" ht="30">
      <c r="A19" s="4095"/>
      <c r="B19" s="1975" t="str">
        <f>'9-A.Training Sub-Annex'!B261</f>
        <v>M.3.1</v>
      </c>
      <c r="C19" s="88" t="str">
        <f>'9-A.Training Sub-Annex'!C261</f>
        <v>Trainings under NTCP at State level</v>
      </c>
      <c r="D19" s="1975" t="str">
        <f>'9-A.Training Sub-Annex'!D261</f>
        <v>NCD</v>
      </c>
      <c r="E19" s="1975" t="str">
        <f>'9-A.Training Sub-Annex'!E261</f>
        <v>NTCP</v>
      </c>
      <c r="F19" s="1975">
        <f>'9-A.Training Sub-Annex'!F261</f>
        <v>0</v>
      </c>
      <c r="G19" s="1975">
        <f>'9-A.Training Sub-Annex'!G261</f>
        <v>0</v>
      </c>
      <c r="H19" s="1975">
        <f>'9-A.Training Sub-Annex'!H261</f>
        <v>0</v>
      </c>
      <c r="I19" s="1975">
        <f>'9-A.Training Sub-Annex'!I261</f>
        <v>0</v>
      </c>
      <c r="J19" s="1975">
        <f>'9-A.Training Sub-Annex'!J261</f>
        <v>0</v>
      </c>
      <c r="K19" s="1975">
        <f>'9-A.Training Sub-Annex'!K261</f>
        <v>0</v>
      </c>
      <c r="L19" s="1975">
        <f>'9-A.Training Sub-Annex'!L261</f>
        <v>1000</v>
      </c>
      <c r="M19" s="162">
        <f>'9-A.Training Sub-Annex'!M261</f>
        <v>0.01</v>
      </c>
      <c r="N19" s="1975">
        <f>'9-A.Training Sub-Annex'!N261</f>
        <v>500</v>
      </c>
      <c r="O19" s="162">
        <f>'9-A.Training Sub-Annex'!O261</f>
        <v>5</v>
      </c>
      <c r="P19" s="88" t="str">
        <f>'9-A.Training Sub-Annex'!P261</f>
        <v>Training of PRI representing/police personel</v>
      </c>
      <c r="Q19" s="54" t="s">
        <v>5750</v>
      </c>
      <c r="R19" s="694">
        <v>5</v>
      </c>
    </row>
    <row r="20" spans="1:18">
      <c r="A20" s="785">
        <f>'10.Review Research &amp; Surveillen'!A7</f>
        <v>10</v>
      </c>
      <c r="B20" s="785"/>
      <c r="C20" s="2007" t="str">
        <f>'10.Review Research &amp; Surveillen'!C7</f>
        <v>Reviews, Research, Surveys and Surveillance</v>
      </c>
      <c r="D20" s="785"/>
      <c r="E20" s="785"/>
      <c r="F20" s="1994"/>
      <c r="G20" s="1994"/>
      <c r="H20" s="1995"/>
      <c r="I20" s="1994"/>
      <c r="J20" s="547"/>
      <c r="K20" s="1994"/>
      <c r="L20" s="1994"/>
      <c r="M20" s="547"/>
      <c r="N20" s="2069"/>
      <c r="O20" s="2090">
        <f>SUM(O21:O22)</f>
        <v>0</v>
      </c>
      <c r="P20" s="2091"/>
      <c r="Q20" s="2092"/>
      <c r="R20" s="2093">
        <f>SUM(R21:R22)</f>
        <v>0</v>
      </c>
    </row>
    <row r="21" spans="1:18" ht="30">
      <c r="A21" s="2015" t="str">
        <f>'10.Review Research &amp; Surveillen'!A27</f>
        <v>10.2.10</v>
      </c>
      <c r="B21" s="2015" t="str">
        <f>'10.Review Research &amp; Surveillen'!B27</f>
        <v>M.1.3.4</v>
      </c>
      <c r="C21" s="1987" t="str">
        <f>'10.Review Research &amp; Surveillen'!C27</f>
        <v>Baseline/Endline surveys/ Research studies (DTCC)</v>
      </c>
      <c r="D21" s="2015" t="str">
        <f>'10.Review Research &amp; Surveillen'!D27</f>
        <v>NCD</v>
      </c>
      <c r="E21" s="2015" t="str">
        <f>'10.Review Research &amp; Surveillen'!E27</f>
        <v>NTCP</v>
      </c>
      <c r="F21" s="2029">
        <f>'10.Review Research &amp; Surveillen'!F27</f>
        <v>0</v>
      </c>
      <c r="G21" s="2029">
        <f>'10.Review Research &amp; Surveillen'!G27</f>
        <v>0</v>
      </c>
      <c r="H21" s="2029">
        <f>'10.Review Research &amp; Surveillen'!H27</f>
        <v>0</v>
      </c>
      <c r="I21" s="2029">
        <f>'10.Review Research &amp; Surveillen'!I27</f>
        <v>0</v>
      </c>
      <c r="J21" s="2029">
        <f>'10.Review Research &amp; Surveillen'!J27</f>
        <v>0</v>
      </c>
      <c r="K21" s="2029">
        <f>'10.Review Research &amp; Surveillen'!K27</f>
        <v>0</v>
      </c>
      <c r="L21" s="2029">
        <f>'10.Review Research &amp; Surveillen'!L27</f>
        <v>0</v>
      </c>
      <c r="M21" s="162">
        <f>'10.Review Research &amp; Surveillen'!M27</f>
        <v>0</v>
      </c>
      <c r="N21" s="2029">
        <f>'10.Review Research &amp; Surveillen'!N27</f>
        <v>0</v>
      </c>
      <c r="O21" s="162">
        <f>'10.Review Research &amp; Surveillen'!O27</f>
        <v>0</v>
      </c>
      <c r="P21" s="1988">
        <f>'10.Review Research &amp; Surveillen'!P27</f>
        <v>0</v>
      </c>
      <c r="Q21" s="54"/>
      <c r="R21" s="694"/>
    </row>
    <row r="22" spans="1:18" ht="30">
      <c r="A22" s="2015" t="str">
        <f>'10.Review Research &amp; Surveillen'!A28</f>
        <v>10.2.11</v>
      </c>
      <c r="B22" s="2015" t="str">
        <f>'10.Review Research &amp; Surveillen'!B28</f>
        <v>M.3.2.2</v>
      </c>
      <c r="C22" s="1987" t="str">
        <f>'10.Review Research &amp; Surveillen'!C28</f>
        <v>Baseline/Endline surveys/ Research studies (STCC)</v>
      </c>
      <c r="D22" s="2015" t="str">
        <f>'10.Review Research &amp; Surveillen'!D28</f>
        <v>NCD</v>
      </c>
      <c r="E22" s="2015" t="str">
        <f>'10.Review Research &amp; Surveillen'!E28</f>
        <v>NTCP</v>
      </c>
      <c r="F22" s="2029">
        <f>'10.Review Research &amp; Surveillen'!F28</f>
        <v>0</v>
      </c>
      <c r="G22" s="2029">
        <f>'10.Review Research &amp; Surveillen'!G28</f>
        <v>0</v>
      </c>
      <c r="H22" s="2029">
        <f>'10.Review Research &amp; Surveillen'!H28</f>
        <v>0</v>
      </c>
      <c r="I22" s="2029">
        <f>'10.Review Research &amp; Surveillen'!I28</f>
        <v>0</v>
      </c>
      <c r="J22" s="2029">
        <f>'10.Review Research &amp; Surveillen'!J28</f>
        <v>0</v>
      </c>
      <c r="K22" s="2029">
        <f>'10.Review Research &amp; Surveillen'!K28</f>
        <v>0</v>
      </c>
      <c r="L22" s="2029">
        <f>'10.Review Research &amp; Surveillen'!L28</f>
        <v>0</v>
      </c>
      <c r="M22" s="162">
        <f>'10.Review Research &amp; Surveillen'!M28</f>
        <v>0</v>
      </c>
      <c r="N22" s="2029">
        <f>'10.Review Research &amp; Surveillen'!N28</f>
        <v>0</v>
      </c>
      <c r="O22" s="162">
        <f>'10.Review Research &amp; Surveillen'!O28</f>
        <v>0</v>
      </c>
      <c r="P22" s="1988">
        <f>'10.Review Research &amp; Surveillen'!P28</f>
        <v>0</v>
      </c>
      <c r="Q22" s="54"/>
      <c r="R22" s="694"/>
    </row>
    <row r="23" spans="1:18">
      <c r="A23" s="785">
        <f>'11.IEC-BCC Annex'!A7</f>
        <v>11</v>
      </c>
      <c r="B23" s="785"/>
      <c r="C23" s="2007" t="str">
        <f>'11.IEC-BCC Annex'!C7</f>
        <v>IEC/BCC</v>
      </c>
      <c r="D23" s="785"/>
      <c r="E23" s="785"/>
      <c r="F23" s="785"/>
      <c r="G23" s="785"/>
      <c r="H23" s="547"/>
      <c r="I23" s="785"/>
      <c r="J23" s="547"/>
      <c r="K23" s="785"/>
      <c r="L23" s="785"/>
      <c r="M23" s="547"/>
      <c r="N23" s="2069"/>
      <c r="O23" s="2090">
        <f>O24</f>
        <v>10.01</v>
      </c>
      <c r="P23" s="2091"/>
      <c r="Q23" s="2092"/>
      <c r="R23" s="2093">
        <f>R24</f>
        <v>10.01</v>
      </c>
    </row>
    <row r="24" spans="1:18" ht="90">
      <c r="A24" s="2015" t="str">
        <f>'11.IEC-BCC Annex'!A35</f>
        <v>11.4.4</v>
      </c>
      <c r="B24" s="2015" t="str">
        <f>'11-A. IEC Sub-Annex'!B88</f>
        <v>B.10.6.14</v>
      </c>
      <c r="C24" s="1987" t="str">
        <f>'11-A. IEC Sub-Annex'!C88</f>
        <v>IEC/BCC for NTCP</v>
      </c>
      <c r="D24" s="2015" t="str">
        <f>'11-A. IEC Sub-Annex'!D88</f>
        <v>NCD</v>
      </c>
      <c r="E24" s="2015" t="str">
        <f>'11-A. IEC Sub-Annex'!E88</f>
        <v>NTCP</v>
      </c>
      <c r="F24" s="2029">
        <f>'11-A. IEC Sub-Annex'!F88</f>
        <v>0</v>
      </c>
      <c r="G24" s="2029">
        <f>'11-A. IEC Sub-Annex'!G88</f>
        <v>0</v>
      </c>
      <c r="H24" s="2029">
        <f>'11-A. IEC Sub-Annex'!H88</f>
        <v>0</v>
      </c>
      <c r="I24" s="2029">
        <f>'11-A. IEC Sub-Annex'!I88</f>
        <v>0</v>
      </c>
      <c r="J24" s="2029">
        <f>'11-A. IEC Sub-Annex'!J88</f>
        <v>0</v>
      </c>
      <c r="K24" s="2029">
        <f>'11-A. IEC Sub-Annex'!K88</f>
        <v>1</v>
      </c>
      <c r="L24" s="2029">
        <f>'11-A. IEC Sub-Annex'!L88</f>
        <v>77000</v>
      </c>
      <c r="M24" s="162">
        <f>'11-A. IEC Sub-Annex'!M88</f>
        <v>0.77</v>
      </c>
      <c r="N24" s="2029">
        <f>'11-A. IEC Sub-Annex'!N88</f>
        <v>13</v>
      </c>
      <c r="O24" s="162">
        <f>'11-A. IEC Sub-Annex'!O88</f>
        <v>10.01</v>
      </c>
      <c r="P24" s="1988" t="str">
        <f>'11-A. IEC Sub-Annex'!P88</f>
        <v>IEC would be carried out in the state through electronic &amp;print media , radio jingles/spots etc. (12 Distt &amp; 1 at State level ) total amount =10 lakhs</v>
      </c>
      <c r="Q24" s="54" t="s">
        <v>5751</v>
      </c>
      <c r="R24" s="694">
        <v>10.01</v>
      </c>
    </row>
    <row r="25" spans="1:18">
      <c r="A25" s="785">
        <f>'12.Printing Annex'!A7</f>
        <v>12</v>
      </c>
      <c r="B25" s="785"/>
      <c r="C25" s="2007" t="str">
        <f>'12.Printing Annex'!C7</f>
        <v>Printing</v>
      </c>
      <c r="D25" s="785"/>
      <c r="E25" s="785"/>
      <c r="F25" s="785"/>
      <c r="G25" s="785"/>
      <c r="H25" s="547"/>
      <c r="I25" s="785"/>
      <c r="J25" s="547"/>
      <c r="K25" s="785"/>
      <c r="L25" s="785"/>
      <c r="M25" s="547"/>
      <c r="N25" s="2069"/>
      <c r="O25" s="2090">
        <f>SUM(O26:O27)</f>
        <v>0</v>
      </c>
      <c r="P25" s="2091"/>
      <c r="Q25" s="2092"/>
      <c r="R25" s="2093">
        <f>SUM(R26:R27)</f>
        <v>0</v>
      </c>
    </row>
    <row r="26" spans="1:18">
      <c r="A26" s="4095" t="str">
        <f>'12.Printing Annex'!A26</f>
        <v>12.3.1</v>
      </c>
      <c r="B26" s="1975" t="str">
        <f>'12-A. Print Sub-Annex'!B96</f>
        <v>B.10.7.4.11</v>
      </c>
      <c r="C26" s="88" t="str">
        <f>'12-A. Print Sub-Annex'!C96</f>
        <v>Printing of Challan Books under NTCP</v>
      </c>
      <c r="D26" s="1975" t="str">
        <f>'12-A. Print Sub-Annex'!D96</f>
        <v>NCD</v>
      </c>
      <c r="E26" s="1975" t="str">
        <f>'12-A. Print Sub-Annex'!E96</f>
        <v>NTCP</v>
      </c>
      <c r="F26" s="1975">
        <f>'12-A. Print Sub-Annex'!F96</f>
        <v>0</v>
      </c>
      <c r="G26" s="1975">
        <f>'12-A. Print Sub-Annex'!G96</f>
        <v>0</v>
      </c>
      <c r="H26" s="1975">
        <f>'12-A. Print Sub-Annex'!H96</f>
        <v>0</v>
      </c>
      <c r="I26" s="1975">
        <f>'12-A. Print Sub-Annex'!I96</f>
        <v>0</v>
      </c>
      <c r="J26" s="1975">
        <f>'12-A. Print Sub-Annex'!J96</f>
        <v>0</v>
      </c>
      <c r="K26" s="1975">
        <f>'12-A. Print Sub-Annex'!K96</f>
        <v>0</v>
      </c>
      <c r="L26" s="1975">
        <f>'12-A. Print Sub-Annex'!L96</f>
        <v>0</v>
      </c>
      <c r="M26" s="162">
        <f>'12-A. Print Sub-Annex'!M96</f>
        <v>0</v>
      </c>
      <c r="N26" s="1975">
        <f>'12-A. Print Sub-Annex'!N96</f>
        <v>0</v>
      </c>
      <c r="O26" s="162">
        <f>'12-A. Print Sub-Annex'!O96</f>
        <v>0</v>
      </c>
      <c r="P26" s="88">
        <f>'12-A. Print Sub-Annex'!P96</f>
        <v>0</v>
      </c>
      <c r="Q26" s="54"/>
      <c r="R26" s="694"/>
    </row>
    <row r="27" spans="1:18">
      <c r="A27" s="4095"/>
      <c r="B27" s="1975"/>
      <c r="C27" s="88" t="str">
        <f>'12-A. Print Sub-Annex'!C97</f>
        <v>Any other (please specify)</v>
      </c>
      <c r="D27" s="1975" t="str">
        <f>'12-A. Print Sub-Annex'!D97</f>
        <v>NCD</v>
      </c>
      <c r="E27" s="1975" t="str">
        <f>'12-A. Print Sub-Annex'!E97</f>
        <v>NTCP</v>
      </c>
      <c r="F27" s="1975">
        <f>'12-A. Print Sub-Annex'!F97</f>
        <v>0</v>
      </c>
      <c r="G27" s="1975">
        <f>'12-A. Print Sub-Annex'!G97</f>
        <v>0</v>
      </c>
      <c r="H27" s="1975">
        <f>'12-A. Print Sub-Annex'!H97</f>
        <v>0</v>
      </c>
      <c r="I27" s="1975">
        <f>'12-A. Print Sub-Annex'!I97</f>
        <v>0</v>
      </c>
      <c r="J27" s="1975">
        <f>'12-A. Print Sub-Annex'!J97</f>
        <v>0</v>
      </c>
      <c r="K27" s="1975">
        <f>'12-A. Print Sub-Annex'!K97</f>
        <v>0</v>
      </c>
      <c r="L27" s="1975">
        <f>'12-A. Print Sub-Annex'!L97</f>
        <v>0</v>
      </c>
      <c r="M27" s="162">
        <f>'12-A. Print Sub-Annex'!M97</f>
        <v>0</v>
      </c>
      <c r="N27" s="1975">
        <f>'12-A. Print Sub-Annex'!N97</f>
        <v>0</v>
      </c>
      <c r="O27" s="162">
        <f>'12-A. Print Sub-Annex'!O97</f>
        <v>0</v>
      </c>
      <c r="P27" s="88">
        <f>'12-A. Print Sub-Annex'!P97</f>
        <v>0</v>
      </c>
      <c r="Q27" s="54"/>
      <c r="R27" s="694"/>
    </row>
    <row r="28" spans="1:18">
      <c r="A28" s="877">
        <f>'16.PM Annex'!A7</f>
        <v>16</v>
      </c>
      <c r="B28" s="877">
        <f>'16.PM Annex'!B7</f>
        <v>0</v>
      </c>
      <c r="C28" s="876" t="str">
        <f>'16.PM Annex'!C7</f>
        <v>Programme Management</v>
      </c>
      <c r="D28" s="877"/>
      <c r="E28" s="877"/>
      <c r="F28" s="877"/>
      <c r="G28" s="877"/>
      <c r="H28" s="547"/>
      <c r="I28" s="877"/>
      <c r="J28" s="547"/>
      <c r="K28" s="2120"/>
      <c r="L28" s="2120"/>
      <c r="M28" s="547"/>
      <c r="N28" s="2069"/>
      <c r="O28" s="2090">
        <f>SUM(O29:O35)</f>
        <v>0</v>
      </c>
      <c r="P28" s="2091"/>
      <c r="Q28" s="2092"/>
      <c r="R28" s="2093">
        <f>SUM(R29:R35)</f>
        <v>0</v>
      </c>
    </row>
    <row r="29" spans="1:18" ht="30">
      <c r="A29" s="1975" t="str">
        <f>'16-A. PM sub Annex'!A43</f>
        <v>16.1.2.1.22</v>
      </c>
      <c r="B29" s="1975" t="e">
        <f>'16-A. PM sub Annex'!#REF!</f>
        <v>#REF!</v>
      </c>
      <c r="C29" s="88" t="str">
        <f>'16-A. PM sub Annex'!C43</f>
        <v>Monthly meeting with the hospital staff, Weekly FGD with the tobacco users</v>
      </c>
      <c r="D29" s="1975" t="str">
        <f>'16-A. PM sub Annex'!D43</f>
        <v>NCD</v>
      </c>
      <c r="E29" s="1975" t="str">
        <f>'16-A. PM sub Annex'!E43</f>
        <v>HRH&amp;HPIP/NTCP</v>
      </c>
      <c r="F29" s="1975">
        <f>'16-A. PM sub Annex'!F43</f>
        <v>0</v>
      </c>
      <c r="G29" s="1975">
        <f>'16-A. PM sub Annex'!G43</f>
        <v>0</v>
      </c>
      <c r="H29" s="1975">
        <f>'16-A. PM sub Annex'!H43</f>
        <v>0</v>
      </c>
      <c r="I29" s="1975">
        <f>'16-A. PM sub Annex'!I43</f>
        <v>0</v>
      </c>
      <c r="J29" s="1975">
        <f>'16-A. PM sub Annex'!J43</f>
        <v>0</v>
      </c>
      <c r="K29" s="1975">
        <f>'16-A. PM sub Annex'!K43</f>
        <v>0</v>
      </c>
      <c r="L29" s="1975">
        <f>'16-A. PM sub Annex'!L43</f>
        <v>0</v>
      </c>
      <c r="M29" s="162">
        <f>'16-A. PM sub Annex'!M43</f>
        <v>0</v>
      </c>
      <c r="N29" s="1975">
        <f>'16-A. PM sub Annex'!N43</f>
        <v>0</v>
      </c>
      <c r="O29" s="162">
        <f>'16-A. PM sub Annex'!O43</f>
        <v>0</v>
      </c>
      <c r="P29" s="88">
        <f>'16-A. PM sub Annex'!P43</f>
        <v>0</v>
      </c>
      <c r="Q29" s="54"/>
      <c r="R29" s="694"/>
    </row>
    <row r="30" spans="1:18">
      <c r="A30" s="1975" t="str">
        <f>'16-A. PM sub Annex'!A87</f>
        <v>16.1.3.1.18.2</v>
      </c>
      <c r="B30" s="1975" t="e">
        <f>'16-A. PM sub Annex'!#REF!</f>
        <v>#REF!</v>
      </c>
      <c r="C30" s="88" t="str">
        <f>'16-A. PM sub Annex'!C87</f>
        <v>Hiring of Operational Vehicle under NTCP</v>
      </c>
      <c r="D30" s="1975" t="str">
        <f>'16-A. PM sub Annex'!D87</f>
        <v>NCD</v>
      </c>
      <c r="E30" s="1975" t="str">
        <f>'16-A. PM sub Annex'!E87</f>
        <v>HRH&amp;HPIP/NTCP</v>
      </c>
      <c r="F30" s="1975">
        <f>'16-A. PM sub Annex'!F87</f>
        <v>0</v>
      </c>
      <c r="G30" s="1975">
        <f>'16-A. PM sub Annex'!G87</f>
        <v>0</v>
      </c>
      <c r="H30" s="1975">
        <f>'16-A. PM sub Annex'!H87</f>
        <v>0</v>
      </c>
      <c r="I30" s="1975">
        <f>'16-A. PM sub Annex'!I87</f>
        <v>0</v>
      </c>
      <c r="J30" s="1975">
        <f>'16-A. PM sub Annex'!J87</f>
        <v>0</v>
      </c>
      <c r="K30" s="1975">
        <f>'16-A. PM sub Annex'!K87</f>
        <v>0</v>
      </c>
      <c r="L30" s="1975">
        <f>'16-A. PM sub Annex'!L87</f>
        <v>0</v>
      </c>
      <c r="M30" s="162">
        <f>'16-A. PM sub Annex'!M87</f>
        <v>0</v>
      </c>
      <c r="N30" s="1975">
        <f>'16-A. PM sub Annex'!N87</f>
        <v>0</v>
      </c>
      <c r="O30" s="162">
        <f>'16-A. PM sub Annex'!O87</f>
        <v>0</v>
      </c>
      <c r="P30" s="88">
        <f>'16-A. PM sub Annex'!P87</f>
        <v>0</v>
      </c>
      <c r="Q30" s="54"/>
      <c r="R30" s="694"/>
    </row>
    <row r="31" spans="1:18">
      <c r="A31" s="1975" t="str">
        <f>'16-A. PM sub Annex'!A108</f>
        <v>16.1.3.3.14</v>
      </c>
      <c r="B31" s="1975" t="e">
        <f>'16-A. PM sub Annex'!#REF!</f>
        <v>#REF!</v>
      </c>
      <c r="C31" s="88" t="str">
        <f>'16-A. PM sub Annex'!C108</f>
        <v>Enforcement Squads</v>
      </c>
      <c r="D31" s="1975" t="str">
        <f>'16-A. PM sub Annex'!D108</f>
        <v>NCD</v>
      </c>
      <c r="E31" s="1975" t="str">
        <f>'16-A. PM sub Annex'!E108</f>
        <v>HRH&amp;HPIP/NTCP</v>
      </c>
      <c r="F31" s="1975">
        <f>'16-A. PM sub Annex'!F108</f>
        <v>1</v>
      </c>
      <c r="G31" s="1975">
        <f>'16-A. PM sub Annex'!G108</f>
        <v>0</v>
      </c>
      <c r="H31" s="1975">
        <f>'16-A. PM sub Annex'!H108</f>
        <v>0.5</v>
      </c>
      <c r="I31" s="1975">
        <f>'16-A. PM sub Annex'!I108</f>
        <v>0.34</v>
      </c>
      <c r="J31" s="1975">
        <f>'16-A. PM sub Annex'!J108</f>
        <v>0.16</v>
      </c>
      <c r="K31" s="1975">
        <f>'16-A. PM sub Annex'!K108</f>
        <v>0</v>
      </c>
      <c r="L31" s="1975">
        <f>'16-A. PM sub Annex'!L108</f>
        <v>0</v>
      </c>
      <c r="M31" s="162">
        <f>'16-A. PM sub Annex'!M108</f>
        <v>0</v>
      </c>
      <c r="N31" s="1975">
        <f>'16-A. PM sub Annex'!N108</f>
        <v>0</v>
      </c>
      <c r="O31" s="162">
        <f>'16-A. PM sub Annex'!O108</f>
        <v>0</v>
      </c>
      <c r="P31" s="88">
        <f>'16-A. PM sub Annex'!P108</f>
        <v>0</v>
      </c>
      <c r="Q31" s="54"/>
      <c r="R31" s="694"/>
    </row>
    <row r="32" spans="1:18">
      <c r="A32" s="1975" t="str">
        <f>'16-A. PM sub Annex'!A131</f>
        <v>16.1.4.1.11</v>
      </c>
      <c r="B32" s="1975" t="e">
        <f>'16-A. PM sub Annex'!#REF!</f>
        <v>#REF!</v>
      </c>
      <c r="C32" s="88" t="str">
        <f>'16-A. PM sub Annex'!C131</f>
        <v>Tobacco Cessation Centre (TCC): Office Expenses</v>
      </c>
      <c r="D32" s="1975" t="str">
        <f>'16-A. PM sub Annex'!D131</f>
        <v>NCD</v>
      </c>
      <c r="E32" s="1975" t="str">
        <f>'16-A. PM sub Annex'!E131</f>
        <v>HRH&amp;HPIP/NTCP</v>
      </c>
      <c r="F32" s="1975">
        <f>'16-A. PM sub Annex'!F131</f>
        <v>0</v>
      </c>
      <c r="G32" s="1975">
        <f>'16-A. PM sub Annex'!G131</f>
        <v>0</v>
      </c>
      <c r="H32" s="1975">
        <f>'16-A. PM sub Annex'!H131</f>
        <v>0</v>
      </c>
      <c r="I32" s="1975">
        <f>'16-A. PM sub Annex'!I131</f>
        <v>0</v>
      </c>
      <c r="J32" s="1975">
        <f>'16-A. PM sub Annex'!J131</f>
        <v>0</v>
      </c>
      <c r="K32" s="1975">
        <f>'16-A. PM sub Annex'!K131</f>
        <v>0</v>
      </c>
      <c r="L32" s="1975">
        <f>'16-A. PM sub Annex'!L131</f>
        <v>0</v>
      </c>
      <c r="M32" s="162">
        <f>'16-A. PM sub Annex'!M131</f>
        <v>0</v>
      </c>
      <c r="N32" s="1975">
        <f>'16-A. PM sub Annex'!N131</f>
        <v>0</v>
      </c>
      <c r="O32" s="162">
        <f>'16-A. PM sub Annex'!O131</f>
        <v>0</v>
      </c>
      <c r="P32" s="88">
        <f>'16-A. PM sub Annex'!P131</f>
        <v>0</v>
      </c>
      <c r="Q32" s="54"/>
      <c r="R32" s="694"/>
    </row>
    <row r="33" spans="1:18" ht="30">
      <c r="A33" s="1975" t="str">
        <f>'16-A. PM sub Annex'!A132</f>
        <v>16.1.4.1.12</v>
      </c>
      <c r="B33" s="1975" t="e">
        <f>'16-A. PM sub Annex'!#REF!</f>
        <v>#REF!</v>
      </c>
      <c r="C33" s="88" t="str">
        <f>'16-A. PM sub Annex'!C132</f>
        <v>State Tobacco Control Cell (STCC): Misc./Office Expenses</v>
      </c>
      <c r="D33" s="1975" t="str">
        <f>'16-A. PM sub Annex'!D132</f>
        <v>NCD</v>
      </c>
      <c r="E33" s="1975" t="str">
        <f>'16-A. PM sub Annex'!E132</f>
        <v>HRH&amp;HPIP/NTCP</v>
      </c>
      <c r="F33" s="1975">
        <f>'16-A. PM sub Annex'!F132</f>
        <v>1</v>
      </c>
      <c r="G33" s="1975">
        <f>'16-A. PM sub Annex'!G132</f>
        <v>0</v>
      </c>
      <c r="H33" s="1975">
        <f>'16-A. PM sub Annex'!H132</f>
        <v>1</v>
      </c>
      <c r="I33" s="1975">
        <f>'16-A. PM sub Annex'!I132</f>
        <v>0</v>
      </c>
      <c r="J33" s="1975">
        <f>'16-A. PM sub Annex'!J132</f>
        <v>0</v>
      </c>
      <c r="K33" s="1975">
        <f>'16-A. PM sub Annex'!K132</f>
        <v>0</v>
      </c>
      <c r="L33" s="1975">
        <f>'16-A. PM sub Annex'!L132</f>
        <v>0</v>
      </c>
      <c r="M33" s="162">
        <f>'16-A. PM sub Annex'!M132</f>
        <v>0</v>
      </c>
      <c r="N33" s="1975">
        <f>'16-A. PM sub Annex'!N132</f>
        <v>0</v>
      </c>
      <c r="O33" s="162">
        <f>'16-A. PM sub Annex'!O132</f>
        <v>0</v>
      </c>
      <c r="P33" s="88">
        <f>'16-A. PM sub Annex'!P132</f>
        <v>0</v>
      </c>
      <c r="Q33" s="54"/>
      <c r="R33" s="694"/>
    </row>
    <row r="34" spans="1:18" ht="30">
      <c r="A34" s="1975" t="str">
        <f>'16-A. PM sub Annex'!A144</f>
        <v>16.1.4.2.8</v>
      </c>
      <c r="B34" s="1975" t="e">
        <f>'16-A. PM sub Annex'!#REF!</f>
        <v>#REF!</v>
      </c>
      <c r="C34" s="88" t="str">
        <f>'16-A. PM sub Annex'!C144</f>
        <v>District Tobacco Control Cell (DTCC): Misc./Office Expenses</v>
      </c>
      <c r="D34" s="1975" t="str">
        <f>'16-A. PM sub Annex'!D144</f>
        <v>NCD</v>
      </c>
      <c r="E34" s="1975" t="str">
        <f>'16-A. PM sub Annex'!E144</f>
        <v>HRH&amp;HPIP/NTCP</v>
      </c>
      <c r="F34" s="1975">
        <f>'16-A. PM sub Annex'!F144</f>
        <v>0</v>
      </c>
      <c r="G34" s="1975">
        <f>'16-A. PM sub Annex'!G144</f>
        <v>0</v>
      </c>
      <c r="H34" s="1975">
        <f>'16-A. PM sub Annex'!H144</f>
        <v>0</v>
      </c>
      <c r="I34" s="1975">
        <f>'16-A. PM sub Annex'!I144</f>
        <v>0</v>
      </c>
      <c r="J34" s="1975">
        <f>'16-A. PM sub Annex'!J144</f>
        <v>0</v>
      </c>
      <c r="K34" s="1975">
        <f>'16-A. PM sub Annex'!K144</f>
        <v>0</v>
      </c>
      <c r="L34" s="1975">
        <f>'16-A. PM sub Annex'!L144</f>
        <v>0</v>
      </c>
      <c r="M34" s="162">
        <f>'16-A. PM sub Annex'!M144</f>
        <v>0</v>
      </c>
      <c r="N34" s="1975">
        <f>'16-A. PM sub Annex'!N144</f>
        <v>0</v>
      </c>
      <c r="O34" s="162">
        <f>'16-A. PM sub Annex'!O144</f>
        <v>0</v>
      </c>
      <c r="P34" s="88">
        <f>'16-A. PM sub Annex'!P144</f>
        <v>0</v>
      </c>
      <c r="Q34" s="54"/>
      <c r="R34" s="694"/>
    </row>
    <row r="35" spans="1:18">
      <c r="A35" s="1975" t="str">
        <f>'16-A. PM sub Annex'!A172</f>
        <v>16.1.5.3.13</v>
      </c>
      <c r="B35" s="1975" t="e">
        <f>'16-A. PM sub Annex'!#REF!</f>
        <v>#REF!</v>
      </c>
      <c r="C35" s="88" t="str">
        <f>'16-A. PM sub Annex'!C172</f>
        <v>Setting up of STCC</v>
      </c>
      <c r="D35" s="1975" t="str">
        <f>'16-A. PM sub Annex'!D172</f>
        <v>NCD</v>
      </c>
      <c r="E35" s="1975" t="str">
        <f>'16-A. PM sub Annex'!E172</f>
        <v>HRH&amp;HPIP/NTCP</v>
      </c>
      <c r="F35" s="1975">
        <f>'16-A. PM sub Annex'!F172</f>
        <v>0</v>
      </c>
      <c r="G35" s="1975">
        <f>'16-A. PM sub Annex'!G172</f>
        <v>0</v>
      </c>
      <c r="H35" s="1975">
        <f>'16-A. PM sub Annex'!H172</f>
        <v>0</v>
      </c>
      <c r="I35" s="1975">
        <f>'16-A. PM sub Annex'!I172</f>
        <v>0</v>
      </c>
      <c r="J35" s="1975">
        <f>'16-A. PM sub Annex'!J172</f>
        <v>0</v>
      </c>
      <c r="K35" s="1975">
        <f>'16-A. PM sub Annex'!K172</f>
        <v>0</v>
      </c>
      <c r="L35" s="1975">
        <f>'16-A. PM sub Annex'!L172</f>
        <v>0</v>
      </c>
      <c r="M35" s="162">
        <f>'16-A. PM sub Annex'!M172</f>
        <v>0</v>
      </c>
      <c r="N35" s="1975">
        <f>'16-A. PM sub Annex'!N172</f>
        <v>0</v>
      </c>
      <c r="O35" s="162">
        <f>'16-A. PM sub Annex'!O172</f>
        <v>0</v>
      </c>
      <c r="P35" s="88">
        <f>'16-A. PM sub Annex'!P172</f>
        <v>0</v>
      </c>
      <c r="Q35" s="54"/>
      <c r="R35" s="694"/>
    </row>
    <row r="36" spans="1:18">
      <c r="Q36" s="2016"/>
      <c r="R36" s="599"/>
    </row>
    <row r="37" spans="1:18">
      <c r="Q37" s="2016"/>
      <c r="R37" s="599"/>
    </row>
    <row r="38" spans="1:18">
      <c r="Q38" s="2016"/>
      <c r="R38" s="599"/>
    </row>
    <row r="39" spans="1:18">
      <c r="Q39" s="2016"/>
      <c r="R39" s="599"/>
    </row>
    <row r="40" spans="1:18">
      <c r="Q40" s="2016"/>
      <c r="R40" s="599"/>
    </row>
    <row r="41" spans="1:18">
      <c r="Q41" s="2016"/>
      <c r="R41" s="599"/>
    </row>
  </sheetData>
  <sheetProtection sheet="1" formatCells="0" formatColumns="0" formatRows="0" autoFilter="0"/>
  <autoFilter ref="A5:M35"/>
  <mergeCells count="13">
    <mergeCell ref="A12:A14"/>
    <mergeCell ref="A15:A16"/>
    <mergeCell ref="A18:A19"/>
    <mergeCell ref="A26:A27"/>
    <mergeCell ref="Q4:R4"/>
    <mergeCell ref="E4:E5"/>
    <mergeCell ref="F4:J4"/>
    <mergeCell ref="K4:P4"/>
    <mergeCell ref="A1:C1"/>
    <mergeCell ref="A4:A5"/>
    <mergeCell ref="B4:B5"/>
    <mergeCell ref="C4:C5"/>
    <mergeCell ref="D4:D5"/>
  </mergeCells>
  <phoneticPr fontId="68"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sheetPr codeName="Sheet39">
    <tabColor theme="7" tint="0.79998168889431442"/>
  </sheetPr>
  <dimension ref="A1:R73"/>
  <sheetViews>
    <sheetView zoomScale="80" zoomScaleNormal="80" workbookViewId="0">
      <pane xSplit="3" ySplit="5" topLeftCell="L57" activePane="bottomRight" state="frozen"/>
      <selection activeCell="A4" sqref="A4:R11"/>
      <selection pane="topRight" activeCell="A4" sqref="A4:R11"/>
      <selection pane="bottomLeft" activeCell="A4" sqref="A4:R11"/>
      <selection pane="bottomRight" activeCell="Q75" sqref="Q75"/>
    </sheetView>
  </sheetViews>
  <sheetFormatPr defaultColWidth="11.42578125" defaultRowHeight="15"/>
  <cols>
    <col min="1" max="1" width="11.7109375" style="904" bestFit="1" customWidth="1"/>
    <col min="2" max="2" width="19" style="904" customWidth="1"/>
    <col min="3" max="3" width="39.7109375" style="904" bestFit="1" customWidth="1"/>
    <col min="4" max="4" width="6.42578125" style="860" bestFit="1" customWidth="1"/>
    <col min="5" max="5" width="19.140625" style="868" bestFit="1" customWidth="1"/>
    <col min="6" max="6" width="25.42578125" style="868" customWidth="1"/>
    <col min="7" max="7" width="21.5703125" style="868" bestFit="1" customWidth="1"/>
    <col min="8" max="8" width="23.7109375" style="978" bestFit="1" customWidth="1"/>
    <col min="9" max="9" width="16.7109375" style="868" bestFit="1" customWidth="1"/>
    <col min="10" max="10" width="17.140625" style="978" bestFit="1" customWidth="1"/>
    <col min="11" max="11" width="18" style="868" customWidth="1"/>
    <col min="12" max="12" width="13" style="868" customWidth="1"/>
    <col min="13" max="13" width="17.85546875" style="978" bestFit="1" customWidth="1"/>
    <col min="14" max="14" width="11.42578125" style="868"/>
    <col min="15" max="15" width="13" style="2823" customWidth="1"/>
    <col min="16" max="16" width="40" style="904" customWidth="1"/>
    <col min="17" max="17" width="40.42578125" style="904" customWidth="1"/>
    <col min="18" max="18" width="13.42578125" style="2823" customWidth="1"/>
    <col min="19" max="16384" width="11.42578125" style="860"/>
  </cols>
  <sheetData>
    <row r="1" spans="1:18" s="963" customFormat="1">
      <c r="A1" s="4113" t="s">
        <v>2096</v>
      </c>
      <c r="B1" s="4113"/>
      <c r="C1" s="4113"/>
      <c r="D1" s="2121"/>
      <c r="E1" s="915"/>
      <c r="F1" s="2122" t="s">
        <v>3848</v>
      </c>
      <c r="G1" s="1841"/>
      <c r="H1" s="1841"/>
      <c r="I1" s="1841"/>
      <c r="J1" s="1841"/>
      <c r="K1" s="1841"/>
      <c r="L1" s="1841"/>
      <c r="M1" s="1841"/>
      <c r="N1" s="2096"/>
      <c r="O1" s="2819"/>
      <c r="P1" s="2098"/>
      <c r="Q1" s="2098"/>
      <c r="R1" s="2819"/>
    </row>
    <row r="2" spans="1:18" s="2127" customFormat="1">
      <c r="A2" s="1842" t="str">
        <f>HYPERLINK("#Index!F3", "Index Pg")</f>
        <v>Index Pg</v>
      </c>
      <c r="B2" s="1379" t="str">
        <f>HYPERLINK("#'Summary of Abstracts'!A2", "Summary of Abst.")</f>
        <v>Summary of Abst.</v>
      </c>
      <c r="C2" s="864" t="str">
        <f>HYPERLINK("#'Budget Summary I'!A1:AL1", "Budget Summary I")</f>
        <v>Budget Summary I</v>
      </c>
      <c r="D2" s="2123"/>
      <c r="E2" s="2124" t="s">
        <v>4460</v>
      </c>
      <c r="F2" s="161">
        <f>R56+R51+R46+R40+R35+R32+R17+R15+R6+R13+R61</f>
        <v>250.27</v>
      </c>
      <c r="G2" s="1145"/>
      <c r="H2" s="1145"/>
      <c r="I2" s="1145"/>
      <c r="J2" s="1145"/>
      <c r="K2" s="1145"/>
      <c r="L2" s="1145"/>
      <c r="M2" s="1145"/>
      <c r="N2" s="2125"/>
      <c r="O2" s="2820"/>
      <c r="P2" s="2126"/>
      <c r="Q2" s="2126"/>
      <c r="R2" s="2820"/>
    </row>
    <row r="3" spans="1:18" s="2127" customFormat="1">
      <c r="A3" s="1846"/>
      <c r="B3" s="1847"/>
      <c r="C3" s="1916" t="str">
        <f>HYPERLINK("#'Budget Summary II'!A3:B5", "Budget Summary II")</f>
        <v>Budget Summary II</v>
      </c>
      <c r="D3" s="2123"/>
      <c r="E3" s="2128" t="s">
        <v>4461</v>
      </c>
      <c r="F3" s="786">
        <f>O56+O51+O46+O40+O35+O32+O17+O15+O6+O13+O61</f>
        <v>300.27</v>
      </c>
      <c r="G3" s="1145"/>
      <c r="H3" s="1145"/>
      <c r="I3" s="1145"/>
      <c r="J3" s="1145"/>
      <c r="K3" s="1145"/>
      <c r="L3" s="1145"/>
      <c r="M3" s="1145"/>
      <c r="N3" s="2125"/>
      <c r="O3" s="2820"/>
      <c r="P3" s="2126"/>
      <c r="Q3" s="2126"/>
      <c r="R3" s="2820"/>
    </row>
    <row r="4" spans="1:18" s="868" customFormat="1">
      <c r="A4" s="3801" t="s">
        <v>48</v>
      </c>
      <c r="B4" s="3801" t="s">
        <v>49</v>
      </c>
      <c r="C4" s="3801" t="s">
        <v>50</v>
      </c>
      <c r="D4" s="3801" t="s">
        <v>51</v>
      </c>
      <c r="E4" s="3801" t="s">
        <v>52</v>
      </c>
      <c r="F4" s="3866" t="s">
        <v>4478</v>
      </c>
      <c r="G4" s="3866"/>
      <c r="H4" s="3866"/>
      <c r="I4" s="3866"/>
      <c r="J4" s="3866"/>
      <c r="K4" s="3866" t="s">
        <v>4484</v>
      </c>
      <c r="L4" s="3866"/>
      <c r="M4" s="3866"/>
      <c r="N4" s="3866"/>
      <c r="O4" s="3866"/>
      <c r="P4" s="3866"/>
      <c r="Q4" s="3801" t="s">
        <v>4514</v>
      </c>
      <c r="R4" s="3801"/>
    </row>
    <row r="5" spans="1:18" s="868" customFormat="1" ht="45">
      <c r="A5" s="3801"/>
      <c r="B5" s="3801"/>
      <c r="C5" s="3801"/>
      <c r="D5" s="3801"/>
      <c r="E5" s="3801"/>
      <c r="F5" s="918" t="s">
        <v>4479</v>
      </c>
      <c r="G5" s="918" t="s">
        <v>4482</v>
      </c>
      <c r="H5" s="918" t="s">
        <v>4480</v>
      </c>
      <c r="I5" s="918" t="s">
        <v>4483</v>
      </c>
      <c r="J5" s="918" t="s">
        <v>2448</v>
      </c>
      <c r="K5" s="919" t="s">
        <v>53</v>
      </c>
      <c r="L5" s="919" t="s">
        <v>54</v>
      </c>
      <c r="M5" s="920" t="s">
        <v>55</v>
      </c>
      <c r="N5" s="919" t="s">
        <v>56</v>
      </c>
      <c r="O5" s="2821" t="s">
        <v>57</v>
      </c>
      <c r="P5" s="1924" t="s">
        <v>58</v>
      </c>
      <c r="Q5" s="1925" t="s">
        <v>2450</v>
      </c>
      <c r="R5" s="2824" t="s">
        <v>4515</v>
      </c>
    </row>
    <row r="6" spans="1:18">
      <c r="A6" s="872">
        <f>'1.SD Facility Based Annex'!A7</f>
        <v>1</v>
      </c>
      <c r="B6" s="872"/>
      <c r="C6" s="872" t="str">
        <f>'1.SD Facility Based Annex'!C7</f>
        <v>Service Delivery - Facility Based</v>
      </c>
      <c r="D6" s="872"/>
      <c r="E6" s="872"/>
      <c r="F6" s="934"/>
      <c r="G6" s="934"/>
      <c r="H6" s="934"/>
      <c r="I6" s="934"/>
      <c r="J6" s="934"/>
      <c r="K6" s="934"/>
      <c r="L6" s="934"/>
      <c r="M6" s="547"/>
      <c r="N6" s="934"/>
      <c r="O6" s="2817">
        <f>SUM(O7:O12)</f>
        <v>6</v>
      </c>
      <c r="P6" s="872"/>
      <c r="Q6" s="872"/>
      <c r="R6" s="2817">
        <f>SUM(R7:R12)</f>
        <v>6</v>
      </c>
    </row>
    <row r="7" spans="1:18" ht="30">
      <c r="A7" s="88" t="str">
        <f>+'1.SD Facility Based Annex'!A41</f>
        <v>1.1.6.1</v>
      </c>
      <c r="B7" s="88" t="str">
        <f>+'1.SD Facility Based Annex'!B41</f>
        <v>O.2.8.2</v>
      </c>
      <c r="C7" s="88" t="str">
        <f>+'1.SD Facility Based Annex'!C41</f>
        <v>Integration with AYUSH at District NCD Cell / Clinic</v>
      </c>
      <c r="D7" s="88" t="str">
        <f>+'1.SD Facility Based Annex'!D41</f>
        <v>NCD</v>
      </c>
      <c r="E7" s="88" t="str">
        <f>+'1.SD Facility Based Annex'!E41</f>
        <v>NPCDCS</v>
      </c>
      <c r="F7" s="1975">
        <f>+'1.SD Facility Based Annex'!F41</f>
        <v>0</v>
      </c>
      <c r="G7" s="1975">
        <f>+'1.SD Facility Based Annex'!G41</f>
        <v>0</v>
      </c>
      <c r="H7" s="1975">
        <f>+'1.SD Facility Based Annex'!H41</f>
        <v>0</v>
      </c>
      <c r="I7" s="1975">
        <f>+'1.SD Facility Based Annex'!I41</f>
        <v>0</v>
      </c>
      <c r="J7" s="1975">
        <f>+'1.SD Facility Based Annex'!J41</f>
        <v>0</v>
      </c>
      <c r="K7" s="1975">
        <f>+'1.SD Facility Based Annex'!K41</f>
        <v>0</v>
      </c>
      <c r="L7" s="1975">
        <f>+'1.SD Facility Based Annex'!L41</f>
        <v>0</v>
      </c>
      <c r="M7" s="162">
        <f>+'1.SD Facility Based Annex'!M41</f>
        <v>0</v>
      </c>
      <c r="N7" s="1975">
        <f>+'1.SD Facility Based Annex'!N41</f>
        <v>0</v>
      </c>
      <c r="O7" s="2822">
        <f>+'1.SD Facility Based Annex'!O41</f>
        <v>0</v>
      </c>
      <c r="P7" s="88">
        <f>+'1.SD Facility Based Annex'!P41</f>
        <v>0</v>
      </c>
      <c r="Q7" s="54"/>
      <c r="R7" s="2825"/>
    </row>
    <row r="8" spans="1:18">
      <c r="A8" s="88" t="str">
        <f>+'1.SD Facility Based Annex'!A42</f>
        <v>1.1.6.2</v>
      </c>
      <c r="B8" s="88" t="str">
        <f>+'1.SD Facility Based Annex'!B42</f>
        <v>O.2.8.3</v>
      </c>
      <c r="C8" s="88" t="str">
        <f>+'1.SD Facility Based Annex'!C42</f>
        <v>Integration with AYUSH at CHC NCD Clinic</v>
      </c>
      <c r="D8" s="88" t="str">
        <f>+'1.SD Facility Based Annex'!D42</f>
        <v>NCD</v>
      </c>
      <c r="E8" s="88" t="str">
        <f>+'1.SD Facility Based Annex'!E42</f>
        <v>NPCDCS</v>
      </c>
      <c r="F8" s="1975">
        <f>+'1.SD Facility Based Annex'!F42</f>
        <v>0</v>
      </c>
      <c r="G8" s="1975">
        <f>+'1.SD Facility Based Annex'!G42</f>
        <v>0</v>
      </c>
      <c r="H8" s="1975">
        <f>+'1.SD Facility Based Annex'!H42</f>
        <v>0</v>
      </c>
      <c r="I8" s="1975">
        <f>+'1.SD Facility Based Annex'!I42</f>
        <v>0</v>
      </c>
      <c r="J8" s="1975">
        <f>+'1.SD Facility Based Annex'!J42</f>
        <v>0</v>
      </c>
      <c r="K8" s="1975">
        <f>+'1.SD Facility Based Annex'!K42</f>
        <v>0</v>
      </c>
      <c r="L8" s="1975">
        <f>+'1.SD Facility Based Annex'!L42</f>
        <v>0</v>
      </c>
      <c r="M8" s="162">
        <f>+'1.SD Facility Based Annex'!M42</f>
        <v>0</v>
      </c>
      <c r="N8" s="1975">
        <f>+'1.SD Facility Based Annex'!N42</f>
        <v>0</v>
      </c>
      <c r="O8" s="2822">
        <f>+'1.SD Facility Based Annex'!O42</f>
        <v>0</v>
      </c>
      <c r="P8" s="88">
        <f>+'1.SD Facility Based Annex'!P42</f>
        <v>0</v>
      </c>
      <c r="Q8" s="54"/>
      <c r="R8" s="2825"/>
    </row>
    <row r="9" spans="1:18" ht="105">
      <c r="A9" s="88" t="str">
        <f>+'1.SD Facility Based Annex'!A91</f>
        <v>1.3.1.8</v>
      </c>
      <c r="B9" s="88" t="str">
        <f>+'1.SD Facility Based Annex'!B91</f>
        <v>O.2.2.1.3/ O1.1.3.1</v>
      </c>
      <c r="C9" s="88" t="str">
        <f>+'1.SD Facility Based Annex'!C91</f>
        <v>District NCD Clinic: Strengthening of lab, Mobility, Miscellaneous &amp; Contingencies</v>
      </c>
      <c r="D9" s="88" t="str">
        <f>+'1.SD Facility Based Annex'!D91</f>
        <v>NCD</v>
      </c>
      <c r="E9" s="88" t="str">
        <f>+'1.SD Facility Based Annex'!E91</f>
        <v>NPCDCS</v>
      </c>
      <c r="F9" s="1975">
        <f>+'1.SD Facility Based Annex'!F91</f>
        <v>12</v>
      </c>
      <c r="G9" s="1975">
        <f>+'1.SD Facility Based Annex'!G91</f>
        <v>2.5499999999999998</v>
      </c>
      <c r="H9" s="1975">
        <f>+'1.SD Facility Based Annex'!H91</f>
        <v>12</v>
      </c>
      <c r="I9" s="1975">
        <f>+'1.SD Facility Based Annex'!I91</f>
        <v>0.03</v>
      </c>
      <c r="J9" s="1975">
        <f>+'1.SD Facility Based Annex'!J91</f>
        <v>11.97</v>
      </c>
      <c r="K9" s="1975">
        <f>+'1.SD Facility Based Annex'!K91</f>
        <v>1</v>
      </c>
      <c r="L9" s="1975">
        <f>+'1.SD Facility Based Annex'!L91</f>
        <v>50000</v>
      </c>
      <c r="M9" s="162">
        <f>+'1.SD Facility Based Annex'!M91</f>
        <v>0.5</v>
      </c>
      <c r="N9" s="1975">
        <f>+'1.SD Facility Based Annex'!N91</f>
        <v>12</v>
      </c>
      <c r="O9" s="2822">
        <f>+'1.SD Facility Based Annex'!O91</f>
        <v>6</v>
      </c>
      <c r="P9" s="88" t="str">
        <f>+'1.SD Facility Based Annex'!P91</f>
        <v xml:space="preserve">Strengthning of the labs , mobility ,misc &amp; contingencies in all 12 DH (including 10 integrtaed Nirog Clinics) in the state. The funds will be utlised mainly for minor repair works in the labs and for ensuring good elect. &amp;  water supply and ventilation etc. </v>
      </c>
      <c r="Q9" s="54" t="s">
        <v>5905</v>
      </c>
      <c r="R9" s="2825">
        <v>6</v>
      </c>
    </row>
    <row r="10" spans="1:18" ht="30">
      <c r="A10" s="88" t="str">
        <f>+'1.SD Facility Based Annex'!A92</f>
        <v>1.3.1.9</v>
      </c>
      <c r="B10" s="88" t="str">
        <f>+'1.SD Facility Based Annex'!B92</f>
        <v>O.2.2.1.4</v>
      </c>
      <c r="C10" s="88" t="str">
        <f>+'1.SD Facility Based Annex'!C92</f>
        <v>CHC NCD Clinic: Mobility , Miscellaneous &amp; Contingencies</v>
      </c>
      <c r="D10" s="88" t="str">
        <f>+'1.SD Facility Based Annex'!D92</f>
        <v>NCD</v>
      </c>
      <c r="E10" s="88" t="str">
        <f>+'1.SD Facility Based Annex'!E92</f>
        <v>NPCDCS</v>
      </c>
      <c r="F10" s="1975">
        <f>+'1.SD Facility Based Annex'!F92</f>
        <v>0</v>
      </c>
      <c r="G10" s="1975">
        <f>+'1.SD Facility Based Annex'!G92</f>
        <v>0</v>
      </c>
      <c r="H10" s="1975">
        <f>+'1.SD Facility Based Annex'!H92</f>
        <v>0</v>
      </c>
      <c r="I10" s="1975">
        <f>+'1.SD Facility Based Annex'!I92</f>
        <v>0</v>
      </c>
      <c r="J10" s="1975">
        <f>+'1.SD Facility Based Annex'!J92</f>
        <v>0</v>
      </c>
      <c r="K10" s="1975">
        <f>+'1.SD Facility Based Annex'!K92</f>
        <v>0</v>
      </c>
      <c r="L10" s="1975">
        <f>+'1.SD Facility Based Annex'!L92</f>
        <v>0</v>
      </c>
      <c r="M10" s="162">
        <f>+'1.SD Facility Based Annex'!M92</f>
        <v>0</v>
      </c>
      <c r="N10" s="1975">
        <f>+'1.SD Facility Based Annex'!N92</f>
        <v>0</v>
      </c>
      <c r="O10" s="2822">
        <f>+'1.SD Facility Based Annex'!O92</f>
        <v>0</v>
      </c>
      <c r="P10" s="88">
        <f>+'1.SD Facility Based Annex'!P92</f>
        <v>0</v>
      </c>
      <c r="Q10" s="54"/>
      <c r="R10" s="2825"/>
    </row>
    <row r="11" spans="1:18" ht="30">
      <c r="A11" s="88" t="str">
        <f>+'1.SD Facility Based Annex'!A93</f>
        <v>1.3.1.10</v>
      </c>
      <c r="B11" s="88" t="str">
        <f>+'1.SD Facility Based Annex'!B93</f>
        <v>O.2.2.1.5</v>
      </c>
      <c r="C11" s="88" t="str">
        <f>+'1.SD Facility Based Annex'!C93</f>
        <v>PHC level: Mobility, Miscellaneous &amp; Contingencies</v>
      </c>
      <c r="D11" s="88" t="str">
        <f>+'1.SD Facility Based Annex'!D93</f>
        <v>NCD</v>
      </c>
      <c r="E11" s="88" t="str">
        <f>+'1.SD Facility Based Annex'!E93</f>
        <v>NPCDCS</v>
      </c>
      <c r="F11" s="1975">
        <f>+'1.SD Facility Based Annex'!F93</f>
        <v>0</v>
      </c>
      <c r="G11" s="1975">
        <f>+'1.SD Facility Based Annex'!G93</f>
        <v>0</v>
      </c>
      <c r="H11" s="1975">
        <f>+'1.SD Facility Based Annex'!H93</f>
        <v>0</v>
      </c>
      <c r="I11" s="1975">
        <f>+'1.SD Facility Based Annex'!I93</f>
        <v>0</v>
      </c>
      <c r="J11" s="1975">
        <f>+'1.SD Facility Based Annex'!J93</f>
        <v>0</v>
      </c>
      <c r="K11" s="1975">
        <f>+'1.SD Facility Based Annex'!K93</f>
        <v>0</v>
      </c>
      <c r="L11" s="1975">
        <f>+'1.SD Facility Based Annex'!L93</f>
        <v>0</v>
      </c>
      <c r="M11" s="162">
        <f>+'1.SD Facility Based Annex'!M93</f>
        <v>0</v>
      </c>
      <c r="N11" s="1975">
        <f>+'1.SD Facility Based Annex'!N93</f>
        <v>0</v>
      </c>
      <c r="O11" s="2822">
        <f>+'1.SD Facility Based Annex'!O93</f>
        <v>0</v>
      </c>
      <c r="P11" s="88">
        <f>+'1.SD Facility Based Annex'!P93</f>
        <v>0</v>
      </c>
      <c r="Q11" s="54"/>
      <c r="R11" s="2825"/>
    </row>
    <row r="12" spans="1:18" ht="30">
      <c r="A12" s="88" t="str">
        <f>+'1.SD Facility Based Annex'!A94</f>
        <v>1.3.1.11</v>
      </c>
      <c r="B12" s="88" t="str">
        <f>+'1.SD Facility Based Annex'!B94</f>
        <v>O.2.2.1.7</v>
      </c>
      <c r="C12" s="88" t="str">
        <f>+'1.SD Facility Based Annex'!C94</f>
        <v>Sub-Centre level: Mobility , Miscellaneous &amp; Contingencies</v>
      </c>
      <c r="D12" s="88" t="str">
        <f>+'1.SD Facility Based Annex'!D94</f>
        <v>NCD</v>
      </c>
      <c r="E12" s="88" t="str">
        <f>+'1.SD Facility Based Annex'!E94</f>
        <v>NPCDCS</v>
      </c>
      <c r="F12" s="1975">
        <f>+'1.SD Facility Based Annex'!F94</f>
        <v>0</v>
      </c>
      <c r="G12" s="1975">
        <f>+'1.SD Facility Based Annex'!G94</f>
        <v>0</v>
      </c>
      <c r="H12" s="1975">
        <f>+'1.SD Facility Based Annex'!H94</f>
        <v>0</v>
      </c>
      <c r="I12" s="1975">
        <f>+'1.SD Facility Based Annex'!I94</f>
        <v>0</v>
      </c>
      <c r="J12" s="1975">
        <f>+'1.SD Facility Based Annex'!J94</f>
        <v>0</v>
      </c>
      <c r="K12" s="1975">
        <f>+'1.SD Facility Based Annex'!K94</f>
        <v>0</v>
      </c>
      <c r="L12" s="1975">
        <f>+'1.SD Facility Based Annex'!L94</f>
        <v>0</v>
      </c>
      <c r="M12" s="162">
        <f>+'1.SD Facility Based Annex'!M94</f>
        <v>0</v>
      </c>
      <c r="N12" s="1975">
        <f>+'1.SD Facility Based Annex'!N94</f>
        <v>0</v>
      </c>
      <c r="O12" s="2822">
        <f>+'1.SD Facility Based Annex'!O94</f>
        <v>0</v>
      </c>
      <c r="P12" s="88">
        <f>+'1.SD Facility Based Annex'!P94</f>
        <v>0</v>
      </c>
      <c r="Q12" s="54"/>
      <c r="R12" s="2825"/>
    </row>
    <row r="13" spans="1:18">
      <c r="A13" s="1468">
        <f>'2.SD Community Based Annex'!A7</f>
        <v>2</v>
      </c>
      <c r="B13" s="1468"/>
      <c r="C13" s="1468" t="str">
        <f>'2.SD Community Based Annex'!C7</f>
        <v>Service Delivery - Community Based</v>
      </c>
      <c r="D13" s="1468"/>
      <c r="E13" s="1419"/>
      <c r="F13" s="1419"/>
      <c r="G13" s="1419"/>
      <c r="H13" s="547"/>
      <c r="I13" s="1419"/>
      <c r="J13" s="547"/>
      <c r="K13" s="1419"/>
      <c r="L13" s="1419"/>
      <c r="M13" s="547"/>
      <c r="N13" s="2069"/>
      <c r="O13" s="2817">
        <f>O14</f>
        <v>0</v>
      </c>
      <c r="P13" s="2091"/>
      <c r="Q13" s="2092"/>
      <c r="R13" s="2817">
        <f>R14</f>
        <v>0</v>
      </c>
    </row>
    <row r="14" spans="1:18" ht="60">
      <c r="A14" s="88" t="str">
        <f>'2.SD Community Based Annex'!A47</f>
        <v>2.3.2.1</v>
      </c>
      <c r="B14" s="88" t="str">
        <f>'2.SD Community Based Annex'!B47</f>
        <v>B18.2</v>
      </c>
      <c r="C14" s="88" t="str">
        <f>'2.SD Community Based Annex'!C47</f>
        <v>Universal health check-up and screening of NCDs (May propose organizing outreach activities for NCD screening in non-PBS districts)</v>
      </c>
      <c r="D14" s="88" t="str">
        <f>'2.SD Community Based Annex'!D47</f>
        <v>NCD</v>
      </c>
      <c r="E14" s="1975" t="str">
        <f>'2.SD Community Based Annex'!E47</f>
        <v>NPCDCS</v>
      </c>
      <c r="F14" s="1975">
        <f>'2.SD Community Based Annex'!F47</f>
        <v>0</v>
      </c>
      <c r="G14" s="1975">
        <f>'2.SD Community Based Annex'!G47</f>
        <v>0</v>
      </c>
      <c r="H14" s="1975">
        <f>'2.SD Community Based Annex'!H47</f>
        <v>0</v>
      </c>
      <c r="I14" s="1975">
        <f>'2.SD Community Based Annex'!I47</f>
        <v>0</v>
      </c>
      <c r="J14" s="1975">
        <f>'2.SD Community Based Annex'!J47</f>
        <v>0</v>
      </c>
      <c r="K14" s="1975">
        <f>'2.SD Community Based Annex'!K47</f>
        <v>0</v>
      </c>
      <c r="L14" s="1975">
        <f>'2.SD Community Based Annex'!L47</f>
        <v>0</v>
      </c>
      <c r="M14" s="162">
        <f>'2.SD Community Based Annex'!M47</f>
        <v>0</v>
      </c>
      <c r="N14" s="1975">
        <f>'2.SD Community Based Annex'!N47</f>
        <v>0</v>
      </c>
      <c r="O14" s="2822">
        <f>'2.SD Community Based Annex'!O47</f>
        <v>0</v>
      </c>
      <c r="P14" s="88">
        <f>'2.SD Community Based Annex'!P47</f>
        <v>0</v>
      </c>
      <c r="Q14" s="54"/>
      <c r="R14" s="2825"/>
    </row>
    <row r="15" spans="1:18">
      <c r="A15" s="1468">
        <f>'5.Infrastructure Annex'!A7</f>
        <v>5</v>
      </c>
      <c r="B15" s="1468"/>
      <c r="C15" s="1468" t="str">
        <f>'5.Infrastructure Annex'!C7</f>
        <v>Infrastructure</v>
      </c>
      <c r="D15" s="1468"/>
      <c r="E15" s="1419"/>
      <c r="F15" s="1419"/>
      <c r="G15" s="1419"/>
      <c r="H15" s="547"/>
      <c r="I15" s="1419"/>
      <c r="J15" s="547"/>
      <c r="K15" s="1419"/>
      <c r="L15" s="1419"/>
      <c r="M15" s="547"/>
      <c r="N15" s="2069"/>
      <c r="O15" s="2817">
        <f>O16</f>
        <v>20</v>
      </c>
      <c r="P15" s="2091"/>
      <c r="Q15" s="2092"/>
      <c r="R15" s="2817">
        <f>R16</f>
        <v>20</v>
      </c>
    </row>
    <row r="16" spans="1:18" ht="180">
      <c r="A16" s="88" t="str">
        <f>+'5.Infrastructure Annex'!A97</f>
        <v>5.3.17</v>
      </c>
      <c r="B16" s="88" t="str">
        <f>+'5.Infrastructure Annex'!B97</f>
        <v>O1.1.2.1</v>
      </c>
      <c r="C16" s="88" t="str">
        <f>+'5.Infrastructure Annex'!C97</f>
        <v>Cardiac Care Unit (CCU/ ICU)</v>
      </c>
      <c r="D16" s="88" t="str">
        <f>+'5.Infrastructure Annex'!D97</f>
        <v>NCD</v>
      </c>
      <c r="E16" s="1975" t="str">
        <f>+'5.Infrastructure Annex'!E97</f>
        <v>NPCDCS</v>
      </c>
      <c r="F16" s="1975">
        <f>+'5.Infrastructure Annex'!F97</f>
        <v>0</v>
      </c>
      <c r="G16" s="1975">
        <f>+'5.Infrastructure Annex'!G97</f>
        <v>0</v>
      </c>
      <c r="H16" s="1975">
        <f>+'5.Infrastructure Annex'!H97</f>
        <v>0</v>
      </c>
      <c r="I16" s="1975">
        <f>+'5.Infrastructure Annex'!I97</f>
        <v>0</v>
      </c>
      <c r="J16" s="1975">
        <f>+'5.Infrastructure Annex'!J97</f>
        <v>0</v>
      </c>
      <c r="K16" s="1975">
        <f>+'5.Infrastructure Annex'!K97</f>
        <v>0</v>
      </c>
      <c r="L16" s="1975">
        <f>+'5.Infrastructure Annex'!L97</f>
        <v>200000</v>
      </c>
      <c r="M16" s="162">
        <f>+'5.Infrastructure Annex'!M97</f>
        <v>2</v>
      </c>
      <c r="N16" s="1975">
        <f>+'5.Infrastructure Annex'!N97</f>
        <v>10</v>
      </c>
      <c r="O16" s="2822">
        <f>+'5.Infrastructure Annex'!O97</f>
        <v>20</v>
      </c>
      <c r="P16" s="88" t="str">
        <f>+'5.Infrastructure Annex'!P97</f>
        <v>We are setting up 10 integrated  Nirog clinics in HP in high load facility to manage all common NCDs DM,HTN cancers/chemotherapy, palliative care,COPD etc. the cost per unit will be 5 Lakh for equipment &amp; minor repair(spirometer,Nebuliser , Peak flow meter,VIA &amp; Cryo equipment etc )  The funds under this head are proposed for the minor  repair and maintainance for setting up of the 10 integrtaed Nirog clinics @Rs 2Lac per unit.</v>
      </c>
      <c r="Q16" s="108" t="s">
        <v>5906</v>
      </c>
      <c r="R16" s="2825">
        <v>20</v>
      </c>
    </row>
    <row r="17" spans="1:18">
      <c r="A17" s="1716">
        <f>'6.Procurement Annex'!A7</f>
        <v>6</v>
      </c>
      <c r="B17" s="1716"/>
      <c r="C17" s="1716" t="str">
        <f>'6.Procurement Annex'!C7</f>
        <v>Procurement</v>
      </c>
      <c r="D17" s="1716"/>
      <c r="E17" s="1717"/>
      <c r="F17" s="1717"/>
      <c r="G17" s="1717"/>
      <c r="H17" s="547"/>
      <c r="I17" s="1717"/>
      <c r="J17" s="547"/>
      <c r="K17" s="1717"/>
      <c r="L17" s="1717"/>
      <c r="M17" s="547"/>
      <c r="N17" s="2069"/>
      <c r="O17" s="2817">
        <f>SUM(O18:O31)</f>
        <v>224.27</v>
      </c>
      <c r="P17" s="2091"/>
      <c r="Q17" s="2092"/>
      <c r="R17" s="2817">
        <f>SUM(R18:R31)</f>
        <v>174.27</v>
      </c>
    </row>
    <row r="18" spans="1:18" ht="30">
      <c r="A18" s="4095" t="str">
        <f>'6.Procurement Annex'!A40</f>
        <v>6.1.5.5</v>
      </c>
      <c r="B18" s="88" t="str">
        <f>+'6-A. Proc. Sub-Annex'!B114</f>
        <v>O1.1.2.1</v>
      </c>
      <c r="C18" s="88" t="str">
        <f>+'6-A. Proc. Sub-Annex'!C114</f>
        <v>Non-recurring: Equipping Cardiac Care Unit (CCU)/ICU</v>
      </c>
      <c r="D18" s="88" t="str">
        <f>+'6-A. Proc. Sub-Annex'!D114</f>
        <v>NCD</v>
      </c>
      <c r="E18" s="88" t="str">
        <f>+'6-A. Proc. Sub-Annex'!E114</f>
        <v>NPCDCS</v>
      </c>
      <c r="F18" s="1975">
        <f>+'6-A. Proc. Sub-Annex'!F114</f>
        <v>0</v>
      </c>
      <c r="G18" s="1975">
        <f>+'6-A. Proc. Sub-Annex'!G114</f>
        <v>0</v>
      </c>
      <c r="H18" s="1975">
        <f>+'6-A. Proc. Sub-Annex'!H114</f>
        <v>0</v>
      </c>
      <c r="I18" s="1975">
        <f>+'6-A. Proc. Sub-Annex'!I114</f>
        <v>0</v>
      </c>
      <c r="J18" s="1975">
        <f>+'6-A. Proc. Sub-Annex'!J114</f>
        <v>0</v>
      </c>
      <c r="K18" s="1975">
        <f>+'6-A. Proc. Sub-Annex'!K114</f>
        <v>0</v>
      </c>
      <c r="L18" s="1975">
        <f>+'6-A. Proc. Sub-Annex'!L114</f>
        <v>0</v>
      </c>
      <c r="M18" s="162">
        <f>+'6-A. Proc. Sub-Annex'!M114</f>
        <v>0</v>
      </c>
      <c r="N18" s="1975">
        <f>+'6-A. Proc. Sub-Annex'!N114</f>
        <v>0</v>
      </c>
      <c r="O18" s="2822">
        <f>+'6-A. Proc. Sub-Annex'!O114</f>
        <v>0</v>
      </c>
      <c r="P18" s="88">
        <f>+'6-A. Proc. Sub-Annex'!P114</f>
        <v>0</v>
      </c>
      <c r="Q18" s="54"/>
      <c r="R18" s="2825"/>
    </row>
    <row r="19" spans="1:18" ht="120">
      <c r="A19" s="4095"/>
      <c r="B19" s="88" t="str">
        <f>+'6-A. Proc. Sub-Annex'!B115</f>
        <v>O1.1.2.2</v>
      </c>
      <c r="C19" s="88" t="str">
        <f>+'6-A. Proc. Sub-Annex'!C115</f>
        <v>Non recurring: Equipment for Cancer  Care</v>
      </c>
      <c r="D19" s="88" t="str">
        <f>+'6-A. Proc. Sub-Annex'!D115</f>
        <v>NCD</v>
      </c>
      <c r="E19" s="88" t="str">
        <f>+'6-A. Proc. Sub-Annex'!E115</f>
        <v>NPCDCS</v>
      </c>
      <c r="F19" s="1975">
        <f>+'6-A. Proc. Sub-Annex'!F115</f>
        <v>0</v>
      </c>
      <c r="G19" s="1975">
        <f>+'6-A. Proc. Sub-Annex'!G115</f>
        <v>0</v>
      </c>
      <c r="H19" s="1975">
        <f>+'6-A. Proc. Sub-Annex'!H115</f>
        <v>0</v>
      </c>
      <c r="I19" s="1975">
        <f>+'6-A. Proc. Sub-Annex'!I115</f>
        <v>0</v>
      </c>
      <c r="J19" s="1975">
        <f>+'6-A. Proc. Sub-Annex'!J115</f>
        <v>0</v>
      </c>
      <c r="K19" s="1975">
        <f>+'6-A. Proc. Sub-Annex'!K115</f>
        <v>0</v>
      </c>
      <c r="L19" s="1975">
        <f>+'6-A. Proc. Sub-Annex'!L115</f>
        <v>50000</v>
      </c>
      <c r="M19" s="162">
        <f>+'6-A. Proc. Sub-Annex'!M115</f>
        <v>0.5</v>
      </c>
      <c r="N19" s="1975">
        <f>+'6-A. Proc. Sub-Annex'!N115</f>
        <v>10</v>
      </c>
      <c r="O19" s="2822">
        <f>+'6-A. Proc. Sub-Annex'!O115</f>
        <v>5</v>
      </c>
      <c r="P19" s="88" t="str">
        <f>+'6-A. Proc. Sub-Annex'!P115</f>
        <v>We are setting up 10 integrated  Nirog clinics in HP in high load facility to manage all common NCDs DM,HTN cancers/chemotherapy, palliative care,COPD etc. The funds under this head are proposed for the procurement of cryoset with cyllinder @ Rs 50000 x10 =500000.</v>
      </c>
      <c r="Q19" s="54" t="s">
        <v>5907</v>
      </c>
      <c r="R19" s="2825">
        <v>5</v>
      </c>
    </row>
    <row r="20" spans="1:18" ht="90">
      <c r="A20" s="4095"/>
      <c r="B20" s="88" t="str">
        <f>+'6-A. Proc. Sub-Annex'!B116</f>
        <v>O1.1.3.2</v>
      </c>
      <c r="C20" s="88" t="str">
        <f>+'6-A. Proc. Sub-Annex'!C116</f>
        <v>Non-recurring: Equipment at District NCD clinic</v>
      </c>
      <c r="D20" s="88" t="str">
        <f>+'6-A. Proc. Sub-Annex'!D116</f>
        <v>NCD</v>
      </c>
      <c r="E20" s="88" t="str">
        <f>+'6-A. Proc. Sub-Annex'!E116</f>
        <v>NPCDCS</v>
      </c>
      <c r="F20" s="1975">
        <f>+'6-A. Proc. Sub-Annex'!F116</f>
        <v>0</v>
      </c>
      <c r="G20" s="1975">
        <f>+'6-A. Proc. Sub-Annex'!G116</f>
        <v>0</v>
      </c>
      <c r="H20" s="1975">
        <f>+'6-A. Proc. Sub-Annex'!H116</f>
        <v>0</v>
      </c>
      <c r="I20" s="1975">
        <f>+'6-A. Proc. Sub-Annex'!I116</f>
        <v>0</v>
      </c>
      <c r="J20" s="1975">
        <f>+'6-A. Proc. Sub-Annex'!J116</f>
        <v>0</v>
      </c>
      <c r="K20" s="1975">
        <f>+'6-A. Proc. Sub-Annex'!K116</f>
        <v>1</v>
      </c>
      <c r="L20" s="1975">
        <f>+'6-A. Proc. Sub-Annex'!L116</f>
        <v>500000</v>
      </c>
      <c r="M20" s="162">
        <f>+'6-A. Proc. Sub-Annex'!M116</f>
        <v>5</v>
      </c>
      <c r="N20" s="1975">
        <f>+'6-A. Proc. Sub-Annex'!N116</f>
        <v>10</v>
      </c>
      <c r="O20" s="2822">
        <f>+'6-A. Proc. Sub-Annex'!O116</f>
        <v>50</v>
      </c>
      <c r="P20" s="88">
        <f>+'6-A. Proc. Sub-Annex'!P116</f>
        <v>0</v>
      </c>
      <c r="Q20" s="108" t="s">
        <v>5754</v>
      </c>
      <c r="R20" s="2826">
        <v>0</v>
      </c>
    </row>
    <row r="21" spans="1:18" ht="30">
      <c r="A21" s="4095"/>
      <c r="B21" s="88" t="str">
        <f>+'6-A. Proc. Sub-Annex'!B117</f>
        <v>O1.1.4.1</v>
      </c>
      <c r="C21" s="88" t="str">
        <f>+'6-A. Proc. Sub-Annex'!C117</f>
        <v>Non-recurring: Equipment at CHC NCD clinic</v>
      </c>
      <c r="D21" s="88" t="str">
        <f>+'6-A. Proc. Sub-Annex'!D117</f>
        <v>NCD</v>
      </c>
      <c r="E21" s="88" t="str">
        <f>+'6-A. Proc. Sub-Annex'!E117</f>
        <v>NPCDCS</v>
      </c>
      <c r="F21" s="1975">
        <f>+'6-A. Proc. Sub-Annex'!F117</f>
        <v>0</v>
      </c>
      <c r="G21" s="1975">
        <f>+'6-A. Proc. Sub-Annex'!G117</f>
        <v>0</v>
      </c>
      <c r="H21" s="1975">
        <f>+'6-A. Proc. Sub-Annex'!H117</f>
        <v>0</v>
      </c>
      <c r="I21" s="1975">
        <f>+'6-A. Proc. Sub-Annex'!I117</f>
        <v>0</v>
      </c>
      <c r="J21" s="1975">
        <f>+'6-A. Proc. Sub-Annex'!J117</f>
        <v>0</v>
      </c>
      <c r="K21" s="1975">
        <f>+'6-A. Proc. Sub-Annex'!K117</f>
        <v>0</v>
      </c>
      <c r="L21" s="1975">
        <f>+'6-A. Proc. Sub-Annex'!L117</f>
        <v>0</v>
      </c>
      <c r="M21" s="162">
        <f>+'6-A. Proc. Sub-Annex'!M117</f>
        <v>0</v>
      </c>
      <c r="N21" s="1975">
        <f>+'6-A. Proc. Sub-Annex'!N117</f>
        <v>0</v>
      </c>
      <c r="O21" s="2822">
        <f>+'6-A. Proc. Sub-Annex'!O117</f>
        <v>0</v>
      </c>
      <c r="P21" s="88">
        <f>+'6-A. Proc. Sub-Annex'!P117</f>
        <v>0</v>
      </c>
      <c r="Q21" s="54"/>
      <c r="R21" s="2825"/>
    </row>
    <row r="22" spans="1:18" ht="135">
      <c r="A22" s="4095"/>
      <c r="B22" s="88"/>
      <c r="C22" s="88" t="str">
        <f>+'6-A. Proc. Sub-Annex'!C119</f>
        <v>Any other equipment (please specify)</v>
      </c>
      <c r="D22" s="88" t="str">
        <f>+'6-A. Proc. Sub-Annex'!D119</f>
        <v>NCD</v>
      </c>
      <c r="E22" s="88" t="str">
        <f>+'6-A. Proc. Sub-Annex'!E119</f>
        <v>NPCDCS</v>
      </c>
      <c r="F22" s="1975">
        <f>+'6-A. Proc. Sub-Annex'!F119</f>
        <v>0</v>
      </c>
      <c r="G22" s="1975">
        <f>+'6-A. Proc. Sub-Annex'!G119</f>
        <v>0</v>
      </c>
      <c r="H22" s="1975">
        <f>+'6-A. Proc. Sub-Annex'!H119</f>
        <v>0</v>
      </c>
      <c r="I22" s="1975">
        <f>+'6-A. Proc. Sub-Annex'!I119</f>
        <v>0</v>
      </c>
      <c r="J22" s="1975">
        <f>+'6-A. Proc. Sub-Annex'!J119</f>
        <v>0</v>
      </c>
      <c r="K22" s="1975">
        <f>+'6-A. Proc. Sub-Annex'!K119</f>
        <v>1</v>
      </c>
      <c r="L22" s="1975">
        <f>+'6-A. Proc. Sub-Annex'!L119</f>
        <v>250000</v>
      </c>
      <c r="M22" s="162">
        <f>+'6-A. Proc. Sub-Annex'!M119</f>
        <v>2.5</v>
      </c>
      <c r="N22" s="1975">
        <f>+'6-A. Proc. Sub-Annex'!N119</f>
        <v>10</v>
      </c>
      <c r="O22" s="2822">
        <f>+'6-A. Proc. Sub-Annex'!O119</f>
        <v>25</v>
      </c>
      <c r="P22" s="88" t="str">
        <f>+'6-A. Proc. Sub-Annex'!P119</f>
        <v xml:space="preserve">We are setting up 10 integrated  Nirog clinics in HP in high load facility to manage all common NCDs DM,HTN cancers/chemotherapy, palliative care,COPD etc. The funds under this head are proposed for the procurement of COPD euipments i.e Spirometer, nebuliser, peak flowmeter @ 2.5 lakh per unit x10 = 25 lakhs </v>
      </c>
      <c r="Q22" s="54" t="s">
        <v>5908</v>
      </c>
      <c r="R22" s="2825">
        <v>25</v>
      </c>
    </row>
    <row r="23" spans="1:18" ht="30">
      <c r="A23" s="4095"/>
      <c r="B23" s="88" t="str">
        <f>'6-A. Proc. Sub-Annex'!B118</f>
        <v>B.18.2</v>
      </c>
      <c r="C23" s="88" t="str">
        <f>'6-A. Proc. Sub-Annex'!C118</f>
        <v>Procurement for Universal Screening of NCDs</v>
      </c>
      <c r="D23" s="88" t="str">
        <f>'6-A. Proc. Sub-Annex'!D118</f>
        <v>NCD</v>
      </c>
      <c r="E23" s="88" t="str">
        <f>'6-A. Proc. Sub-Annex'!E118</f>
        <v>NPCDCS</v>
      </c>
      <c r="F23" s="1975">
        <f>'6-A. Proc. Sub-Annex'!F118</f>
        <v>0</v>
      </c>
      <c r="G23" s="1975">
        <f>'6-A. Proc. Sub-Annex'!G118</f>
        <v>0</v>
      </c>
      <c r="H23" s="1975">
        <f>'6-A. Proc. Sub-Annex'!H118</f>
        <v>0</v>
      </c>
      <c r="I23" s="1975">
        <f>'6-A. Proc. Sub-Annex'!I118</f>
        <v>0</v>
      </c>
      <c r="J23" s="1975">
        <f>'6-A. Proc. Sub-Annex'!J118</f>
        <v>0</v>
      </c>
      <c r="K23" s="1975">
        <f>'6-A. Proc. Sub-Annex'!K118</f>
        <v>0</v>
      </c>
      <c r="L23" s="1975">
        <f>'6-A. Proc. Sub-Annex'!L118</f>
        <v>0</v>
      </c>
      <c r="M23" s="162">
        <f>'6-A. Proc. Sub-Annex'!M118</f>
        <v>0</v>
      </c>
      <c r="N23" s="1975">
        <f>'6-A. Proc. Sub-Annex'!N118</f>
        <v>0</v>
      </c>
      <c r="O23" s="2822">
        <f>'6-A. Proc. Sub-Annex'!O118</f>
        <v>0</v>
      </c>
      <c r="P23" s="88">
        <f>'6-A. Proc. Sub-Annex'!P118</f>
        <v>0</v>
      </c>
      <c r="Q23" s="54"/>
      <c r="R23" s="2825"/>
    </row>
    <row r="24" spans="1:18" ht="60">
      <c r="A24" s="4095" t="str">
        <f>'6.Procurement Annex'!A83</f>
        <v>6.2.4.5</v>
      </c>
      <c r="B24" s="88" t="str">
        <f>+'6-A. Proc. Sub-Annex'!B263</f>
        <v>B.16.2.11.8.a</v>
      </c>
      <c r="C24" s="88" t="str">
        <f>+'6-A. Proc. Sub-Annex'!C263</f>
        <v>Drugs &amp; consumables for NCD management (includes Diabetes, Hypertension, Stroke, etc) for whole district</v>
      </c>
      <c r="D24" s="88" t="str">
        <f>+'6-A. Proc. Sub-Annex'!D263</f>
        <v>NCD</v>
      </c>
      <c r="E24" s="88" t="str">
        <f>+'6-A. Proc. Sub-Annex'!E263</f>
        <v>NPCDCS</v>
      </c>
      <c r="F24" s="1975">
        <f>+'6-A. Proc. Sub-Annex'!F263</f>
        <v>100</v>
      </c>
      <c r="G24" s="1975">
        <f>+'6-A. Proc. Sub-Annex'!G263</f>
        <v>0</v>
      </c>
      <c r="H24" s="1975">
        <f>+'6-A. Proc. Sub-Annex'!H263</f>
        <v>30</v>
      </c>
      <c r="I24" s="1975">
        <f>+'6-A. Proc. Sub-Annex'!I263</f>
        <v>0</v>
      </c>
      <c r="J24" s="1975">
        <f>+'6-A. Proc. Sub-Annex'!J263</f>
        <v>0</v>
      </c>
      <c r="K24" s="1975">
        <f>+'6-A. Proc. Sub-Annex'!K263</f>
        <v>1</v>
      </c>
      <c r="L24" s="1975">
        <f>+'6-A. Proc. Sub-Annex'!L263</f>
        <v>0</v>
      </c>
      <c r="M24" s="162">
        <f>+'6-A. Proc. Sub-Annex'!M263</f>
        <v>0</v>
      </c>
      <c r="N24" s="1975">
        <f>+'6-A. Proc. Sub-Annex'!N263</f>
        <v>0</v>
      </c>
      <c r="O24" s="2822">
        <f>+'6-A. Proc. Sub-Annex'!O263</f>
        <v>0</v>
      </c>
      <c r="P24" s="88">
        <f>+'6-A. Proc. Sub-Annex'!P263</f>
        <v>0</v>
      </c>
      <c r="Q24" s="54"/>
      <c r="R24" s="2825"/>
    </row>
    <row r="25" spans="1:18" ht="30">
      <c r="A25" s="4095"/>
      <c r="B25" s="88" t="str">
        <f>+'6-A. Proc. Sub-Annex'!B264</f>
        <v>B.16.2.11.8.b</v>
      </c>
      <c r="C25" s="88" t="str">
        <f>+'6-A. Proc. Sub-Annex'!C264</f>
        <v>COPD Drugs and Consumables in whole district</v>
      </c>
      <c r="D25" s="88" t="str">
        <f>+'6-A. Proc. Sub-Annex'!D264</f>
        <v>NCD</v>
      </c>
      <c r="E25" s="88" t="str">
        <f>+'6-A. Proc. Sub-Annex'!E264</f>
        <v>NPCDCS</v>
      </c>
      <c r="F25" s="1975">
        <f>+'6-A. Proc. Sub-Annex'!F264</f>
        <v>0</v>
      </c>
      <c r="G25" s="1975">
        <f>+'6-A. Proc. Sub-Annex'!G264</f>
        <v>0</v>
      </c>
      <c r="H25" s="1975">
        <f>+'6-A. Proc. Sub-Annex'!H264</f>
        <v>0</v>
      </c>
      <c r="I25" s="1975">
        <f>+'6-A. Proc. Sub-Annex'!I264</f>
        <v>0</v>
      </c>
      <c r="J25" s="1975">
        <f>+'6-A. Proc. Sub-Annex'!J264</f>
        <v>0</v>
      </c>
      <c r="K25" s="1975">
        <f>+'6-A. Proc. Sub-Annex'!K264</f>
        <v>0</v>
      </c>
      <c r="L25" s="1975">
        <f>+'6-A. Proc. Sub-Annex'!L264</f>
        <v>0</v>
      </c>
      <c r="M25" s="162">
        <f>+'6-A. Proc. Sub-Annex'!M264</f>
        <v>0</v>
      </c>
      <c r="N25" s="1975">
        <f>+'6-A. Proc. Sub-Annex'!N264</f>
        <v>0</v>
      </c>
      <c r="O25" s="2822">
        <f>+'6-A. Proc. Sub-Annex'!O264</f>
        <v>0</v>
      </c>
      <c r="P25" s="88">
        <f>+'6-A. Proc. Sub-Annex'!P264</f>
        <v>0</v>
      </c>
      <c r="Q25" s="54"/>
      <c r="R25" s="2825"/>
    </row>
    <row r="26" spans="1:18">
      <c r="A26" s="4095"/>
      <c r="B26" s="88">
        <f>+'6-A. Proc. Sub-Annex'!B265</f>
        <v>0</v>
      </c>
      <c r="C26" s="88" t="str">
        <f>+'6-A. Proc. Sub-Annex'!C265</f>
        <v>Drugs &amp; Diagnostics for Cardiac care</v>
      </c>
      <c r="D26" s="88" t="str">
        <f>+'6-A. Proc. Sub-Annex'!D265</f>
        <v>NCD</v>
      </c>
      <c r="E26" s="88" t="str">
        <f>+'6-A. Proc. Sub-Annex'!E265</f>
        <v>NPCDCS</v>
      </c>
      <c r="F26" s="1975">
        <f>+'6-A. Proc. Sub-Annex'!F265</f>
        <v>0</v>
      </c>
      <c r="G26" s="1975">
        <f>+'6-A. Proc. Sub-Annex'!G265</f>
        <v>0</v>
      </c>
      <c r="H26" s="1975">
        <f>+'6-A. Proc. Sub-Annex'!H265</f>
        <v>0</v>
      </c>
      <c r="I26" s="1975">
        <f>+'6-A. Proc. Sub-Annex'!I265</f>
        <v>0</v>
      </c>
      <c r="J26" s="1975">
        <f>+'6-A. Proc. Sub-Annex'!J265</f>
        <v>0</v>
      </c>
      <c r="K26" s="1975">
        <f>+'6-A. Proc. Sub-Annex'!K265</f>
        <v>0</v>
      </c>
      <c r="L26" s="1975">
        <f>+'6-A. Proc. Sub-Annex'!L265</f>
        <v>0</v>
      </c>
      <c r="M26" s="162">
        <f>+'6-A. Proc. Sub-Annex'!M265</f>
        <v>0</v>
      </c>
      <c r="N26" s="1975">
        <f>+'6-A. Proc. Sub-Annex'!N265</f>
        <v>0</v>
      </c>
      <c r="O26" s="2822">
        <f>+'6-A. Proc. Sub-Annex'!O265</f>
        <v>0</v>
      </c>
      <c r="P26" s="88">
        <f>+'6-A. Proc. Sub-Annex'!P265</f>
        <v>0</v>
      </c>
      <c r="Q26" s="54"/>
      <c r="R26" s="2825"/>
    </row>
    <row r="27" spans="1:18">
      <c r="A27" s="4095"/>
      <c r="B27" s="88">
        <f>+'6-A. Proc. Sub-Annex'!B266</f>
        <v>0</v>
      </c>
      <c r="C27" s="88" t="str">
        <f>+'6-A. Proc. Sub-Annex'!C266</f>
        <v>Drugs &amp; Diagnostics Cancer care</v>
      </c>
      <c r="D27" s="88" t="str">
        <f>+'6-A. Proc. Sub-Annex'!D266</f>
        <v>NCD</v>
      </c>
      <c r="E27" s="88" t="str">
        <f>+'6-A. Proc. Sub-Annex'!E266</f>
        <v>NPCDCS</v>
      </c>
      <c r="F27" s="1975">
        <f>+'6-A. Proc. Sub-Annex'!F266</f>
        <v>0</v>
      </c>
      <c r="G27" s="1975">
        <f>+'6-A. Proc. Sub-Annex'!G266</f>
        <v>0</v>
      </c>
      <c r="H27" s="1975">
        <f>+'6-A. Proc. Sub-Annex'!H266</f>
        <v>0</v>
      </c>
      <c r="I27" s="1975">
        <f>+'6-A. Proc. Sub-Annex'!I266</f>
        <v>0</v>
      </c>
      <c r="J27" s="1975">
        <f>+'6-A. Proc. Sub-Annex'!J266</f>
        <v>0</v>
      </c>
      <c r="K27" s="1975">
        <f>+'6-A. Proc. Sub-Annex'!K266</f>
        <v>0</v>
      </c>
      <c r="L27" s="1975">
        <f>+'6-A. Proc. Sub-Annex'!L266</f>
        <v>0</v>
      </c>
      <c r="M27" s="162">
        <f>+'6-A. Proc. Sub-Annex'!M266</f>
        <v>0</v>
      </c>
      <c r="N27" s="1975">
        <f>+'6-A. Proc. Sub-Annex'!N266</f>
        <v>0</v>
      </c>
      <c r="O27" s="2822">
        <f>+'6-A. Proc. Sub-Annex'!O266</f>
        <v>0</v>
      </c>
      <c r="P27" s="88">
        <f>+'6-A. Proc. Sub-Annex'!P266</f>
        <v>0</v>
      </c>
      <c r="Q27" s="54"/>
      <c r="R27" s="2825"/>
    </row>
    <row r="28" spans="1:18" ht="30">
      <c r="A28" s="4095"/>
      <c r="B28" s="88" t="str">
        <f>+'6-A. Proc. Sub-Annex'!B267</f>
        <v>B.16.2.11.8.c</v>
      </c>
      <c r="C28" s="88" t="str">
        <f>+'6-A. Proc. Sub-Annex'!C267</f>
        <v>Drugs &amp; Diagnostics for NCD management (includes Diabetes, Hypertension, etc)</v>
      </c>
      <c r="D28" s="88" t="str">
        <f>+'6-A. Proc. Sub-Annex'!D267</f>
        <v>NCD</v>
      </c>
      <c r="E28" s="88" t="str">
        <f>+'6-A. Proc. Sub-Annex'!E267</f>
        <v>NPCDCS</v>
      </c>
      <c r="F28" s="1975">
        <f>+'6-A. Proc. Sub-Annex'!F267</f>
        <v>0</v>
      </c>
      <c r="G28" s="1975">
        <f>+'6-A. Proc. Sub-Annex'!G267</f>
        <v>0</v>
      </c>
      <c r="H28" s="1975">
        <f>+'6-A. Proc. Sub-Annex'!H267</f>
        <v>0</v>
      </c>
      <c r="I28" s="1975">
        <f>+'6-A. Proc. Sub-Annex'!I267</f>
        <v>0</v>
      </c>
      <c r="J28" s="1975">
        <f>+'6-A. Proc. Sub-Annex'!J267</f>
        <v>0</v>
      </c>
      <c r="K28" s="1975">
        <f>+'6-A. Proc. Sub-Annex'!K267</f>
        <v>0</v>
      </c>
      <c r="L28" s="1975">
        <f>+'6-A. Proc. Sub-Annex'!L267</f>
        <v>0</v>
      </c>
      <c r="M28" s="162">
        <f>+'6-A. Proc. Sub-Annex'!M267</f>
        <v>0</v>
      </c>
      <c r="N28" s="1975">
        <f>+'6-A. Proc. Sub-Annex'!N267</f>
        <v>0</v>
      </c>
      <c r="O28" s="2822">
        <f>+'6-A. Proc. Sub-Annex'!O267</f>
        <v>0</v>
      </c>
      <c r="P28" s="88">
        <f>+'6-A. Proc. Sub-Annex'!P267</f>
        <v>0</v>
      </c>
      <c r="Q28" s="54"/>
      <c r="R28" s="2825"/>
    </row>
    <row r="29" spans="1:18" ht="30">
      <c r="A29" s="4095"/>
      <c r="B29" s="88" t="str">
        <f>+'6-A. Proc. Sub-Annex'!B268</f>
        <v>B.16.2.11.8.d</v>
      </c>
      <c r="C29" s="88" t="str">
        <f>+'6-A. Proc. Sub-Annex'!C268</f>
        <v>Consumables for PHC level: Glucostrips, lancet, swabs, etc</v>
      </c>
      <c r="D29" s="88" t="str">
        <f>+'6-A. Proc. Sub-Annex'!D268</f>
        <v>NCD</v>
      </c>
      <c r="E29" s="88" t="str">
        <f>+'6-A. Proc. Sub-Annex'!E268</f>
        <v>NPCDCS</v>
      </c>
      <c r="F29" s="1975">
        <f>+'6-A. Proc. Sub-Annex'!F268</f>
        <v>0</v>
      </c>
      <c r="G29" s="1975">
        <f>+'6-A. Proc. Sub-Annex'!G268</f>
        <v>0</v>
      </c>
      <c r="H29" s="1975">
        <f>+'6-A. Proc. Sub-Annex'!H268</f>
        <v>0</v>
      </c>
      <c r="I29" s="1975">
        <f>+'6-A. Proc. Sub-Annex'!I268</f>
        <v>0</v>
      </c>
      <c r="J29" s="1975">
        <f>+'6-A. Proc. Sub-Annex'!J268</f>
        <v>0</v>
      </c>
      <c r="K29" s="1975">
        <f>+'6-A. Proc. Sub-Annex'!K268</f>
        <v>0</v>
      </c>
      <c r="L29" s="1975">
        <f>+'6-A. Proc. Sub-Annex'!L268</f>
        <v>0</v>
      </c>
      <c r="M29" s="162">
        <f>+'6-A. Proc. Sub-Annex'!M268</f>
        <v>0</v>
      </c>
      <c r="N29" s="1975">
        <f>+'6-A. Proc. Sub-Annex'!N268</f>
        <v>0</v>
      </c>
      <c r="O29" s="2822">
        <f>+'6-A. Proc. Sub-Annex'!O268</f>
        <v>0</v>
      </c>
      <c r="P29" s="88">
        <f>+'6-A. Proc. Sub-Annex'!P268</f>
        <v>0</v>
      </c>
      <c r="Q29" s="54"/>
      <c r="R29" s="2825"/>
    </row>
    <row r="30" spans="1:18" ht="195">
      <c r="A30" s="4095"/>
      <c r="B30" s="88" t="str">
        <f>+'6-A. Proc. Sub-Annex'!B269</f>
        <v>B.16.2.11.8.e</v>
      </c>
      <c r="C30" s="88" t="str">
        <f>+'6-A. Proc. Sub-Annex'!C269</f>
        <v>Consumables for Sub-Centre level: Glucostrips, lancet, swabs, etc</v>
      </c>
      <c r="D30" s="88" t="str">
        <f>+'6-A. Proc. Sub-Annex'!D269</f>
        <v>NCD</v>
      </c>
      <c r="E30" s="88" t="str">
        <f>+'6-A. Proc. Sub-Annex'!E269</f>
        <v>NPCDCS</v>
      </c>
      <c r="F30" s="1975">
        <f>+'6-A. Proc. Sub-Annex'!F269</f>
        <v>0</v>
      </c>
      <c r="G30" s="1975">
        <f>+'6-A. Proc. Sub-Annex'!G269</f>
        <v>0</v>
      </c>
      <c r="H30" s="1975">
        <f>+'6-A. Proc. Sub-Annex'!H269</f>
        <v>0</v>
      </c>
      <c r="I30" s="1975">
        <f>+'6-A. Proc. Sub-Annex'!I269</f>
        <v>0</v>
      </c>
      <c r="J30" s="1975">
        <f>+'6-A. Proc. Sub-Annex'!J269</f>
        <v>0</v>
      </c>
      <c r="K30" s="1975">
        <f>+'6-A. Proc. Sub-Annex'!K269</f>
        <v>0</v>
      </c>
      <c r="L30" s="1975">
        <f>+'6-A. Proc. Sub-Annex'!L269</f>
        <v>6.87</v>
      </c>
      <c r="M30" s="162">
        <f>+'6-A. Proc. Sub-Annex'!M269</f>
        <v>6.8700000000000003E-5</v>
      </c>
      <c r="N30" s="1975">
        <f>+'6-A. Proc. Sub-Annex'!N269</f>
        <v>2100000</v>
      </c>
      <c r="O30" s="2822">
        <f>+'6-A. Proc. Sub-Annex'!O269</f>
        <v>144.27000000000001</v>
      </c>
      <c r="P30" s="88" t="str">
        <f>+'6-A. Proc. Sub-Annex'!P269</f>
        <v>We plan to screen 10 lakh new indivisuals in FY 2021-22 of +18 population for DM &amp; HTN.  1 lac diabetic patients diagnosed earlier will also be followed up, so total 20 lac glucostics will be required for new cases as well as for follow up cases. Rs. 134.20 lac is required for glucostrip and lansets.                                                                                  1 lakh women will be screened for cervical cancer through VIA .Tentative cost for screening of each women will be Rs. 10 per case so total requirement will be 1*10=10 Lac .</v>
      </c>
      <c r="Q30" s="54" t="s">
        <v>5909</v>
      </c>
      <c r="R30" s="2825">
        <v>134.27000000000001</v>
      </c>
    </row>
    <row r="31" spans="1:18" ht="45">
      <c r="A31" s="4095"/>
      <c r="B31" s="88" t="str">
        <f>+'6-A. Proc. Sub-Annex'!B270</f>
        <v>B18.2</v>
      </c>
      <c r="C31" s="88" t="str">
        <f>+'6-A. Proc. Sub-Annex'!C270</f>
        <v>Drugs &amp; supplies for Universal Screening of NCDs</v>
      </c>
      <c r="D31" s="88" t="str">
        <f>+'6-A. Proc. Sub-Annex'!D270</f>
        <v>NCD</v>
      </c>
      <c r="E31" s="88" t="str">
        <f>+'6-A. Proc. Sub-Annex'!E270</f>
        <v>NPCDCS</v>
      </c>
      <c r="F31" s="1975">
        <f>+'6-A. Proc. Sub-Annex'!F270</f>
        <v>2100000</v>
      </c>
      <c r="G31" s="1975">
        <f>+'6-A. Proc. Sub-Annex'!G270</f>
        <v>255000</v>
      </c>
      <c r="H31" s="1975">
        <f>+'6-A. Proc. Sub-Annex'!H270</f>
        <v>135.01</v>
      </c>
      <c r="I31" s="1975">
        <f>+'6-A. Proc. Sub-Annex'!I270</f>
        <v>13.42</v>
      </c>
      <c r="J31" s="1975">
        <f>+'6-A. Proc. Sub-Annex'!J270</f>
        <v>121.58999999999999</v>
      </c>
      <c r="K31" s="1975">
        <f>+'6-A. Proc. Sub-Annex'!K270</f>
        <v>0</v>
      </c>
      <c r="L31" s="1975">
        <f>+'6-A. Proc. Sub-Annex'!L270</f>
        <v>0</v>
      </c>
      <c r="M31" s="162">
        <f>+'6-A. Proc. Sub-Annex'!M270</f>
        <v>0</v>
      </c>
      <c r="N31" s="1975">
        <f>+'6-A. Proc. Sub-Annex'!N270</f>
        <v>0</v>
      </c>
      <c r="O31" s="2822">
        <f>+'6-A. Proc. Sub-Annex'!O270</f>
        <v>0</v>
      </c>
      <c r="P31" s="88">
        <f>+'6-A. Proc. Sub-Annex'!P270</f>
        <v>0</v>
      </c>
      <c r="Q31" s="108" t="s">
        <v>5910</v>
      </c>
      <c r="R31" s="2826">
        <v>10</v>
      </c>
    </row>
    <row r="32" spans="1:18">
      <c r="A32" s="1468">
        <f>'7.Referral Transport Annex'!A7</f>
        <v>7</v>
      </c>
      <c r="B32" s="1468"/>
      <c r="C32" s="1468" t="str">
        <f>'7.Referral Transport Annex'!C7</f>
        <v>Referral Transport</v>
      </c>
      <c r="D32" s="1468"/>
      <c r="E32" s="1419"/>
      <c r="F32" s="1419"/>
      <c r="G32" s="1419"/>
      <c r="H32" s="1419"/>
      <c r="I32" s="1419"/>
      <c r="J32" s="1419"/>
      <c r="K32" s="1419"/>
      <c r="L32" s="1419"/>
      <c r="M32" s="547"/>
      <c r="N32" s="1419"/>
      <c r="O32" s="2817">
        <f>SUM(O33:O34)</f>
        <v>0</v>
      </c>
      <c r="P32" s="1468"/>
      <c r="Q32" s="2092"/>
      <c r="R32" s="2816">
        <f>SUM(R33:R34)</f>
        <v>0</v>
      </c>
    </row>
    <row r="33" spans="1:18">
      <c r="A33" s="88" t="str">
        <f>+'7.Referral Transport Annex'!A26</f>
        <v>7.6.1</v>
      </c>
      <c r="B33" s="88" t="str">
        <f>+'7.Referral Transport Annex'!B26</f>
        <v>O.2.1.6.6.i</v>
      </c>
      <c r="C33" s="88" t="str">
        <f>+'7.Referral Transport Annex'!C26</f>
        <v>District NCD Clinic</v>
      </c>
      <c r="D33" s="88" t="str">
        <f>+'7.Referral Transport Annex'!D26</f>
        <v>NCD</v>
      </c>
      <c r="E33" s="1975" t="str">
        <f>+'7.Referral Transport Annex'!E26</f>
        <v>NPCDCS</v>
      </c>
      <c r="F33" s="1975">
        <f>+'7.Referral Transport Annex'!F26</f>
        <v>0</v>
      </c>
      <c r="G33" s="1975">
        <f>+'7.Referral Transport Annex'!G26</f>
        <v>0</v>
      </c>
      <c r="H33" s="1975">
        <f>+'7.Referral Transport Annex'!H26</f>
        <v>0</v>
      </c>
      <c r="I33" s="1975">
        <f>+'7.Referral Transport Annex'!I26</f>
        <v>0</v>
      </c>
      <c r="J33" s="1975">
        <f>+'7.Referral Transport Annex'!J26</f>
        <v>0</v>
      </c>
      <c r="K33" s="1975">
        <f>+'7.Referral Transport Annex'!K26</f>
        <v>0</v>
      </c>
      <c r="L33" s="1975">
        <f>+'7.Referral Transport Annex'!L26</f>
        <v>0</v>
      </c>
      <c r="M33" s="162">
        <f>+'7.Referral Transport Annex'!M26</f>
        <v>0</v>
      </c>
      <c r="N33" s="1975">
        <f>+'7.Referral Transport Annex'!N26</f>
        <v>0</v>
      </c>
      <c r="O33" s="2822">
        <f>+'7.Referral Transport Annex'!O26</f>
        <v>0</v>
      </c>
      <c r="P33" s="88">
        <f>+'7.Referral Transport Annex'!P26</f>
        <v>0</v>
      </c>
      <c r="Q33" s="54"/>
      <c r="R33" s="2825"/>
    </row>
    <row r="34" spans="1:18">
      <c r="A34" s="88" t="str">
        <f>+'7.Referral Transport Annex'!A27</f>
        <v>7.6.2</v>
      </c>
      <c r="B34" s="88" t="str">
        <f>+'7.Referral Transport Annex'!B27</f>
        <v>O.2.1.6.6.ii</v>
      </c>
      <c r="C34" s="88" t="str">
        <f>+'7.Referral Transport Annex'!C27</f>
        <v>CHC NCD Clinic</v>
      </c>
      <c r="D34" s="88" t="str">
        <f>+'7.Referral Transport Annex'!D27</f>
        <v>NCD</v>
      </c>
      <c r="E34" s="1975" t="str">
        <f>+'7.Referral Transport Annex'!E27</f>
        <v>NPCDCS</v>
      </c>
      <c r="F34" s="1975">
        <f>+'7.Referral Transport Annex'!F27</f>
        <v>0</v>
      </c>
      <c r="G34" s="1975">
        <f>+'7.Referral Transport Annex'!G27</f>
        <v>0</v>
      </c>
      <c r="H34" s="1975">
        <f>+'7.Referral Transport Annex'!H27</f>
        <v>0</v>
      </c>
      <c r="I34" s="1975">
        <f>+'7.Referral Transport Annex'!I27</f>
        <v>0</v>
      </c>
      <c r="J34" s="1975">
        <f>+'7.Referral Transport Annex'!J27</f>
        <v>0</v>
      </c>
      <c r="K34" s="1975">
        <f>+'7.Referral Transport Annex'!K27</f>
        <v>0</v>
      </c>
      <c r="L34" s="1975">
        <f>+'7.Referral Transport Annex'!L27</f>
        <v>0</v>
      </c>
      <c r="M34" s="162">
        <f>+'7.Referral Transport Annex'!M27</f>
        <v>0</v>
      </c>
      <c r="N34" s="1975">
        <f>+'7.Referral Transport Annex'!N27</f>
        <v>0</v>
      </c>
      <c r="O34" s="2822">
        <f>+'7.Referral Transport Annex'!O27</f>
        <v>0</v>
      </c>
      <c r="P34" s="88">
        <f>+'7.Referral Transport Annex'!P27</f>
        <v>0</v>
      </c>
      <c r="Q34" s="54"/>
      <c r="R34" s="2825"/>
    </row>
    <row r="35" spans="1:18">
      <c r="A35" s="1468">
        <f>'9.Training Annex'!A7</f>
        <v>9</v>
      </c>
      <c r="B35" s="1468"/>
      <c r="C35" s="1468" t="str">
        <f>'9.Training Annex'!C7</f>
        <v>Training and Capacity Building</v>
      </c>
      <c r="D35" s="1468"/>
      <c r="E35" s="1419"/>
      <c r="F35" s="1419"/>
      <c r="G35" s="1419"/>
      <c r="H35" s="1419"/>
      <c r="I35" s="1419"/>
      <c r="J35" s="1419"/>
      <c r="K35" s="1419"/>
      <c r="L35" s="1419"/>
      <c r="M35" s="547"/>
      <c r="N35" s="1419"/>
      <c r="O35" s="2817">
        <f>SUM(O36:O39)</f>
        <v>10</v>
      </c>
      <c r="P35" s="1468"/>
      <c r="Q35" s="2092"/>
      <c r="R35" s="2816">
        <f>SUM(R36:R39)</f>
        <v>10</v>
      </c>
    </row>
    <row r="36" spans="1:18" ht="150">
      <c r="A36" s="4100" t="str">
        <f>'9.Training Annex'!A59</f>
        <v>9.2.4.5</v>
      </c>
      <c r="B36" s="88" t="str">
        <f>'9-A.Training Sub-Annex'!B263</f>
        <v>O.2.3.1</v>
      </c>
      <c r="C36" s="88" t="str">
        <f>+'9-A.Training Sub-Annex'!C263</f>
        <v>State NCD  Cell</v>
      </c>
      <c r="D36" s="88" t="str">
        <f>+'9-A.Training Sub-Annex'!D263</f>
        <v>NCD</v>
      </c>
      <c r="E36" s="1975" t="str">
        <f>+'9-A.Training Sub-Annex'!E263</f>
        <v>NPCDCS</v>
      </c>
      <c r="F36" s="1975">
        <f>+'9-A.Training Sub-Annex'!F263</f>
        <v>1</v>
      </c>
      <c r="G36" s="1975">
        <f>+'9-A.Training Sub-Annex'!G263</f>
        <v>0</v>
      </c>
      <c r="H36" s="1975">
        <f>+'9-A.Training Sub-Annex'!H263</f>
        <v>10</v>
      </c>
      <c r="I36" s="1975">
        <f>+'9-A.Training Sub-Annex'!I263</f>
        <v>0</v>
      </c>
      <c r="J36" s="1975">
        <f>+'9-A.Training Sub-Annex'!J263</f>
        <v>5</v>
      </c>
      <c r="K36" s="1975">
        <f>+'9-A.Training Sub-Annex'!K263</f>
        <v>1</v>
      </c>
      <c r="L36" s="1975">
        <f>+'9-A.Training Sub-Annex'!L263</f>
        <v>10000</v>
      </c>
      <c r="M36" s="162">
        <f>+'9-A.Training Sub-Annex'!M263</f>
        <v>0.1</v>
      </c>
      <c r="N36" s="1975">
        <f>+'9-A.Training Sub-Annex'!N263</f>
        <v>100</v>
      </c>
      <c r="O36" s="2822">
        <f>+'9-A.Training Sub-Annex'!O263</f>
        <v>10</v>
      </c>
      <c r="P36" s="88" t="str">
        <f>+'9-A.Training Sub-Annex'!P263</f>
        <v xml:space="preserve">Orientation and capacity bulding under NIROG YOJANA for Distt and Sub Disll level Mos and staff nurses We will do the orientation training on NCDs screening and digital enteries of Mos and HWs )500 MO &amp; 2000 HWcs) under Nirog Yojna /NPCDCS . 20 batches of MOs and 80 Batches of HWs  (batch of 25) . There will be total 100 sessions to train all 2500 persons @ 10000 per batch for one day  </v>
      </c>
      <c r="Q36" s="54" t="s">
        <v>5752</v>
      </c>
      <c r="R36" s="2825">
        <v>10</v>
      </c>
    </row>
    <row r="37" spans="1:18">
      <c r="A37" s="4100"/>
      <c r="B37" s="88" t="str">
        <f>'9-A.Training Sub-Annex'!B264</f>
        <v>O.2.3.2</v>
      </c>
      <c r="C37" s="88" t="str">
        <f>+'9-A.Training Sub-Annex'!C264</f>
        <v>District  NCD Cell</v>
      </c>
      <c r="D37" s="88" t="str">
        <f>+'9-A.Training Sub-Annex'!D264</f>
        <v>NCD</v>
      </c>
      <c r="E37" s="1975" t="str">
        <f>+'9-A.Training Sub-Annex'!E264</f>
        <v>NPCDCS</v>
      </c>
      <c r="F37" s="1975">
        <f>+'9-A.Training Sub-Annex'!F264</f>
        <v>0</v>
      </c>
      <c r="G37" s="1975">
        <f>+'9-A.Training Sub-Annex'!G264</f>
        <v>0</v>
      </c>
      <c r="H37" s="1975">
        <f>+'9-A.Training Sub-Annex'!H264</f>
        <v>0</v>
      </c>
      <c r="I37" s="1975">
        <f>+'9-A.Training Sub-Annex'!I264</f>
        <v>0</v>
      </c>
      <c r="J37" s="1975">
        <f>+'9-A.Training Sub-Annex'!J264</f>
        <v>0</v>
      </c>
      <c r="K37" s="1975">
        <f>+'9-A.Training Sub-Annex'!K264</f>
        <v>0</v>
      </c>
      <c r="L37" s="1975">
        <f>+'9-A.Training Sub-Annex'!L264</f>
        <v>0</v>
      </c>
      <c r="M37" s="162">
        <f>+'9-A.Training Sub-Annex'!M264</f>
        <v>0</v>
      </c>
      <c r="N37" s="1975">
        <f>+'9-A.Training Sub-Annex'!N264</f>
        <v>0</v>
      </c>
      <c r="O37" s="2822">
        <f>+'9-A.Training Sub-Annex'!O264</f>
        <v>0</v>
      </c>
      <c r="P37" s="88">
        <f>+'9-A.Training Sub-Annex'!P264</f>
        <v>0</v>
      </c>
      <c r="Q37" s="54"/>
      <c r="R37" s="2825"/>
    </row>
    <row r="38" spans="1:18">
      <c r="A38" s="4100"/>
      <c r="B38" s="88">
        <f>'9-A.Training Sub-Annex'!B265</f>
        <v>0</v>
      </c>
      <c r="C38" s="88" t="str">
        <f>+'9-A.Training Sub-Annex'!C265</f>
        <v>Training for Universal Screening for NCDs</v>
      </c>
      <c r="D38" s="88" t="str">
        <f>+'9-A.Training Sub-Annex'!D265</f>
        <v>NCD</v>
      </c>
      <c r="E38" s="1975" t="str">
        <f>+'9-A.Training Sub-Annex'!E265</f>
        <v>NPCDCS</v>
      </c>
      <c r="F38" s="1975">
        <f>+'9-A.Training Sub-Annex'!F265</f>
        <v>0</v>
      </c>
      <c r="G38" s="1975">
        <f>+'9-A.Training Sub-Annex'!G265</f>
        <v>0</v>
      </c>
      <c r="H38" s="1975">
        <f>+'9-A.Training Sub-Annex'!H265</f>
        <v>0</v>
      </c>
      <c r="I38" s="1975">
        <f>+'9-A.Training Sub-Annex'!I265</f>
        <v>0</v>
      </c>
      <c r="J38" s="1975">
        <f>+'9-A.Training Sub-Annex'!J265</f>
        <v>0</v>
      </c>
      <c r="K38" s="1975">
        <f>+'9-A.Training Sub-Annex'!K265</f>
        <v>0</v>
      </c>
      <c r="L38" s="1975">
        <f>+'9-A.Training Sub-Annex'!L265</f>
        <v>0</v>
      </c>
      <c r="M38" s="162">
        <f>+'9-A.Training Sub-Annex'!M265</f>
        <v>0</v>
      </c>
      <c r="N38" s="1975">
        <f>+'9-A.Training Sub-Annex'!N265</f>
        <v>0</v>
      </c>
      <c r="O38" s="2822">
        <f>+'9-A.Training Sub-Annex'!O265</f>
        <v>0</v>
      </c>
      <c r="P38" s="88">
        <f>+'9-A.Training Sub-Annex'!P265</f>
        <v>0</v>
      </c>
      <c r="Q38" s="54"/>
      <c r="R38" s="2825"/>
    </row>
    <row r="39" spans="1:18">
      <c r="A39" s="4100"/>
      <c r="B39" s="88">
        <f>'9-A.Training Sub-Annex'!B266</f>
        <v>0</v>
      </c>
      <c r="C39" s="88" t="str">
        <f>+'9-A.Training Sub-Annex'!C266</f>
        <v>Any other (please specify)</v>
      </c>
      <c r="D39" s="88" t="str">
        <f>+'9-A.Training Sub-Annex'!D266</f>
        <v>NCD</v>
      </c>
      <c r="E39" s="1975" t="str">
        <f>+'9-A.Training Sub-Annex'!E266</f>
        <v>NPCDCS</v>
      </c>
      <c r="F39" s="1975">
        <f>+'9-A.Training Sub-Annex'!F266</f>
        <v>0</v>
      </c>
      <c r="G39" s="1975">
        <f>+'9-A.Training Sub-Annex'!G266</f>
        <v>0</v>
      </c>
      <c r="H39" s="1975">
        <f>+'9-A.Training Sub-Annex'!H266</f>
        <v>0</v>
      </c>
      <c r="I39" s="1975">
        <f>+'9-A.Training Sub-Annex'!I266</f>
        <v>0</v>
      </c>
      <c r="J39" s="1975">
        <f>+'9-A.Training Sub-Annex'!J266</f>
        <v>0</v>
      </c>
      <c r="K39" s="1975">
        <f>+'9-A.Training Sub-Annex'!K266</f>
        <v>0</v>
      </c>
      <c r="L39" s="1975">
        <f>+'9-A.Training Sub-Annex'!L266</f>
        <v>0</v>
      </c>
      <c r="M39" s="162">
        <f>+'9-A.Training Sub-Annex'!M266</f>
        <v>0</v>
      </c>
      <c r="N39" s="1975">
        <f>+'9-A.Training Sub-Annex'!N266</f>
        <v>0</v>
      </c>
      <c r="O39" s="2822">
        <f>+'9-A.Training Sub-Annex'!O266</f>
        <v>0</v>
      </c>
      <c r="P39" s="88">
        <f>+'9-A.Training Sub-Annex'!P266</f>
        <v>0</v>
      </c>
      <c r="Q39" s="54"/>
      <c r="R39" s="2825"/>
    </row>
    <row r="40" spans="1:18" ht="30">
      <c r="A40" s="1468">
        <f>'10.Review Research &amp; Surveillen'!A7</f>
        <v>10</v>
      </c>
      <c r="B40" s="1468"/>
      <c r="C40" s="1468" t="str">
        <f>'10.Review Research &amp; Surveillen'!C7</f>
        <v>Reviews, Research, Surveys and Surveillance</v>
      </c>
      <c r="D40" s="1468"/>
      <c r="E40" s="1419"/>
      <c r="F40" s="1419"/>
      <c r="G40" s="1419"/>
      <c r="H40" s="1419"/>
      <c r="I40" s="1419"/>
      <c r="J40" s="1419"/>
      <c r="K40" s="1419"/>
      <c r="L40" s="1419"/>
      <c r="M40" s="547"/>
      <c r="N40" s="1419"/>
      <c r="O40" s="2817">
        <f>SUM(O41:O45)</f>
        <v>0</v>
      </c>
      <c r="P40" s="1468"/>
      <c r="Q40" s="2092"/>
      <c r="R40" s="2817">
        <f>SUM(R41:R45)</f>
        <v>0</v>
      </c>
    </row>
    <row r="41" spans="1:18">
      <c r="A41" s="1987" t="str">
        <f>+'10.Review Research &amp; Surveillen'!A29</f>
        <v>10.2.12</v>
      </c>
      <c r="B41" s="1987" t="str">
        <f>+'10.Review Research &amp; Surveillen'!B29</f>
        <v>O.2.7.1</v>
      </c>
      <c r="C41" s="1987" t="str">
        <f>+'10.Review Research &amp; Surveillen'!C29</f>
        <v>Research at State NCD Cell</v>
      </c>
      <c r="D41" s="1987" t="str">
        <f>+'10.Review Research &amp; Surveillen'!D29</f>
        <v>NCD</v>
      </c>
      <c r="E41" s="2015" t="str">
        <f>+'10.Review Research &amp; Surveillen'!E29</f>
        <v>NPCDCS</v>
      </c>
      <c r="F41" s="2015">
        <f>+'10.Review Research &amp; Surveillen'!F29</f>
        <v>0</v>
      </c>
      <c r="G41" s="2015">
        <f>+'10.Review Research &amp; Surveillen'!G29</f>
        <v>0</v>
      </c>
      <c r="H41" s="2015">
        <f>+'10.Review Research &amp; Surveillen'!H29</f>
        <v>0</v>
      </c>
      <c r="I41" s="2015">
        <f>+'10.Review Research &amp; Surveillen'!I29</f>
        <v>0</v>
      </c>
      <c r="J41" s="2015">
        <f>+'10.Review Research &amp; Surveillen'!J29</f>
        <v>0</v>
      </c>
      <c r="K41" s="2015">
        <f>+'10.Review Research &amp; Surveillen'!K29</f>
        <v>0</v>
      </c>
      <c r="L41" s="2015">
        <f>+'10.Review Research &amp; Surveillen'!L29</f>
        <v>0</v>
      </c>
      <c r="M41" s="162">
        <f>+'10.Review Research &amp; Surveillen'!M29</f>
        <v>0</v>
      </c>
      <c r="N41" s="2015">
        <f>+'10.Review Research &amp; Surveillen'!N29</f>
        <v>0</v>
      </c>
      <c r="O41" s="2822">
        <f>+'10.Review Research &amp; Surveillen'!O29</f>
        <v>0</v>
      </c>
      <c r="P41" s="1987">
        <f>+'10.Review Research &amp; Surveillen'!P29</f>
        <v>0</v>
      </c>
      <c r="Q41" s="54"/>
      <c r="R41" s="2825"/>
    </row>
    <row r="42" spans="1:18">
      <c r="A42" s="1987" t="str">
        <f>+'10.Review Research &amp; Surveillen'!A30</f>
        <v>10.2.13</v>
      </c>
      <c r="B42" s="1987" t="str">
        <f>+'10.Review Research &amp; Surveillen'!B30</f>
        <v>O.2.7.2</v>
      </c>
      <c r="C42" s="1987" t="str">
        <f>+'10.Review Research &amp; Surveillen'!C30</f>
        <v>Research at Institutes</v>
      </c>
      <c r="D42" s="1987" t="str">
        <f>+'10.Review Research &amp; Surveillen'!D30</f>
        <v>NCD</v>
      </c>
      <c r="E42" s="2015" t="str">
        <f>+'10.Review Research &amp; Surveillen'!E30</f>
        <v>NPCDCS</v>
      </c>
      <c r="F42" s="2015">
        <f>+'10.Review Research &amp; Surveillen'!F30</f>
        <v>0</v>
      </c>
      <c r="G42" s="2015">
        <f>+'10.Review Research &amp; Surveillen'!G30</f>
        <v>0</v>
      </c>
      <c r="H42" s="2015">
        <f>+'10.Review Research &amp; Surveillen'!H30</f>
        <v>0</v>
      </c>
      <c r="I42" s="2015">
        <f>+'10.Review Research &amp; Surveillen'!I30</f>
        <v>0</v>
      </c>
      <c r="J42" s="2015">
        <f>+'10.Review Research &amp; Surveillen'!J30</f>
        <v>0</v>
      </c>
      <c r="K42" s="2015">
        <f>+'10.Review Research &amp; Surveillen'!K30</f>
        <v>0</v>
      </c>
      <c r="L42" s="2015">
        <f>+'10.Review Research &amp; Surveillen'!L30</f>
        <v>0</v>
      </c>
      <c r="M42" s="162">
        <f>+'10.Review Research &amp; Surveillen'!M30</f>
        <v>0</v>
      </c>
      <c r="N42" s="2015">
        <f>+'10.Review Research &amp; Surveillen'!N30</f>
        <v>0</v>
      </c>
      <c r="O42" s="2822">
        <f>+'10.Review Research &amp; Surveillen'!O30</f>
        <v>0</v>
      </c>
      <c r="P42" s="1987">
        <f>+'10.Review Research &amp; Surveillen'!P30</f>
        <v>0</v>
      </c>
      <c r="Q42" s="54"/>
      <c r="R42" s="2825"/>
    </row>
    <row r="43" spans="1:18">
      <c r="A43" s="88" t="str">
        <f>+'10.Review Research &amp; Surveillen'!A43</f>
        <v>10.3.2.1</v>
      </c>
      <c r="B43" s="88" t="str">
        <f>+'10.Review Research &amp; Surveillen'!B43</f>
        <v>O.2.7.1</v>
      </c>
      <c r="C43" s="88" t="str">
        <f>+'10.Review Research &amp; Surveillen'!C43</f>
        <v>At State NCD Cell</v>
      </c>
      <c r="D43" s="88" t="str">
        <f>+'10.Review Research &amp; Surveillen'!D43</f>
        <v>NCD</v>
      </c>
      <c r="E43" s="1975" t="str">
        <f>+'10.Review Research &amp; Surveillen'!E43</f>
        <v>NPCDCS</v>
      </c>
      <c r="F43" s="1975">
        <f>+'10.Review Research &amp; Surveillen'!F43</f>
        <v>0</v>
      </c>
      <c r="G43" s="1975">
        <f>+'10.Review Research &amp; Surveillen'!G43</f>
        <v>0</v>
      </c>
      <c r="H43" s="1975">
        <f>+'10.Review Research &amp; Surveillen'!H43</f>
        <v>0</v>
      </c>
      <c r="I43" s="1975">
        <f>+'10.Review Research &amp; Surveillen'!I43</f>
        <v>0</v>
      </c>
      <c r="J43" s="1975">
        <f>+'10.Review Research &amp; Surveillen'!J43</f>
        <v>0</v>
      </c>
      <c r="K43" s="1975">
        <f>+'10.Review Research &amp; Surveillen'!K43</f>
        <v>0</v>
      </c>
      <c r="L43" s="1975">
        <f>+'10.Review Research &amp; Surveillen'!L43</f>
        <v>0</v>
      </c>
      <c r="M43" s="162">
        <f>+'10.Review Research &amp; Surveillen'!M43</f>
        <v>0</v>
      </c>
      <c r="N43" s="1975">
        <f>+'10.Review Research &amp; Surveillen'!N43</f>
        <v>0</v>
      </c>
      <c r="O43" s="2822">
        <f>+'10.Review Research &amp; Surveillen'!O43</f>
        <v>0</v>
      </c>
      <c r="P43" s="88">
        <f>+'10.Review Research &amp; Surveillen'!P43</f>
        <v>0</v>
      </c>
      <c r="Q43" s="54"/>
      <c r="R43" s="2825"/>
    </row>
    <row r="44" spans="1:18">
      <c r="A44" s="88" t="str">
        <f>+'10.Review Research &amp; Surveillen'!A44</f>
        <v>10.3.2.2</v>
      </c>
      <c r="B44" s="88" t="str">
        <f>+'10.Review Research &amp; Surveillen'!B44</f>
        <v>O.2.7.2</v>
      </c>
      <c r="C44" s="88" t="str">
        <f>+'10.Review Research &amp; Surveillen'!C44</f>
        <v>At Institutes</v>
      </c>
      <c r="D44" s="88" t="str">
        <f>+'10.Review Research &amp; Surveillen'!D44</f>
        <v>NCD</v>
      </c>
      <c r="E44" s="1975" t="str">
        <f>+'10.Review Research &amp; Surveillen'!E44</f>
        <v>NPCDCS</v>
      </c>
      <c r="F44" s="1975">
        <f>+'10.Review Research &amp; Surveillen'!F44</f>
        <v>0</v>
      </c>
      <c r="G44" s="1975">
        <f>+'10.Review Research &amp; Surveillen'!G44</f>
        <v>0</v>
      </c>
      <c r="H44" s="1975">
        <f>+'10.Review Research &amp; Surveillen'!H44</f>
        <v>0</v>
      </c>
      <c r="I44" s="1975">
        <f>+'10.Review Research &amp; Surveillen'!I44</f>
        <v>0</v>
      </c>
      <c r="J44" s="1975">
        <f>+'10.Review Research &amp; Surveillen'!J44</f>
        <v>0</v>
      </c>
      <c r="K44" s="1975">
        <f>+'10.Review Research &amp; Surveillen'!K44</f>
        <v>0</v>
      </c>
      <c r="L44" s="1975">
        <f>+'10.Review Research &amp; Surveillen'!L44</f>
        <v>0</v>
      </c>
      <c r="M44" s="162">
        <f>+'10.Review Research &amp; Surveillen'!M44</f>
        <v>0</v>
      </c>
      <c r="N44" s="1975">
        <f>+'10.Review Research &amp; Surveillen'!N44</f>
        <v>0</v>
      </c>
      <c r="O44" s="2822">
        <f>+'10.Review Research &amp; Surveillen'!O44</f>
        <v>0</v>
      </c>
      <c r="P44" s="88">
        <f>+'10.Review Research &amp; Surveillen'!P44</f>
        <v>0</v>
      </c>
      <c r="Q44" s="54"/>
      <c r="R44" s="2825"/>
    </row>
    <row r="45" spans="1:18">
      <c r="A45" s="88" t="str">
        <f>+'10.Review Research &amp; Surveillen'!A45</f>
        <v>10.3.2.3</v>
      </c>
      <c r="B45" s="88"/>
      <c r="C45" s="88" t="str">
        <f>+'10.Review Research &amp; Surveillen'!C45</f>
        <v>Any other (please specify)</v>
      </c>
      <c r="D45" s="88" t="str">
        <f>+'10.Review Research &amp; Surveillen'!D45</f>
        <v>NCD</v>
      </c>
      <c r="E45" s="1975" t="str">
        <f>+'10.Review Research &amp; Surveillen'!E45</f>
        <v>NPCDCS</v>
      </c>
      <c r="F45" s="1975">
        <f>+'10.Review Research &amp; Surveillen'!F45</f>
        <v>0</v>
      </c>
      <c r="G45" s="1975">
        <f>+'10.Review Research &amp; Surveillen'!G45</f>
        <v>0</v>
      </c>
      <c r="H45" s="1975">
        <f>+'10.Review Research &amp; Surveillen'!H45</f>
        <v>0</v>
      </c>
      <c r="I45" s="1975">
        <f>+'10.Review Research &amp; Surveillen'!I45</f>
        <v>0</v>
      </c>
      <c r="J45" s="1975">
        <f>+'10.Review Research &amp; Surveillen'!J45</f>
        <v>0</v>
      </c>
      <c r="K45" s="1975">
        <f>+'10.Review Research &amp; Surveillen'!K45</f>
        <v>0</v>
      </c>
      <c r="L45" s="1975">
        <f>+'10.Review Research &amp; Surveillen'!L45</f>
        <v>0</v>
      </c>
      <c r="M45" s="162">
        <f>+'10.Review Research &amp; Surveillen'!M45</f>
        <v>0</v>
      </c>
      <c r="N45" s="1975">
        <f>+'10.Review Research &amp; Surveillen'!N45</f>
        <v>0</v>
      </c>
      <c r="O45" s="2822">
        <f>+'10.Review Research &amp; Surveillen'!O45</f>
        <v>0</v>
      </c>
      <c r="P45" s="88">
        <f>+'10.Review Research &amp; Surveillen'!P45</f>
        <v>0</v>
      </c>
      <c r="Q45" s="54"/>
      <c r="R45" s="2825"/>
    </row>
    <row r="46" spans="1:18">
      <c r="A46" s="1716">
        <f>'11.IEC-BCC Annex'!A7</f>
        <v>11</v>
      </c>
      <c r="B46" s="1716"/>
      <c r="C46" s="1716" t="str">
        <f>'11.IEC-BCC Annex'!C7</f>
        <v>IEC/BCC</v>
      </c>
      <c r="D46" s="1716"/>
      <c r="E46" s="1717"/>
      <c r="F46" s="1717"/>
      <c r="G46" s="1717"/>
      <c r="H46" s="1717"/>
      <c r="I46" s="1717"/>
      <c r="J46" s="1717"/>
      <c r="K46" s="1717"/>
      <c r="L46" s="1717"/>
      <c r="M46" s="547"/>
      <c r="N46" s="1717"/>
      <c r="O46" s="2817">
        <f>SUM(O47:O50)</f>
        <v>20</v>
      </c>
      <c r="P46" s="1716"/>
      <c r="Q46" s="2092"/>
      <c r="R46" s="2816">
        <f>SUM(R47:R50)</f>
        <v>20</v>
      </c>
    </row>
    <row r="47" spans="1:18" ht="90">
      <c r="A47" s="88" t="str">
        <f>'11.IEC-BCC Annex'!A36</f>
        <v>11.4.5</v>
      </c>
      <c r="B47" s="88" t="str">
        <f>+'11-A. IEC Sub-Annex'!B90</f>
        <v>O.2.3.1</v>
      </c>
      <c r="C47" s="88" t="str">
        <f>+'11-A. IEC Sub-Annex'!C90</f>
        <v>IEC/BCC for State NCD  Cell</v>
      </c>
      <c r="D47" s="88" t="str">
        <f>+'11-A. IEC Sub-Annex'!D90</f>
        <v>NCD</v>
      </c>
      <c r="E47" s="1975" t="str">
        <f>+'11-A. IEC Sub-Annex'!E90</f>
        <v>NPCDCS</v>
      </c>
      <c r="F47" s="1975">
        <f>+'11-A. IEC Sub-Annex'!F90</f>
        <v>1</v>
      </c>
      <c r="G47" s="1975">
        <f>+'11-A. IEC Sub-Annex'!G90</f>
        <v>0</v>
      </c>
      <c r="H47" s="1975">
        <f>+'11-A. IEC Sub-Annex'!H90</f>
        <v>5</v>
      </c>
      <c r="I47" s="1975">
        <f>+'11-A. IEC Sub-Annex'!I90</f>
        <v>0.24</v>
      </c>
      <c r="J47" s="1975">
        <f>+'11-A. IEC Sub-Annex'!J90</f>
        <v>4.76</v>
      </c>
      <c r="K47" s="1975">
        <f>+'11-A. IEC Sub-Annex'!K90</f>
        <v>0</v>
      </c>
      <c r="L47" s="1975">
        <f>+'11-A. IEC Sub-Annex'!L90</f>
        <v>2000000</v>
      </c>
      <c r="M47" s="162">
        <f>+'11-A. IEC Sub-Annex'!M90</f>
        <v>20</v>
      </c>
      <c r="N47" s="1975">
        <f>+'11-A. IEC Sub-Annex'!N90</f>
        <v>1</v>
      </c>
      <c r="O47" s="2822">
        <f>+'11-A. IEC Sub-Annex'!O90</f>
        <v>20</v>
      </c>
      <c r="P47" s="88" t="str">
        <f>+'11-A. IEC Sub-Annex'!P90</f>
        <v xml:space="preserve">IEC about the Nirog Yojna will  be carried out in the state through electronic &amp;print media ,SMS reminders, radio jingles/spots etc. (10 lakh for general IEC and 10 lakh for SMS reminders to the ebnificiaries for follow ups) </v>
      </c>
      <c r="Q47" s="54" t="s">
        <v>5752</v>
      </c>
      <c r="R47" s="2825">
        <v>20</v>
      </c>
    </row>
    <row r="48" spans="1:18">
      <c r="A48" s="88"/>
      <c r="B48" s="88" t="str">
        <f>+'11-A. IEC Sub-Annex'!B91</f>
        <v>O.2.3.2</v>
      </c>
      <c r="C48" s="88" t="str">
        <f>+'11-A. IEC Sub-Annex'!C91</f>
        <v>IEC/BCC for District  NCD Cell</v>
      </c>
      <c r="D48" s="88" t="str">
        <f>+'11-A. IEC Sub-Annex'!D91</f>
        <v>NCD</v>
      </c>
      <c r="E48" s="1975" t="str">
        <f>+'11-A. IEC Sub-Annex'!E91</f>
        <v>NPCDCS</v>
      </c>
      <c r="F48" s="1975">
        <f>+'11-A. IEC Sub-Annex'!F91</f>
        <v>0</v>
      </c>
      <c r="G48" s="1975">
        <f>+'11-A. IEC Sub-Annex'!G91</f>
        <v>0</v>
      </c>
      <c r="H48" s="1975">
        <f>+'11-A. IEC Sub-Annex'!H91</f>
        <v>0</v>
      </c>
      <c r="I48" s="1975">
        <f>+'11-A. IEC Sub-Annex'!I91</f>
        <v>0</v>
      </c>
      <c r="J48" s="1975">
        <f>+'11-A. IEC Sub-Annex'!J91</f>
        <v>0</v>
      </c>
      <c r="K48" s="1975">
        <f>+'11-A. IEC Sub-Annex'!K91</f>
        <v>0</v>
      </c>
      <c r="L48" s="1975">
        <f>+'11-A. IEC Sub-Annex'!L91</f>
        <v>0</v>
      </c>
      <c r="M48" s="162">
        <f>+'11-A. IEC Sub-Annex'!M91</f>
        <v>0</v>
      </c>
      <c r="N48" s="1975">
        <f>+'11-A. IEC Sub-Annex'!N91</f>
        <v>0</v>
      </c>
      <c r="O48" s="2822">
        <f>+'11-A. IEC Sub-Annex'!O91</f>
        <v>0</v>
      </c>
      <c r="P48" s="88">
        <f>+'11-A. IEC Sub-Annex'!P91</f>
        <v>0</v>
      </c>
      <c r="Q48" s="54"/>
      <c r="R48" s="2825"/>
    </row>
    <row r="49" spans="1:18" ht="30">
      <c r="A49" s="88"/>
      <c r="B49" s="88">
        <f>+'11-A. IEC Sub-Annex'!B92</f>
        <v>0</v>
      </c>
      <c r="C49" s="88" t="str">
        <f>+'11-A. IEC Sub-Annex'!C92</f>
        <v>IEC/BCC activities for Universal Screening of NCDs</v>
      </c>
      <c r="D49" s="88" t="str">
        <f>+'11-A. IEC Sub-Annex'!D92</f>
        <v>NCD</v>
      </c>
      <c r="E49" s="1975" t="str">
        <f>+'11-A. IEC Sub-Annex'!E92</f>
        <v>HSS/NPCDCS</v>
      </c>
      <c r="F49" s="1975">
        <f>+'11-A. IEC Sub-Annex'!F92</f>
        <v>0</v>
      </c>
      <c r="G49" s="1975">
        <f>+'11-A. IEC Sub-Annex'!G92</f>
        <v>0</v>
      </c>
      <c r="H49" s="1975">
        <f>+'11-A. IEC Sub-Annex'!H92</f>
        <v>0</v>
      </c>
      <c r="I49" s="1975">
        <f>+'11-A. IEC Sub-Annex'!I92</f>
        <v>0</v>
      </c>
      <c r="J49" s="1975">
        <f>+'11-A. IEC Sub-Annex'!J92</f>
        <v>0</v>
      </c>
      <c r="K49" s="1975">
        <f>+'11-A. IEC Sub-Annex'!K92</f>
        <v>0</v>
      </c>
      <c r="L49" s="1975">
        <f>+'11-A. IEC Sub-Annex'!L92</f>
        <v>0</v>
      </c>
      <c r="M49" s="162">
        <f>+'11-A. IEC Sub-Annex'!M92</f>
        <v>0</v>
      </c>
      <c r="N49" s="1975">
        <f>+'11-A. IEC Sub-Annex'!N92</f>
        <v>0</v>
      </c>
      <c r="O49" s="2822">
        <f>+'11-A. IEC Sub-Annex'!O92</f>
        <v>0</v>
      </c>
      <c r="P49" s="88">
        <f>+'11-A. IEC Sub-Annex'!P92</f>
        <v>0</v>
      </c>
      <c r="Q49" s="54"/>
      <c r="R49" s="2825"/>
    </row>
    <row r="50" spans="1:18" ht="30">
      <c r="A50" s="88"/>
      <c r="B50" s="88">
        <f>+'11-A. IEC Sub-Annex'!B93</f>
        <v>0</v>
      </c>
      <c r="C50" s="88" t="str">
        <f>+'11-A. IEC Sub-Annex'!C93</f>
        <v>Any other IEC/BCC activities (please specify)</v>
      </c>
      <c r="D50" s="88" t="str">
        <f>+'11-A. IEC Sub-Annex'!D93</f>
        <v>NCD</v>
      </c>
      <c r="E50" s="1975" t="str">
        <f>+'11-A. IEC Sub-Annex'!E93</f>
        <v>NPCDCS</v>
      </c>
      <c r="F50" s="1975">
        <f>+'11-A. IEC Sub-Annex'!F93</f>
        <v>0</v>
      </c>
      <c r="G50" s="1975">
        <f>+'11-A. IEC Sub-Annex'!G93</f>
        <v>0</v>
      </c>
      <c r="H50" s="1975">
        <f>+'11-A. IEC Sub-Annex'!H93</f>
        <v>0</v>
      </c>
      <c r="I50" s="1975">
        <f>+'11-A. IEC Sub-Annex'!I93</f>
        <v>0</v>
      </c>
      <c r="J50" s="1975">
        <f>+'11-A. IEC Sub-Annex'!J93</f>
        <v>0</v>
      </c>
      <c r="K50" s="1975">
        <f>+'11-A. IEC Sub-Annex'!K93</f>
        <v>0</v>
      </c>
      <c r="L50" s="1975">
        <f>+'11-A. IEC Sub-Annex'!L93</f>
        <v>0</v>
      </c>
      <c r="M50" s="162">
        <f>+'11-A. IEC Sub-Annex'!M93</f>
        <v>0</v>
      </c>
      <c r="N50" s="1975">
        <f>+'11-A. IEC Sub-Annex'!N93</f>
        <v>0</v>
      </c>
      <c r="O50" s="2822">
        <f>+'11-A. IEC Sub-Annex'!O93</f>
        <v>0</v>
      </c>
      <c r="P50" s="88">
        <f>+'11-A. IEC Sub-Annex'!P93</f>
        <v>0</v>
      </c>
      <c r="Q50" s="54"/>
      <c r="R50" s="2825"/>
    </row>
    <row r="51" spans="1:18">
      <c r="A51" s="1716">
        <f>'12.Printing Annex'!A7</f>
        <v>12</v>
      </c>
      <c r="B51" s="1716"/>
      <c r="C51" s="1716" t="str">
        <f>'12.Printing Annex'!C7</f>
        <v>Printing</v>
      </c>
      <c r="D51" s="1716"/>
      <c r="E51" s="1717"/>
      <c r="F51" s="1717"/>
      <c r="G51" s="1717"/>
      <c r="H51" s="1717"/>
      <c r="I51" s="1717"/>
      <c r="J51" s="1717"/>
      <c r="K51" s="1717"/>
      <c r="L51" s="1717"/>
      <c r="M51" s="547"/>
      <c r="N51" s="1717"/>
      <c r="O51" s="2817">
        <f>SUM(O52:O55)</f>
        <v>20</v>
      </c>
      <c r="P51" s="1716"/>
      <c r="Q51" s="2092"/>
      <c r="R51" s="2816">
        <f>SUM(R52:R55)</f>
        <v>20</v>
      </c>
    </row>
    <row r="52" spans="1:18">
      <c r="A52" s="4095" t="str">
        <f>'12.Printing Annex'!A38</f>
        <v>12.4.5</v>
      </c>
      <c r="B52" s="88" t="str">
        <f>'12-A. Print Sub-Annex'!B99</f>
        <v>O.2.2.1.8.i</v>
      </c>
      <c r="C52" s="88" t="str">
        <f>+'12-A. Print Sub-Annex'!C99</f>
        <v>Patient referral cards at PHC Level</v>
      </c>
      <c r="D52" s="88" t="str">
        <f>+'12-A. Print Sub-Annex'!D99</f>
        <v>NCD</v>
      </c>
      <c r="E52" s="1975" t="str">
        <f>+'12-A. Print Sub-Annex'!E99</f>
        <v>NPCDCS</v>
      </c>
      <c r="F52" s="1975">
        <f>+'12-A. Print Sub-Annex'!F99</f>
        <v>0</v>
      </c>
      <c r="G52" s="1975">
        <f>+'12-A. Print Sub-Annex'!G99</f>
        <v>0</v>
      </c>
      <c r="H52" s="1975">
        <f>+'12-A. Print Sub-Annex'!H99</f>
        <v>0</v>
      </c>
      <c r="I52" s="1975">
        <f>+'12-A. Print Sub-Annex'!I99</f>
        <v>0</v>
      </c>
      <c r="J52" s="1975">
        <f>+'12-A. Print Sub-Annex'!J99</f>
        <v>0</v>
      </c>
      <c r="K52" s="1975">
        <f>+'12-A. Print Sub-Annex'!K99</f>
        <v>0</v>
      </c>
      <c r="L52" s="1975">
        <f>+'12-A. Print Sub-Annex'!L99</f>
        <v>0</v>
      </c>
      <c r="M52" s="162">
        <f>+'12-A. Print Sub-Annex'!M99</f>
        <v>0</v>
      </c>
      <c r="N52" s="1975">
        <f>+'12-A. Print Sub-Annex'!N99</f>
        <v>0</v>
      </c>
      <c r="O52" s="2822">
        <f>+'12-A. Print Sub-Annex'!O99</f>
        <v>0</v>
      </c>
      <c r="P52" s="88">
        <f>+'12-A. Print Sub-Annex'!P99</f>
        <v>0</v>
      </c>
      <c r="Q52" s="54"/>
      <c r="R52" s="2825"/>
    </row>
    <row r="53" spans="1:18" ht="45">
      <c r="A53" s="4095"/>
      <c r="B53" s="88" t="str">
        <f>'12-A. Print Sub-Annex'!B100</f>
        <v>O.2.2.1.8.ii</v>
      </c>
      <c r="C53" s="88" t="str">
        <f>+'12-A. Print Sub-Annex'!C100</f>
        <v>Patient referral cards at Sub-centre level</v>
      </c>
      <c r="D53" s="88" t="str">
        <f>+'12-A. Print Sub-Annex'!D100</f>
        <v>NCD</v>
      </c>
      <c r="E53" s="1975" t="str">
        <f>+'12-A. Print Sub-Annex'!E100</f>
        <v>NPCDCS</v>
      </c>
      <c r="F53" s="1975">
        <f>+'12-A. Print Sub-Annex'!F100</f>
        <v>1</v>
      </c>
      <c r="G53" s="1975">
        <f>+'12-A. Print Sub-Annex'!G100</f>
        <v>0</v>
      </c>
      <c r="H53" s="1975">
        <f>+'12-A. Print Sub-Annex'!H100</f>
        <v>5</v>
      </c>
      <c r="I53" s="1975">
        <f>+'12-A. Print Sub-Annex'!I100</f>
        <v>3.28</v>
      </c>
      <c r="J53" s="1975">
        <f>+'12-A. Print Sub-Annex'!J100</f>
        <v>1.7200000000000002</v>
      </c>
      <c r="K53" s="1975">
        <f>+'12-A. Print Sub-Annex'!K100</f>
        <v>0</v>
      </c>
      <c r="L53" s="1975">
        <f>+'12-A. Print Sub-Annex'!L100</f>
        <v>1000000</v>
      </c>
      <c r="M53" s="162">
        <f>+'12-A. Print Sub-Annex'!M100</f>
        <v>10</v>
      </c>
      <c r="N53" s="1975">
        <f>+'12-A. Print Sub-Annex'!N100</f>
        <v>1</v>
      </c>
      <c r="O53" s="2822">
        <f>+'12-A. Print Sub-Annex'!O100</f>
        <v>10</v>
      </c>
      <c r="P53" s="88" t="str">
        <f>+'12-A. Print Sub-Annex'!P100</f>
        <v xml:space="preserve"> Prinitinmg of refferal slips and Pamphlet for distribution to the beneficiries under Nirog Yojna </v>
      </c>
      <c r="Q53" s="54" t="s">
        <v>5752</v>
      </c>
      <c r="R53" s="2825">
        <v>10</v>
      </c>
    </row>
    <row r="54" spans="1:18" ht="90">
      <c r="A54" s="4095"/>
      <c r="B54" s="88">
        <f>'12-A. Print Sub-Annex'!B101</f>
        <v>0</v>
      </c>
      <c r="C54" s="88" t="str">
        <f>+'12-A. Print Sub-Annex'!C101</f>
        <v>Printing activities for Universal Screening of NCDs - printing of cards and modules</v>
      </c>
      <c r="D54" s="88" t="str">
        <f>+'12-A. Print Sub-Annex'!D101</f>
        <v>NCD</v>
      </c>
      <c r="E54" s="1975" t="str">
        <f>+'12-A. Print Sub-Annex'!E101</f>
        <v>NPCDCS</v>
      </c>
      <c r="F54" s="1975">
        <f>+'12-A. Print Sub-Annex'!F101</f>
        <v>1</v>
      </c>
      <c r="G54" s="1975">
        <f>+'12-A. Print Sub-Annex'!G101</f>
        <v>0</v>
      </c>
      <c r="H54" s="1975">
        <f>+'12-A. Print Sub-Annex'!H101</f>
        <v>10</v>
      </c>
      <c r="I54" s="1975">
        <f>+'12-A. Print Sub-Annex'!I101</f>
        <v>0.14000000000000001</v>
      </c>
      <c r="J54" s="1975">
        <f>+'12-A. Print Sub-Annex'!J101</f>
        <v>9.86</v>
      </c>
      <c r="K54" s="1975">
        <f>+'12-A. Print Sub-Annex'!K101</f>
        <v>0</v>
      </c>
      <c r="L54" s="1975">
        <f>+'12-A. Print Sub-Annex'!L101</f>
        <v>1000000</v>
      </c>
      <c r="M54" s="162">
        <f>+'12-A. Print Sub-Annex'!M101</f>
        <v>10</v>
      </c>
      <c r="N54" s="1975">
        <f>+'12-A. Print Sub-Annex'!N101</f>
        <v>1</v>
      </c>
      <c r="O54" s="2822">
        <f>+'12-A. Print Sub-Annex'!O101</f>
        <v>10</v>
      </c>
      <c r="P54" s="88" t="str">
        <f>+'12-A. Print Sub-Annex'!P101</f>
        <v>Proposed for printing of  revised CBAC Checklist/Health Cards</v>
      </c>
      <c r="Q54" s="54" t="s">
        <v>5911</v>
      </c>
      <c r="R54" s="2825">
        <v>10</v>
      </c>
    </row>
    <row r="55" spans="1:18">
      <c r="A55" s="4095"/>
      <c r="B55" s="88">
        <f>'12-A. Print Sub-Annex'!B102</f>
        <v>0</v>
      </c>
      <c r="C55" s="88" t="str">
        <f>+'12-A. Print Sub-Annex'!C102</f>
        <v>Any other (please specify)</v>
      </c>
      <c r="D55" s="88" t="str">
        <f>+'12-A. Print Sub-Annex'!D102</f>
        <v>NCD</v>
      </c>
      <c r="E55" s="1975" t="str">
        <f>+'12-A. Print Sub-Annex'!E102</f>
        <v>NPCDCS</v>
      </c>
      <c r="F55" s="1975">
        <f>+'12-A. Print Sub-Annex'!F102</f>
        <v>0</v>
      </c>
      <c r="G55" s="1975">
        <f>+'12-A. Print Sub-Annex'!G102</f>
        <v>0</v>
      </c>
      <c r="H55" s="1975">
        <f>+'12-A. Print Sub-Annex'!H102</f>
        <v>0</v>
      </c>
      <c r="I55" s="1975">
        <f>+'12-A. Print Sub-Annex'!I102</f>
        <v>0</v>
      </c>
      <c r="J55" s="1975">
        <f>+'12-A. Print Sub-Annex'!J102</f>
        <v>0</v>
      </c>
      <c r="K55" s="1975">
        <f>+'12-A. Print Sub-Annex'!K102</f>
        <v>0</v>
      </c>
      <c r="L55" s="1975">
        <f>+'12-A. Print Sub-Annex'!L102</f>
        <v>0</v>
      </c>
      <c r="M55" s="162">
        <f>+'12-A. Print Sub-Annex'!M102</f>
        <v>0</v>
      </c>
      <c r="N55" s="1975">
        <f>+'12-A. Print Sub-Annex'!N102</f>
        <v>0</v>
      </c>
      <c r="O55" s="2822">
        <f>+'12-A. Print Sub-Annex'!O102</f>
        <v>0</v>
      </c>
      <c r="P55" s="88">
        <f>+'12-A. Print Sub-Annex'!P102</f>
        <v>0</v>
      </c>
      <c r="Q55" s="54"/>
      <c r="R55" s="2825"/>
    </row>
    <row r="56" spans="1:18">
      <c r="A56" s="1716">
        <f>'15.PPP Annex'!A7</f>
        <v>15</v>
      </c>
      <c r="B56" s="1716"/>
      <c r="C56" s="1716" t="str">
        <f>'15.PPP Annex'!C7</f>
        <v>PPP</v>
      </c>
      <c r="D56" s="1716"/>
      <c r="E56" s="1717"/>
      <c r="F56" s="1717"/>
      <c r="G56" s="1717"/>
      <c r="H56" s="1717"/>
      <c r="I56" s="1717"/>
      <c r="J56" s="1717"/>
      <c r="K56" s="1717"/>
      <c r="L56" s="1717"/>
      <c r="M56" s="547"/>
      <c r="N56" s="1717"/>
      <c r="O56" s="2817">
        <f>SUM(O57:O60)</f>
        <v>0</v>
      </c>
      <c r="P56" s="1716"/>
      <c r="Q56" s="2092"/>
      <c r="R56" s="2816">
        <f>SUM(R57:R60)</f>
        <v>0</v>
      </c>
    </row>
    <row r="57" spans="1:18">
      <c r="A57" s="88" t="str">
        <f>+'15.PPP Annex'!A48</f>
        <v>15.4.5.1</v>
      </c>
      <c r="B57" s="88" t="str">
        <f>+'15.PPP Annex'!B48</f>
        <v>15.8.1/ O.2.6.1</v>
      </c>
      <c r="C57" s="88" t="str">
        <f>+'15.PPP Annex'!C48</f>
        <v>PPP at State NCD Cell</v>
      </c>
      <c r="D57" s="88" t="str">
        <f>+'15.PPP Annex'!D48</f>
        <v>NCD</v>
      </c>
      <c r="E57" s="1975" t="str">
        <f>+'15.PPP Annex'!E48</f>
        <v>NPCDCS</v>
      </c>
      <c r="F57" s="1975">
        <f>+'15.PPP Annex'!F48</f>
        <v>0</v>
      </c>
      <c r="G57" s="1975">
        <f>+'15.PPP Annex'!G48</f>
        <v>0</v>
      </c>
      <c r="H57" s="1975">
        <f>+'15.PPP Annex'!H48</f>
        <v>0</v>
      </c>
      <c r="I57" s="1975">
        <f>+'15.PPP Annex'!I48</f>
        <v>0</v>
      </c>
      <c r="J57" s="1975">
        <f>+'15.PPP Annex'!J48</f>
        <v>0</v>
      </c>
      <c r="K57" s="1975">
        <f>+'15.PPP Annex'!K48</f>
        <v>0</v>
      </c>
      <c r="L57" s="1975">
        <f>+'15.PPP Annex'!L48</f>
        <v>0</v>
      </c>
      <c r="M57" s="162">
        <f>+'15.PPP Annex'!M48</f>
        <v>0</v>
      </c>
      <c r="N57" s="1975">
        <f>+'15.PPP Annex'!N48</f>
        <v>0</v>
      </c>
      <c r="O57" s="2822">
        <f>+'15.PPP Annex'!O48</f>
        <v>0</v>
      </c>
      <c r="P57" s="88">
        <f>+'15.PPP Annex'!P48</f>
        <v>0</v>
      </c>
      <c r="Q57" s="54"/>
      <c r="R57" s="2825"/>
    </row>
    <row r="58" spans="1:18">
      <c r="A58" s="88" t="str">
        <f>+'15.PPP Annex'!A49</f>
        <v>15.4.5.2</v>
      </c>
      <c r="B58" s="88" t="str">
        <f>+'15.PPP Annex'!B49</f>
        <v>15.8.2/ O.2.6.2</v>
      </c>
      <c r="C58" s="88" t="str">
        <f>+'15.PPP Annex'!C49</f>
        <v>PPP at District NCD Cell / Clinic</v>
      </c>
      <c r="D58" s="88" t="str">
        <f>+'15.PPP Annex'!D49</f>
        <v>NCD</v>
      </c>
      <c r="E58" s="1975" t="str">
        <f>+'15.PPP Annex'!E49</f>
        <v>NPCDCS</v>
      </c>
      <c r="F58" s="1975">
        <f>+'15.PPP Annex'!F49</f>
        <v>0</v>
      </c>
      <c r="G58" s="1975">
        <f>+'15.PPP Annex'!G49</f>
        <v>0</v>
      </c>
      <c r="H58" s="1975">
        <f>+'15.PPP Annex'!H49</f>
        <v>0</v>
      </c>
      <c r="I58" s="1975">
        <f>+'15.PPP Annex'!I49</f>
        <v>0</v>
      </c>
      <c r="J58" s="1975">
        <f>+'15.PPP Annex'!J49</f>
        <v>0</v>
      </c>
      <c r="K58" s="1975">
        <f>+'15.PPP Annex'!K49</f>
        <v>0</v>
      </c>
      <c r="L58" s="1975">
        <f>+'15.PPP Annex'!L49</f>
        <v>0</v>
      </c>
      <c r="M58" s="162">
        <f>+'15.PPP Annex'!M49</f>
        <v>0</v>
      </c>
      <c r="N58" s="1975">
        <f>+'15.PPP Annex'!N49</f>
        <v>0</v>
      </c>
      <c r="O58" s="2822">
        <f>+'15.PPP Annex'!O49</f>
        <v>0</v>
      </c>
      <c r="P58" s="88">
        <f>+'15.PPP Annex'!P49</f>
        <v>0</v>
      </c>
      <c r="Q58" s="54"/>
      <c r="R58" s="2825"/>
    </row>
    <row r="59" spans="1:18">
      <c r="A59" s="88" t="str">
        <f>+'15.PPP Annex'!A50</f>
        <v>15.4.5.3</v>
      </c>
      <c r="B59" s="88" t="str">
        <f>+'15.PPP Annex'!B50</f>
        <v>15.8.3/ O.2.6.3</v>
      </c>
      <c r="C59" s="88" t="str">
        <f>+'15.PPP Annex'!C50</f>
        <v>PPP at CHC NCD Clinic</v>
      </c>
      <c r="D59" s="88" t="str">
        <f>+'15.PPP Annex'!D50</f>
        <v>NCD</v>
      </c>
      <c r="E59" s="1975" t="str">
        <f>+'15.PPP Annex'!E50</f>
        <v>NPCDCS</v>
      </c>
      <c r="F59" s="1975">
        <f>+'15.PPP Annex'!F50</f>
        <v>0</v>
      </c>
      <c r="G59" s="1975">
        <f>+'15.PPP Annex'!G50</f>
        <v>0</v>
      </c>
      <c r="H59" s="1975">
        <f>+'15.PPP Annex'!H50</f>
        <v>0</v>
      </c>
      <c r="I59" s="1975">
        <f>+'15.PPP Annex'!I50</f>
        <v>0</v>
      </c>
      <c r="J59" s="1975">
        <f>+'15.PPP Annex'!J50</f>
        <v>0</v>
      </c>
      <c r="K59" s="1975">
        <f>+'15.PPP Annex'!K50</f>
        <v>0</v>
      </c>
      <c r="L59" s="1975">
        <f>+'15.PPP Annex'!L50</f>
        <v>0</v>
      </c>
      <c r="M59" s="162">
        <f>+'15.PPP Annex'!M50</f>
        <v>0</v>
      </c>
      <c r="N59" s="1975">
        <f>+'15.PPP Annex'!N50</f>
        <v>0</v>
      </c>
      <c r="O59" s="2822">
        <f>+'15.PPP Annex'!O50</f>
        <v>0</v>
      </c>
      <c r="P59" s="88">
        <f>+'15.PPP Annex'!P50</f>
        <v>0</v>
      </c>
      <c r="Q59" s="54"/>
      <c r="R59" s="2825"/>
    </row>
    <row r="60" spans="1:18">
      <c r="A60" s="88" t="str">
        <f>+'15.PPP Annex'!A51</f>
        <v>15.4.5.4</v>
      </c>
      <c r="B60" s="88"/>
      <c r="C60" s="88" t="str">
        <f>+'15.PPP Annex'!C51</f>
        <v>Any other (please specify)</v>
      </c>
      <c r="D60" s="88" t="str">
        <f>+'15.PPP Annex'!D51</f>
        <v>NCD</v>
      </c>
      <c r="E60" s="1975" t="str">
        <f>+'15.PPP Annex'!E51</f>
        <v>NPCDCS</v>
      </c>
      <c r="F60" s="1975">
        <f>+'15.PPP Annex'!F51</f>
        <v>0</v>
      </c>
      <c r="G60" s="1975">
        <f>+'15.PPP Annex'!G51</f>
        <v>0</v>
      </c>
      <c r="H60" s="1975">
        <f>+'15.PPP Annex'!H51</f>
        <v>0</v>
      </c>
      <c r="I60" s="1975">
        <f>+'15.PPP Annex'!I51</f>
        <v>0</v>
      </c>
      <c r="J60" s="1975">
        <f>+'15.PPP Annex'!J51</f>
        <v>0</v>
      </c>
      <c r="K60" s="1975">
        <f>+'15.PPP Annex'!K51</f>
        <v>0</v>
      </c>
      <c r="L60" s="1975">
        <f>+'15.PPP Annex'!L51</f>
        <v>0</v>
      </c>
      <c r="M60" s="162">
        <f>+'15.PPP Annex'!M51</f>
        <v>0</v>
      </c>
      <c r="N60" s="1975">
        <f>+'15.PPP Annex'!N51</f>
        <v>0</v>
      </c>
      <c r="O60" s="2822">
        <f>+'15.PPP Annex'!O51</f>
        <v>0</v>
      </c>
      <c r="P60" s="88">
        <f>+'15.PPP Annex'!P51</f>
        <v>0</v>
      </c>
      <c r="Q60" s="54"/>
      <c r="R60" s="2825"/>
    </row>
    <row r="61" spans="1:18">
      <c r="A61" s="876">
        <f>'16.PM Annex'!A7</f>
        <v>16</v>
      </c>
      <c r="B61" s="876"/>
      <c r="C61" s="876" t="str">
        <f>'16.PM Annex'!C7</f>
        <v>Programme Management</v>
      </c>
      <c r="D61" s="878"/>
      <c r="E61" s="877"/>
      <c r="F61" s="877"/>
      <c r="G61" s="877"/>
      <c r="H61" s="877"/>
      <c r="I61" s="877"/>
      <c r="J61" s="877"/>
      <c r="K61" s="877"/>
      <c r="L61" s="877"/>
      <c r="M61" s="547"/>
      <c r="N61" s="877"/>
      <c r="O61" s="2817">
        <f>SUM(O62:O73)</f>
        <v>0</v>
      </c>
      <c r="P61" s="876"/>
      <c r="Q61" s="2092"/>
      <c r="R61" s="2816">
        <f>SUM(R62:R73)</f>
        <v>0</v>
      </c>
    </row>
    <row r="62" spans="1:18">
      <c r="A62" s="88" t="str">
        <f>'16-A. PM sub Annex'!A61</f>
        <v>16.1.2.2.11</v>
      </c>
      <c r="B62" s="88" t="e">
        <f>'16-A. PM sub Annex'!#REF!</f>
        <v>#REF!</v>
      </c>
      <c r="C62" s="88" t="str">
        <f>'16-A. PM sub Annex'!C61</f>
        <v>State NCD  Cell</v>
      </c>
      <c r="D62" s="88" t="str">
        <f>'16-A. PM sub Annex'!D61</f>
        <v>NCD</v>
      </c>
      <c r="E62" s="1975" t="str">
        <f>'16-A. PM sub Annex'!E61</f>
        <v>HRH&amp;HPIP/NPCDCS</v>
      </c>
      <c r="F62" s="1975">
        <f>'16-A. PM sub Annex'!F61</f>
        <v>1</v>
      </c>
      <c r="G62" s="1975">
        <f>'16-A. PM sub Annex'!G61</f>
        <v>0</v>
      </c>
      <c r="H62" s="1975">
        <f>'16-A. PM sub Annex'!H61</f>
        <v>1</v>
      </c>
      <c r="I62" s="1975">
        <f>'16-A. PM sub Annex'!I61</f>
        <v>0</v>
      </c>
      <c r="J62" s="1975">
        <f>'16-A. PM sub Annex'!J61</f>
        <v>0</v>
      </c>
      <c r="K62" s="1975">
        <f>'16-A. PM sub Annex'!K61</f>
        <v>0</v>
      </c>
      <c r="L62" s="1975">
        <f>'16-A. PM sub Annex'!L61</f>
        <v>0</v>
      </c>
      <c r="M62" s="162">
        <f>'16-A. PM sub Annex'!M61</f>
        <v>0</v>
      </c>
      <c r="N62" s="1975">
        <f>'16-A. PM sub Annex'!N61</f>
        <v>0</v>
      </c>
      <c r="O62" s="2822">
        <f>'16-A. PM sub Annex'!O61</f>
        <v>0</v>
      </c>
      <c r="P62" s="88">
        <f>'16-A. PM sub Annex'!P61</f>
        <v>0</v>
      </c>
      <c r="Q62" s="54"/>
      <c r="R62" s="2825"/>
    </row>
    <row r="63" spans="1:18">
      <c r="A63" s="88" t="str">
        <f>'16-A. PM sub Annex'!A62</f>
        <v>16.1.2.2.12</v>
      </c>
      <c r="B63" s="88" t="e">
        <f>'16-A. PM sub Annex'!#REF!</f>
        <v>#REF!</v>
      </c>
      <c r="C63" s="88" t="str">
        <f>'16-A. PM sub Annex'!C62</f>
        <v>District  NCD Cell</v>
      </c>
      <c r="D63" s="88" t="str">
        <f>'16-A. PM sub Annex'!D62</f>
        <v>NCD</v>
      </c>
      <c r="E63" s="1975" t="str">
        <f>'16-A. PM sub Annex'!E62</f>
        <v>HRH&amp;HPIP/NPCDCS</v>
      </c>
      <c r="F63" s="1975">
        <f>'16-A. PM sub Annex'!F62</f>
        <v>12</v>
      </c>
      <c r="G63" s="1975">
        <f>'16-A. PM sub Annex'!G62</f>
        <v>0</v>
      </c>
      <c r="H63" s="1975">
        <f>'16-A. PM sub Annex'!H62</f>
        <v>12</v>
      </c>
      <c r="I63" s="1975">
        <f>'16-A. PM sub Annex'!I62</f>
        <v>1.18</v>
      </c>
      <c r="J63" s="1975">
        <f>'16-A. PM sub Annex'!J62</f>
        <v>10</v>
      </c>
      <c r="K63" s="1975">
        <f>'16-A. PM sub Annex'!K62</f>
        <v>0</v>
      </c>
      <c r="L63" s="1975">
        <f>'16-A. PM sub Annex'!L62</f>
        <v>0</v>
      </c>
      <c r="M63" s="162">
        <f>'16-A. PM sub Annex'!M62</f>
        <v>0</v>
      </c>
      <c r="N63" s="1975">
        <f>'16-A. PM sub Annex'!N62</f>
        <v>0</v>
      </c>
      <c r="O63" s="2822">
        <f>'16-A. PM sub Annex'!O62</f>
        <v>0</v>
      </c>
      <c r="P63" s="88">
        <f>'16-A. PM sub Annex'!P62</f>
        <v>0</v>
      </c>
      <c r="Q63" s="54"/>
      <c r="R63" s="2825"/>
    </row>
    <row r="64" spans="1:18">
      <c r="A64" s="88" t="str">
        <f>'16-A. PM sub Annex'!A64</f>
        <v>16.1.2.2.15</v>
      </c>
      <c r="B64" s="88" t="e">
        <f>'16-A. PM sub Annex'!#REF!</f>
        <v>#REF!</v>
      </c>
      <c r="C64" s="88" t="str">
        <f>'16-A. PM sub Annex'!C64</f>
        <v>Monitoring &amp; Evaluation under MVCR</v>
      </c>
      <c r="D64" s="88" t="str">
        <f>'16-A. PM sub Annex'!D64</f>
        <v>NDCP</v>
      </c>
      <c r="E64" s="1975" t="str">
        <f>'16-A. PM sub Annex'!E64</f>
        <v>HRH&amp;HPIP/NVBDCP</v>
      </c>
      <c r="F64" s="1975">
        <f>'16-A. PM sub Annex'!F64</f>
        <v>0</v>
      </c>
      <c r="G64" s="1975">
        <f>'16-A. PM sub Annex'!G64</f>
        <v>0</v>
      </c>
      <c r="H64" s="1975">
        <f>'16-A. PM sub Annex'!H64</f>
        <v>0</v>
      </c>
      <c r="I64" s="1975">
        <f>'16-A. PM sub Annex'!I64</f>
        <v>0</v>
      </c>
      <c r="J64" s="1975">
        <f>'16-A. PM sub Annex'!J64</f>
        <v>0</v>
      </c>
      <c r="K64" s="1975">
        <f>'16-A. PM sub Annex'!K64</f>
        <v>0</v>
      </c>
      <c r="L64" s="1975">
        <f>'16-A. PM sub Annex'!L64</f>
        <v>0</v>
      </c>
      <c r="M64" s="162">
        <f>'16-A. PM sub Annex'!M64</f>
        <v>0</v>
      </c>
      <c r="N64" s="1975">
        <f>'16-A. PM sub Annex'!N64</f>
        <v>0</v>
      </c>
      <c r="O64" s="2822">
        <f>'16-A. PM sub Annex'!O64</f>
        <v>0</v>
      </c>
      <c r="P64" s="88">
        <f>'16-A. PM sub Annex'!P64</f>
        <v>0</v>
      </c>
      <c r="Q64" s="54"/>
      <c r="R64" s="2825"/>
    </row>
    <row r="65" spans="1:18">
      <c r="A65" s="88" t="str">
        <f>'16-A. PM sub Annex'!A88</f>
        <v>16.1.3.1.19</v>
      </c>
      <c r="B65" s="88" t="e">
        <f>'16-A. PM sub Annex'!#REF!</f>
        <v>#REF!</v>
      </c>
      <c r="C65" s="88" t="str">
        <f>'16-A. PM sub Annex'!C88</f>
        <v>State NCD Cell (TA,DA, POL)</v>
      </c>
      <c r="D65" s="88" t="str">
        <f>'16-A. PM sub Annex'!D88</f>
        <v>NCD</v>
      </c>
      <c r="E65" s="1975" t="str">
        <f>'16-A. PM sub Annex'!E88</f>
        <v>HRH&amp;HPIP/NPCDCS</v>
      </c>
      <c r="F65" s="1975">
        <f>'16-A. PM sub Annex'!F88</f>
        <v>0</v>
      </c>
      <c r="G65" s="1975">
        <f>'16-A. PM sub Annex'!G88</f>
        <v>0</v>
      </c>
      <c r="H65" s="1975">
        <f>'16-A. PM sub Annex'!H88</f>
        <v>0</v>
      </c>
      <c r="I65" s="1975">
        <f>'16-A. PM sub Annex'!I88</f>
        <v>0</v>
      </c>
      <c r="J65" s="1975">
        <f>'16-A. PM sub Annex'!J88</f>
        <v>0</v>
      </c>
      <c r="K65" s="1975">
        <f>'16-A. PM sub Annex'!K88</f>
        <v>0</v>
      </c>
      <c r="L65" s="1975">
        <f>'16-A. PM sub Annex'!L88</f>
        <v>0</v>
      </c>
      <c r="M65" s="162">
        <f>'16-A. PM sub Annex'!M88</f>
        <v>0</v>
      </c>
      <c r="N65" s="1975">
        <f>'16-A. PM sub Annex'!N88</f>
        <v>0</v>
      </c>
      <c r="O65" s="2822">
        <f>'16-A. PM sub Annex'!O88</f>
        <v>0</v>
      </c>
      <c r="P65" s="88">
        <f>'16-A. PM sub Annex'!P88</f>
        <v>0</v>
      </c>
      <c r="Q65" s="54"/>
      <c r="R65" s="2825"/>
    </row>
    <row r="66" spans="1:18">
      <c r="A66" s="88" t="str">
        <f>'16-A. PM sub Annex'!A109</f>
        <v>16.1.3.3.16</v>
      </c>
      <c r="B66" s="88" t="e">
        <f>'16-A. PM sub Annex'!#REF!</f>
        <v>#REF!</v>
      </c>
      <c r="C66" s="88" t="str">
        <f>'16-A. PM sub Annex'!C109</f>
        <v>District NCD Cell (TA,DA, POL)</v>
      </c>
      <c r="D66" s="88" t="str">
        <f>'16-A. PM sub Annex'!D109</f>
        <v>NCD</v>
      </c>
      <c r="E66" s="1975" t="str">
        <f>'16-A. PM sub Annex'!E109</f>
        <v>HRH&amp;HPIP/NPCDCS</v>
      </c>
      <c r="F66" s="1975">
        <f>'16-A. PM sub Annex'!F109</f>
        <v>0</v>
      </c>
      <c r="G66" s="1975">
        <f>'16-A. PM sub Annex'!G109</f>
        <v>0</v>
      </c>
      <c r="H66" s="1975">
        <f>'16-A. PM sub Annex'!H109</f>
        <v>0</v>
      </c>
      <c r="I66" s="1975">
        <f>'16-A. PM sub Annex'!I109</f>
        <v>0</v>
      </c>
      <c r="J66" s="1975">
        <f>'16-A. PM sub Annex'!J109</f>
        <v>0</v>
      </c>
      <c r="K66" s="1975">
        <f>'16-A. PM sub Annex'!K109</f>
        <v>0</v>
      </c>
      <c r="L66" s="1975">
        <f>'16-A. PM sub Annex'!L109</f>
        <v>0</v>
      </c>
      <c r="M66" s="162">
        <f>'16-A. PM sub Annex'!M109</f>
        <v>0</v>
      </c>
      <c r="N66" s="1975">
        <f>'16-A. PM sub Annex'!N109</f>
        <v>0</v>
      </c>
      <c r="O66" s="2822">
        <f>'16-A. PM sub Annex'!O109</f>
        <v>0</v>
      </c>
      <c r="P66" s="88">
        <f>'16-A. PM sub Annex'!P109</f>
        <v>0</v>
      </c>
      <c r="Q66" s="54"/>
      <c r="R66" s="2825"/>
    </row>
    <row r="67" spans="1:18">
      <c r="A67" s="88" t="str">
        <f>'16-A. PM sub Annex'!A133</f>
        <v>16.1.4.1.13</v>
      </c>
      <c r="B67" s="88" t="e">
        <f>'16-A. PM sub Annex'!#REF!</f>
        <v>#REF!</v>
      </c>
      <c r="C67" s="88" t="str">
        <f>'16-A. PM sub Annex'!C133</f>
        <v>State NCD Cell (Contingency)</v>
      </c>
      <c r="D67" s="88" t="str">
        <f>'16-A. PM sub Annex'!D133</f>
        <v>NCD</v>
      </c>
      <c r="E67" s="1975" t="str">
        <f>'16-A. PM sub Annex'!E133</f>
        <v>HRH&amp;HPIP/NPCDCS</v>
      </c>
      <c r="F67" s="1975">
        <f>'16-A. PM sub Annex'!F133</f>
        <v>0</v>
      </c>
      <c r="G67" s="1975">
        <f>'16-A. PM sub Annex'!G133</f>
        <v>0</v>
      </c>
      <c r="H67" s="1975">
        <f>'16-A. PM sub Annex'!H133</f>
        <v>0</v>
      </c>
      <c r="I67" s="1975">
        <f>'16-A. PM sub Annex'!I133</f>
        <v>0</v>
      </c>
      <c r="J67" s="1975">
        <f>'16-A. PM sub Annex'!J133</f>
        <v>0</v>
      </c>
      <c r="K67" s="1975">
        <f>'16-A. PM sub Annex'!K133</f>
        <v>0</v>
      </c>
      <c r="L67" s="1975">
        <f>'16-A. PM sub Annex'!L133</f>
        <v>0</v>
      </c>
      <c r="M67" s="162">
        <f>'16-A. PM sub Annex'!M133</f>
        <v>0</v>
      </c>
      <c r="N67" s="1975">
        <f>'16-A. PM sub Annex'!N133</f>
        <v>0</v>
      </c>
      <c r="O67" s="2822">
        <f>'16-A. PM sub Annex'!O133</f>
        <v>0</v>
      </c>
      <c r="P67" s="88">
        <f>'16-A. PM sub Annex'!P133</f>
        <v>0</v>
      </c>
      <c r="Q67" s="54"/>
      <c r="R67" s="2825"/>
    </row>
    <row r="68" spans="1:18">
      <c r="A68" s="88" t="str">
        <f>'16-A. PM sub Annex'!A145</f>
        <v>16.1.4.2.9</v>
      </c>
      <c r="B68" s="88" t="e">
        <f>'16-A. PM sub Annex'!#REF!</f>
        <v>#REF!</v>
      </c>
      <c r="C68" s="88" t="str">
        <f>'16-A. PM sub Annex'!C145</f>
        <v>District NCD Cell (Contingency)</v>
      </c>
      <c r="D68" s="88" t="str">
        <f>'16-A. PM sub Annex'!D145</f>
        <v>NCD</v>
      </c>
      <c r="E68" s="1975" t="str">
        <f>'16-A. PM sub Annex'!E145</f>
        <v>HRH&amp;HPIP/NPCDCS</v>
      </c>
      <c r="F68" s="1975">
        <f>'16-A. PM sub Annex'!F145</f>
        <v>0</v>
      </c>
      <c r="G68" s="1975">
        <f>'16-A. PM sub Annex'!G145</f>
        <v>0</v>
      </c>
      <c r="H68" s="1975">
        <f>'16-A. PM sub Annex'!H145</f>
        <v>0</v>
      </c>
      <c r="I68" s="1975">
        <f>'16-A. PM sub Annex'!I145</f>
        <v>0</v>
      </c>
      <c r="J68" s="1975">
        <f>'16-A. PM sub Annex'!J145</f>
        <v>0</v>
      </c>
      <c r="K68" s="1975">
        <f>'16-A. PM sub Annex'!K145</f>
        <v>0</v>
      </c>
      <c r="L68" s="1975">
        <f>'16-A. PM sub Annex'!L145</f>
        <v>0</v>
      </c>
      <c r="M68" s="162">
        <f>'16-A. PM sub Annex'!M145</f>
        <v>0</v>
      </c>
      <c r="N68" s="1975">
        <f>'16-A. PM sub Annex'!N145</f>
        <v>0</v>
      </c>
      <c r="O68" s="2822">
        <f>'16-A. PM sub Annex'!O145</f>
        <v>0</v>
      </c>
      <c r="P68" s="88">
        <f>'16-A. PM sub Annex'!P145</f>
        <v>0</v>
      </c>
      <c r="Q68" s="54"/>
      <c r="R68" s="2825"/>
    </row>
    <row r="69" spans="1:18">
      <c r="A69" s="88" t="str">
        <f>'16-A. PM sub Annex'!A159</f>
        <v>16.1.5.2.5.1</v>
      </c>
      <c r="B69" s="88" t="e">
        <f>'16-A. PM sub Annex'!#REF!</f>
        <v>#REF!</v>
      </c>
      <c r="C69" s="88" t="str">
        <f>'16-A. PM sub Annex'!C159</f>
        <v>State NCD  Cell</v>
      </c>
      <c r="D69" s="88" t="str">
        <f>'16-A. PM sub Annex'!D159</f>
        <v>NCD</v>
      </c>
      <c r="E69" s="1975" t="str">
        <f>'16-A. PM sub Annex'!E159</f>
        <v>HRH&amp;HPIP/NPCDCS</v>
      </c>
      <c r="F69" s="1975">
        <f>'16-A. PM sub Annex'!F159</f>
        <v>0</v>
      </c>
      <c r="G69" s="1975">
        <f>'16-A. PM sub Annex'!G159</f>
        <v>0</v>
      </c>
      <c r="H69" s="1975">
        <f>'16-A. PM sub Annex'!H159</f>
        <v>0</v>
      </c>
      <c r="I69" s="1975">
        <f>'16-A. PM sub Annex'!I159</f>
        <v>0</v>
      </c>
      <c r="J69" s="1975">
        <f>'16-A. PM sub Annex'!J159</f>
        <v>0</v>
      </c>
      <c r="K69" s="1975">
        <f>'16-A. PM sub Annex'!K159</f>
        <v>0</v>
      </c>
      <c r="L69" s="1975">
        <f>'16-A. PM sub Annex'!L159</f>
        <v>0</v>
      </c>
      <c r="M69" s="162">
        <f>'16-A. PM sub Annex'!M159</f>
        <v>0</v>
      </c>
      <c r="N69" s="1975">
        <f>'16-A. PM sub Annex'!N159</f>
        <v>0</v>
      </c>
      <c r="O69" s="2822">
        <f>'16-A. PM sub Annex'!O159</f>
        <v>0</v>
      </c>
      <c r="P69" s="88">
        <f>'16-A. PM sub Annex'!P159</f>
        <v>0</v>
      </c>
      <c r="Q69" s="54"/>
      <c r="R69" s="2825"/>
    </row>
    <row r="70" spans="1:18">
      <c r="A70" s="88" t="str">
        <f>'16-A. PM sub Annex'!A160</f>
        <v>16.1.5.2.5.2</v>
      </c>
      <c r="B70" s="88" t="e">
        <f>'16-A. PM sub Annex'!#REF!</f>
        <v>#REF!</v>
      </c>
      <c r="C70" s="88" t="str">
        <f>'16-A. PM sub Annex'!C160</f>
        <v>District NCD Cell</v>
      </c>
      <c r="D70" s="88" t="str">
        <f>'16-A. PM sub Annex'!D160</f>
        <v>NCD</v>
      </c>
      <c r="E70" s="1975" t="str">
        <f>'16-A. PM sub Annex'!E160</f>
        <v>HRH&amp;HPIP/NPCDCS</v>
      </c>
      <c r="F70" s="1975">
        <f>'16-A. PM sub Annex'!F160</f>
        <v>0</v>
      </c>
      <c r="G70" s="1975">
        <f>'16-A. PM sub Annex'!G160</f>
        <v>0</v>
      </c>
      <c r="H70" s="1975">
        <f>'16-A. PM sub Annex'!H160</f>
        <v>0</v>
      </c>
      <c r="I70" s="1975">
        <f>'16-A. PM sub Annex'!I160</f>
        <v>0</v>
      </c>
      <c r="J70" s="1975">
        <f>'16-A. PM sub Annex'!J160</f>
        <v>0</v>
      </c>
      <c r="K70" s="1975">
        <f>'16-A. PM sub Annex'!K160</f>
        <v>0</v>
      </c>
      <c r="L70" s="1975">
        <f>'16-A. PM sub Annex'!L160</f>
        <v>0</v>
      </c>
      <c r="M70" s="162">
        <f>'16-A. PM sub Annex'!M160</f>
        <v>0</v>
      </c>
      <c r="N70" s="1975">
        <f>'16-A. PM sub Annex'!N160</f>
        <v>0</v>
      </c>
      <c r="O70" s="2822">
        <f>'16-A. PM sub Annex'!O160</f>
        <v>0</v>
      </c>
      <c r="P70" s="88">
        <f>'16-A. PM sub Annex'!P160</f>
        <v>0</v>
      </c>
      <c r="Q70" s="54"/>
      <c r="R70" s="2825"/>
    </row>
    <row r="71" spans="1:18" ht="30">
      <c r="A71" s="88" t="str">
        <f>'16-A. PM sub Annex'!A174</f>
        <v>16.1.5.3.14.1</v>
      </c>
      <c r="B71" s="88" t="e">
        <f>'16-A. PM sub Annex'!#REF!</f>
        <v>#REF!</v>
      </c>
      <c r="C71" s="88" t="str">
        <f>'16-A. PM sub Annex'!C174</f>
        <v>State NCD Cell</v>
      </c>
      <c r="D71" s="88" t="str">
        <f>'16-A. PM sub Annex'!D174</f>
        <v>NCD</v>
      </c>
      <c r="E71" s="1975" t="str">
        <f>'16-A. PM sub Annex'!E174</f>
        <v>HRH&amp;HPIP/NPCDCS</v>
      </c>
      <c r="F71" s="1975">
        <f>'16-A. PM sub Annex'!F174</f>
        <v>0</v>
      </c>
      <c r="G71" s="1975">
        <f>'16-A. PM sub Annex'!G174</f>
        <v>0</v>
      </c>
      <c r="H71" s="1975">
        <f>'16-A. PM sub Annex'!H174</f>
        <v>0</v>
      </c>
      <c r="I71" s="1975">
        <f>'16-A. PM sub Annex'!I174</f>
        <v>0</v>
      </c>
      <c r="J71" s="1975">
        <f>'16-A. PM sub Annex'!J174</f>
        <v>0</v>
      </c>
      <c r="K71" s="1975">
        <f>'16-A. PM sub Annex'!K174</f>
        <v>0</v>
      </c>
      <c r="L71" s="1975">
        <f>'16-A. PM sub Annex'!L174</f>
        <v>0</v>
      </c>
      <c r="M71" s="162">
        <f>'16-A. PM sub Annex'!M174</f>
        <v>0</v>
      </c>
      <c r="N71" s="1975">
        <f>'16-A. PM sub Annex'!N174</f>
        <v>0</v>
      </c>
      <c r="O71" s="2822">
        <f>'16-A. PM sub Annex'!O174</f>
        <v>0</v>
      </c>
      <c r="P71" s="88">
        <f>'16-A. PM sub Annex'!P174</f>
        <v>0</v>
      </c>
      <c r="Q71" s="54"/>
      <c r="R71" s="2825"/>
    </row>
    <row r="72" spans="1:18" ht="30">
      <c r="A72" s="88" t="str">
        <f>'16-A. PM sub Annex'!A176</f>
        <v>16.1.5.3.15.1</v>
      </c>
      <c r="B72" s="88" t="e">
        <f>'16-A. PM sub Annex'!#REF!</f>
        <v>#REF!</v>
      </c>
      <c r="C72" s="88" t="str">
        <f>'16-A. PM sub Annex'!C176</f>
        <v>State NCD Cell</v>
      </c>
      <c r="D72" s="88" t="str">
        <f>'16-A. PM sub Annex'!D176</f>
        <v>NCD</v>
      </c>
      <c r="E72" s="1975" t="str">
        <f>'16-A. PM sub Annex'!E176</f>
        <v>HRH&amp;HPIP/NPCDCS</v>
      </c>
      <c r="F72" s="1975">
        <f>'16-A. PM sub Annex'!F176</f>
        <v>0</v>
      </c>
      <c r="G72" s="1975">
        <f>'16-A. PM sub Annex'!G176</f>
        <v>0</v>
      </c>
      <c r="H72" s="1975">
        <f>'16-A. PM sub Annex'!H176</f>
        <v>0</v>
      </c>
      <c r="I72" s="1975">
        <f>'16-A. PM sub Annex'!I176</f>
        <v>0</v>
      </c>
      <c r="J72" s="1975">
        <f>'16-A. PM sub Annex'!J176</f>
        <v>0</v>
      </c>
      <c r="K72" s="1975">
        <f>'16-A. PM sub Annex'!K176</f>
        <v>0</v>
      </c>
      <c r="L72" s="1975">
        <f>'16-A. PM sub Annex'!L176</f>
        <v>0</v>
      </c>
      <c r="M72" s="162">
        <f>'16-A. PM sub Annex'!M176</f>
        <v>0</v>
      </c>
      <c r="N72" s="1975">
        <f>'16-A. PM sub Annex'!N176</f>
        <v>0</v>
      </c>
      <c r="O72" s="2822">
        <f>'16-A. PM sub Annex'!O176</f>
        <v>0</v>
      </c>
      <c r="P72" s="88">
        <f>'16-A. PM sub Annex'!P176</f>
        <v>0</v>
      </c>
      <c r="Q72" s="54"/>
      <c r="R72" s="2825"/>
    </row>
    <row r="73" spans="1:18" ht="30">
      <c r="A73" s="88" t="str">
        <f>'16-A. PM sub Annex'!A177</f>
        <v>16.1.5.3.15.2</v>
      </c>
      <c r="B73" s="88" t="e">
        <f>'16-A. PM sub Annex'!#REF!</f>
        <v>#REF!</v>
      </c>
      <c r="C73" s="88" t="str">
        <f>'16-A. PM sub Annex'!C177</f>
        <v xml:space="preserve">District NCD Cell </v>
      </c>
      <c r="D73" s="88" t="str">
        <f>'16-A. PM sub Annex'!D177</f>
        <v>NCD</v>
      </c>
      <c r="E73" s="1975" t="str">
        <f>'16-A. PM sub Annex'!E177</f>
        <v>HRH&amp;HPIP/NPCDCS</v>
      </c>
      <c r="F73" s="1975">
        <f>'16-A. PM sub Annex'!F177</f>
        <v>0</v>
      </c>
      <c r="G73" s="1975">
        <f>'16-A. PM sub Annex'!G177</f>
        <v>0</v>
      </c>
      <c r="H73" s="1975">
        <f>'16-A. PM sub Annex'!H177</f>
        <v>0</v>
      </c>
      <c r="I73" s="1975">
        <f>'16-A. PM sub Annex'!I177</f>
        <v>0</v>
      </c>
      <c r="J73" s="1975">
        <f>'16-A. PM sub Annex'!J177</f>
        <v>0</v>
      </c>
      <c r="K73" s="1975">
        <f>'16-A. PM sub Annex'!K177</f>
        <v>0</v>
      </c>
      <c r="L73" s="1975">
        <f>'16-A. PM sub Annex'!L177</f>
        <v>0</v>
      </c>
      <c r="M73" s="162">
        <f>'16-A. PM sub Annex'!M177</f>
        <v>0</v>
      </c>
      <c r="N73" s="1975">
        <f>'16-A. PM sub Annex'!N177</f>
        <v>0</v>
      </c>
      <c r="O73" s="2822">
        <f>'16-A. PM sub Annex'!O177</f>
        <v>0</v>
      </c>
      <c r="P73" s="88">
        <f>'16-A. PM sub Annex'!P177</f>
        <v>0</v>
      </c>
      <c r="Q73" s="54"/>
      <c r="R73" s="2825"/>
    </row>
  </sheetData>
  <sheetProtection formatCells="0" formatColumns="0" formatRows="0" autoFilter="0"/>
  <autoFilter ref="A5:M73"/>
  <mergeCells count="13">
    <mergeCell ref="A18:A23"/>
    <mergeCell ref="A24:A31"/>
    <mergeCell ref="A36:A39"/>
    <mergeCell ref="A52:A55"/>
    <mergeCell ref="Q4:R4"/>
    <mergeCell ref="E4:E5"/>
    <mergeCell ref="F4:J4"/>
    <mergeCell ref="K4:P4"/>
    <mergeCell ref="A1:C1"/>
    <mergeCell ref="A4:A5"/>
    <mergeCell ref="B4:B5"/>
    <mergeCell ref="C4:C5"/>
    <mergeCell ref="D4:D5"/>
  </mergeCells>
  <pageMargins left="0.7" right="0.7" top="0.75" bottom="0.75" header="0.3" footer="0.3"/>
  <pageSetup orientation="portrait" r:id="rId1"/>
</worksheet>
</file>

<file path=xl/worksheets/sheet45.xml><?xml version="1.0" encoding="utf-8"?>
<worksheet xmlns="http://schemas.openxmlformats.org/spreadsheetml/2006/main" xmlns:r="http://schemas.openxmlformats.org/officeDocument/2006/relationships">
  <sheetPr codeName="Sheet19">
    <tabColor theme="7" tint="0.79998168889431442"/>
  </sheetPr>
  <dimension ref="A1:R23"/>
  <sheetViews>
    <sheetView zoomScale="80" zoomScaleNormal="80" workbookViewId="0">
      <pane xSplit="3" ySplit="5" topLeftCell="L22" activePane="bottomRight" state="frozen"/>
      <selection activeCell="A4" sqref="A4:R11"/>
      <selection pane="topRight" activeCell="A4" sqref="A4:R11"/>
      <selection pane="bottomLeft" activeCell="A4" sqref="A4:R11"/>
      <selection pane="bottomRight" activeCell="R25" sqref="R25"/>
    </sheetView>
  </sheetViews>
  <sheetFormatPr defaultColWidth="9.140625" defaultRowHeight="15"/>
  <cols>
    <col min="1" max="1" width="10.85546875" style="904" bestFit="1" customWidth="1"/>
    <col min="2" max="2" width="16.42578125" style="904" customWidth="1"/>
    <col min="3" max="3" width="67.85546875" style="904" bestFit="1" customWidth="1"/>
    <col min="4" max="4" width="10" style="868" customWidth="1"/>
    <col min="5" max="5" width="16.42578125" style="868" bestFit="1" customWidth="1"/>
    <col min="6" max="6" width="21.42578125" style="868" customWidth="1"/>
    <col min="7" max="7" width="15" style="868" customWidth="1"/>
    <col min="8" max="8" width="16.42578125" style="978" customWidth="1"/>
    <col min="9" max="9" width="12.5703125" style="868" customWidth="1"/>
    <col min="10" max="10" width="12.140625" style="978" bestFit="1" customWidth="1"/>
    <col min="11" max="11" width="12.7109375" style="904" customWidth="1"/>
    <col min="12" max="12" width="11.42578125" style="904" customWidth="1"/>
    <col min="13" max="13" width="12" style="978" customWidth="1"/>
    <col min="14" max="14" width="9.140625" style="868"/>
    <col min="15" max="15" width="14.5703125" style="978" customWidth="1"/>
    <col min="16" max="16" width="33.5703125" style="868" customWidth="1"/>
    <col min="17" max="17" width="39.5703125" style="868" customWidth="1"/>
    <col min="18" max="18" width="16.28515625" style="868" customWidth="1"/>
    <col min="19" max="16384" width="9.140625" style="868"/>
  </cols>
  <sheetData>
    <row r="1" spans="1:18" s="2129" customFormat="1">
      <c r="A1" s="4113" t="s">
        <v>2296</v>
      </c>
      <c r="B1" s="4113"/>
      <c r="C1" s="4113"/>
      <c r="D1" s="982"/>
      <c r="E1" s="915"/>
      <c r="F1" s="2122" t="s">
        <v>3819</v>
      </c>
      <c r="J1" s="1145"/>
      <c r="K1" s="2130"/>
      <c r="L1" s="2130"/>
      <c r="M1" s="1145"/>
      <c r="O1" s="2131"/>
    </row>
    <row r="2" spans="1:18" s="2129" customFormat="1" ht="30">
      <c r="A2" s="1842" t="str">
        <f>HYPERLINK("#Index!F3", "Index Pg")</f>
        <v>Index Pg</v>
      </c>
      <c r="B2" s="1379" t="str">
        <f>HYPERLINK("#'Summary of Abstracts'!A2", "Summary of Abst.")</f>
        <v>Summary of Abst.</v>
      </c>
      <c r="C2" s="1570" t="str">
        <f>HYPERLINK("#'Budget Summary I'!A1:AL1", "Budget Summary I")</f>
        <v>Budget Summary I</v>
      </c>
      <c r="D2" s="2132"/>
      <c r="E2" s="2124" t="s">
        <v>4460</v>
      </c>
      <c r="F2" s="161">
        <f>R6+R10+R15+R18+R22+R20</f>
        <v>200</v>
      </c>
      <c r="J2" s="1145"/>
      <c r="K2" s="2023"/>
      <c r="L2" s="2023"/>
      <c r="M2" s="1145"/>
      <c r="O2" s="2131"/>
    </row>
    <row r="3" spans="1:18" s="2129" customFormat="1">
      <c r="A3" s="1846"/>
      <c r="B3" s="1847"/>
      <c r="C3" s="1570" t="str">
        <f>HYPERLINK("#'Budget Summary II'!A3:B5", "Budget Summary II")</f>
        <v>Budget Summary II</v>
      </c>
      <c r="D3" s="2132"/>
      <c r="E3" s="2124" t="s">
        <v>4461</v>
      </c>
      <c r="F3" s="161">
        <f>O6+O10+O15+O18+O22+O20</f>
        <v>200</v>
      </c>
      <c r="J3" s="1145"/>
      <c r="K3" s="2023"/>
      <c r="L3" s="2023"/>
      <c r="M3" s="1145"/>
      <c r="O3" s="2131"/>
    </row>
    <row r="4" spans="1:18">
      <c r="A4" s="3801" t="s">
        <v>48</v>
      </c>
      <c r="B4" s="3801" t="s">
        <v>49</v>
      </c>
      <c r="C4" s="3801" t="s">
        <v>50</v>
      </c>
      <c r="D4" s="3801" t="s">
        <v>51</v>
      </c>
      <c r="E4" s="3801" t="s">
        <v>52</v>
      </c>
      <c r="F4" s="3799" t="s">
        <v>4478</v>
      </c>
      <c r="G4" s="3799"/>
      <c r="H4" s="3799"/>
      <c r="I4" s="3799"/>
      <c r="J4" s="3799"/>
      <c r="K4" s="3799" t="s">
        <v>4484</v>
      </c>
      <c r="L4" s="3799"/>
      <c r="M4" s="3799"/>
      <c r="N4" s="3799"/>
      <c r="O4" s="3799"/>
      <c r="P4" s="3799"/>
      <c r="Q4" s="3800" t="s">
        <v>4514</v>
      </c>
      <c r="R4" s="3800"/>
    </row>
    <row r="5" spans="1:18" ht="60">
      <c r="A5" s="4110"/>
      <c r="B5" s="4110"/>
      <c r="C5" s="4110"/>
      <c r="D5" s="4110"/>
      <c r="E5" s="4110"/>
      <c r="F5" s="2050" t="s">
        <v>4479</v>
      </c>
      <c r="G5" s="2050" t="s">
        <v>4482</v>
      </c>
      <c r="H5" s="2050" t="s">
        <v>4480</v>
      </c>
      <c r="I5" s="2050" t="s">
        <v>4483</v>
      </c>
      <c r="J5" s="2050" t="s">
        <v>2448</v>
      </c>
      <c r="K5" s="2051" t="s">
        <v>53</v>
      </c>
      <c r="L5" s="2051" t="s">
        <v>54</v>
      </c>
      <c r="M5" s="2052" t="s">
        <v>55</v>
      </c>
      <c r="N5" s="2051" t="s">
        <v>56</v>
      </c>
      <c r="O5" s="2052" t="s">
        <v>57</v>
      </c>
      <c r="P5" s="919" t="s">
        <v>58</v>
      </c>
      <c r="Q5" s="921" t="s">
        <v>2450</v>
      </c>
      <c r="R5" s="922" t="s">
        <v>4515</v>
      </c>
    </row>
    <row r="6" spans="1:18">
      <c r="A6" s="2007">
        <f>'1.SD Facility Based Annex'!A7</f>
        <v>1</v>
      </c>
      <c r="B6" s="2007">
        <f>'1.SD Facility Based Annex'!B7</f>
        <v>0</v>
      </c>
      <c r="C6" s="2007" t="str">
        <f>'1.SD Facility Based Annex'!C7</f>
        <v>Service Delivery - Facility Based</v>
      </c>
      <c r="D6" s="2007"/>
      <c r="E6" s="2007"/>
      <c r="F6" s="2007"/>
      <c r="G6" s="2007"/>
      <c r="H6" s="2007"/>
      <c r="I6" s="2007"/>
      <c r="J6" s="2007"/>
      <c r="K6" s="2007"/>
      <c r="L6" s="2007"/>
      <c r="M6" s="873"/>
      <c r="N6" s="2007"/>
      <c r="O6" s="873">
        <f>SUM(O7:O9)</f>
        <v>50</v>
      </c>
      <c r="P6" s="2007"/>
      <c r="Q6" s="2007"/>
      <c r="R6" s="873">
        <f>SUM(R7:R9)</f>
        <v>50</v>
      </c>
    </row>
    <row r="7" spans="1:18">
      <c r="A7" s="2070" t="str">
        <f>'1.SD Facility Based Annex'!A46</f>
        <v>1.1.6.5.1</v>
      </c>
      <c r="B7" s="2070">
        <f>'1.SD Facility Based Annex'!B46</f>
        <v>0</v>
      </c>
      <c r="C7" s="2070" t="str">
        <f>'1.SD Facility Based Annex'!C46</f>
        <v>Hemo-Dialysis Services under PMNDP</v>
      </c>
      <c r="D7" s="2070" t="str">
        <f>'1.SD Facility Based Annex'!D46</f>
        <v>NCD</v>
      </c>
      <c r="E7" s="2070" t="str">
        <f>'1.SD Facility Based Annex'!E46</f>
        <v>HCT</v>
      </c>
      <c r="F7" s="2070">
        <f>'1.SD Facility Based Annex'!F46</f>
        <v>13330</v>
      </c>
      <c r="G7" s="2070">
        <f>'1.SD Facility Based Annex'!G46</f>
        <v>0</v>
      </c>
      <c r="H7" s="2070">
        <f>'1.SD Facility Based Annex'!H46</f>
        <v>199.95</v>
      </c>
      <c r="I7" s="2070">
        <f>'1.SD Facility Based Annex'!I46</f>
        <v>0</v>
      </c>
      <c r="J7" s="2070">
        <f>'1.SD Facility Based Annex'!J46</f>
        <v>199.95</v>
      </c>
      <c r="K7" s="2070">
        <f>'1.SD Facility Based Annex'!K46</f>
        <v>0</v>
      </c>
      <c r="L7" s="2070">
        <f>'1.SD Facility Based Annex'!L46</f>
        <v>0</v>
      </c>
      <c r="M7" s="2133">
        <f>'1.SD Facility Based Annex'!M46</f>
        <v>0</v>
      </c>
      <c r="N7" s="2070">
        <f>'1.SD Facility Based Annex'!N46</f>
        <v>0</v>
      </c>
      <c r="O7" s="2133">
        <f>'1.SD Facility Based Annex'!O46</f>
        <v>0</v>
      </c>
      <c r="P7" s="88">
        <f>'1.SD Facility Based Annex'!P46</f>
        <v>0</v>
      </c>
      <c r="Q7" s="155"/>
      <c r="R7" s="155"/>
    </row>
    <row r="8" spans="1:18" ht="120">
      <c r="A8" s="88" t="str">
        <f>'1.SD Facility Based Annex'!A47</f>
        <v>1.1.6.5.2</v>
      </c>
      <c r="B8" s="88">
        <f>'1.SD Facility Based Annex'!B47</f>
        <v>0</v>
      </c>
      <c r="C8" s="88" t="str">
        <f>'1.SD Facility Based Annex'!C47</f>
        <v>Peritoneal Dialysis Services under PMNDP</v>
      </c>
      <c r="D8" s="88" t="str">
        <f>'1.SD Facility Based Annex'!D47</f>
        <v>NCD</v>
      </c>
      <c r="E8" s="88" t="str">
        <f>'1.SD Facility Based Annex'!E47</f>
        <v>HCT</v>
      </c>
      <c r="F8" s="88">
        <f>'1.SD Facility Based Annex'!F47</f>
        <v>25</v>
      </c>
      <c r="G8" s="88">
        <f>'1.SD Facility Based Annex'!G47</f>
        <v>0</v>
      </c>
      <c r="H8" s="88">
        <f>'1.SD Facility Based Annex'!H47</f>
        <v>50</v>
      </c>
      <c r="I8" s="88">
        <f>'1.SD Facility Based Annex'!I47</f>
        <v>0</v>
      </c>
      <c r="J8" s="88">
        <f>'1.SD Facility Based Annex'!J47</f>
        <v>50</v>
      </c>
      <c r="K8" s="88">
        <f>'1.SD Facility Based Annex'!K47</f>
        <v>0</v>
      </c>
      <c r="L8" s="88">
        <f>'1.SD Facility Based Annex'!L47</f>
        <v>200000</v>
      </c>
      <c r="M8" s="690">
        <f>'1.SD Facility Based Annex'!M47</f>
        <v>2</v>
      </c>
      <c r="N8" s="88">
        <f>'1.SD Facility Based Annex'!N47</f>
        <v>25</v>
      </c>
      <c r="O8" s="690">
        <f>'1.SD Facility Based Annex'!O47</f>
        <v>50</v>
      </c>
      <c r="P8" s="88" t="str">
        <f>'1.SD Facility Based Annex'!P47</f>
        <v xml:space="preserve">Peritoneal dialysis of 25 patients at IGMC Shimla and Dr RPGMC Tanda @ Rs 16666 per month per patient </v>
      </c>
      <c r="Q8" s="54" t="s">
        <v>5912</v>
      </c>
      <c r="R8" s="186">
        <v>50</v>
      </c>
    </row>
    <row r="9" spans="1:18" ht="30">
      <c r="A9" s="2134" t="str">
        <f>'1.SD Facility Based Annex'!A48</f>
        <v>1.1.6.5.3</v>
      </c>
      <c r="B9" s="2134">
        <f>'1.SD Facility Based Annex'!B48</f>
        <v>0</v>
      </c>
      <c r="C9" s="2134" t="str">
        <f>'1.SD Facility Based Annex'!C48</f>
        <v>RO water testing (Bacteriological, endotoxin, Chemical) and tank/pipes disinfection (peracetic acid) for Dialysis</v>
      </c>
      <c r="D9" s="2134" t="str">
        <f>'1.SD Facility Based Annex'!D48</f>
        <v>NCD</v>
      </c>
      <c r="E9" s="2134" t="str">
        <f>'1.SD Facility Based Annex'!E48</f>
        <v>HCT</v>
      </c>
      <c r="F9" s="2134">
        <f>'1.SD Facility Based Annex'!F48</f>
        <v>0</v>
      </c>
      <c r="G9" s="2134">
        <f>'1.SD Facility Based Annex'!G48</f>
        <v>0</v>
      </c>
      <c r="H9" s="2134">
        <f>'1.SD Facility Based Annex'!H48</f>
        <v>0</v>
      </c>
      <c r="I9" s="2134">
        <f>'1.SD Facility Based Annex'!I48</f>
        <v>0</v>
      </c>
      <c r="J9" s="2134">
        <f>'1.SD Facility Based Annex'!J48</f>
        <v>0</v>
      </c>
      <c r="K9" s="2134">
        <f>'1.SD Facility Based Annex'!K48</f>
        <v>0</v>
      </c>
      <c r="L9" s="2134">
        <f>'1.SD Facility Based Annex'!L48</f>
        <v>0</v>
      </c>
      <c r="M9" s="2135">
        <f>'1.SD Facility Based Annex'!M48</f>
        <v>0</v>
      </c>
      <c r="N9" s="2134">
        <f>'1.SD Facility Based Annex'!N48</f>
        <v>0</v>
      </c>
      <c r="O9" s="2135">
        <f>'1.SD Facility Based Annex'!O48</f>
        <v>0</v>
      </c>
      <c r="P9" s="88">
        <f>'1.SD Facility Based Annex'!P48</f>
        <v>0</v>
      </c>
      <c r="Q9" s="155"/>
      <c r="R9" s="155"/>
    </row>
    <row r="10" spans="1:18">
      <c r="A10" s="2007">
        <f>'6.Procurement Annex'!A7</f>
        <v>6</v>
      </c>
      <c r="B10" s="2007"/>
      <c r="C10" s="2007" t="str">
        <f>'6.Procurement Annex'!C7</f>
        <v>Procurement</v>
      </c>
      <c r="D10" s="785"/>
      <c r="E10" s="785"/>
      <c r="F10" s="785"/>
      <c r="G10" s="785"/>
      <c r="H10" s="547"/>
      <c r="I10" s="785"/>
      <c r="J10" s="547"/>
      <c r="K10" s="2007"/>
      <c r="L10" s="2007"/>
      <c r="M10" s="547"/>
      <c r="N10" s="2069"/>
      <c r="O10" s="1995">
        <f>SUM(O11:O14)</f>
        <v>0</v>
      </c>
      <c r="P10" s="2069"/>
      <c r="Q10" s="2138"/>
      <c r="R10" s="2116">
        <f>SUM(R11:R14)</f>
        <v>0</v>
      </c>
    </row>
    <row r="11" spans="1:18">
      <c r="A11" s="2070" t="str">
        <f>'6.Procurement Annex'!A41</f>
        <v>6.1.5.6</v>
      </c>
      <c r="B11" s="2070">
        <f>'6-A. Proc. Sub-Annex'!B121</f>
        <v>0</v>
      </c>
      <c r="C11" s="2070" t="str">
        <f>'6-A. Proc. Sub-Annex'!C121</f>
        <v xml:space="preserve">Medical devices as per National Dialysis Programme </v>
      </c>
      <c r="D11" s="2070" t="str">
        <f>'6-A. Proc. Sub-Annex'!D121</f>
        <v>NCD</v>
      </c>
      <c r="E11" s="2070" t="str">
        <f>'6-A. Proc. Sub-Annex'!E121</f>
        <v>HCT</v>
      </c>
      <c r="F11" s="2070">
        <f>'6-A. Proc. Sub-Annex'!F121</f>
        <v>0</v>
      </c>
      <c r="G11" s="2070">
        <f>'6-A. Proc. Sub-Annex'!G121</f>
        <v>0</v>
      </c>
      <c r="H11" s="2070">
        <f>'6-A. Proc. Sub-Annex'!H121</f>
        <v>0</v>
      </c>
      <c r="I11" s="2070">
        <f>'6-A. Proc. Sub-Annex'!I121</f>
        <v>0</v>
      </c>
      <c r="J11" s="2070">
        <f>'6-A. Proc. Sub-Annex'!J121</f>
        <v>0</v>
      </c>
      <c r="K11" s="2070">
        <f>'6-A. Proc. Sub-Annex'!K121</f>
        <v>0</v>
      </c>
      <c r="L11" s="2070">
        <f>'6-A. Proc. Sub-Annex'!L121</f>
        <v>0</v>
      </c>
      <c r="M11" s="2133">
        <f>'6-A. Proc. Sub-Annex'!M121</f>
        <v>0</v>
      </c>
      <c r="N11" s="2070">
        <f>'6-A. Proc. Sub-Annex'!N121</f>
        <v>0</v>
      </c>
      <c r="O11" s="2133">
        <f>'6-A. Proc. Sub-Annex'!O121</f>
        <v>0</v>
      </c>
      <c r="P11" s="88">
        <f>'6-A. Proc. Sub-Annex'!P121</f>
        <v>0</v>
      </c>
      <c r="Q11" s="155"/>
      <c r="R11" s="155"/>
    </row>
    <row r="12" spans="1:18">
      <c r="A12" s="88"/>
      <c r="B12" s="2070">
        <f>'6-A. Proc. Sub-Annex'!B122</f>
        <v>0</v>
      </c>
      <c r="C12" s="2070" t="str">
        <f>'6-A. Proc. Sub-Annex'!C122</f>
        <v>Any other equipment (please specify)</v>
      </c>
      <c r="D12" s="2070" t="str">
        <f>'6-A. Proc. Sub-Annex'!D122</f>
        <v>NCD</v>
      </c>
      <c r="E12" s="2070" t="str">
        <f>'6-A. Proc. Sub-Annex'!E122</f>
        <v>HCT</v>
      </c>
      <c r="F12" s="2070">
        <f>'6-A. Proc. Sub-Annex'!F122</f>
        <v>0</v>
      </c>
      <c r="G12" s="2070">
        <f>'6-A. Proc. Sub-Annex'!G122</f>
        <v>0</v>
      </c>
      <c r="H12" s="2070">
        <f>'6-A. Proc. Sub-Annex'!H122</f>
        <v>0</v>
      </c>
      <c r="I12" s="2070">
        <f>'6-A. Proc. Sub-Annex'!I122</f>
        <v>0</v>
      </c>
      <c r="J12" s="2070">
        <f>'6-A. Proc. Sub-Annex'!J122</f>
        <v>0</v>
      </c>
      <c r="K12" s="2070">
        <f>'6-A. Proc. Sub-Annex'!K122</f>
        <v>0</v>
      </c>
      <c r="L12" s="2070">
        <f>'6-A. Proc. Sub-Annex'!L122</f>
        <v>0</v>
      </c>
      <c r="M12" s="2133">
        <f>'6-A. Proc. Sub-Annex'!M122</f>
        <v>0</v>
      </c>
      <c r="N12" s="2070">
        <f>'6-A. Proc. Sub-Annex'!N122</f>
        <v>0</v>
      </c>
      <c r="O12" s="2133">
        <f>'6-A. Proc. Sub-Annex'!O122</f>
        <v>0</v>
      </c>
      <c r="P12" s="88">
        <f>'6-A. Proc. Sub-Annex'!P122</f>
        <v>0</v>
      </c>
      <c r="Q12" s="155"/>
      <c r="R12" s="155"/>
    </row>
    <row r="13" spans="1:18" ht="30">
      <c r="A13" s="88" t="str">
        <f>'6.Procurement Annex'!A84</f>
        <v>6.2.4.6</v>
      </c>
      <c r="B13" s="88">
        <f>'6-A. Proc. Sub-Annex'!B272</f>
        <v>0</v>
      </c>
      <c r="C13" s="88" t="str">
        <f>'6-A. Proc. Sub-Annex'!C272</f>
        <v>Drugs &amp; Consumables for Haemodialysis (Erythropoietin, iron, vitamin, etc) &amp; Peritoneal dialysis (refer page 17 of guideline)</v>
      </c>
      <c r="D13" s="88" t="str">
        <f>'6-A. Proc. Sub-Annex'!D272</f>
        <v>NCD</v>
      </c>
      <c r="E13" s="88" t="str">
        <f>'6-A. Proc. Sub-Annex'!E272</f>
        <v>HCT</v>
      </c>
      <c r="F13" s="88">
        <f>'6-A. Proc. Sub-Annex'!F272</f>
        <v>0</v>
      </c>
      <c r="G13" s="88">
        <f>'6-A. Proc. Sub-Annex'!G272</f>
        <v>0</v>
      </c>
      <c r="H13" s="88">
        <f>'6-A. Proc. Sub-Annex'!H272</f>
        <v>0</v>
      </c>
      <c r="I13" s="88">
        <f>'6-A. Proc. Sub-Annex'!I272</f>
        <v>0</v>
      </c>
      <c r="J13" s="88">
        <f>'6-A. Proc. Sub-Annex'!J272</f>
        <v>0</v>
      </c>
      <c r="K13" s="88">
        <f>'6-A. Proc. Sub-Annex'!K272</f>
        <v>0</v>
      </c>
      <c r="L13" s="88">
        <f>'6-A. Proc. Sub-Annex'!L272</f>
        <v>0</v>
      </c>
      <c r="M13" s="690">
        <f>'6-A. Proc. Sub-Annex'!M272</f>
        <v>0</v>
      </c>
      <c r="N13" s="88">
        <f>'6-A. Proc. Sub-Annex'!N272</f>
        <v>0</v>
      </c>
      <c r="O13" s="690">
        <f>'6-A. Proc. Sub-Annex'!O272</f>
        <v>0</v>
      </c>
      <c r="P13" s="88">
        <f>'6-A. Proc. Sub-Annex'!P272</f>
        <v>0</v>
      </c>
      <c r="Q13" s="155"/>
      <c r="R13" s="155"/>
    </row>
    <row r="14" spans="1:18">
      <c r="A14" s="2134"/>
      <c r="B14" s="88">
        <f>'6-A. Proc. Sub-Annex'!B273</f>
        <v>0</v>
      </c>
      <c r="C14" s="88" t="str">
        <f>'6-A. Proc. Sub-Annex'!C273</f>
        <v>Any other drug (please specify)</v>
      </c>
      <c r="D14" s="88" t="str">
        <f>'6-A. Proc. Sub-Annex'!D273</f>
        <v>NCD</v>
      </c>
      <c r="E14" s="88" t="str">
        <f>'6-A. Proc. Sub-Annex'!E273</f>
        <v>HCT</v>
      </c>
      <c r="F14" s="88">
        <f>'6-A. Proc. Sub-Annex'!F273</f>
        <v>0</v>
      </c>
      <c r="G14" s="88">
        <f>'6-A. Proc. Sub-Annex'!G273</f>
        <v>0</v>
      </c>
      <c r="H14" s="88">
        <f>'6-A. Proc. Sub-Annex'!H273</f>
        <v>0</v>
      </c>
      <c r="I14" s="88">
        <f>'6-A. Proc. Sub-Annex'!I273</f>
        <v>0</v>
      </c>
      <c r="J14" s="88">
        <f>'6-A. Proc. Sub-Annex'!J273</f>
        <v>0</v>
      </c>
      <c r="K14" s="88">
        <f>'6-A. Proc. Sub-Annex'!K273</f>
        <v>0</v>
      </c>
      <c r="L14" s="88">
        <f>'6-A. Proc. Sub-Annex'!L273</f>
        <v>0</v>
      </c>
      <c r="M14" s="690">
        <f>'6-A. Proc. Sub-Annex'!M273</f>
        <v>0</v>
      </c>
      <c r="N14" s="88">
        <f>'6-A. Proc. Sub-Annex'!N273</f>
        <v>0</v>
      </c>
      <c r="O14" s="690">
        <f>'6-A. Proc. Sub-Annex'!O273</f>
        <v>0</v>
      </c>
      <c r="P14" s="88">
        <f>'6-A. Proc. Sub-Annex'!P273</f>
        <v>0</v>
      </c>
      <c r="Q14" s="155"/>
      <c r="R14" s="155"/>
    </row>
    <row r="15" spans="1:18">
      <c r="A15" s="2007">
        <f>'9.Training Annex'!A7</f>
        <v>9</v>
      </c>
      <c r="B15" s="2007"/>
      <c r="C15" s="2007" t="str">
        <f>'9.Training Annex'!C7</f>
        <v>Training and Capacity Building</v>
      </c>
      <c r="D15" s="785"/>
      <c r="E15" s="785"/>
      <c r="F15" s="785"/>
      <c r="G15" s="785"/>
      <c r="H15" s="547"/>
      <c r="I15" s="785"/>
      <c r="J15" s="547"/>
      <c r="K15" s="2007"/>
      <c r="L15" s="2007"/>
      <c r="M15" s="547"/>
      <c r="N15" s="2069"/>
      <c r="O15" s="1995">
        <f>SUM(O16:O17)</f>
        <v>0</v>
      </c>
      <c r="P15" s="2069"/>
      <c r="Q15" s="2138"/>
      <c r="R15" s="2116">
        <f>SUM(R16:R17)</f>
        <v>0</v>
      </c>
    </row>
    <row r="16" spans="1:18" ht="30">
      <c r="A16" s="4104" t="str">
        <f>'9.Training Annex'!A64</f>
        <v>9.2.4.10</v>
      </c>
      <c r="B16" s="2066">
        <f>'9-A.Training Sub-Annex'!B282</f>
        <v>0</v>
      </c>
      <c r="C16" s="2066" t="str">
        <f>'9-A.Training Sub-Annex'!C282</f>
        <v>Training for Nurse, medical officer, Nephrologist, ANM/ASHA, patients &amp; bystanders on peritoneal dialysis/Haemodialysis</v>
      </c>
      <c r="D16" s="2066" t="str">
        <f>'9-A.Training Sub-Annex'!D282</f>
        <v>NCD</v>
      </c>
      <c r="E16" s="2066" t="str">
        <f>'9-A.Training Sub-Annex'!E282</f>
        <v>HCT</v>
      </c>
      <c r="F16" s="2066">
        <f>'9-A.Training Sub-Annex'!F282</f>
        <v>0</v>
      </c>
      <c r="G16" s="2066">
        <f>'9-A.Training Sub-Annex'!G282</f>
        <v>0</v>
      </c>
      <c r="H16" s="2066">
        <f>'9-A.Training Sub-Annex'!H282</f>
        <v>0</v>
      </c>
      <c r="I16" s="2066">
        <f>'9-A.Training Sub-Annex'!I282</f>
        <v>0</v>
      </c>
      <c r="J16" s="2066">
        <f>'9-A.Training Sub-Annex'!J282</f>
        <v>0</v>
      </c>
      <c r="K16" s="2066">
        <f>'9-A.Training Sub-Annex'!K282</f>
        <v>0</v>
      </c>
      <c r="L16" s="2066">
        <f>'9-A.Training Sub-Annex'!L282</f>
        <v>0</v>
      </c>
      <c r="M16" s="2136">
        <f>'9-A.Training Sub-Annex'!M282</f>
        <v>0</v>
      </c>
      <c r="N16" s="2066">
        <f>'9-A.Training Sub-Annex'!N282</f>
        <v>0</v>
      </c>
      <c r="O16" s="2136">
        <f>'9-A.Training Sub-Annex'!O282</f>
        <v>0</v>
      </c>
      <c r="P16" s="88">
        <f>'9-A.Training Sub-Annex'!P282</f>
        <v>0</v>
      </c>
      <c r="Q16" s="155"/>
      <c r="R16" s="155"/>
    </row>
    <row r="17" spans="1:18">
      <c r="A17" s="4106"/>
      <c r="B17" s="2066">
        <f>'9-A.Training Sub-Annex'!B283</f>
        <v>0</v>
      </c>
      <c r="C17" s="2066" t="str">
        <f>'9-A.Training Sub-Annex'!C283</f>
        <v>Any other (please specify)</v>
      </c>
      <c r="D17" s="2066" t="str">
        <f>'9-A.Training Sub-Annex'!D283</f>
        <v>NCD</v>
      </c>
      <c r="E17" s="2066" t="str">
        <f>'9-A.Training Sub-Annex'!E283</f>
        <v>HCT</v>
      </c>
      <c r="F17" s="2066">
        <f>'9-A.Training Sub-Annex'!F283</f>
        <v>0</v>
      </c>
      <c r="G17" s="2066">
        <f>'9-A.Training Sub-Annex'!G283</f>
        <v>0</v>
      </c>
      <c r="H17" s="2066">
        <f>'9-A.Training Sub-Annex'!H283</f>
        <v>0</v>
      </c>
      <c r="I17" s="2066">
        <f>'9-A.Training Sub-Annex'!I283</f>
        <v>0</v>
      </c>
      <c r="J17" s="2066">
        <f>'9-A.Training Sub-Annex'!J283</f>
        <v>0</v>
      </c>
      <c r="K17" s="2066">
        <f>'9-A.Training Sub-Annex'!K283</f>
        <v>0</v>
      </c>
      <c r="L17" s="2066">
        <f>'9-A.Training Sub-Annex'!L283</f>
        <v>0</v>
      </c>
      <c r="M17" s="2136">
        <f>'9-A.Training Sub-Annex'!M283</f>
        <v>0</v>
      </c>
      <c r="N17" s="2066">
        <f>'9-A.Training Sub-Annex'!N283</f>
        <v>0</v>
      </c>
      <c r="O17" s="2136">
        <f>'9-A.Training Sub-Annex'!O283</f>
        <v>0</v>
      </c>
      <c r="P17" s="88">
        <f>'9-A.Training Sub-Annex'!P283</f>
        <v>0</v>
      </c>
      <c r="Q17" s="155"/>
      <c r="R17" s="155"/>
    </row>
    <row r="18" spans="1:18">
      <c r="A18" s="2007">
        <f>'11.IEC-BCC Annex'!A7</f>
        <v>11</v>
      </c>
      <c r="B18" s="2007"/>
      <c r="C18" s="2007" t="str">
        <f>'11.IEC-BCC Annex'!C7</f>
        <v>IEC/BCC</v>
      </c>
      <c r="D18" s="785"/>
      <c r="E18" s="785"/>
      <c r="F18" s="785"/>
      <c r="G18" s="785"/>
      <c r="H18" s="547"/>
      <c r="I18" s="785"/>
      <c r="J18" s="547"/>
      <c r="K18" s="2007"/>
      <c r="L18" s="2007"/>
      <c r="M18" s="547"/>
      <c r="N18" s="2069"/>
      <c r="O18" s="1995">
        <f>O19</f>
        <v>0</v>
      </c>
      <c r="P18" s="2069"/>
      <c r="Q18" s="2138"/>
      <c r="R18" s="2116">
        <f>R19</f>
        <v>0</v>
      </c>
    </row>
    <row r="19" spans="1:18" ht="30">
      <c r="A19" s="2066" t="str">
        <f>'11.IEC-BCC Annex'!A39</f>
        <v>11.4.8</v>
      </c>
      <c r="B19" s="2066">
        <f>'11-A. IEC Sub-Annex'!B96</f>
        <v>0</v>
      </c>
      <c r="C19" s="2066" t="str">
        <f>'11-A. IEC Sub-Annex'!C96</f>
        <v>IEC/BCC - National Dialysis Programme (Haemodialysis and Peritoneal Dialysis)</v>
      </c>
      <c r="D19" s="2066" t="str">
        <f>'11-A. IEC Sub-Annex'!D96</f>
        <v>NCD</v>
      </c>
      <c r="E19" s="2066" t="str">
        <f>'11-A. IEC Sub-Annex'!E96</f>
        <v>HSS/NHSRC-HCT</v>
      </c>
      <c r="F19" s="2066">
        <f>'11-A. IEC Sub-Annex'!F96</f>
        <v>0</v>
      </c>
      <c r="G19" s="2066">
        <f>'11-A. IEC Sub-Annex'!G96</f>
        <v>0</v>
      </c>
      <c r="H19" s="2066">
        <f>'11-A. IEC Sub-Annex'!H96</f>
        <v>0</v>
      </c>
      <c r="I19" s="2066">
        <f>'11-A. IEC Sub-Annex'!I96</f>
        <v>0</v>
      </c>
      <c r="J19" s="2066">
        <f>'11-A. IEC Sub-Annex'!J96</f>
        <v>0</v>
      </c>
      <c r="K19" s="2066">
        <f>'11-A. IEC Sub-Annex'!K96</f>
        <v>0</v>
      </c>
      <c r="L19" s="2066">
        <f>'11-A. IEC Sub-Annex'!L96</f>
        <v>0</v>
      </c>
      <c r="M19" s="2136">
        <f>'11-A. IEC Sub-Annex'!M96</f>
        <v>0</v>
      </c>
      <c r="N19" s="2066">
        <f>'11-A. IEC Sub-Annex'!N96</f>
        <v>0</v>
      </c>
      <c r="O19" s="2136">
        <f>'11-A. IEC Sub-Annex'!O96</f>
        <v>0</v>
      </c>
      <c r="P19" s="88">
        <f>'11-A. IEC Sub-Annex'!P96</f>
        <v>0</v>
      </c>
      <c r="Q19" s="155"/>
      <c r="R19" s="155"/>
    </row>
    <row r="20" spans="1:18">
      <c r="A20" s="2007">
        <f>'12.Printing Annex'!A7</f>
        <v>12</v>
      </c>
      <c r="B20" s="2007"/>
      <c r="C20" s="2007" t="str">
        <f>'12.Printing Annex'!C7</f>
        <v>Printing</v>
      </c>
      <c r="D20" s="785"/>
      <c r="E20" s="785"/>
      <c r="F20" s="785"/>
      <c r="G20" s="785"/>
      <c r="H20" s="547"/>
      <c r="I20" s="785"/>
      <c r="J20" s="547"/>
      <c r="K20" s="2007"/>
      <c r="L20" s="2007"/>
      <c r="M20" s="547"/>
      <c r="N20" s="2069"/>
      <c r="O20" s="1995">
        <f>O21</f>
        <v>0</v>
      </c>
      <c r="P20" s="2069"/>
      <c r="Q20" s="2138"/>
      <c r="R20" s="2116">
        <f>R21</f>
        <v>0</v>
      </c>
    </row>
    <row r="21" spans="1:18">
      <c r="A21" s="2070" t="str">
        <f>'12.Printing Annex'!A39</f>
        <v>12.4.6</v>
      </c>
      <c r="B21" s="2070">
        <f>'12-A. Print Sub-Annex'!B103</f>
        <v>0</v>
      </c>
      <c r="C21" s="2070" t="str">
        <f>'12-A. Print Sub-Annex'!C103</f>
        <v>Printing activities under PMNDP</v>
      </c>
      <c r="D21" s="2070" t="str">
        <f>'12-A. Print Sub-Annex'!D103</f>
        <v>NCD</v>
      </c>
      <c r="E21" s="2070" t="str">
        <f>'12-A. Print Sub-Annex'!E103</f>
        <v>HCT</v>
      </c>
      <c r="F21" s="2070">
        <f>'12-A. Print Sub-Annex'!F103</f>
        <v>0</v>
      </c>
      <c r="G21" s="2070">
        <f>'12-A. Print Sub-Annex'!G103</f>
        <v>0</v>
      </c>
      <c r="H21" s="2070">
        <f>'12-A. Print Sub-Annex'!H103</f>
        <v>0</v>
      </c>
      <c r="I21" s="2070">
        <f>'12-A. Print Sub-Annex'!I103</f>
        <v>0</v>
      </c>
      <c r="J21" s="2070">
        <f>'12-A. Print Sub-Annex'!J103</f>
        <v>0</v>
      </c>
      <c r="K21" s="2070">
        <f>'12-A. Print Sub-Annex'!K103</f>
        <v>0</v>
      </c>
      <c r="L21" s="2070">
        <f>'12-A. Print Sub-Annex'!L103</f>
        <v>0</v>
      </c>
      <c r="M21" s="2133">
        <f>'12-A. Print Sub-Annex'!M103</f>
        <v>0</v>
      </c>
      <c r="N21" s="2070">
        <f>'12-A. Print Sub-Annex'!N103</f>
        <v>0</v>
      </c>
      <c r="O21" s="2133">
        <f>'12-A. Print Sub-Annex'!O103</f>
        <v>0</v>
      </c>
      <c r="P21" s="88">
        <f>'12-A. Print Sub-Annex'!P103</f>
        <v>0</v>
      </c>
      <c r="Q21" s="155"/>
      <c r="R21" s="155"/>
    </row>
    <row r="22" spans="1:18">
      <c r="A22" s="2137" t="s">
        <v>5117</v>
      </c>
      <c r="B22" s="2007"/>
      <c r="C22" s="2007" t="str">
        <f>'15.PPP Annex'!C7</f>
        <v>PPP</v>
      </c>
      <c r="D22" s="785"/>
      <c r="E22" s="785"/>
      <c r="F22" s="785"/>
      <c r="G22" s="785"/>
      <c r="H22" s="547"/>
      <c r="I22" s="785"/>
      <c r="J22" s="547"/>
      <c r="K22" s="2007"/>
      <c r="L22" s="2007"/>
      <c r="M22" s="547"/>
      <c r="N22" s="2069"/>
      <c r="O22" s="1995">
        <f>O23</f>
        <v>150</v>
      </c>
      <c r="P22" s="2069"/>
      <c r="Q22" s="2138"/>
      <c r="R22" s="2116">
        <f>R23</f>
        <v>150</v>
      </c>
    </row>
    <row r="23" spans="1:18" ht="255">
      <c r="A23" s="2070" t="str">
        <f>'15.PPP Annex'!A52</f>
        <v>15.4.6</v>
      </c>
      <c r="B23" s="2070" t="str">
        <f>'15.PPP Annex'!B52</f>
        <v>15.9.4/ B.13.4</v>
      </c>
      <c r="C23" s="2070" t="str">
        <f>'15.PPP Annex'!C52</f>
        <v>Pradhan Mantri National Dialysis Programme</v>
      </c>
      <c r="D23" s="2070" t="str">
        <f>'15.PPP Annex'!D52</f>
        <v>NCD</v>
      </c>
      <c r="E23" s="2070" t="str">
        <f>'15.PPP Annex'!E52</f>
        <v>HCT</v>
      </c>
      <c r="F23" s="2070">
        <f>'15.PPP Annex'!F52</f>
        <v>0</v>
      </c>
      <c r="G23" s="2070">
        <f>'15.PPP Annex'!G52</f>
        <v>0</v>
      </c>
      <c r="H23" s="2070">
        <f>'15.PPP Annex'!H52</f>
        <v>0</v>
      </c>
      <c r="I23" s="2070">
        <f>'15.PPP Annex'!I52</f>
        <v>0</v>
      </c>
      <c r="J23" s="2070">
        <f>'15.PPP Annex'!J52</f>
        <v>0</v>
      </c>
      <c r="K23" s="2070">
        <f>'15.PPP Annex'!K52</f>
        <v>1</v>
      </c>
      <c r="L23" s="2070">
        <f>'15.PPP Annex'!L52</f>
        <v>1250</v>
      </c>
      <c r="M23" s="2133">
        <f>'15.PPP Annex'!M52</f>
        <v>1.2500000000000001E-2</v>
      </c>
      <c r="N23" s="2070">
        <f>'15.PPP Annex'!N52</f>
        <v>12000</v>
      </c>
      <c r="O23" s="2133">
        <f>'15.PPP Annex'!O52</f>
        <v>150</v>
      </c>
      <c r="P23" s="88" t="str">
        <f>'15.PPP Annex'!P52</f>
        <v xml:space="preserve"> Free dialysis services  to the left out  BPL patiants those who are not covered under Ayushman  Scheme  and   or those whom card is exuasted </v>
      </c>
      <c r="Q23" s="54" t="s">
        <v>5913</v>
      </c>
      <c r="R23" s="186">
        <v>150</v>
      </c>
    </row>
  </sheetData>
  <sheetProtection sheet="1" formatCells="0" formatColumns="0" formatRows="0" autoFilter="0"/>
  <autoFilter ref="A5:M23"/>
  <mergeCells count="10">
    <mergeCell ref="A16:A17"/>
    <mergeCell ref="Q4:R4"/>
    <mergeCell ref="E4:E5"/>
    <mergeCell ref="A1:C1"/>
    <mergeCell ref="A4:A5"/>
    <mergeCell ref="B4:B5"/>
    <mergeCell ref="C4:C5"/>
    <mergeCell ref="D4:D5"/>
    <mergeCell ref="F4:J4"/>
    <mergeCell ref="K4:P4"/>
  </mergeCells>
  <pageMargins left="0.7" right="0.7" top="0.75" bottom="0.75" header="0.3" footer="0.3"/>
</worksheet>
</file>

<file path=xl/worksheets/sheet46.xml><?xml version="1.0" encoding="utf-8"?>
<worksheet xmlns="http://schemas.openxmlformats.org/spreadsheetml/2006/main" xmlns:r="http://schemas.openxmlformats.org/officeDocument/2006/relationships">
  <sheetPr>
    <tabColor theme="7" tint="0.79998168889431442"/>
  </sheetPr>
  <dimension ref="A1:R21"/>
  <sheetViews>
    <sheetView zoomScale="80" zoomScaleNormal="80" workbookViewId="0">
      <pane xSplit="3" ySplit="5" topLeftCell="L11" activePane="bottomRight" state="frozen"/>
      <selection activeCell="A394" sqref="A394:XFD396"/>
      <selection pane="topRight" activeCell="A394" sqref="A394:XFD396"/>
      <selection pane="bottomLeft" activeCell="A394" sqref="A394:XFD396"/>
      <selection pane="bottomRight" activeCell="Q9" sqref="Q9"/>
    </sheetView>
  </sheetViews>
  <sheetFormatPr defaultColWidth="8.7109375" defaultRowHeight="15"/>
  <cols>
    <col min="1" max="1" width="13.85546875" style="904" customWidth="1"/>
    <col min="2" max="2" width="17.5703125" style="904" customWidth="1"/>
    <col min="3" max="3" width="46.28515625" style="904" customWidth="1"/>
    <col min="4" max="4" width="5.5703125" style="868" bestFit="1" customWidth="1"/>
    <col min="5" max="5" width="19.42578125" style="868" bestFit="1" customWidth="1"/>
    <col min="6" max="6" width="21.140625" style="868" customWidth="1"/>
    <col min="7" max="7" width="16.140625" style="868" customWidth="1"/>
    <col min="8" max="8" width="18.42578125" style="978" customWidth="1"/>
    <col min="9" max="9" width="9.85546875" style="868" customWidth="1"/>
    <col min="10" max="10" width="16.140625" style="978" customWidth="1"/>
    <col min="11" max="11" width="17.140625" style="868" customWidth="1"/>
    <col min="12" max="12" width="14.85546875" style="868" customWidth="1"/>
    <col min="13" max="13" width="16.5703125" style="978" customWidth="1"/>
    <col min="14" max="14" width="8.7109375" style="868"/>
    <col min="15" max="15" width="12.140625" style="978" customWidth="1"/>
    <col min="16" max="16" width="35.5703125" style="2073" customWidth="1"/>
    <col min="17" max="17" width="46.42578125" style="2073" customWidth="1"/>
    <col min="18" max="18" width="11.28515625" style="2077" customWidth="1"/>
    <col min="19" max="16384" width="8.7109375" style="2046"/>
  </cols>
  <sheetData>
    <row r="1" spans="1:18" s="2141" customFormat="1">
      <c r="A1" s="4111" t="s">
        <v>3991</v>
      </c>
      <c r="B1" s="4111"/>
      <c r="C1" s="4111"/>
      <c r="D1" s="2085"/>
      <c r="E1" s="915"/>
      <c r="F1" s="2122" t="s">
        <v>3848</v>
      </c>
      <c r="G1" s="2087"/>
      <c r="H1" s="2087"/>
      <c r="I1" s="2087"/>
      <c r="J1" s="2087"/>
      <c r="K1" s="2085"/>
      <c r="L1" s="2085"/>
      <c r="M1" s="2087"/>
      <c r="N1" s="2129"/>
      <c r="O1" s="2131"/>
      <c r="P1" s="2139"/>
      <c r="Q1" s="2139"/>
      <c r="R1" s="2140"/>
    </row>
    <row r="2" spans="1:18" s="2141" customFormat="1">
      <c r="A2" s="1842" t="str">
        <f>HYPERLINK("#Index!F3", "Index Pg")</f>
        <v>Index Pg</v>
      </c>
      <c r="B2" s="1847"/>
      <c r="C2" s="1570" t="str">
        <f>HYPERLINK("#'Budget Summary I'!A1:AL1", "Budget Summary I")</f>
        <v>Budget Summary I</v>
      </c>
      <c r="D2" s="2022"/>
      <c r="E2" s="2124" t="s">
        <v>4460</v>
      </c>
      <c r="F2" s="161">
        <f>R6+R8+R10+R13+R15+R17+R19</f>
        <v>12.870000000000001</v>
      </c>
      <c r="G2" s="2087"/>
      <c r="H2" s="2087"/>
      <c r="I2" s="2087"/>
      <c r="J2" s="1145"/>
      <c r="K2" s="1146"/>
      <c r="L2" s="1146"/>
      <c r="M2" s="1145"/>
      <c r="N2" s="2129"/>
      <c r="O2" s="2131"/>
      <c r="P2" s="2139"/>
      <c r="Q2" s="2139"/>
      <c r="R2" s="2140"/>
    </row>
    <row r="3" spans="1:18" s="2141" customFormat="1">
      <c r="A3" s="1846"/>
      <c r="B3" s="1847"/>
      <c r="C3" s="1140" t="str">
        <f>HYPERLINK("#'Budget Summary II'!A3:B5", "Budget Summary II")</f>
        <v>Budget Summary II</v>
      </c>
      <c r="D3" s="2022"/>
      <c r="E3" s="2128" t="s">
        <v>4461</v>
      </c>
      <c r="F3" s="786">
        <f>O6+O8+O10+O13+O15+O17+O19</f>
        <v>17.864939999999997</v>
      </c>
      <c r="G3" s="2087"/>
      <c r="H3" s="2087"/>
      <c r="I3" s="2087"/>
      <c r="J3" s="1145"/>
      <c r="K3" s="1146"/>
      <c r="L3" s="1146"/>
      <c r="M3" s="1145"/>
      <c r="N3" s="2129"/>
      <c r="O3" s="2131"/>
      <c r="P3" s="2139"/>
      <c r="Q3" s="2139"/>
      <c r="R3" s="2140"/>
    </row>
    <row r="4" spans="1:18" s="868" customFormat="1">
      <c r="A4" s="3801" t="s">
        <v>48</v>
      </c>
      <c r="B4" s="3801" t="s">
        <v>49</v>
      </c>
      <c r="C4" s="3801" t="s">
        <v>50</v>
      </c>
      <c r="D4" s="3801" t="s">
        <v>51</v>
      </c>
      <c r="E4" s="3801" t="s">
        <v>52</v>
      </c>
      <c r="F4" s="3866" t="s">
        <v>4478</v>
      </c>
      <c r="G4" s="3866"/>
      <c r="H4" s="3866"/>
      <c r="I4" s="3866"/>
      <c r="J4" s="3866"/>
      <c r="K4" s="3866" t="s">
        <v>4484</v>
      </c>
      <c r="L4" s="3866"/>
      <c r="M4" s="3866"/>
      <c r="N4" s="3866"/>
      <c r="O4" s="3866"/>
      <c r="P4" s="3866"/>
      <c r="Q4" s="3801" t="s">
        <v>4514</v>
      </c>
      <c r="R4" s="3801"/>
    </row>
    <row r="5" spans="1:18" s="868" customFormat="1" ht="45">
      <c r="A5" s="3801"/>
      <c r="B5" s="3801"/>
      <c r="C5" s="3801"/>
      <c r="D5" s="3801"/>
      <c r="E5" s="3801"/>
      <c r="F5" s="918" t="s">
        <v>4479</v>
      </c>
      <c r="G5" s="918" t="s">
        <v>4482</v>
      </c>
      <c r="H5" s="918" t="s">
        <v>4480</v>
      </c>
      <c r="I5" s="918" t="s">
        <v>4483</v>
      </c>
      <c r="J5" s="918" t="s">
        <v>2448</v>
      </c>
      <c r="K5" s="919" t="s">
        <v>53</v>
      </c>
      <c r="L5" s="919" t="s">
        <v>54</v>
      </c>
      <c r="M5" s="920" t="s">
        <v>55</v>
      </c>
      <c r="N5" s="919" t="s">
        <v>56</v>
      </c>
      <c r="O5" s="920" t="s">
        <v>57</v>
      </c>
      <c r="P5" s="1924" t="s">
        <v>58</v>
      </c>
      <c r="Q5" s="1925" t="s">
        <v>2450</v>
      </c>
      <c r="R5" s="922" t="s">
        <v>4515</v>
      </c>
    </row>
    <row r="6" spans="1:18" s="2059" customFormat="1">
      <c r="A6" s="2007">
        <f>'3.Community Intervention Annexn'!A7</f>
        <v>3</v>
      </c>
      <c r="B6" s="2007"/>
      <c r="C6" s="2007" t="str">
        <f>'3.Community Intervention Annexn'!C7</f>
        <v>Community Interventions</v>
      </c>
      <c r="D6" s="785"/>
      <c r="E6" s="785"/>
      <c r="F6" s="785"/>
      <c r="G6" s="785"/>
      <c r="H6" s="547"/>
      <c r="I6" s="785"/>
      <c r="J6" s="547"/>
      <c r="K6" s="785"/>
      <c r="L6" s="785"/>
      <c r="M6" s="547"/>
      <c r="N6" s="2069"/>
      <c r="O6" s="1995">
        <f>O7</f>
        <v>0</v>
      </c>
      <c r="P6" s="2065"/>
      <c r="Q6" s="2065"/>
      <c r="R6" s="1995">
        <f>R7</f>
        <v>0</v>
      </c>
    </row>
    <row r="7" spans="1:18" s="2059" customFormat="1" ht="30">
      <c r="A7" s="88" t="str">
        <f>'3.Community Intervention Annexn'!A55</f>
        <v>3.3.3.3</v>
      </c>
      <c r="B7" s="88">
        <f>'3.Community Intervention Annexn'!B55</f>
        <v>0</v>
      </c>
      <c r="C7" s="88" t="str">
        <f>'3.Community Intervention Annexn'!C55</f>
        <v>Training of PRI under National Program for Climate Change and Human Health (NPCCHH)</v>
      </c>
      <c r="D7" s="88" t="str">
        <f>'3.Community Intervention Annexn'!D55</f>
        <v>NCD</v>
      </c>
      <c r="E7" s="88" t="str">
        <f>'3.Community Intervention Annexn'!E55</f>
        <v>NPCCHH</v>
      </c>
      <c r="F7" s="1975">
        <f>'3.Community Intervention Annexn'!F55</f>
        <v>0</v>
      </c>
      <c r="G7" s="1975">
        <f>'3.Community Intervention Annexn'!G55</f>
        <v>0</v>
      </c>
      <c r="H7" s="1975">
        <f>'3.Community Intervention Annexn'!H55</f>
        <v>0</v>
      </c>
      <c r="I7" s="1975">
        <f>'3.Community Intervention Annexn'!I55</f>
        <v>0</v>
      </c>
      <c r="J7" s="1975">
        <f>'3.Community Intervention Annexn'!J55</f>
        <v>0</v>
      </c>
      <c r="K7" s="1975">
        <f>'3.Community Intervention Annexn'!K55</f>
        <v>0</v>
      </c>
      <c r="L7" s="1975">
        <f>'3.Community Intervention Annexn'!L55</f>
        <v>0</v>
      </c>
      <c r="M7" s="162">
        <f>'3.Community Intervention Annexn'!M55</f>
        <v>0</v>
      </c>
      <c r="N7" s="1975">
        <f>'3.Community Intervention Annexn'!N55</f>
        <v>0</v>
      </c>
      <c r="O7" s="162">
        <f>'3.Community Intervention Annexn'!O55</f>
        <v>0</v>
      </c>
      <c r="P7" s="88">
        <f>'3.Community Intervention Annexn'!P55</f>
        <v>0</v>
      </c>
      <c r="Q7" s="2078"/>
      <c r="R7" s="2079"/>
    </row>
    <row r="8" spans="1:18" s="2059" customFormat="1">
      <c r="A8" s="2007">
        <f>'5.Infrastructure Annex'!A7</f>
        <v>5</v>
      </c>
      <c r="B8" s="2007"/>
      <c r="C8" s="2007" t="str">
        <f>'5.Infrastructure Annex'!C7</f>
        <v>Infrastructure</v>
      </c>
      <c r="D8" s="785"/>
      <c r="E8" s="785"/>
      <c r="F8" s="785"/>
      <c r="G8" s="785"/>
      <c r="H8" s="547"/>
      <c r="I8" s="785"/>
      <c r="J8" s="547"/>
      <c r="K8" s="785"/>
      <c r="L8" s="785"/>
      <c r="M8" s="547"/>
      <c r="N8" s="2069"/>
      <c r="O8" s="1995">
        <f>O9</f>
        <v>5</v>
      </c>
      <c r="P8" s="2065"/>
      <c r="Q8" s="2082"/>
      <c r="R8" s="1995">
        <f>R9</f>
        <v>0</v>
      </c>
    </row>
    <row r="9" spans="1:18" s="2059" customFormat="1" ht="45">
      <c r="A9" s="88" t="str">
        <f>'5.Infrastructure Annex'!A34</f>
        <v>5.1.1.2.13</v>
      </c>
      <c r="B9" s="88">
        <f>'5.Infrastructure Annex'!B34</f>
        <v>0</v>
      </c>
      <c r="C9" s="88" t="str">
        <f>'5.Infrastructure Annex'!C34</f>
        <v>Greening of Health sector: DH/ CHC as per IPHS guidelines</v>
      </c>
      <c r="D9" s="88" t="str">
        <f>'5.Infrastructure Annex'!D34</f>
        <v>NCD</v>
      </c>
      <c r="E9" s="88" t="str">
        <f>'5.Infrastructure Annex'!E34</f>
        <v>NPCCHH</v>
      </c>
      <c r="F9" s="1975">
        <f>'5.Infrastructure Annex'!F34</f>
        <v>0</v>
      </c>
      <c r="G9" s="1975">
        <f>'5.Infrastructure Annex'!G34</f>
        <v>0</v>
      </c>
      <c r="H9" s="1975">
        <f>'5.Infrastructure Annex'!H34</f>
        <v>0</v>
      </c>
      <c r="I9" s="1975">
        <f>'5.Infrastructure Annex'!I34</f>
        <v>0</v>
      </c>
      <c r="J9" s="1975">
        <f>'5.Infrastructure Annex'!J34</f>
        <v>0</v>
      </c>
      <c r="K9" s="1975">
        <f>'5.Infrastructure Annex'!K34</f>
        <v>0</v>
      </c>
      <c r="L9" s="1975">
        <f>'5.Infrastructure Annex'!L34</f>
        <v>500000</v>
      </c>
      <c r="M9" s="162">
        <f>'5.Infrastructure Annex'!M34</f>
        <v>5</v>
      </c>
      <c r="N9" s="1975">
        <f>'5.Infrastructure Annex'!N34</f>
        <v>1</v>
      </c>
      <c r="O9" s="162">
        <f>'5.Infrastructure Annex'!O34</f>
        <v>5</v>
      </c>
      <c r="P9" s="88" t="str">
        <f>'5.Infrastructure Annex'!P34</f>
        <v>The state has selected zonal hospital Dharamshala for greening as per IPHS guidelines.</v>
      </c>
      <c r="Q9" s="2078" t="s">
        <v>5868</v>
      </c>
      <c r="R9" s="2079">
        <v>0</v>
      </c>
    </row>
    <row r="10" spans="1:18">
      <c r="A10" s="2007">
        <f>'9.Training Annex'!A7</f>
        <v>9</v>
      </c>
      <c r="B10" s="2007"/>
      <c r="C10" s="2007" t="str">
        <f>'9.Training Annex'!C7</f>
        <v>Training and Capacity Building</v>
      </c>
      <c r="D10" s="785"/>
      <c r="E10" s="785"/>
      <c r="F10" s="785"/>
      <c r="G10" s="785"/>
      <c r="H10" s="547"/>
      <c r="I10" s="785"/>
      <c r="J10" s="547"/>
      <c r="K10" s="785"/>
      <c r="L10" s="785"/>
      <c r="M10" s="547"/>
      <c r="N10" s="2069"/>
      <c r="O10" s="1995">
        <f>SUM(O11:O12)</f>
        <v>2.1999899999999997</v>
      </c>
      <c r="P10" s="2065"/>
      <c r="Q10" s="2082"/>
      <c r="R10" s="1995">
        <f>SUM(R11:R12)</f>
        <v>2.2000000000000002</v>
      </c>
    </row>
    <row r="11" spans="1:18" ht="30">
      <c r="A11" s="4114" t="str">
        <f>'9.Training Annex'!A63</f>
        <v>9.2.4.9</v>
      </c>
      <c r="B11" s="88">
        <f>'9-A.Training Sub-Annex'!B279</f>
        <v>0</v>
      </c>
      <c r="C11" s="88" t="str">
        <f>'9-A.Training Sub-Annex'!C279</f>
        <v>Trainings of Medical Officers, Health Workers and Programme officers under NPCCHH</v>
      </c>
      <c r="D11" s="88" t="str">
        <f>'9-A.Training Sub-Annex'!D279</f>
        <v>NCD</v>
      </c>
      <c r="E11" s="88" t="str">
        <f>'9-A.Training Sub-Annex'!E279</f>
        <v>NPCCHH</v>
      </c>
      <c r="F11" s="1975">
        <f>'9-A.Training Sub-Annex'!F279</f>
        <v>0</v>
      </c>
      <c r="G11" s="1975">
        <f>'9-A.Training Sub-Annex'!G279</f>
        <v>0</v>
      </c>
      <c r="H11" s="1975">
        <f>'9-A.Training Sub-Annex'!H279</f>
        <v>0</v>
      </c>
      <c r="I11" s="1975">
        <f>'9-A.Training Sub-Annex'!I279</f>
        <v>0</v>
      </c>
      <c r="J11" s="1975">
        <f>'9-A.Training Sub-Annex'!J279</f>
        <v>0</v>
      </c>
      <c r="K11" s="1975">
        <f>'9-A.Training Sub-Annex'!K279</f>
        <v>0</v>
      </c>
      <c r="L11" s="1975">
        <f>'9-A.Training Sub-Annex'!L279</f>
        <v>16923</v>
      </c>
      <c r="M11" s="162">
        <f>'9-A.Training Sub-Annex'!M279</f>
        <v>0.16922999999999999</v>
      </c>
      <c r="N11" s="1975">
        <f>'9-A.Training Sub-Annex'!N279</f>
        <v>13</v>
      </c>
      <c r="O11" s="162">
        <f>'9-A.Training Sub-Annex'!O279</f>
        <v>2.1999899999999997</v>
      </c>
      <c r="P11" s="88">
        <f>'9-A.Training Sub-Annex'!P279</f>
        <v>0</v>
      </c>
      <c r="Q11" s="2080" t="s">
        <v>5752</v>
      </c>
      <c r="R11" s="2081">
        <v>2.2000000000000002</v>
      </c>
    </row>
    <row r="12" spans="1:18">
      <c r="A12" s="4115"/>
      <c r="B12" s="88">
        <f>'9-A.Training Sub-Annex'!B280</f>
        <v>0</v>
      </c>
      <c r="C12" s="88" t="str">
        <f>'9-A.Training Sub-Annex'!C280</f>
        <v>Any other (please specify)</v>
      </c>
      <c r="D12" s="88" t="str">
        <f>'9-A.Training Sub-Annex'!D280</f>
        <v>NCD</v>
      </c>
      <c r="E12" s="88" t="str">
        <f>'9-A.Training Sub-Annex'!E280</f>
        <v>NPCCHH</v>
      </c>
      <c r="F12" s="1975">
        <f>'9-A.Training Sub-Annex'!F280</f>
        <v>0</v>
      </c>
      <c r="G12" s="1975">
        <f>'9-A.Training Sub-Annex'!G280</f>
        <v>0</v>
      </c>
      <c r="H12" s="1975">
        <f>'9-A.Training Sub-Annex'!H280</f>
        <v>0</v>
      </c>
      <c r="I12" s="1975">
        <f>'9-A.Training Sub-Annex'!I280</f>
        <v>0</v>
      </c>
      <c r="J12" s="1975">
        <f>'9-A.Training Sub-Annex'!J280</f>
        <v>0</v>
      </c>
      <c r="K12" s="1975">
        <f>'9-A.Training Sub-Annex'!K280</f>
        <v>0</v>
      </c>
      <c r="L12" s="1975">
        <f>'9-A.Training Sub-Annex'!L280</f>
        <v>0</v>
      </c>
      <c r="M12" s="162">
        <f>'9-A.Training Sub-Annex'!M280</f>
        <v>0</v>
      </c>
      <c r="N12" s="1975">
        <f>'9-A.Training Sub-Annex'!N280</f>
        <v>0</v>
      </c>
      <c r="O12" s="162">
        <f>'9-A.Training Sub-Annex'!O280</f>
        <v>0</v>
      </c>
      <c r="P12" s="88">
        <f>'9-A.Training Sub-Annex'!P280</f>
        <v>0</v>
      </c>
      <c r="Q12" s="2080"/>
      <c r="R12" s="2081"/>
    </row>
    <row r="13" spans="1:18">
      <c r="A13" s="2007">
        <f>'10.Review Research &amp; Surveillen'!A7</f>
        <v>10</v>
      </c>
      <c r="B13" s="2007"/>
      <c r="C13" s="2007" t="str">
        <f>'10.Review Research &amp; Surveillen'!C7</f>
        <v>Reviews, Research, Surveys and Surveillance</v>
      </c>
      <c r="D13" s="785"/>
      <c r="E13" s="785"/>
      <c r="F13" s="785"/>
      <c r="G13" s="785"/>
      <c r="H13" s="547"/>
      <c r="I13" s="785"/>
      <c r="J13" s="547"/>
      <c r="K13" s="785"/>
      <c r="L13" s="785"/>
      <c r="M13" s="547"/>
      <c r="N13" s="2069"/>
      <c r="O13" s="1995">
        <f>O14</f>
        <v>0</v>
      </c>
      <c r="P13" s="2065"/>
      <c r="Q13" s="2082"/>
      <c r="R13" s="1995">
        <f>R14</f>
        <v>0</v>
      </c>
    </row>
    <row r="14" spans="1:18" ht="45">
      <c r="A14" s="1987" t="str">
        <f>'10.Review Research &amp; Surveillen'!A31</f>
        <v>10.2.14</v>
      </c>
      <c r="B14" s="1987">
        <f>'10.Review Research &amp; Surveillen'!B31</f>
        <v>0</v>
      </c>
      <c r="C14" s="1987" t="str">
        <f>'10.Review Research &amp; Surveillen'!C31</f>
        <v>Surveillance/ Vulnerability assessment/ Research related to Climate Change, Air Pollution and Heat related illness</v>
      </c>
      <c r="D14" s="1987" t="str">
        <f>'10.Review Research &amp; Surveillen'!D31</f>
        <v>NCD</v>
      </c>
      <c r="E14" s="1987" t="str">
        <f>'10.Review Research &amp; Surveillen'!E31</f>
        <v>NPCCHH</v>
      </c>
      <c r="F14" s="2029">
        <f>'10.Review Research &amp; Surveillen'!F31</f>
        <v>0</v>
      </c>
      <c r="G14" s="2029">
        <f>'10.Review Research &amp; Surveillen'!G31</f>
        <v>0</v>
      </c>
      <c r="H14" s="2029">
        <f>'10.Review Research &amp; Surveillen'!H31</f>
        <v>0</v>
      </c>
      <c r="I14" s="2029">
        <f>'10.Review Research &amp; Surveillen'!I31</f>
        <v>0</v>
      </c>
      <c r="J14" s="2029">
        <f>'10.Review Research &amp; Surveillen'!J31</f>
        <v>0</v>
      </c>
      <c r="K14" s="2029">
        <f>'10.Review Research &amp; Surveillen'!K31</f>
        <v>0</v>
      </c>
      <c r="L14" s="2029">
        <f>'10.Review Research &amp; Surveillen'!L31</f>
        <v>0</v>
      </c>
      <c r="M14" s="162">
        <f>'10.Review Research &amp; Surveillen'!M31</f>
        <v>0</v>
      </c>
      <c r="N14" s="2029">
        <f>'10.Review Research &amp; Surveillen'!N31</f>
        <v>0</v>
      </c>
      <c r="O14" s="162">
        <f>'10.Review Research &amp; Surveillen'!O31</f>
        <v>0</v>
      </c>
      <c r="P14" s="1988">
        <f>'10.Review Research &amp; Surveillen'!P31</f>
        <v>0</v>
      </c>
      <c r="Q14" s="2080"/>
      <c r="R14" s="2081"/>
    </row>
    <row r="15" spans="1:18">
      <c r="A15" s="2007">
        <f>'11.IEC-BCC Annex'!A7</f>
        <v>11</v>
      </c>
      <c r="B15" s="2007"/>
      <c r="C15" s="2007" t="str">
        <f>'11.IEC-BCC Annex'!C7</f>
        <v>IEC/BCC</v>
      </c>
      <c r="D15" s="785"/>
      <c r="E15" s="785"/>
      <c r="F15" s="785"/>
      <c r="G15" s="785"/>
      <c r="H15" s="547"/>
      <c r="I15" s="785"/>
      <c r="J15" s="547"/>
      <c r="K15" s="785"/>
      <c r="L15" s="785"/>
      <c r="M15" s="547"/>
      <c r="N15" s="2069"/>
      <c r="O15" s="1995">
        <f>O16</f>
        <v>8.1499600000000001</v>
      </c>
      <c r="P15" s="2065"/>
      <c r="Q15" s="2082"/>
      <c r="R15" s="1995">
        <f>R16</f>
        <v>8.15</v>
      </c>
    </row>
    <row r="16" spans="1:18" ht="45">
      <c r="A16" s="88" t="str">
        <f>'11.IEC-BCC Annex'!A38</f>
        <v>11.4.7</v>
      </c>
      <c r="B16" s="88">
        <f>'11-A. IEC Sub-Annex'!B95</f>
        <v>0</v>
      </c>
      <c r="C16" s="88" t="str">
        <f>'11-A. IEC Sub-Annex'!C95</f>
        <v>IEC on Climate Sensitive Diseases at Block , District and State level  – Air pollution, Heat and other relevant Climate Sensitive diseases</v>
      </c>
      <c r="D16" s="88" t="str">
        <f>'11-A. IEC Sub-Annex'!D95</f>
        <v>NCD</v>
      </c>
      <c r="E16" s="88" t="str">
        <f>'11-A. IEC Sub-Annex'!E95</f>
        <v>NPCCHH</v>
      </c>
      <c r="F16" s="1975">
        <f>'11-A. IEC Sub-Annex'!F95</f>
        <v>0</v>
      </c>
      <c r="G16" s="1975">
        <f>'11-A. IEC Sub-Annex'!G95</f>
        <v>0</v>
      </c>
      <c r="H16" s="1975">
        <f>'11-A. IEC Sub-Annex'!H95</f>
        <v>0</v>
      </c>
      <c r="I16" s="1975">
        <f>'11-A. IEC Sub-Annex'!I95</f>
        <v>0</v>
      </c>
      <c r="J16" s="1975">
        <f>'11-A. IEC Sub-Annex'!J95</f>
        <v>0</v>
      </c>
      <c r="K16" s="1975">
        <f>'11-A. IEC Sub-Annex'!K95</f>
        <v>0</v>
      </c>
      <c r="L16" s="1975">
        <f>'11-A. IEC Sub-Annex'!L95</f>
        <v>62692</v>
      </c>
      <c r="M16" s="162">
        <f>'11-A. IEC Sub-Annex'!M95</f>
        <v>0.62692000000000003</v>
      </c>
      <c r="N16" s="1975">
        <f>'11-A. IEC Sub-Annex'!N95</f>
        <v>13</v>
      </c>
      <c r="O16" s="162">
        <f>'11-A. IEC Sub-Annex'!O95</f>
        <v>8.1499600000000001</v>
      </c>
      <c r="P16" s="88">
        <f>'11-A. IEC Sub-Annex'!P95</f>
        <v>0</v>
      </c>
      <c r="Q16" s="2080" t="s">
        <v>5752</v>
      </c>
      <c r="R16" s="2081">
        <v>8.15</v>
      </c>
    </row>
    <row r="17" spans="1:18">
      <c r="A17" s="2007">
        <f>'12.Printing Annex'!A7</f>
        <v>12</v>
      </c>
      <c r="B17" s="2007"/>
      <c r="C17" s="2007" t="str">
        <f>'12.Printing Annex'!C7</f>
        <v>Printing</v>
      </c>
      <c r="D17" s="785"/>
      <c r="E17" s="785"/>
      <c r="F17" s="785"/>
      <c r="G17" s="785"/>
      <c r="H17" s="547"/>
      <c r="I17" s="785"/>
      <c r="J17" s="547"/>
      <c r="K17" s="785"/>
      <c r="L17" s="785"/>
      <c r="M17" s="547"/>
      <c r="N17" s="2069"/>
      <c r="O17" s="1995">
        <f>O18</f>
        <v>0.315</v>
      </c>
      <c r="P17" s="2065"/>
      <c r="Q17" s="2082"/>
      <c r="R17" s="1995">
        <f>R18</f>
        <v>0.32</v>
      </c>
    </row>
    <row r="18" spans="1:18" ht="30">
      <c r="A18" s="88" t="str">
        <f>'12.Printing Annex'!A40</f>
        <v>12.4.7</v>
      </c>
      <c r="B18" s="88">
        <f>'12-A. Print Sub-Annex'!B104</f>
        <v>0</v>
      </c>
      <c r="C18" s="88" t="str">
        <f>'12-A. Print Sub-Annex'!C104</f>
        <v>Printing activities for NPCCHH</v>
      </c>
      <c r="D18" s="88" t="str">
        <f>'12-A. Print Sub-Annex'!D104</f>
        <v>NCD</v>
      </c>
      <c r="E18" s="88" t="str">
        <f>'12-A. Print Sub-Annex'!E104</f>
        <v>NPCCHH</v>
      </c>
      <c r="F18" s="1975">
        <f>'12-A. Print Sub-Annex'!F104</f>
        <v>0</v>
      </c>
      <c r="G18" s="1975">
        <f>'12-A. Print Sub-Annex'!G104</f>
        <v>0</v>
      </c>
      <c r="H18" s="1975">
        <f>'12-A. Print Sub-Annex'!H104</f>
        <v>0</v>
      </c>
      <c r="I18" s="1975">
        <f>'12-A. Print Sub-Annex'!I104</f>
        <v>0</v>
      </c>
      <c r="J18" s="1975">
        <f>'12-A. Print Sub-Annex'!J104</f>
        <v>0</v>
      </c>
      <c r="K18" s="1975">
        <f>'12-A. Print Sub-Annex'!K104</f>
        <v>0</v>
      </c>
      <c r="L18" s="1975">
        <f>'12-A. Print Sub-Annex'!L104</f>
        <v>630</v>
      </c>
      <c r="M18" s="162">
        <f>'12-A. Print Sub-Annex'!M104</f>
        <v>6.3E-3</v>
      </c>
      <c r="N18" s="1975">
        <f>'12-A. Print Sub-Annex'!N104</f>
        <v>50</v>
      </c>
      <c r="O18" s="162">
        <f>'12-A. Print Sub-Annex'!O104</f>
        <v>0.315</v>
      </c>
      <c r="P18" s="88" t="str">
        <f>'12-A. Print Sub-Annex'!P104</f>
        <v>State action plan 35 copies and training module 15 copies.</v>
      </c>
      <c r="Q18" s="2080" t="s">
        <v>5752</v>
      </c>
      <c r="R18" s="2081">
        <v>0.32</v>
      </c>
    </row>
    <row r="19" spans="1:18">
      <c r="A19" s="876">
        <f>'16.PM Annex'!A7</f>
        <v>16</v>
      </c>
      <c r="B19" s="876">
        <f>'16.PM Annex'!B7</f>
        <v>0</v>
      </c>
      <c r="C19" s="876" t="str">
        <f>'16.PM Annex'!C7</f>
        <v>Programme Management</v>
      </c>
      <c r="D19" s="877"/>
      <c r="E19" s="877"/>
      <c r="F19" s="877"/>
      <c r="G19" s="877"/>
      <c r="H19" s="547"/>
      <c r="I19" s="877"/>
      <c r="J19" s="547"/>
      <c r="K19" s="877"/>
      <c r="L19" s="877"/>
      <c r="M19" s="547"/>
      <c r="N19" s="2069"/>
      <c r="O19" s="1995">
        <f>O20+O21</f>
        <v>2.1999899999999997</v>
      </c>
      <c r="P19" s="2065"/>
      <c r="Q19" s="2082"/>
      <c r="R19" s="1995">
        <f>R20+R21</f>
        <v>2.2000000000000002</v>
      </c>
    </row>
    <row r="20" spans="1:18" ht="75">
      <c r="A20" s="88" t="str">
        <f>'16-A. PM sub Annex'!A44</f>
        <v>16.1.2.1.23</v>
      </c>
      <c r="B20" s="88" t="e">
        <f>'16-A. PM sub Annex'!#REF!</f>
        <v>#REF!</v>
      </c>
      <c r="C20" s="88" t="str">
        <f>'16-A. PM sub Annex'!C44</f>
        <v>Task force Meeting to draft health sector plan for Heat and Air Pollution</v>
      </c>
      <c r="D20" s="1975" t="str">
        <f>'16-A. PM sub Annex'!D44</f>
        <v>NCD</v>
      </c>
      <c r="E20" s="1975" t="str">
        <f>'16-A. PM sub Annex'!E44</f>
        <v>HRH&amp;HPIP/NPCCHH</v>
      </c>
      <c r="F20" s="1975">
        <f>'16-A. PM sub Annex'!F44</f>
        <v>0</v>
      </c>
      <c r="G20" s="1975">
        <f>'16-A. PM sub Annex'!G44</f>
        <v>0</v>
      </c>
      <c r="H20" s="1975">
        <f>'16-A. PM sub Annex'!H44</f>
        <v>0</v>
      </c>
      <c r="I20" s="1975">
        <f>'16-A. PM sub Annex'!I44</f>
        <v>0</v>
      </c>
      <c r="J20" s="1975">
        <f>'16-A. PM sub Annex'!J44</f>
        <v>0</v>
      </c>
      <c r="K20" s="1975">
        <f>'16-A. PM sub Annex'!K44</f>
        <v>0</v>
      </c>
      <c r="L20" s="1975">
        <f>'16-A. PM sub Annex'!L44</f>
        <v>16923</v>
      </c>
      <c r="M20" s="162">
        <f>'16-A. PM sub Annex'!M44</f>
        <v>0.16922999999999999</v>
      </c>
      <c r="N20" s="1975">
        <f>'16-A. PM sub Annex'!N44</f>
        <v>13</v>
      </c>
      <c r="O20" s="162">
        <f>'16-A. PM sub Annex'!O44</f>
        <v>2.1999899999999997</v>
      </c>
      <c r="P20" s="88" t="str">
        <f>'16-A. PM sub Annex'!P44</f>
        <v>State proposes Rs. 1 lacs for State HQ &amp; Rs. 10000/- each per districts</v>
      </c>
      <c r="Q20" s="2080" t="s">
        <v>5753</v>
      </c>
      <c r="R20" s="2081">
        <v>2.2000000000000002</v>
      </c>
    </row>
    <row r="21" spans="1:18" ht="30" customHeight="1">
      <c r="A21" s="88" t="str">
        <f>'16-A. PM sub Annex'!A45</f>
        <v>16.1.2.1.24</v>
      </c>
      <c r="B21" s="88" t="e">
        <f>'16-A. PM sub Annex'!#REF!</f>
        <v>#REF!</v>
      </c>
      <c r="C21" s="88" t="str">
        <f>'16-A. PM sub Annex'!C45</f>
        <v xml:space="preserve">Sensitization workshop/ Meeting of  the State Program Officers and District level Health Officers   </v>
      </c>
      <c r="D21" s="1975" t="str">
        <f>'16-A. PM sub Annex'!D45</f>
        <v>NCD</v>
      </c>
      <c r="E21" s="1975" t="str">
        <f>'16-A. PM sub Annex'!E45</f>
        <v>HRH&amp;HPIP/NPCCHH</v>
      </c>
      <c r="F21" s="1975">
        <f>'16-A. PM sub Annex'!F45</f>
        <v>0</v>
      </c>
      <c r="G21" s="1975">
        <f>'16-A. PM sub Annex'!G45</f>
        <v>0</v>
      </c>
      <c r="H21" s="1975">
        <f>'16-A. PM sub Annex'!H45</f>
        <v>0</v>
      </c>
      <c r="I21" s="1975">
        <f>'16-A. PM sub Annex'!I45</f>
        <v>0</v>
      </c>
      <c r="J21" s="1975">
        <f>'16-A. PM sub Annex'!J45</f>
        <v>0</v>
      </c>
      <c r="K21" s="1975">
        <f>'16-A. PM sub Annex'!K45</f>
        <v>0</v>
      </c>
      <c r="L21" s="1975">
        <f>'16-A. PM sub Annex'!L45</f>
        <v>0</v>
      </c>
      <c r="M21" s="162">
        <f>'16-A. PM sub Annex'!M45</f>
        <v>0</v>
      </c>
      <c r="N21" s="1975">
        <f>'16-A. PM sub Annex'!N45</f>
        <v>0</v>
      </c>
      <c r="O21" s="162">
        <f>'16-A. PM sub Annex'!O45</f>
        <v>0</v>
      </c>
      <c r="P21" s="88">
        <f>'16-A. PM sub Annex'!P45</f>
        <v>0</v>
      </c>
      <c r="Q21" s="2080"/>
      <c r="R21" s="2081"/>
    </row>
  </sheetData>
  <sheetProtection sheet="1" formatCells="0" formatColumns="0" formatRows="0" autoFilter="0"/>
  <autoFilter ref="A5:M21"/>
  <mergeCells count="10">
    <mergeCell ref="A11:A12"/>
    <mergeCell ref="Q4:R4"/>
    <mergeCell ref="E4:E5"/>
    <mergeCell ref="A1:C1"/>
    <mergeCell ref="A4:A5"/>
    <mergeCell ref="B4:B5"/>
    <mergeCell ref="C4:C5"/>
    <mergeCell ref="D4:D5"/>
    <mergeCell ref="F4:J4"/>
    <mergeCell ref="K4:P4"/>
  </mergeCells>
  <pageMargins left="0.7" right="0.7" top="0.75" bottom="0.75" header="0.3" footer="0.3"/>
  <pageSetup orientation="portrait" horizontalDpi="300" verticalDpi="300" r:id="rId1"/>
</worksheet>
</file>

<file path=xl/worksheets/sheet47.xml><?xml version="1.0" encoding="utf-8"?>
<worksheet xmlns="http://schemas.openxmlformats.org/spreadsheetml/2006/main" xmlns:r="http://schemas.openxmlformats.org/officeDocument/2006/relationships">
  <sheetPr codeName="Sheet26">
    <tabColor theme="7" tint="0.79998168889431442"/>
  </sheetPr>
  <dimension ref="A1:R21"/>
  <sheetViews>
    <sheetView zoomScale="70" zoomScaleNormal="70" workbookViewId="0">
      <pane xSplit="3" ySplit="5" topLeftCell="G8" activePane="bottomRight" state="frozen"/>
      <selection activeCell="A4" sqref="A4:R11"/>
      <selection pane="topRight" activeCell="A4" sqref="A4:R11"/>
      <selection pane="bottomLeft" activeCell="A4" sqref="A4:R11"/>
      <selection pane="bottomRight" activeCell="R9" sqref="R9"/>
    </sheetView>
  </sheetViews>
  <sheetFormatPr defaultColWidth="9.140625" defaultRowHeight="15"/>
  <cols>
    <col min="1" max="1" width="10.85546875" style="1789" bestFit="1" customWidth="1"/>
    <col min="2" max="2" width="16.140625" style="1789" customWidth="1"/>
    <col min="3" max="3" width="46.140625" style="904" customWidth="1"/>
    <col min="4" max="4" width="4.28515625" style="868" bestFit="1" customWidth="1"/>
    <col min="5" max="5" width="14.5703125" style="868" customWidth="1"/>
    <col min="6" max="6" width="22.140625" style="1227" bestFit="1" customWidth="1"/>
    <col min="7" max="7" width="15.42578125" style="1227" customWidth="1"/>
    <col min="8" max="8" width="9.85546875" style="1941" bestFit="1" customWidth="1"/>
    <col min="9" max="9" width="8.140625" style="1227" bestFit="1" customWidth="1"/>
    <col min="10" max="10" width="12.140625" style="1941" bestFit="1" customWidth="1"/>
    <col min="11" max="11" width="10.140625" style="1789" customWidth="1"/>
    <col min="12" max="12" width="10.7109375" style="1789" customWidth="1"/>
    <col min="13" max="13" width="13.85546875" style="1941" customWidth="1"/>
    <col min="14" max="14" width="9.140625" style="1942"/>
    <col min="15" max="15" width="9.140625" style="3090"/>
    <col min="16" max="16" width="39.85546875" style="860" customWidth="1"/>
    <col min="17" max="17" width="34.42578125" style="1942" customWidth="1"/>
    <col min="18" max="18" width="9.140625" style="3090"/>
    <col min="19" max="16384" width="9.140625" style="1942"/>
  </cols>
  <sheetData>
    <row r="1" spans="1:18" s="2143" customFormat="1">
      <c r="A1" s="4097" t="s">
        <v>2125</v>
      </c>
      <c r="B1" s="4097"/>
      <c r="C1" s="4097"/>
      <c r="D1" s="1025"/>
      <c r="E1" s="915"/>
      <c r="F1" s="83" t="s">
        <v>3827</v>
      </c>
      <c r="G1" s="1913"/>
      <c r="H1" s="1913"/>
      <c r="I1" s="2010"/>
      <c r="J1" s="1913"/>
      <c r="K1" s="2142"/>
      <c r="L1" s="2142"/>
      <c r="M1" s="1913"/>
      <c r="O1" s="3086"/>
      <c r="P1" s="2148"/>
      <c r="R1" s="3086"/>
    </row>
    <row r="2" spans="1:18" s="2143" customFormat="1">
      <c r="A2" s="1842" t="str">
        <f>HYPERLINK("#Index!F3", "Index Pg")</f>
        <v>Index Pg</v>
      </c>
      <c r="B2" s="1847"/>
      <c r="C2" s="864" t="str">
        <f>HYPERLINK("#'Budget Summary I'!A1:AL1", "Budget Summary I")</f>
        <v>Budget Summary I</v>
      </c>
      <c r="D2" s="2144"/>
      <c r="E2" s="2124" t="s">
        <v>4460</v>
      </c>
      <c r="F2" s="161">
        <f>R20+R14+R9+R6+R17</f>
        <v>0.30000000000000004</v>
      </c>
      <c r="G2" s="1913"/>
      <c r="H2" s="1913"/>
      <c r="I2" s="1334"/>
      <c r="J2" s="1913"/>
      <c r="K2" s="2034"/>
      <c r="L2" s="2034"/>
      <c r="M2" s="1913"/>
      <c r="O2" s="3086"/>
      <c r="P2" s="2148"/>
      <c r="R2" s="3086"/>
    </row>
    <row r="3" spans="1:18" s="2143" customFormat="1">
      <c r="A3" s="1846"/>
      <c r="B3" s="1847"/>
      <c r="C3" s="864" t="str">
        <f>HYPERLINK("#'Budget Summary II'!A3:B5", "Budget Summary II")</f>
        <v>Budget Summary II</v>
      </c>
      <c r="D3" s="2144"/>
      <c r="E3" s="2124" t="s">
        <v>4461</v>
      </c>
      <c r="F3" s="161">
        <f>O20+O14+O9+O6+O17</f>
        <v>10.3</v>
      </c>
      <c r="G3" s="1913"/>
      <c r="H3" s="1913"/>
      <c r="I3" s="1334"/>
      <c r="J3" s="1913"/>
      <c r="K3" s="2034"/>
      <c r="L3" s="2034"/>
      <c r="M3" s="1913"/>
      <c r="O3" s="3086"/>
      <c r="P3" s="2148"/>
      <c r="R3" s="3086"/>
    </row>
    <row r="4" spans="1:18" s="1227" customFormat="1" ht="14.45" customHeight="1">
      <c r="A4" s="3801" t="s">
        <v>48</v>
      </c>
      <c r="B4" s="3801" t="s">
        <v>49</v>
      </c>
      <c r="C4" s="3801" t="s">
        <v>50</v>
      </c>
      <c r="D4" s="3801" t="s">
        <v>51</v>
      </c>
      <c r="E4" s="3801" t="s">
        <v>52</v>
      </c>
      <c r="F4" s="3799" t="s">
        <v>4478</v>
      </c>
      <c r="G4" s="3799"/>
      <c r="H4" s="3799"/>
      <c r="I4" s="3799"/>
      <c r="J4" s="3799"/>
      <c r="K4" s="3799" t="s">
        <v>4484</v>
      </c>
      <c r="L4" s="3799"/>
      <c r="M4" s="3799"/>
      <c r="N4" s="3799"/>
      <c r="O4" s="3799"/>
      <c r="P4" s="3799"/>
      <c r="Q4" s="3800" t="s">
        <v>4514</v>
      </c>
      <c r="R4" s="3800"/>
    </row>
    <row r="5" spans="1:18" s="1227" customFormat="1" ht="60">
      <c r="A5" s="3801"/>
      <c r="B5" s="3801"/>
      <c r="C5" s="3801"/>
      <c r="D5" s="3801"/>
      <c r="E5" s="3801"/>
      <c r="F5" s="918" t="s">
        <v>4479</v>
      </c>
      <c r="G5" s="918" t="s">
        <v>4482</v>
      </c>
      <c r="H5" s="918" t="s">
        <v>4480</v>
      </c>
      <c r="I5" s="918" t="s">
        <v>4483</v>
      </c>
      <c r="J5" s="2050" t="s">
        <v>2448</v>
      </c>
      <c r="K5" s="2051" t="s">
        <v>53</v>
      </c>
      <c r="L5" s="2051" t="s">
        <v>54</v>
      </c>
      <c r="M5" s="2052" t="s">
        <v>55</v>
      </c>
      <c r="N5" s="2051" t="s">
        <v>56</v>
      </c>
      <c r="O5" s="2889" t="s">
        <v>57</v>
      </c>
      <c r="P5" s="2051" t="s">
        <v>58</v>
      </c>
      <c r="Q5" s="1595" t="s">
        <v>2450</v>
      </c>
      <c r="R5" s="2887" t="s">
        <v>4515</v>
      </c>
    </row>
    <row r="6" spans="1:18">
      <c r="A6" s="2007">
        <f>'6.Procurement Annex'!A7</f>
        <v>6</v>
      </c>
      <c r="B6" s="2007"/>
      <c r="C6" s="2007" t="str">
        <f>'6.Procurement Annex'!C7</f>
        <v>Procurement</v>
      </c>
      <c r="D6" s="785"/>
      <c r="E6" s="785"/>
      <c r="F6" s="785"/>
      <c r="G6" s="785"/>
      <c r="H6" s="547"/>
      <c r="I6" s="785"/>
      <c r="J6" s="547"/>
      <c r="K6" s="2007"/>
      <c r="L6" s="2007"/>
      <c r="M6" s="547"/>
      <c r="N6" s="1997"/>
      <c r="O6" s="3087">
        <f>O7+O8</f>
        <v>10</v>
      </c>
      <c r="P6" s="2089"/>
      <c r="Q6" s="1997"/>
      <c r="R6" s="3087">
        <f>R7+R8</f>
        <v>0</v>
      </c>
    </row>
    <row r="7" spans="1:18" ht="150">
      <c r="A7" s="4116" t="str">
        <f>'6.Procurement Annex'!A42</f>
        <v>6.1.5.7</v>
      </c>
      <c r="B7" s="1958">
        <f>'6-A. Proc. Sub-Annex'!B124</f>
        <v>0</v>
      </c>
      <c r="C7" s="1958" t="str">
        <f>'6-A. Proc. Sub-Annex'!C124</f>
        <v>Procurement of equipment</v>
      </c>
      <c r="D7" s="1958" t="str">
        <f>'6-A. Proc. Sub-Annex'!D124</f>
        <v>NCD</v>
      </c>
      <c r="E7" s="1958" t="str">
        <f>'6-A. Proc. Sub-Annex'!E124</f>
        <v>NPPCD</v>
      </c>
      <c r="F7" s="1958">
        <f>'6-A. Proc. Sub-Annex'!F124</f>
        <v>0</v>
      </c>
      <c r="G7" s="1958">
        <f>'6-A. Proc. Sub-Annex'!G124</f>
        <v>0</v>
      </c>
      <c r="H7" s="1958">
        <f>'6-A. Proc. Sub-Annex'!H124</f>
        <v>0</v>
      </c>
      <c r="I7" s="1958">
        <f>'6-A. Proc. Sub-Annex'!I124</f>
        <v>0</v>
      </c>
      <c r="J7" s="1958">
        <f>'6-A. Proc. Sub-Annex'!J124</f>
        <v>0</v>
      </c>
      <c r="K7" s="1958">
        <f>'6-A. Proc. Sub-Annex'!K124</f>
        <v>0</v>
      </c>
      <c r="L7" s="1958">
        <f>'6-A. Proc. Sub-Annex'!L124</f>
        <v>1000000</v>
      </c>
      <c r="M7" s="1958">
        <f>'6-A. Proc. Sub-Annex'!M124</f>
        <v>10</v>
      </c>
      <c r="N7" s="1958">
        <f>'6-A. Proc. Sub-Annex'!N124</f>
        <v>1</v>
      </c>
      <c r="O7" s="1986">
        <f>'6-A. Proc. Sub-Annex'!O124</f>
        <v>10</v>
      </c>
      <c r="P7" s="2789" t="str">
        <f>'6-A. Proc. Sub-Annex'!P212</f>
        <v xml:space="preserve"> A deafness screning  van  has been provided by ICMR to IGMC Shimla under a projact in 2018. The project is over and the running cost of the van will be Rs 10lakh per year . (opex cost  &amp; POL for deafness van)It will help in deafness screening in the state as mobile van </v>
      </c>
      <c r="Q7" s="69" t="s">
        <v>5914</v>
      </c>
      <c r="R7" s="2810">
        <v>0</v>
      </c>
    </row>
    <row r="8" spans="1:18">
      <c r="A8" s="4117"/>
      <c r="B8" s="1958">
        <f>'6-A. Proc. Sub-Annex'!B125</f>
        <v>0</v>
      </c>
      <c r="C8" s="1958" t="str">
        <f>'6-A. Proc. Sub-Annex'!C125</f>
        <v>Any other equipment (please specify)</v>
      </c>
      <c r="D8" s="1958" t="str">
        <f>'6-A. Proc. Sub-Annex'!D125</f>
        <v>NCD</v>
      </c>
      <c r="E8" s="1958" t="str">
        <f>'6-A. Proc. Sub-Annex'!E125</f>
        <v>NPPCD</v>
      </c>
      <c r="F8" s="1958">
        <f>'6-A. Proc. Sub-Annex'!F125</f>
        <v>0</v>
      </c>
      <c r="G8" s="1958">
        <f>'6-A. Proc. Sub-Annex'!G125</f>
        <v>0</v>
      </c>
      <c r="H8" s="1958">
        <f>'6-A. Proc. Sub-Annex'!H125</f>
        <v>0</v>
      </c>
      <c r="I8" s="1958">
        <f>'6-A. Proc. Sub-Annex'!I125</f>
        <v>0</v>
      </c>
      <c r="J8" s="1958">
        <f>'6-A. Proc. Sub-Annex'!J125</f>
        <v>0</v>
      </c>
      <c r="K8" s="1958">
        <f>'6-A. Proc. Sub-Annex'!K125</f>
        <v>0</v>
      </c>
      <c r="L8" s="1958">
        <f>'6-A. Proc. Sub-Annex'!L125</f>
        <v>0</v>
      </c>
      <c r="M8" s="1958">
        <f>'6-A. Proc. Sub-Annex'!M125</f>
        <v>0</v>
      </c>
      <c r="N8" s="1958">
        <f>'6-A. Proc. Sub-Annex'!N125</f>
        <v>0</v>
      </c>
      <c r="O8" s="1986">
        <f>'6-A. Proc. Sub-Annex'!O125</f>
        <v>0</v>
      </c>
      <c r="P8" s="2789">
        <f>'6-A. Proc. Sub-Annex'!P125</f>
        <v>0</v>
      </c>
      <c r="Q8" s="68"/>
      <c r="R8" s="2810"/>
    </row>
    <row r="9" spans="1:18">
      <c r="A9" s="2007">
        <f>'9.Training Annex'!A7</f>
        <v>9</v>
      </c>
      <c r="B9" s="2007"/>
      <c r="C9" s="2007" t="str">
        <f>'9.Training Annex'!C7</f>
        <v>Training and Capacity Building</v>
      </c>
      <c r="D9" s="785"/>
      <c r="E9" s="785"/>
      <c r="F9" s="785"/>
      <c r="G9" s="785"/>
      <c r="H9" s="547"/>
      <c r="I9" s="785"/>
      <c r="J9" s="547"/>
      <c r="K9" s="2007"/>
      <c r="L9" s="2007"/>
      <c r="M9" s="547"/>
      <c r="N9" s="1997"/>
      <c r="O9" s="3092">
        <f>-SUM(O10:O13)</f>
        <v>-1</v>
      </c>
      <c r="P9" s="2089"/>
      <c r="Q9" s="2145"/>
      <c r="R9" s="3092">
        <f>-SUM(R10:R13)</f>
        <v>-1</v>
      </c>
    </row>
    <row r="10" spans="1:18" ht="90">
      <c r="A10" s="1958" t="str">
        <f>'9.Training Annex'!A60</f>
        <v>9.2.4.6</v>
      </c>
      <c r="B10" s="1958" t="str">
        <f>'9-A.Training Sub-Annex'!B268</f>
        <v>B.25.2.1.b</v>
      </c>
      <c r="C10" s="1958" t="str">
        <f>'9-A.Training Sub-Annex'!C268</f>
        <v>Trainings at District Hospital</v>
      </c>
      <c r="D10" s="1958" t="str">
        <f>'9-A.Training Sub-Annex'!D268</f>
        <v>NCD</v>
      </c>
      <c r="E10" s="1958" t="str">
        <f>'9-A.Training Sub-Annex'!E268</f>
        <v>NPPCD</v>
      </c>
      <c r="F10" s="1958">
        <f>'9-A.Training Sub-Annex'!F268</f>
        <v>2</v>
      </c>
      <c r="G10" s="1958">
        <f>'9-A.Training Sub-Annex'!G268</f>
        <v>0</v>
      </c>
      <c r="H10" s="1958">
        <f>'9-A.Training Sub-Annex'!H268</f>
        <v>3</v>
      </c>
      <c r="I10" s="1958">
        <f>'9-A.Training Sub-Annex'!I268</f>
        <v>0.01</v>
      </c>
      <c r="J10" s="1958">
        <f>'9-A.Training Sub-Annex'!J268</f>
        <v>0</v>
      </c>
      <c r="K10" s="1958">
        <f>'9-A.Training Sub-Annex'!K268</f>
        <v>0</v>
      </c>
      <c r="L10" s="1958">
        <f>'9-A.Training Sub-Annex'!L268</f>
        <v>1000</v>
      </c>
      <c r="M10" s="1958">
        <f>'9-A.Training Sub-Annex'!M268</f>
        <v>0.01</v>
      </c>
      <c r="N10" s="1958">
        <f>'9-A.Training Sub-Annex'!N268</f>
        <v>100</v>
      </c>
      <c r="O10" s="1986">
        <f>'9-A.Training Sub-Annex'!O268</f>
        <v>1</v>
      </c>
      <c r="P10" s="2789" t="str">
        <f>'9-A.Training Sub-Annex'!P268</f>
        <v xml:space="preserve">Orientation training of Mos  and staff audiemetry and deafness screening and management as per GOI guidelines /protocols. Batch of 25 Mos &amp; Staff . The training can be clubbed with other training for 1/2 day  </v>
      </c>
      <c r="Q10" s="69" t="s">
        <v>5731</v>
      </c>
      <c r="R10" s="2810">
        <f>O10</f>
        <v>1</v>
      </c>
    </row>
    <row r="11" spans="1:18">
      <c r="A11" s="1958"/>
      <c r="B11" s="1958" t="str">
        <f>'9-A.Training Sub-Annex'!B269</f>
        <v>B.25.2.1.c</v>
      </c>
      <c r="C11" s="1958" t="str">
        <f>'9-A.Training Sub-Annex'!C269</f>
        <v>Trainings at CHC/Sub-Divisional Hospital</v>
      </c>
      <c r="D11" s="1958" t="str">
        <f>'9-A.Training Sub-Annex'!D269</f>
        <v>NCD</v>
      </c>
      <c r="E11" s="1958" t="str">
        <f>'9-A.Training Sub-Annex'!E269</f>
        <v>NPPCD</v>
      </c>
      <c r="F11" s="1958">
        <f>'9-A.Training Sub-Annex'!F269</f>
        <v>0</v>
      </c>
      <c r="G11" s="1958">
        <f>'9-A.Training Sub-Annex'!G269</f>
        <v>0</v>
      </c>
      <c r="H11" s="1958">
        <f>'9-A.Training Sub-Annex'!H269</f>
        <v>0</v>
      </c>
      <c r="I11" s="1958">
        <f>'9-A.Training Sub-Annex'!I269</f>
        <v>0</v>
      </c>
      <c r="J11" s="1958">
        <f>'9-A.Training Sub-Annex'!J269</f>
        <v>0</v>
      </c>
      <c r="K11" s="1958">
        <f>'9-A.Training Sub-Annex'!K269</f>
        <v>0</v>
      </c>
      <c r="L11" s="1958">
        <f>'9-A.Training Sub-Annex'!L269</f>
        <v>0</v>
      </c>
      <c r="M11" s="1958">
        <f>'9-A.Training Sub-Annex'!M269</f>
        <v>0</v>
      </c>
      <c r="N11" s="1958">
        <f>'9-A.Training Sub-Annex'!N269</f>
        <v>0</v>
      </c>
      <c r="O11" s="1986">
        <f>'9-A.Training Sub-Annex'!O269</f>
        <v>0</v>
      </c>
      <c r="P11" s="2789">
        <f>'9-A.Training Sub-Annex'!P269</f>
        <v>0</v>
      </c>
      <c r="Q11" s="68"/>
      <c r="R11" s="2810"/>
    </row>
    <row r="12" spans="1:18">
      <c r="A12" s="1958"/>
      <c r="B12" s="1958" t="str">
        <f>'9-A.Training Sub-Annex'!B270</f>
        <v>B.25.2.1.d</v>
      </c>
      <c r="C12" s="1958" t="str">
        <f>'9-A.Training Sub-Annex'!C270</f>
        <v>Trainings at PHC</v>
      </c>
      <c r="D12" s="1958" t="str">
        <f>'9-A.Training Sub-Annex'!D270</f>
        <v>NCD</v>
      </c>
      <c r="E12" s="1958" t="str">
        <f>'9-A.Training Sub-Annex'!E270</f>
        <v>NPPCD</v>
      </c>
      <c r="F12" s="1958">
        <f>'9-A.Training Sub-Annex'!F270</f>
        <v>0</v>
      </c>
      <c r="G12" s="1958">
        <f>'9-A.Training Sub-Annex'!G270</f>
        <v>0</v>
      </c>
      <c r="H12" s="1958">
        <f>'9-A.Training Sub-Annex'!H270</f>
        <v>0</v>
      </c>
      <c r="I12" s="1958">
        <f>'9-A.Training Sub-Annex'!I270</f>
        <v>0</v>
      </c>
      <c r="J12" s="1958">
        <f>'9-A.Training Sub-Annex'!J270</f>
        <v>0</v>
      </c>
      <c r="K12" s="1958">
        <f>'9-A.Training Sub-Annex'!K270</f>
        <v>0</v>
      </c>
      <c r="L12" s="1958">
        <f>'9-A.Training Sub-Annex'!L270</f>
        <v>0</v>
      </c>
      <c r="M12" s="1958">
        <f>'9-A.Training Sub-Annex'!M270</f>
        <v>0</v>
      </c>
      <c r="N12" s="1958">
        <f>'9-A.Training Sub-Annex'!N270</f>
        <v>0</v>
      </c>
      <c r="O12" s="1986">
        <f>'9-A.Training Sub-Annex'!O270</f>
        <v>0</v>
      </c>
      <c r="P12" s="2789">
        <f>'9-A.Training Sub-Annex'!P270</f>
        <v>0</v>
      </c>
      <c r="Q12" s="68"/>
      <c r="R12" s="2810"/>
    </row>
    <row r="13" spans="1:18">
      <c r="A13" s="1958"/>
      <c r="B13" s="1958">
        <f>'9-A.Training Sub-Annex'!B271</f>
        <v>0</v>
      </c>
      <c r="C13" s="1958" t="str">
        <f>'9-A.Training Sub-Annex'!C271</f>
        <v>Any other (please specify)</v>
      </c>
      <c r="D13" s="1958" t="str">
        <f>'9-A.Training Sub-Annex'!D271</f>
        <v>NCD</v>
      </c>
      <c r="E13" s="1958" t="str">
        <f>'9-A.Training Sub-Annex'!E271</f>
        <v>NPPCD</v>
      </c>
      <c r="F13" s="1958">
        <f>'9-A.Training Sub-Annex'!F271</f>
        <v>0</v>
      </c>
      <c r="G13" s="1958">
        <f>'9-A.Training Sub-Annex'!G271</f>
        <v>0</v>
      </c>
      <c r="H13" s="1958">
        <f>'9-A.Training Sub-Annex'!H271</f>
        <v>0</v>
      </c>
      <c r="I13" s="1958">
        <f>'9-A.Training Sub-Annex'!I271</f>
        <v>0</v>
      </c>
      <c r="J13" s="1958">
        <f>'9-A.Training Sub-Annex'!J271</f>
        <v>0</v>
      </c>
      <c r="K13" s="1958">
        <f>'9-A.Training Sub-Annex'!K271</f>
        <v>0</v>
      </c>
      <c r="L13" s="1958">
        <f>'9-A.Training Sub-Annex'!L271</f>
        <v>0</v>
      </c>
      <c r="M13" s="1958">
        <f>'9-A.Training Sub-Annex'!M271</f>
        <v>0</v>
      </c>
      <c r="N13" s="1958">
        <f>'9-A.Training Sub-Annex'!N271</f>
        <v>0</v>
      </c>
      <c r="O13" s="1986">
        <f>'9-A.Training Sub-Annex'!O271</f>
        <v>0</v>
      </c>
      <c r="P13" s="2789">
        <f>'9-A.Training Sub-Annex'!P271</f>
        <v>0</v>
      </c>
      <c r="Q13" s="68"/>
      <c r="R13" s="2810"/>
    </row>
    <row r="14" spans="1:18">
      <c r="A14" s="2007">
        <f>'11.IEC-BCC Annex'!A7</f>
        <v>11</v>
      </c>
      <c r="B14" s="2007"/>
      <c r="C14" s="2007" t="str">
        <f>'11.IEC-BCC Annex'!C7</f>
        <v>IEC/BCC</v>
      </c>
      <c r="D14" s="785"/>
      <c r="E14" s="785"/>
      <c r="F14" s="785"/>
      <c r="G14" s="785"/>
      <c r="H14" s="547"/>
      <c r="I14" s="785"/>
      <c r="J14" s="547"/>
      <c r="K14" s="2007"/>
      <c r="L14" s="2007"/>
      <c r="M14" s="547"/>
      <c r="N14" s="1997"/>
      <c r="O14" s="3087">
        <f>O15+O16</f>
        <v>1.3</v>
      </c>
      <c r="P14" s="2089"/>
      <c r="Q14" s="2145"/>
      <c r="R14" s="3087">
        <f>R15+R16</f>
        <v>1.3</v>
      </c>
    </row>
    <row r="15" spans="1:18" ht="30">
      <c r="A15" s="4116" t="str">
        <f>'11.IEC-BCC Annex'!A40</f>
        <v>11.4.9</v>
      </c>
      <c r="B15" s="1958">
        <f>'11-A. IEC Sub-Annex'!B98</f>
        <v>0</v>
      </c>
      <c r="C15" s="1958" t="str">
        <f>'11-A. IEC Sub-Annex'!C98</f>
        <v>IEC activities</v>
      </c>
      <c r="D15" s="1958" t="str">
        <f>'11-A. IEC Sub-Annex'!D98</f>
        <v>NCD</v>
      </c>
      <c r="E15" s="1958" t="str">
        <f>'11-A. IEC Sub-Annex'!E98</f>
        <v>NPPCD</v>
      </c>
      <c r="F15" s="1958">
        <f>'11-A. IEC Sub-Annex'!F98</f>
        <v>88</v>
      </c>
      <c r="G15" s="1958">
        <f>'11-A. IEC Sub-Annex'!G98</f>
        <v>0</v>
      </c>
      <c r="H15" s="1958">
        <f>'11-A. IEC Sub-Annex'!H98</f>
        <v>2.88</v>
      </c>
      <c r="I15" s="1958">
        <f>'11-A. IEC Sub-Annex'!I98</f>
        <v>1.04</v>
      </c>
      <c r="J15" s="1958">
        <f>'11-A. IEC Sub-Annex'!J98</f>
        <v>1.84</v>
      </c>
      <c r="K15" s="1958">
        <f>'11-A. IEC Sub-Annex'!K98</f>
        <v>0</v>
      </c>
      <c r="L15" s="1958">
        <f>'11-A. IEC Sub-Annex'!L98</f>
        <v>10000</v>
      </c>
      <c r="M15" s="1958">
        <f>'11-A. IEC Sub-Annex'!M98</f>
        <v>0.1</v>
      </c>
      <c r="N15" s="1958">
        <f>'11-A. IEC Sub-Annex'!N98</f>
        <v>13</v>
      </c>
      <c r="O15" s="1986">
        <f>'11-A. IEC Sub-Annex'!O98</f>
        <v>1.3</v>
      </c>
      <c r="P15" s="2789" t="str">
        <f>'11-A. IEC Sub-Annex'!P98</f>
        <v xml:space="preserve">IEC activitise at state and Distt level @ Rs 1 lakh per unit </v>
      </c>
      <c r="Q15" s="68" t="s">
        <v>5732</v>
      </c>
      <c r="R15" s="2810">
        <f>O15</f>
        <v>1.3</v>
      </c>
    </row>
    <row r="16" spans="1:18">
      <c r="A16" s="4117"/>
      <c r="B16" s="1958">
        <f>'11-A. IEC Sub-Annex'!B99</f>
        <v>0</v>
      </c>
      <c r="C16" s="1958" t="str">
        <f>'11-A. IEC Sub-Annex'!C99</f>
        <v>Any Other</v>
      </c>
      <c r="D16" s="1958" t="str">
        <f>'11-A. IEC Sub-Annex'!D99</f>
        <v>NCD</v>
      </c>
      <c r="E16" s="1958" t="str">
        <f>'11-A. IEC Sub-Annex'!E99</f>
        <v>NPPCD</v>
      </c>
      <c r="F16" s="1958">
        <f>'11-A. IEC Sub-Annex'!F99</f>
        <v>0</v>
      </c>
      <c r="G16" s="1958">
        <f>'11-A. IEC Sub-Annex'!G99</f>
        <v>0</v>
      </c>
      <c r="H16" s="1958">
        <f>'11-A. IEC Sub-Annex'!H99</f>
        <v>0</v>
      </c>
      <c r="I16" s="1958">
        <f>'11-A. IEC Sub-Annex'!I99</f>
        <v>0</v>
      </c>
      <c r="J16" s="1958">
        <f>'11-A. IEC Sub-Annex'!J99</f>
        <v>0</v>
      </c>
      <c r="K16" s="1958">
        <f>'11-A. IEC Sub-Annex'!K99</f>
        <v>0</v>
      </c>
      <c r="L16" s="1958">
        <f>'11-A. IEC Sub-Annex'!L99</f>
        <v>0</v>
      </c>
      <c r="M16" s="1958">
        <f>'11-A. IEC Sub-Annex'!M99</f>
        <v>0</v>
      </c>
      <c r="N16" s="1958">
        <f>'11-A. IEC Sub-Annex'!N99</f>
        <v>0</v>
      </c>
      <c r="O16" s="1986">
        <f>'11-A. IEC Sub-Annex'!O99</f>
        <v>0</v>
      </c>
      <c r="P16" s="2789">
        <f>'11-A. IEC Sub-Annex'!P99</f>
        <v>0</v>
      </c>
      <c r="Q16" s="68"/>
      <c r="R16" s="2810"/>
    </row>
    <row r="17" spans="1:18">
      <c r="A17" s="2038">
        <f>'12.Printing Annex'!A7</f>
        <v>12</v>
      </c>
      <c r="B17" s="1931"/>
      <c r="C17" s="2038" t="str">
        <f>'12.Printing Annex'!C7</f>
        <v>Printing</v>
      </c>
      <c r="D17" s="1866"/>
      <c r="E17" s="1866"/>
      <c r="F17" s="1929"/>
      <c r="G17" s="1929"/>
      <c r="H17" s="1930"/>
      <c r="I17" s="1929"/>
      <c r="J17" s="1930"/>
      <c r="K17" s="1931"/>
      <c r="L17" s="1931"/>
      <c r="M17" s="1930"/>
      <c r="N17" s="1984"/>
      <c r="O17" s="3088">
        <f>O18</f>
        <v>0</v>
      </c>
      <c r="P17" s="2809"/>
      <c r="Q17" s="1990"/>
      <c r="R17" s="3088">
        <f>R18</f>
        <v>0</v>
      </c>
    </row>
    <row r="18" spans="1:18">
      <c r="A18" s="1958" t="str">
        <f>'12.Printing Annex'!A41</f>
        <v>12.4.8</v>
      </c>
      <c r="B18" s="1958">
        <f>'12-A. Print Sub-Annex'!B105</f>
        <v>0</v>
      </c>
      <c r="C18" s="1958" t="str">
        <f>'12-A. Print Sub-Annex'!C105</f>
        <v>Printing activities under NPPCD</v>
      </c>
      <c r="D18" s="1958" t="str">
        <f>'12-A. Print Sub-Annex'!D105</f>
        <v>NCD</v>
      </c>
      <c r="E18" s="1958" t="str">
        <f>'12-A. Print Sub-Annex'!E105</f>
        <v>NPPCD</v>
      </c>
      <c r="F18" s="1958">
        <f>'12-A. Print Sub-Annex'!F105</f>
        <v>0</v>
      </c>
      <c r="G18" s="1958">
        <f>'12-A. Print Sub-Annex'!G105</f>
        <v>0</v>
      </c>
      <c r="H18" s="1958">
        <f>'12-A. Print Sub-Annex'!H105</f>
        <v>0</v>
      </c>
      <c r="I18" s="1958">
        <f>'12-A. Print Sub-Annex'!I105</f>
        <v>0</v>
      </c>
      <c r="J18" s="1958">
        <f>'12-A. Print Sub-Annex'!J105</f>
        <v>0</v>
      </c>
      <c r="K18" s="1958">
        <f>'12-A. Print Sub-Annex'!K105</f>
        <v>0</v>
      </c>
      <c r="L18" s="1958">
        <f>'12-A. Print Sub-Annex'!L105</f>
        <v>0</v>
      </c>
      <c r="M18" s="1958">
        <f>'12-A. Print Sub-Annex'!M105</f>
        <v>0</v>
      </c>
      <c r="N18" s="1958">
        <f>'12-A. Print Sub-Annex'!N105</f>
        <v>0</v>
      </c>
      <c r="O18" s="1986">
        <f>'12-A. Print Sub-Annex'!O105</f>
        <v>0</v>
      </c>
      <c r="P18" s="2789">
        <f>'12-A. Print Sub-Annex'!P105</f>
        <v>0</v>
      </c>
      <c r="Q18" s="68"/>
      <c r="R18" s="2810"/>
    </row>
    <row r="19" spans="1:18">
      <c r="A19" s="1958"/>
      <c r="B19" s="1958"/>
      <c r="C19" s="88"/>
      <c r="D19" s="1975"/>
      <c r="E19" s="1975"/>
      <c r="F19" s="1974"/>
      <c r="G19" s="1974"/>
      <c r="H19" s="1937"/>
      <c r="I19" s="1974"/>
      <c r="J19" s="1937"/>
      <c r="K19" s="1958"/>
      <c r="L19" s="1958"/>
      <c r="M19" s="1937"/>
      <c r="N19" s="1269"/>
      <c r="O19" s="3089"/>
      <c r="P19" s="894"/>
      <c r="Q19" s="68"/>
      <c r="R19" s="2810"/>
    </row>
    <row r="20" spans="1:18">
      <c r="A20" s="2007">
        <f>'15.PPP Annex'!A7</f>
        <v>15</v>
      </c>
      <c r="B20" s="2007"/>
      <c r="C20" s="2007" t="str">
        <f>'15.PPP Annex'!C7</f>
        <v>PPP</v>
      </c>
      <c r="D20" s="785"/>
      <c r="E20" s="785"/>
      <c r="F20" s="785"/>
      <c r="G20" s="785"/>
      <c r="H20" s="547"/>
      <c r="I20" s="785"/>
      <c r="J20" s="547"/>
      <c r="K20" s="2007"/>
      <c r="L20" s="2007"/>
      <c r="M20" s="547"/>
      <c r="N20" s="1997"/>
      <c r="O20" s="3087">
        <f>O21</f>
        <v>0</v>
      </c>
      <c r="P20" s="2089"/>
      <c r="Q20" s="2145"/>
      <c r="R20" s="3087">
        <f>R21</f>
        <v>0</v>
      </c>
    </row>
    <row r="21" spans="1:18">
      <c r="A21" s="1958" t="str">
        <f>'15.PPP Annex'!A35</f>
        <v>15.4.1</v>
      </c>
      <c r="B21" s="1958" t="str">
        <f>'15.PPP Annex'!B35</f>
        <v>15.2.1/ B.25.1.2</v>
      </c>
      <c r="C21" s="1958" t="str">
        <f>'15.PPP Annex'!C35</f>
        <v>Public Private Partnership under NPPCD</v>
      </c>
      <c r="D21" s="1958" t="str">
        <f>'15.PPP Annex'!D35</f>
        <v>NCD</v>
      </c>
      <c r="E21" s="1958" t="str">
        <f>'15.PPP Annex'!E35</f>
        <v>NPPCD</v>
      </c>
      <c r="F21" s="1958">
        <f>'15.PPP Annex'!F35</f>
        <v>0</v>
      </c>
      <c r="G21" s="1958">
        <f>'15.PPP Annex'!G35</f>
        <v>0</v>
      </c>
      <c r="H21" s="1958">
        <f>'15.PPP Annex'!H35</f>
        <v>0</v>
      </c>
      <c r="I21" s="1958">
        <f>'15.PPP Annex'!I35</f>
        <v>0</v>
      </c>
      <c r="J21" s="1958">
        <f>'15.PPP Annex'!J35</f>
        <v>0</v>
      </c>
      <c r="K21" s="1958">
        <f>'15.PPP Annex'!K35</f>
        <v>0</v>
      </c>
      <c r="L21" s="1958">
        <f>'15.PPP Annex'!L35</f>
        <v>0</v>
      </c>
      <c r="M21" s="1958">
        <f>'15.PPP Annex'!M35</f>
        <v>0</v>
      </c>
      <c r="N21" s="1958">
        <f>'15.PPP Annex'!N35</f>
        <v>0</v>
      </c>
      <c r="O21" s="1986">
        <f>'15.PPP Annex'!O35</f>
        <v>0</v>
      </c>
      <c r="P21" s="2789">
        <f>'15.PPP Annex'!P35</f>
        <v>0</v>
      </c>
      <c r="Q21" s="68"/>
      <c r="R21" s="3091"/>
    </row>
  </sheetData>
  <sheetProtection sheet="1" formatCells="0" formatColumns="0" formatRows="0" autoFilter="0"/>
  <autoFilter ref="A5:M21"/>
  <mergeCells count="11">
    <mergeCell ref="A15:A16"/>
    <mergeCell ref="A7:A8"/>
    <mergeCell ref="Q4:R4"/>
    <mergeCell ref="E4:E5"/>
    <mergeCell ref="A1:C1"/>
    <mergeCell ref="A4:A5"/>
    <mergeCell ref="B4:B5"/>
    <mergeCell ref="C4:C5"/>
    <mergeCell ref="D4:D5"/>
    <mergeCell ref="F4:J4"/>
    <mergeCell ref="K4:P4"/>
  </mergeCells>
  <pageMargins left="0.7" right="0.7" top="0.75" bottom="0.75" header="0.3" footer="0.3"/>
</worksheet>
</file>

<file path=xl/worksheets/sheet48.xml><?xml version="1.0" encoding="utf-8"?>
<worksheet xmlns="http://schemas.openxmlformats.org/spreadsheetml/2006/main" xmlns:r="http://schemas.openxmlformats.org/officeDocument/2006/relationships">
  <sheetPr codeName="Sheet30">
    <tabColor theme="7" tint="0.79998168889431442"/>
  </sheetPr>
  <dimension ref="A1:R22"/>
  <sheetViews>
    <sheetView zoomScale="55" zoomScaleNormal="55" workbookViewId="0">
      <pane xSplit="3" ySplit="5" topLeftCell="F6" activePane="bottomRight" state="frozen"/>
      <selection activeCell="A4" sqref="A4:R11"/>
      <selection pane="topRight" activeCell="A4" sqref="A4:R11"/>
      <selection pane="bottomLeft" activeCell="A4" sqref="A4:R11"/>
      <selection pane="bottomRight" activeCell="O12" sqref="O12"/>
    </sheetView>
  </sheetViews>
  <sheetFormatPr defaultColWidth="9.140625" defaultRowHeight="15"/>
  <cols>
    <col min="1" max="1" width="10.85546875" style="904" bestFit="1" customWidth="1"/>
    <col min="2" max="2" width="16.85546875" style="904" customWidth="1"/>
    <col min="3" max="3" width="43.140625" style="904" customWidth="1"/>
    <col min="4" max="4" width="4.5703125" style="868" bestFit="1" customWidth="1"/>
    <col min="5" max="5" width="15.140625" style="868" customWidth="1"/>
    <col min="6" max="6" width="22.140625" style="868" customWidth="1"/>
    <col min="7" max="7" width="17.28515625" style="868" bestFit="1" customWidth="1"/>
    <col min="8" max="8" width="18.28515625" style="978" bestFit="1" customWidth="1"/>
    <col min="9" max="9" width="9.140625" style="868" customWidth="1"/>
    <col min="10" max="10" width="12.140625" style="978" customWidth="1"/>
    <col min="11" max="11" width="12.85546875" style="868" customWidth="1"/>
    <col min="12" max="12" width="13.140625" style="868" customWidth="1"/>
    <col min="13" max="13" width="13.85546875" style="978" customWidth="1"/>
    <col min="14" max="14" width="9.140625" style="868"/>
    <col min="15" max="15" width="16.140625" style="978" customWidth="1"/>
    <col min="16" max="16" width="38.7109375" style="904" customWidth="1"/>
    <col min="17" max="17" width="31.5703125" style="904" customWidth="1"/>
    <col min="18" max="18" width="29" style="978" bestFit="1" customWidth="1"/>
    <col min="19" max="16384" width="9.140625" style="860"/>
  </cols>
  <sheetData>
    <row r="1" spans="1:18" ht="14.45" customHeight="1">
      <c r="A1" s="4113" t="s">
        <v>2126</v>
      </c>
      <c r="B1" s="4113"/>
      <c r="C1" s="4113"/>
      <c r="D1" s="1224"/>
      <c r="E1" s="915"/>
      <c r="F1" s="83" t="s">
        <v>3827</v>
      </c>
      <c r="G1" s="1142"/>
      <c r="H1" s="1142"/>
      <c r="I1" s="1142"/>
      <c r="J1" s="1145"/>
      <c r="K1" s="1142"/>
      <c r="L1" s="1142"/>
      <c r="M1" s="1145"/>
      <c r="N1" s="2129"/>
    </row>
    <row r="2" spans="1:18">
      <c r="A2" s="1842" t="str">
        <f>HYPERLINK("#Index!F3", "Index Pg")</f>
        <v>Index Pg</v>
      </c>
      <c r="B2" s="1847"/>
      <c r="C2" s="864" t="str">
        <f>HYPERLINK("#'Budget Summary I'!A1:AL1", "Budget Summary I")</f>
        <v>Budget Summary I</v>
      </c>
      <c r="D2" s="2132"/>
      <c r="E2" s="2124" t="s">
        <v>4460</v>
      </c>
      <c r="F2" s="161">
        <f>M14+M11+M6+M19</f>
        <v>0</v>
      </c>
      <c r="G2" s="1142"/>
      <c r="H2" s="1142"/>
      <c r="I2" s="1142"/>
      <c r="J2" s="1145"/>
      <c r="K2" s="1146"/>
      <c r="L2" s="1146"/>
      <c r="M2" s="1145"/>
      <c r="N2" s="2129"/>
    </row>
    <row r="3" spans="1:18" s="2148" customFormat="1">
      <c r="A3" s="1846"/>
      <c r="B3" s="1847"/>
      <c r="C3" s="1916" t="str">
        <f>HYPERLINK("#'Budget Summary II'!A3:B5", "Budget Summary II")</f>
        <v>Budget Summary II</v>
      </c>
      <c r="D3" s="2146"/>
      <c r="E3" s="2128" t="s">
        <v>4461</v>
      </c>
      <c r="F3" s="786">
        <f>J14+J11+J6+J19</f>
        <v>0</v>
      </c>
      <c r="G3" s="1142"/>
      <c r="H3" s="1142"/>
      <c r="I3" s="1142"/>
      <c r="J3" s="1145"/>
      <c r="K3" s="1146"/>
      <c r="L3" s="1146"/>
      <c r="M3" s="1145"/>
      <c r="N3" s="2129"/>
      <c r="O3" s="2131"/>
      <c r="P3" s="2147"/>
      <c r="Q3" s="2147"/>
      <c r="R3" s="2131"/>
    </row>
    <row r="4" spans="1:18" s="868" customFormat="1">
      <c r="A4" s="3801" t="s">
        <v>48</v>
      </c>
      <c r="B4" s="3801" t="s">
        <v>49</v>
      </c>
      <c r="C4" s="3801" t="s">
        <v>50</v>
      </c>
      <c r="D4" s="3801" t="s">
        <v>51</v>
      </c>
      <c r="E4" s="3801" t="s">
        <v>52</v>
      </c>
      <c r="F4" s="3866" t="s">
        <v>4478</v>
      </c>
      <c r="G4" s="3866"/>
      <c r="H4" s="3866"/>
      <c r="I4" s="3866"/>
      <c r="J4" s="3866"/>
      <c r="K4" s="3866" t="s">
        <v>4484</v>
      </c>
      <c r="L4" s="3866"/>
      <c r="M4" s="3866"/>
      <c r="N4" s="3866"/>
      <c r="O4" s="3866"/>
      <c r="P4" s="3866"/>
      <c r="Q4" s="3801" t="s">
        <v>4514</v>
      </c>
      <c r="R4" s="3801"/>
    </row>
    <row r="5" spans="1:18" s="868" customFormat="1" ht="60">
      <c r="A5" s="3801"/>
      <c r="B5" s="3801"/>
      <c r="C5" s="3801"/>
      <c r="D5" s="3801"/>
      <c r="E5" s="3801"/>
      <c r="F5" s="918" t="s">
        <v>4479</v>
      </c>
      <c r="G5" s="918" t="s">
        <v>4482</v>
      </c>
      <c r="H5" s="918" t="s">
        <v>4480</v>
      </c>
      <c r="I5" s="918" t="s">
        <v>4483</v>
      </c>
      <c r="J5" s="918" t="s">
        <v>2448</v>
      </c>
      <c r="K5" s="919" t="s">
        <v>53</v>
      </c>
      <c r="L5" s="919" t="s">
        <v>54</v>
      </c>
      <c r="M5" s="920" t="s">
        <v>55</v>
      </c>
      <c r="N5" s="919" t="s">
        <v>56</v>
      </c>
      <c r="O5" s="920" t="s">
        <v>57</v>
      </c>
      <c r="P5" s="919" t="s">
        <v>58</v>
      </c>
      <c r="Q5" s="921" t="s">
        <v>2450</v>
      </c>
      <c r="R5" s="922" t="s">
        <v>4515</v>
      </c>
    </row>
    <row r="6" spans="1:18">
      <c r="A6" s="2007">
        <f>'1.SD Facility Based Annex'!A7</f>
        <v>1</v>
      </c>
      <c r="B6" s="2007"/>
      <c r="C6" s="2007" t="str">
        <f>'1.SD Facility Based Annex'!C7</f>
        <v>Service Delivery - Facility Based</v>
      </c>
      <c r="D6" s="2007"/>
      <c r="E6" s="2007"/>
      <c r="F6" s="785"/>
      <c r="G6" s="785"/>
      <c r="H6" s="785"/>
      <c r="I6" s="785"/>
      <c r="J6" s="785"/>
      <c r="K6" s="785"/>
      <c r="L6" s="785"/>
      <c r="M6" s="547"/>
      <c r="N6" s="785"/>
      <c r="O6" s="547">
        <f>SUM(O7:O10)</f>
        <v>0</v>
      </c>
      <c r="P6" s="2007"/>
      <c r="Q6" s="2007"/>
      <c r="R6" s="547">
        <f>SUM(R7:R10)</f>
        <v>0</v>
      </c>
    </row>
    <row r="7" spans="1:18" ht="45">
      <c r="A7" s="88" t="str">
        <f>'1.SD Facility Based Annex'!A43</f>
        <v>1.1.6.3</v>
      </c>
      <c r="B7" s="88" t="str">
        <f>'1.SD Facility Based Annex'!B43</f>
        <v>B.29.1.6</v>
      </c>
      <c r="C7" s="88" t="str">
        <f>'1.SD Facility Based Annex'!C43</f>
        <v>Recurring Grant-in-aid (For newly selected district): Medical Management including Treatment, surgery and rehab</v>
      </c>
      <c r="D7" s="88" t="str">
        <f>'1.SD Facility Based Annex'!D43</f>
        <v>NCD</v>
      </c>
      <c r="E7" s="88" t="str">
        <f>'1.SD Facility Based Annex'!E43</f>
        <v>NPPCF</v>
      </c>
      <c r="F7" s="1975">
        <f>'1.SD Facility Based Annex'!F43</f>
        <v>0</v>
      </c>
      <c r="G7" s="1975">
        <f>'1.SD Facility Based Annex'!G43</f>
        <v>0</v>
      </c>
      <c r="H7" s="1975">
        <f>'1.SD Facility Based Annex'!H43</f>
        <v>0</v>
      </c>
      <c r="I7" s="1975">
        <f>'1.SD Facility Based Annex'!I43</f>
        <v>0</v>
      </c>
      <c r="J7" s="1975">
        <f>'1.SD Facility Based Annex'!J43</f>
        <v>0</v>
      </c>
      <c r="K7" s="1975">
        <f>'1.SD Facility Based Annex'!K43</f>
        <v>0</v>
      </c>
      <c r="L7" s="1975">
        <f>'1.SD Facility Based Annex'!L43</f>
        <v>0</v>
      </c>
      <c r="M7" s="162">
        <f>'1.SD Facility Based Annex'!M43</f>
        <v>0</v>
      </c>
      <c r="N7" s="1975">
        <f>'1.SD Facility Based Annex'!N43</f>
        <v>0</v>
      </c>
      <c r="O7" s="162">
        <f>'1.SD Facility Based Annex'!O43</f>
        <v>0</v>
      </c>
      <c r="P7" s="88">
        <f>'1.SD Facility Based Annex'!P43</f>
        <v>0</v>
      </c>
      <c r="Q7" s="54"/>
      <c r="R7" s="142"/>
    </row>
    <row r="8" spans="1:18" ht="45">
      <c r="A8" s="88" t="str">
        <f>'1.SD Facility Based Annex'!A44</f>
        <v>1.1.6.4</v>
      </c>
      <c r="B8" s="88" t="str">
        <f>'1.SD Facility Based Annex'!B44</f>
        <v>B.29.2.3</v>
      </c>
      <c r="C8" s="88" t="str">
        <f>'1.SD Facility Based Annex'!C44</f>
        <v>Recurring Grant-in-aid (For ongoing selected district): Medical Management including Treatment, surgery and rehab</v>
      </c>
      <c r="D8" s="88" t="str">
        <f>'1.SD Facility Based Annex'!D44</f>
        <v>NCD</v>
      </c>
      <c r="E8" s="88" t="str">
        <f>'1.SD Facility Based Annex'!E44</f>
        <v>NPPCF</v>
      </c>
      <c r="F8" s="1975">
        <f>'1.SD Facility Based Annex'!F44</f>
        <v>0</v>
      </c>
      <c r="G8" s="1975">
        <f>'1.SD Facility Based Annex'!G44</f>
        <v>0</v>
      </c>
      <c r="H8" s="1975">
        <f>'1.SD Facility Based Annex'!H44</f>
        <v>0</v>
      </c>
      <c r="I8" s="1975">
        <f>'1.SD Facility Based Annex'!I44</f>
        <v>0</v>
      </c>
      <c r="J8" s="1975">
        <f>'1.SD Facility Based Annex'!J44</f>
        <v>0</v>
      </c>
      <c r="K8" s="1975">
        <f>'1.SD Facility Based Annex'!K44</f>
        <v>0</v>
      </c>
      <c r="L8" s="1975">
        <f>'1.SD Facility Based Annex'!L44</f>
        <v>0</v>
      </c>
      <c r="M8" s="162">
        <f>'1.SD Facility Based Annex'!M44</f>
        <v>0</v>
      </c>
      <c r="N8" s="1975">
        <f>'1.SD Facility Based Annex'!N44</f>
        <v>0</v>
      </c>
      <c r="O8" s="162">
        <f>'1.SD Facility Based Annex'!O44</f>
        <v>0</v>
      </c>
      <c r="P8" s="88">
        <f>'1.SD Facility Based Annex'!P44</f>
        <v>0</v>
      </c>
      <c r="Q8" s="54"/>
      <c r="R8" s="142"/>
    </row>
    <row r="9" spans="1:18" ht="30">
      <c r="A9" s="88" t="str">
        <f>'1.SD Facility Based Annex'!A110</f>
        <v>1.3.2.2</v>
      </c>
      <c r="B9" s="88" t="str">
        <f>'1.SD Facility Based Annex'!B110</f>
        <v>B.29.1.3</v>
      </c>
      <c r="C9" s="88" t="str">
        <f>'1.SD Facility Based Annex'!C110</f>
        <v>Grant-in-aid (For newly selected districts under NPPCF):  Laboratory Diagnostic facilities</v>
      </c>
      <c r="D9" s="88" t="str">
        <f>'1.SD Facility Based Annex'!D110</f>
        <v>NCD</v>
      </c>
      <c r="E9" s="88" t="str">
        <f>'1.SD Facility Based Annex'!E110</f>
        <v>NPPCF</v>
      </c>
      <c r="F9" s="1975">
        <f>'1.SD Facility Based Annex'!F110</f>
        <v>0</v>
      </c>
      <c r="G9" s="1975">
        <f>'1.SD Facility Based Annex'!G110</f>
        <v>0</v>
      </c>
      <c r="H9" s="1975">
        <f>'1.SD Facility Based Annex'!H110</f>
        <v>0</v>
      </c>
      <c r="I9" s="1975">
        <f>'1.SD Facility Based Annex'!I110</f>
        <v>0</v>
      </c>
      <c r="J9" s="1975">
        <f>'1.SD Facility Based Annex'!J110</f>
        <v>0</v>
      </c>
      <c r="K9" s="1975">
        <f>'1.SD Facility Based Annex'!K110</f>
        <v>0</v>
      </c>
      <c r="L9" s="1975">
        <f>'1.SD Facility Based Annex'!L110</f>
        <v>0</v>
      </c>
      <c r="M9" s="162">
        <f>'1.SD Facility Based Annex'!M110</f>
        <v>0</v>
      </c>
      <c r="N9" s="1975">
        <f>'1.SD Facility Based Annex'!N110</f>
        <v>0</v>
      </c>
      <c r="O9" s="162">
        <f>'1.SD Facility Based Annex'!O110</f>
        <v>0</v>
      </c>
      <c r="P9" s="88">
        <f>'1.SD Facility Based Annex'!P110</f>
        <v>0</v>
      </c>
      <c r="Q9" s="54"/>
      <c r="R9" s="142"/>
    </row>
    <row r="10" spans="1:18" ht="45">
      <c r="A10" s="88" t="str">
        <f>'1.SD Facility Based Annex'!A111</f>
        <v>1.3.2.3</v>
      </c>
      <c r="B10" s="88" t="str">
        <f>'1.SD Facility Based Annex'!B111</f>
        <v>B.29.2.2</v>
      </c>
      <c r="C10" s="88" t="str">
        <f>'1.SD Facility Based Annex'!C111</f>
        <v>Recurring Grant-in-aid (For ongoing selected districts under NPPCF):  Laboratory Diagnostic facilities</v>
      </c>
      <c r="D10" s="88" t="str">
        <f>'1.SD Facility Based Annex'!D111</f>
        <v>NCD</v>
      </c>
      <c r="E10" s="88" t="str">
        <f>'1.SD Facility Based Annex'!E111</f>
        <v>NPPCF</v>
      </c>
      <c r="F10" s="1975">
        <f>'1.SD Facility Based Annex'!F111</f>
        <v>0</v>
      </c>
      <c r="G10" s="1975">
        <f>'1.SD Facility Based Annex'!G111</f>
        <v>0</v>
      </c>
      <c r="H10" s="1975">
        <f>'1.SD Facility Based Annex'!H111</f>
        <v>0</v>
      </c>
      <c r="I10" s="1975" t="str">
        <f>'1.SD Facility Based Annex'!I111</f>
        <v/>
      </c>
      <c r="J10" s="1975">
        <f>'1.SD Facility Based Annex'!J111</f>
        <v>0</v>
      </c>
      <c r="K10" s="1975">
        <f>'1.SD Facility Based Annex'!K111</f>
        <v>0</v>
      </c>
      <c r="L10" s="1975">
        <f>'1.SD Facility Based Annex'!L111</f>
        <v>0</v>
      </c>
      <c r="M10" s="162">
        <f>'1.SD Facility Based Annex'!M111</f>
        <v>0</v>
      </c>
      <c r="N10" s="1975">
        <f>'1.SD Facility Based Annex'!N111</f>
        <v>0</v>
      </c>
      <c r="O10" s="162">
        <f>'1.SD Facility Based Annex'!O111</f>
        <v>0</v>
      </c>
      <c r="P10" s="88">
        <f>'1.SD Facility Based Annex'!P111</f>
        <v>0</v>
      </c>
      <c r="Q10" s="54"/>
      <c r="R10" s="142"/>
    </row>
    <row r="11" spans="1:18">
      <c r="A11" s="2007">
        <f>'9.Training Annex'!A7</f>
        <v>9</v>
      </c>
      <c r="B11" s="2007"/>
      <c r="C11" s="2007" t="str">
        <f>'9.Training Annex'!C7</f>
        <v>Training and Capacity Building</v>
      </c>
      <c r="D11" s="785"/>
      <c r="E11" s="785"/>
      <c r="F11" s="785"/>
      <c r="G11" s="785"/>
      <c r="H11" s="547"/>
      <c r="I11" s="785"/>
      <c r="J11" s="547"/>
      <c r="K11" s="785"/>
      <c r="L11" s="785"/>
      <c r="M11" s="547"/>
      <c r="N11" s="877"/>
      <c r="O11" s="547">
        <f>SUM(O12:O13)</f>
        <v>0</v>
      </c>
      <c r="P11" s="876"/>
      <c r="Q11" s="731"/>
      <c r="R11" s="154">
        <f>SUM(R12:R13)</f>
        <v>0</v>
      </c>
    </row>
    <row r="12" spans="1:18" ht="30">
      <c r="A12" s="4100" t="str">
        <f>'9.Training Annex'!A62</f>
        <v>9.2.4.8</v>
      </c>
      <c r="B12" s="88" t="str">
        <f>'9-A.Training Sub-Annex'!B276</f>
        <v>B.29.1.4</v>
      </c>
      <c r="C12" s="88" t="str">
        <f>'9-A.Training Sub-Annex'!C276</f>
        <v>Training of medical and paramedical personnel at district level under NPPCF</v>
      </c>
      <c r="D12" s="88" t="str">
        <f>'9-A.Training Sub-Annex'!D276</f>
        <v>NCD</v>
      </c>
      <c r="E12" s="88" t="str">
        <f>'9-A.Training Sub-Annex'!E276</f>
        <v>NPPCF</v>
      </c>
      <c r="F12" s="1975">
        <f>'9-A.Training Sub-Annex'!F276</f>
        <v>0</v>
      </c>
      <c r="G12" s="1975">
        <f>'9-A.Training Sub-Annex'!G276</f>
        <v>0</v>
      </c>
      <c r="H12" s="1975">
        <f>'9-A.Training Sub-Annex'!H276</f>
        <v>0</v>
      </c>
      <c r="I12" s="1975">
        <f>'9-A.Training Sub-Annex'!I276</f>
        <v>0</v>
      </c>
      <c r="J12" s="1975">
        <f>'9-A.Training Sub-Annex'!J276</f>
        <v>0</v>
      </c>
      <c r="K12" s="1975">
        <f>'9-A.Training Sub-Annex'!K276</f>
        <v>0</v>
      </c>
      <c r="L12" s="1975">
        <f>'9-A.Training Sub-Annex'!L276</f>
        <v>0</v>
      </c>
      <c r="M12" s="162">
        <f>'9-A.Training Sub-Annex'!M276</f>
        <v>0</v>
      </c>
      <c r="N12" s="1975">
        <f>'9-A.Training Sub-Annex'!N276</f>
        <v>0</v>
      </c>
      <c r="O12" s="162">
        <f>'9-A.Training Sub-Annex'!O276</f>
        <v>0</v>
      </c>
      <c r="P12" s="88">
        <f>'9-A.Training Sub-Annex'!P276</f>
        <v>0</v>
      </c>
      <c r="Q12" s="54"/>
      <c r="R12" s="142"/>
    </row>
    <row r="13" spans="1:18" ht="30">
      <c r="A13" s="4100"/>
      <c r="B13" s="88"/>
      <c r="C13" s="88" t="str">
        <f>'9-A.Training Sub-Annex'!C277</f>
        <v>Any other (please specify)</v>
      </c>
      <c r="D13" s="88" t="str">
        <f>'9-A.Training Sub-Annex'!D277</f>
        <v>NCD</v>
      </c>
      <c r="E13" s="88" t="str">
        <f>'9-A.Training Sub-Annex'!E277</f>
        <v>NPPCF</v>
      </c>
      <c r="F13" s="1975">
        <f>'9-A.Training Sub-Annex'!F277</f>
        <v>0</v>
      </c>
      <c r="G13" s="1975">
        <f>'9-A.Training Sub-Annex'!G277</f>
        <v>0</v>
      </c>
      <c r="H13" s="1975">
        <f>'9-A.Training Sub-Annex'!H277</f>
        <v>0</v>
      </c>
      <c r="I13" s="1975">
        <f>'9-A.Training Sub-Annex'!I277</f>
        <v>0</v>
      </c>
      <c r="J13" s="1975">
        <f>'9-A.Training Sub-Annex'!J277</f>
        <v>0</v>
      </c>
      <c r="K13" s="1975">
        <f>'9-A.Training Sub-Annex'!K277</f>
        <v>0</v>
      </c>
      <c r="L13" s="1975">
        <f>'9-A.Training Sub-Annex'!L277</f>
        <v>0</v>
      </c>
      <c r="M13" s="162">
        <f>'9-A.Training Sub-Annex'!M277</f>
        <v>0</v>
      </c>
      <c r="N13" s="1975">
        <f>'9-A.Training Sub-Annex'!N277</f>
        <v>0</v>
      </c>
      <c r="O13" s="162">
        <f>'9-A.Training Sub-Annex'!O277</f>
        <v>0</v>
      </c>
      <c r="P13" s="88">
        <f>'9-A.Training Sub-Annex'!P277</f>
        <v>0</v>
      </c>
      <c r="Q13" s="54"/>
      <c r="R13" s="142"/>
    </row>
    <row r="14" spans="1:18">
      <c r="A14" s="2007">
        <f>'11.IEC-BCC Annex'!A7</f>
        <v>11</v>
      </c>
      <c r="B14" s="2007"/>
      <c r="C14" s="2007" t="str">
        <f>'11.IEC-BCC Annex'!C7</f>
        <v>IEC/BCC</v>
      </c>
      <c r="D14" s="785"/>
      <c r="E14" s="785"/>
      <c r="F14" s="785"/>
      <c r="G14" s="785"/>
      <c r="H14" s="547"/>
      <c r="I14" s="785"/>
      <c r="J14" s="547"/>
      <c r="K14" s="785"/>
      <c r="L14" s="785"/>
      <c r="M14" s="547"/>
      <c r="N14" s="877"/>
      <c r="O14" s="547">
        <f>SUM(O15:O16)</f>
        <v>0</v>
      </c>
      <c r="P14" s="876"/>
      <c r="Q14" s="731"/>
      <c r="R14" s="154">
        <f>SUM(R15:R16)</f>
        <v>0</v>
      </c>
    </row>
    <row r="15" spans="1:18" ht="45">
      <c r="A15" s="88" t="str">
        <f>'11.IEC-BCC Annex'!A42</f>
        <v>11.4.11</v>
      </c>
      <c r="B15" s="88" t="str">
        <f>'11-A. IEC Sub-Annex'!B105</f>
        <v>B.10.6.6</v>
      </c>
      <c r="C15" s="88" t="str">
        <f>'11-A. IEC Sub-Annex'!C105</f>
        <v>Health Education &amp; Publicity for National Programme for Fluorosis (State and District Level)</v>
      </c>
      <c r="D15" s="88" t="str">
        <f>'11-A. IEC Sub-Annex'!D105</f>
        <v>NCD</v>
      </c>
      <c r="E15" s="88" t="str">
        <f>'11-A. IEC Sub-Annex'!E105</f>
        <v>NPPCF</v>
      </c>
      <c r="F15" s="1975">
        <f>'11-A. IEC Sub-Annex'!F105</f>
        <v>0</v>
      </c>
      <c r="G15" s="1975">
        <f>'11-A. IEC Sub-Annex'!G105</f>
        <v>0</v>
      </c>
      <c r="H15" s="1975">
        <f>'11-A. IEC Sub-Annex'!H105</f>
        <v>0</v>
      </c>
      <c r="I15" s="1975">
        <f>'11-A. IEC Sub-Annex'!I105</f>
        <v>0</v>
      </c>
      <c r="J15" s="1975">
        <f>'11-A. IEC Sub-Annex'!J105</f>
        <v>0</v>
      </c>
      <c r="K15" s="1975">
        <f>'11-A. IEC Sub-Annex'!K105</f>
        <v>0</v>
      </c>
      <c r="L15" s="1975">
        <f>'11-A. IEC Sub-Annex'!L105</f>
        <v>0</v>
      </c>
      <c r="M15" s="162">
        <f>'11-A. IEC Sub-Annex'!M105</f>
        <v>0</v>
      </c>
      <c r="N15" s="1975">
        <f>'11-A. IEC Sub-Annex'!N105</f>
        <v>0</v>
      </c>
      <c r="O15" s="162">
        <f>'11-A. IEC Sub-Annex'!O105</f>
        <v>0</v>
      </c>
      <c r="P15" s="88">
        <f>'11-A. IEC Sub-Annex'!P105</f>
        <v>0</v>
      </c>
      <c r="Q15" s="54"/>
      <c r="R15" s="142"/>
    </row>
    <row r="16" spans="1:18" ht="30">
      <c r="A16" s="88"/>
      <c r="B16" s="88">
        <f>'11-A. IEC Sub-Annex'!B106</f>
        <v>0</v>
      </c>
      <c r="C16" s="88" t="str">
        <f>'11-A. IEC Sub-Annex'!C106</f>
        <v>Any other IEC/BCC activities (please specify)</v>
      </c>
      <c r="D16" s="88" t="str">
        <f>'11-A. IEC Sub-Annex'!D106</f>
        <v>NCD</v>
      </c>
      <c r="E16" s="88" t="str">
        <f>'11-A. IEC Sub-Annex'!E106</f>
        <v>NPPCF</v>
      </c>
      <c r="F16" s="1975">
        <f>'11-A. IEC Sub-Annex'!F106</f>
        <v>0</v>
      </c>
      <c r="G16" s="1975">
        <f>'11-A. IEC Sub-Annex'!G106</f>
        <v>0</v>
      </c>
      <c r="H16" s="1975">
        <f>'11-A. IEC Sub-Annex'!H106</f>
        <v>0</v>
      </c>
      <c r="I16" s="1975">
        <f>'11-A. IEC Sub-Annex'!I106</f>
        <v>0</v>
      </c>
      <c r="J16" s="1975">
        <f>'11-A. IEC Sub-Annex'!J106</f>
        <v>0</v>
      </c>
      <c r="K16" s="1975">
        <f>'11-A. IEC Sub-Annex'!K106</f>
        <v>0</v>
      </c>
      <c r="L16" s="1975">
        <f>'11-A. IEC Sub-Annex'!L106</f>
        <v>0</v>
      </c>
      <c r="M16" s="162">
        <f>'11-A. IEC Sub-Annex'!M106</f>
        <v>0</v>
      </c>
      <c r="N16" s="1975">
        <f>'11-A. IEC Sub-Annex'!N106</f>
        <v>0</v>
      </c>
      <c r="O16" s="162">
        <f>'11-A. IEC Sub-Annex'!O106</f>
        <v>0</v>
      </c>
      <c r="P16" s="88">
        <f>'11-A. IEC Sub-Annex'!P106</f>
        <v>0</v>
      </c>
      <c r="Q16" s="54"/>
      <c r="R16" s="142"/>
    </row>
    <row r="17" spans="1:18">
      <c r="A17" s="876">
        <f>'12.Printing Annex'!A7</f>
        <v>12</v>
      </c>
      <c r="B17" s="876"/>
      <c r="C17" s="876" t="str">
        <f>'12.Printing Annex'!C7</f>
        <v>Printing</v>
      </c>
      <c r="D17" s="877"/>
      <c r="E17" s="877"/>
      <c r="F17" s="877"/>
      <c r="G17" s="877"/>
      <c r="H17" s="547"/>
      <c r="I17" s="877"/>
      <c r="J17" s="547"/>
      <c r="K17" s="877"/>
      <c r="L17" s="877"/>
      <c r="M17" s="547"/>
      <c r="N17" s="877"/>
      <c r="O17" s="547">
        <f>O18</f>
        <v>0</v>
      </c>
      <c r="P17" s="876"/>
      <c r="Q17" s="731"/>
      <c r="R17" s="154">
        <f>R18</f>
        <v>0</v>
      </c>
    </row>
    <row r="18" spans="1:18" ht="30">
      <c r="A18" s="88" t="str">
        <f>'12.Printing Annex'!A42</f>
        <v>12.4.9</v>
      </c>
      <c r="B18" s="88">
        <f>'12-A. Print Sub-Annex'!B106</f>
        <v>0</v>
      </c>
      <c r="C18" s="88" t="str">
        <f>'12-A. Print Sub-Annex'!C106</f>
        <v>Printing activities under NPPCF</v>
      </c>
      <c r="D18" s="88" t="str">
        <f>'12-A. Print Sub-Annex'!D106</f>
        <v>NCD</v>
      </c>
      <c r="E18" s="88" t="str">
        <f>'12-A. Print Sub-Annex'!E106</f>
        <v>NPPCF</v>
      </c>
      <c r="F18" s="1975">
        <f>'12-A. Print Sub-Annex'!F106</f>
        <v>0</v>
      </c>
      <c r="G18" s="1975">
        <f>'12-A. Print Sub-Annex'!G106</f>
        <v>0</v>
      </c>
      <c r="H18" s="1975">
        <f>'12-A. Print Sub-Annex'!H106</f>
        <v>0</v>
      </c>
      <c r="I18" s="1975">
        <f>'12-A. Print Sub-Annex'!I106</f>
        <v>0</v>
      </c>
      <c r="J18" s="1975">
        <f>'12-A. Print Sub-Annex'!J106</f>
        <v>0</v>
      </c>
      <c r="K18" s="1975">
        <f>'12-A. Print Sub-Annex'!K106</f>
        <v>0</v>
      </c>
      <c r="L18" s="1975">
        <f>'12-A. Print Sub-Annex'!L106</f>
        <v>0</v>
      </c>
      <c r="M18" s="162">
        <f>'12-A. Print Sub-Annex'!M106</f>
        <v>0</v>
      </c>
      <c r="N18" s="1975">
        <f>'12-A. Print Sub-Annex'!N106</f>
        <v>0</v>
      </c>
      <c r="O18" s="162">
        <f>'12-A. Print Sub-Annex'!O106</f>
        <v>0</v>
      </c>
      <c r="P18" s="88">
        <f>'12-A. Print Sub-Annex'!P106</f>
        <v>0</v>
      </c>
      <c r="Q18" s="54"/>
      <c r="R18" s="142"/>
    </row>
    <row r="19" spans="1:18">
      <c r="A19" s="876">
        <f>'16.PM Annex'!A7</f>
        <v>16</v>
      </c>
      <c r="B19" s="876"/>
      <c r="C19" s="876" t="str">
        <f>'16.PM Annex'!C7</f>
        <v>Programme Management</v>
      </c>
      <c r="D19" s="877"/>
      <c r="E19" s="877"/>
      <c r="F19" s="877"/>
      <c r="G19" s="877"/>
      <c r="H19" s="547"/>
      <c r="I19" s="877"/>
      <c r="J19" s="547"/>
      <c r="K19" s="877"/>
      <c r="L19" s="877"/>
      <c r="M19" s="547"/>
      <c r="N19" s="877"/>
      <c r="O19" s="547">
        <f>SUM(O20:O22)</f>
        <v>0</v>
      </c>
      <c r="P19" s="876"/>
      <c r="Q19" s="731"/>
      <c r="R19" s="154">
        <f>SUM(R20:R22)</f>
        <v>0</v>
      </c>
    </row>
    <row r="20" spans="1:18" ht="30">
      <c r="A20" s="88" t="str">
        <f>'16-A. PM sub Annex'!A33</f>
        <v>16.1.2.1.12</v>
      </c>
      <c r="B20" s="88" t="e">
        <f>'16-A. PM sub Annex'!#REF!</f>
        <v>#REF!</v>
      </c>
      <c r="C20" s="88" t="str">
        <f>'16-A. PM sub Annex'!C33</f>
        <v>NPPCF Coordination Meeting (Newly Selected Districts and On-going Districts)</v>
      </c>
      <c r="D20" s="1975" t="str">
        <f>'16-A. PM sub Annex'!D33</f>
        <v>NCD</v>
      </c>
      <c r="E20" s="1975" t="str">
        <f>'16-A. PM sub Annex'!E33</f>
        <v>HRH&amp;HPIP/ NPPCF</v>
      </c>
      <c r="F20" s="1975">
        <f>'16-A. PM sub Annex'!F33</f>
        <v>0</v>
      </c>
      <c r="G20" s="1975">
        <f>'16-A. PM sub Annex'!G33</f>
        <v>0</v>
      </c>
      <c r="H20" s="1975">
        <f>'16-A. PM sub Annex'!H33</f>
        <v>0</v>
      </c>
      <c r="I20" s="1975">
        <f>'16-A. PM sub Annex'!I33</f>
        <v>0</v>
      </c>
      <c r="J20" s="1975">
        <f>'16-A. PM sub Annex'!J33</f>
        <v>0</v>
      </c>
      <c r="K20" s="1975">
        <f>'16-A. PM sub Annex'!K33</f>
        <v>0</v>
      </c>
      <c r="L20" s="1975">
        <f>'16-A. PM sub Annex'!L33</f>
        <v>0</v>
      </c>
      <c r="M20" s="162">
        <f>'16-A. PM sub Annex'!M33</f>
        <v>0</v>
      </c>
      <c r="N20" s="1975">
        <f>'16-A. PM sub Annex'!N33</f>
        <v>0</v>
      </c>
      <c r="O20" s="162">
        <f>'16-A. PM sub Annex'!O33</f>
        <v>0</v>
      </c>
      <c r="P20" s="88">
        <f>'16-A. PM sub Annex'!P33</f>
        <v>0</v>
      </c>
      <c r="Q20" s="54"/>
      <c r="R20" s="142"/>
    </row>
    <row r="21" spans="1:18" ht="30">
      <c r="A21" s="88" t="str">
        <f>'16-A. PM sub Annex'!A100</f>
        <v>16.1.3.3.6</v>
      </c>
      <c r="B21" s="88" t="e">
        <f>'16-A. PM sub Annex'!#REF!</f>
        <v>#REF!</v>
      </c>
      <c r="C21" s="88" t="str">
        <f>'16-A. PM sub Annex'!C100</f>
        <v>Travel costs under NPPCF</v>
      </c>
      <c r="D21" s="1975" t="str">
        <f>'16-A. PM sub Annex'!D100</f>
        <v>NCD</v>
      </c>
      <c r="E21" s="1975" t="str">
        <f>'16-A. PM sub Annex'!E100</f>
        <v>HRH&amp;HPIP/ NPPCF</v>
      </c>
      <c r="F21" s="1975">
        <f>'16-A. PM sub Annex'!F100</f>
        <v>0</v>
      </c>
      <c r="G21" s="1975">
        <f>'16-A. PM sub Annex'!G100</f>
        <v>0</v>
      </c>
      <c r="H21" s="1975">
        <f>'16-A. PM sub Annex'!H100</f>
        <v>0</v>
      </c>
      <c r="I21" s="1975">
        <f>'16-A. PM sub Annex'!I100</f>
        <v>0</v>
      </c>
      <c r="J21" s="1975">
        <f>'16-A. PM sub Annex'!J100</f>
        <v>0</v>
      </c>
      <c r="K21" s="1975">
        <f>'16-A. PM sub Annex'!K100</f>
        <v>0</v>
      </c>
      <c r="L21" s="1975">
        <f>'16-A. PM sub Annex'!L100</f>
        <v>0</v>
      </c>
      <c r="M21" s="162">
        <f>'16-A. PM sub Annex'!M100</f>
        <v>0</v>
      </c>
      <c r="N21" s="1975">
        <f>'16-A. PM sub Annex'!N100</f>
        <v>0</v>
      </c>
      <c r="O21" s="162">
        <f>'16-A. PM sub Annex'!O100</f>
        <v>0</v>
      </c>
      <c r="P21" s="88">
        <f>'16-A. PM sub Annex'!P100</f>
        <v>0</v>
      </c>
      <c r="Q21" s="54"/>
      <c r="R21" s="142"/>
    </row>
    <row r="22" spans="1:18" ht="30">
      <c r="A22" s="88" t="str">
        <f>'16-A. PM sub Annex'!A124</f>
        <v>16.1.4.1.4</v>
      </c>
      <c r="B22" s="88" t="e">
        <f>'16-A. PM sub Annex'!#REF!</f>
        <v>#REF!</v>
      </c>
      <c r="C22" s="88" t="str">
        <f>'16-A. PM sub Annex'!C124</f>
        <v>Miscellaneous including Travel/POL/Stationary etc.</v>
      </c>
      <c r="D22" s="1975" t="str">
        <f>'16-A. PM sub Annex'!D124</f>
        <v>NCD</v>
      </c>
      <c r="E22" s="1975" t="str">
        <f>'16-A. PM sub Annex'!E124</f>
        <v>HRH&amp;HPIP/ NPPCF</v>
      </c>
      <c r="F22" s="1975">
        <f>'16-A. PM sub Annex'!F124</f>
        <v>0</v>
      </c>
      <c r="G22" s="1975">
        <f>'16-A. PM sub Annex'!G124</f>
        <v>0</v>
      </c>
      <c r="H22" s="1975">
        <f>'16-A. PM sub Annex'!H124</f>
        <v>0</v>
      </c>
      <c r="I22" s="1975">
        <f>'16-A. PM sub Annex'!I124</f>
        <v>0</v>
      </c>
      <c r="J22" s="1975">
        <f>'16-A. PM sub Annex'!J124</f>
        <v>0</v>
      </c>
      <c r="K22" s="1975">
        <f>'16-A. PM sub Annex'!K124</f>
        <v>0</v>
      </c>
      <c r="L22" s="1975">
        <f>'16-A. PM sub Annex'!L124</f>
        <v>0</v>
      </c>
      <c r="M22" s="162">
        <f>'16-A. PM sub Annex'!M124</f>
        <v>0</v>
      </c>
      <c r="N22" s="1975">
        <f>'16-A. PM sub Annex'!N124</f>
        <v>0</v>
      </c>
      <c r="O22" s="162">
        <f>'16-A. PM sub Annex'!O124</f>
        <v>0</v>
      </c>
      <c r="P22" s="88">
        <f>'16-A. PM sub Annex'!P124</f>
        <v>0</v>
      </c>
      <c r="Q22" s="54"/>
      <c r="R22" s="142"/>
    </row>
  </sheetData>
  <sheetProtection sheet="1" formatCells="0" formatColumns="0" formatRows="0" autoFilter="0"/>
  <autoFilter ref="A5:M22"/>
  <mergeCells count="10">
    <mergeCell ref="A12:A13"/>
    <mergeCell ref="Q4:R4"/>
    <mergeCell ref="E4:E5"/>
    <mergeCell ref="A1:C1"/>
    <mergeCell ref="A4:A5"/>
    <mergeCell ref="B4:B5"/>
    <mergeCell ref="C4:C5"/>
    <mergeCell ref="D4:D5"/>
    <mergeCell ref="F4:J4"/>
    <mergeCell ref="K4:P4"/>
  </mergeCells>
  <pageMargins left="0.7" right="0.7" top="0.75" bottom="0.75" header="0.3" footer="0.3"/>
</worksheet>
</file>

<file path=xl/worksheets/sheet49.xml><?xml version="1.0" encoding="utf-8"?>
<worksheet xmlns="http://schemas.openxmlformats.org/spreadsheetml/2006/main" xmlns:r="http://schemas.openxmlformats.org/officeDocument/2006/relationships">
  <sheetPr codeName="Sheet27">
    <tabColor theme="7" tint="0.79998168889431442"/>
  </sheetPr>
  <dimension ref="A1:R15"/>
  <sheetViews>
    <sheetView topLeftCell="G1" zoomScale="90" zoomScaleNormal="90" workbookViewId="0">
      <pane ySplit="5" topLeftCell="A12" activePane="bottomLeft" state="frozen"/>
      <selection activeCell="A4" sqref="A4:R11"/>
      <selection pane="bottomLeft" activeCell="R17" sqref="R17"/>
    </sheetView>
  </sheetViews>
  <sheetFormatPr defaultColWidth="8.7109375" defaultRowHeight="15"/>
  <cols>
    <col min="1" max="1" width="10.5703125" style="1223" customWidth="1"/>
    <col min="2" max="2" width="17.85546875" style="1223" customWidth="1"/>
    <col min="3" max="3" width="45.140625" style="1223" customWidth="1"/>
    <col min="4" max="4" width="6.42578125" style="1223" bestFit="1" customWidth="1"/>
    <col min="5" max="5" width="16.28515625" style="1223" customWidth="1"/>
    <col min="6" max="6" width="25.140625" style="1789" customWidth="1"/>
    <col min="7" max="7" width="20.85546875" style="1223" customWidth="1"/>
    <col min="8" max="8" width="9.85546875" style="1223" customWidth="1"/>
    <col min="9" max="9" width="17.5703125" style="1223" bestFit="1" customWidth="1"/>
    <col min="10" max="10" width="12.140625" style="1223" bestFit="1" customWidth="1"/>
    <col min="11" max="11" width="12.5703125" style="1789" customWidth="1"/>
    <col min="12" max="12" width="11.85546875" style="2163" customWidth="1"/>
    <col min="13" max="13" width="11.5703125" style="1223" customWidth="1"/>
    <col min="14" max="14" width="8.7109375" style="1223"/>
    <col min="15" max="15" width="8.7109375" style="2878"/>
    <col min="16" max="16" width="38.85546875" style="1223" customWidth="1"/>
    <col min="17" max="17" width="34.42578125" style="1223" customWidth="1"/>
    <col min="18" max="18" width="8.7109375" style="3096"/>
    <col min="19" max="16384" width="8.7109375" style="1223"/>
  </cols>
  <sheetData>
    <row r="1" spans="1:18" s="2151" customFormat="1">
      <c r="A1" s="4097" t="s">
        <v>2120</v>
      </c>
      <c r="B1" s="4097"/>
      <c r="C1" s="4097"/>
      <c r="D1" s="2149"/>
      <c r="E1" s="915"/>
      <c r="F1" s="83" t="s">
        <v>3827</v>
      </c>
      <c r="G1" s="2150"/>
      <c r="I1" s="2150"/>
      <c r="J1" s="2150"/>
      <c r="K1" s="2150"/>
      <c r="L1" s="2152"/>
      <c r="M1" s="2150"/>
      <c r="O1" s="2876"/>
      <c r="R1" s="3093"/>
    </row>
    <row r="2" spans="1:18" s="2151" customFormat="1">
      <c r="A2" s="1842" t="str">
        <f>HYPERLINK("#Index!F3", "Index Pg")</f>
        <v>Index Pg</v>
      </c>
      <c r="B2" s="1847"/>
      <c r="C2" s="864" t="str">
        <f>HYPERLINK("#'Budget Summary I'!A1:AL1", "Budget Summary I")</f>
        <v>Budget Summary I</v>
      </c>
      <c r="D2" s="2153"/>
      <c r="E2" s="2124" t="s">
        <v>4460</v>
      </c>
      <c r="F2" s="985">
        <f>R6+R8+R12+R14</f>
        <v>92.01</v>
      </c>
      <c r="G2" s="2034"/>
      <c r="I2" s="2034"/>
      <c r="J2" s="2034"/>
      <c r="K2" s="2034"/>
      <c r="L2" s="2154"/>
      <c r="M2" s="2155"/>
      <c r="O2" s="2876"/>
      <c r="R2" s="3093"/>
    </row>
    <row r="3" spans="1:18" s="2151" customFormat="1">
      <c r="A3" s="1846"/>
      <c r="B3" s="1847"/>
      <c r="C3" s="1916" t="str">
        <f>HYPERLINK("#'Budget Summary II'!A3:B5", "Budget Summary II")</f>
        <v>Budget Summary II</v>
      </c>
      <c r="D3" s="2156"/>
      <c r="E3" s="2128" t="s">
        <v>4461</v>
      </c>
      <c r="F3" s="2157">
        <f>O6+O8+O12+O14</f>
        <v>92.009479999999996</v>
      </c>
      <c r="G3" s="2034"/>
      <c r="I3" s="2034"/>
      <c r="J3" s="2034"/>
      <c r="K3" s="2034"/>
      <c r="L3" s="2154"/>
      <c r="M3" s="2155"/>
      <c r="O3" s="2876"/>
      <c r="R3" s="3093"/>
    </row>
    <row r="4" spans="1:18" s="1227" customFormat="1">
      <c r="A4" s="3801" t="s">
        <v>48</v>
      </c>
      <c r="B4" s="3801" t="s">
        <v>49</v>
      </c>
      <c r="C4" s="3801" t="s">
        <v>50</v>
      </c>
      <c r="D4" s="3801" t="s">
        <v>51</v>
      </c>
      <c r="E4" s="3801" t="s">
        <v>52</v>
      </c>
      <c r="F4" s="3866" t="s">
        <v>4478</v>
      </c>
      <c r="G4" s="3866"/>
      <c r="H4" s="3866"/>
      <c r="I4" s="3866"/>
      <c r="J4" s="3866"/>
      <c r="K4" s="3866" t="s">
        <v>4484</v>
      </c>
      <c r="L4" s="3866"/>
      <c r="M4" s="3866"/>
      <c r="N4" s="3866"/>
      <c r="O4" s="3866"/>
      <c r="P4" s="3866"/>
      <c r="Q4" s="3801" t="s">
        <v>4514</v>
      </c>
      <c r="R4" s="3801"/>
    </row>
    <row r="5" spans="1:18" s="1227" customFormat="1" ht="60">
      <c r="A5" s="3801"/>
      <c r="B5" s="3801"/>
      <c r="C5" s="3801"/>
      <c r="D5" s="3801"/>
      <c r="E5" s="3801"/>
      <c r="F5" s="918" t="s">
        <v>4479</v>
      </c>
      <c r="G5" s="918" t="s">
        <v>4482</v>
      </c>
      <c r="H5" s="918" t="s">
        <v>4480</v>
      </c>
      <c r="I5" s="918" t="s">
        <v>4483</v>
      </c>
      <c r="J5" s="918" t="s">
        <v>2448</v>
      </c>
      <c r="K5" s="919" t="s">
        <v>53</v>
      </c>
      <c r="L5" s="920" t="s">
        <v>54</v>
      </c>
      <c r="M5" s="920" t="s">
        <v>55</v>
      </c>
      <c r="N5" s="919" t="s">
        <v>56</v>
      </c>
      <c r="O5" s="2821" t="s">
        <v>57</v>
      </c>
      <c r="P5" s="919" t="s">
        <v>58</v>
      </c>
      <c r="Q5" s="921" t="s">
        <v>2450</v>
      </c>
      <c r="R5" s="2824" t="s">
        <v>4515</v>
      </c>
    </row>
    <row r="6" spans="1:18">
      <c r="A6" s="2007">
        <f>'5.Infrastructure Annex'!A7</f>
        <v>5</v>
      </c>
      <c r="B6" s="2007"/>
      <c r="C6" s="2007" t="str">
        <f>'5.Infrastructure Annex'!C7</f>
        <v>Infrastructure</v>
      </c>
      <c r="D6" s="785"/>
      <c r="E6" s="785"/>
      <c r="F6" s="785"/>
      <c r="G6" s="785"/>
      <c r="H6" s="785"/>
      <c r="I6" s="785"/>
      <c r="J6" s="1959"/>
      <c r="K6" s="785"/>
      <c r="L6" s="547"/>
      <c r="M6" s="1959"/>
      <c r="N6" s="2158"/>
      <c r="O6" s="2877">
        <f>O7</f>
        <v>0</v>
      </c>
      <c r="P6" s="2159"/>
      <c r="Q6" s="2159"/>
      <c r="R6" s="3094">
        <f>R7</f>
        <v>0</v>
      </c>
    </row>
    <row r="7" spans="1:18" ht="30">
      <c r="A7" s="894" t="str">
        <f>'5.Infrastructure Annex'!A23</f>
        <v>5.1.1.2.2</v>
      </c>
      <c r="B7" s="894" t="str">
        <f>'5.Infrastructure Annex'!B23</f>
        <v>B.26.1.1</v>
      </c>
      <c r="C7" s="894" t="str">
        <f>'5.Infrastructure Annex'!C23</f>
        <v xml:space="preserve">Renovation, Dental Chair, Equipment - District Hospitals </v>
      </c>
      <c r="D7" s="1975" t="str">
        <f>'5.Infrastructure Annex'!D23</f>
        <v>NCD</v>
      </c>
      <c r="E7" s="1975" t="str">
        <f>'5.Infrastructure Annex'!E23</f>
        <v>NOHP</v>
      </c>
      <c r="F7" s="1975">
        <f>'5.Infrastructure Annex'!F23</f>
        <v>0</v>
      </c>
      <c r="G7" s="1975">
        <f>'5.Infrastructure Annex'!G23</f>
        <v>0</v>
      </c>
      <c r="H7" s="1975">
        <f>'5.Infrastructure Annex'!H23</f>
        <v>0</v>
      </c>
      <c r="I7" s="1975">
        <f>'5.Infrastructure Annex'!I23</f>
        <v>0</v>
      </c>
      <c r="J7" s="1975">
        <f>'5.Infrastructure Annex'!J23</f>
        <v>0</v>
      </c>
      <c r="K7" s="1975">
        <f>'5.Infrastructure Annex'!K23</f>
        <v>0</v>
      </c>
      <c r="L7" s="162">
        <f>'5.Infrastructure Annex'!L23</f>
        <v>0</v>
      </c>
      <c r="M7" s="1975">
        <f>'5.Infrastructure Annex'!M23</f>
        <v>0</v>
      </c>
      <c r="N7" s="1975">
        <f>'5.Infrastructure Annex'!N23</f>
        <v>0</v>
      </c>
      <c r="O7" s="2822">
        <f>'5.Infrastructure Annex'!O23</f>
        <v>0</v>
      </c>
      <c r="P7" s="88">
        <f>'5.Infrastructure Annex'!P23</f>
        <v>0</v>
      </c>
      <c r="Q7" s="2164"/>
      <c r="R7" s="2880"/>
    </row>
    <row r="8" spans="1:18">
      <c r="A8" s="2007">
        <f>'6.Procurement Annex'!A7</f>
        <v>6</v>
      </c>
      <c r="B8" s="2007"/>
      <c r="C8" s="2007" t="str">
        <f>'6.Procurement Annex'!C7</f>
        <v>Procurement</v>
      </c>
      <c r="D8" s="785"/>
      <c r="E8" s="785"/>
      <c r="F8" s="785"/>
      <c r="G8" s="785"/>
      <c r="H8" s="1959"/>
      <c r="I8" s="785"/>
      <c r="J8" s="1959"/>
      <c r="K8" s="785"/>
      <c r="L8" s="547"/>
      <c r="M8" s="1959"/>
      <c r="N8" s="2158"/>
      <c r="O8" s="2877">
        <f>SUM(O9:O11)</f>
        <v>87.009439999999998</v>
      </c>
      <c r="P8" s="2159"/>
      <c r="Q8" s="2165"/>
      <c r="R8" s="3095">
        <f>SUM(R9:R11)</f>
        <v>87.01</v>
      </c>
    </row>
    <row r="9" spans="1:18" ht="282.75" customHeight="1">
      <c r="A9" s="894" t="str">
        <f>'6.Procurement Annex'!A43</f>
        <v>6.1.5.8</v>
      </c>
      <c r="B9" s="894" t="str">
        <f>'6-A. Proc. Sub-Annex'!B127</f>
        <v>B.26.1.1</v>
      </c>
      <c r="C9" s="894" t="str">
        <f>'6-A. Proc. Sub-Annex'!C127</f>
        <v>Dental Chair, Equipment</v>
      </c>
      <c r="D9" s="1975" t="str">
        <f>'6-A. Proc. Sub-Annex'!D127</f>
        <v>NCD</v>
      </c>
      <c r="E9" s="1975" t="str">
        <f>'6-A. Proc. Sub-Annex'!E127</f>
        <v>NOHP</v>
      </c>
      <c r="F9" s="1975">
        <f>'6-A. Proc. Sub-Annex'!F127</f>
        <v>0</v>
      </c>
      <c r="G9" s="1975">
        <f>'6-A. Proc. Sub-Annex'!G127</f>
        <v>0</v>
      </c>
      <c r="H9" s="1975">
        <f>'6-A. Proc. Sub-Annex'!H127</f>
        <v>0</v>
      </c>
      <c r="I9" s="1975">
        <f>'6-A. Proc. Sub-Annex'!I127</f>
        <v>0</v>
      </c>
      <c r="J9" s="1975">
        <f>'6-A. Proc. Sub-Annex'!J127</f>
        <v>0</v>
      </c>
      <c r="K9" s="1975">
        <f>'6-A. Proc. Sub-Annex'!K127</f>
        <v>1</v>
      </c>
      <c r="L9" s="162">
        <f>'6-A. Proc. Sub-Annex'!L127</f>
        <v>439000</v>
      </c>
      <c r="M9" s="1975">
        <f>'6-A. Proc. Sub-Annex'!M127</f>
        <v>4.3899999999999997</v>
      </c>
      <c r="N9" s="1975">
        <f>'6-A. Proc. Sub-Annex'!N127</f>
        <v>9</v>
      </c>
      <c r="O9" s="2822">
        <f>'6-A. Proc. Sub-Annex'!O127</f>
        <v>39.51</v>
      </c>
      <c r="P9" s="88" t="str">
        <f>'6-A. Proc. Sub-Annex'!P127</f>
        <v>21.51 lac is required for Dental chair in 9 clinics for the tentative cost of 2.39 lacs each chair. 18 lac is required for other fixed equipments ie. RvG,Ultrasonic scalers, Extractions foreceps etc at the tentative cost of Rs. 2 lac for each clinic. The new clinics are proposed to be established at CHC Baroh, PHC Geharwin, PHC Dharwas, PHC Purthi, PHC Kherian, PHC Lapiana, PHC Gadagusain, PHC Thachi and PHC Jogon.</v>
      </c>
      <c r="Q9" s="2080" t="s">
        <v>5915</v>
      </c>
      <c r="R9" s="2852">
        <f>21.51+18</f>
        <v>39.510000000000005</v>
      </c>
    </row>
    <row r="10" spans="1:18">
      <c r="A10" s="894"/>
      <c r="B10" s="894">
        <f>'6-A. Proc. Sub-Annex'!B128</f>
        <v>0</v>
      </c>
      <c r="C10" s="894" t="str">
        <f>'6-A. Proc. Sub-Annex'!C128</f>
        <v>Any other equipment (please specify)</v>
      </c>
      <c r="D10" s="1975" t="str">
        <f>'6-A. Proc. Sub-Annex'!D128</f>
        <v>NCD</v>
      </c>
      <c r="E10" s="1975" t="str">
        <f>'6-A. Proc. Sub-Annex'!E128</f>
        <v>NOHP</v>
      </c>
      <c r="F10" s="1975">
        <f>'6-A. Proc. Sub-Annex'!F128</f>
        <v>0</v>
      </c>
      <c r="G10" s="1975">
        <f>'6-A. Proc. Sub-Annex'!G128</f>
        <v>0</v>
      </c>
      <c r="H10" s="1975">
        <f>'6-A. Proc. Sub-Annex'!H128</f>
        <v>0</v>
      </c>
      <c r="I10" s="1975">
        <f>'6-A. Proc. Sub-Annex'!I128</f>
        <v>0</v>
      </c>
      <c r="J10" s="1975">
        <f>'6-A. Proc. Sub-Annex'!J128</f>
        <v>0</v>
      </c>
      <c r="K10" s="1975">
        <f>'6-A. Proc. Sub-Annex'!K128</f>
        <v>0</v>
      </c>
      <c r="L10" s="162">
        <f>'6-A. Proc. Sub-Annex'!L128</f>
        <v>0</v>
      </c>
      <c r="M10" s="1975">
        <f>'6-A. Proc. Sub-Annex'!M128</f>
        <v>0</v>
      </c>
      <c r="N10" s="1975">
        <f>'6-A. Proc. Sub-Annex'!N128</f>
        <v>0</v>
      </c>
      <c r="O10" s="2822">
        <f>'6-A. Proc. Sub-Annex'!O128</f>
        <v>0</v>
      </c>
      <c r="P10" s="88">
        <f>'6-A. Proc. Sub-Annex'!P128</f>
        <v>0</v>
      </c>
      <c r="Q10" s="2164"/>
      <c r="R10" s="2880"/>
    </row>
    <row r="11" spans="1:18" ht="105">
      <c r="A11" s="894" t="str">
        <f>'6.Procurement Annex'!A85</f>
        <v>6.2.4.7</v>
      </c>
      <c r="B11" s="894" t="str">
        <f>'6-A. Proc. Sub-Annex'!B275</f>
        <v>B.16.2.11.2</v>
      </c>
      <c r="C11" s="894" t="str">
        <f>'6-A. Proc. Sub-Annex'!C275</f>
        <v>Consumables for NOHP</v>
      </c>
      <c r="D11" s="1975" t="str">
        <f>'6-A. Proc. Sub-Annex'!D275</f>
        <v>NCD</v>
      </c>
      <c r="E11" s="1975" t="str">
        <f>'6-A. Proc. Sub-Annex'!E275</f>
        <v>NOHP</v>
      </c>
      <c r="F11" s="1975">
        <f>'6-A. Proc. Sub-Annex'!F275</f>
        <v>98</v>
      </c>
      <c r="G11" s="1975">
        <f>'6-A. Proc. Sub-Annex'!G275</f>
        <v>0</v>
      </c>
      <c r="H11" s="1975">
        <f>'6-A. Proc. Sub-Annex'!H275</f>
        <v>34.6</v>
      </c>
      <c r="I11" s="1975">
        <f>'6-A. Proc. Sub-Annex'!I275</f>
        <v>3.75</v>
      </c>
      <c r="J11" s="1975">
        <f>'6-A. Proc. Sub-Annex'!J275</f>
        <v>30.85</v>
      </c>
      <c r="K11" s="1975">
        <f>'6-A. Proc. Sub-Annex'!K275</f>
        <v>0</v>
      </c>
      <c r="L11" s="162">
        <f>'6-A. Proc. Sub-Annex'!L275</f>
        <v>44392</v>
      </c>
      <c r="M11" s="1975">
        <f>'6-A. Proc. Sub-Annex'!M275</f>
        <v>0.44391999999999998</v>
      </c>
      <c r="N11" s="1975">
        <f>'6-A. Proc. Sub-Annex'!N275</f>
        <v>107</v>
      </c>
      <c r="O11" s="2822">
        <f>'6-A. Proc. Sub-Annex'!O275</f>
        <v>47.49944</v>
      </c>
      <c r="P11" s="88" t="str">
        <f>'6-A. Proc. Sub-Annex'!P275</f>
        <v xml:space="preserve"> State proposes Rs. 38.50 for the consumables for NOHP.Consumables for 13 NOHP clinics @ Rs. 100000/- and consunables for 85  MUSKAN clinics @ Rs. 30000/- New dental clinics 9 lac is required for consumable and dental material (1 Lakh per clinic)</v>
      </c>
      <c r="Q11" s="2803" t="s">
        <v>5916</v>
      </c>
      <c r="R11" s="2880">
        <f>25.5+13+9</f>
        <v>47.5</v>
      </c>
    </row>
    <row r="12" spans="1:18">
      <c r="A12" s="2007">
        <f>'11.IEC-BCC Annex'!A7</f>
        <v>11</v>
      </c>
      <c r="B12" s="2007"/>
      <c r="C12" s="2007" t="str">
        <f>'11.IEC-BCC Annex'!C7</f>
        <v>IEC/BCC</v>
      </c>
      <c r="D12" s="785"/>
      <c r="E12" s="785"/>
      <c r="F12" s="785"/>
      <c r="G12" s="785"/>
      <c r="H12" s="1959"/>
      <c r="I12" s="785"/>
      <c r="J12" s="1959"/>
      <c r="K12" s="785"/>
      <c r="L12" s="547"/>
      <c r="M12" s="1959"/>
      <c r="N12" s="2158"/>
      <c r="O12" s="2877">
        <f>O13</f>
        <v>5.0000400000000003</v>
      </c>
      <c r="P12" s="2159"/>
      <c r="Q12" s="2165"/>
      <c r="R12" s="3095">
        <f>R13</f>
        <v>5</v>
      </c>
    </row>
    <row r="13" spans="1:18" ht="102.75" customHeight="1">
      <c r="A13" s="894" t="str">
        <f>'11.IEC-BCC Annex'!A37</f>
        <v>11.4.6</v>
      </c>
      <c r="B13" s="894">
        <f>'11-A. IEC Sub-Annex'!B94</f>
        <v>0</v>
      </c>
      <c r="C13" s="894" t="str">
        <f>'11-A. IEC Sub-Annex'!C94</f>
        <v>IEC/BCC under NOHP</v>
      </c>
      <c r="D13" s="1975" t="str">
        <f>'11-A. IEC Sub-Annex'!D94</f>
        <v>NCD</v>
      </c>
      <c r="E13" s="1975" t="str">
        <f>'11-A. IEC Sub-Annex'!E94</f>
        <v>NOHP</v>
      </c>
      <c r="F13" s="1975">
        <f>'11-A. IEC Sub-Annex'!F94</f>
        <v>0</v>
      </c>
      <c r="G13" s="1975">
        <f>'11-A. IEC Sub-Annex'!G94</f>
        <v>0</v>
      </c>
      <c r="H13" s="1975">
        <f>'11-A. IEC Sub-Annex'!H94</f>
        <v>0</v>
      </c>
      <c r="I13" s="1975">
        <f>'11-A. IEC Sub-Annex'!I94</f>
        <v>0</v>
      </c>
      <c r="J13" s="1975">
        <f>'11-A. IEC Sub-Annex'!J94</f>
        <v>0</v>
      </c>
      <c r="K13" s="1975">
        <f>'11-A. IEC Sub-Annex'!K94</f>
        <v>0</v>
      </c>
      <c r="L13" s="162">
        <f>'11-A. IEC Sub-Annex'!L94</f>
        <v>41667</v>
      </c>
      <c r="M13" s="1975">
        <f>'11-A. IEC Sub-Annex'!M94</f>
        <v>0.41666999999999998</v>
      </c>
      <c r="N13" s="1975">
        <f>'11-A. IEC Sub-Annex'!N94</f>
        <v>12</v>
      </c>
      <c r="O13" s="2822">
        <f>'11-A. IEC Sub-Annex'!O94</f>
        <v>5.0000400000000003</v>
      </c>
      <c r="P13" s="88" t="str">
        <f>'11-A. IEC Sub-Annex'!P94</f>
        <v>State proposes Rs. 5.00 lakh of IEC activites to be carried out in 12 District of the State @ Rs. 41667 per district.</v>
      </c>
      <c r="Q13" s="54" t="s">
        <v>5917</v>
      </c>
      <c r="R13" s="2880">
        <v>5</v>
      </c>
    </row>
    <row r="14" spans="1:18">
      <c r="A14" s="2007">
        <f>'12.Printing Annex'!A7</f>
        <v>12</v>
      </c>
      <c r="B14" s="2007"/>
      <c r="C14" s="2007" t="str">
        <f>'12.Printing Annex'!C7</f>
        <v>Printing</v>
      </c>
      <c r="D14" s="785"/>
      <c r="E14" s="785"/>
      <c r="F14" s="785"/>
      <c r="G14" s="785"/>
      <c r="H14" s="1959"/>
      <c r="I14" s="785"/>
      <c r="J14" s="1959"/>
      <c r="K14" s="785"/>
      <c r="L14" s="547"/>
      <c r="M14" s="1959"/>
      <c r="N14" s="2158"/>
      <c r="O14" s="2877">
        <f>O15</f>
        <v>0</v>
      </c>
      <c r="P14" s="2159"/>
      <c r="Q14" s="2165"/>
      <c r="R14" s="3095">
        <f>R15</f>
        <v>0</v>
      </c>
    </row>
    <row r="15" spans="1:18">
      <c r="A15" s="1266" t="str">
        <f>'12.Printing Annex'!A43</f>
        <v>12.4.10</v>
      </c>
      <c r="B15" s="1266">
        <f>'12-A. Print Sub-Annex'!B107</f>
        <v>0</v>
      </c>
      <c r="C15" s="1266" t="str">
        <f>'12-A. Print Sub-Annex'!C107</f>
        <v>Printing activities under NOHP</v>
      </c>
      <c r="D15" s="2161" t="str">
        <f>'12-A. Print Sub-Annex'!D107</f>
        <v>NCD</v>
      </c>
      <c r="E15" s="2161" t="str">
        <f>'12-A. Print Sub-Annex'!E107</f>
        <v>NOHP</v>
      </c>
      <c r="F15" s="2161">
        <f>'12-A. Print Sub-Annex'!F107</f>
        <v>0</v>
      </c>
      <c r="G15" s="2161">
        <f>'12-A. Print Sub-Annex'!G107</f>
        <v>0</v>
      </c>
      <c r="H15" s="2161">
        <f>'12-A. Print Sub-Annex'!H107</f>
        <v>0</v>
      </c>
      <c r="I15" s="2161">
        <f>'12-A. Print Sub-Annex'!I107</f>
        <v>0</v>
      </c>
      <c r="J15" s="2161">
        <f>'12-A. Print Sub-Annex'!J107</f>
        <v>0</v>
      </c>
      <c r="K15" s="2161">
        <f>'12-A. Print Sub-Annex'!K107</f>
        <v>0</v>
      </c>
      <c r="L15" s="2162">
        <f>'12-A. Print Sub-Annex'!L107</f>
        <v>0</v>
      </c>
      <c r="M15" s="2161">
        <f>'12-A. Print Sub-Annex'!M107</f>
        <v>0</v>
      </c>
      <c r="N15" s="2161">
        <f>'12-A. Print Sub-Annex'!N107</f>
        <v>0</v>
      </c>
      <c r="O15" s="2879">
        <f>'12-A. Print Sub-Annex'!O107</f>
        <v>0</v>
      </c>
      <c r="P15" s="2160">
        <f>'12-A. Print Sub-Annex'!P107</f>
        <v>0</v>
      </c>
      <c r="Q15" s="2164"/>
      <c r="R15" s="2880"/>
    </row>
  </sheetData>
  <sheetProtection formatCells="0" formatColumns="0" formatRows="0" autoFilter="0"/>
  <autoFilter ref="A5:M14"/>
  <mergeCells count="9">
    <mergeCell ref="Q4:R4"/>
    <mergeCell ref="E4:E5"/>
    <mergeCell ref="A1:C1"/>
    <mergeCell ref="A4:A5"/>
    <mergeCell ref="B4:B5"/>
    <mergeCell ref="C4:C5"/>
    <mergeCell ref="D4:D5"/>
    <mergeCell ref="F4:J4"/>
    <mergeCell ref="K4:P4"/>
  </mergeCells>
  <pageMargins left="0.7" right="0.7" top="0.75" bottom="0.75" header="0.3" footer="0.3"/>
</worksheet>
</file>

<file path=xl/worksheets/sheet5.xml><?xml version="1.0" encoding="utf-8"?>
<worksheet xmlns="http://schemas.openxmlformats.org/spreadsheetml/2006/main" xmlns:r="http://schemas.openxmlformats.org/officeDocument/2006/relationships">
  <sheetPr codeName="Sheet3">
    <tabColor rgb="FF00B050"/>
  </sheetPr>
  <dimension ref="A1:CI142"/>
  <sheetViews>
    <sheetView zoomScale="80" zoomScaleNormal="80" workbookViewId="0">
      <pane xSplit="3" ySplit="4" topLeftCell="D111" activePane="bottomRight" state="frozen"/>
      <selection activeCell="A2" sqref="A2:A4"/>
      <selection pane="topRight" activeCell="A2" sqref="A2:A4"/>
      <selection pane="bottomLeft" activeCell="A2" sqref="A2:A4"/>
      <selection pane="bottomRight" activeCell="CJ1" sqref="CJ1:CK1048576"/>
    </sheetView>
  </sheetViews>
  <sheetFormatPr defaultColWidth="9.140625" defaultRowHeight="15"/>
  <cols>
    <col min="1" max="1" width="16.140625" style="1210" bestFit="1" customWidth="1"/>
    <col min="2" max="2" width="11.140625" style="1169" customWidth="1"/>
    <col min="3" max="3" width="55.28515625" style="1129" customWidth="1"/>
    <col min="4" max="4" width="8.140625" style="1147" bestFit="1" customWidth="1"/>
    <col min="5" max="5" width="25.140625" style="1147" customWidth="1"/>
    <col min="6" max="6" width="15.85546875" style="1129" hidden="1" customWidth="1"/>
    <col min="7" max="7" width="22.85546875" style="1129" hidden="1" customWidth="1"/>
    <col min="8" max="8" width="15.85546875" style="1129" hidden="1" customWidth="1"/>
    <col min="9" max="9" width="15.140625" style="1129" hidden="1" customWidth="1"/>
    <col min="10" max="10" width="15" style="1129" hidden="1" customWidth="1"/>
    <col min="11" max="11" width="21.85546875" style="1129" hidden="1" customWidth="1"/>
    <col min="12" max="12" width="12.42578125" style="1129" hidden="1" customWidth="1"/>
    <col min="13" max="13" width="18.28515625" style="979" hidden="1" customWidth="1"/>
    <col min="14" max="14" width="13.7109375" style="1147" customWidth="1"/>
    <col min="15" max="15" width="16.85546875" style="2997" bestFit="1" customWidth="1"/>
    <col min="16" max="16" width="51.7109375" style="1210" customWidth="1"/>
    <col min="17" max="17" width="47.85546875" style="1211" customWidth="1"/>
    <col min="18" max="18" width="15" style="2885" bestFit="1" customWidth="1"/>
    <col min="19" max="19" width="8.7109375" style="1129" hidden="1" customWidth="1"/>
    <col min="20" max="21" width="6.28515625" style="1129" hidden="1" customWidth="1"/>
    <col min="22" max="22" width="6.7109375" style="1129" hidden="1" customWidth="1"/>
    <col min="23" max="23" width="5.85546875" style="1129" hidden="1" customWidth="1"/>
    <col min="24" max="24" width="8.140625" style="1129" hidden="1" customWidth="1"/>
    <col min="25" max="25" width="9.42578125" style="1129" hidden="1" customWidth="1"/>
    <col min="26" max="26" width="11" style="1129" hidden="1" customWidth="1"/>
    <col min="27" max="27" width="6.28515625" style="1129" hidden="1" customWidth="1"/>
    <col min="28" max="28" width="11.85546875" style="1129" hidden="1" customWidth="1"/>
    <col min="29" max="29" width="6.7109375" style="1129" hidden="1" customWidth="1"/>
    <col min="30" max="30" width="6" style="1129" hidden="1" customWidth="1"/>
    <col min="31" max="31" width="18.140625" style="1129" hidden="1" customWidth="1"/>
    <col min="32" max="32" width="6" style="1129" hidden="1" customWidth="1"/>
    <col min="33" max="33" width="11" style="1129" hidden="1" customWidth="1"/>
    <col min="34" max="34" width="10.42578125" style="1129" hidden="1" customWidth="1"/>
    <col min="35" max="35" width="9.85546875" style="1129" hidden="1" customWidth="1"/>
    <col min="36" max="36" width="9.140625" style="1129" hidden="1" customWidth="1"/>
    <col min="37" max="37" width="10.85546875" style="1129" hidden="1" customWidth="1"/>
    <col min="38" max="38" width="11" style="1129" hidden="1" customWidth="1"/>
    <col min="39" max="39" width="12.140625" style="1129" hidden="1" customWidth="1"/>
    <col min="40" max="40" width="7.85546875" style="1129" hidden="1" customWidth="1"/>
    <col min="41" max="41" width="12.5703125" style="1129" hidden="1" customWidth="1"/>
    <col min="42" max="42" width="8.5703125" style="1129" hidden="1" customWidth="1"/>
    <col min="43" max="43" width="8.7109375" style="1129" hidden="1" customWidth="1"/>
    <col min="44" max="44" width="10.85546875" style="1129" hidden="1" customWidth="1"/>
    <col min="45" max="45" width="9.140625" style="1129" hidden="1" customWidth="1"/>
    <col min="46" max="46" width="8.7109375" style="1129" hidden="1" customWidth="1"/>
    <col min="47" max="47" width="9.140625" style="1129" hidden="1" customWidth="1"/>
    <col min="48" max="48" width="9.5703125" style="1129" hidden="1" customWidth="1"/>
    <col min="49" max="49" width="10.85546875" style="1129" hidden="1" customWidth="1"/>
    <col min="50" max="50" width="9" style="1129" hidden="1" customWidth="1"/>
    <col min="51" max="52" width="12.5703125" style="1129" hidden="1" customWidth="1"/>
    <col min="53" max="53" width="11.42578125" style="1129" hidden="1" customWidth="1"/>
    <col min="54" max="54" width="12.85546875" style="1129" bestFit="1" customWidth="1"/>
    <col min="55" max="55" width="12.5703125" style="1129" customWidth="1"/>
    <col min="56" max="56" width="9.140625" style="1129"/>
    <col min="57" max="57" width="12.140625" style="1129" customWidth="1"/>
    <col min="58" max="58" width="9.140625" style="1129"/>
    <col min="59" max="59" width="11.85546875" style="1129" customWidth="1"/>
    <col min="60" max="63" width="9.140625" style="1129"/>
    <col min="64" max="64" width="12.5703125" style="1129" customWidth="1"/>
    <col min="65" max="67" width="9.140625" style="1129"/>
    <col min="68" max="68" width="12" style="1129" customWidth="1"/>
    <col min="69" max="69" width="15.7109375" style="1129" customWidth="1"/>
    <col min="70" max="70" width="14.85546875" style="1129" customWidth="1"/>
    <col min="71" max="71" width="17.42578125" style="1129" customWidth="1"/>
    <col min="72" max="72" width="14" style="1129" customWidth="1"/>
    <col min="73" max="73" width="9.140625" style="1129"/>
    <col min="74" max="74" width="12.7109375" style="1129" customWidth="1"/>
    <col min="75" max="75" width="12.140625" style="1129" customWidth="1"/>
    <col min="76" max="76" width="11.7109375" style="1129" customWidth="1"/>
    <col min="77" max="82" width="9.140625" style="1129"/>
    <col min="83" max="83" width="13" style="1129" customWidth="1"/>
    <col min="84" max="16384" width="9.140625" style="1129"/>
  </cols>
  <sheetData>
    <row r="1" spans="1:87">
      <c r="A1" s="3865"/>
      <c r="B1" s="3865"/>
      <c r="C1" s="3865"/>
      <c r="D1" s="1135"/>
      <c r="E1" s="1136"/>
      <c r="F1" s="1137"/>
      <c r="G1" s="1137"/>
      <c r="H1" s="1137"/>
      <c r="I1" s="1137"/>
      <c r="J1" s="1137"/>
      <c r="K1" s="1137"/>
      <c r="L1" s="1137"/>
      <c r="M1" s="1137"/>
      <c r="N1" s="1137"/>
      <c r="O1" s="2863"/>
      <c r="P1" s="1137"/>
      <c r="Q1" s="1137"/>
      <c r="R1" s="2863"/>
      <c r="S1" s="1137"/>
      <c r="T1" s="1137"/>
      <c r="U1" s="1137"/>
      <c r="V1" s="1137"/>
      <c r="W1" s="1137"/>
      <c r="X1" s="1137"/>
      <c r="Y1" s="1137"/>
      <c r="Z1" s="1137"/>
      <c r="AA1" s="1137"/>
      <c r="AB1" s="1137"/>
      <c r="AC1" s="1137"/>
      <c r="AD1" s="1137"/>
      <c r="AE1" s="1137"/>
      <c r="AF1" s="1137"/>
      <c r="AG1" s="1137"/>
      <c r="AH1" s="1137"/>
      <c r="AI1" s="1137"/>
      <c r="AJ1" s="1137"/>
      <c r="AK1" s="1137"/>
      <c r="AL1" s="1137"/>
      <c r="AM1" s="1137"/>
      <c r="AN1" s="1138"/>
      <c r="AO1" s="1138"/>
      <c r="AP1" s="1138"/>
      <c r="AQ1" s="1138"/>
      <c r="AR1" s="1138"/>
      <c r="AS1" s="1138"/>
      <c r="AT1" s="1138"/>
      <c r="AU1" s="1139"/>
      <c r="AV1" s="1139"/>
      <c r="AW1" s="1139"/>
      <c r="AX1" s="1139"/>
      <c r="AY1" s="1139"/>
      <c r="AZ1" s="1139"/>
      <c r="BA1" s="1139"/>
      <c r="BB1" s="1139"/>
    </row>
    <row r="2" spans="1:87" s="861" customFormat="1" ht="30">
      <c r="A2" s="1140" t="str">
        <f>HYPERLINK("#'Budget Summary I'!A1:AL1", "Budget Summary I")</f>
        <v>Budget Summary I</v>
      </c>
      <c r="B2" s="1140" t="str">
        <f>HYPERLINK("#'Budget Summary II'!A3:B5", "Budget Summary II")</f>
        <v>Budget Summary II</v>
      </c>
      <c r="C2" s="1141" t="str">
        <f>HYPERLINK("#'Summary of Abstracts'!A2", "Summary of Abst.")</f>
        <v>Summary of Abst.</v>
      </c>
      <c r="D2" s="1142"/>
      <c r="E2" s="1136"/>
      <c r="F2" s="1143"/>
      <c r="G2" s="1143"/>
      <c r="H2" s="1143"/>
      <c r="I2" s="1143"/>
      <c r="J2" s="1143"/>
      <c r="K2" s="1143"/>
      <c r="L2" s="1144"/>
      <c r="M2" s="1144"/>
      <c r="N2" s="1144"/>
      <c r="O2" s="2917"/>
      <c r="P2" s="1145"/>
      <c r="Q2" s="1145"/>
      <c r="R2" s="2917"/>
      <c r="S2" s="1145"/>
      <c r="T2" s="1145"/>
      <c r="U2" s="1145"/>
      <c r="V2" s="1145"/>
      <c r="W2" s="1145"/>
      <c r="X2" s="1145"/>
      <c r="Y2" s="1145"/>
      <c r="Z2" s="1145"/>
      <c r="AA2" s="1145"/>
      <c r="AB2" s="1145"/>
      <c r="AC2" s="1145"/>
      <c r="AD2" s="1145"/>
      <c r="AE2" s="1145"/>
      <c r="AF2" s="1145"/>
      <c r="AG2" s="1145"/>
      <c r="AH2" s="1145"/>
      <c r="AI2" s="1145"/>
      <c r="AJ2" s="1142"/>
      <c r="AK2" s="1142"/>
      <c r="AL2" s="1142"/>
      <c r="AM2" s="1142"/>
      <c r="AN2" s="1142"/>
      <c r="AO2" s="1142"/>
      <c r="AP2" s="1142"/>
      <c r="AQ2" s="1142"/>
      <c r="AR2" s="1142"/>
      <c r="AS2" s="1142"/>
      <c r="AT2" s="1142"/>
      <c r="AU2" s="1146"/>
      <c r="AV2" s="1146"/>
      <c r="AW2" s="1146"/>
      <c r="AX2" s="1146"/>
      <c r="AY2" s="1146"/>
      <c r="AZ2" s="1146"/>
      <c r="BA2" s="1146"/>
      <c r="BB2" s="1146"/>
    </row>
    <row r="3" spans="1:87" s="1147" customFormat="1" ht="15" customHeight="1">
      <c r="A3" s="3801" t="s">
        <v>49</v>
      </c>
      <c r="B3" s="3801"/>
      <c r="C3" s="3801" t="s">
        <v>50</v>
      </c>
      <c r="D3" s="3801" t="s">
        <v>51</v>
      </c>
      <c r="E3" s="3801" t="s">
        <v>52</v>
      </c>
      <c r="F3" s="3866" t="s">
        <v>4478</v>
      </c>
      <c r="G3" s="3866"/>
      <c r="H3" s="3866"/>
      <c r="I3" s="3866"/>
      <c r="J3" s="3866"/>
      <c r="K3" s="3866" t="s">
        <v>4484</v>
      </c>
      <c r="L3" s="3866"/>
      <c r="M3" s="3866"/>
      <c r="N3" s="3866"/>
      <c r="O3" s="3893"/>
      <c r="P3" s="3894"/>
      <c r="Q3" s="3862" t="s">
        <v>4514</v>
      </c>
      <c r="R3" s="3895"/>
    </row>
    <row r="4" spans="1:87" s="1147" customFormat="1" ht="60">
      <c r="A4" s="3801"/>
      <c r="B4" s="3801"/>
      <c r="C4" s="3801"/>
      <c r="D4" s="3801"/>
      <c r="E4" s="3801"/>
      <c r="F4" s="918" t="s">
        <v>4479</v>
      </c>
      <c r="G4" s="918" t="s">
        <v>4482</v>
      </c>
      <c r="H4" s="918" t="s">
        <v>4480</v>
      </c>
      <c r="I4" s="918" t="s">
        <v>4483</v>
      </c>
      <c r="J4" s="918" t="s">
        <v>2448</v>
      </c>
      <c r="K4" s="919" t="s">
        <v>53</v>
      </c>
      <c r="L4" s="919" t="s">
        <v>54</v>
      </c>
      <c r="M4" s="920" t="s">
        <v>55</v>
      </c>
      <c r="N4" s="919" t="s">
        <v>56</v>
      </c>
      <c r="O4" s="2821" t="s">
        <v>57</v>
      </c>
      <c r="P4" s="988" t="s">
        <v>5069</v>
      </c>
      <c r="Q4" s="989" t="s">
        <v>2450</v>
      </c>
      <c r="R4" s="2998" t="s">
        <v>4515</v>
      </c>
      <c r="S4" s="1147" t="s">
        <v>4538</v>
      </c>
      <c r="BB4" s="3153" t="s">
        <v>5973</v>
      </c>
      <c r="BC4" s="3153" t="s">
        <v>5432</v>
      </c>
      <c r="BD4" s="3153" t="s">
        <v>5433</v>
      </c>
      <c r="BE4" s="3153" t="s">
        <v>5434</v>
      </c>
      <c r="BF4" s="3153" t="s">
        <v>5435</v>
      </c>
      <c r="BG4" s="3153" t="s">
        <v>5436</v>
      </c>
      <c r="BH4" s="3153" t="s">
        <v>5437</v>
      </c>
      <c r="BI4" s="3153" t="s">
        <v>5959</v>
      </c>
      <c r="BJ4" s="3153" t="s">
        <v>5438</v>
      </c>
      <c r="BK4" s="3153" t="s">
        <v>5439</v>
      </c>
      <c r="BL4" s="3153" t="s">
        <v>5960</v>
      </c>
      <c r="BM4" s="3153" t="s">
        <v>5440</v>
      </c>
      <c r="BN4" s="3153" t="s">
        <v>5441</v>
      </c>
      <c r="BO4" s="3153" t="s">
        <v>5961</v>
      </c>
      <c r="BP4" s="3153" t="s">
        <v>5974</v>
      </c>
      <c r="BQ4" s="3153" t="s">
        <v>5975</v>
      </c>
      <c r="BR4" s="3153" t="s">
        <v>5976</v>
      </c>
      <c r="BS4" s="3153" t="s">
        <v>5977</v>
      </c>
      <c r="BT4" s="3153" t="s">
        <v>5978</v>
      </c>
      <c r="BU4" s="3153" t="s">
        <v>5979</v>
      </c>
      <c r="BV4" s="3153" t="s">
        <v>5962</v>
      </c>
      <c r="BW4" s="3153" t="s">
        <v>5963</v>
      </c>
      <c r="BX4" s="3153" t="s">
        <v>5964</v>
      </c>
      <c r="BY4" s="3153" t="s">
        <v>5965</v>
      </c>
      <c r="BZ4" s="3153" t="s">
        <v>5966</v>
      </c>
      <c r="CA4" s="3153" t="s">
        <v>5967</v>
      </c>
      <c r="CB4" s="3153" t="s">
        <v>5968</v>
      </c>
      <c r="CC4" s="3153" t="s">
        <v>5969</v>
      </c>
      <c r="CD4" s="3153" t="s">
        <v>5970</v>
      </c>
      <c r="CE4" s="3153" t="s">
        <v>5980</v>
      </c>
      <c r="CF4" s="3153" t="s">
        <v>5971</v>
      </c>
      <c r="CG4" s="886" t="s">
        <v>5981</v>
      </c>
      <c r="CH4" s="886" t="s">
        <v>5982</v>
      </c>
      <c r="CI4" s="3153" t="s">
        <v>5972</v>
      </c>
    </row>
    <row r="5" spans="1:87" s="1147" customFormat="1">
      <c r="A5" s="84">
        <v>3.1</v>
      </c>
      <c r="B5" s="1053"/>
      <c r="C5" s="1053" t="s">
        <v>7</v>
      </c>
      <c r="D5" s="929"/>
      <c r="E5" s="1053"/>
      <c r="F5" s="1053"/>
      <c r="G5" s="1053"/>
      <c r="H5" s="1053"/>
      <c r="I5" s="1053"/>
      <c r="J5" s="1148"/>
      <c r="K5" s="1053"/>
      <c r="L5" s="1149"/>
      <c r="M5" s="994"/>
      <c r="N5" s="1149"/>
      <c r="O5" s="2992"/>
      <c r="P5" s="713"/>
      <c r="Q5" s="996"/>
      <c r="R5" s="2998"/>
      <c r="BB5" s="945"/>
      <c r="BC5" s="945"/>
      <c r="BD5" s="945"/>
      <c r="BE5" s="945"/>
      <c r="BF5" s="945"/>
      <c r="BG5" s="945"/>
      <c r="BH5" s="945"/>
      <c r="BI5" s="945"/>
      <c r="BJ5" s="945"/>
      <c r="BK5" s="945"/>
      <c r="BL5" s="945"/>
      <c r="BM5" s="945"/>
      <c r="BN5" s="945"/>
      <c r="BO5" s="945"/>
      <c r="BP5" s="945"/>
      <c r="BQ5" s="945"/>
      <c r="BR5" s="945"/>
      <c r="BS5" s="945"/>
      <c r="BT5" s="945"/>
      <c r="BU5" s="945"/>
      <c r="BV5" s="945"/>
      <c r="BW5" s="945"/>
      <c r="BX5" s="3280"/>
      <c r="BY5" s="3280"/>
      <c r="BZ5" s="3280"/>
      <c r="CA5" s="3280"/>
      <c r="CB5" s="3280"/>
      <c r="CC5" s="3280"/>
      <c r="CD5" s="3280"/>
      <c r="CE5" s="3280"/>
      <c r="CF5" s="3280"/>
      <c r="CG5" s="3280"/>
      <c r="CH5" s="3280"/>
      <c r="CI5" s="3280"/>
    </row>
    <row r="6" spans="1:87" s="1158" customFormat="1">
      <c r="A6" s="3897"/>
      <c r="B6" s="3897"/>
      <c r="C6" s="3897"/>
      <c r="D6" s="1005" t="s">
        <v>85</v>
      </c>
      <c r="E6" s="1151"/>
      <c r="F6" s="1151"/>
      <c r="G6" s="1151"/>
      <c r="H6" s="1151"/>
      <c r="I6" s="1151"/>
      <c r="J6" s="1152"/>
      <c r="K6" s="1151"/>
      <c r="L6" s="1153"/>
      <c r="M6" s="940"/>
      <c r="N6" s="1154"/>
      <c r="O6" s="2993">
        <f>O7+O12+O20+O23+O33+O36+O37</f>
        <v>808.1160000000001</v>
      </c>
      <c r="P6" s="714"/>
      <c r="Q6" s="1156"/>
      <c r="R6" s="2999">
        <f>R7+R12+R20+R23+R33+R36+R37</f>
        <v>760.11700000000008</v>
      </c>
      <c r="BB6" s="3129"/>
      <c r="BC6" s="3129"/>
      <c r="BD6" s="3129"/>
      <c r="BE6" s="3129"/>
      <c r="BF6" s="3129"/>
      <c r="BG6" s="3129"/>
      <c r="BH6" s="3129"/>
      <c r="BI6" s="3129"/>
      <c r="BJ6" s="3129"/>
      <c r="BK6" s="3129"/>
      <c r="BL6" s="3129"/>
      <c r="BM6" s="3129"/>
      <c r="BN6" s="3129"/>
      <c r="BO6" s="3129"/>
      <c r="BP6" s="3129"/>
      <c r="BQ6" s="3129"/>
      <c r="BR6" s="3129"/>
      <c r="BS6" s="3129"/>
      <c r="BT6" s="3129"/>
      <c r="BU6" s="3129"/>
      <c r="BV6" s="3129"/>
      <c r="BW6" s="3129"/>
      <c r="BX6" s="3281"/>
      <c r="BY6" s="3281"/>
      <c r="BZ6" s="3281"/>
      <c r="CA6" s="3281"/>
      <c r="CB6" s="3281"/>
      <c r="CC6" s="3281"/>
      <c r="CD6" s="3281"/>
      <c r="CE6" s="3281"/>
      <c r="CF6" s="3281"/>
      <c r="CG6" s="3281"/>
      <c r="CH6" s="3281"/>
      <c r="CI6" s="3281"/>
    </row>
    <row r="7" spans="1:87" s="1169" customFormat="1">
      <c r="A7" s="1159" t="s">
        <v>159</v>
      </c>
      <c r="B7" s="1160"/>
      <c r="C7" s="1161" t="s">
        <v>4580</v>
      </c>
      <c r="D7" s="1005" t="s">
        <v>85</v>
      </c>
      <c r="E7" s="1162"/>
      <c r="F7" s="1163"/>
      <c r="G7" s="1163"/>
      <c r="H7" s="1163"/>
      <c r="I7" s="1163"/>
      <c r="J7" s="1163"/>
      <c r="K7" s="1163"/>
      <c r="L7" s="1163"/>
      <c r="M7" s="1164"/>
      <c r="N7" s="1165"/>
      <c r="O7" s="2994">
        <f>SUM(O8:O11)</f>
        <v>208.59299999999999</v>
      </c>
      <c r="P7" s="1166"/>
      <c r="Q7" s="1167"/>
      <c r="R7" s="3000">
        <f>SUM(R8:R11)</f>
        <v>160.59399999999999</v>
      </c>
      <c r="S7" s="1168"/>
      <c r="BB7" s="3000"/>
      <c r="BC7" s="3000"/>
      <c r="BD7" s="3000"/>
      <c r="BE7" s="3000"/>
      <c r="BF7" s="3000"/>
      <c r="BG7" s="3000"/>
      <c r="BH7" s="3000"/>
      <c r="BI7" s="3000"/>
      <c r="BJ7" s="3000"/>
      <c r="BK7" s="3000"/>
      <c r="BL7" s="3000"/>
      <c r="BM7" s="3000"/>
      <c r="BN7" s="3000"/>
      <c r="BO7" s="3000"/>
      <c r="BP7" s="3000"/>
      <c r="BQ7" s="3000"/>
      <c r="BR7" s="3000"/>
      <c r="BS7" s="3000"/>
      <c r="BT7" s="3000"/>
      <c r="BU7" s="3000"/>
      <c r="BV7" s="3000"/>
      <c r="BW7" s="3000"/>
      <c r="BX7" s="3000"/>
      <c r="BY7" s="3000"/>
      <c r="BZ7" s="3000"/>
      <c r="CA7" s="3000"/>
      <c r="CB7" s="3000"/>
      <c r="CC7" s="3000"/>
      <c r="CD7" s="3000"/>
      <c r="CE7" s="3000"/>
      <c r="CF7" s="3000"/>
      <c r="CG7" s="3000"/>
      <c r="CH7" s="3000"/>
      <c r="CI7" s="3000"/>
    </row>
    <row r="8" spans="1:87" s="1169" customFormat="1" ht="90">
      <c r="A8" s="1004" t="s">
        <v>2646</v>
      </c>
      <c r="B8" s="1080" t="s">
        <v>160</v>
      </c>
      <c r="C8" s="1080" t="s">
        <v>161</v>
      </c>
      <c r="D8" s="2254" t="s">
        <v>85</v>
      </c>
      <c r="E8" s="2439" t="s">
        <v>113</v>
      </c>
      <c r="F8" s="2669">
        <v>10600</v>
      </c>
      <c r="G8" s="2679" t="s">
        <v>5263</v>
      </c>
      <c r="H8" s="2671">
        <v>88</v>
      </c>
      <c r="I8" s="2440">
        <v>141.84</v>
      </c>
      <c r="J8" s="2440">
        <v>0</v>
      </c>
      <c r="K8" s="325"/>
      <c r="L8" s="2440">
        <v>586.66</v>
      </c>
      <c r="M8" s="298">
        <f>L8/100000</f>
        <v>5.8665999999999996E-3</v>
      </c>
      <c r="N8" s="2440">
        <v>15000</v>
      </c>
      <c r="O8" s="2995">
        <f>M8*N8</f>
        <v>87.998999999999995</v>
      </c>
      <c r="P8" s="2441" t="s">
        <v>5264</v>
      </c>
      <c r="Q8" s="2257" t="str">
        <f>'Ab3. ASHA'!Q8</f>
        <v>Rs.88.00  lakh is recommended for approval for ASHA incentive to facilitate institutional deliveries in Government Health facilities i.e. upto Rs.600 per case for 14000 Rural institutional delivery and upto Rs.400 per case for 1000 Urban institutional delivery.</v>
      </c>
      <c r="R8" s="3001">
        <f>'Ab3. ASHA'!R8</f>
        <v>88</v>
      </c>
      <c r="S8" s="1168"/>
      <c r="BB8" s="1179"/>
      <c r="BC8" s="1179">
        <v>3.48</v>
      </c>
      <c r="BD8" s="1179">
        <v>5.72</v>
      </c>
      <c r="BE8" s="1179">
        <v>6.37</v>
      </c>
      <c r="BF8" s="1179">
        <v>17.25</v>
      </c>
      <c r="BG8" s="1179">
        <v>0.31</v>
      </c>
      <c r="BH8" s="1179">
        <v>4.97</v>
      </c>
      <c r="BI8" s="1179">
        <v>0.09</v>
      </c>
      <c r="BJ8" s="1179">
        <v>12.45</v>
      </c>
      <c r="BK8" s="1179">
        <v>16.14</v>
      </c>
      <c r="BL8" s="1179">
        <v>7.94</v>
      </c>
      <c r="BM8" s="1179">
        <v>8.3800000000000008</v>
      </c>
      <c r="BN8" s="1179">
        <v>4.9000000000000004</v>
      </c>
      <c r="BO8" s="1179"/>
      <c r="BP8" s="1179"/>
      <c r="BQ8" s="1179"/>
      <c r="BR8" s="1179"/>
      <c r="BS8" s="1179"/>
      <c r="BT8" s="1179"/>
      <c r="BU8" s="1179"/>
      <c r="BV8" s="1179"/>
      <c r="BW8" s="1179"/>
      <c r="BX8" s="3185"/>
      <c r="BY8" s="3185"/>
      <c r="BZ8" s="3185"/>
      <c r="CA8" s="3185"/>
      <c r="CB8" s="3185"/>
      <c r="CC8" s="3185"/>
      <c r="CD8" s="3185"/>
      <c r="CE8" s="3185"/>
      <c r="CF8" s="3185"/>
      <c r="CG8" s="3185"/>
      <c r="CH8" s="3185"/>
      <c r="CI8" s="3185">
        <f>SUM(BB8:CH8)</f>
        <v>88</v>
      </c>
    </row>
    <row r="9" spans="1:87" ht="30">
      <c r="A9" s="1004" t="s">
        <v>2653</v>
      </c>
      <c r="B9" s="1080" t="s">
        <v>191</v>
      </c>
      <c r="C9" s="882" t="s">
        <v>192</v>
      </c>
      <c r="D9" s="1005" t="s">
        <v>85</v>
      </c>
      <c r="E9" s="945" t="s">
        <v>5070</v>
      </c>
      <c r="F9" s="2672">
        <v>0</v>
      </c>
      <c r="G9" s="2672"/>
      <c r="H9" s="2672">
        <v>0</v>
      </c>
      <c r="I9" s="226"/>
      <c r="J9" s="226"/>
      <c r="K9" s="226"/>
      <c r="L9" s="277"/>
      <c r="M9" s="297">
        <f>L9/100000</f>
        <v>0</v>
      </c>
      <c r="N9" s="277"/>
      <c r="O9" s="2996">
        <f>M9*N9</f>
        <v>0</v>
      </c>
      <c r="P9" s="171"/>
      <c r="Q9" s="1003" t="str">
        <f>'Ab3. ASHA'!Q9</f>
        <v>The State to ensure mobilizing WRA for IFA supplementation and compliance.</v>
      </c>
      <c r="R9" s="3002">
        <f>'Ab3. ASHA'!R9</f>
        <v>0</v>
      </c>
      <c r="S9" s="1172"/>
      <c r="BB9" s="896"/>
      <c r="BC9" s="896"/>
      <c r="BD9" s="896"/>
      <c r="BE9" s="896"/>
      <c r="BF9" s="896"/>
      <c r="BG9" s="896"/>
      <c r="BH9" s="896"/>
      <c r="BI9" s="896"/>
      <c r="BJ9" s="896"/>
      <c r="BK9" s="896"/>
      <c r="BL9" s="896"/>
      <c r="BM9" s="896"/>
      <c r="BN9" s="896"/>
      <c r="BO9" s="896"/>
      <c r="BP9" s="896"/>
      <c r="BQ9" s="896"/>
      <c r="BR9" s="896"/>
      <c r="BS9" s="896"/>
      <c r="BT9" s="896"/>
      <c r="BU9" s="896"/>
      <c r="BV9" s="896"/>
      <c r="BW9" s="896"/>
      <c r="BX9" s="897"/>
      <c r="BY9" s="897"/>
      <c r="BZ9" s="897"/>
      <c r="CA9" s="897"/>
      <c r="CB9" s="897"/>
      <c r="CC9" s="897"/>
      <c r="CD9" s="897"/>
      <c r="CE9" s="897"/>
      <c r="CF9" s="897"/>
      <c r="CG9" s="897"/>
      <c r="CH9" s="897"/>
      <c r="CI9" s="3185">
        <f t="shared" ref="CI9:CI72" si="0">SUM(BB9:CH9)</f>
        <v>0</v>
      </c>
    </row>
    <row r="10" spans="1:87" s="1169" customFormat="1" ht="75.75" customHeight="1">
      <c r="A10" s="1004" t="s">
        <v>2654</v>
      </c>
      <c r="B10" s="1080" t="s">
        <v>193</v>
      </c>
      <c r="C10" s="1080" t="s">
        <v>194</v>
      </c>
      <c r="D10" s="2254" t="s">
        <v>85</v>
      </c>
      <c r="E10" s="2512" t="s">
        <v>5070</v>
      </c>
      <c r="F10" s="2669">
        <v>7964</v>
      </c>
      <c r="G10" s="2670"/>
      <c r="H10" s="2671">
        <v>71.680000000000007</v>
      </c>
      <c r="I10" s="2541">
        <v>11.12</v>
      </c>
      <c r="J10" s="2542">
        <v>60.56</v>
      </c>
      <c r="K10" s="235"/>
      <c r="L10" s="2504">
        <v>900</v>
      </c>
      <c r="M10" s="298">
        <f>L10/100000</f>
        <v>8.9999999999999993E-3</v>
      </c>
      <c r="N10" s="2504">
        <v>8066</v>
      </c>
      <c r="O10" s="2995">
        <f>M10*N10</f>
        <v>72.593999999999994</v>
      </c>
      <c r="P10" s="2256" t="s">
        <v>5349</v>
      </c>
      <c r="Q10" s="2257" t="str">
        <f>'Ab3. ASHA'!Q10</f>
        <v>Ongoing Activity: Recommended for approval Rs.72.59 lakh as incentive for ASHA @ Rs.150/ASHA/month for 8066 ASHAs for six months to mobilize and ensure IFA compliance and reporting in children 6-59 months, WRA and post-partum women.</v>
      </c>
      <c r="R10" s="3001">
        <f>'Ab3. ASHA'!R10</f>
        <v>72.593999999999994</v>
      </c>
      <c r="S10" s="1168"/>
      <c r="BB10" s="1179">
        <v>72.59</v>
      </c>
      <c r="BC10" s="1179"/>
      <c r="BD10" s="1179"/>
      <c r="BE10" s="1179"/>
      <c r="BF10" s="1179"/>
      <c r="BG10" s="1179"/>
      <c r="BH10" s="1179"/>
      <c r="BI10" s="1179"/>
      <c r="BJ10" s="1179"/>
      <c r="BK10" s="1179"/>
      <c r="BL10" s="1179"/>
      <c r="BM10" s="1179"/>
      <c r="BN10" s="1179"/>
      <c r="BO10" s="1179"/>
      <c r="BP10" s="1179"/>
      <c r="BQ10" s="1179"/>
      <c r="BR10" s="1179"/>
      <c r="BS10" s="1179"/>
      <c r="BT10" s="1179"/>
      <c r="BU10" s="1179"/>
      <c r="BV10" s="1179"/>
      <c r="BW10" s="1179"/>
      <c r="BX10" s="3185"/>
      <c r="BY10" s="3185"/>
      <c r="BZ10" s="3185"/>
      <c r="CA10" s="3185"/>
      <c r="CB10" s="3185"/>
      <c r="CC10" s="3185"/>
      <c r="CD10" s="3185"/>
      <c r="CE10" s="3185"/>
      <c r="CF10" s="3185"/>
      <c r="CG10" s="3185"/>
      <c r="CH10" s="3185"/>
      <c r="CI10" s="3185">
        <f t="shared" si="0"/>
        <v>72.59</v>
      </c>
    </row>
    <row r="11" spans="1:87" s="1169" customFormat="1" ht="53.25">
      <c r="A11" s="1004" t="s">
        <v>2655</v>
      </c>
      <c r="B11" s="1080" t="s">
        <v>195</v>
      </c>
      <c r="C11" s="1080" t="s">
        <v>196</v>
      </c>
      <c r="D11" s="2254" t="s">
        <v>85</v>
      </c>
      <c r="E11" s="2439" t="s">
        <v>5070</v>
      </c>
      <c r="F11" s="2680">
        <v>7689</v>
      </c>
      <c r="G11" s="2670"/>
      <c r="H11" s="2680">
        <v>49</v>
      </c>
      <c r="I11" s="2440">
        <v>12.97</v>
      </c>
      <c r="J11" s="2440">
        <v>36.03</v>
      </c>
      <c r="K11" s="230"/>
      <c r="L11" s="2440">
        <v>1200</v>
      </c>
      <c r="M11" s="298">
        <f>L11/100000</f>
        <v>1.2E-2</v>
      </c>
      <c r="N11" s="2440">
        <v>4000</v>
      </c>
      <c r="O11" s="2995">
        <f>M11*N11</f>
        <v>48</v>
      </c>
      <c r="P11" s="2441" t="s">
        <v>5265</v>
      </c>
      <c r="Q11" s="2257" t="str">
        <f>'Ab3. ASHA'!Q11</f>
        <v>Activity related to PMSMA. Activity is recommended for approval and shifted to FMR 1.1.1.1</v>
      </c>
      <c r="R11" s="3001">
        <f>'Ab3. ASHA'!R11</f>
        <v>0</v>
      </c>
      <c r="S11" s="1168"/>
      <c r="BB11" s="1179"/>
      <c r="BC11" s="1179"/>
      <c r="BD11" s="1179"/>
      <c r="BE11" s="1179"/>
      <c r="BF11" s="1179"/>
      <c r="BG11" s="1179"/>
      <c r="BH11" s="1179"/>
      <c r="BI11" s="1179"/>
      <c r="BJ11" s="1179"/>
      <c r="BK11" s="1179"/>
      <c r="BL11" s="1179"/>
      <c r="BM11" s="1179"/>
      <c r="BN11" s="1179"/>
      <c r="BO11" s="1179"/>
      <c r="BP11" s="1179"/>
      <c r="BQ11" s="1179"/>
      <c r="BR11" s="1179"/>
      <c r="BS11" s="1179"/>
      <c r="BT11" s="1179"/>
      <c r="BU11" s="1179"/>
      <c r="BV11" s="1179"/>
      <c r="BW11" s="1179"/>
      <c r="BX11" s="3185"/>
      <c r="BY11" s="3185"/>
      <c r="BZ11" s="3185"/>
      <c r="CA11" s="3185"/>
      <c r="CB11" s="3185"/>
      <c r="CC11" s="3185"/>
      <c r="CD11" s="3185"/>
      <c r="CE11" s="3185"/>
      <c r="CF11" s="3185"/>
      <c r="CG11" s="3185"/>
      <c r="CH11" s="3185"/>
      <c r="CI11" s="3185">
        <f t="shared" si="0"/>
        <v>0</v>
      </c>
    </row>
    <row r="12" spans="1:87" s="1169" customFormat="1">
      <c r="A12" s="1159" t="s">
        <v>159</v>
      </c>
      <c r="B12" s="1160"/>
      <c r="C12" s="1161" t="s">
        <v>4582</v>
      </c>
      <c r="D12" s="1005" t="s">
        <v>85</v>
      </c>
      <c r="E12" s="1162"/>
      <c r="F12" s="2677"/>
      <c r="G12" s="2677"/>
      <c r="H12" s="2677"/>
      <c r="I12" s="301"/>
      <c r="J12" s="301"/>
      <c r="K12" s="301"/>
      <c r="L12" s="301"/>
      <c r="M12" s="1164"/>
      <c r="N12" s="302"/>
      <c r="O12" s="2994">
        <f>SUM(O13:O19)</f>
        <v>316.14600000000002</v>
      </c>
      <c r="P12" s="715"/>
      <c r="Q12" s="1167"/>
      <c r="R12" s="3000">
        <f>SUM(R13:R19)</f>
        <v>316.14600000000002</v>
      </c>
      <c r="S12" s="1168"/>
      <c r="BB12" s="3000"/>
      <c r="BC12" s="3000"/>
      <c r="BD12" s="3000"/>
      <c r="BE12" s="3000"/>
      <c r="BF12" s="3000"/>
      <c r="BG12" s="3000"/>
      <c r="BH12" s="3000"/>
      <c r="BI12" s="3000"/>
      <c r="BJ12" s="3000"/>
      <c r="BK12" s="3000"/>
      <c r="BL12" s="3000"/>
      <c r="BM12" s="3000"/>
      <c r="BN12" s="3000"/>
      <c r="BO12" s="3000"/>
      <c r="BP12" s="3000"/>
      <c r="BQ12" s="3000"/>
      <c r="BR12" s="3000"/>
      <c r="BS12" s="3000"/>
      <c r="BT12" s="3000"/>
      <c r="BU12" s="3000"/>
      <c r="BV12" s="3000"/>
      <c r="BW12" s="3000"/>
      <c r="BX12" s="3000"/>
      <c r="BY12" s="3000"/>
      <c r="BZ12" s="3000"/>
      <c r="CA12" s="3000"/>
      <c r="CB12" s="3000"/>
      <c r="CC12" s="3000"/>
      <c r="CD12" s="3000"/>
      <c r="CE12" s="3000"/>
      <c r="CF12" s="3000"/>
      <c r="CG12" s="3000"/>
      <c r="CH12" s="3000"/>
      <c r="CI12" s="3185">
        <f t="shared" si="0"/>
        <v>0</v>
      </c>
    </row>
    <row r="13" spans="1:87" s="3402" customFormat="1" ht="75">
      <c r="A13" s="3393" t="s">
        <v>2647</v>
      </c>
      <c r="B13" s="3394" t="s">
        <v>173</v>
      </c>
      <c r="C13" s="3394" t="s">
        <v>174</v>
      </c>
      <c r="D13" s="3395" t="s">
        <v>85</v>
      </c>
      <c r="E13" s="3396" t="s">
        <v>2581</v>
      </c>
      <c r="F13" s="3404">
        <v>7964</v>
      </c>
      <c r="G13" s="3405"/>
      <c r="H13" s="3406">
        <v>31.86</v>
      </c>
      <c r="I13" s="3492">
        <v>7.42</v>
      </c>
      <c r="J13" s="3492">
        <f>H13-I13</f>
        <v>24.439999999999998</v>
      </c>
      <c r="K13" s="3493">
        <v>1</v>
      </c>
      <c r="L13" s="3494">
        <v>400</v>
      </c>
      <c r="M13" s="1700">
        <f t="shared" ref="M13:M19" si="1">L13/100000</f>
        <v>4.0000000000000001E-3</v>
      </c>
      <c r="N13" s="3494">
        <v>8066</v>
      </c>
      <c r="O13" s="3495">
        <f t="shared" ref="O13:O19" si="2">M13*N13</f>
        <v>32.264000000000003</v>
      </c>
      <c r="P13" s="3496" t="s">
        <v>5350</v>
      </c>
      <c r="Q13" s="3400" t="str">
        <f>'Ab3. ASHA'!Q13</f>
        <v>Ongoing Activity: Rs. 32.26 lakhs is recommended for approval for ASHA incentives under MAA programme for conducting 6-8 quarterly mothers meeting for 4 quarters @ Rs. 100 per quarter for 8066 ASHAs</v>
      </c>
      <c r="R13" s="3483">
        <f>'Ab3. ASHA'!R13</f>
        <v>32.264000000000003</v>
      </c>
      <c r="S13" s="3401"/>
      <c r="T13" s="3401"/>
      <c r="U13" s="3401"/>
      <c r="V13" s="3401"/>
      <c r="W13" s="3401"/>
      <c r="X13" s="3401"/>
      <c r="Y13" s="3401"/>
      <c r="Z13" s="3401"/>
      <c r="AA13" s="3401"/>
      <c r="AB13" s="3401"/>
      <c r="AC13" s="3401"/>
      <c r="AD13" s="3401"/>
      <c r="AE13" s="3401"/>
      <c r="AF13" s="3401"/>
      <c r="AG13" s="3401"/>
      <c r="AH13" s="3401"/>
      <c r="AI13" s="3401"/>
      <c r="AJ13" s="3401"/>
      <c r="AK13" s="3401"/>
      <c r="AL13" s="3401"/>
      <c r="AM13" s="3401"/>
      <c r="AN13" s="3401"/>
      <c r="AO13" s="3401"/>
      <c r="AP13" s="3401"/>
      <c r="AQ13" s="3401"/>
      <c r="AR13" s="3401"/>
      <c r="AS13" s="3401"/>
      <c r="AT13" s="3401"/>
      <c r="AU13" s="3401"/>
      <c r="AV13" s="3401"/>
      <c r="AW13" s="3401"/>
      <c r="AX13" s="3401"/>
      <c r="AY13" s="3401"/>
      <c r="AZ13" s="3401"/>
      <c r="BA13" s="3401"/>
      <c r="BB13" s="3403"/>
      <c r="BC13" s="3403">
        <v>2</v>
      </c>
      <c r="BD13" s="3403">
        <v>2.4</v>
      </c>
      <c r="BE13" s="3403">
        <v>2.14</v>
      </c>
      <c r="BF13" s="3403">
        <v>7.34</v>
      </c>
      <c r="BG13" s="3403">
        <v>0.43</v>
      </c>
      <c r="BH13" s="3403">
        <v>1.99</v>
      </c>
      <c r="BI13" s="3403">
        <v>0.19</v>
      </c>
      <c r="BJ13" s="3403">
        <v>5.01</v>
      </c>
      <c r="BK13" s="3403">
        <v>3.34</v>
      </c>
      <c r="BL13" s="3403">
        <v>2.46</v>
      </c>
      <c r="BM13" s="3403">
        <v>2.54</v>
      </c>
      <c r="BN13" s="3403">
        <v>2.42</v>
      </c>
      <c r="BO13" s="3403"/>
      <c r="BP13" s="3403"/>
      <c r="BQ13" s="3403"/>
      <c r="BR13" s="3403"/>
      <c r="BS13" s="3403"/>
      <c r="BT13" s="3403"/>
      <c r="BU13" s="3403"/>
      <c r="BV13" s="3403"/>
      <c r="BW13" s="3403"/>
      <c r="BX13" s="3403"/>
      <c r="BY13" s="3403"/>
      <c r="BZ13" s="3403"/>
      <c r="CA13" s="3403"/>
      <c r="CB13" s="3403"/>
      <c r="CC13" s="3403"/>
      <c r="CD13" s="3403"/>
      <c r="CE13" s="3403"/>
      <c r="CF13" s="3403"/>
      <c r="CG13" s="3403"/>
      <c r="CH13" s="3403"/>
      <c r="CI13" s="3403">
        <f t="shared" si="0"/>
        <v>32.26</v>
      </c>
    </row>
    <row r="14" spans="1:87" s="3402" customFormat="1" ht="75">
      <c r="A14" s="3393" t="s">
        <v>2648</v>
      </c>
      <c r="B14" s="3394" t="s">
        <v>169</v>
      </c>
      <c r="C14" s="3394" t="s">
        <v>3945</v>
      </c>
      <c r="D14" s="3395" t="s">
        <v>85</v>
      </c>
      <c r="E14" s="3396" t="s">
        <v>2581</v>
      </c>
      <c r="F14" s="3404">
        <v>81812</v>
      </c>
      <c r="G14" s="3405"/>
      <c r="H14" s="3406">
        <v>204.53</v>
      </c>
      <c r="I14" s="3492">
        <v>109.82</v>
      </c>
      <c r="J14" s="3497">
        <f>H14-I14</f>
        <v>94.710000000000008</v>
      </c>
      <c r="K14" s="3493"/>
      <c r="L14" s="3494">
        <v>250</v>
      </c>
      <c r="M14" s="1700">
        <f t="shared" si="1"/>
        <v>2.5000000000000001E-3</v>
      </c>
      <c r="N14" s="3494">
        <v>80000</v>
      </c>
      <c r="O14" s="3495">
        <f t="shared" si="2"/>
        <v>200</v>
      </c>
      <c r="P14" s="3496" t="s">
        <v>5351</v>
      </c>
      <c r="Q14" s="3400" t="str">
        <f>'Ab3. ASHA'!Q14</f>
        <v>Ongoing Activity:Rs.200.00 lakhs is recommended for approval as incentive to ASHAs for completion of 6/7 home visits under HBNC program as per schedule for the target of 80000 newborns @ Rs. 250 per newborn</v>
      </c>
      <c r="R14" s="3483">
        <f>'Ab3. ASHA'!R14</f>
        <v>200</v>
      </c>
      <c r="S14" s="3401"/>
      <c r="T14" s="3401"/>
      <c r="U14" s="3401"/>
      <c r="V14" s="3401"/>
      <c r="W14" s="3401"/>
      <c r="X14" s="3401"/>
      <c r="Y14" s="3401"/>
      <c r="Z14" s="3401"/>
      <c r="AA14" s="3401"/>
      <c r="AB14" s="3401"/>
      <c r="AC14" s="3401"/>
      <c r="AD14" s="3401"/>
      <c r="AE14" s="3401"/>
      <c r="AF14" s="3401"/>
      <c r="AG14" s="3401"/>
      <c r="AH14" s="3401"/>
      <c r="AI14" s="3401"/>
      <c r="AJ14" s="3401"/>
      <c r="AK14" s="3401"/>
      <c r="AL14" s="3401"/>
      <c r="AM14" s="3401"/>
      <c r="AN14" s="3401"/>
      <c r="AO14" s="3401"/>
      <c r="AP14" s="3401"/>
      <c r="AQ14" s="3401"/>
      <c r="AR14" s="3401"/>
      <c r="AS14" s="3401"/>
      <c r="AT14" s="3401"/>
      <c r="AU14" s="3401"/>
      <c r="AV14" s="3401"/>
      <c r="AW14" s="3401"/>
      <c r="AX14" s="3401"/>
      <c r="AY14" s="3401"/>
      <c r="AZ14" s="3401"/>
      <c r="BA14" s="3401"/>
      <c r="BB14" s="3403"/>
      <c r="BC14" s="3403">
        <v>11.25</v>
      </c>
      <c r="BD14" s="3403">
        <v>12.5</v>
      </c>
      <c r="BE14" s="3403">
        <v>11.25</v>
      </c>
      <c r="BF14" s="3403">
        <v>45</v>
      </c>
      <c r="BG14" s="3403">
        <v>1</v>
      </c>
      <c r="BH14" s="3403">
        <v>11.25</v>
      </c>
      <c r="BI14" s="3403">
        <v>0.25</v>
      </c>
      <c r="BJ14" s="3403">
        <v>22.5</v>
      </c>
      <c r="BK14" s="3403">
        <v>27.5</v>
      </c>
      <c r="BL14" s="3403">
        <v>20</v>
      </c>
      <c r="BM14" s="3403">
        <v>22.5</v>
      </c>
      <c r="BN14" s="3403">
        <v>15</v>
      </c>
      <c r="BO14" s="3403"/>
      <c r="BP14" s="3403"/>
      <c r="BQ14" s="3403"/>
      <c r="BR14" s="3403"/>
      <c r="BS14" s="3403"/>
      <c r="BT14" s="3403"/>
      <c r="BU14" s="3403"/>
      <c r="BV14" s="3403"/>
      <c r="BW14" s="3403"/>
      <c r="BX14" s="3403"/>
      <c r="BY14" s="3403"/>
      <c r="BZ14" s="3403"/>
      <c r="CA14" s="3403"/>
      <c r="CB14" s="3403"/>
      <c r="CC14" s="3403"/>
      <c r="CD14" s="3403"/>
      <c r="CE14" s="3403"/>
      <c r="CF14" s="3403"/>
      <c r="CG14" s="3403"/>
      <c r="CH14" s="3403"/>
      <c r="CI14" s="3403">
        <f t="shared" si="0"/>
        <v>200</v>
      </c>
    </row>
    <row r="15" spans="1:87" s="3402" customFormat="1" ht="29.1" customHeight="1">
      <c r="A15" s="3393" t="s">
        <v>2649</v>
      </c>
      <c r="B15" s="3394" t="s">
        <v>171</v>
      </c>
      <c r="C15" s="3394" t="s">
        <v>2438</v>
      </c>
      <c r="D15" s="3395" t="s">
        <v>85</v>
      </c>
      <c r="E15" s="3396" t="s">
        <v>2581</v>
      </c>
      <c r="F15" s="3404">
        <v>10000</v>
      </c>
      <c r="G15" s="3405"/>
      <c r="H15" s="3406">
        <v>20</v>
      </c>
      <c r="I15" s="3492">
        <v>0.2</v>
      </c>
      <c r="J15" s="3497">
        <f>H15-I15</f>
        <v>19.8</v>
      </c>
      <c r="K15" s="3493"/>
      <c r="L15" s="3494">
        <v>200</v>
      </c>
      <c r="M15" s="1700">
        <f t="shared" si="1"/>
        <v>2E-3</v>
      </c>
      <c r="N15" s="3494">
        <v>5000</v>
      </c>
      <c r="O15" s="3495">
        <f t="shared" si="2"/>
        <v>10</v>
      </c>
      <c r="P15" s="3496" t="s">
        <v>5352</v>
      </c>
      <c r="Q15" s="3400" t="str">
        <f>'Ab3. ASHA'!Q15</f>
        <v>Ongoing Activity:Rs. 10.0 lakhs is recommended for approval as incentive to ASHAs for follow up of SNCU discharged or LBW babies at 3rd, 6th, 9th and 12th months of age for the target of 5000 children @ Rs.200 per child.The State should ensure that this incentive will be subsumed under HBYC program as soon as the home visits to children is initiated in the district where HBYC program is being implemented. Therefore, only HBYC incentive will be given to ASHA however incentive under this FMR will be discontinued subsequently.</v>
      </c>
      <c r="R15" s="3483">
        <f>'Ab3. ASHA'!R15</f>
        <v>10</v>
      </c>
      <c r="S15" s="3401"/>
      <c r="T15" s="3401"/>
      <c r="U15" s="3401"/>
      <c r="V15" s="3401"/>
      <c r="W15" s="3401"/>
      <c r="X15" s="3401"/>
      <c r="Y15" s="3401"/>
      <c r="Z15" s="3401"/>
      <c r="AA15" s="3401"/>
      <c r="AB15" s="3401"/>
      <c r="AC15" s="3401"/>
      <c r="AD15" s="3401"/>
      <c r="AE15" s="3401"/>
      <c r="AF15" s="3401"/>
      <c r="AG15" s="3401"/>
      <c r="AH15" s="3401"/>
      <c r="AI15" s="3401"/>
      <c r="AJ15" s="3401"/>
      <c r="AK15" s="3401"/>
      <c r="AL15" s="3401"/>
      <c r="AM15" s="3401"/>
      <c r="AN15" s="3401"/>
      <c r="AO15" s="3401"/>
      <c r="AP15" s="3401"/>
      <c r="AQ15" s="3401"/>
      <c r="AR15" s="3401"/>
      <c r="AS15" s="3401"/>
      <c r="AT15" s="3401"/>
      <c r="AU15" s="3401"/>
      <c r="AV15" s="3401"/>
      <c r="AW15" s="3401"/>
      <c r="AX15" s="3401"/>
      <c r="AY15" s="3401"/>
      <c r="AZ15" s="3401"/>
      <c r="BA15" s="3401"/>
      <c r="BB15" s="3403">
        <v>2.98</v>
      </c>
      <c r="BC15" s="3403">
        <v>0.37</v>
      </c>
      <c r="BD15" s="3403">
        <v>0.51</v>
      </c>
      <c r="BE15" s="3403">
        <v>0.69</v>
      </c>
      <c r="BF15" s="3403">
        <v>2.0499999999999998</v>
      </c>
      <c r="BG15" s="3403">
        <v>0.4</v>
      </c>
      <c r="BH15" s="3403">
        <v>0.68</v>
      </c>
      <c r="BI15" s="3403">
        <v>0.99</v>
      </c>
      <c r="BJ15" s="3403">
        <v>0.53</v>
      </c>
      <c r="BK15" s="3403">
        <v>0.21</v>
      </c>
      <c r="BL15" s="3403">
        <v>0.59</v>
      </c>
      <c r="BM15" s="3403"/>
      <c r="BN15" s="3403"/>
      <c r="BO15" s="3403"/>
      <c r="BP15" s="3403"/>
      <c r="BQ15" s="3403"/>
      <c r="BR15" s="3403"/>
      <c r="BS15" s="3403"/>
      <c r="BT15" s="3403"/>
      <c r="BU15" s="3403"/>
      <c r="BV15" s="3403"/>
      <c r="BW15" s="3403"/>
      <c r="BX15" s="3403"/>
      <c r="BY15" s="3403"/>
      <c r="BZ15" s="3403"/>
      <c r="CA15" s="3403"/>
      <c r="CB15" s="3403"/>
      <c r="CC15" s="3403"/>
      <c r="CD15" s="3403"/>
      <c r="CE15" s="3403"/>
      <c r="CF15" s="3403"/>
      <c r="CG15" s="3403"/>
      <c r="CH15" s="3403"/>
      <c r="CI15" s="3403">
        <f t="shared" si="0"/>
        <v>10</v>
      </c>
    </row>
    <row r="16" spans="1:87" s="3402" customFormat="1" ht="75">
      <c r="A16" s="3393" t="s">
        <v>2650</v>
      </c>
      <c r="B16" s="3394" t="s">
        <v>172</v>
      </c>
      <c r="C16" s="3394" t="s">
        <v>2439</v>
      </c>
      <c r="D16" s="3395" t="s">
        <v>85</v>
      </c>
      <c r="E16" s="3396" t="s">
        <v>2581</v>
      </c>
      <c r="F16" s="3404">
        <v>500</v>
      </c>
      <c r="G16" s="3405"/>
      <c r="H16" s="3406">
        <v>0.75</v>
      </c>
      <c r="I16" s="3492">
        <v>0.02</v>
      </c>
      <c r="J16" s="3493">
        <v>0.73</v>
      </c>
      <c r="K16" s="3493"/>
      <c r="L16" s="3494">
        <v>150</v>
      </c>
      <c r="M16" s="1700">
        <f t="shared" si="1"/>
        <v>1.5E-3</v>
      </c>
      <c r="N16" s="3494">
        <v>500</v>
      </c>
      <c r="O16" s="3495">
        <f t="shared" si="2"/>
        <v>0.75</v>
      </c>
      <c r="P16" s="3496" t="s">
        <v>5353</v>
      </c>
      <c r="Q16" s="3400" t="str">
        <f>'Ab3. ASHA'!Q16</f>
        <v>Ongoing activity: Rs. 0.75 lakh is recommended for approval for ASHA incentive for referral and four follow ups of 500 SAM children to NRC @ Rs.150 per SAM child in line with the existing national guidelines.</v>
      </c>
      <c r="R16" s="3483">
        <f>'Ab3. ASHA'!R16</f>
        <v>0.75</v>
      </c>
      <c r="S16" s="3401"/>
      <c r="T16" s="3401"/>
      <c r="U16" s="3401"/>
      <c r="V16" s="3401"/>
      <c r="W16" s="3401"/>
      <c r="X16" s="3401"/>
      <c r="Y16" s="3401"/>
      <c r="Z16" s="3401"/>
      <c r="AA16" s="3401"/>
      <c r="AB16" s="3401"/>
      <c r="AC16" s="3401"/>
      <c r="AD16" s="3401"/>
      <c r="AE16" s="3401"/>
      <c r="AF16" s="3401"/>
      <c r="AG16" s="3401"/>
      <c r="AH16" s="3401"/>
      <c r="AI16" s="3401"/>
      <c r="AJ16" s="3401"/>
      <c r="AK16" s="3401"/>
      <c r="AL16" s="3401"/>
      <c r="AM16" s="3401"/>
      <c r="AN16" s="3401"/>
      <c r="AO16" s="3401"/>
      <c r="AP16" s="3401"/>
      <c r="AQ16" s="3401"/>
      <c r="AR16" s="3401"/>
      <c r="AS16" s="3401"/>
      <c r="AT16" s="3401"/>
      <c r="AU16" s="3401"/>
      <c r="AV16" s="3401"/>
      <c r="AW16" s="3401"/>
      <c r="AX16" s="3401"/>
      <c r="AY16" s="3401"/>
      <c r="AZ16" s="3401"/>
      <c r="BA16" s="3401"/>
      <c r="BB16" s="3403"/>
      <c r="BC16" s="3403">
        <v>0.03</v>
      </c>
      <c r="BD16" s="3403">
        <v>0.05</v>
      </c>
      <c r="BE16" s="3403">
        <v>0.05</v>
      </c>
      <c r="BF16" s="3403">
        <v>7.0000000000000007E-2</v>
      </c>
      <c r="BG16" s="3403">
        <v>0.03</v>
      </c>
      <c r="BH16" s="3403">
        <v>7.0000000000000007E-2</v>
      </c>
      <c r="BI16" s="3403">
        <v>0.03</v>
      </c>
      <c r="BJ16" s="3403">
        <v>0.12</v>
      </c>
      <c r="BK16" s="3403">
        <v>0.06</v>
      </c>
      <c r="BL16" s="3403">
        <v>0.1</v>
      </c>
      <c r="BM16" s="3403">
        <v>0.09</v>
      </c>
      <c r="BN16" s="3403">
        <v>0.05</v>
      </c>
      <c r="BO16" s="3403"/>
      <c r="BP16" s="3403"/>
      <c r="BQ16" s="3403"/>
      <c r="BR16" s="3403"/>
      <c r="BS16" s="3403"/>
      <c r="BT16" s="3403"/>
      <c r="BU16" s="3403"/>
      <c r="BV16" s="3403"/>
      <c r="BW16" s="3403"/>
      <c r="BX16" s="3403"/>
      <c r="BY16" s="3403"/>
      <c r="BZ16" s="3403"/>
      <c r="CA16" s="3403"/>
      <c r="CB16" s="3403"/>
      <c r="CC16" s="3403"/>
      <c r="CD16" s="3403"/>
      <c r="CE16" s="3403"/>
      <c r="CF16" s="3403"/>
      <c r="CG16" s="3403"/>
      <c r="CH16" s="3403"/>
      <c r="CI16" s="3403">
        <f t="shared" si="0"/>
        <v>0.75</v>
      </c>
    </row>
    <row r="17" spans="1:87" s="3402" customFormat="1" ht="60">
      <c r="A17" s="3393" t="s">
        <v>2651</v>
      </c>
      <c r="B17" s="3394" t="s">
        <v>175</v>
      </c>
      <c r="C17" s="3394" t="s">
        <v>176</v>
      </c>
      <c r="D17" s="3395" t="s">
        <v>85</v>
      </c>
      <c r="E17" s="3396" t="s">
        <v>2581</v>
      </c>
      <c r="F17" s="3404">
        <v>7964</v>
      </c>
      <c r="G17" s="3405"/>
      <c r="H17" s="3406">
        <v>15.93</v>
      </c>
      <c r="I17" s="3498">
        <v>0.66</v>
      </c>
      <c r="J17" s="3404">
        <v>15.27</v>
      </c>
      <c r="K17" s="3499"/>
      <c r="L17" s="3494">
        <v>200</v>
      </c>
      <c r="M17" s="1700">
        <f t="shared" si="1"/>
        <v>2E-3</v>
      </c>
      <c r="N17" s="3494">
        <v>8066</v>
      </c>
      <c r="O17" s="3495">
        <f t="shared" si="2"/>
        <v>16.132000000000001</v>
      </c>
      <c r="P17" s="3496" t="s">
        <v>5499</v>
      </c>
      <c r="Q17" s="3400" t="str">
        <f>'Ab3. ASHA'!Q17</f>
        <v>Rs. 16.13 Lakhs is recommended for approval for ASHA incentive to mobilise out of school children @ Rs. 100 per ASHA for 8066 ASHAs for two rounds of NDD.</v>
      </c>
      <c r="R17" s="3483">
        <f>'Ab3. ASHA'!R17</f>
        <v>16.132000000000001</v>
      </c>
      <c r="S17" s="3401"/>
      <c r="T17" s="3401"/>
      <c r="U17" s="3401"/>
      <c r="V17" s="3401"/>
      <c r="W17" s="3401"/>
      <c r="X17" s="3401"/>
      <c r="Y17" s="3401"/>
      <c r="Z17" s="3401"/>
      <c r="AA17" s="3401"/>
      <c r="AB17" s="3401"/>
      <c r="AC17" s="3401"/>
      <c r="AD17" s="3401"/>
      <c r="AE17" s="3401"/>
      <c r="AF17" s="3401"/>
      <c r="AG17" s="3401"/>
      <c r="AH17" s="3401"/>
      <c r="AI17" s="3401"/>
      <c r="AJ17" s="3401"/>
      <c r="AK17" s="3401"/>
      <c r="AL17" s="3401"/>
      <c r="AM17" s="3401"/>
      <c r="AN17" s="3401"/>
      <c r="AO17" s="3401"/>
      <c r="AP17" s="3401"/>
      <c r="AQ17" s="3401"/>
      <c r="AR17" s="3401"/>
      <c r="AS17" s="3401"/>
      <c r="AT17" s="3401"/>
      <c r="AU17" s="3401"/>
      <c r="AV17" s="3401"/>
      <c r="AW17" s="3401"/>
      <c r="AX17" s="3401"/>
      <c r="AY17" s="3401"/>
      <c r="AZ17" s="3401"/>
      <c r="BA17" s="3401"/>
      <c r="BB17" s="3403"/>
      <c r="BC17" s="3403">
        <v>1</v>
      </c>
      <c r="BD17" s="3403">
        <v>1.2</v>
      </c>
      <c r="BE17" s="3403">
        <v>1.07</v>
      </c>
      <c r="BF17" s="3403">
        <v>3.67</v>
      </c>
      <c r="BG17" s="3403">
        <v>0.21</v>
      </c>
      <c r="BH17" s="3403">
        <v>0.99</v>
      </c>
      <c r="BI17" s="3403">
        <v>0.1</v>
      </c>
      <c r="BJ17" s="3403">
        <v>2.5</v>
      </c>
      <c r="BK17" s="3403">
        <v>1.67</v>
      </c>
      <c r="BL17" s="3403">
        <v>1.23</v>
      </c>
      <c r="BM17" s="3403">
        <v>1.27</v>
      </c>
      <c r="BN17" s="3403">
        <v>1.22</v>
      </c>
      <c r="BO17" s="3403"/>
      <c r="BP17" s="3403"/>
      <c r="BQ17" s="3403"/>
      <c r="BR17" s="3403"/>
      <c r="BS17" s="3403"/>
      <c r="BT17" s="3403"/>
      <c r="BU17" s="3403"/>
      <c r="BV17" s="3403"/>
      <c r="BW17" s="3403"/>
      <c r="BX17" s="3403"/>
      <c r="BY17" s="3403"/>
      <c r="BZ17" s="3403"/>
      <c r="CA17" s="3403"/>
      <c r="CB17" s="3403"/>
      <c r="CC17" s="3403"/>
      <c r="CD17" s="3403"/>
      <c r="CE17" s="3403"/>
      <c r="CF17" s="3403"/>
      <c r="CG17" s="3403"/>
      <c r="CH17" s="3403"/>
      <c r="CI17" s="3403">
        <f t="shared" si="0"/>
        <v>16.13</v>
      </c>
    </row>
    <row r="18" spans="1:87" s="3402" customFormat="1" ht="105">
      <c r="A18" s="3393" t="s">
        <v>2652</v>
      </c>
      <c r="B18" s="3394" t="s">
        <v>177</v>
      </c>
      <c r="C18" s="3394" t="s">
        <v>178</v>
      </c>
      <c r="D18" s="3395" t="s">
        <v>85</v>
      </c>
      <c r="E18" s="3396" t="s">
        <v>2581</v>
      </c>
      <c r="F18" s="3404">
        <v>700000</v>
      </c>
      <c r="G18" s="3404"/>
      <c r="H18" s="3404">
        <v>7</v>
      </c>
      <c r="I18" s="3404">
        <v>4</v>
      </c>
      <c r="J18" s="3404">
        <f>H18-I18</f>
        <v>3</v>
      </c>
      <c r="K18" s="3493"/>
      <c r="L18" s="3494">
        <v>1</v>
      </c>
      <c r="M18" s="1700">
        <f t="shared" si="1"/>
        <v>1.0000000000000001E-5</v>
      </c>
      <c r="N18" s="3494">
        <v>700000</v>
      </c>
      <c r="O18" s="3495">
        <f t="shared" si="2"/>
        <v>7.0000000000000009</v>
      </c>
      <c r="P18" s="3496" t="s">
        <v>5354</v>
      </c>
      <c r="Q18" s="3400" t="str">
        <f>'Ab3. ASHA'!Q18</f>
        <v>Rs.7 lakhs is recommended for approval  @ Rs.1 per ORS packet distributed to the families of Under-5 children for approx. 7,00,000  families with Under-5 children through ASHA workers. The State to ensure all families of Under-5 children are covered for prophylactis distribution of ORS during IDCF 2021-22.</v>
      </c>
      <c r="R18" s="3483">
        <f>'Ab3. ASHA'!R18</f>
        <v>7</v>
      </c>
      <c r="S18" s="3401"/>
      <c r="T18" s="3401"/>
      <c r="U18" s="3401"/>
      <c r="V18" s="3401"/>
      <c r="W18" s="3401"/>
      <c r="X18" s="3401"/>
      <c r="Y18" s="3401"/>
      <c r="Z18" s="3401"/>
      <c r="AA18" s="3401"/>
      <c r="AB18" s="3401"/>
      <c r="AC18" s="3401"/>
      <c r="AD18" s="3401"/>
      <c r="AE18" s="3401"/>
      <c r="AF18" s="3401"/>
      <c r="AG18" s="3401"/>
      <c r="AH18" s="3401"/>
      <c r="AI18" s="3401"/>
      <c r="AJ18" s="3401"/>
      <c r="AK18" s="3401"/>
      <c r="AL18" s="3401"/>
      <c r="AM18" s="3401"/>
      <c r="AN18" s="3401"/>
      <c r="AO18" s="3401"/>
      <c r="AP18" s="3401"/>
      <c r="AQ18" s="3401"/>
      <c r="AR18" s="3401"/>
      <c r="AS18" s="3401"/>
      <c r="AT18" s="3401"/>
      <c r="AU18" s="3401"/>
      <c r="AV18" s="3401"/>
      <c r="AW18" s="3401"/>
      <c r="AX18" s="3401"/>
      <c r="AY18" s="3401"/>
      <c r="AZ18" s="3401"/>
      <c r="BA18" s="3401"/>
      <c r="BB18" s="3403"/>
      <c r="BC18" s="3403">
        <v>0.35</v>
      </c>
      <c r="BD18" s="3403">
        <v>0.56000000000000005</v>
      </c>
      <c r="BE18" s="3403">
        <v>0.39</v>
      </c>
      <c r="BF18" s="3403">
        <v>1.45</v>
      </c>
      <c r="BG18" s="3403">
        <v>7.0000000000000007E-2</v>
      </c>
      <c r="BH18" s="3403">
        <v>0.39</v>
      </c>
      <c r="BI18" s="3403">
        <v>0.02</v>
      </c>
      <c r="BJ18" s="3403">
        <v>0.83</v>
      </c>
      <c r="BK18" s="3403">
        <v>0.71</v>
      </c>
      <c r="BL18" s="3403">
        <v>0.68</v>
      </c>
      <c r="BM18" s="3403">
        <v>0.96</v>
      </c>
      <c r="BN18" s="3403">
        <v>0.59</v>
      </c>
      <c r="BO18" s="3403"/>
      <c r="BP18" s="3403"/>
      <c r="BQ18" s="3403"/>
      <c r="BR18" s="3403"/>
      <c r="BS18" s="3403"/>
      <c r="BT18" s="3403"/>
      <c r="BU18" s="3403"/>
      <c r="BV18" s="3403"/>
      <c r="BW18" s="3403"/>
      <c r="BX18" s="3403"/>
      <c r="BY18" s="3403"/>
      <c r="BZ18" s="3403"/>
      <c r="CA18" s="3403"/>
      <c r="CB18" s="3403"/>
      <c r="CC18" s="3403"/>
      <c r="CD18" s="3403"/>
      <c r="CE18" s="3403"/>
      <c r="CF18" s="3403"/>
      <c r="CG18" s="3403"/>
      <c r="CH18" s="3403"/>
      <c r="CI18" s="3403">
        <f t="shared" si="0"/>
        <v>6.9999999999999991</v>
      </c>
    </row>
    <row r="19" spans="1:87" s="3402" customFormat="1" ht="105">
      <c r="A19" s="3393" t="s">
        <v>2657</v>
      </c>
      <c r="B19" s="3394"/>
      <c r="C19" s="3500" t="s">
        <v>3224</v>
      </c>
      <c r="D19" s="3395" t="s">
        <v>85</v>
      </c>
      <c r="E19" s="3396" t="s">
        <v>2581</v>
      </c>
      <c r="F19" s="3404">
        <v>15000</v>
      </c>
      <c r="G19" s="3405"/>
      <c r="H19" s="3406">
        <v>37.5</v>
      </c>
      <c r="I19" s="3498">
        <v>0.21</v>
      </c>
      <c r="J19" s="3501">
        <f>H19-I19</f>
        <v>37.29</v>
      </c>
      <c r="K19" s="3493"/>
      <c r="L19" s="3494">
        <v>250</v>
      </c>
      <c r="M19" s="1700">
        <f t="shared" si="1"/>
        <v>2.5000000000000001E-3</v>
      </c>
      <c r="N19" s="3502">
        <v>20000</v>
      </c>
      <c r="O19" s="3495">
        <f t="shared" si="2"/>
        <v>50</v>
      </c>
      <c r="P19" s="3496" t="s">
        <v>5355</v>
      </c>
      <c r="Q19" s="3400" t="str">
        <f>'Ab3. ASHA'!Q19</f>
        <v>Ongoing Activity:Rs. 50.00 lakhs is recommended for approval as incentive to ASHAs for scheduled home visits to children at 3rd, 6th, 9th, 12th and 15th month of life under HBYC @ Rs. 250 per child for target of 20000 children as proposed for 5 Districts (Chamba, Mandi, Sirmour, Kullu and Shimla).</v>
      </c>
      <c r="R19" s="3483">
        <f>'Ab3. ASHA'!R19</f>
        <v>50</v>
      </c>
      <c r="S19" s="3401"/>
      <c r="T19" s="3401"/>
      <c r="U19" s="3401"/>
      <c r="V19" s="3401"/>
      <c r="W19" s="3401"/>
      <c r="X19" s="3401"/>
      <c r="Y19" s="3401"/>
      <c r="Z19" s="3401"/>
      <c r="AA19" s="3401"/>
      <c r="AB19" s="3401"/>
      <c r="AC19" s="3401"/>
      <c r="AD19" s="3401"/>
      <c r="AE19" s="3401"/>
      <c r="AF19" s="3401"/>
      <c r="AG19" s="3401"/>
      <c r="AH19" s="3401"/>
      <c r="AI19" s="3401"/>
      <c r="AJ19" s="3401"/>
      <c r="AK19" s="3401"/>
      <c r="AL19" s="3401"/>
      <c r="AM19" s="3401"/>
      <c r="AN19" s="3401"/>
      <c r="AO19" s="3401"/>
      <c r="AP19" s="3401"/>
      <c r="AQ19" s="3401"/>
      <c r="AR19" s="3401"/>
      <c r="AS19" s="3401"/>
      <c r="AT19" s="3401"/>
      <c r="AU19" s="3401"/>
      <c r="AV19" s="3401"/>
      <c r="AW19" s="3401"/>
      <c r="AX19" s="3401"/>
      <c r="AY19" s="3401"/>
      <c r="AZ19" s="3401"/>
      <c r="BA19" s="3401"/>
      <c r="BB19" s="3403"/>
      <c r="BC19" s="3403"/>
      <c r="BD19" s="3403">
        <v>7.47</v>
      </c>
      <c r="BE19" s="3403"/>
      <c r="BF19" s="3403"/>
      <c r="BG19" s="3403"/>
      <c r="BH19" s="3403">
        <v>6.18</v>
      </c>
      <c r="BI19" s="3403"/>
      <c r="BJ19" s="3403">
        <v>12.7</v>
      </c>
      <c r="BK19" s="3403">
        <v>16</v>
      </c>
      <c r="BL19" s="3403">
        <v>7.65</v>
      </c>
      <c r="BM19" s="3403"/>
      <c r="BN19" s="3403"/>
      <c r="BO19" s="3403"/>
      <c r="BP19" s="3403"/>
      <c r="BQ19" s="3403"/>
      <c r="BR19" s="3403"/>
      <c r="BS19" s="3403"/>
      <c r="BT19" s="3403"/>
      <c r="BU19" s="3403"/>
      <c r="BV19" s="3403"/>
      <c r="BW19" s="3403"/>
      <c r="BX19" s="3403"/>
      <c r="BY19" s="3403"/>
      <c r="BZ19" s="3403"/>
      <c r="CA19" s="3403"/>
      <c r="CB19" s="3403"/>
      <c r="CC19" s="3403"/>
      <c r="CD19" s="3403"/>
      <c r="CE19" s="3403"/>
      <c r="CF19" s="3403"/>
      <c r="CG19" s="3403"/>
      <c r="CH19" s="3403"/>
      <c r="CI19" s="3403">
        <f t="shared" si="0"/>
        <v>49.999999999999993</v>
      </c>
    </row>
    <row r="20" spans="1:87" s="1169" customFormat="1">
      <c r="A20" s="1159" t="s">
        <v>159</v>
      </c>
      <c r="B20" s="1160"/>
      <c r="C20" s="1161" t="s">
        <v>4584</v>
      </c>
      <c r="D20" s="1005" t="s">
        <v>85</v>
      </c>
      <c r="E20" s="1162"/>
      <c r="F20" s="2677"/>
      <c r="G20" s="2677"/>
      <c r="H20" s="2677"/>
      <c r="I20" s="2677"/>
      <c r="J20" s="2677"/>
      <c r="K20" s="301"/>
      <c r="L20" s="301"/>
      <c r="M20" s="1164"/>
      <c r="N20" s="302"/>
      <c r="O20" s="303">
        <f>O21+O22</f>
        <v>254.24999999999997</v>
      </c>
      <c r="P20" s="715"/>
      <c r="Q20" s="1167"/>
      <c r="R20" s="3000">
        <f>R21+R22</f>
        <v>254.25</v>
      </c>
      <c r="S20" s="1168"/>
      <c r="T20" s="1168"/>
      <c r="U20" s="1168"/>
      <c r="V20" s="1168"/>
      <c r="W20" s="1168"/>
      <c r="X20" s="1168"/>
      <c r="Y20" s="1168"/>
      <c r="Z20" s="1168"/>
      <c r="AA20" s="1168"/>
      <c r="AB20" s="1168"/>
      <c r="AC20" s="1168"/>
      <c r="AD20" s="1168"/>
      <c r="AE20" s="1168"/>
      <c r="AF20" s="1168"/>
      <c r="AG20" s="1168"/>
      <c r="AH20" s="1168"/>
      <c r="AI20" s="1168"/>
      <c r="AJ20" s="1168"/>
      <c r="AK20" s="1168"/>
      <c r="AL20" s="1168"/>
      <c r="AM20" s="1168"/>
      <c r="AN20" s="1168"/>
      <c r="AO20" s="1168"/>
      <c r="AP20" s="1168"/>
      <c r="AQ20" s="1168"/>
      <c r="AR20" s="1168"/>
      <c r="AS20" s="1168"/>
      <c r="AT20" s="1168"/>
      <c r="AU20" s="1168"/>
      <c r="AV20" s="1168"/>
      <c r="AW20" s="1168"/>
      <c r="AX20" s="1168"/>
      <c r="AY20" s="1168"/>
      <c r="AZ20" s="1168"/>
      <c r="BA20" s="1168"/>
      <c r="BB20" s="3000"/>
      <c r="BC20" s="3000"/>
      <c r="BD20" s="3000"/>
      <c r="BE20" s="3000"/>
      <c r="BF20" s="3000"/>
      <c r="BG20" s="3000"/>
      <c r="BH20" s="3000"/>
      <c r="BI20" s="3000"/>
      <c r="BJ20" s="3000"/>
      <c r="BK20" s="3000"/>
      <c r="BL20" s="3000"/>
      <c r="BM20" s="3000"/>
      <c r="BN20" s="3000"/>
      <c r="BO20" s="3000"/>
      <c r="BP20" s="3000"/>
      <c r="BQ20" s="3000"/>
      <c r="BR20" s="3000"/>
      <c r="BS20" s="3000"/>
      <c r="BT20" s="3000"/>
      <c r="BU20" s="3000"/>
      <c r="BV20" s="3000"/>
      <c r="BW20" s="3000"/>
      <c r="BX20" s="3000"/>
      <c r="BY20" s="3000"/>
      <c r="BZ20" s="3000"/>
      <c r="CA20" s="3000"/>
      <c r="CB20" s="3000"/>
      <c r="CC20" s="3000"/>
      <c r="CD20" s="3000"/>
      <c r="CE20" s="3000"/>
      <c r="CF20" s="3000"/>
      <c r="CG20" s="3000"/>
      <c r="CH20" s="3000"/>
      <c r="CI20" s="3185">
        <f t="shared" si="0"/>
        <v>0</v>
      </c>
    </row>
    <row r="21" spans="1:87" s="1169" customFormat="1" ht="75">
      <c r="A21" s="1004" t="s">
        <v>2656</v>
      </c>
      <c r="B21" s="1080" t="s">
        <v>199</v>
      </c>
      <c r="C21" s="1080" t="s">
        <v>3946</v>
      </c>
      <c r="D21" s="2254" t="s">
        <v>85</v>
      </c>
      <c r="E21" s="2512" t="s">
        <v>2584</v>
      </c>
      <c r="F21" s="2669">
        <v>115000</v>
      </c>
      <c r="G21" s="2670"/>
      <c r="H21" s="2671">
        <v>201.25</v>
      </c>
      <c r="I21" s="2671">
        <v>99.21</v>
      </c>
      <c r="J21" s="2669">
        <v>102.04</v>
      </c>
      <c r="K21" s="2669">
        <v>1</v>
      </c>
      <c r="L21" s="2520">
        <v>225</v>
      </c>
      <c r="M21" s="298">
        <f>L21/100000</f>
        <v>2.2499999999999998E-3</v>
      </c>
      <c r="N21" s="2520">
        <v>113000</v>
      </c>
      <c r="O21" s="212">
        <f>M21*N21</f>
        <v>254.24999999999997</v>
      </c>
      <c r="P21" s="2256" t="s">
        <v>5489</v>
      </c>
      <c r="Q21" s="2257" t="str">
        <f>'Ab3. ASHA'!Q21</f>
        <v>Recommended for approval of Rs.254.25 lakhs as per norms @ Rs. 100/ child for FIC in first year, Rs.75/ child for complete immunization upto second year of age and Rs. 50 for DPT booster at the age of 5-6 years (for payment purpose)</v>
      </c>
      <c r="R21" s="3001">
        <f>'Ab3. ASHA'!R21</f>
        <v>254.25</v>
      </c>
      <c r="S21" s="1168"/>
      <c r="T21" s="1168"/>
      <c r="U21" s="1168"/>
      <c r="V21" s="1168"/>
      <c r="W21" s="1168"/>
      <c r="X21" s="1168"/>
      <c r="Y21" s="1168"/>
      <c r="Z21" s="1168"/>
      <c r="AA21" s="1168"/>
      <c r="AB21" s="1168"/>
      <c r="AC21" s="1168"/>
      <c r="AD21" s="1168"/>
      <c r="AE21" s="1168"/>
      <c r="AF21" s="1168"/>
      <c r="AG21" s="1168"/>
      <c r="AH21" s="1168"/>
      <c r="AI21" s="1168"/>
      <c r="AJ21" s="1168"/>
      <c r="AK21" s="1168"/>
      <c r="AL21" s="1168"/>
      <c r="AM21" s="1168"/>
      <c r="AN21" s="1168"/>
      <c r="AO21" s="1168"/>
      <c r="AP21" s="1168"/>
      <c r="AQ21" s="1168"/>
      <c r="AR21" s="1168"/>
      <c r="AS21" s="1168"/>
      <c r="AT21" s="1168"/>
      <c r="AU21" s="1168"/>
      <c r="AV21" s="1168"/>
      <c r="AW21" s="1168"/>
      <c r="AX21" s="1168"/>
      <c r="AY21" s="1168"/>
      <c r="AZ21" s="1168"/>
      <c r="BA21" s="1168"/>
      <c r="BB21" s="3185"/>
      <c r="BC21" s="3185">
        <v>15.23</v>
      </c>
      <c r="BD21" s="3185">
        <v>20.59</v>
      </c>
      <c r="BE21" s="3185">
        <v>16.559999999999999</v>
      </c>
      <c r="BF21" s="3185">
        <v>50.95</v>
      </c>
      <c r="BG21" s="3185">
        <v>3.78</v>
      </c>
      <c r="BH21" s="3185">
        <v>15.96</v>
      </c>
      <c r="BI21" s="3185">
        <v>2.02</v>
      </c>
      <c r="BJ21" s="3185">
        <v>33.72</v>
      </c>
      <c r="BK21" s="3185">
        <v>26.12</v>
      </c>
      <c r="BL21" s="3185">
        <v>23.05</v>
      </c>
      <c r="BM21" s="3185">
        <v>26.03</v>
      </c>
      <c r="BN21" s="3185">
        <v>20.239999999999998</v>
      </c>
      <c r="BO21" s="3185"/>
      <c r="BP21" s="3185"/>
      <c r="BQ21" s="3185"/>
      <c r="BR21" s="3185"/>
      <c r="BS21" s="3185"/>
      <c r="BT21" s="3185"/>
      <c r="BU21" s="3185"/>
      <c r="BV21" s="3185"/>
      <c r="BW21" s="3185"/>
      <c r="BX21" s="3185"/>
      <c r="BY21" s="3185"/>
      <c r="BZ21" s="3185"/>
      <c r="CA21" s="3185"/>
      <c r="CB21" s="3185"/>
      <c r="CC21" s="3185"/>
      <c r="CD21" s="3185"/>
      <c r="CE21" s="3185"/>
      <c r="CF21" s="3185"/>
      <c r="CG21" s="3185"/>
      <c r="CH21" s="3185"/>
      <c r="CI21" s="3185">
        <f t="shared" si="0"/>
        <v>254.25000000000003</v>
      </c>
    </row>
    <row r="22" spans="1:87" s="1174" customFormat="1">
      <c r="A22" s="431" t="s">
        <v>241</v>
      </c>
      <c r="B22" s="882" t="s">
        <v>242</v>
      </c>
      <c r="C22" s="882" t="s">
        <v>243</v>
      </c>
      <c r="D22" s="1005" t="s">
        <v>85</v>
      </c>
      <c r="E22" s="945" t="s">
        <v>2584</v>
      </c>
      <c r="F22" s="2672">
        <v>0</v>
      </c>
      <c r="G22" s="2673"/>
      <c r="H22" s="2674">
        <v>0</v>
      </c>
      <c r="I22" s="2674"/>
      <c r="J22" s="2672"/>
      <c r="K22" s="220"/>
      <c r="L22" s="277"/>
      <c r="M22" s="297">
        <f>L22/100000</f>
        <v>0</v>
      </c>
      <c r="N22" s="277"/>
      <c r="O22" s="210">
        <f>M22*N22</f>
        <v>0</v>
      </c>
      <c r="P22" s="171"/>
      <c r="Q22" s="1003" t="str">
        <f>'Ab3. ASHA'!Q22</f>
        <v>--</v>
      </c>
      <c r="R22" s="3002">
        <f>'Ab3. ASHA'!R22</f>
        <v>0</v>
      </c>
      <c r="S22" s="1173"/>
      <c r="T22" s="1198"/>
      <c r="U22" s="1198"/>
      <c r="V22" s="1198"/>
      <c r="W22" s="1198"/>
      <c r="X22" s="1198"/>
      <c r="Y22" s="1198"/>
      <c r="Z22" s="1198"/>
      <c r="AA22" s="1198"/>
      <c r="AB22" s="1198"/>
      <c r="AC22" s="1198"/>
      <c r="AD22" s="1198"/>
      <c r="AE22" s="1198"/>
      <c r="AF22" s="1198"/>
      <c r="AG22" s="1198"/>
      <c r="AH22" s="1198"/>
      <c r="AI22" s="1198"/>
      <c r="AJ22" s="1198"/>
      <c r="AK22" s="1198"/>
      <c r="AL22" s="1198"/>
      <c r="AM22" s="1198"/>
      <c r="AN22" s="1198"/>
      <c r="AO22" s="1198"/>
      <c r="AP22" s="1198"/>
      <c r="AQ22" s="1198"/>
      <c r="AR22" s="1198"/>
      <c r="AS22" s="1198"/>
      <c r="AT22" s="1198"/>
      <c r="AU22" s="1198"/>
      <c r="AV22" s="1198"/>
      <c r="AW22" s="1198"/>
      <c r="AX22" s="1198"/>
      <c r="AY22" s="1198"/>
      <c r="AZ22" s="1198"/>
      <c r="BA22" s="1198"/>
      <c r="BB22" s="3264"/>
      <c r="BC22" s="3264"/>
      <c r="BD22" s="3264"/>
      <c r="BE22" s="3264"/>
      <c r="BF22" s="3264"/>
      <c r="BG22" s="3264"/>
      <c r="BH22" s="3264"/>
      <c r="BI22" s="3264"/>
      <c r="BJ22" s="3264"/>
      <c r="BK22" s="3264"/>
      <c r="BL22" s="3264"/>
      <c r="BM22" s="3264"/>
      <c r="BN22" s="3264"/>
      <c r="BO22" s="3264"/>
      <c r="BP22" s="3264"/>
      <c r="BQ22" s="3264"/>
      <c r="BR22" s="3264"/>
      <c r="BS22" s="3264"/>
      <c r="BT22" s="3264"/>
      <c r="BU22" s="3264"/>
      <c r="BV22" s="3264"/>
      <c r="BW22" s="3264"/>
      <c r="BX22" s="3264"/>
      <c r="BY22" s="3264"/>
      <c r="BZ22" s="3264"/>
      <c r="CA22" s="3264"/>
      <c r="CB22" s="3264"/>
      <c r="CC22" s="3264"/>
      <c r="CD22" s="3264"/>
      <c r="CE22" s="3264"/>
      <c r="CF22" s="3264"/>
      <c r="CG22" s="3264"/>
      <c r="CH22" s="3264"/>
      <c r="CI22" s="3185">
        <f t="shared" si="0"/>
        <v>0</v>
      </c>
    </row>
    <row r="23" spans="1:87" s="1169" customFormat="1">
      <c r="A23" s="1159" t="s">
        <v>162</v>
      </c>
      <c r="B23" s="1160"/>
      <c r="C23" s="1161" t="s">
        <v>2644</v>
      </c>
      <c r="D23" s="1005" t="s">
        <v>85</v>
      </c>
      <c r="E23" s="1162"/>
      <c r="F23" s="2677"/>
      <c r="G23" s="2677"/>
      <c r="H23" s="2677"/>
      <c r="I23" s="2677"/>
      <c r="J23" s="2677"/>
      <c r="K23" s="301"/>
      <c r="L23" s="301"/>
      <c r="M23" s="1164"/>
      <c r="N23" s="302"/>
      <c r="O23" s="303">
        <f>SUM(O24:O32)</f>
        <v>5.6999999999999993</v>
      </c>
      <c r="P23" s="715"/>
      <c r="Q23" s="1167"/>
      <c r="R23" s="3000">
        <f>SUM(R24:R32)</f>
        <v>5.6999999999999993</v>
      </c>
      <c r="S23" s="1168"/>
      <c r="T23" s="1168"/>
      <c r="U23" s="1168"/>
      <c r="V23" s="1168"/>
      <c r="W23" s="1168"/>
      <c r="X23" s="1168"/>
      <c r="Y23" s="1168"/>
      <c r="Z23" s="1168"/>
      <c r="AA23" s="1168"/>
      <c r="AB23" s="1168"/>
      <c r="AC23" s="1168"/>
      <c r="AD23" s="1168"/>
      <c r="AE23" s="1168"/>
      <c r="AF23" s="1168"/>
      <c r="AG23" s="1168"/>
      <c r="AH23" s="1168"/>
      <c r="AI23" s="1168"/>
      <c r="AJ23" s="1168"/>
      <c r="AK23" s="1168"/>
      <c r="AL23" s="1168"/>
      <c r="AM23" s="1168"/>
      <c r="AN23" s="1168"/>
      <c r="AO23" s="1168"/>
      <c r="AP23" s="1168"/>
      <c r="AQ23" s="1168"/>
      <c r="AR23" s="1168"/>
      <c r="AS23" s="1168"/>
      <c r="AT23" s="1168"/>
      <c r="AU23" s="1168"/>
      <c r="AV23" s="1168"/>
      <c r="AW23" s="1168"/>
      <c r="AX23" s="1168"/>
      <c r="AY23" s="1168"/>
      <c r="AZ23" s="1168"/>
      <c r="BA23" s="1168"/>
      <c r="BB23" s="3000"/>
      <c r="BC23" s="3000"/>
      <c r="BD23" s="3000"/>
      <c r="BE23" s="3000"/>
      <c r="BF23" s="3000"/>
      <c r="BG23" s="3000"/>
      <c r="BH23" s="3000"/>
      <c r="BI23" s="3000"/>
      <c r="BJ23" s="3000"/>
      <c r="BK23" s="3000"/>
      <c r="BL23" s="3000"/>
      <c r="BM23" s="3000"/>
      <c r="BN23" s="3000"/>
      <c r="BO23" s="3000"/>
      <c r="BP23" s="3000"/>
      <c r="BQ23" s="3000"/>
      <c r="BR23" s="3000"/>
      <c r="BS23" s="3000"/>
      <c r="BT23" s="3000"/>
      <c r="BU23" s="3000"/>
      <c r="BV23" s="3000"/>
      <c r="BW23" s="3000"/>
      <c r="BX23" s="3000"/>
      <c r="BY23" s="3000"/>
      <c r="BZ23" s="3000"/>
      <c r="CA23" s="3000"/>
      <c r="CB23" s="3000"/>
      <c r="CC23" s="3000"/>
      <c r="CD23" s="3000"/>
      <c r="CE23" s="3000"/>
      <c r="CF23" s="3000"/>
      <c r="CG23" s="3000"/>
      <c r="CH23" s="3000"/>
      <c r="CI23" s="3185">
        <f t="shared" si="0"/>
        <v>0</v>
      </c>
    </row>
    <row r="24" spans="1:87">
      <c r="A24" s="1004" t="s">
        <v>2658</v>
      </c>
      <c r="B24" s="882" t="s">
        <v>163</v>
      </c>
      <c r="C24" s="882" t="s">
        <v>164</v>
      </c>
      <c r="D24" s="1005" t="s">
        <v>85</v>
      </c>
      <c r="E24" s="945" t="s">
        <v>2580</v>
      </c>
      <c r="F24" s="226">
        <v>0</v>
      </c>
      <c r="G24" s="220"/>
      <c r="H24" s="2673">
        <v>0</v>
      </c>
      <c r="I24" s="222"/>
      <c r="J24" s="222"/>
      <c r="K24" s="226"/>
      <c r="L24" s="277"/>
      <c r="M24" s="297">
        <f t="shared" ref="M24:M31" si="3">L24/100000</f>
        <v>0</v>
      </c>
      <c r="N24" s="277"/>
      <c r="O24" s="210">
        <f t="shared" ref="O24:O31" si="4">M24*N24</f>
        <v>0</v>
      </c>
      <c r="P24" s="171"/>
      <c r="Q24" s="1003" t="str">
        <f>'Ab3. ASHA'!Q24</f>
        <v>--</v>
      </c>
      <c r="R24" s="3002">
        <f>'Ab3. ASHA'!R24</f>
        <v>0</v>
      </c>
      <c r="S24" s="1172"/>
      <c r="T24" s="1172"/>
      <c r="U24" s="1172"/>
      <c r="V24" s="1172"/>
      <c r="W24" s="1172"/>
      <c r="X24" s="1172"/>
      <c r="Y24" s="1172"/>
      <c r="Z24" s="1172"/>
      <c r="AA24" s="1172"/>
      <c r="AB24" s="1172"/>
      <c r="AC24" s="1172"/>
      <c r="AD24" s="1172"/>
      <c r="AE24" s="1172"/>
      <c r="AF24" s="1172"/>
      <c r="AG24" s="1172"/>
      <c r="AH24" s="1172"/>
      <c r="AI24" s="1172"/>
      <c r="AJ24" s="1172"/>
      <c r="AK24" s="1172"/>
      <c r="AL24" s="1172"/>
      <c r="AM24" s="1172"/>
      <c r="AN24" s="1172"/>
      <c r="AO24" s="1172"/>
      <c r="AP24" s="1172"/>
      <c r="AQ24" s="1172"/>
      <c r="AR24" s="1172"/>
      <c r="AS24" s="1172"/>
      <c r="AT24" s="1172"/>
      <c r="AU24" s="1172"/>
      <c r="AV24" s="1172"/>
      <c r="AW24" s="1172"/>
      <c r="AX24" s="1172"/>
      <c r="AY24" s="1172"/>
      <c r="AZ24" s="1172"/>
      <c r="BA24" s="1172"/>
      <c r="BB24" s="897"/>
      <c r="BC24" s="897"/>
      <c r="BD24" s="897"/>
      <c r="BE24" s="897"/>
      <c r="BF24" s="897"/>
      <c r="BG24" s="897"/>
      <c r="BH24" s="897"/>
      <c r="BI24" s="897"/>
      <c r="BJ24" s="897"/>
      <c r="BK24" s="897"/>
      <c r="BL24" s="897"/>
      <c r="BM24" s="897"/>
      <c r="BN24" s="897"/>
      <c r="BO24" s="897"/>
      <c r="BP24" s="897"/>
      <c r="BQ24" s="897"/>
      <c r="BR24" s="897"/>
      <c r="BS24" s="897"/>
      <c r="BT24" s="897"/>
      <c r="BU24" s="897"/>
      <c r="BV24" s="897"/>
      <c r="BW24" s="897"/>
      <c r="BX24" s="897"/>
      <c r="BY24" s="897"/>
      <c r="BZ24" s="897"/>
      <c r="CA24" s="897"/>
      <c r="CB24" s="897"/>
      <c r="CC24" s="897"/>
      <c r="CD24" s="897"/>
      <c r="CE24" s="897"/>
      <c r="CF24" s="897"/>
      <c r="CG24" s="897"/>
      <c r="CH24" s="897"/>
      <c r="CI24" s="3185">
        <f t="shared" si="0"/>
        <v>0</v>
      </c>
    </row>
    <row r="25" spans="1:87">
      <c r="A25" s="1004" t="s">
        <v>2659</v>
      </c>
      <c r="B25" s="882" t="s">
        <v>166</v>
      </c>
      <c r="C25" s="882" t="s">
        <v>167</v>
      </c>
      <c r="D25" s="1005" t="s">
        <v>85</v>
      </c>
      <c r="E25" s="945" t="s">
        <v>2580</v>
      </c>
      <c r="F25" s="226">
        <v>0</v>
      </c>
      <c r="G25" s="226"/>
      <c r="H25" s="226">
        <v>0</v>
      </c>
      <c r="I25" s="226"/>
      <c r="J25" s="226"/>
      <c r="K25" s="226"/>
      <c r="L25" s="277"/>
      <c r="M25" s="297">
        <f t="shared" si="3"/>
        <v>0</v>
      </c>
      <c r="N25" s="277"/>
      <c r="O25" s="210">
        <f t="shared" si="4"/>
        <v>0</v>
      </c>
      <c r="P25" s="171"/>
      <c r="Q25" s="1003" t="str">
        <f>'Ab3. ASHA'!Q25</f>
        <v>--</v>
      </c>
      <c r="R25" s="3002">
        <f>'Ab3. ASHA'!R25</f>
        <v>0</v>
      </c>
      <c r="S25" s="1172"/>
      <c r="T25" s="1172"/>
      <c r="U25" s="1172"/>
      <c r="V25" s="1172"/>
      <c r="W25" s="1172"/>
      <c r="X25" s="1172"/>
      <c r="Y25" s="1172"/>
      <c r="Z25" s="1172"/>
      <c r="AA25" s="1172"/>
      <c r="AB25" s="1172"/>
      <c r="AC25" s="1172"/>
      <c r="AD25" s="1172"/>
      <c r="AE25" s="1172"/>
      <c r="AF25" s="1172"/>
      <c r="AG25" s="1172"/>
      <c r="AH25" s="1172"/>
      <c r="AI25" s="1172"/>
      <c r="AJ25" s="1172"/>
      <c r="AK25" s="1172"/>
      <c r="AL25" s="1172"/>
      <c r="AM25" s="1172"/>
      <c r="AN25" s="1172"/>
      <c r="AO25" s="1172"/>
      <c r="AP25" s="1172"/>
      <c r="AQ25" s="1172"/>
      <c r="AR25" s="1172"/>
      <c r="AS25" s="1172"/>
      <c r="AT25" s="1172"/>
      <c r="AU25" s="1172"/>
      <c r="AV25" s="1172"/>
      <c r="AW25" s="1172"/>
      <c r="AX25" s="1172"/>
      <c r="AY25" s="1172"/>
      <c r="AZ25" s="1172"/>
      <c r="BA25" s="1172"/>
      <c r="BB25" s="897"/>
      <c r="BC25" s="897"/>
      <c r="BD25" s="897"/>
      <c r="BE25" s="897"/>
      <c r="BF25" s="897"/>
      <c r="BG25" s="897"/>
      <c r="BH25" s="897"/>
      <c r="BI25" s="897"/>
      <c r="BJ25" s="897"/>
      <c r="BK25" s="897"/>
      <c r="BL25" s="897"/>
      <c r="BM25" s="897"/>
      <c r="BN25" s="897"/>
      <c r="BO25" s="897"/>
      <c r="BP25" s="897"/>
      <c r="BQ25" s="897"/>
      <c r="BR25" s="897"/>
      <c r="BS25" s="897"/>
      <c r="BT25" s="897"/>
      <c r="BU25" s="897"/>
      <c r="BV25" s="897"/>
      <c r="BW25" s="897"/>
      <c r="BX25" s="897"/>
      <c r="BY25" s="897"/>
      <c r="BZ25" s="897"/>
      <c r="CA25" s="897"/>
      <c r="CB25" s="897"/>
      <c r="CC25" s="897"/>
      <c r="CD25" s="897"/>
      <c r="CE25" s="897"/>
      <c r="CF25" s="897"/>
      <c r="CG25" s="897"/>
      <c r="CH25" s="897"/>
      <c r="CI25" s="3185">
        <f t="shared" si="0"/>
        <v>0</v>
      </c>
    </row>
    <row r="26" spans="1:87" ht="30">
      <c r="A26" s="1004" t="s">
        <v>2660</v>
      </c>
      <c r="B26" s="882"/>
      <c r="C26" s="882" t="s">
        <v>2398</v>
      </c>
      <c r="D26" s="1005" t="s">
        <v>85</v>
      </c>
      <c r="E26" s="945" t="s">
        <v>2580</v>
      </c>
      <c r="F26" s="226">
        <v>0</v>
      </c>
      <c r="G26" s="226"/>
      <c r="H26" s="226">
        <v>0</v>
      </c>
      <c r="I26" s="226"/>
      <c r="J26" s="226"/>
      <c r="K26" s="226"/>
      <c r="L26" s="277"/>
      <c r="M26" s="297">
        <f t="shared" si="3"/>
        <v>0</v>
      </c>
      <c r="N26" s="277"/>
      <c r="O26" s="210">
        <f t="shared" si="4"/>
        <v>0</v>
      </c>
      <c r="P26" s="171"/>
      <c r="Q26" s="1003" t="str">
        <f>'Ab3. ASHA'!Q26</f>
        <v>--</v>
      </c>
      <c r="R26" s="3002">
        <f>'Ab3. ASHA'!R26</f>
        <v>0</v>
      </c>
      <c r="S26" s="1172"/>
      <c r="T26" s="1172"/>
      <c r="U26" s="1172"/>
      <c r="V26" s="1172"/>
      <c r="W26" s="1172"/>
      <c r="X26" s="1172"/>
      <c r="Y26" s="1172"/>
      <c r="Z26" s="1172"/>
      <c r="AA26" s="1172"/>
      <c r="AB26" s="1172"/>
      <c r="AC26" s="1172"/>
      <c r="AD26" s="1172"/>
      <c r="AE26" s="1172"/>
      <c r="AF26" s="1172"/>
      <c r="AG26" s="1172"/>
      <c r="AH26" s="1172"/>
      <c r="AI26" s="1172"/>
      <c r="AJ26" s="1172"/>
      <c r="AK26" s="1172"/>
      <c r="AL26" s="1172"/>
      <c r="AM26" s="1172"/>
      <c r="AN26" s="1172"/>
      <c r="AO26" s="1172"/>
      <c r="AP26" s="1172"/>
      <c r="AQ26" s="1172"/>
      <c r="AR26" s="1172"/>
      <c r="AS26" s="1172"/>
      <c r="AT26" s="1172"/>
      <c r="AU26" s="1172"/>
      <c r="AV26" s="1172"/>
      <c r="AW26" s="1172"/>
      <c r="AX26" s="1172"/>
      <c r="AY26" s="1172"/>
      <c r="AZ26" s="1172"/>
      <c r="BA26" s="1172"/>
      <c r="BB26" s="897"/>
      <c r="BC26" s="897"/>
      <c r="BD26" s="897"/>
      <c r="BE26" s="897"/>
      <c r="BF26" s="897"/>
      <c r="BG26" s="897"/>
      <c r="BH26" s="897"/>
      <c r="BI26" s="897"/>
      <c r="BJ26" s="897"/>
      <c r="BK26" s="897"/>
      <c r="BL26" s="897"/>
      <c r="BM26" s="897"/>
      <c r="BN26" s="897"/>
      <c r="BO26" s="897"/>
      <c r="BP26" s="897"/>
      <c r="BQ26" s="897"/>
      <c r="BR26" s="897"/>
      <c r="BS26" s="897"/>
      <c r="BT26" s="897"/>
      <c r="BU26" s="897"/>
      <c r="BV26" s="897"/>
      <c r="BW26" s="897"/>
      <c r="BX26" s="897"/>
      <c r="BY26" s="897"/>
      <c r="BZ26" s="897"/>
      <c r="CA26" s="897"/>
      <c r="CB26" s="897"/>
      <c r="CC26" s="897"/>
      <c r="CD26" s="897"/>
      <c r="CE26" s="897"/>
      <c r="CF26" s="897"/>
      <c r="CG26" s="897"/>
      <c r="CH26" s="897"/>
      <c r="CI26" s="3185">
        <f t="shared" si="0"/>
        <v>0</v>
      </c>
    </row>
    <row r="27" spans="1:87" s="1169" customFormat="1" ht="75">
      <c r="A27" s="1004" t="s">
        <v>2661</v>
      </c>
      <c r="B27" s="1080" t="s">
        <v>179</v>
      </c>
      <c r="C27" s="1080" t="s">
        <v>180</v>
      </c>
      <c r="D27" s="2254" t="s">
        <v>85</v>
      </c>
      <c r="E27" s="3543" t="s">
        <v>2580</v>
      </c>
      <c r="F27" s="230">
        <v>1000</v>
      </c>
      <c r="G27" s="231"/>
      <c r="H27" s="232">
        <v>1.5</v>
      </c>
      <c r="I27" s="3551">
        <v>2.11</v>
      </c>
      <c r="J27" s="3552">
        <v>-0.61</v>
      </c>
      <c r="K27" s="3553">
        <v>1</v>
      </c>
      <c r="L27" s="2536">
        <v>150</v>
      </c>
      <c r="M27" s="298">
        <f t="shared" si="3"/>
        <v>1.5E-3</v>
      </c>
      <c r="N27" s="2536">
        <v>2000</v>
      </c>
      <c r="O27" s="212">
        <f t="shared" si="4"/>
        <v>3</v>
      </c>
      <c r="P27" s="2537" t="s">
        <v>5324</v>
      </c>
      <c r="Q27" s="2257" t="str">
        <f>'Ab3. ASHA'!Q27</f>
        <v>Ongoing activity : Rs 3.00 lakhs is recommended for approval  for ASHA PPIUCD incentive for accompanying the clients for PPIUCD insertions for 2000 insertions @ Rs 150/ASHA/Insertion</v>
      </c>
      <c r="R27" s="3001">
        <f>'Ab3. ASHA'!R27</f>
        <v>3</v>
      </c>
      <c r="S27" s="1168"/>
      <c r="T27" s="1168"/>
      <c r="U27" s="1168"/>
      <c r="V27" s="1168"/>
      <c r="W27" s="1168"/>
      <c r="X27" s="1168"/>
      <c r="Y27" s="1168"/>
      <c r="Z27" s="1168"/>
      <c r="AA27" s="1168"/>
      <c r="AB27" s="1168"/>
      <c r="AC27" s="1168"/>
      <c r="AD27" s="1168"/>
      <c r="AE27" s="1168"/>
      <c r="AF27" s="1168"/>
      <c r="AG27" s="1168"/>
      <c r="AH27" s="1168"/>
      <c r="AI27" s="1168"/>
      <c r="AJ27" s="1168"/>
      <c r="AK27" s="1168"/>
      <c r="AL27" s="1168"/>
      <c r="AM27" s="1168"/>
      <c r="AN27" s="1168"/>
      <c r="AO27" s="1168"/>
      <c r="AP27" s="1168"/>
      <c r="AQ27" s="1168"/>
      <c r="AR27" s="1168"/>
      <c r="AS27" s="1168"/>
      <c r="AT27" s="1168"/>
      <c r="AU27" s="1168"/>
      <c r="AV27" s="1168"/>
      <c r="AW27" s="1168"/>
      <c r="AX27" s="1168"/>
      <c r="AY27" s="1168"/>
      <c r="AZ27" s="1168"/>
      <c r="BA27" s="1168"/>
      <c r="BB27" s="3185"/>
      <c r="BC27" s="3185">
        <v>0.45</v>
      </c>
      <c r="BD27" s="3185">
        <v>0.08</v>
      </c>
      <c r="BE27" s="3185">
        <v>0.06</v>
      </c>
      <c r="BF27" s="3185">
        <v>0.4</v>
      </c>
      <c r="BG27" s="3185">
        <v>0.1</v>
      </c>
      <c r="BH27" s="3185">
        <v>0.1</v>
      </c>
      <c r="BI27" s="3185">
        <v>0.05</v>
      </c>
      <c r="BJ27" s="3185">
        <v>0.16</v>
      </c>
      <c r="BK27" s="3185">
        <v>0.2</v>
      </c>
      <c r="BL27" s="3185">
        <v>0.2</v>
      </c>
      <c r="BM27" s="3185">
        <v>0.5</v>
      </c>
      <c r="BN27" s="3185">
        <v>0.7</v>
      </c>
      <c r="BO27" s="3185"/>
      <c r="BP27" s="3185"/>
      <c r="BQ27" s="3185"/>
      <c r="BR27" s="3185"/>
      <c r="BS27" s="3185"/>
      <c r="BT27" s="3185"/>
      <c r="BU27" s="3185"/>
      <c r="BV27" s="3185"/>
      <c r="BW27" s="3185"/>
      <c r="BX27" s="3185"/>
      <c r="BY27" s="3185"/>
      <c r="BZ27" s="3185"/>
      <c r="CA27" s="3185"/>
      <c r="CB27" s="3185"/>
      <c r="CC27" s="3185"/>
      <c r="CD27" s="3185"/>
      <c r="CE27" s="3185"/>
      <c r="CF27" s="3185"/>
      <c r="CG27" s="3185"/>
      <c r="CH27" s="3185"/>
      <c r="CI27" s="3185">
        <f t="shared" si="0"/>
        <v>3</v>
      </c>
    </row>
    <row r="28" spans="1:87" s="1169" customFormat="1" ht="75">
      <c r="A28" s="1004" t="s">
        <v>2662</v>
      </c>
      <c r="B28" s="1080" t="s">
        <v>181</v>
      </c>
      <c r="C28" s="1080" t="s">
        <v>182</v>
      </c>
      <c r="D28" s="2254" t="s">
        <v>85</v>
      </c>
      <c r="E28" s="3543" t="s">
        <v>2580</v>
      </c>
      <c r="F28" s="230">
        <v>200</v>
      </c>
      <c r="G28" s="231"/>
      <c r="H28" s="232">
        <v>0.3</v>
      </c>
      <c r="I28" s="3551">
        <v>0.7</v>
      </c>
      <c r="J28" s="3552">
        <v>0.23</v>
      </c>
      <c r="K28" s="3553">
        <v>1</v>
      </c>
      <c r="L28" s="2536">
        <v>150</v>
      </c>
      <c r="M28" s="298">
        <f t="shared" si="3"/>
        <v>1.5E-3</v>
      </c>
      <c r="N28" s="2536">
        <v>200</v>
      </c>
      <c r="O28" s="212">
        <f t="shared" si="4"/>
        <v>0.3</v>
      </c>
      <c r="P28" s="2537" t="s">
        <v>5325</v>
      </c>
      <c r="Q28" s="2257" t="str">
        <f>'Ab3. ASHA'!Q28</f>
        <v>Ongoing activity : Rs 0.30 lakhs is recommended for approval  for ASHA PAIUCD incentive for accompanying the clients for PAIUCD insertions for 200 insertions @ Rs 150/ASHA/insertion</v>
      </c>
      <c r="R28" s="3001">
        <f>'Ab3. ASHA'!R28</f>
        <v>0.3</v>
      </c>
      <c r="S28" s="1168"/>
      <c r="T28" s="1168"/>
      <c r="U28" s="1168"/>
      <c r="V28" s="1168"/>
      <c r="W28" s="1168"/>
      <c r="X28" s="1168"/>
      <c r="Y28" s="1168"/>
      <c r="Z28" s="1168"/>
      <c r="AA28" s="1168"/>
      <c r="AB28" s="1168"/>
      <c r="AC28" s="1168"/>
      <c r="AD28" s="1168"/>
      <c r="AE28" s="1168"/>
      <c r="AF28" s="1168"/>
      <c r="AG28" s="1168"/>
      <c r="AH28" s="1168"/>
      <c r="AI28" s="1168"/>
      <c r="AJ28" s="1168"/>
      <c r="AK28" s="1168"/>
      <c r="AL28" s="1168"/>
      <c r="AM28" s="1168"/>
      <c r="AN28" s="1168"/>
      <c r="AO28" s="1168"/>
      <c r="AP28" s="1168"/>
      <c r="AQ28" s="1168"/>
      <c r="AR28" s="1168"/>
      <c r="AS28" s="1168"/>
      <c r="AT28" s="1168"/>
      <c r="AU28" s="1168"/>
      <c r="AV28" s="1168"/>
      <c r="AW28" s="1168"/>
      <c r="AX28" s="1168"/>
      <c r="AY28" s="1168"/>
      <c r="AZ28" s="1168"/>
      <c r="BA28" s="1168"/>
      <c r="BB28" s="3185"/>
      <c r="BC28" s="3185">
        <v>0.02</v>
      </c>
      <c r="BD28" s="3185">
        <v>0.02</v>
      </c>
      <c r="BE28" s="3185">
        <v>0.02</v>
      </c>
      <c r="BF28" s="3185">
        <v>0.04</v>
      </c>
      <c r="BG28" s="3185">
        <v>0.02</v>
      </c>
      <c r="BH28" s="3185">
        <v>0.03</v>
      </c>
      <c r="BI28" s="3185">
        <v>0.01</v>
      </c>
      <c r="BJ28" s="3185">
        <v>0.03</v>
      </c>
      <c r="BK28" s="3185">
        <v>0.04</v>
      </c>
      <c r="BL28" s="3185">
        <v>0.02</v>
      </c>
      <c r="BM28" s="3185">
        <v>0.03</v>
      </c>
      <c r="BN28" s="3185">
        <v>0.02</v>
      </c>
      <c r="BO28" s="3185"/>
      <c r="BP28" s="3185"/>
      <c r="BQ28" s="3185"/>
      <c r="BR28" s="3185"/>
      <c r="BS28" s="3185"/>
      <c r="BT28" s="3185"/>
      <c r="BU28" s="3185"/>
      <c r="BV28" s="3185"/>
      <c r="BW28" s="3185"/>
      <c r="BX28" s="3185"/>
      <c r="BY28" s="3185"/>
      <c r="BZ28" s="3185"/>
      <c r="CA28" s="3185"/>
      <c r="CB28" s="3185"/>
      <c r="CC28" s="3185"/>
      <c r="CD28" s="3185"/>
      <c r="CE28" s="3185"/>
      <c r="CF28" s="3185"/>
      <c r="CG28" s="3185"/>
      <c r="CH28" s="3185"/>
      <c r="CI28" s="3185">
        <f t="shared" si="0"/>
        <v>0.30000000000000004</v>
      </c>
    </row>
    <row r="29" spans="1:87" ht="30">
      <c r="A29" s="431" t="s">
        <v>2663</v>
      </c>
      <c r="B29" s="882" t="s">
        <v>183</v>
      </c>
      <c r="C29" s="882" t="s">
        <v>184</v>
      </c>
      <c r="D29" s="1005" t="s">
        <v>85</v>
      </c>
      <c r="E29" s="945" t="s">
        <v>2580</v>
      </c>
      <c r="F29" s="220">
        <v>0</v>
      </c>
      <c r="G29" s="224"/>
      <c r="H29" s="222">
        <v>0</v>
      </c>
      <c r="I29" s="222"/>
      <c r="J29" s="220"/>
      <c r="K29" s="220"/>
      <c r="L29" s="277"/>
      <c r="M29" s="297">
        <f t="shared" si="3"/>
        <v>0</v>
      </c>
      <c r="N29" s="2655"/>
      <c r="O29" s="210">
        <f t="shared" si="4"/>
        <v>0</v>
      </c>
      <c r="P29" s="171"/>
      <c r="Q29" s="1003" t="str">
        <f>'Ab3. ASHA'!Q29</f>
        <v>--</v>
      </c>
      <c r="R29" s="3002">
        <f>'Ab3. ASHA'!R29</f>
        <v>0</v>
      </c>
      <c r="S29" s="1172"/>
      <c r="T29" s="1172"/>
      <c r="U29" s="1172"/>
      <c r="V29" s="1172"/>
      <c r="W29" s="1172"/>
      <c r="X29" s="1172"/>
      <c r="Y29" s="1172"/>
      <c r="Z29" s="1172"/>
      <c r="AA29" s="1172"/>
      <c r="AB29" s="1172"/>
      <c r="AC29" s="1172"/>
      <c r="AD29" s="1172"/>
      <c r="AE29" s="1172"/>
      <c r="AF29" s="1172"/>
      <c r="AG29" s="1172"/>
      <c r="AH29" s="1172"/>
      <c r="AI29" s="1172"/>
      <c r="AJ29" s="1172"/>
      <c r="AK29" s="1172"/>
      <c r="AL29" s="1172"/>
      <c r="AM29" s="1172"/>
      <c r="AN29" s="1172"/>
      <c r="AO29" s="1172"/>
      <c r="AP29" s="1172"/>
      <c r="AQ29" s="1172"/>
      <c r="AR29" s="1172"/>
      <c r="AS29" s="1172"/>
      <c r="AT29" s="1172"/>
      <c r="AU29" s="1172"/>
      <c r="AV29" s="1172"/>
      <c r="AW29" s="1172"/>
      <c r="AX29" s="1172"/>
      <c r="AY29" s="1172"/>
      <c r="AZ29" s="1172"/>
      <c r="BA29" s="1172"/>
      <c r="BB29" s="897"/>
      <c r="BC29" s="897"/>
      <c r="BD29" s="897"/>
      <c r="BE29" s="897"/>
      <c r="BF29" s="897"/>
      <c r="BG29" s="897"/>
      <c r="BH29" s="897"/>
      <c r="BI29" s="897"/>
      <c r="BJ29" s="897"/>
      <c r="BK29" s="897"/>
      <c r="BL29" s="897"/>
      <c r="BM29" s="897"/>
      <c r="BN29" s="897"/>
      <c r="BO29" s="897"/>
      <c r="BP29" s="897"/>
      <c r="BQ29" s="897"/>
      <c r="BR29" s="897"/>
      <c r="BS29" s="897"/>
      <c r="BT29" s="897"/>
      <c r="BU29" s="897"/>
      <c r="BV29" s="897"/>
      <c r="BW29" s="897"/>
      <c r="BX29" s="897"/>
      <c r="BY29" s="897"/>
      <c r="BZ29" s="897"/>
      <c r="CA29" s="897"/>
      <c r="CB29" s="897"/>
      <c r="CC29" s="897"/>
      <c r="CD29" s="897"/>
      <c r="CE29" s="897"/>
      <c r="CF29" s="897"/>
      <c r="CG29" s="897"/>
      <c r="CH29" s="897"/>
      <c r="CI29" s="3185">
        <f t="shared" si="0"/>
        <v>0</v>
      </c>
    </row>
    <row r="30" spans="1:87" ht="30">
      <c r="A30" s="431" t="s">
        <v>2664</v>
      </c>
      <c r="B30" s="882" t="s">
        <v>185</v>
      </c>
      <c r="C30" s="882" t="s">
        <v>3947</v>
      </c>
      <c r="D30" s="1005" t="s">
        <v>85</v>
      </c>
      <c r="E30" s="945" t="s">
        <v>2580</v>
      </c>
      <c r="F30" s="220">
        <v>0</v>
      </c>
      <c r="G30" s="224"/>
      <c r="H30" s="222">
        <v>0</v>
      </c>
      <c r="I30" s="222"/>
      <c r="J30" s="220"/>
      <c r="K30" s="220"/>
      <c r="L30" s="277"/>
      <c r="M30" s="297">
        <f t="shared" si="3"/>
        <v>0</v>
      </c>
      <c r="N30" s="277"/>
      <c r="O30" s="210">
        <f t="shared" si="4"/>
        <v>0</v>
      </c>
      <c r="P30" s="171"/>
      <c r="Q30" s="1003" t="str">
        <f>'Ab3. ASHA'!Q30</f>
        <v>--</v>
      </c>
      <c r="R30" s="3002">
        <f>'Ab3. ASHA'!R30</f>
        <v>0</v>
      </c>
      <c r="S30" s="1172"/>
      <c r="T30" s="1172"/>
      <c r="U30" s="1172"/>
      <c r="V30" s="1172"/>
      <c r="W30" s="1172"/>
      <c r="X30" s="1172"/>
      <c r="Y30" s="1172"/>
      <c r="Z30" s="1172"/>
      <c r="AA30" s="1172"/>
      <c r="AB30" s="1172"/>
      <c r="AC30" s="1172"/>
      <c r="AD30" s="1172"/>
      <c r="AE30" s="1172"/>
      <c r="AF30" s="1172"/>
      <c r="AG30" s="1172"/>
      <c r="AH30" s="1172"/>
      <c r="AI30" s="1172"/>
      <c r="AJ30" s="1172"/>
      <c r="AK30" s="1172"/>
      <c r="AL30" s="1172"/>
      <c r="AM30" s="1172"/>
      <c r="AN30" s="1172"/>
      <c r="AO30" s="1172"/>
      <c r="AP30" s="1172"/>
      <c r="AQ30" s="1172"/>
      <c r="AR30" s="1172"/>
      <c r="AS30" s="1172"/>
      <c r="AT30" s="1172"/>
      <c r="AU30" s="1172"/>
      <c r="AV30" s="1172"/>
      <c r="AW30" s="1172"/>
      <c r="AX30" s="1172"/>
      <c r="AY30" s="1172"/>
      <c r="AZ30" s="1172"/>
      <c r="BA30" s="1172"/>
      <c r="BB30" s="897"/>
      <c r="BC30" s="897"/>
      <c r="BD30" s="897"/>
      <c r="BE30" s="897"/>
      <c r="BF30" s="897"/>
      <c r="BG30" s="897"/>
      <c r="BH30" s="897"/>
      <c r="BI30" s="897"/>
      <c r="BJ30" s="897"/>
      <c r="BK30" s="897"/>
      <c r="BL30" s="897"/>
      <c r="BM30" s="897"/>
      <c r="BN30" s="897"/>
      <c r="BO30" s="897"/>
      <c r="BP30" s="897"/>
      <c r="BQ30" s="897"/>
      <c r="BR30" s="897"/>
      <c r="BS30" s="897"/>
      <c r="BT30" s="897"/>
      <c r="BU30" s="897"/>
      <c r="BV30" s="897"/>
      <c r="BW30" s="897"/>
      <c r="BX30" s="897"/>
      <c r="BY30" s="897"/>
      <c r="BZ30" s="897"/>
      <c r="CA30" s="897"/>
      <c r="CB30" s="897"/>
      <c r="CC30" s="897"/>
      <c r="CD30" s="897"/>
      <c r="CE30" s="897"/>
      <c r="CF30" s="897"/>
      <c r="CG30" s="897"/>
      <c r="CH30" s="897"/>
      <c r="CI30" s="3185">
        <f t="shared" si="0"/>
        <v>0</v>
      </c>
    </row>
    <row r="31" spans="1:87" ht="60">
      <c r="A31" s="1004" t="s">
        <v>3208</v>
      </c>
      <c r="B31" s="431" t="s">
        <v>3227</v>
      </c>
      <c r="C31" s="882" t="s">
        <v>3225</v>
      </c>
      <c r="D31" s="1005" t="s">
        <v>85</v>
      </c>
      <c r="E31" s="1175" t="s">
        <v>3754</v>
      </c>
      <c r="F31" s="226">
        <v>0</v>
      </c>
      <c r="G31" s="226"/>
      <c r="H31" s="226">
        <v>0</v>
      </c>
      <c r="I31" s="226"/>
      <c r="J31" s="226"/>
      <c r="K31" s="226"/>
      <c r="L31" s="277"/>
      <c r="M31" s="297">
        <f t="shared" si="3"/>
        <v>0</v>
      </c>
      <c r="N31" s="277"/>
      <c r="O31" s="210">
        <f t="shared" si="4"/>
        <v>0</v>
      </c>
      <c r="P31" s="171"/>
      <c r="Q31" s="1003" t="str">
        <f>'Ab3. ASHA'!Q31</f>
        <v>--</v>
      </c>
      <c r="R31" s="3002">
        <f>'Ab3. ASHA'!R31</f>
        <v>0</v>
      </c>
      <c r="S31" s="1172"/>
      <c r="T31" s="1172"/>
      <c r="U31" s="1172"/>
      <c r="V31" s="1172"/>
      <c r="W31" s="1172"/>
      <c r="X31" s="1172"/>
      <c r="Y31" s="1172"/>
      <c r="Z31" s="1172"/>
      <c r="AA31" s="1172"/>
      <c r="AB31" s="1172"/>
      <c r="AC31" s="1172"/>
      <c r="AD31" s="1172"/>
      <c r="AE31" s="1172"/>
      <c r="AF31" s="1172"/>
      <c r="AG31" s="1172"/>
      <c r="AH31" s="1172"/>
      <c r="AI31" s="1172"/>
      <c r="AJ31" s="1172"/>
      <c r="AK31" s="1172"/>
      <c r="AL31" s="1172"/>
      <c r="AM31" s="1172"/>
      <c r="AN31" s="1172"/>
      <c r="AO31" s="1172"/>
      <c r="AP31" s="1172"/>
      <c r="AQ31" s="1172"/>
      <c r="AR31" s="1172"/>
      <c r="AS31" s="1172"/>
      <c r="AT31" s="1172"/>
      <c r="AU31" s="1172"/>
      <c r="AV31" s="1172"/>
      <c r="AW31" s="1172"/>
      <c r="AX31" s="1172"/>
      <c r="AY31" s="1172"/>
      <c r="AZ31" s="1172"/>
      <c r="BA31" s="1172"/>
      <c r="BB31" s="897"/>
      <c r="BC31" s="897"/>
      <c r="BD31" s="897"/>
      <c r="BE31" s="897"/>
      <c r="BF31" s="897"/>
      <c r="BG31" s="897"/>
      <c r="BH31" s="897"/>
      <c r="BI31" s="897"/>
      <c r="BJ31" s="897"/>
      <c r="BK31" s="897"/>
      <c r="BL31" s="897"/>
      <c r="BM31" s="897"/>
      <c r="BN31" s="897"/>
      <c r="BO31" s="897"/>
      <c r="BP31" s="897"/>
      <c r="BQ31" s="897"/>
      <c r="BR31" s="897"/>
      <c r="BS31" s="897"/>
      <c r="BT31" s="897"/>
      <c r="BU31" s="897"/>
      <c r="BV31" s="897"/>
      <c r="BW31" s="897"/>
      <c r="BX31" s="897"/>
      <c r="BY31" s="897"/>
      <c r="BZ31" s="897"/>
      <c r="CA31" s="897"/>
      <c r="CB31" s="897"/>
      <c r="CC31" s="897"/>
      <c r="CD31" s="897"/>
      <c r="CE31" s="897"/>
      <c r="CF31" s="897"/>
      <c r="CG31" s="897"/>
      <c r="CH31" s="897"/>
      <c r="CI31" s="3185">
        <f t="shared" si="0"/>
        <v>0</v>
      </c>
    </row>
    <row r="32" spans="1:87" s="3402" customFormat="1" ht="45">
      <c r="A32" s="3393"/>
      <c r="B32" s="3393"/>
      <c r="C32" s="3394" t="s">
        <v>2373</v>
      </c>
      <c r="D32" s="3395" t="s">
        <v>85</v>
      </c>
      <c r="E32" s="3566" t="s">
        <v>3754</v>
      </c>
      <c r="F32" s="3493"/>
      <c r="G32" s="3493"/>
      <c r="H32" s="3493"/>
      <c r="I32" s="3493"/>
      <c r="J32" s="3493"/>
      <c r="K32" s="3493"/>
      <c r="L32" s="3408">
        <v>200</v>
      </c>
      <c r="M32" s="1700">
        <f>L32/100000</f>
        <v>2E-3</v>
      </c>
      <c r="N32" s="3408">
        <v>1200</v>
      </c>
      <c r="O32" s="3399">
        <f>M32*N32</f>
        <v>2.4</v>
      </c>
      <c r="P32" s="3496" t="s">
        <v>5427</v>
      </c>
      <c r="Q32" s="3400" t="str">
        <f>'Ab3. ASHA'!Q32</f>
        <v>Recommended for approvalRs. 2.40L for reporting the maternal death @ Rs. 200/reporting for 1200 estimated Maternal Deaths</v>
      </c>
      <c r="R32" s="3483">
        <f>'Ab3. ASHA'!R32</f>
        <v>2.4</v>
      </c>
      <c r="S32" s="3401"/>
      <c r="T32" s="3401"/>
      <c r="U32" s="3401"/>
      <c r="V32" s="3401"/>
      <c r="W32" s="3401"/>
      <c r="X32" s="3401"/>
      <c r="Y32" s="3401"/>
      <c r="Z32" s="3401"/>
      <c r="AA32" s="3401"/>
      <c r="AB32" s="3401"/>
      <c r="AC32" s="3401"/>
      <c r="AD32" s="3401"/>
      <c r="AE32" s="3401"/>
      <c r="AF32" s="3401"/>
      <c r="AG32" s="3401"/>
      <c r="AH32" s="3401"/>
      <c r="AI32" s="3401"/>
      <c r="AJ32" s="3401"/>
      <c r="AK32" s="3401"/>
      <c r="AL32" s="3401"/>
      <c r="AM32" s="3401"/>
      <c r="AN32" s="3401"/>
      <c r="AO32" s="3401"/>
      <c r="AP32" s="3401"/>
      <c r="AQ32" s="3401"/>
      <c r="AR32" s="3401"/>
      <c r="AS32" s="3401"/>
      <c r="AT32" s="3401"/>
      <c r="AU32" s="3401"/>
      <c r="AV32" s="3401"/>
      <c r="AW32" s="3401"/>
      <c r="AX32" s="3401"/>
      <c r="AY32" s="3401"/>
      <c r="AZ32" s="3401"/>
      <c r="BA32" s="3401"/>
      <c r="BB32" s="3403">
        <v>0.05</v>
      </c>
      <c r="BC32" s="3403">
        <v>0.13</v>
      </c>
      <c r="BD32" s="3403">
        <v>0.18</v>
      </c>
      <c r="BE32" s="3403">
        <v>0.16</v>
      </c>
      <c r="BF32" s="3403">
        <v>0.55000000000000004</v>
      </c>
      <c r="BG32" s="3403">
        <v>0.03</v>
      </c>
      <c r="BH32" s="3403">
        <v>0.15</v>
      </c>
      <c r="BI32" s="3403">
        <v>0.01</v>
      </c>
      <c r="BJ32" s="3403">
        <v>0.37</v>
      </c>
      <c r="BK32" s="3403">
        <v>0.23</v>
      </c>
      <c r="BL32" s="3403">
        <v>0.18</v>
      </c>
      <c r="BM32" s="3403">
        <v>0.18</v>
      </c>
      <c r="BN32" s="3403">
        <v>0.18</v>
      </c>
      <c r="BO32" s="3403"/>
      <c r="BP32" s="3403"/>
      <c r="BQ32" s="3403"/>
      <c r="BR32" s="3403"/>
      <c r="BS32" s="3403"/>
      <c r="BT32" s="3403"/>
      <c r="BU32" s="3403"/>
      <c r="BV32" s="3403"/>
      <c r="BW32" s="3403"/>
      <c r="BX32" s="3403"/>
      <c r="BY32" s="3403"/>
      <c r="BZ32" s="3403"/>
      <c r="CA32" s="3403"/>
      <c r="CB32" s="3403"/>
      <c r="CC32" s="3403"/>
      <c r="CD32" s="3403"/>
      <c r="CE32" s="3403"/>
      <c r="CF32" s="3403"/>
      <c r="CG32" s="3403"/>
      <c r="CH32" s="3403"/>
      <c r="CI32" s="3403">
        <f t="shared" si="0"/>
        <v>2.4000000000000004</v>
      </c>
    </row>
    <row r="33" spans="1:87" s="1169" customFormat="1">
      <c r="A33" s="1159" t="s">
        <v>165</v>
      </c>
      <c r="B33" s="1160"/>
      <c r="C33" s="1161" t="s">
        <v>2645</v>
      </c>
      <c r="D33" s="1005" t="s">
        <v>85</v>
      </c>
      <c r="E33" s="1162"/>
      <c r="F33" s="301"/>
      <c r="G33" s="301"/>
      <c r="H33" s="301"/>
      <c r="I33" s="301"/>
      <c r="J33" s="301"/>
      <c r="K33" s="301"/>
      <c r="L33" s="301"/>
      <c r="M33" s="1164"/>
      <c r="N33" s="302"/>
      <c r="O33" s="303">
        <f>SUM(O34:O35)</f>
        <v>0</v>
      </c>
      <c r="P33" s="715"/>
      <c r="Q33" s="1167"/>
      <c r="R33" s="3000">
        <f>SUM(R34:R35)</f>
        <v>0</v>
      </c>
      <c r="S33" s="1168"/>
      <c r="T33" s="1168"/>
      <c r="U33" s="1168"/>
      <c r="V33" s="1168"/>
      <c r="W33" s="1168"/>
      <c r="X33" s="1168"/>
      <c r="Y33" s="1168"/>
      <c r="Z33" s="1168"/>
      <c r="AA33" s="1168"/>
      <c r="AB33" s="1168"/>
      <c r="AC33" s="1168"/>
      <c r="AD33" s="1168"/>
      <c r="AE33" s="1168"/>
      <c r="AF33" s="1168"/>
      <c r="AG33" s="1168"/>
      <c r="AH33" s="1168"/>
      <c r="AI33" s="1168"/>
      <c r="AJ33" s="1168"/>
      <c r="AK33" s="1168"/>
      <c r="AL33" s="1168"/>
      <c r="AM33" s="1168"/>
      <c r="AN33" s="1168"/>
      <c r="AO33" s="1168"/>
      <c r="AP33" s="1168"/>
      <c r="AQ33" s="1168"/>
      <c r="AR33" s="1168"/>
      <c r="AS33" s="1168"/>
      <c r="AT33" s="1168"/>
      <c r="AU33" s="1168"/>
      <c r="AV33" s="1168"/>
      <c r="AW33" s="1168"/>
      <c r="AX33" s="1168"/>
      <c r="AY33" s="1168"/>
      <c r="AZ33" s="1168"/>
      <c r="BA33" s="1168"/>
      <c r="BB33" s="3000"/>
      <c r="BC33" s="3000">
        <f t="shared" ref="BC33:CH33" si="5">SUM(BC34:BC35)</f>
        <v>0</v>
      </c>
      <c r="BD33" s="3000">
        <f t="shared" si="5"/>
        <v>0</v>
      </c>
      <c r="BE33" s="3000">
        <f t="shared" si="5"/>
        <v>0</v>
      </c>
      <c r="BF33" s="3000">
        <f t="shared" si="5"/>
        <v>0</v>
      </c>
      <c r="BG33" s="3000">
        <f t="shared" si="5"/>
        <v>0</v>
      </c>
      <c r="BH33" s="3000">
        <f t="shared" si="5"/>
        <v>0</v>
      </c>
      <c r="BI33" s="3000">
        <f t="shared" si="5"/>
        <v>0</v>
      </c>
      <c r="BJ33" s="3000">
        <f t="shared" si="5"/>
        <v>0</v>
      </c>
      <c r="BK33" s="3000">
        <f t="shared" si="5"/>
        <v>0</v>
      </c>
      <c r="BL33" s="3000">
        <f t="shared" si="5"/>
        <v>0</v>
      </c>
      <c r="BM33" s="3000">
        <f t="shared" si="5"/>
        <v>0</v>
      </c>
      <c r="BN33" s="3000">
        <f t="shared" si="5"/>
        <v>0</v>
      </c>
      <c r="BO33" s="3000">
        <f t="shared" si="5"/>
        <v>0</v>
      </c>
      <c r="BP33" s="3000">
        <f t="shared" si="5"/>
        <v>0</v>
      </c>
      <c r="BQ33" s="3000">
        <f t="shared" si="5"/>
        <v>0</v>
      </c>
      <c r="BR33" s="3000">
        <f t="shared" si="5"/>
        <v>0</v>
      </c>
      <c r="BS33" s="3000">
        <f t="shared" si="5"/>
        <v>0</v>
      </c>
      <c r="BT33" s="3000">
        <f t="shared" si="5"/>
        <v>0</v>
      </c>
      <c r="BU33" s="3000">
        <f t="shared" si="5"/>
        <v>0</v>
      </c>
      <c r="BV33" s="3000">
        <f t="shared" si="5"/>
        <v>0</v>
      </c>
      <c r="BW33" s="3000">
        <f t="shared" si="5"/>
        <v>0</v>
      </c>
      <c r="BX33" s="3000">
        <f t="shared" si="5"/>
        <v>0</v>
      </c>
      <c r="BY33" s="3000">
        <f t="shared" si="5"/>
        <v>0</v>
      </c>
      <c r="BZ33" s="3000">
        <f t="shared" si="5"/>
        <v>0</v>
      </c>
      <c r="CA33" s="3000">
        <f t="shared" si="5"/>
        <v>0</v>
      </c>
      <c r="CB33" s="3000">
        <f t="shared" si="5"/>
        <v>0</v>
      </c>
      <c r="CC33" s="3000">
        <f t="shared" si="5"/>
        <v>0</v>
      </c>
      <c r="CD33" s="3000">
        <f t="shared" si="5"/>
        <v>0</v>
      </c>
      <c r="CE33" s="3000">
        <f t="shared" si="5"/>
        <v>0</v>
      </c>
      <c r="CF33" s="3000">
        <f t="shared" si="5"/>
        <v>0</v>
      </c>
      <c r="CG33" s="3000">
        <f t="shared" si="5"/>
        <v>0</v>
      </c>
      <c r="CH33" s="3000">
        <f t="shared" si="5"/>
        <v>0</v>
      </c>
      <c r="CI33" s="3185">
        <f t="shared" si="0"/>
        <v>0</v>
      </c>
    </row>
    <row r="34" spans="1:87">
      <c r="A34" s="1004" t="s">
        <v>2665</v>
      </c>
      <c r="B34" s="882" t="s">
        <v>186</v>
      </c>
      <c r="C34" s="882" t="s">
        <v>187</v>
      </c>
      <c r="D34" s="908" t="s">
        <v>65</v>
      </c>
      <c r="E34" s="945" t="s">
        <v>2582</v>
      </c>
      <c r="F34" s="226">
        <v>0</v>
      </c>
      <c r="G34" s="226"/>
      <c r="H34" s="226">
        <v>0</v>
      </c>
      <c r="I34" s="226">
        <v>0.04</v>
      </c>
      <c r="J34" s="226"/>
      <c r="K34" s="226"/>
      <c r="L34" s="277"/>
      <c r="M34" s="297">
        <f>L34/100000</f>
        <v>0</v>
      </c>
      <c r="N34" s="277"/>
      <c r="O34" s="210">
        <f>M34*N34</f>
        <v>0</v>
      </c>
      <c r="P34" s="171"/>
      <c r="Q34" s="1003" t="str">
        <f>'Ab3. ASHA'!Q34</f>
        <v>-</v>
      </c>
      <c r="R34" s="3002">
        <f>'Ab3. ASHA'!R34</f>
        <v>0</v>
      </c>
      <c r="S34" s="1172"/>
      <c r="T34" s="1172"/>
      <c r="U34" s="1172"/>
      <c r="V34" s="1172"/>
      <c r="W34" s="1172"/>
      <c r="X34" s="1172"/>
      <c r="Y34" s="1172"/>
      <c r="Z34" s="1172"/>
      <c r="AA34" s="1172"/>
      <c r="AB34" s="1172"/>
      <c r="AC34" s="1172"/>
      <c r="AD34" s="1172"/>
      <c r="AE34" s="1172"/>
      <c r="AF34" s="1172"/>
      <c r="AG34" s="1172"/>
      <c r="AH34" s="1172"/>
      <c r="AI34" s="1172"/>
      <c r="AJ34" s="1172"/>
      <c r="AK34" s="1172"/>
      <c r="AL34" s="1172"/>
      <c r="AM34" s="1172"/>
      <c r="AN34" s="1172"/>
      <c r="AO34" s="1172"/>
      <c r="AP34" s="1172"/>
      <c r="AQ34" s="1172"/>
      <c r="AR34" s="1172"/>
      <c r="AS34" s="1172"/>
      <c r="AT34" s="1172"/>
      <c r="AU34" s="1172"/>
      <c r="AV34" s="1172"/>
      <c r="AW34" s="1172"/>
      <c r="AX34" s="1172"/>
      <c r="AY34" s="1172"/>
      <c r="AZ34" s="1172"/>
      <c r="BA34" s="1172"/>
      <c r="BB34" s="897"/>
      <c r="BC34" s="897"/>
      <c r="BD34" s="897"/>
      <c r="BE34" s="897"/>
      <c r="BF34" s="897"/>
      <c r="BG34" s="897"/>
      <c r="BH34" s="897"/>
      <c r="BI34" s="897"/>
      <c r="BJ34" s="897"/>
      <c r="BK34" s="897"/>
      <c r="BL34" s="897"/>
      <c r="BM34" s="897"/>
      <c r="BN34" s="897"/>
      <c r="BO34" s="897"/>
      <c r="BP34" s="897"/>
      <c r="BQ34" s="897"/>
      <c r="BR34" s="897"/>
      <c r="BS34" s="897"/>
      <c r="BT34" s="897"/>
      <c r="BU34" s="897"/>
      <c r="BV34" s="897"/>
      <c r="BW34" s="897"/>
      <c r="BX34" s="897"/>
      <c r="BY34" s="897"/>
      <c r="BZ34" s="897"/>
      <c r="CA34" s="897"/>
      <c r="CB34" s="897"/>
      <c r="CC34" s="897"/>
      <c r="CD34" s="897"/>
      <c r="CE34" s="897"/>
      <c r="CF34" s="897"/>
      <c r="CG34" s="897"/>
      <c r="CH34" s="897"/>
      <c r="CI34" s="3185">
        <f t="shared" si="0"/>
        <v>0</v>
      </c>
    </row>
    <row r="35" spans="1:87" ht="30">
      <c r="A35" s="1004" t="s">
        <v>2666</v>
      </c>
      <c r="B35" s="882" t="s">
        <v>189</v>
      </c>
      <c r="C35" s="882" t="s">
        <v>190</v>
      </c>
      <c r="D35" s="908" t="s">
        <v>65</v>
      </c>
      <c r="E35" s="945" t="s">
        <v>2582</v>
      </c>
      <c r="F35" s="220">
        <v>0</v>
      </c>
      <c r="G35" s="224"/>
      <c r="H35" s="222">
        <v>0</v>
      </c>
      <c r="I35" s="222"/>
      <c r="J35" s="223"/>
      <c r="K35" s="220"/>
      <c r="L35" s="277"/>
      <c r="M35" s="297">
        <f>L35/100000</f>
        <v>0</v>
      </c>
      <c r="N35" s="277"/>
      <c r="O35" s="210">
        <f>M35*N35</f>
        <v>0</v>
      </c>
      <c r="P35" s="171"/>
      <c r="Q35" s="1003" t="str">
        <f>'Ab3. ASHA'!Q35</f>
        <v>-</v>
      </c>
      <c r="R35" s="3002">
        <f>'Ab3. ASHA'!R35</f>
        <v>0</v>
      </c>
      <c r="S35" s="1172"/>
      <c r="T35" s="1172"/>
      <c r="U35" s="1172"/>
      <c r="V35" s="1172"/>
      <c r="W35" s="1172"/>
      <c r="X35" s="1172"/>
      <c r="Y35" s="1172"/>
      <c r="Z35" s="1172"/>
      <c r="AA35" s="1172"/>
      <c r="AB35" s="1172"/>
      <c r="AC35" s="1172"/>
      <c r="AD35" s="1172"/>
      <c r="AE35" s="1172"/>
      <c r="AF35" s="1172"/>
      <c r="AG35" s="1172"/>
      <c r="AH35" s="1172"/>
      <c r="AI35" s="1172"/>
      <c r="AJ35" s="1172"/>
      <c r="AK35" s="1172"/>
      <c r="AL35" s="1172"/>
      <c r="AM35" s="1172"/>
      <c r="AN35" s="1172"/>
      <c r="AO35" s="1172"/>
      <c r="AP35" s="1172"/>
      <c r="AQ35" s="1172"/>
      <c r="AR35" s="1172"/>
      <c r="AS35" s="1172"/>
      <c r="AT35" s="1172"/>
      <c r="AU35" s="1172"/>
      <c r="AV35" s="1172"/>
      <c r="AW35" s="1172"/>
      <c r="AX35" s="1172"/>
      <c r="AY35" s="1172"/>
      <c r="AZ35" s="1172"/>
      <c r="BA35" s="1172"/>
      <c r="BB35" s="897"/>
      <c r="BC35" s="897"/>
      <c r="BD35" s="897"/>
      <c r="BE35" s="897"/>
      <c r="BF35" s="897"/>
      <c r="BG35" s="897"/>
      <c r="BH35" s="897"/>
      <c r="BI35" s="897"/>
      <c r="BJ35" s="897"/>
      <c r="BK35" s="897"/>
      <c r="BL35" s="897"/>
      <c r="BM35" s="897"/>
      <c r="BN35" s="897"/>
      <c r="BO35" s="897"/>
      <c r="BP35" s="897"/>
      <c r="BQ35" s="897"/>
      <c r="BR35" s="897"/>
      <c r="BS35" s="897"/>
      <c r="BT35" s="897"/>
      <c r="BU35" s="897"/>
      <c r="BV35" s="897"/>
      <c r="BW35" s="897"/>
      <c r="BX35" s="897"/>
      <c r="BY35" s="897"/>
      <c r="BZ35" s="897"/>
      <c r="CA35" s="897"/>
      <c r="CB35" s="897"/>
      <c r="CC35" s="897"/>
      <c r="CD35" s="897"/>
      <c r="CE35" s="897"/>
      <c r="CF35" s="897"/>
      <c r="CG35" s="897"/>
      <c r="CH35" s="897"/>
      <c r="CI35" s="3185">
        <f t="shared" si="0"/>
        <v>0</v>
      </c>
    </row>
    <row r="36" spans="1:87">
      <c r="A36" s="1004" t="s">
        <v>3706</v>
      </c>
      <c r="B36" s="882"/>
      <c r="C36" s="225" t="s">
        <v>2373</v>
      </c>
      <c r="D36" s="908" t="s">
        <v>65</v>
      </c>
      <c r="E36" s="945" t="s">
        <v>2583</v>
      </c>
      <c r="F36" s="226">
        <v>0</v>
      </c>
      <c r="G36" s="226"/>
      <c r="H36" s="226">
        <v>0</v>
      </c>
      <c r="I36" s="226"/>
      <c r="J36" s="226"/>
      <c r="K36" s="226"/>
      <c r="L36" s="277"/>
      <c r="M36" s="297">
        <f>L36/100000</f>
        <v>0</v>
      </c>
      <c r="N36" s="277"/>
      <c r="O36" s="210">
        <f>M36*N36</f>
        <v>0</v>
      </c>
      <c r="P36" s="171"/>
      <c r="Q36" s="1003">
        <f>'Ab3. ASHA'!Q36</f>
        <v>0</v>
      </c>
      <c r="R36" s="3002">
        <f>'Ab3. ASHA'!R36</f>
        <v>0</v>
      </c>
      <c r="S36" s="1172"/>
      <c r="T36" s="1172"/>
      <c r="U36" s="1172"/>
      <c r="V36" s="1172"/>
      <c r="W36" s="1172"/>
      <c r="X36" s="1172"/>
      <c r="Y36" s="1172"/>
      <c r="Z36" s="1172"/>
      <c r="AA36" s="1172"/>
      <c r="AB36" s="1172"/>
      <c r="AC36" s="1172"/>
      <c r="AD36" s="1172"/>
      <c r="AE36" s="1172"/>
      <c r="AF36" s="1172"/>
      <c r="AG36" s="1172"/>
      <c r="AH36" s="1172"/>
      <c r="AI36" s="1172"/>
      <c r="AJ36" s="1172"/>
      <c r="AK36" s="1172"/>
      <c r="AL36" s="1172"/>
      <c r="AM36" s="1172"/>
      <c r="AN36" s="1172"/>
      <c r="AO36" s="1172"/>
      <c r="AP36" s="1172"/>
      <c r="AQ36" s="1172"/>
      <c r="AR36" s="1172"/>
      <c r="AS36" s="1172"/>
      <c r="AT36" s="1172"/>
      <c r="AU36" s="1172"/>
      <c r="AV36" s="1172"/>
      <c r="AW36" s="1172"/>
      <c r="AX36" s="1172"/>
      <c r="AY36" s="1172"/>
      <c r="AZ36" s="1172"/>
      <c r="BA36" s="1172"/>
      <c r="BB36" s="897"/>
      <c r="BC36" s="897"/>
      <c r="BD36" s="897"/>
      <c r="BE36" s="897"/>
      <c r="BF36" s="897"/>
      <c r="BG36" s="897"/>
      <c r="BH36" s="897"/>
      <c r="BI36" s="897"/>
      <c r="BJ36" s="897"/>
      <c r="BK36" s="897"/>
      <c r="BL36" s="897"/>
      <c r="BM36" s="897"/>
      <c r="BN36" s="897"/>
      <c r="BO36" s="897"/>
      <c r="BP36" s="897"/>
      <c r="BQ36" s="897"/>
      <c r="BR36" s="897"/>
      <c r="BS36" s="897"/>
      <c r="BT36" s="897"/>
      <c r="BU36" s="897"/>
      <c r="BV36" s="897"/>
      <c r="BW36" s="897"/>
      <c r="BX36" s="897"/>
      <c r="BY36" s="897"/>
      <c r="BZ36" s="897"/>
      <c r="CA36" s="897"/>
      <c r="CB36" s="897"/>
      <c r="CC36" s="897"/>
      <c r="CD36" s="897"/>
      <c r="CE36" s="897"/>
      <c r="CF36" s="897"/>
      <c r="CG36" s="897"/>
      <c r="CH36" s="897"/>
      <c r="CI36" s="3185">
        <f t="shared" si="0"/>
        <v>0</v>
      </c>
    </row>
    <row r="37" spans="1:87" s="1169" customFormat="1" ht="86.25" customHeight="1">
      <c r="A37" s="1004" t="s">
        <v>2675</v>
      </c>
      <c r="B37" s="1080" t="s">
        <v>201</v>
      </c>
      <c r="C37" s="1080" t="s">
        <v>202</v>
      </c>
      <c r="D37" s="2254" t="s">
        <v>85</v>
      </c>
      <c r="E37" s="2439" t="s">
        <v>2585</v>
      </c>
      <c r="F37" s="235">
        <v>7809</v>
      </c>
      <c r="G37" s="235"/>
      <c r="H37" s="235">
        <v>23.43</v>
      </c>
      <c r="I37" s="235">
        <v>2.29</v>
      </c>
      <c r="J37" s="235">
        <v>10</v>
      </c>
      <c r="K37" s="235"/>
      <c r="L37" s="283">
        <v>300</v>
      </c>
      <c r="M37" s="298">
        <f>L37/100000</f>
        <v>3.0000000000000001E-3</v>
      </c>
      <c r="N37" s="283">
        <v>7809</v>
      </c>
      <c r="O37" s="212">
        <f>M37*N37</f>
        <v>23.427</v>
      </c>
      <c r="P37" s="2452" t="s">
        <v>5206</v>
      </c>
      <c r="Q37" s="2257" t="str">
        <f>'Ab3. ASHA'!Q37</f>
        <v>Under NIDDCP, ASHA has to monitor the quality of iodated salt at household/ community level by testing Salt through Salt Testing Kit in 10 endemic Districts (as identified by GOI) of the State. As proposed by the State, Rs.23.427 lakhs fund is recommended for ASHA incentive @ Rs. 25/- per month (@ Rs.0.50 for one salt sample test, at least 50 samples are to be tested in a month) for 12 months for 10 endemic Districts (as identified by GOI).</v>
      </c>
      <c r="R37" s="3001">
        <f>'Ab3. ASHA'!R37</f>
        <v>23.427</v>
      </c>
      <c r="S37" s="1168"/>
      <c r="T37" s="1168"/>
      <c r="U37" s="1168"/>
      <c r="V37" s="1168"/>
      <c r="W37" s="1168"/>
      <c r="X37" s="1168"/>
      <c r="Y37" s="1168"/>
      <c r="Z37" s="1168"/>
      <c r="AA37" s="1168"/>
      <c r="AB37" s="1168"/>
      <c r="AC37" s="1168"/>
      <c r="AD37" s="1168"/>
      <c r="AE37" s="1168"/>
      <c r="AF37" s="1168"/>
      <c r="AG37" s="1168"/>
      <c r="AH37" s="1168"/>
      <c r="AI37" s="1168"/>
      <c r="AJ37" s="1168"/>
      <c r="AK37" s="1168"/>
      <c r="AL37" s="1168"/>
      <c r="AM37" s="1168"/>
      <c r="AN37" s="1168"/>
      <c r="AO37" s="1168"/>
      <c r="AP37" s="1168"/>
      <c r="AQ37" s="1168"/>
      <c r="AR37" s="1168"/>
      <c r="AS37" s="1168"/>
      <c r="AT37" s="1168"/>
      <c r="AU37" s="1168"/>
      <c r="AV37" s="1168"/>
      <c r="AW37" s="1168"/>
      <c r="AX37" s="1168"/>
      <c r="AY37" s="1168"/>
      <c r="AZ37" s="1168"/>
      <c r="BA37" s="1168"/>
      <c r="BB37" s="3185">
        <v>0</v>
      </c>
      <c r="BC37" s="3185">
        <v>1.5</v>
      </c>
      <c r="BD37" s="3185">
        <v>1.8</v>
      </c>
      <c r="BE37" s="3185">
        <v>1.6</v>
      </c>
      <c r="BF37" s="3185">
        <v>5.46</v>
      </c>
      <c r="BG37" s="3185">
        <v>0</v>
      </c>
      <c r="BH37" s="3185">
        <v>1.48</v>
      </c>
      <c r="BI37" s="3185">
        <v>0</v>
      </c>
      <c r="BJ37" s="3185">
        <v>3.75</v>
      </c>
      <c r="BK37" s="3185">
        <v>2.34</v>
      </c>
      <c r="BL37" s="3185">
        <v>1.84</v>
      </c>
      <c r="BM37" s="3185">
        <v>1.84</v>
      </c>
      <c r="BN37" s="3185">
        <v>1.82</v>
      </c>
      <c r="BO37" s="3185"/>
      <c r="BP37" s="3185"/>
      <c r="BQ37" s="3185"/>
      <c r="BR37" s="3185"/>
      <c r="BS37" s="3185"/>
      <c r="BT37" s="3185"/>
      <c r="BU37" s="3185"/>
      <c r="BV37" s="3185"/>
      <c r="BW37" s="3185"/>
      <c r="BX37" s="3185"/>
      <c r="BY37" s="3185"/>
      <c r="BZ37" s="3185"/>
      <c r="CA37" s="3185"/>
      <c r="CB37" s="3185"/>
      <c r="CC37" s="3185"/>
      <c r="CD37" s="3185"/>
      <c r="CE37" s="3185"/>
      <c r="CF37" s="3185"/>
      <c r="CG37" s="3185"/>
      <c r="CH37" s="3185"/>
      <c r="CI37" s="3185">
        <f t="shared" si="0"/>
        <v>23.43</v>
      </c>
    </row>
    <row r="38" spans="1:87">
      <c r="A38" s="3897"/>
      <c r="B38" s="3897"/>
      <c r="C38" s="3897"/>
      <c r="D38" s="1007" t="s">
        <v>4219</v>
      </c>
      <c r="E38" s="1151"/>
      <c r="F38" s="219"/>
      <c r="G38" s="219"/>
      <c r="H38" s="219"/>
      <c r="I38" s="219"/>
      <c r="J38" s="268"/>
      <c r="K38" s="219"/>
      <c r="L38" s="1216"/>
      <c r="M38" s="940"/>
      <c r="N38" s="257"/>
      <c r="O38" s="1155">
        <f>O39+O47+O51</f>
        <v>1.1850000000000001</v>
      </c>
      <c r="P38" s="1218"/>
      <c r="Q38" s="1156"/>
      <c r="R38" s="2993">
        <f>R39+R47+R51</f>
        <v>0.89</v>
      </c>
      <c r="S38" s="1172"/>
      <c r="T38" s="1172"/>
      <c r="U38" s="1172"/>
      <c r="V38" s="1172"/>
      <c r="W38" s="1172"/>
      <c r="X38" s="1172"/>
      <c r="Y38" s="1172"/>
      <c r="Z38" s="1172"/>
      <c r="AA38" s="1172"/>
      <c r="AB38" s="1172"/>
      <c r="AC38" s="1172"/>
      <c r="AD38" s="1172"/>
      <c r="AE38" s="1172"/>
      <c r="AF38" s="1172"/>
      <c r="AG38" s="1172"/>
      <c r="AH38" s="1172"/>
      <c r="AI38" s="1172"/>
      <c r="AJ38" s="1172"/>
      <c r="AK38" s="1172"/>
      <c r="AL38" s="1172"/>
      <c r="AM38" s="1172"/>
      <c r="AN38" s="1172"/>
      <c r="AO38" s="1172"/>
      <c r="AP38" s="1172"/>
      <c r="AQ38" s="1172"/>
      <c r="AR38" s="1172"/>
      <c r="AS38" s="1172"/>
      <c r="AT38" s="1172"/>
      <c r="AU38" s="1172"/>
      <c r="AV38" s="1172"/>
      <c r="AW38" s="1172"/>
      <c r="AX38" s="1172"/>
      <c r="AY38" s="1172"/>
      <c r="AZ38" s="1172"/>
      <c r="BA38" s="1172"/>
      <c r="BB38" s="2993"/>
      <c r="BC38" s="2993"/>
      <c r="BD38" s="2993"/>
      <c r="BE38" s="2993"/>
      <c r="BF38" s="2993"/>
      <c r="BG38" s="2993"/>
      <c r="BH38" s="2993"/>
      <c r="BI38" s="2993"/>
      <c r="BJ38" s="2993"/>
      <c r="BK38" s="2993"/>
      <c r="BL38" s="2993"/>
      <c r="BM38" s="2993"/>
      <c r="BN38" s="2993"/>
      <c r="BO38" s="2993"/>
      <c r="BP38" s="2993"/>
      <c r="BQ38" s="2993"/>
      <c r="BR38" s="2993"/>
      <c r="BS38" s="2993"/>
      <c r="BT38" s="2993"/>
      <c r="BU38" s="2993"/>
      <c r="BV38" s="2993"/>
      <c r="BW38" s="2993"/>
      <c r="BX38" s="2993"/>
      <c r="BY38" s="2993"/>
      <c r="BZ38" s="2993"/>
      <c r="CA38" s="2993"/>
      <c r="CB38" s="2993"/>
      <c r="CC38" s="2993"/>
      <c r="CD38" s="2993"/>
      <c r="CE38" s="2993"/>
      <c r="CF38" s="2993"/>
      <c r="CG38" s="2993"/>
      <c r="CH38" s="2993"/>
      <c r="CI38" s="3185"/>
    </row>
    <row r="39" spans="1:87">
      <c r="A39" s="1159" t="s">
        <v>168</v>
      </c>
      <c r="B39" s="1160"/>
      <c r="C39" s="1161" t="s">
        <v>4585</v>
      </c>
      <c r="D39" s="1007" t="s">
        <v>4219</v>
      </c>
      <c r="E39" s="1162"/>
      <c r="F39" s="301"/>
      <c r="G39" s="301"/>
      <c r="H39" s="301"/>
      <c r="I39" s="301"/>
      <c r="J39" s="301"/>
      <c r="K39" s="301"/>
      <c r="L39" s="301"/>
      <c r="M39" s="1164"/>
      <c r="N39" s="302"/>
      <c r="O39" s="303">
        <f>SUM(O40:O46)</f>
        <v>0.5</v>
      </c>
      <c r="P39" s="715"/>
      <c r="Q39" s="1167"/>
      <c r="R39" s="3000">
        <f>SUM(R40:R46)</f>
        <v>0.5</v>
      </c>
      <c r="S39" s="1172"/>
      <c r="T39" s="1172"/>
      <c r="U39" s="1172"/>
      <c r="V39" s="1172"/>
      <c r="W39" s="1172"/>
      <c r="X39" s="1172"/>
      <c r="Y39" s="1172"/>
      <c r="Z39" s="1172"/>
      <c r="AA39" s="1172"/>
      <c r="AB39" s="1172"/>
      <c r="AC39" s="1172"/>
      <c r="AD39" s="1172"/>
      <c r="AE39" s="1172"/>
      <c r="AF39" s="1172"/>
      <c r="AG39" s="1172"/>
      <c r="AH39" s="1172"/>
      <c r="AI39" s="1172"/>
      <c r="AJ39" s="1172"/>
      <c r="AK39" s="1172"/>
      <c r="AL39" s="1172"/>
      <c r="AM39" s="1172"/>
      <c r="AN39" s="1172"/>
      <c r="AO39" s="1172"/>
      <c r="AP39" s="1172"/>
      <c r="AQ39" s="1172"/>
      <c r="AR39" s="1172"/>
      <c r="AS39" s="1172"/>
      <c r="AT39" s="1172"/>
      <c r="AU39" s="1172"/>
      <c r="AV39" s="1172"/>
      <c r="AW39" s="1172"/>
      <c r="AX39" s="1172"/>
      <c r="AY39" s="1172"/>
      <c r="AZ39" s="1172"/>
      <c r="BA39" s="1172"/>
      <c r="BB39" s="3000"/>
      <c r="BC39" s="3000"/>
      <c r="BD39" s="3000"/>
      <c r="BE39" s="3000"/>
      <c r="BF39" s="3000"/>
      <c r="BG39" s="3000"/>
      <c r="BH39" s="3000"/>
      <c r="BI39" s="3000"/>
      <c r="BJ39" s="3000"/>
      <c r="BK39" s="3000"/>
      <c r="BL39" s="3000"/>
      <c r="BM39" s="3000"/>
      <c r="BN39" s="3000"/>
      <c r="BO39" s="3000"/>
      <c r="BP39" s="3000"/>
      <c r="BQ39" s="3000"/>
      <c r="BR39" s="3000"/>
      <c r="BS39" s="3000"/>
      <c r="BT39" s="3000"/>
      <c r="BU39" s="3000"/>
      <c r="BV39" s="3000"/>
      <c r="BW39" s="3000"/>
      <c r="BX39" s="3000"/>
      <c r="BY39" s="3000"/>
      <c r="BZ39" s="3000"/>
      <c r="CA39" s="3000"/>
      <c r="CB39" s="3000"/>
      <c r="CC39" s="3000"/>
      <c r="CD39" s="3000"/>
      <c r="CE39" s="3000"/>
      <c r="CF39" s="3000"/>
      <c r="CG39" s="3000"/>
      <c r="CH39" s="3000"/>
      <c r="CI39" s="3185"/>
    </row>
    <row r="40" spans="1:87" s="1169" customFormat="1" ht="30">
      <c r="A40" s="1004" t="s">
        <v>2668</v>
      </c>
      <c r="B40" s="233" t="s">
        <v>204</v>
      </c>
      <c r="C40" s="233" t="s">
        <v>4302</v>
      </c>
      <c r="D40" s="2254" t="s">
        <v>4219</v>
      </c>
      <c r="E40" s="2543" t="s">
        <v>4713</v>
      </c>
      <c r="F40" s="2544">
        <v>0</v>
      </c>
      <c r="G40" s="1220"/>
      <c r="H40" s="232">
        <v>0</v>
      </c>
      <c r="I40" s="232"/>
      <c r="J40" s="230"/>
      <c r="K40" s="230"/>
      <c r="L40" s="2545">
        <v>5</v>
      </c>
      <c r="M40" s="298">
        <f t="shared" ref="M40:M46" si="6">L40/100000</f>
        <v>5.0000000000000002E-5</v>
      </c>
      <c r="N40" s="2545">
        <v>10000</v>
      </c>
      <c r="O40" s="212">
        <f t="shared" ref="O40:O46" si="7">M40*N40</f>
        <v>0.5</v>
      </c>
      <c r="P40" s="2256"/>
      <c r="Q40" s="2257" t="str">
        <f>'Ab3. ASHA'!Q39</f>
        <v>Activity Recommended</v>
      </c>
      <c r="R40" s="3001">
        <f>'Ab3. ASHA'!R39</f>
        <v>0.5</v>
      </c>
      <c r="S40" s="1168"/>
      <c r="T40" s="1168"/>
      <c r="U40" s="1168"/>
      <c r="V40" s="1168"/>
      <c r="W40" s="1168"/>
      <c r="X40" s="1168"/>
      <c r="Y40" s="1168"/>
      <c r="Z40" s="1168"/>
      <c r="AA40" s="1168"/>
      <c r="AB40" s="1168"/>
      <c r="AC40" s="1168"/>
      <c r="AD40" s="1168"/>
      <c r="AE40" s="1168"/>
      <c r="AF40" s="1168"/>
      <c r="AG40" s="1168"/>
      <c r="AH40" s="1168"/>
      <c r="AI40" s="1168"/>
      <c r="AJ40" s="1168"/>
      <c r="AK40" s="1168"/>
      <c r="AL40" s="1168"/>
      <c r="AM40" s="1168"/>
      <c r="AN40" s="1168"/>
      <c r="AO40" s="1168"/>
      <c r="AP40" s="1168"/>
      <c r="AQ40" s="1168"/>
      <c r="AR40" s="1168"/>
      <c r="AS40" s="1168"/>
      <c r="AT40" s="1168"/>
      <c r="AU40" s="1168"/>
      <c r="AV40" s="1168"/>
      <c r="AW40" s="1168"/>
      <c r="AX40" s="1168"/>
      <c r="AY40" s="1168"/>
      <c r="AZ40" s="1168"/>
      <c r="BA40" s="1168"/>
      <c r="BB40" s="3185"/>
      <c r="BC40" s="3185">
        <v>0.05</v>
      </c>
      <c r="BD40" s="3185">
        <v>0.02</v>
      </c>
      <c r="BE40" s="3185">
        <v>0.05</v>
      </c>
      <c r="BF40" s="3185">
        <v>0.08</v>
      </c>
      <c r="BG40" s="3185">
        <v>0</v>
      </c>
      <c r="BH40" s="3185">
        <v>0.02</v>
      </c>
      <c r="BI40" s="3185">
        <v>0</v>
      </c>
      <c r="BJ40" s="3185">
        <v>0.08</v>
      </c>
      <c r="BK40" s="3185">
        <v>0.02</v>
      </c>
      <c r="BL40" s="3185">
        <v>0.06</v>
      </c>
      <c r="BM40" s="3185">
        <v>0.06</v>
      </c>
      <c r="BN40" s="3185">
        <v>0.06</v>
      </c>
      <c r="BO40" s="3185"/>
      <c r="BP40" s="3185"/>
      <c r="BQ40" s="3185"/>
      <c r="BR40" s="3185"/>
      <c r="BS40" s="3185"/>
      <c r="BT40" s="3185"/>
      <c r="BU40" s="3185"/>
      <c r="BV40" s="3185"/>
      <c r="BW40" s="3185"/>
      <c r="BX40" s="3185"/>
      <c r="BY40" s="3185"/>
      <c r="BZ40" s="3185"/>
      <c r="CA40" s="3185"/>
      <c r="CB40" s="3185"/>
      <c r="CC40" s="3185"/>
      <c r="CD40" s="3185"/>
      <c r="CE40" s="3185"/>
      <c r="CF40" s="3185"/>
      <c r="CG40" s="3185"/>
      <c r="CH40" s="3185"/>
      <c r="CI40" s="3185">
        <f t="shared" si="0"/>
        <v>0.5</v>
      </c>
    </row>
    <row r="41" spans="1:87" ht="30">
      <c r="A41" s="431" t="s">
        <v>2669</v>
      </c>
      <c r="B41" s="225" t="s">
        <v>205</v>
      </c>
      <c r="C41" s="225" t="s">
        <v>206</v>
      </c>
      <c r="D41" s="1007" t="s">
        <v>4219</v>
      </c>
      <c r="E41" s="1178" t="s">
        <v>4709</v>
      </c>
      <c r="F41" s="226">
        <v>0</v>
      </c>
      <c r="G41" s="2206"/>
      <c r="H41" s="226">
        <v>0</v>
      </c>
      <c r="I41" s="226"/>
      <c r="J41" s="226"/>
      <c r="K41" s="226"/>
      <c r="L41" s="277"/>
      <c r="M41" s="297">
        <f t="shared" si="6"/>
        <v>0</v>
      </c>
      <c r="N41" s="277"/>
      <c r="O41" s="210">
        <f t="shared" si="7"/>
        <v>0</v>
      </c>
      <c r="P41" s="171"/>
      <c r="Q41" s="1003">
        <f>'Ab3. ASHA'!Q40</f>
        <v>0</v>
      </c>
      <c r="R41" s="3002">
        <f>'Ab3. ASHA'!R40</f>
        <v>0</v>
      </c>
      <c r="S41" s="1172"/>
      <c r="T41" s="1172"/>
      <c r="U41" s="1172"/>
      <c r="V41" s="1172"/>
      <c r="W41" s="1172"/>
      <c r="X41" s="1172"/>
      <c r="Y41" s="1172"/>
      <c r="Z41" s="1172"/>
      <c r="AA41" s="1172"/>
      <c r="AB41" s="1172"/>
      <c r="AC41" s="1172"/>
      <c r="AD41" s="1172"/>
      <c r="AE41" s="1172"/>
      <c r="AF41" s="1172"/>
      <c r="AG41" s="1172"/>
      <c r="AH41" s="1172"/>
      <c r="AI41" s="1172"/>
      <c r="AJ41" s="1172"/>
      <c r="AK41" s="1172"/>
      <c r="AL41" s="1172"/>
      <c r="AM41" s="1172"/>
      <c r="AN41" s="1172"/>
      <c r="AO41" s="1172"/>
      <c r="AP41" s="1172"/>
      <c r="AQ41" s="1172"/>
      <c r="AR41" s="1172"/>
      <c r="AS41" s="1172"/>
      <c r="AT41" s="1172"/>
      <c r="AU41" s="1172"/>
      <c r="AV41" s="1172"/>
      <c r="AW41" s="1172"/>
      <c r="AX41" s="1172"/>
      <c r="AY41" s="1172"/>
      <c r="AZ41" s="1172"/>
      <c r="BA41" s="1172"/>
      <c r="BB41" s="897"/>
      <c r="BC41" s="897"/>
      <c r="BD41" s="897"/>
      <c r="BE41" s="897"/>
      <c r="BF41" s="897"/>
      <c r="BG41" s="897"/>
      <c r="BH41" s="897"/>
      <c r="BI41" s="897"/>
      <c r="BJ41" s="897"/>
      <c r="BK41" s="897"/>
      <c r="BL41" s="897"/>
      <c r="BM41" s="897"/>
      <c r="BN41" s="897"/>
      <c r="BO41" s="897"/>
      <c r="BP41" s="897"/>
      <c r="BQ41" s="897"/>
      <c r="BR41" s="897"/>
      <c r="BS41" s="897"/>
      <c r="BT41" s="897"/>
      <c r="BU41" s="897"/>
      <c r="BV41" s="897"/>
      <c r="BW41" s="897"/>
      <c r="BX41" s="897"/>
      <c r="BY41" s="897"/>
      <c r="BZ41" s="897"/>
      <c r="CA41" s="897"/>
      <c r="CB41" s="897"/>
      <c r="CC41" s="897"/>
      <c r="CD41" s="897"/>
      <c r="CE41" s="897"/>
      <c r="CF41" s="897"/>
      <c r="CG41" s="897"/>
      <c r="CH41" s="897"/>
      <c r="CI41" s="3185">
        <f t="shared" si="0"/>
        <v>0</v>
      </c>
    </row>
    <row r="42" spans="1:87">
      <c r="A42" s="431" t="s">
        <v>2670</v>
      </c>
      <c r="B42" s="225" t="s">
        <v>207</v>
      </c>
      <c r="C42" s="225" t="s">
        <v>208</v>
      </c>
      <c r="D42" s="1007" t="s">
        <v>4219</v>
      </c>
      <c r="E42" s="945" t="s">
        <v>4710</v>
      </c>
      <c r="F42" s="226">
        <v>0</v>
      </c>
      <c r="G42" s="2206"/>
      <c r="H42" s="226">
        <v>0</v>
      </c>
      <c r="I42" s="226"/>
      <c r="J42" s="226"/>
      <c r="K42" s="226"/>
      <c r="L42" s="277"/>
      <c r="M42" s="297">
        <f t="shared" si="6"/>
        <v>0</v>
      </c>
      <c r="N42" s="277"/>
      <c r="O42" s="210">
        <f t="shared" si="7"/>
        <v>0</v>
      </c>
      <c r="P42" s="171"/>
      <c r="Q42" s="1003">
        <f>'Ab3. ASHA'!Q41</f>
        <v>0</v>
      </c>
      <c r="R42" s="3002">
        <f>'Ab3. ASHA'!R41</f>
        <v>0</v>
      </c>
      <c r="S42" s="1172"/>
      <c r="T42" s="1172"/>
      <c r="U42" s="1172"/>
      <c r="V42" s="1172"/>
      <c r="W42" s="1172"/>
      <c r="X42" s="1172"/>
      <c r="Y42" s="1172"/>
      <c r="Z42" s="1172"/>
      <c r="AA42" s="1172"/>
      <c r="AB42" s="1172"/>
      <c r="AC42" s="1172"/>
      <c r="AD42" s="1172"/>
      <c r="AE42" s="1172"/>
      <c r="AF42" s="1172"/>
      <c r="AG42" s="1172"/>
      <c r="AH42" s="1172"/>
      <c r="AI42" s="1172"/>
      <c r="AJ42" s="1172"/>
      <c r="AK42" s="1172"/>
      <c r="AL42" s="1172"/>
      <c r="AM42" s="1172"/>
      <c r="AN42" s="1172"/>
      <c r="AO42" s="1172"/>
      <c r="AP42" s="1172"/>
      <c r="AQ42" s="1172"/>
      <c r="AR42" s="1172"/>
      <c r="AS42" s="1172"/>
      <c r="AT42" s="1172"/>
      <c r="AU42" s="1172"/>
      <c r="AV42" s="1172"/>
      <c r="AW42" s="1172"/>
      <c r="AX42" s="1172"/>
      <c r="AY42" s="1172"/>
      <c r="AZ42" s="1172"/>
      <c r="BA42" s="1172"/>
      <c r="BB42" s="897"/>
      <c r="BC42" s="897"/>
      <c r="BD42" s="897"/>
      <c r="BE42" s="897"/>
      <c r="BF42" s="897"/>
      <c r="BG42" s="897"/>
      <c r="BH42" s="897"/>
      <c r="BI42" s="897"/>
      <c r="BJ42" s="897"/>
      <c r="BK42" s="897"/>
      <c r="BL42" s="897"/>
      <c r="BM42" s="897"/>
      <c r="BN42" s="897"/>
      <c r="BO42" s="897"/>
      <c r="BP42" s="897"/>
      <c r="BQ42" s="897"/>
      <c r="BR42" s="897"/>
      <c r="BS42" s="897"/>
      <c r="BT42" s="897"/>
      <c r="BU42" s="897"/>
      <c r="BV42" s="897"/>
      <c r="BW42" s="897"/>
      <c r="BX42" s="897"/>
      <c r="BY42" s="897"/>
      <c r="BZ42" s="897"/>
      <c r="CA42" s="897"/>
      <c r="CB42" s="897"/>
      <c r="CC42" s="897"/>
      <c r="CD42" s="897"/>
      <c r="CE42" s="897"/>
      <c r="CF42" s="897"/>
      <c r="CG42" s="897"/>
      <c r="CH42" s="897"/>
      <c r="CI42" s="3185">
        <f t="shared" si="0"/>
        <v>0</v>
      </c>
    </row>
    <row r="43" spans="1:87" ht="30">
      <c r="A43" s="431" t="s">
        <v>2671</v>
      </c>
      <c r="B43" s="225" t="s">
        <v>209</v>
      </c>
      <c r="C43" s="225" t="s">
        <v>210</v>
      </c>
      <c r="D43" s="1007" t="s">
        <v>4219</v>
      </c>
      <c r="E43" s="945" t="s">
        <v>4710</v>
      </c>
      <c r="F43" s="226">
        <v>10000</v>
      </c>
      <c r="G43" s="2206"/>
      <c r="H43" s="226">
        <v>1</v>
      </c>
      <c r="I43" s="226"/>
      <c r="J43" s="226">
        <v>0.5</v>
      </c>
      <c r="K43" s="226"/>
      <c r="L43" s="277"/>
      <c r="M43" s="297">
        <f t="shared" si="6"/>
        <v>0</v>
      </c>
      <c r="N43" s="277"/>
      <c r="O43" s="210">
        <f t="shared" si="7"/>
        <v>0</v>
      </c>
      <c r="P43" s="171"/>
      <c r="Q43" s="1003">
        <f>'Ab3. ASHA'!Q42</f>
        <v>0</v>
      </c>
      <c r="R43" s="3002">
        <f>'Ab3. ASHA'!R42</f>
        <v>0</v>
      </c>
      <c r="S43" s="1172"/>
      <c r="T43" s="1172"/>
      <c r="U43" s="1172"/>
      <c r="V43" s="1172"/>
      <c r="W43" s="1172"/>
      <c r="X43" s="1172"/>
      <c r="Y43" s="1172"/>
      <c r="Z43" s="1172"/>
      <c r="AA43" s="1172"/>
      <c r="AB43" s="1172"/>
      <c r="AC43" s="1172"/>
      <c r="AD43" s="1172"/>
      <c r="AE43" s="1172"/>
      <c r="AF43" s="1172"/>
      <c r="AG43" s="1172"/>
      <c r="AH43" s="1172"/>
      <c r="AI43" s="1172"/>
      <c r="AJ43" s="1172"/>
      <c r="AK43" s="1172"/>
      <c r="AL43" s="1172"/>
      <c r="AM43" s="1172"/>
      <c r="AN43" s="1172"/>
      <c r="AO43" s="1172"/>
      <c r="AP43" s="1172"/>
      <c r="AQ43" s="1172"/>
      <c r="AR43" s="1172"/>
      <c r="AS43" s="1172"/>
      <c r="AT43" s="1172"/>
      <c r="AU43" s="1172"/>
      <c r="AV43" s="1172"/>
      <c r="AW43" s="1172"/>
      <c r="AX43" s="1172"/>
      <c r="AY43" s="1172"/>
      <c r="AZ43" s="1172"/>
      <c r="BA43" s="1172"/>
      <c r="BB43" s="897"/>
      <c r="BC43" s="897"/>
      <c r="BD43" s="897"/>
      <c r="BE43" s="897"/>
      <c r="BF43" s="897"/>
      <c r="BG43" s="897"/>
      <c r="BH43" s="897"/>
      <c r="BI43" s="897"/>
      <c r="BJ43" s="897"/>
      <c r="BK43" s="897"/>
      <c r="BL43" s="897"/>
      <c r="BM43" s="897"/>
      <c r="BN43" s="897"/>
      <c r="BO43" s="897"/>
      <c r="BP43" s="897"/>
      <c r="BQ43" s="897"/>
      <c r="BR43" s="897"/>
      <c r="BS43" s="897"/>
      <c r="BT43" s="897"/>
      <c r="BU43" s="897"/>
      <c r="BV43" s="897"/>
      <c r="BW43" s="897"/>
      <c r="BX43" s="897"/>
      <c r="BY43" s="897"/>
      <c r="BZ43" s="897"/>
      <c r="CA43" s="897"/>
      <c r="CB43" s="897"/>
      <c r="CC43" s="897"/>
      <c r="CD43" s="897"/>
      <c r="CE43" s="897"/>
      <c r="CF43" s="897"/>
      <c r="CG43" s="897"/>
      <c r="CH43" s="897"/>
      <c r="CI43" s="3185">
        <f t="shared" si="0"/>
        <v>0</v>
      </c>
    </row>
    <row r="44" spans="1:87" ht="30">
      <c r="A44" s="431" t="s">
        <v>2672</v>
      </c>
      <c r="B44" s="225" t="s">
        <v>211</v>
      </c>
      <c r="C44" s="225" t="s">
        <v>212</v>
      </c>
      <c r="D44" s="1007" t="s">
        <v>4219</v>
      </c>
      <c r="E44" s="945" t="s">
        <v>4711</v>
      </c>
      <c r="F44" s="2205">
        <v>0</v>
      </c>
      <c r="G44" s="2206"/>
      <c r="H44" s="2205">
        <v>0</v>
      </c>
      <c r="I44" s="272"/>
      <c r="J44" s="272"/>
      <c r="K44" s="272"/>
      <c r="L44" s="277"/>
      <c r="M44" s="297">
        <f t="shared" si="6"/>
        <v>0</v>
      </c>
      <c r="N44" s="277"/>
      <c r="O44" s="210">
        <f t="shared" si="7"/>
        <v>0</v>
      </c>
      <c r="P44" s="171"/>
      <c r="Q44" s="1003">
        <f>'Ab3. ASHA'!Q43</f>
        <v>0</v>
      </c>
      <c r="R44" s="3002">
        <f>'Ab3. ASHA'!R43</f>
        <v>0</v>
      </c>
      <c r="S44" s="1172"/>
      <c r="T44" s="1172"/>
      <c r="U44" s="1172"/>
      <c r="V44" s="1172"/>
      <c r="W44" s="1172"/>
      <c r="X44" s="1172"/>
      <c r="Y44" s="1172"/>
      <c r="Z44" s="1172"/>
      <c r="AA44" s="1172"/>
      <c r="AB44" s="1172"/>
      <c r="AC44" s="1172"/>
      <c r="AD44" s="1172"/>
      <c r="AE44" s="1172"/>
      <c r="AF44" s="1172"/>
      <c r="AG44" s="1172"/>
      <c r="AH44" s="1172"/>
      <c r="AI44" s="1172"/>
      <c r="AJ44" s="1172"/>
      <c r="AK44" s="1172"/>
      <c r="AL44" s="1172"/>
      <c r="AM44" s="1172"/>
      <c r="AN44" s="1172"/>
      <c r="AO44" s="1172"/>
      <c r="AP44" s="1172"/>
      <c r="AQ44" s="1172"/>
      <c r="AR44" s="1172"/>
      <c r="AS44" s="1172"/>
      <c r="AT44" s="1172"/>
      <c r="AU44" s="1172"/>
      <c r="AV44" s="1172"/>
      <c r="AW44" s="1172"/>
      <c r="AX44" s="1172"/>
      <c r="AY44" s="1172"/>
      <c r="AZ44" s="1172"/>
      <c r="BA44" s="1172"/>
      <c r="BB44" s="897"/>
      <c r="BC44" s="897"/>
      <c r="BD44" s="897"/>
      <c r="BE44" s="897"/>
      <c r="BF44" s="897"/>
      <c r="BG44" s="897"/>
      <c r="BH44" s="897"/>
      <c r="BI44" s="897"/>
      <c r="BJ44" s="897"/>
      <c r="BK44" s="897"/>
      <c r="BL44" s="897"/>
      <c r="BM44" s="897"/>
      <c r="BN44" s="897"/>
      <c r="BO44" s="897"/>
      <c r="BP44" s="897"/>
      <c r="BQ44" s="897"/>
      <c r="BR44" s="897"/>
      <c r="BS44" s="897"/>
      <c r="BT44" s="897"/>
      <c r="BU44" s="897"/>
      <c r="BV44" s="897"/>
      <c r="BW44" s="897"/>
      <c r="BX44" s="897"/>
      <c r="BY44" s="897"/>
      <c r="BZ44" s="897"/>
      <c r="CA44" s="897"/>
      <c r="CB44" s="897"/>
      <c r="CC44" s="897"/>
      <c r="CD44" s="897"/>
      <c r="CE44" s="897"/>
      <c r="CF44" s="897"/>
      <c r="CG44" s="897"/>
      <c r="CH44" s="897"/>
      <c r="CI44" s="3185">
        <f t="shared" si="0"/>
        <v>0</v>
      </c>
    </row>
    <row r="45" spans="1:87" ht="30">
      <c r="A45" s="431" t="s">
        <v>2673</v>
      </c>
      <c r="B45" s="225" t="s">
        <v>213</v>
      </c>
      <c r="C45" s="225" t="s">
        <v>3948</v>
      </c>
      <c r="D45" s="1007" t="s">
        <v>4219</v>
      </c>
      <c r="E45" s="945" t="s">
        <v>4711</v>
      </c>
      <c r="F45" s="226">
        <v>0</v>
      </c>
      <c r="G45" s="2206"/>
      <c r="H45" s="226">
        <v>0</v>
      </c>
      <c r="I45" s="226"/>
      <c r="J45" s="226"/>
      <c r="K45" s="226"/>
      <c r="L45" s="277"/>
      <c r="M45" s="297">
        <f t="shared" si="6"/>
        <v>0</v>
      </c>
      <c r="N45" s="277"/>
      <c r="O45" s="210">
        <f t="shared" si="7"/>
        <v>0</v>
      </c>
      <c r="P45" s="171"/>
      <c r="Q45" s="1003">
        <f>'Ab3. ASHA'!Q44</f>
        <v>0</v>
      </c>
      <c r="R45" s="3002">
        <f>'Ab3. ASHA'!R44</f>
        <v>0</v>
      </c>
      <c r="S45" s="1172"/>
      <c r="T45" s="1172"/>
      <c r="U45" s="1172"/>
      <c r="V45" s="1172"/>
      <c r="W45" s="1172"/>
      <c r="X45" s="1172"/>
      <c r="Y45" s="1172"/>
      <c r="Z45" s="1172"/>
      <c r="AA45" s="1172"/>
      <c r="AB45" s="1172"/>
      <c r="AC45" s="1172"/>
      <c r="AD45" s="1172"/>
      <c r="AE45" s="1172"/>
      <c r="AF45" s="1172"/>
      <c r="AG45" s="1172"/>
      <c r="AH45" s="1172"/>
      <c r="AI45" s="1172"/>
      <c r="AJ45" s="1172"/>
      <c r="AK45" s="1172"/>
      <c r="AL45" s="1172"/>
      <c r="AM45" s="1172"/>
      <c r="AN45" s="1172"/>
      <c r="AO45" s="1172"/>
      <c r="AP45" s="1172"/>
      <c r="AQ45" s="1172"/>
      <c r="AR45" s="1172"/>
      <c r="AS45" s="1172"/>
      <c r="AT45" s="1172"/>
      <c r="AU45" s="1172"/>
      <c r="AV45" s="1172"/>
      <c r="AW45" s="1172"/>
      <c r="AX45" s="1172"/>
      <c r="AY45" s="1172"/>
      <c r="AZ45" s="1172"/>
      <c r="BA45" s="1172"/>
      <c r="BB45" s="897"/>
      <c r="BC45" s="897"/>
      <c r="BD45" s="897"/>
      <c r="BE45" s="897"/>
      <c r="BF45" s="897"/>
      <c r="BG45" s="897"/>
      <c r="BH45" s="897"/>
      <c r="BI45" s="897"/>
      <c r="BJ45" s="897"/>
      <c r="BK45" s="897"/>
      <c r="BL45" s="897"/>
      <c r="BM45" s="897"/>
      <c r="BN45" s="897"/>
      <c r="BO45" s="897"/>
      <c r="BP45" s="897"/>
      <c r="BQ45" s="897"/>
      <c r="BR45" s="897"/>
      <c r="BS45" s="897"/>
      <c r="BT45" s="897"/>
      <c r="BU45" s="897"/>
      <c r="BV45" s="897"/>
      <c r="BW45" s="897"/>
      <c r="BX45" s="897"/>
      <c r="BY45" s="897"/>
      <c r="BZ45" s="897"/>
      <c r="CA45" s="897"/>
      <c r="CB45" s="897"/>
      <c r="CC45" s="897"/>
      <c r="CD45" s="897"/>
      <c r="CE45" s="897"/>
      <c r="CF45" s="897"/>
      <c r="CG45" s="897"/>
      <c r="CH45" s="897"/>
      <c r="CI45" s="3185">
        <f t="shared" si="0"/>
        <v>0</v>
      </c>
    </row>
    <row r="46" spans="1:87" ht="45">
      <c r="A46" s="1004" t="s">
        <v>2674</v>
      </c>
      <c r="B46" s="233"/>
      <c r="C46" s="233" t="s">
        <v>4594</v>
      </c>
      <c r="D46" s="1007" t="s">
        <v>4219</v>
      </c>
      <c r="E46" s="1019" t="s">
        <v>4712</v>
      </c>
      <c r="F46" s="235">
        <v>0</v>
      </c>
      <c r="G46" s="2206"/>
      <c r="H46" s="235">
        <v>0</v>
      </c>
      <c r="I46" s="235"/>
      <c r="J46" s="235"/>
      <c r="K46" s="235"/>
      <c r="L46" s="277"/>
      <c r="M46" s="297">
        <f t="shared" si="6"/>
        <v>0</v>
      </c>
      <c r="N46" s="277"/>
      <c r="O46" s="212">
        <f t="shared" si="7"/>
        <v>0</v>
      </c>
      <c r="P46" s="171"/>
      <c r="Q46" s="1003">
        <f>'Ab3. ASHA'!Q45</f>
        <v>0</v>
      </c>
      <c r="R46" s="3002">
        <f>'Ab3. ASHA'!R45</f>
        <v>0</v>
      </c>
      <c r="S46" s="1172"/>
      <c r="T46" s="1172"/>
      <c r="U46" s="1172"/>
      <c r="V46" s="1172"/>
      <c r="W46" s="1172"/>
      <c r="X46" s="1172"/>
      <c r="Y46" s="1172"/>
      <c r="Z46" s="1172"/>
      <c r="AA46" s="1172"/>
      <c r="AB46" s="1172"/>
      <c r="AC46" s="1172"/>
      <c r="AD46" s="1172"/>
      <c r="AE46" s="1172"/>
      <c r="AF46" s="1172"/>
      <c r="AG46" s="1172"/>
      <c r="AH46" s="1172"/>
      <c r="AI46" s="1172"/>
      <c r="AJ46" s="1172"/>
      <c r="AK46" s="1172"/>
      <c r="AL46" s="1172"/>
      <c r="AM46" s="1172"/>
      <c r="AN46" s="1172"/>
      <c r="AO46" s="1172"/>
      <c r="AP46" s="1172"/>
      <c r="AQ46" s="1172"/>
      <c r="AR46" s="1172"/>
      <c r="AS46" s="1172"/>
      <c r="AT46" s="1172"/>
      <c r="AU46" s="1172"/>
      <c r="AV46" s="1172"/>
      <c r="AW46" s="1172"/>
      <c r="AX46" s="1172"/>
      <c r="AY46" s="1172"/>
      <c r="AZ46" s="1172"/>
      <c r="BA46" s="1172"/>
      <c r="BB46" s="897"/>
      <c r="BC46" s="897"/>
      <c r="BD46" s="897"/>
      <c r="BE46" s="897"/>
      <c r="BF46" s="897"/>
      <c r="BG46" s="897"/>
      <c r="BH46" s="897"/>
      <c r="BI46" s="897"/>
      <c r="BJ46" s="897"/>
      <c r="BK46" s="897"/>
      <c r="BL46" s="897"/>
      <c r="BM46" s="897"/>
      <c r="BN46" s="897"/>
      <c r="BO46" s="897"/>
      <c r="BP46" s="897"/>
      <c r="BQ46" s="897"/>
      <c r="BR46" s="897"/>
      <c r="BS46" s="897"/>
      <c r="BT46" s="897"/>
      <c r="BU46" s="897"/>
      <c r="BV46" s="897"/>
      <c r="BW46" s="897"/>
      <c r="BX46" s="897"/>
      <c r="BY46" s="897"/>
      <c r="BZ46" s="897"/>
      <c r="CA46" s="897"/>
      <c r="CB46" s="897"/>
      <c r="CC46" s="897"/>
      <c r="CD46" s="897"/>
      <c r="CE46" s="897"/>
      <c r="CF46" s="897"/>
      <c r="CG46" s="897"/>
      <c r="CH46" s="897"/>
      <c r="CI46" s="3185">
        <f t="shared" si="0"/>
        <v>0</v>
      </c>
    </row>
    <row r="47" spans="1:87">
      <c r="A47" s="1180" t="s">
        <v>3209</v>
      </c>
      <c r="B47" s="1181" t="s">
        <v>214</v>
      </c>
      <c r="C47" s="1181" t="s">
        <v>4360</v>
      </c>
      <c r="D47" s="1007" t="s">
        <v>4219</v>
      </c>
      <c r="E47" s="1165"/>
      <c r="F47" s="304"/>
      <c r="G47" s="304"/>
      <c r="H47" s="304"/>
      <c r="I47" s="304"/>
      <c r="J47" s="304"/>
      <c r="K47" s="304"/>
      <c r="L47" s="304"/>
      <c r="M47" s="303"/>
      <c r="N47" s="302"/>
      <c r="O47" s="303">
        <f>SUM(O48:O50)</f>
        <v>0.68500000000000005</v>
      </c>
      <c r="P47" s="716"/>
      <c r="Q47" s="1182"/>
      <c r="R47" s="2865">
        <f>SUM(R48:R50)</f>
        <v>0.39</v>
      </c>
      <c r="S47" s="1172"/>
      <c r="T47" s="1172"/>
      <c r="U47" s="1172"/>
      <c r="V47" s="1172"/>
      <c r="W47" s="1172"/>
      <c r="X47" s="1172"/>
      <c r="Y47" s="1172"/>
      <c r="Z47" s="1172"/>
      <c r="AA47" s="1172"/>
      <c r="AB47" s="1172"/>
      <c r="AC47" s="1172"/>
      <c r="AD47" s="1172"/>
      <c r="AE47" s="1172"/>
      <c r="AF47" s="1172"/>
      <c r="AG47" s="1172"/>
      <c r="AH47" s="1172"/>
      <c r="AI47" s="1172"/>
      <c r="AJ47" s="1172"/>
      <c r="AK47" s="1172"/>
      <c r="AL47" s="1172"/>
      <c r="AM47" s="1172"/>
      <c r="AN47" s="1172"/>
      <c r="AO47" s="1172"/>
      <c r="AP47" s="1172"/>
      <c r="AQ47" s="1172"/>
      <c r="AR47" s="1172"/>
      <c r="AS47" s="1172"/>
      <c r="AT47" s="1172"/>
      <c r="AU47" s="1172"/>
      <c r="AV47" s="1172"/>
      <c r="AW47" s="1172"/>
      <c r="AX47" s="1172"/>
      <c r="AY47" s="1172"/>
      <c r="AZ47" s="1172"/>
      <c r="BA47" s="1172"/>
      <c r="BB47" s="2865"/>
      <c r="BC47" s="2865"/>
      <c r="BD47" s="2865"/>
      <c r="BE47" s="2865"/>
      <c r="BF47" s="2865"/>
      <c r="BG47" s="2865"/>
      <c r="BH47" s="2865"/>
      <c r="BI47" s="2865"/>
      <c r="BJ47" s="2865"/>
      <c r="BK47" s="2865"/>
      <c r="BL47" s="2865"/>
      <c r="BM47" s="2865"/>
      <c r="BN47" s="2865"/>
      <c r="BO47" s="2865"/>
      <c r="BP47" s="2865"/>
      <c r="BQ47" s="2865"/>
      <c r="BR47" s="2865"/>
      <c r="BS47" s="2865"/>
      <c r="BT47" s="2865"/>
      <c r="BU47" s="2865"/>
      <c r="BV47" s="2865"/>
      <c r="BW47" s="2865"/>
      <c r="BX47" s="2865"/>
      <c r="BY47" s="2865"/>
      <c r="BZ47" s="2865"/>
      <c r="CA47" s="2865"/>
      <c r="CB47" s="2865"/>
      <c r="CC47" s="2865"/>
      <c r="CD47" s="2865"/>
      <c r="CE47" s="2865"/>
      <c r="CF47" s="2865"/>
      <c r="CG47" s="2865"/>
      <c r="CH47" s="2865"/>
      <c r="CI47" s="3185"/>
    </row>
    <row r="48" spans="1:87" s="1169" customFormat="1" ht="60">
      <c r="A48" s="1004" t="s">
        <v>4444</v>
      </c>
      <c r="B48" s="233" t="s">
        <v>215</v>
      </c>
      <c r="C48" s="1179" t="s">
        <v>4338</v>
      </c>
      <c r="D48" s="2254" t="s">
        <v>4219</v>
      </c>
      <c r="E48" s="2326" t="s">
        <v>2586</v>
      </c>
      <c r="F48" s="2347">
        <v>50</v>
      </c>
      <c r="G48" s="2347">
        <v>13</v>
      </c>
      <c r="H48" s="2348">
        <v>0.13</v>
      </c>
      <c r="I48" s="2347">
        <v>0</v>
      </c>
      <c r="J48" s="2347">
        <v>0.13</v>
      </c>
      <c r="K48" s="2347">
        <v>0</v>
      </c>
      <c r="L48" s="2349">
        <v>250</v>
      </c>
      <c r="M48" s="298">
        <f>L48/100000</f>
        <v>2.5000000000000001E-3</v>
      </c>
      <c r="N48" s="2349">
        <v>50</v>
      </c>
      <c r="O48" s="212">
        <f>M48*N48</f>
        <v>0.125</v>
      </c>
      <c r="P48" s="2256" t="s">
        <v>5198</v>
      </c>
      <c r="Q48" s="2257" t="str">
        <f>'Ab3. ASHA'!Q47</f>
        <v xml:space="preserve">Recommended </v>
      </c>
      <c r="R48" s="3001">
        <f>'Ab3. ASHA'!R47</f>
        <v>0.13</v>
      </c>
      <c r="S48" s="1168"/>
      <c r="T48" s="1168"/>
      <c r="U48" s="1168"/>
      <c r="V48" s="1168"/>
      <c r="W48" s="1168"/>
      <c r="X48" s="1168"/>
      <c r="Y48" s="1168"/>
      <c r="Z48" s="1168"/>
      <c r="AA48" s="1168"/>
      <c r="AB48" s="1168"/>
      <c r="AC48" s="1168"/>
      <c r="AD48" s="1168"/>
      <c r="AE48" s="1168"/>
      <c r="AF48" s="1168"/>
      <c r="AG48" s="1168"/>
      <c r="AH48" s="1168"/>
      <c r="AI48" s="1168"/>
      <c r="AJ48" s="1168"/>
      <c r="AK48" s="1168"/>
      <c r="AL48" s="1168"/>
      <c r="AM48" s="1168"/>
      <c r="AN48" s="1168"/>
      <c r="AO48" s="1168"/>
      <c r="AP48" s="1168"/>
      <c r="AQ48" s="1168"/>
      <c r="AR48" s="1168"/>
      <c r="AS48" s="1168"/>
      <c r="AT48" s="1168"/>
      <c r="AU48" s="1168"/>
      <c r="AV48" s="1168"/>
      <c r="AW48" s="1168"/>
      <c r="AX48" s="1168"/>
      <c r="AY48" s="1168"/>
      <c r="AZ48" s="1168"/>
      <c r="BA48" s="1168"/>
      <c r="BB48" s="3185">
        <v>-0.26</v>
      </c>
      <c r="BC48" s="3185">
        <v>0.02</v>
      </c>
      <c r="BD48" s="3185">
        <v>0.06</v>
      </c>
      <c r="BE48" s="3185">
        <v>0.02</v>
      </c>
      <c r="BF48" s="3185">
        <v>7.0000000000000007E-2</v>
      </c>
      <c r="BG48" s="3185">
        <v>0.02</v>
      </c>
      <c r="BH48" s="3185">
        <v>0.02</v>
      </c>
      <c r="BI48" s="3185">
        <v>0</v>
      </c>
      <c r="BJ48" s="3185">
        <v>0.04</v>
      </c>
      <c r="BK48" s="3185">
        <v>0.04</v>
      </c>
      <c r="BL48" s="3185">
        <v>0.04</v>
      </c>
      <c r="BM48" s="3185">
        <v>0.05</v>
      </c>
      <c r="BN48" s="3185">
        <v>0.01</v>
      </c>
      <c r="BO48" s="3185"/>
      <c r="BP48" s="3185"/>
      <c r="BQ48" s="3185"/>
      <c r="BR48" s="3185"/>
      <c r="BS48" s="3185"/>
      <c r="BT48" s="3185"/>
      <c r="BU48" s="3185"/>
      <c r="BV48" s="3185"/>
      <c r="BW48" s="3185"/>
      <c r="BX48" s="3185"/>
      <c r="BY48" s="3185"/>
      <c r="BZ48" s="3185"/>
      <c r="CA48" s="3185"/>
      <c r="CB48" s="3185"/>
      <c r="CC48" s="3185"/>
      <c r="CD48" s="3185"/>
      <c r="CE48" s="3185"/>
      <c r="CF48" s="3185"/>
      <c r="CG48" s="3185"/>
      <c r="CH48" s="3185"/>
      <c r="CI48" s="3185">
        <f t="shared" si="0"/>
        <v>0.12999999999999998</v>
      </c>
    </row>
    <row r="49" spans="1:87" s="1169" customFormat="1" ht="30">
      <c r="A49" s="1004" t="s">
        <v>4445</v>
      </c>
      <c r="B49" s="233" t="s">
        <v>216</v>
      </c>
      <c r="C49" s="1179" t="s">
        <v>4361</v>
      </c>
      <c r="D49" s="2254" t="s">
        <v>4219</v>
      </c>
      <c r="E49" s="2326" t="s">
        <v>2586</v>
      </c>
      <c r="F49" s="2347">
        <v>35</v>
      </c>
      <c r="G49" s="2347">
        <v>3</v>
      </c>
      <c r="H49" s="2348">
        <v>0.14000000000000001</v>
      </c>
      <c r="I49" s="2347"/>
      <c r="J49" s="2347">
        <v>0.14000000000000001</v>
      </c>
      <c r="K49" s="2347">
        <v>0</v>
      </c>
      <c r="L49" s="2349">
        <v>400</v>
      </c>
      <c r="M49" s="298">
        <f>L49/100000</f>
        <v>4.0000000000000001E-3</v>
      </c>
      <c r="N49" s="2349">
        <v>20</v>
      </c>
      <c r="O49" s="212">
        <f>M49*N49</f>
        <v>0.08</v>
      </c>
      <c r="P49" s="2256" t="s">
        <v>5199</v>
      </c>
      <c r="Q49" s="2257" t="str">
        <f>'Ab3. ASHA'!Q48</f>
        <v xml:space="preserve">recommended </v>
      </c>
      <c r="R49" s="3001">
        <f>'Ab3. ASHA'!R48</f>
        <v>0.08</v>
      </c>
      <c r="S49" s="1168"/>
      <c r="T49" s="1168"/>
      <c r="U49" s="1168"/>
      <c r="V49" s="1168"/>
      <c r="W49" s="1168"/>
      <c r="X49" s="1168"/>
      <c r="Y49" s="1168"/>
      <c r="Z49" s="1168"/>
      <c r="AA49" s="1168"/>
      <c r="AB49" s="1168"/>
      <c r="AC49" s="1168"/>
      <c r="AD49" s="1168"/>
      <c r="AE49" s="1168"/>
      <c r="AF49" s="1168"/>
      <c r="AG49" s="1168"/>
      <c r="AH49" s="1168"/>
      <c r="AI49" s="1168"/>
      <c r="AJ49" s="1168"/>
      <c r="AK49" s="1168"/>
      <c r="AL49" s="1168"/>
      <c r="AM49" s="1168"/>
      <c r="AN49" s="1168"/>
      <c r="AO49" s="1168"/>
      <c r="AP49" s="1168"/>
      <c r="AQ49" s="1168"/>
      <c r="AR49" s="1168"/>
      <c r="AS49" s="1168"/>
      <c r="AT49" s="1168"/>
      <c r="AU49" s="1168"/>
      <c r="AV49" s="1168"/>
      <c r="AW49" s="1168"/>
      <c r="AX49" s="1168"/>
      <c r="AY49" s="1168"/>
      <c r="AZ49" s="1168"/>
      <c r="BA49" s="1168"/>
      <c r="BB49" s="3185">
        <v>0.08</v>
      </c>
      <c r="BC49" s="3185"/>
      <c r="BD49" s="3185"/>
      <c r="BE49" s="3185"/>
      <c r="BF49" s="3185"/>
      <c r="BG49" s="3185"/>
      <c r="BH49" s="3185"/>
      <c r="BI49" s="3185"/>
      <c r="BJ49" s="3185"/>
      <c r="BK49" s="3185"/>
      <c r="BL49" s="3185"/>
      <c r="BM49" s="3185"/>
      <c r="BN49" s="3185"/>
      <c r="BO49" s="3185"/>
      <c r="BP49" s="3185"/>
      <c r="BQ49" s="3185"/>
      <c r="BR49" s="3185"/>
      <c r="BS49" s="3185"/>
      <c r="BT49" s="3185"/>
      <c r="BU49" s="3185"/>
      <c r="BV49" s="3185"/>
      <c r="BW49" s="3185"/>
      <c r="BX49" s="3185"/>
      <c r="BY49" s="3185"/>
      <c r="BZ49" s="3185"/>
      <c r="CA49" s="3185"/>
      <c r="CB49" s="3185"/>
      <c r="CC49" s="3185"/>
      <c r="CD49" s="3185"/>
      <c r="CE49" s="3185"/>
      <c r="CF49" s="3185"/>
      <c r="CG49" s="3185"/>
      <c r="CH49" s="3185"/>
      <c r="CI49" s="3185">
        <f t="shared" si="0"/>
        <v>0.08</v>
      </c>
    </row>
    <row r="50" spans="1:87" s="1169" customFormat="1" ht="30">
      <c r="A50" s="1004" t="s">
        <v>4446</v>
      </c>
      <c r="B50" s="233" t="s">
        <v>217</v>
      </c>
      <c r="C50" s="1179" t="s">
        <v>5134</v>
      </c>
      <c r="D50" s="2254" t="s">
        <v>4219</v>
      </c>
      <c r="E50" s="2326" t="s">
        <v>2586</v>
      </c>
      <c r="F50" s="2347">
        <v>15</v>
      </c>
      <c r="G50" s="2347">
        <v>16</v>
      </c>
      <c r="H50" s="2348">
        <v>0.08</v>
      </c>
      <c r="I50" s="2347"/>
      <c r="J50" s="2347">
        <v>0.08</v>
      </c>
      <c r="K50" s="2347">
        <v>0</v>
      </c>
      <c r="L50" s="2349">
        <v>600</v>
      </c>
      <c r="M50" s="298">
        <f>L50/100000</f>
        <v>6.0000000000000001E-3</v>
      </c>
      <c r="N50" s="2349">
        <v>80</v>
      </c>
      <c r="O50" s="212">
        <f>M50*N50</f>
        <v>0.48</v>
      </c>
      <c r="P50" s="2256" t="s">
        <v>5200</v>
      </c>
      <c r="Q50" s="2257" t="str">
        <f>'Ab3. ASHA'!Q49</f>
        <v xml:space="preserve">Recommended for remaining 30 MB cases </v>
      </c>
      <c r="R50" s="3001">
        <f>'Ab3. ASHA'!R49</f>
        <v>0.18</v>
      </c>
      <c r="S50" s="1168"/>
      <c r="T50" s="1168"/>
      <c r="U50" s="1168"/>
      <c r="V50" s="1168"/>
      <c r="W50" s="1168"/>
      <c r="X50" s="1168"/>
      <c r="Y50" s="1168"/>
      <c r="Z50" s="1168"/>
      <c r="AA50" s="1168"/>
      <c r="AB50" s="1168"/>
      <c r="AC50" s="1168"/>
      <c r="AD50" s="1168"/>
      <c r="AE50" s="1168"/>
      <c r="AF50" s="1168"/>
      <c r="AG50" s="1168"/>
      <c r="AH50" s="1168"/>
      <c r="AI50" s="1168"/>
      <c r="AJ50" s="1168"/>
      <c r="AK50" s="1168"/>
      <c r="AL50" s="1168"/>
      <c r="AM50" s="1168"/>
      <c r="AN50" s="1168"/>
      <c r="AO50" s="1168"/>
      <c r="AP50" s="1168"/>
      <c r="AQ50" s="1168"/>
      <c r="AR50" s="1168"/>
      <c r="AS50" s="1168"/>
      <c r="AT50" s="1168"/>
      <c r="AU50" s="1168"/>
      <c r="AV50" s="1168"/>
      <c r="AW50" s="1168"/>
      <c r="AX50" s="1168"/>
      <c r="AY50" s="1168"/>
      <c r="AZ50" s="1168"/>
      <c r="BA50" s="1168"/>
      <c r="BB50" s="3185">
        <v>0.18</v>
      </c>
      <c r="BC50" s="3185"/>
      <c r="BD50" s="3185"/>
      <c r="BE50" s="3185"/>
      <c r="BF50" s="3185"/>
      <c r="BG50" s="3185"/>
      <c r="BH50" s="3185"/>
      <c r="BI50" s="3185"/>
      <c r="BJ50" s="3185"/>
      <c r="BK50" s="3185"/>
      <c r="BL50" s="3185"/>
      <c r="BM50" s="3185"/>
      <c r="BN50" s="3185"/>
      <c r="BO50" s="3185"/>
      <c r="BP50" s="3185"/>
      <c r="BQ50" s="3185"/>
      <c r="BR50" s="3185"/>
      <c r="BS50" s="3185"/>
      <c r="BT50" s="3185"/>
      <c r="BU50" s="3185"/>
      <c r="BV50" s="3185"/>
      <c r="BW50" s="3185"/>
      <c r="BX50" s="3185"/>
      <c r="BY50" s="3185"/>
      <c r="BZ50" s="3185"/>
      <c r="CA50" s="3185"/>
      <c r="CB50" s="3185"/>
      <c r="CC50" s="3185"/>
      <c r="CD50" s="3185"/>
      <c r="CE50" s="3185"/>
      <c r="CF50" s="3185"/>
      <c r="CG50" s="3185"/>
      <c r="CH50" s="3185"/>
      <c r="CI50" s="3185">
        <f t="shared" si="0"/>
        <v>0.18</v>
      </c>
    </row>
    <row r="51" spans="1:87">
      <c r="A51" s="1176"/>
      <c r="B51" s="1176"/>
      <c r="C51" s="225" t="s">
        <v>2373</v>
      </c>
      <c r="D51" s="1007" t="s">
        <v>4219</v>
      </c>
      <c r="E51" s="945" t="s">
        <v>2583</v>
      </c>
      <c r="F51" s="226">
        <v>0</v>
      </c>
      <c r="G51" s="226"/>
      <c r="H51" s="226">
        <v>0</v>
      </c>
      <c r="I51" s="226"/>
      <c r="J51" s="226"/>
      <c r="K51" s="226"/>
      <c r="L51" s="277"/>
      <c r="M51" s="297">
        <f>L51/100000</f>
        <v>0</v>
      </c>
      <c r="N51" s="277"/>
      <c r="O51" s="210">
        <f>M51*N51</f>
        <v>0</v>
      </c>
      <c r="P51" s="171"/>
      <c r="Q51" s="1003">
        <f>'Ab3. ASHA'!Q50</f>
        <v>0</v>
      </c>
      <c r="R51" s="3002">
        <f>'Ab3. ASHA'!R50</f>
        <v>0</v>
      </c>
      <c r="S51" s="1172"/>
      <c r="T51" s="1172"/>
      <c r="U51" s="1172"/>
      <c r="V51" s="1172"/>
      <c r="W51" s="1172"/>
      <c r="X51" s="1172"/>
      <c r="Y51" s="1172"/>
      <c r="Z51" s="1172"/>
      <c r="AA51" s="1172"/>
      <c r="AB51" s="1172"/>
      <c r="AC51" s="1172"/>
      <c r="AD51" s="1172"/>
      <c r="AE51" s="1172"/>
      <c r="AF51" s="1172"/>
      <c r="AG51" s="1172"/>
      <c r="AH51" s="1172"/>
      <c r="AI51" s="1172"/>
      <c r="AJ51" s="1172"/>
      <c r="AK51" s="1172"/>
      <c r="AL51" s="1172"/>
      <c r="AM51" s="1172"/>
      <c r="AN51" s="1172"/>
      <c r="AO51" s="1172"/>
      <c r="AP51" s="1172"/>
      <c r="AQ51" s="1172"/>
      <c r="AR51" s="1172"/>
      <c r="AS51" s="1172"/>
      <c r="AT51" s="1172"/>
      <c r="AU51" s="1172"/>
      <c r="AV51" s="1172"/>
      <c r="AW51" s="1172"/>
      <c r="AX51" s="1172"/>
      <c r="AY51" s="1172"/>
      <c r="AZ51" s="1172"/>
      <c r="BA51" s="1172"/>
      <c r="BB51" s="897"/>
      <c r="BC51" s="897"/>
      <c r="BD51" s="897"/>
      <c r="BE51" s="897"/>
      <c r="BF51" s="897"/>
      <c r="BG51" s="897"/>
      <c r="BH51" s="897"/>
      <c r="BI51" s="897"/>
      <c r="BJ51" s="897"/>
      <c r="BK51" s="897"/>
      <c r="BL51" s="897"/>
      <c r="BM51" s="897"/>
      <c r="BN51" s="897"/>
      <c r="BO51" s="897"/>
      <c r="BP51" s="897"/>
      <c r="BQ51" s="897"/>
      <c r="BR51" s="897"/>
      <c r="BS51" s="897"/>
      <c r="BT51" s="897"/>
      <c r="BU51" s="897"/>
      <c r="BV51" s="897"/>
      <c r="BW51" s="897"/>
      <c r="BX51" s="897"/>
      <c r="BY51" s="897"/>
      <c r="BZ51" s="897"/>
      <c r="CA51" s="897"/>
      <c r="CB51" s="897"/>
      <c r="CC51" s="897"/>
      <c r="CD51" s="897"/>
      <c r="CE51" s="897"/>
      <c r="CF51" s="897"/>
      <c r="CG51" s="897"/>
      <c r="CH51" s="897"/>
      <c r="CI51" s="3185">
        <f t="shared" si="0"/>
        <v>0</v>
      </c>
    </row>
    <row r="52" spans="1:87">
      <c r="A52" s="3897"/>
      <c r="B52" s="3897"/>
      <c r="C52" s="3897"/>
      <c r="D52" s="1007" t="s">
        <v>4219</v>
      </c>
      <c r="E52" s="1151"/>
      <c r="F52" s="219"/>
      <c r="G52" s="219"/>
      <c r="H52" s="219"/>
      <c r="I52" s="219"/>
      <c r="J52" s="268"/>
      <c r="K52" s="219"/>
      <c r="L52" s="1216"/>
      <c r="M52" s="940"/>
      <c r="N52" s="257"/>
      <c r="O52" s="1155">
        <f>O53</f>
        <v>260</v>
      </c>
      <c r="P52" s="1218"/>
      <c r="Q52" s="1156"/>
      <c r="R52" s="3484"/>
      <c r="S52" s="1172"/>
      <c r="T52" s="1172"/>
      <c r="U52" s="1172"/>
      <c r="V52" s="1172"/>
      <c r="W52" s="1172"/>
      <c r="X52" s="1172"/>
      <c r="Y52" s="1172"/>
      <c r="Z52" s="1172"/>
      <c r="AA52" s="1172"/>
      <c r="AB52" s="1172"/>
      <c r="AC52" s="1172"/>
      <c r="AD52" s="1172"/>
      <c r="AE52" s="1172"/>
      <c r="AF52" s="1172"/>
      <c r="AG52" s="1172"/>
      <c r="AH52" s="1172"/>
      <c r="AI52" s="1172"/>
      <c r="AJ52" s="1172"/>
      <c r="AK52" s="1172"/>
      <c r="AL52" s="1172"/>
      <c r="AM52" s="1172"/>
      <c r="AN52" s="1172"/>
      <c r="AO52" s="1172"/>
      <c r="AP52" s="1172"/>
      <c r="AQ52" s="1172"/>
      <c r="AR52" s="1172"/>
      <c r="AS52" s="1172"/>
      <c r="AT52" s="1172"/>
      <c r="AU52" s="1172"/>
      <c r="AV52" s="1172"/>
      <c r="AW52" s="1172"/>
      <c r="AX52" s="1172"/>
      <c r="AY52" s="1172"/>
      <c r="AZ52" s="1172"/>
      <c r="BA52" s="1172"/>
      <c r="BB52" s="897"/>
      <c r="BC52" s="897"/>
      <c r="BD52" s="897"/>
      <c r="BE52" s="897"/>
      <c r="BF52" s="897"/>
      <c r="BG52" s="897"/>
      <c r="BH52" s="897"/>
      <c r="BI52" s="897"/>
      <c r="BJ52" s="897"/>
      <c r="BK52" s="897"/>
      <c r="BL52" s="897"/>
      <c r="BM52" s="897"/>
      <c r="BN52" s="897"/>
      <c r="BO52" s="897"/>
      <c r="BP52" s="897"/>
      <c r="BQ52" s="897"/>
      <c r="BR52" s="897"/>
      <c r="BS52" s="897"/>
      <c r="BT52" s="897"/>
      <c r="BU52" s="897"/>
      <c r="BV52" s="897"/>
      <c r="BW52" s="897"/>
      <c r="BX52" s="897"/>
      <c r="BY52" s="897"/>
      <c r="BZ52" s="897"/>
      <c r="CA52" s="897"/>
      <c r="CB52" s="897"/>
      <c r="CC52" s="897"/>
      <c r="CD52" s="897"/>
      <c r="CE52" s="897"/>
      <c r="CF52" s="897"/>
      <c r="CG52" s="897"/>
      <c r="CH52" s="897"/>
      <c r="CI52" s="3185">
        <f t="shared" si="0"/>
        <v>0</v>
      </c>
    </row>
    <row r="53" spans="1:87">
      <c r="A53" s="1159" t="s">
        <v>170</v>
      </c>
      <c r="B53" s="1160"/>
      <c r="C53" s="1161" t="s">
        <v>3210</v>
      </c>
      <c r="D53" s="908" t="s">
        <v>65</v>
      </c>
      <c r="E53" s="1162"/>
      <c r="F53" s="301"/>
      <c r="G53" s="301"/>
      <c r="H53" s="301"/>
      <c r="I53" s="301"/>
      <c r="J53" s="301"/>
      <c r="K53" s="301"/>
      <c r="L53" s="301"/>
      <c r="M53" s="1164"/>
      <c r="N53" s="302"/>
      <c r="O53" s="303">
        <f>SUM(O54:O56)</f>
        <v>260</v>
      </c>
      <c r="P53" s="715"/>
      <c r="Q53" s="1167"/>
      <c r="R53" s="3000">
        <f>SUM(R54:R56)</f>
        <v>260</v>
      </c>
      <c r="S53" s="1172"/>
      <c r="T53" s="1172"/>
      <c r="U53" s="1172"/>
      <c r="V53" s="1172"/>
      <c r="W53" s="1172"/>
      <c r="X53" s="1172"/>
      <c r="Y53" s="1172"/>
      <c r="Z53" s="1172"/>
      <c r="AA53" s="1172"/>
      <c r="AB53" s="1172"/>
      <c r="AC53" s="1172"/>
      <c r="AD53" s="1172"/>
      <c r="AE53" s="1172"/>
      <c r="AF53" s="1172"/>
      <c r="AG53" s="1172"/>
      <c r="AH53" s="1172"/>
      <c r="AI53" s="1172"/>
      <c r="AJ53" s="1172"/>
      <c r="AK53" s="1172"/>
      <c r="AL53" s="1172"/>
      <c r="AM53" s="1172"/>
      <c r="AN53" s="1172"/>
      <c r="AO53" s="1172"/>
      <c r="AP53" s="1172"/>
      <c r="AQ53" s="1172"/>
      <c r="AR53" s="1172"/>
      <c r="AS53" s="1172"/>
      <c r="AT53" s="1172"/>
      <c r="AU53" s="1172"/>
      <c r="AV53" s="1172"/>
      <c r="AW53" s="1172"/>
      <c r="AX53" s="1172"/>
      <c r="AY53" s="1172"/>
      <c r="AZ53" s="1172"/>
      <c r="BA53" s="1172"/>
      <c r="BB53" s="3000"/>
      <c r="BC53" s="3000"/>
      <c r="BD53" s="3000"/>
      <c r="BE53" s="3000"/>
      <c r="BF53" s="3000"/>
      <c r="BG53" s="3000"/>
      <c r="BH53" s="3000"/>
      <c r="BI53" s="3000"/>
      <c r="BJ53" s="3000"/>
      <c r="BK53" s="3000"/>
      <c r="BL53" s="3000"/>
      <c r="BM53" s="3000"/>
      <c r="BN53" s="3000"/>
      <c r="BO53" s="3000"/>
      <c r="BP53" s="3000"/>
      <c r="BQ53" s="3000"/>
      <c r="BR53" s="3000"/>
      <c r="BS53" s="3000"/>
      <c r="BT53" s="3000"/>
      <c r="BU53" s="3000"/>
      <c r="BV53" s="3000"/>
      <c r="BW53" s="3000"/>
      <c r="BX53" s="3000"/>
      <c r="BY53" s="3000"/>
      <c r="BZ53" s="3000"/>
      <c r="CA53" s="3000"/>
      <c r="CB53" s="3000"/>
      <c r="CC53" s="3000"/>
      <c r="CD53" s="3000"/>
      <c r="CE53" s="3000"/>
      <c r="CF53" s="3000"/>
      <c r="CG53" s="3000"/>
      <c r="CH53" s="3000"/>
      <c r="CI53" s="3185"/>
    </row>
    <row r="54" spans="1:87" s="1169" customFormat="1" ht="60">
      <c r="A54" s="1004"/>
      <c r="B54" s="1080"/>
      <c r="C54" s="1080" t="s">
        <v>4595</v>
      </c>
      <c r="D54" s="2095" t="s">
        <v>65</v>
      </c>
      <c r="E54" s="3542" t="s">
        <v>2583</v>
      </c>
      <c r="F54" s="235"/>
      <c r="G54" s="235"/>
      <c r="H54" s="235"/>
      <c r="I54" s="235"/>
      <c r="J54" s="235"/>
      <c r="K54" s="235">
        <v>1</v>
      </c>
      <c r="L54" s="243">
        <v>10</v>
      </c>
      <c r="M54" s="212">
        <f>L54/100000</f>
        <v>1E-4</v>
      </c>
      <c r="N54" s="243">
        <v>2100000</v>
      </c>
      <c r="O54" s="212">
        <f>M54*N54</f>
        <v>210</v>
      </c>
      <c r="P54" s="108" t="s">
        <v>5424</v>
      </c>
      <c r="Q54" s="2257" t="str">
        <f>'Ab3. ASHA'!Q52</f>
        <v>Recommended for approvalRs. 210 L as incentive to ASHA for filling of CBAC form of 21 Lakh individuals @ Rs. 10 per form. Concerned Program Division may also comment.</v>
      </c>
      <c r="R54" s="3001">
        <f>'Ab3. ASHA'!R52</f>
        <v>210</v>
      </c>
      <c r="S54" s="1168"/>
      <c r="T54" s="1168"/>
      <c r="U54" s="1168"/>
      <c r="V54" s="1168"/>
      <c r="W54" s="1168"/>
      <c r="X54" s="1168"/>
      <c r="Y54" s="1168"/>
      <c r="Z54" s="1168"/>
      <c r="AA54" s="1168"/>
      <c r="AB54" s="1168"/>
      <c r="AC54" s="1168"/>
      <c r="AD54" s="1168"/>
      <c r="AE54" s="1168"/>
      <c r="AF54" s="1168"/>
      <c r="AG54" s="1168"/>
      <c r="AH54" s="1168"/>
      <c r="AI54" s="1168"/>
      <c r="AJ54" s="1168"/>
      <c r="AK54" s="1168"/>
      <c r="AL54" s="1168"/>
      <c r="AM54" s="1168"/>
      <c r="AN54" s="1168"/>
      <c r="AO54" s="1168"/>
      <c r="AP54" s="1168"/>
      <c r="AQ54" s="1168"/>
      <c r="AR54" s="1168"/>
      <c r="AS54" s="1168"/>
      <c r="AT54" s="1168"/>
      <c r="AU54" s="1168"/>
      <c r="AV54" s="1168"/>
      <c r="AW54" s="1168"/>
      <c r="AX54" s="1168"/>
      <c r="AY54" s="1168"/>
      <c r="AZ54" s="1168"/>
      <c r="BA54" s="1168"/>
      <c r="BB54" s="3185">
        <v>0</v>
      </c>
      <c r="BC54" s="3185">
        <v>15</v>
      </c>
      <c r="BD54" s="3185">
        <v>15</v>
      </c>
      <c r="BE54" s="3185">
        <v>15</v>
      </c>
      <c r="BF54" s="3185">
        <v>40</v>
      </c>
      <c r="BG54" s="3185">
        <v>3</v>
      </c>
      <c r="BH54" s="3185">
        <v>15</v>
      </c>
      <c r="BI54" s="3185">
        <v>2</v>
      </c>
      <c r="BJ54" s="3185">
        <v>30</v>
      </c>
      <c r="BK54" s="3185">
        <v>30</v>
      </c>
      <c r="BL54" s="3185">
        <v>15</v>
      </c>
      <c r="BM54" s="3185">
        <v>15</v>
      </c>
      <c r="BN54" s="3185">
        <v>15</v>
      </c>
      <c r="BO54" s="3185"/>
      <c r="BP54" s="3185"/>
      <c r="BQ54" s="3185"/>
      <c r="BR54" s="3185"/>
      <c r="BS54" s="3185"/>
      <c r="BT54" s="3185"/>
      <c r="BU54" s="3185"/>
      <c r="BV54" s="3185"/>
      <c r="BW54" s="3185"/>
      <c r="BX54" s="3185"/>
      <c r="BY54" s="3185"/>
      <c r="BZ54" s="3185"/>
      <c r="CA54" s="3185"/>
      <c r="CB54" s="3185"/>
      <c r="CC54" s="3185"/>
      <c r="CD54" s="3185"/>
      <c r="CE54" s="3185"/>
      <c r="CF54" s="3185"/>
      <c r="CG54" s="3185"/>
      <c r="CH54" s="3185"/>
      <c r="CI54" s="3185">
        <f t="shared" si="0"/>
        <v>210</v>
      </c>
    </row>
    <row r="55" spans="1:87" s="1169" customFormat="1" ht="60">
      <c r="A55" s="1004"/>
      <c r="B55" s="1080"/>
      <c r="C55" s="1080" t="s">
        <v>4596</v>
      </c>
      <c r="D55" s="2095" t="s">
        <v>65</v>
      </c>
      <c r="E55" s="3542" t="s">
        <v>2583</v>
      </c>
      <c r="F55" s="235"/>
      <c r="G55" s="235"/>
      <c r="H55" s="235"/>
      <c r="I55" s="235"/>
      <c r="J55" s="235"/>
      <c r="K55" s="235"/>
      <c r="L55" s="243">
        <v>100</v>
      </c>
      <c r="M55" s="212">
        <f>L55/100000</f>
        <v>1E-3</v>
      </c>
      <c r="N55" s="243">
        <v>50000</v>
      </c>
      <c r="O55" s="212">
        <f>M55*N55</f>
        <v>50</v>
      </c>
      <c r="P55" s="108" t="s">
        <v>5297</v>
      </c>
      <c r="Q55" s="2257" t="str">
        <f>'Ab3. ASHA'!Q53</f>
        <v>Recommended for approvalRs. 50 L as incentive to ASHA for follow up of 50000 individuals @ Rs. 50 per follow up twice a year. Concerned Program Division may also comment.</v>
      </c>
      <c r="R55" s="3001">
        <f>'Ab3. ASHA'!R53</f>
        <v>50</v>
      </c>
      <c r="S55" s="1168"/>
      <c r="T55" s="1168"/>
      <c r="U55" s="1168"/>
      <c r="V55" s="1168"/>
      <c r="W55" s="1168"/>
      <c r="X55" s="1168"/>
      <c r="Y55" s="1168"/>
      <c r="Z55" s="1168"/>
      <c r="AA55" s="1168"/>
      <c r="AB55" s="1168"/>
      <c r="AC55" s="1168"/>
      <c r="AD55" s="1168"/>
      <c r="AE55" s="1168"/>
      <c r="AF55" s="1168"/>
      <c r="AG55" s="1168"/>
      <c r="AH55" s="1168"/>
      <c r="AI55" s="1168"/>
      <c r="AJ55" s="1168"/>
      <c r="AK55" s="1168"/>
      <c r="AL55" s="1168"/>
      <c r="AM55" s="1168"/>
      <c r="AN55" s="1168"/>
      <c r="AO55" s="1168"/>
      <c r="AP55" s="1168"/>
      <c r="AQ55" s="1168"/>
      <c r="AR55" s="1168"/>
      <c r="AS55" s="1168"/>
      <c r="AT55" s="1168"/>
      <c r="AU55" s="1168"/>
      <c r="AV55" s="1168"/>
      <c r="AW55" s="1168"/>
      <c r="AX55" s="1168"/>
      <c r="AY55" s="1168"/>
      <c r="AZ55" s="1168"/>
      <c r="BA55" s="1168"/>
      <c r="BB55" s="3185"/>
      <c r="BC55" s="3185">
        <v>4</v>
      </c>
      <c r="BD55" s="3185">
        <v>4</v>
      </c>
      <c r="BE55" s="3185">
        <v>4</v>
      </c>
      <c r="BF55" s="3185">
        <v>6</v>
      </c>
      <c r="BG55" s="3185">
        <v>2.5</v>
      </c>
      <c r="BH55" s="3185">
        <v>4</v>
      </c>
      <c r="BI55" s="3185">
        <v>1.5</v>
      </c>
      <c r="BJ55" s="3185">
        <v>6</v>
      </c>
      <c r="BK55" s="3185">
        <v>6</v>
      </c>
      <c r="BL55" s="3185">
        <v>4</v>
      </c>
      <c r="BM55" s="3185">
        <v>4</v>
      </c>
      <c r="BN55" s="3185">
        <v>4</v>
      </c>
      <c r="BO55" s="3185"/>
      <c r="BP55" s="3185"/>
      <c r="BQ55" s="3185"/>
      <c r="BR55" s="3185"/>
      <c r="BS55" s="3185"/>
      <c r="BT55" s="3185"/>
      <c r="BU55" s="3185"/>
      <c r="BV55" s="3185"/>
      <c r="BW55" s="3185"/>
      <c r="BX55" s="3185"/>
      <c r="BY55" s="3185"/>
      <c r="BZ55" s="3185"/>
      <c r="CA55" s="3185"/>
      <c r="CB55" s="3185"/>
      <c r="CC55" s="3185"/>
      <c r="CD55" s="3185"/>
      <c r="CE55" s="3185"/>
      <c r="CF55" s="3185"/>
      <c r="CG55" s="3185"/>
      <c r="CH55" s="3185"/>
      <c r="CI55" s="3185">
        <f t="shared" si="0"/>
        <v>50</v>
      </c>
    </row>
    <row r="56" spans="1:87">
      <c r="A56" s="431" t="s">
        <v>2676</v>
      </c>
      <c r="B56" s="882"/>
      <c r="C56" s="225" t="s">
        <v>2373</v>
      </c>
      <c r="D56" s="908" t="s">
        <v>65</v>
      </c>
      <c r="E56" s="945" t="s">
        <v>2583</v>
      </c>
      <c r="F56" s="226">
        <v>0</v>
      </c>
      <c r="G56" s="226"/>
      <c r="H56" s="226">
        <v>0</v>
      </c>
      <c r="I56" s="226"/>
      <c r="J56" s="226"/>
      <c r="K56" s="249"/>
      <c r="L56" s="277"/>
      <c r="M56" s="297">
        <f>L56/100000</f>
        <v>0</v>
      </c>
      <c r="N56" s="277"/>
      <c r="O56" s="210">
        <f>M56*N56</f>
        <v>0</v>
      </c>
      <c r="P56" s="171"/>
      <c r="Q56" s="1003">
        <f>'Ab3. ASHA'!Q54</f>
        <v>0</v>
      </c>
      <c r="R56" s="3002">
        <f>'Ab3. ASHA'!R54</f>
        <v>0</v>
      </c>
      <c r="S56" s="1172"/>
      <c r="T56" s="1172"/>
      <c r="U56" s="1172"/>
      <c r="V56" s="1172"/>
      <c r="W56" s="1172"/>
      <c r="X56" s="1172"/>
      <c r="Y56" s="1172"/>
      <c r="Z56" s="1172"/>
      <c r="AA56" s="1172"/>
      <c r="AB56" s="1172"/>
      <c r="AC56" s="1172"/>
      <c r="AD56" s="1172"/>
      <c r="AE56" s="1172"/>
      <c r="AF56" s="1172"/>
      <c r="AG56" s="1172"/>
      <c r="AH56" s="1172"/>
      <c r="AI56" s="1172"/>
      <c r="AJ56" s="1172"/>
      <c r="AK56" s="1172"/>
      <c r="AL56" s="1172"/>
      <c r="AM56" s="1172"/>
      <c r="AN56" s="1172"/>
      <c r="AO56" s="1172"/>
      <c r="AP56" s="1172"/>
      <c r="AQ56" s="1172"/>
      <c r="AR56" s="1172"/>
      <c r="AS56" s="1172"/>
      <c r="AT56" s="1172"/>
      <c r="AU56" s="1172"/>
      <c r="AV56" s="1172"/>
      <c r="AW56" s="1172"/>
      <c r="AX56" s="1172"/>
      <c r="AY56" s="1172"/>
      <c r="AZ56" s="1172"/>
      <c r="BA56" s="1172"/>
      <c r="BB56" s="897"/>
      <c r="BC56" s="897"/>
      <c r="BD56" s="897"/>
      <c r="BE56" s="897"/>
      <c r="BF56" s="897"/>
      <c r="BG56" s="897"/>
      <c r="BH56" s="897"/>
      <c r="BI56" s="897"/>
      <c r="BJ56" s="897"/>
      <c r="BK56" s="897"/>
      <c r="BL56" s="897"/>
      <c r="BM56" s="897"/>
      <c r="BN56" s="897"/>
      <c r="BO56" s="897"/>
      <c r="BP56" s="897"/>
      <c r="BQ56" s="897"/>
      <c r="BR56" s="897"/>
      <c r="BS56" s="897"/>
      <c r="BT56" s="897"/>
      <c r="BU56" s="897"/>
      <c r="BV56" s="897"/>
      <c r="BW56" s="897"/>
      <c r="BX56" s="897"/>
      <c r="BY56" s="897"/>
      <c r="BZ56" s="897"/>
      <c r="CA56" s="897"/>
      <c r="CB56" s="897"/>
      <c r="CC56" s="897"/>
      <c r="CD56" s="897"/>
      <c r="CE56" s="897"/>
      <c r="CF56" s="897"/>
      <c r="CG56" s="897"/>
      <c r="CH56" s="897"/>
      <c r="CI56" s="3185">
        <f t="shared" si="0"/>
        <v>0</v>
      </c>
    </row>
    <row r="57" spans="1:87" s="1169" customFormat="1">
      <c r="A57" s="3898"/>
      <c r="B57" s="3898"/>
      <c r="C57" s="3899"/>
      <c r="D57" s="908" t="s">
        <v>65</v>
      </c>
      <c r="E57" s="997"/>
      <c r="F57" s="219"/>
      <c r="G57" s="219"/>
      <c r="H57" s="219"/>
      <c r="I57" s="219"/>
      <c r="J57" s="219"/>
      <c r="K57" s="219"/>
      <c r="L57" s="219"/>
      <c r="M57" s="1183"/>
      <c r="N57" s="152"/>
      <c r="O57" s="209">
        <f>SUM(O58:O59)</f>
        <v>1907.52</v>
      </c>
      <c r="P57" s="152"/>
      <c r="Q57" s="1157"/>
      <c r="R57" s="3484">
        <f>SUM(R58:R59)</f>
        <v>1907.5</v>
      </c>
      <c r="S57" s="1168"/>
      <c r="T57" s="1168"/>
      <c r="U57" s="1168"/>
      <c r="V57" s="1168"/>
      <c r="W57" s="1168"/>
      <c r="X57" s="1168"/>
      <c r="Y57" s="1168"/>
      <c r="Z57" s="1168"/>
      <c r="AA57" s="1168"/>
      <c r="AB57" s="1168"/>
      <c r="AC57" s="1168"/>
      <c r="AD57" s="1168"/>
      <c r="AE57" s="1168"/>
      <c r="AF57" s="1168"/>
      <c r="AG57" s="1168"/>
      <c r="AH57" s="1168"/>
      <c r="AI57" s="1168"/>
      <c r="AJ57" s="1168"/>
      <c r="AK57" s="1168"/>
      <c r="AL57" s="1168"/>
      <c r="AM57" s="1168"/>
      <c r="AN57" s="1168"/>
      <c r="AO57" s="1168"/>
      <c r="AP57" s="1168"/>
      <c r="AQ57" s="1168"/>
      <c r="AR57" s="1168"/>
      <c r="AS57" s="1168"/>
      <c r="AT57" s="1168"/>
      <c r="AU57" s="1168"/>
      <c r="AV57" s="1168"/>
      <c r="AW57" s="1168"/>
      <c r="AX57" s="1168"/>
      <c r="AY57" s="1168"/>
      <c r="AZ57" s="1168"/>
      <c r="BA57" s="1168"/>
      <c r="BB57" s="3484"/>
      <c r="BC57" s="3484"/>
      <c r="BD57" s="3484"/>
      <c r="BE57" s="3484"/>
      <c r="BF57" s="3484"/>
      <c r="BG57" s="3484"/>
      <c r="BH57" s="3484"/>
      <c r="BI57" s="3484"/>
      <c r="BJ57" s="3484"/>
      <c r="BK57" s="3484"/>
      <c r="BL57" s="3484"/>
      <c r="BM57" s="3484"/>
      <c r="BN57" s="3484"/>
      <c r="BO57" s="3484"/>
      <c r="BP57" s="3484"/>
      <c r="BQ57" s="3484"/>
      <c r="BR57" s="3484"/>
      <c r="BS57" s="3484"/>
      <c r="BT57" s="3484"/>
      <c r="BU57" s="3484"/>
      <c r="BV57" s="3484"/>
      <c r="BW57" s="3484"/>
      <c r="BX57" s="3484"/>
      <c r="BY57" s="3484"/>
      <c r="BZ57" s="3484"/>
      <c r="CA57" s="3484"/>
      <c r="CB57" s="3484"/>
      <c r="CC57" s="3484"/>
      <c r="CD57" s="3484"/>
      <c r="CE57" s="3484"/>
      <c r="CF57" s="3484"/>
      <c r="CG57" s="3484"/>
      <c r="CH57" s="3484"/>
      <c r="CI57" s="3185"/>
    </row>
    <row r="58" spans="1:87" s="1169" customFormat="1" ht="60">
      <c r="A58" s="1004" t="s">
        <v>3212</v>
      </c>
      <c r="B58" s="1080" t="s">
        <v>197</v>
      </c>
      <c r="C58" s="1206" t="s">
        <v>198</v>
      </c>
      <c r="D58" s="982" t="s">
        <v>65</v>
      </c>
      <c r="E58" s="2326" t="s">
        <v>2583</v>
      </c>
      <c r="F58" s="2669">
        <v>7930</v>
      </c>
      <c r="G58" s="2670"/>
      <c r="H58" s="2671">
        <v>1903.2</v>
      </c>
      <c r="I58" s="2671">
        <v>1966</v>
      </c>
      <c r="J58" s="230"/>
      <c r="K58" s="230">
        <v>1</v>
      </c>
      <c r="L58" s="2318">
        <v>24000</v>
      </c>
      <c r="M58" s="298">
        <f>L58/100000</f>
        <v>0.24</v>
      </c>
      <c r="N58" s="2318">
        <v>7948</v>
      </c>
      <c r="O58" s="212">
        <f>M58*N58</f>
        <v>1907.52</v>
      </c>
      <c r="P58" s="2256"/>
      <c r="Q58" s="2257" t="str">
        <f>'Ab3. ASHA'!Q56</f>
        <v>Recommended for approvalRs. 1907.5 lakh for routine incentive to ASHAs @Rs.0.02 lakh per month per ASHA for 7948 ASHAs(7930 old + 18 new) for 12 months</v>
      </c>
      <c r="R58" s="3001">
        <f>'Ab3. ASHA'!R56</f>
        <v>1907.5</v>
      </c>
      <c r="S58" s="1168"/>
      <c r="T58" s="1168"/>
      <c r="U58" s="1168"/>
      <c r="V58" s="1168"/>
      <c r="W58" s="1168"/>
      <c r="X58" s="1168"/>
      <c r="Y58" s="1168"/>
      <c r="Z58" s="1168"/>
      <c r="AA58" s="1168"/>
      <c r="AB58" s="1168"/>
      <c r="AC58" s="1168"/>
      <c r="AD58" s="1168"/>
      <c r="AE58" s="1168"/>
      <c r="AF58" s="1168"/>
      <c r="AG58" s="1168"/>
      <c r="AH58" s="1168"/>
      <c r="AI58" s="1168"/>
      <c r="AJ58" s="1168"/>
      <c r="AK58" s="1168"/>
      <c r="AL58" s="1168"/>
      <c r="AM58" s="1168"/>
      <c r="AN58" s="1168"/>
      <c r="AO58" s="1168"/>
      <c r="AP58" s="1168"/>
      <c r="AQ58" s="1168"/>
      <c r="AR58" s="1168"/>
      <c r="AS58" s="1168"/>
      <c r="AT58" s="1168"/>
      <c r="AU58" s="1168"/>
      <c r="AV58" s="1168"/>
      <c r="AW58" s="1168"/>
      <c r="AX58" s="1168"/>
      <c r="AY58" s="1168"/>
      <c r="AZ58" s="1168"/>
      <c r="BA58" s="1168"/>
      <c r="BB58" s="3185"/>
      <c r="BC58" s="3185">
        <v>119.04</v>
      </c>
      <c r="BD58" s="3185">
        <v>144</v>
      </c>
      <c r="BE58" s="3185">
        <v>127.9</v>
      </c>
      <c r="BF58" s="3185">
        <v>436.56</v>
      </c>
      <c r="BG58" s="3185">
        <v>25.44</v>
      </c>
      <c r="BH58" s="3185">
        <v>118.56</v>
      </c>
      <c r="BI58" s="3185">
        <v>11.52</v>
      </c>
      <c r="BJ58" s="3185">
        <v>299.52</v>
      </c>
      <c r="BK58" s="3185">
        <v>186.24</v>
      </c>
      <c r="BL58" s="3185">
        <f>0.02*612*12</f>
        <v>146.88</v>
      </c>
      <c r="BM58" s="3185">
        <v>146.63999999999999</v>
      </c>
      <c r="BN58" s="3185">
        <f>0.02*605*12</f>
        <v>145.19999999999999</v>
      </c>
      <c r="BO58" s="3185"/>
      <c r="BP58" s="3185"/>
      <c r="BQ58" s="3185"/>
      <c r="BR58" s="3185"/>
      <c r="BS58" s="3185"/>
      <c r="BT58" s="3185"/>
      <c r="BU58" s="3185"/>
      <c r="BV58" s="3185"/>
      <c r="BW58" s="3185"/>
      <c r="BX58" s="3185"/>
      <c r="BY58" s="3185"/>
      <c r="BZ58" s="3185"/>
      <c r="CA58" s="3185"/>
      <c r="CB58" s="3185"/>
      <c r="CC58" s="3185"/>
      <c r="CD58" s="3185"/>
      <c r="CE58" s="3185"/>
      <c r="CF58" s="3185"/>
      <c r="CG58" s="3185"/>
      <c r="CH58" s="3185"/>
      <c r="CI58" s="3185">
        <f t="shared" si="0"/>
        <v>1907.4999999999998</v>
      </c>
    </row>
    <row r="59" spans="1:87">
      <c r="A59" s="431" t="s">
        <v>3709</v>
      </c>
      <c r="B59" s="225"/>
      <c r="C59" s="225" t="s">
        <v>2373</v>
      </c>
      <c r="D59" s="908" t="s">
        <v>65</v>
      </c>
      <c r="E59" s="945" t="s">
        <v>2583</v>
      </c>
      <c r="F59" s="226">
        <v>10000000</v>
      </c>
      <c r="G59" s="226"/>
      <c r="H59" s="226">
        <v>100</v>
      </c>
      <c r="I59" s="226">
        <v>68.45</v>
      </c>
      <c r="J59" s="226">
        <v>31.55</v>
      </c>
      <c r="K59" s="226"/>
      <c r="L59" s="277"/>
      <c r="M59" s="297">
        <f>L59/100000</f>
        <v>0</v>
      </c>
      <c r="N59" s="277"/>
      <c r="O59" s="210">
        <f>M59*N59</f>
        <v>0</v>
      </c>
      <c r="P59" s="171"/>
      <c r="Q59" s="1003">
        <f>'Ab3. ASHA'!Q57</f>
        <v>0</v>
      </c>
      <c r="R59" s="3002">
        <f>'Ab3. ASHA'!R57</f>
        <v>0</v>
      </c>
      <c r="S59" s="1172"/>
      <c r="T59" s="1172"/>
      <c r="U59" s="1172"/>
      <c r="V59" s="1172"/>
      <c r="W59" s="1172"/>
      <c r="X59" s="1172"/>
      <c r="Y59" s="1172"/>
      <c r="Z59" s="1172"/>
      <c r="AA59" s="1172"/>
      <c r="AB59" s="1172"/>
      <c r="AC59" s="1172"/>
      <c r="AD59" s="1172"/>
      <c r="AE59" s="1172"/>
      <c r="AF59" s="1172"/>
      <c r="AG59" s="1172"/>
      <c r="AH59" s="1172"/>
      <c r="AI59" s="1172"/>
      <c r="AJ59" s="1172"/>
      <c r="AK59" s="1172"/>
      <c r="AL59" s="1172"/>
      <c r="AM59" s="1172"/>
      <c r="AN59" s="1172"/>
      <c r="AO59" s="1172"/>
      <c r="AP59" s="1172"/>
      <c r="AQ59" s="1172"/>
      <c r="AR59" s="1172"/>
      <c r="AS59" s="1172"/>
      <c r="AT59" s="1172"/>
      <c r="AU59" s="1172"/>
      <c r="AV59" s="1172"/>
      <c r="AW59" s="1172"/>
      <c r="AX59" s="1172"/>
      <c r="AY59" s="1172"/>
      <c r="AZ59" s="1172"/>
      <c r="BA59" s="1172"/>
      <c r="BB59" s="897"/>
      <c r="BC59" s="897"/>
      <c r="BD59" s="897"/>
      <c r="BE59" s="897"/>
      <c r="BF59" s="897"/>
      <c r="BG59" s="897"/>
      <c r="BH59" s="897"/>
      <c r="BI59" s="897"/>
      <c r="BJ59" s="897"/>
      <c r="BK59" s="897"/>
      <c r="BL59" s="897"/>
      <c r="BM59" s="897"/>
      <c r="BN59" s="897"/>
      <c r="BO59" s="897"/>
      <c r="BP59" s="897"/>
      <c r="BQ59" s="897"/>
      <c r="BR59" s="897"/>
      <c r="BS59" s="897"/>
      <c r="BT59" s="897"/>
      <c r="BU59" s="897"/>
      <c r="BV59" s="897"/>
      <c r="BW59" s="897"/>
      <c r="BX59" s="897"/>
      <c r="BY59" s="897"/>
      <c r="BZ59" s="897"/>
      <c r="CA59" s="897"/>
      <c r="CB59" s="897"/>
      <c r="CC59" s="897"/>
      <c r="CD59" s="897"/>
      <c r="CE59" s="897"/>
      <c r="CF59" s="897"/>
      <c r="CG59" s="897"/>
      <c r="CH59" s="897"/>
      <c r="CI59" s="3185">
        <f t="shared" si="0"/>
        <v>0</v>
      </c>
    </row>
    <row r="60" spans="1:87">
      <c r="A60" s="3897"/>
      <c r="B60" s="3897"/>
      <c r="C60" s="3897"/>
      <c r="D60" s="908" t="s">
        <v>65</v>
      </c>
      <c r="E60" s="1151"/>
      <c r="F60" s="219"/>
      <c r="G60" s="219"/>
      <c r="H60" s="219"/>
      <c r="I60" s="219"/>
      <c r="J60" s="268"/>
      <c r="K60" s="219"/>
      <c r="L60" s="1216"/>
      <c r="M60" s="940"/>
      <c r="N60" s="257"/>
      <c r="O60" s="1155"/>
      <c r="P60" s="1218"/>
      <c r="Q60" s="1156"/>
      <c r="R60" s="3484"/>
      <c r="S60" s="1172"/>
      <c r="T60" s="1172"/>
      <c r="U60" s="1172"/>
      <c r="V60" s="1172"/>
      <c r="W60" s="1172"/>
      <c r="X60" s="1172"/>
      <c r="Y60" s="1172"/>
      <c r="Z60" s="1172"/>
      <c r="AA60" s="1172"/>
      <c r="AB60" s="1172"/>
      <c r="AC60" s="1172"/>
      <c r="AD60" s="1172"/>
      <c r="AE60" s="1172"/>
      <c r="AF60" s="1172"/>
      <c r="AG60" s="1172"/>
      <c r="AH60" s="1172"/>
      <c r="AI60" s="1172"/>
      <c r="AJ60" s="1172"/>
      <c r="AK60" s="1172"/>
      <c r="AL60" s="1172"/>
      <c r="AM60" s="1172"/>
      <c r="AN60" s="1172"/>
      <c r="AO60" s="1172"/>
      <c r="AP60" s="1172"/>
      <c r="AQ60" s="1172"/>
      <c r="AR60" s="1172"/>
      <c r="AS60" s="1172"/>
      <c r="AT60" s="1172"/>
      <c r="AU60" s="1172"/>
      <c r="AV60" s="1172"/>
      <c r="AW60" s="1172"/>
      <c r="AX60" s="1172"/>
      <c r="AY60" s="1172"/>
      <c r="AZ60" s="1172"/>
      <c r="BA60" s="1172"/>
      <c r="BB60" s="897"/>
      <c r="BC60" s="897"/>
      <c r="BD60" s="897"/>
      <c r="BE60" s="897"/>
      <c r="BF60" s="897"/>
      <c r="BG60" s="897"/>
      <c r="BH60" s="897"/>
      <c r="BI60" s="897"/>
      <c r="BJ60" s="897"/>
      <c r="BK60" s="897"/>
      <c r="BL60" s="897"/>
      <c r="BM60" s="897"/>
      <c r="BN60" s="897"/>
      <c r="BO60" s="897"/>
      <c r="BP60" s="897"/>
      <c r="BQ60" s="897"/>
      <c r="BR60" s="897"/>
      <c r="BS60" s="897"/>
      <c r="BT60" s="897"/>
      <c r="BU60" s="897"/>
      <c r="BV60" s="897"/>
      <c r="BW60" s="897"/>
      <c r="BX60" s="897"/>
      <c r="BY60" s="897"/>
      <c r="BZ60" s="897"/>
      <c r="CA60" s="897"/>
      <c r="CB60" s="897"/>
      <c r="CC60" s="897"/>
      <c r="CD60" s="897"/>
      <c r="CE60" s="897"/>
      <c r="CF60" s="897"/>
      <c r="CG60" s="897"/>
      <c r="CH60" s="897"/>
      <c r="CI60" s="3185">
        <f t="shared" si="0"/>
        <v>0</v>
      </c>
    </row>
    <row r="61" spans="1:87">
      <c r="A61" s="1159" t="s">
        <v>42</v>
      </c>
      <c r="B61" s="1160" t="s">
        <v>218</v>
      </c>
      <c r="C61" s="1161" t="s">
        <v>219</v>
      </c>
      <c r="D61" s="908" t="s">
        <v>65</v>
      </c>
      <c r="E61" s="1162" t="s">
        <v>2583</v>
      </c>
      <c r="F61" s="301"/>
      <c r="G61" s="301"/>
      <c r="H61" s="301"/>
      <c r="I61" s="301"/>
      <c r="J61" s="301"/>
      <c r="K61" s="301"/>
      <c r="L61" s="301"/>
      <c r="M61" s="1164"/>
      <c r="N61" s="302"/>
      <c r="O61" s="303">
        <f>SUM(O62:O67)</f>
        <v>235.92617999999999</v>
      </c>
      <c r="P61" s="715"/>
      <c r="Q61" s="1167"/>
      <c r="R61" s="3000">
        <f>SUM(R62:R67)</f>
        <v>235.93</v>
      </c>
      <c r="S61" s="1172"/>
      <c r="T61" s="1172"/>
      <c r="U61" s="1172"/>
      <c r="V61" s="1172"/>
      <c r="W61" s="1172"/>
      <c r="X61" s="1172"/>
      <c r="Y61" s="1172"/>
      <c r="Z61" s="1172"/>
      <c r="AA61" s="1172"/>
      <c r="AB61" s="1172"/>
      <c r="AC61" s="1172"/>
      <c r="AD61" s="1172"/>
      <c r="AE61" s="1172"/>
      <c r="AF61" s="1172"/>
      <c r="AG61" s="1172"/>
      <c r="AH61" s="1172"/>
      <c r="AI61" s="1172"/>
      <c r="AJ61" s="1172"/>
      <c r="AK61" s="1172"/>
      <c r="AL61" s="1172"/>
      <c r="AM61" s="1172"/>
      <c r="AN61" s="1172"/>
      <c r="AO61" s="1172"/>
      <c r="AP61" s="1172"/>
      <c r="AQ61" s="1172"/>
      <c r="AR61" s="1172"/>
      <c r="AS61" s="1172"/>
      <c r="AT61" s="1172"/>
      <c r="AU61" s="1172"/>
      <c r="AV61" s="1172"/>
      <c r="AW61" s="1172"/>
      <c r="AX61" s="1172"/>
      <c r="AY61" s="1172"/>
      <c r="AZ61" s="1172"/>
      <c r="BA61" s="1172"/>
      <c r="BB61" s="3000"/>
      <c r="BC61" s="3000"/>
      <c r="BD61" s="3000"/>
      <c r="BE61" s="3000"/>
      <c r="BF61" s="3000"/>
      <c r="BG61" s="3000"/>
      <c r="BH61" s="3000"/>
      <c r="BI61" s="3000"/>
      <c r="BJ61" s="3000"/>
      <c r="BK61" s="3000"/>
      <c r="BL61" s="3000"/>
      <c r="BM61" s="3000"/>
      <c r="BN61" s="3000"/>
      <c r="BO61" s="3000"/>
      <c r="BP61" s="3000"/>
      <c r="BQ61" s="3000"/>
      <c r="BR61" s="3000"/>
      <c r="BS61" s="3000"/>
      <c r="BT61" s="3000"/>
      <c r="BU61" s="3000"/>
      <c r="BV61" s="3000"/>
      <c r="BW61" s="3000"/>
      <c r="BX61" s="3000"/>
      <c r="BY61" s="3000"/>
      <c r="BZ61" s="3000"/>
      <c r="CA61" s="3000"/>
      <c r="CB61" s="3000"/>
      <c r="CC61" s="3000"/>
      <c r="CD61" s="3000"/>
      <c r="CE61" s="3000"/>
      <c r="CF61" s="3000"/>
      <c r="CG61" s="3000"/>
      <c r="CH61" s="3000"/>
      <c r="CI61" s="3185">
        <f t="shared" si="0"/>
        <v>0</v>
      </c>
    </row>
    <row r="62" spans="1:87" s="1169" customFormat="1" ht="45.75">
      <c r="A62" s="391" t="s">
        <v>220</v>
      </c>
      <c r="B62" s="233" t="s">
        <v>224</v>
      </c>
      <c r="C62" s="1179" t="s">
        <v>225</v>
      </c>
      <c r="D62" s="982" t="s">
        <v>65</v>
      </c>
      <c r="E62" s="2326" t="s">
        <v>2583</v>
      </c>
      <c r="F62" s="2669">
        <v>14</v>
      </c>
      <c r="G62" s="2666"/>
      <c r="H62" s="2671">
        <v>24.92</v>
      </c>
      <c r="I62" s="2671">
        <v>1.2</v>
      </c>
      <c r="J62" s="2669">
        <v>23.72</v>
      </c>
      <c r="K62" s="230">
        <v>1</v>
      </c>
      <c r="L62" s="2318">
        <v>216200</v>
      </c>
      <c r="M62" s="298">
        <f t="shared" ref="M62:M71" si="8">L62/100000</f>
        <v>2.1619999999999999</v>
      </c>
      <c r="N62" s="2318">
        <v>5</v>
      </c>
      <c r="O62" s="212">
        <f>M62*N62</f>
        <v>10.809999999999999</v>
      </c>
      <c r="P62" s="2329" t="s">
        <v>5142</v>
      </c>
      <c r="Q62" s="2257" t="str">
        <f>'Ab3. ASHA'!Q59</f>
        <v>Recommended for approvalRs. 10.81L for induction training of 5 batches of ASHAs @ 2.16L per batch.</v>
      </c>
      <c r="R62" s="3001">
        <f>'Ab3. ASHA'!R59</f>
        <v>10.81</v>
      </c>
      <c r="S62" s="1168"/>
      <c r="T62" s="1168"/>
      <c r="U62" s="1168"/>
      <c r="V62" s="1168"/>
      <c r="W62" s="1168"/>
      <c r="X62" s="1168"/>
      <c r="Y62" s="1168"/>
      <c r="Z62" s="1168"/>
      <c r="AA62" s="1168"/>
      <c r="AB62" s="1168"/>
      <c r="AC62" s="1168"/>
      <c r="AD62" s="1168"/>
      <c r="AE62" s="1168"/>
      <c r="AF62" s="1168"/>
      <c r="AG62" s="1168"/>
      <c r="AH62" s="1168"/>
      <c r="AI62" s="1168"/>
      <c r="AJ62" s="1168"/>
      <c r="AK62" s="1168"/>
      <c r="AL62" s="1168"/>
      <c r="AM62" s="1168"/>
      <c r="AN62" s="1168"/>
      <c r="AO62" s="1168"/>
      <c r="AP62" s="1168"/>
      <c r="AQ62" s="1168"/>
      <c r="AR62" s="1168"/>
      <c r="AS62" s="1168"/>
      <c r="AT62" s="1168"/>
      <c r="AU62" s="1168"/>
      <c r="AV62" s="1168"/>
      <c r="AW62" s="1168"/>
      <c r="AX62" s="1168"/>
      <c r="AY62" s="1168"/>
      <c r="AZ62" s="1168"/>
      <c r="BA62" s="1168"/>
      <c r="BB62" s="3185">
        <v>4.33</v>
      </c>
      <c r="BC62" s="3185">
        <v>2.16</v>
      </c>
      <c r="BD62" s="3185"/>
      <c r="BE62" s="3185"/>
      <c r="BF62" s="3185"/>
      <c r="BG62" s="3185"/>
      <c r="BH62" s="3185"/>
      <c r="BI62" s="3185"/>
      <c r="BJ62" s="3185"/>
      <c r="BK62" s="3185">
        <v>2.16</v>
      </c>
      <c r="BL62" s="3185"/>
      <c r="BM62" s="3185">
        <v>2.16</v>
      </c>
      <c r="BN62" s="3185"/>
      <c r="BO62" s="3185"/>
      <c r="BP62" s="3185"/>
      <c r="BQ62" s="3185"/>
      <c r="BR62" s="3185"/>
      <c r="BS62" s="3185"/>
      <c r="BT62" s="3185"/>
      <c r="BU62" s="3185"/>
      <c r="BV62" s="3185"/>
      <c r="BW62" s="3185"/>
      <c r="BX62" s="3185"/>
      <c r="BY62" s="3185"/>
      <c r="BZ62" s="3185"/>
      <c r="CA62" s="3185"/>
      <c r="CB62" s="3185"/>
      <c r="CC62" s="3185"/>
      <c r="CD62" s="3185"/>
      <c r="CE62" s="3185"/>
      <c r="CF62" s="3185"/>
      <c r="CG62" s="3185"/>
      <c r="CH62" s="3185"/>
      <c r="CI62" s="3185">
        <f t="shared" si="0"/>
        <v>10.81</v>
      </c>
    </row>
    <row r="63" spans="1:87" s="1169" customFormat="1" ht="60.75">
      <c r="A63" s="391" t="s">
        <v>223</v>
      </c>
      <c r="B63" s="233" t="s">
        <v>227</v>
      </c>
      <c r="C63" s="1179" t="s">
        <v>228</v>
      </c>
      <c r="D63" s="982" t="s">
        <v>65</v>
      </c>
      <c r="E63" s="2326" t="s">
        <v>2583</v>
      </c>
      <c r="F63" s="2669">
        <v>14</v>
      </c>
      <c r="G63" s="2670"/>
      <c r="H63" s="2671">
        <v>16.21</v>
      </c>
      <c r="I63" s="2671">
        <v>3.13</v>
      </c>
      <c r="J63" s="474">
        <v>5.91</v>
      </c>
      <c r="K63" s="230">
        <v>1</v>
      </c>
      <c r="L63" s="2318">
        <v>151685</v>
      </c>
      <c r="M63" s="298">
        <f t="shared" si="8"/>
        <v>1.51685</v>
      </c>
      <c r="N63" s="2318">
        <v>32</v>
      </c>
      <c r="O63" s="212">
        <f>M63*N63</f>
        <v>48.539200000000001</v>
      </c>
      <c r="P63" s="2329" t="s">
        <v>5143</v>
      </c>
      <c r="Q63" s="2257" t="str">
        <f>'Ab3. ASHA'!Q60</f>
        <v>Recommended for approvalRs. 48.54L for Module 6&amp;7 training of 32 batches of ASHAs @ 1.52L per batch</v>
      </c>
      <c r="R63" s="3001">
        <f>'Ab3. ASHA'!R60</f>
        <v>48.54</v>
      </c>
      <c r="S63" s="1168"/>
      <c r="T63" s="1168"/>
      <c r="U63" s="1168"/>
      <c r="V63" s="1168"/>
      <c r="W63" s="1168"/>
      <c r="X63" s="1168"/>
      <c r="Y63" s="1168"/>
      <c r="Z63" s="1168"/>
      <c r="AA63" s="1168"/>
      <c r="AB63" s="1168"/>
      <c r="AC63" s="1168"/>
      <c r="AD63" s="1168"/>
      <c r="AE63" s="1168"/>
      <c r="AF63" s="1168"/>
      <c r="AG63" s="1168"/>
      <c r="AH63" s="1168"/>
      <c r="AI63" s="1168"/>
      <c r="AJ63" s="1168"/>
      <c r="AK63" s="1168"/>
      <c r="AL63" s="1168"/>
      <c r="AM63" s="1168"/>
      <c r="AN63" s="1168"/>
      <c r="AO63" s="1168"/>
      <c r="AP63" s="1168"/>
      <c r="AQ63" s="1168"/>
      <c r="AR63" s="1168"/>
      <c r="AS63" s="1168"/>
      <c r="AT63" s="1168"/>
      <c r="AU63" s="1168"/>
      <c r="AV63" s="1168"/>
      <c r="AW63" s="1168"/>
      <c r="AX63" s="1168"/>
      <c r="AY63" s="1168"/>
      <c r="AZ63" s="1168"/>
      <c r="BA63" s="1168"/>
      <c r="BB63" s="3185"/>
      <c r="BC63" s="3185"/>
      <c r="BD63" s="3185">
        <v>3.04</v>
      </c>
      <c r="BE63" s="3185">
        <v>6.08</v>
      </c>
      <c r="BF63" s="3185">
        <v>6.08</v>
      </c>
      <c r="BG63" s="3185">
        <v>0</v>
      </c>
      <c r="BH63" s="3185">
        <v>3.04</v>
      </c>
      <c r="BI63" s="3185">
        <v>0</v>
      </c>
      <c r="BJ63" s="3185">
        <v>4.5599999999999996</v>
      </c>
      <c r="BK63" s="3185">
        <v>13.58</v>
      </c>
      <c r="BL63" s="3185">
        <v>3.04</v>
      </c>
      <c r="BM63" s="3185">
        <v>4.5599999999999996</v>
      </c>
      <c r="BN63" s="3185">
        <v>4.5599999999999996</v>
      </c>
      <c r="BO63" s="3185"/>
      <c r="BP63" s="3185"/>
      <c r="BQ63" s="3185"/>
      <c r="BR63" s="3185"/>
      <c r="BS63" s="3185"/>
      <c r="BT63" s="3185"/>
      <c r="BU63" s="3185"/>
      <c r="BV63" s="3185"/>
      <c r="BW63" s="3185"/>
      <c r="BX63" s="3185"/>
      <c r="BY63" s="3185"/>
      <c r="BZ63" s="3185"/>
      <c r="CA63" s="3185"/>
      <c r="CB63" s="3185"/>
      <c r="CC63" s="3185"/>
      <c r="CD63" s="3185"/>
      <c r="CE63" s="3185"/>
      <c r="CF63" s="3185"/>
      <c r="CG63" s="3185"/>
      <c r="CH63" s="3185"/>
      <c r="CI63" s="3185">
        <f t="shared" si="0"/>
        <v>48.540000000000006</v>
      </c>
    </row>
    <row r="64" spans="1:87" s="1169" customFormat="1" ht="121.5">
      <c r="A64" s="391" t="s">
        <v>229</v>
      </c>
      <c r="B64" s="586" t="s">
        <v>232</v>
      </c>
      <c r="C64" s="586" t="s">
        <v>233</v>
      </c>
      <c r="D64" s="982" t="s">
        <v>65</v>
      </c>
      <c r="E64" s="2326" t="s">
        <v>2583</v>
      </c>
      <c r="F64" s="2678">
        <v>40</v>
      </c>
      <c r="G64" s="2670"/>
      <c r="H64" s="2671">
        <v>96.4</v>
      </c>
      <c r="I64" s="232"/>
      <c r="J64" s="2330"/>
      <c r="K64" s="2331">
        <v>1</v>
      </c>
      <c r="L64" s="2318">
        <v>315560</v>
      </c>
      <c r="M64" s="298">
        <f t="shared" si="8"/>
        <v>3.1556000000000002</v>
      </c>
      <c r="N64" s="2318">
        <v>30</v>
      </c>
      <c r="O64" s="212">
        <f>M64*N64</f>
        <v>94.668000000000006</v>
      </c>
      <c r="P64" s="2332" t="s">
        <v>5144</v>
      </c>
      <c r="Q64" s="2257" t="str">
        <f>'Ab3. ASHA'!Q61</f>
        <v>Recommended for approvalRs. 94.67L for NIOS Certification Training for 30 batches of ASHAs @ 3.16 L per batch</v>
      </c>
      <c r="R64" s="3001">
        <f>'Ab3. ASHA'!R61</f>
        <v>94.67</v>
      </c>
      <c r="S64" s="1168"/>
      <c r="T64" s="1168"/>
      <c r="U64" s="1168"/>
      <c r="V64" s="1168"/>
      <c r="W64" s="1168"/>
      <c r="X64" s="1168"/>
      <c r="Y64" s="1168"/>
      <c r="Z64" s="1168"/>
      <c r="AA64" s="1168"/>
      <c r="AB64" s="1168"/>
      <c r="AC64" s="1168"/>
      <c r="AD64" s="1168"/>
      <c r="AE64" s="1168"/>
      <c r="AF64" s="1168"/>
      <c r="AG64" s="1168"/>
      <c r="AH64" s="1168"/>
      <c r="AI64" s="1168"/>
      <c r="AJ64" s="1168"/>
      <c r="AK64" s="1168"/>
      <c r="AL64" s="1168"/>
      <c r="AM64" s="1168"/>
      <c r="AN64" s="1168"/>
      <c r="AO64" s="1168"/>
      <c r="AP64" s="1168"/>
      <c r="AQ64" s="1168"/>
      <c r="AR64" s="1168"/>
      <c r="AS64" s="1168"/>
      <c r="AT64" s="1168"/>
      <c r="AU64" s="1168"/>
      <c r="AV64" s="1168"/>
      <c r="AW64" s="1168"/>
      <c r="AX64" s="1168"/>
      <c r="AY64" s="1168"/>
      <c r="AZ64" s="1168"/>
      <c r="BA64" s="1168"/>
      <c r="BB64" s="3185">
        <v>31.47</v>
      </c>
      <c r="BC64" s="3185"/>
      <c r="BD64" s="3185"/>
      <c r="BE64" s="3185"/>
      <c r="BF64" s="3185"/>
      <c r="BG64" s="3185"/>
      <c r="BH64" s="3185">
        <v>15.8</v>
      </c>
      <c r="BI64" s="3185"/>
      <c r="BJ64" s="3185"/>
      <c r="BK64" s="3185"/>
      <c r="BL64" s="3185"/>
      <c r="BM64" s="3185"/>
      <c r="BN64" s="3185"/>
      <c r="BO64" s="3185"/>
      <c r="BP64" s="3185"/>
      <c r="BQ64" s="3185"/>
      <c r="BR64" s="3185"/>
      <c r="BS64" s="3185">
        <v>15.8</v>
      </c>
      <c r="BT64" s="3185"/>
      <c r="BU64" s="3185"/>
      <c r="BV64" s="3185"/>
      <c r="BW64" s="3185"/>
      <c r="BX64" s="3185"/>
      <c r="BY64" s="3185"/>
      <c r="BZ64" s="3185"/>
      <c r="CA64" s="3185"/>
      <c r="CB64" s="3185"/>
      <c r="CC64" s="3185"/>
      <c r="CD64" s="3185"/>
      <c r="CE64" s="3185"/>
      <c r="CF64" s="3185"/>
      <c r="CG64" s="3185">
        <v>15.8</v>
      </c>
      <c r="CH64" s="3185">
        <v>15.8</v>
      </c>
      <c r="CI64" s="3185">
        <f t="shared" si="0"/>
        <v>94.669999999999987</v>
      </c>
    </row>
    <row r="65" spans="1:87" s="1169" customFormat="1" ht="45.75">
      <c r="A65" s="1186" t="s">
        <v>3207</v>
      </c>
      <c r="B65" s="586"/>
      <c r="C65" s="1187" t="s">
        <v>3226</v>
      </c>
      <c r="D65" s="982" t="s">
        <v>65</v>
      </c>
      <c r="E65" s="2503" t="s">
        <v>2583</v>
      </c>
      <c r="F65" s="235">
        <v>63</v>
      </c>
      <c r="G65" s="235"/>
      <c r="H65" s="235">
        <v>84.04</v>
      </c>
      <c r="I65" s="235">
        <v>0.15</v>
      </c>
      <c r="J65" s="235">
        <v>83.89</v>
      </c>
      <c r="K65" s="2333">
        <v>1</v>
      </c>
      <c r="L65" s="2328">
        <v>190486</v>
      </c>
      <c r="M65" s="298">
        <f t="shared" si="8"/>
        <v>1.90486</v>
      </c>
      <c r="N65" s="2328">
        <v>43</v>
      </c>
      <c r="O65" s="212">
        <f>M65*N65</f>
        <v>81.90898</v>
      </c>
      <c r="P65" s="2334" t="s">
        <v>5151</v>
      </c>
      <c r="Q65" s="2257" t="str">
        <f>'Ab3. ASHA'!Q62</f>
        <v>Recommended for approvalRs. 81.91L for HBYC training of 43 batches of ASHAs @ 1.90L per batch Concerned Program Division may also comment</v>
      </c>
      <c r="R65" s="3001">
        <f>'Ab3. ASHA'!R62</f>
        <v>81.91</v>
      </c>
      <c r="S65" s="1168"/>
      <c r="T65" s="1168"/>
      <c r="U65" s="1168"/>
      <c r="V65" s="1168"/>
      <c r="W65" s="1168"/>
      <c r="X65" s="1168"/>
      <c r="Y65" s="1168"/>
      <c r="Z65" s="1168"/>
      <c r="AA65" s="1168"/>
      <c r="AB65" s="1168"/>
      <c r="AC65" s="1168"/>
      <c r="AD65" s="1168"/>
      <c r="AE65" s="1168"/>
      <c r="AF65" s="1168"/>
      <c r="AG65" s="1168"/>
      <c r="AH65" s="1168"/>
      <c r="AI65" s="1168"/>
      <c r="AJ65" s="1168"/>
      <c r="AK65" s="1168"/>
      <c r="AL65" s="1168"/>
      <c r="AM65" s="1168"/>
      <c r="AN65" s="1168"/>
      <c r="AO65" s="1168"/>
      <c r="AP65" s="1168"/>
      <c r="AQ65" s="1168"/>
      <c r="AR65" s="1168"/>
      <c r="AS65" s="1168"/>
      <c r="AT65" s="1168"/>
      <c r="AU65" s="1168"/>
      <c r="AV65" s="1168"/>
      <c r="AW65" s="1168"/>
      <c r="AX65" s="1168"/>
      <c r="AY65" s="1168"/>
      <c r="AZ65" s="1168"/>
      <c r="BA65" s="1168"/>
      <c r="BB65" s="3185">
        <v>15.41</v>
      </c>
      <c r="BC65" s="3185"/>
      <c r="BD65" s="3185">
        <v>9.5</v>
      </c>
      <c r="BE65" s="3185"/>
      <c r="BF65" s="3185"/>
      <c r="BG65" s="3185"/>
      <c r="BH65" s="3185"/>
      <c r="BI65" s="3185"/>
      <c r="BJ65" s="3185">
        <v>38</v>
      </c>
      <c r="BK65" s="3185"/>
      <c r="BL65" s="3185">
        <v>19</v>
      </c>
      <c r="BM65" s="3185"/>
      <c r="BN65" s="3185"/>
      <c r="BO65" s="3185"/>
      <c r="BP65" s="3185"/>
      <c r="BQ65" s="3185"/>
      <c r="BR65" s="3185"/>
      <c r="BS65" s="3185"/>
      <c r="BT65" s="3185"/>
      <c r="BU65" s="3185"/>
      <c r="BV65" s="3185"/>
      <c r="BW65" s="3185"/>
      <c r="BX65" s="3185"/>
      <c r="BY65" s="3185"/>
      <c r="BZ65" s="3185"/>
      <c r="CA65" s="3185"/>
      <c r="CB65" s="3185"/>
      <c r="CC65" s="3185"/>
      <c r="CD65" s="3185"/>
      <c r="CE65" s="3185"/>
      <c r="CF65" s="3185"/>
      <c r="CG65" s="3185"/>
      <c r="CH65" s="3185"/>
      <c r="CI65" s="3185">
        <f t="shared" si="0"/>
        <v>81.91</v>
      </c>
    </row>
    <row r="66" spans="1:87" s="1169" customFormat="1" ht="14.25" customHeight="1">
      <c r="A66" s="1186"/>
      <c r="B66" s="586"/>
      <c r="C66" s="2258" t="s">
        <v>4597</v>
      </c>
      <c r="D66" s="982" t="s">
        <v>65</v>
      </c>
      <c r="E66" s="2253" t="s">
        <v>2583</v>
      </c>
      <c r="F66" s="235"/>
      <c r="G66" s="235"/>
      <c r="H66" s="235"/>
      <c r="I66" s="235"/>
      <c r="J66" s="235"/>
      <c r="K66" s="284"/>
      <c r="L66" s="283"/>
      <c r="M66" s="298">
        <f t="shared" si="8"/>
        <v>0</v>
      </c>
      <c r="N66" s="283"/>
      <c r="O66" s="212">
        <f>M66*N66</f>
        <v>0</v>
      </c>
      <c r="P66" s="2256"/>
      <c r="Q66" s="2257">
        <f>'Ab3. ASHA'!Q63</f>
        <v>0</v>
      </c>
      <c r="R66" s="3001">
        <f>'Ab3. ASHA'!R63</f>
        <v>0</v>
      </c>
      <c r="S66" s="1168"/>
      <c r="T66" s="1168"/>
      <c r="U66" s="1168"/>
      <c r="V66" s="1168"/>
      <c r="W66" s="1168"/>
      <c r="X66" s="1168"/>
      <c r="Y66" s="1168"/>
      <c r="Z66" s="1168"/>
      <c r="AA66" s="1168"/>
      <c r="AB66" s="1168"/>
      <c r="AC66" s="1168"/>
      <c r="AD66" s="1168"/>
      <c r="AE66" s="1168"/>
      <c r="AF66" s="1168"/>
      <c r="AG66" s="1168"/>
      <c r="AH66" s="1168"/>
      <c r="AI66" s="1168"/>
      <c r="AJ66" s="1168"/>
      <c r="AK66" s="1168"/>
      <c r="AL66" s="1168"/>
      <c r="AM66" s="1168"/>
      <c r="AN66" s="1168"/>
      <c r="AO66" s="1168"/>
      <c r="AP66" s="1168"/>
      <c r="AQ66" s="1168"/>
      <c r="AR66" s="1168"/>
      <c r="AS66" s="1168"/>
      <c r="AT66" s="1168"/>
      <c r="AU66" s="1168"/>
      <c r="AV66" s="1168"/>
      <c r="AW66" s="1168"/>
      <c r="AX66" s="1168"/>
      <c r="AY66" s="1168"/>
      <c r="AZ66" s="1168"/>
      <c r="BA66" s="1168"/>
      <c r="BB66" s="3185"/>
      <c r="BC66" s="3185"/>
      <c r="BD66" s="3185"/>
      <c r="BE66" s="3185"/>
      <c r="BF66" s="3185"/>
      <c r="BG66" s="3185"/>
      <c r="BH66" s="3185"/>
      <c r="BI66" s="3185"/>
      <c r="BJ66" s="3185"/>
      <c r="BK66" s="3185"/>
      <c r="BL66" s="3185"/>
      <c r="BM66" s="3185"/>
      <c r="BN66" s="3185"/>
      <c r="BO66" s="3185"/>
      <c r="BP66" s="3185"/>
      <c r="BQ66" s="3185"/>
      <c r="BR66" s="3185"/>
      <c r="BS66" s="3185"/>
      <c r="BT66" s="3185"/>
      <c r="BU66" s="3185"/>
      <c r="BV66" s="3185"/>
      <c r="BW66" s="3185"/>
      <c r="BX66" s="3185"/>
      <c r="BY66" s="3185"/>
      <c r="BZ66" s="3185"/>
      <c r="CA66" s="3185"/>
      <c r="CB66" s="3185"/>
      <c r="CC66" s="3185"/>
      <c r="CD66" s="3185"/>
      <c r="CE66" s="3185"/>
      <c r="CF66" s="3185"/>
      <c r="CG66" s="3185"/>
      <c r="CH66" s="3185"/>
      <c r="CI66" s="3185">
        <f t="shared" si="0"/>
        <v>0</v>
      </c>
    </row>
    <row r="67" spans="1:87" s="1169" customFormat="1">
      <c r="A67" s="1186"/>
      <c r="B67" s="586"/>
      <c r="C67" s="2258" t="s">
        <v>4598</v>
      </c>
      <c r="D67" s="982" t="s">
        <v>65</v>
      </c>
      <c r="E67" s="2253" t="s">
        <v>2583</v>
      </c>
      <c r="F67" s="235"/>
      <c r="G67" s="235"/>
      <c r="H67" s="235"/>
      <c r="I67" s="235"/>
      <c r="J67" s="235"/>
      <c r="K67" s="284"/>
      <c r="L67" s="283"/>
      <c r="M67" s="298">
        <f t="shared" si="8"/>
        <v>0</v>
      </c>
      <c r="N67" s="283"/>
      <c r="O67" s="1189">
        <f>SUM(O68:O71)</f>
        <v>0</v>
      </c>
      <c r="P67" s="2256"/>
      <c r="Q67" s="2257"/>
      <c r="R67" s="3485">
        <f>SUM(R68:R71)</f>
        <v>0</v>
      </c>
      <c r="S67" s="1168"/>
      <c r="T67" s="1168"/>
      <c r="U67" s="1168"/>
      <c r="V67" s="1168"/>
      <c r="W67" s="1168"/>
      <c r="X67" s="1168"/>
      <c r="Y67" s="1168"/>
      <c r="Z67" s="1168"/>
      <c r="AA67" s="1168"/>
      <c r="AB67" s="1168"/>
      <c r="AC67" s="1168"/>
      <c r="AD67" s="1168"/>
      <c r="AE67" s="1168"/>
      <c r="AF67" s="1168"/>
      <c r="AG67" s="1168"/>
      <c r="AH67" s="1168"/>
      <c r="AI67" s="1168"/>
      <c r="AJ67" s="1168"/>
      <c r="AK67" s="1168"/>
      <c r="AL67" s="1168"/>
      <c r="AM67" s="1168"/>
      <c r="AN67" s="1168"/>
      <c r="AO67" s="1168"/>
      <c r="AP67" s="1168"/>
      <c r="AQ67" s="1168"/>
      <c r="AR67" s="1168"/>
      <c r="AS67" s="1168"/>
      <c r="AT67" s="1168"/>
      <c r="AU67" s="1168"/>
      <c r="AV67" s="1168"/>
      <c r="AW67" s="1168"/>
      <c r="AX67" s="1168"/>
      <c r="AY67" s="1168"/>
      <c r="AZ67" s="1168"/>
      <c r="BA67" s="1168"/>
      <c r="BB67" s="3185"/>
      <c r="BC67" s="3185"/>
      <c r="BD67" s="3185"/>
      <c r="BE67" s="3185"/>
      <c r="BF67" s="3185"/>
      <c r="BG67" s="3185"/>
      <c r="BH67" s="3185"/>
      <c r="BI67" s="3185"/>
      <c r="BJ67" s="3185"/>
      <c r="BK67" s="3185"/>
      <c r="BL67" s="3185"/>
      <c r="BM67" s="3185"/>
      <c r="BN67" s="3185"/>
      <c r="BO67" s="3185"/>
      <c r="BP67" s="3185"/>
      <c r="BQ67" s="3185"/>
      <c r="BR67" s="3185"/>
      <c r="BS67" s="3185"/>
      <c r="BT67" s="3185"/>
      <c r="BU67" s="3185"/>
      <c r="BV67" s="3185"/>
      <c r="BW67" s="3185"/>
      <c r="BX67" s="3185"/>
      <c r="BY67" s="3185"/>
      <c r="BZ67" s="3185"/>
      <c r="CA67" s="3185"/>
      <c r="CB67" s="3185"/>
      <c r="CC67" s="3185"/>
      <c r="CD67" s="3185"/>
      <c r="CE67" s="3185"/>
      <c r="CF67" s="3185"/>
      <c r="CG67" s="3185"/>
      <c r="CH67" s="3185"/>
      <c r="CI67" s="3185">
        <f t="shared" si="0"/>
        <v>0</v>
      </c>
    </row>
    <row r="68" spans="1:87">
      <c r="A68" s="391" t="s">
        <v>226</v>
      </c>
      <c r="B68" s="233" t="s">
        <v>230</v>
      </c>
      <c r="C68" s="1188" t="s">
        <v>4599</v>
      </c>
      <c r="D68" s="908" t="s">
        <v>65</v>
      </c>
      <c r="E68" s="1019" t="s">
        <v>2583</v>
      </c>
      <c r="F68" s="2669">
        <v>0</v>
      </c>
      <c r="G68" s="2670"/>
      <c r="H68" s="2669">
        <v>0</v>
      </c>
      <c r="I68" s="235"/>
      <c r="J68" s="235"/>
      <c r="K68" s="235"/>
      <c r="L68" s="277"/>
      <c r="M68" s="298">
        <f t="shared" si="8"/>
        <v>0</v>
      </c>
      <c r="N68" s="277"/>
      <c r="O68" s="212">
        <f>M68*N68</f>
        <v>0</v>
      </c>
      <c r="P68" s="171"/>
      <c r="Q68" s="1003">
        <f>'Ab3. ASHA'!Q65</f>
        <v>0</v>
      </c>
      <c r="R68" s="3002">
        <f>'Ab3. ASHA'!R65</f>
        <v>0</v>
      </c>
      <c r="S68" s="1172"/>
      <c r="T68" s="1172"/>
      <c r="U68" s="1172"/>
      <c r="V68" s="1172"/>
      <c r="W68" s="1172"/>
      <c r="X68" s="1172"/>
      <c r="Y68" s="1172"/>
      <c r="Z68" s="1172"/>
      <c r="AA68" s="1172"/>
      <c r="AB68" s="1172"/>
      <c r="AC68" s="1172"/>
      <c r="AD68" s="1172"/>
      <c r="AE68" s="1172"/>
      <c r="AF68" s="1172"/>
      <c r="AG68" s="1172"/>
      <c r="AH68" s="1172"/>
      <c r="AI68" s="1172"/>
      <c r="AJ68" s="1172"/>
      <c r="AK68" s="1172"/>
      <c r="AL68" s="1172"/>
      <c r="AM68" s="1172"/>
      <c r="AN68" s="1172"/>
      <c r="AO68" s="1172"/>
      <c r="AP68" s="1172"/>
      <c r="AQ68" s="1172"/>
      <c r="AR68" s="1172"/>
      <c r="AS68" s="1172"/>
      <c r="AT68" s="1172"/>
      <c r="AU68" s="1172"/>
      <c r="AV68" s="1172"/>
      <c r="AW68" s="1172"/>
      <c r="AX68" s="1172"/>
      <c r="AY68" s="1172"/>
      <c r="AZ68" s="1172"/>
      <c r="BA68" s="1172"/>
      <c r="BB68" s="897"/>
      <c r="BC68" s="897"/>
      <c r="BD68" s="897"/>
      <c r="BE68" s="897"/>
      <c r="BF68" s="897"/>
      <c r="BG68" s="897"/>
      <c r="BH68" s="897"/>
      <c r="BI68" s="897"/>
      <c r="BJ68" s="897"/>
      <c r="BK68" s="897"/>
      <c r="BL68" s="897"/>
      <c r="BM68" s="897"/>
      <c r="BN68" s="897"/>
      <c r="BO68" s="897"/>
      <c r="BP68" s="897"/>
      <c r="BQ68" s="897"/>
      <c r="BR68" s="897"/>
      <c r="BS68" s="897"/>
      <c r="BT68" s="897"/>
      <c r="BU68" s="897"/>
      <c r="BV68" s="897"/>
      <c r="BW68" s="897"/>
      <c r="BX68" s="897"/>
      <c r="BY68" s="897"/>
      <c r="BZ68" s="897"/>
      <c r="CA68" s="897"/>
      <c r="CB68" s="897"/>
      <c r="CC68" s="897"/>
      <c r="CD68" s="897"/>
      <c r="CE68" s="897"/>
      <c r="CF68" s="897"/>
      <c r="CG68" s="897"/>
      <c r="CH68" s="897"/>
      <c r="CI68" s="3185">
        <f t="shared" si="0"/>
        <v>0</v>
      </c>
    </row>
    <row r="69" spans="1:87" ht="75">
      <c r="A69" s="391" t="s">
        <v>231</v>
      </c>
      <c r="B69" s="521" t="s">
        <v>221</v>
      </c>
      <c r="C69" s="521" t="s">
        <v>222</v>
      </c>
      <c r="D69" s="908" t="s">
        <v>65</v>
      </c>
      <c r="E69" s="1019" t="s">
        <v>2583</v>
      </c>
      <c r="F69" s="279">
        <v>0</v>
      </c>
      <c r="G69" s="279"/>
      <c r="H69" s="279">
        <v>0</v>
      </c>
      <c r="I69" s="279"/>
      <c r="J69" s="279"/>
      <c r="K69" s="279"/>
      <c r="L69" s="277"/>
      <c r="M69" s="298">
        <f t="shared" si="8"/>
        <v>0</v>
      </c>
      <c r="N69" s="277"/>
      <c r="O69" s="212">
        <f>M69*N69</f>
        <v>0</v>
      </c>
      <c r="P69" s="171"/>
      <c r="Q69" s="1003">
        <f>'Ab3. ASHA'!Q66</f>
        <v>0</v>
      </c>
      <c r="R69" s="3002">
        <f>'Ab3. ASHA'!R66</f>
        <v>0</v>
      </c>
      <c r="S69" s="1172"/>
      <c r="T69" s="1172"/>
      <c r="U69" s="1172"/>
      <c r="V69" s="1172"/>
      <c r="W69" s="1172"/>
      <c r="X69" s="1172"/>
      <c r="Y69" s="1172"/>
      <c r="Z69" s="1172"/>
      <c r="AA69" s="1172"/>
      <c r="AB69" s="1172"/>
      <c r="AC69" s="1172"/>
      <c r="AD69" s="1172"/>
      <c r="AE69" s="1172"/>
      <c r="AF69" s="1172"/>
      <c r="AG69" s="1172"/>
      <c r="AH69" s="1172"/>
      <c r="AI69" s="1172"/>
      <c r="AJ69" s="1172"/>
      <c r="AK69" s="1172"/>
      <c r="AL69" s="1172"/>
      <c r="AM69" s="1172"/>
      <c r="AN69" s="1172"/>
      <c r="AO69" s="1172"/>
      <c r="AP69" s="1172"/>
      <c r="AQ69" s="1172"/>
      <c r="AR69" s="1172"/>
      <c r="AS69" s="1172"/>
      <c r="AT69" s="1172"/>
      <c r="AU69" s="1172"/>
      <c r="AV69" s="1172"/>
      <c r="AW69" s="1172"/>
      <c r="AX69" s="1172"/>
      <c r="AY69" s="1172"/>
      <c r="AZ69" s="1172"/>
      <c r="BA69" s="1172"/>
      <c r="BB69" s="897"/>
      <c r="BC69" s="897"/>
      <c r="BD69" s="897"/>
      <c r="BE69" s="897"/>
      <c r="BF69" s="897"/>
      <c r="BG69" s="897"/>
      <c r="BH69" s="897"/>
      <c r="BI69" s="897"/>
      <c r="BJ69" s="897"/>
      <c r="BK69" s="897"/>
      <c r="BL69" s="897"/>
      <c r="BM69" s="897"/>
      <c r="BN69" s="897"/>
      <c r="BO69" s="897"/>
      <c r="BP69" s="897"/>
      <c r="BQ69" s="897"/>
      <c r="BR69" s="897"/>
      <c r="BS69" s="897"/>
      <c r="BT69" s="897"/>
      <c r="BU69" s="897"/>
      <c r="BV69" s="897"/>
      <c r="BW69" s="897"/>
      <c r="BX69" s="897"/>
      <c r="BY69" s="897"/>
      <c r="BZ69" s="897"/>
      <c r="CA69" s="897"/>
      <c r="CB69" s="897"/>
      <c r="CC69" s="897"/>
      <c r="CD69" s="897"/>
      <c r="CE69" s="897"/>
      <c r="CF69" s="897"/>
      <c r="CG69" s="897"/>
      <c r="CH69" s="897"/>
      <c r="CI69" s="3185">
        <f t="shared" si="0"/>
        <v>0</v>
      </c>
    </row>
    <row r="70" spans="1:87" ht="30">
      <c r="A70" s="391" t="s">
        <v>2440</v>
      </c>
      <c r="B70" s="586" t="s">
        <v>999</v>
      </c>
      <c r="C70" s="586" t="s">
        <v>1000</v>
      </c>
      <c r="D70" s="908" t="s">
        <v>65</v>
      </c>
      <c r="E70" s="1019" t="s">
        <v>2583</v>
      </c>
      <c r="F70" s="235">
        <v>0</v>
      </c>
      <c r="G70" s="235"/>
      <c r="H70" s="235">
        <v>0</v>
      </c>
      <c r="I70" s="235"/>
      <c r="J70" s="235"/>
      <c r="K70" s="284"/>
      <c r="L70" s="277"/>
      <c r="M70" s="298">
        <f t="shared" si="8"/>
        <v>0</v>
      </c>
      <c r="N70" s="277"/>
      <c r="O70" s="212">
        <f>M70*N70</f>
        <v>0</v>
      </c>
      <c r="P70" s="171"/>
      <c r="Q70" s="1003">
        <f>'Ab3. ASHA'!Q67</f>
        <v>0</v>
      </c>
      <c r="R70" s="3002">
        <f>'Ab3. ASHA'!R67</f>
        <v>0</v>
      </c>
      <c r="S70" s="1172"/>
      <c r="T70" s="1172"/>
      <c r="U70" s="1172"/>
      <c r="V70" s="1172"/>
      <c r="W70" s="1172"/>
      <c r="X70" s="1172"/>
      <c r="Y70" s="1172"/>
      <c r="Z70" s="1172"/>
      <c r="AA70" s="1172"/>
      <c r="AB70" s="1172"/>
      <c r="AC70" s="1172"/>
      <c r="AD70" s="1172"/>
      <c r="AE70" s="1172"/>
      <c r="AF70" s="1172"/>
      <c r="AG70" s="1172"/>
      <c r="AH70" s="1172"/>
      <c r="AI70" s="1172"/>
      <c r="AJ70" s="1172"/>
      <c r="AK70" s="1172"/>
      <c r="AL70" s="1172"/>
      <c r="AM70" s="1172"/>
      <c r="AN70" s="1172"/>
      <c r="AO70" s="1172"/>
      <c r="AP70" s="1172"/>
      <c r="AQ70" s="1172"/>
      <c r="AR70" s="1172"/>
      <c r="AS70" s="1172"/>
      <c r="AT70" s="1172"/>
      <c r="AU70" s="1172"/>
      <c r="AV70" s="1172"/>
      <c r="AW70" s="1172"/>
      <c r="AX70" s="1172"/>
      <c r="AY70" s="1172"/>
      <c r="AZ70" s="1172"/>
      <c r="BA70" s="1172"/>
      <c r="BB70" s="897"/>
      <c r="BC70" s="897"/>
      <c r="BD70" s="897"/>
      <c r="BE70" s="897"/>
      <c r="BF70" s="897"/>
      <c r="BG70" s="897"/>
      <c r="BH70" s="897"/>
      <c r="BI70" s="897"/>
      <c r="BJ70" s="897"/>
      <c r="BK70" s="897"/>
      <c r="BL70" s="897"/>
      <c r="BM70" s="897"/>
      <c r="BN70" s="897"/>
      <c r="BO70" s="897"/>
      <c r="BP70" s="897"/>
      <c r="BQ70" s="897"/>
      <c r="BR70" s="897"/>
      <c r="BS70" s="897"/>
      <c r="BT70" s="897"/>
      <c r="BU70" s="897"/>
      <c r="BV70" s="897"/>
      <c r="BW70" s="897"/>
      <c r="BX70" s="897"/>
      <c r="BY70" s="897"/>
      <c r="BZ70" s="897"/>
      <c r="CA70" s="897"/>
      <c r="CB70" s="897"/>
      <c r="CC70" s="897"/>
      <c r="CD70" s="897"/>
      <c r="CE70" s="897"/>
      <c r="CF70" s="897"/>
      <c r="CG70" s="897"/>
      <c r="CH70" s="897"/>
      <c r="CI70" s="3185">
        <f t="shared" si="0"/>
        <v>0</v>
      </c>
    </row>
    <row r="71" spans="1:87" ht="30">
      <c r="A71" s="1186" t="s">
        <v>3705</v>
      </c>
      <c r="B71" s="586"/>
      <c r="C71" s="1187" t="s">
        <v>4230</v>
      </c>
      <c r="D71" s="908" t="s">
        <v>65</v>
      </c>
      <c r="E71" s="1019" t="s">
        <v>2583</v>
      </c>
      <c r="F71" s="235">
        <v>0</v>
      </c>
      <c r="G71" s="235"/>
      <c r="H71" s="235">
        <v>0</v>
      </c>
      <c r="I71" s="235"/>
      <c r="J71" s="235"/>
      <c r="K71" s="284"/>
      <c r="L71" s="277"/>
      <c r="M71" s="298">
        <f t="shared" si="8"/>
        <v>0</v>
      </c>
      <c r="N71" s="277"/>
      <c r="O71" s="212">
        <f>M71*N71</f>
        <v>0</v>
      </c>
      <c r="P71" s="171"/>
      <c r="Q71" s="1003">
        <f>'Ab3. ASHA'!Q68</f>
        <v>0</v>
      </c>
      <c r="R71" s="3002">
        <f>'Ab3. ASHA'!R68</f>
        <v>0</v>
      </c>
      <c r="S71" s="1172"/>
      <c r="T71" s="1172"/>
      <c r="U71" s="1172"/>
      <c r="V71" s="1172"/>
      <c r="W71" s="1172"/>
      <c r="X71" s="1172"/>
      <c r="Y71" s="1172"/>
      <c r="Z71" s="1172"/>
      <c r="AA71" s="1172"/>
      <c r="AB71" s="1172"/>
      <c r="AC71" s="1172"/>
      <c r="AD71" s="1172"/>
      <c r="AE71" s="1172"/>
      <c r="AF71" s="1172"/>
      <c r="AG71" s="1172"/>
      <c r="AH71" s="1172"/>
      <c r="AI71" s="1172"/>
      <c r="AJ71" s="1172"/>
      <c r="AK71" s="1172"/>
      <c r="AL71" s="1172"/>
      <c r="AM71" s="1172"/>
      <c r="AN71" s="1172"/>
      <c r="AO71" s="1172"/>
      <c r="AP71" s="1172"/>
      <c r="AQ71" s="1172"/>
      <c r="AR71" s="1172"/>
      <c r="AS71" s="1172"/>
      <c r="AT71" s="1172"/>
      <c r="AU71" s="1172"/>
      <c r="AV71" s="1172"/>
      <c r="AW71" s="1172"/>
      <c r="AX71" s="1172"/>
      <c r="AY71" s="1172"/>
      <c r="AZ71" s="1172"/>
      <c r="BA71" s="1172"/>
      <c r="BB71" s="897"/>
      <c r="BC71" s="897"/>
      <c r="BD71" s="897"/>
      <c r="BE71" s="897"/>
      <c r="BF71" s="897"/>
      <c r="BG71" s="897"/>
      <c r="BH71" s="897"/>
      <c r="BI71" s="897"/>
      <c r="BJ71" s="897"/>
      <c r="BK71" s="897"/>
      <c r="BL71" s="897"/>
      <c r="BM71" s="897"/>
      <c r="BN71" s="897"/>
      <c r="BO71" s="897"/>
      <c r="BP71" s="897"/>
      <c r="BQ71" s="897"/>
      <c r="BR71" s="897"/>
      <c r="BS71" s="897"/>
      <c r="BT71" s="897"/>
      <c r="BU71" s="897"/>
      <c r="BV71" s="897"/>
      <c r="BW71" s="897"/>
      <c r="BX71" s="897"/>
      <c r="BY71" s="897"/>
      <c r="BZ71" s="897"/>
      <c r="CA71" s="897"/>
      <c r="CB71" s="897"/>
      <c r="CC71" s="897"/>
      <c r="CD71" s="897"/>
      <c r="CE71" s="897"/>
      <c r="CF71" s="897"/>
      <c r="CG71" s="897"/>
      <c r="CH71" s="897"/>
      <c r="CI71" s="3185">
        <f t="shared" si="0"/>
        <v>0</v>
      </c>
    </row>
    <row r="72" spans="1:87">
      <c r="A72" s="1190"/>
      <c r="B72" s="1191"/>
      <c r="C72" s="1191" t="s">
        <v>1132</v>
      </c>
      <c r="D72" s="908" t="s">
        <v>65</v>
      </c>
      <c r="E72" s="1162" t="s">
        <v>2583</v>
      </c>
      <c r="F72" s="301"/>
      <c r="G72" s="301"/>
      <c r="H72" s="301"/>
      <c r="I72" s="301"/>
      <c r="J72" s="301"/>
      <c r="K72" s="307"/>
      <c r="L72" s="305"/>
      <c r="M72" s="306"/>
      <c r="N72" s="305"/>
      <c r="O72" s="303">
        <f>SUM(O73:O74)</f>
        <v>0</v>
      </c>
      <c r="P72" s="715"/>
      <c r="Q72" s="1167"/>
      <c r="R72" s="3000">
        <f>SUM(R73:R74)</f>
        <v>0</v>
      </c>
      <c r="S72" s="1172"/>
      <c r="T72" s="1172"/>
      <c r="U72" s="1172"/>
      <c r="V72" s="1172"/>
      <c r="W72" s="1172"/>
      <c r="X72" s="1172"/>
      <c r="Y72" s="1172"/>
      <c r="Z72" s="1172"/>
      <c r="AA72" s="1172"/>
      <c r="AB72" s="1172"/>
      <c r="AC72" s="1172"/>
      <c r="AD72" s="1172"/>
      <c r="AE72" s="1172"/>
      <c r="AF72" s="1172"/>
      <c r="AG72" s="1172"/>
      <c r="AH72" s="1172"/>
      <c r="AI72" s="1172"/>
      <c r="AJ72" s="1172"/>
      <c r="AK72" s="1172"/>
      <c r="AL72" s="1172"/>
      <c r="AM72" s="1172"/>
      <c r="AN72" s="1172"/>
      <c r="AO72" s="1172"/>
      <c r="AP72" s="1172"/>
      <c r="AQ72" s="1172"/>
      <c r="AR72" s="1172"/>
      <c r="AS72" s="1172"/>
      <c r="AT72" s="1172"/>
      <c r="AU72" s="1172"/>
      <c r="AV72" s="1172"/>
      <c r="AW72" s="1172"/>
      <c r="AX72" s="1172"/>
      <c r="AY72" s="1172"/>
      <c r="AZ72" s="1172"/>
      <c r="BA72" s="1172"/>
      <c r="BB72" s="3000">
        <f t="shared" ref="BB72:CH72" si="9">SUM(BB73:BB74)</f>
        <v>0</v>
      </c>
      <c r="BC72" s="3000">
        <f t="shared" si="9"/>
        <v>0</v>
      </c>
      <c r="BD72" s="3000">
        <f t="shared" si="9"/>
        <v>0</v>
      </c>
      <c r="BE72" s="3000">
        <f t="shared" si="9"/>
        <v>0</v>
      </c>
      <c r="BF72" s="3000">
        <f t="shared" si="9"/>
        <v>0</v>
      </c>
      <c r="BG72" s="3000">
        <f t="shared" si="9"/>
        <v>0</v>
      </c>
      <c r="BH72" s="3000">
        <f t="shared" si="9"/>
        <v>0</v>
      </c>
      <c r="BI72" s="3000">
        <f t="shared" si="9"/>
        <v>0</v>
      </c>
      <c r="BJ72" s="3000">
        <f t="shared" si="9"/>
        <v>0</v>
      </c>
      <c r="BK72" s="3000">
        <f t="shared" si="9"/>
        <v>0</v>
      </c>
      <c r="BL72" s="3000">
        <f t="shared" si="9"/>
        <v>0</v>
      </c>
      <c r="BM72" s="3000">
        <f t="shared" si="9"/>
        <v>0</v>
      </c>
      <c r="BN72" s="3000">
        <f t="shared" si="9"/>
        <v>0</v>
      </c>
      <c r="BO72" s="3000">
        <f t="shared" si="9"/>
        <v>0</v>
      </c>
      <c r="BP72" s="3000">
        <f t="shared" si="9"/>
        <v>0</v>
      </c>
      <c r="BQ72" s="3000">
        <f t="shared" si="9"/>
        <v>0</v>
      </c>
      <c r="BR72" s="3000">
        <f t="shared" si="9"/>
        <v>0</v>
      </c>
      <c r="BS72" s="3000">
        <f t="shared" si="9"/>
        <v>0</v>
      </c>
      <c r="BT72" s="3000">
        <f t="shared" si="9"/>
        <v>0</v>
      </c>
      <c r="BU72" s="3000">
        <f t="shared" si="9"/>
        <v>0</v>
      </c>
      <c r="BV72" s="3000">
        <f t="shared" si="9"/>
        <v>0</v>
      </c>
      <c r="BW72" s="3000">
        <f t="shared" si="9"/>
        <v>0</v>
      </c>
      <c r="BX72" s="3000">
        <f t="shared" si="9"/>
        <v>0</v>
      </c>
      <c r="BY72" s="3000">
        <f t="shared" si="9"/>
        <v>0</v>
      </c>
      <c r="BZ72" s="3000">
        <f t="shared" si="9"/>
        <v>0</v>
      </c>
      <c r="CA72" s="3000">
        <f t="shared" si="9"/>
        <v>0</v>
      </c>
      <c r="CB72" s="3000">
        <f t="shared" si="9"/>
        <v>0</v>
      </c>
      <c r="CC72" s="3000">
        <f t="shared" si="9"/>
        <v>0</v>
      </c>
      <c r="CD72" s="3000">
        <f t="shared" si="9"/>
        <v>0</v>
      </c>
      <c r="CE72" s="3000">
        <f t="shared" si="9"/>
        <v>0</v>
      </c>
      <c r="CF72" s="3000">
        <f t="shared" si="9"/>
        <v>0</v>
      </c>
      <c r="CG72" s="3000">
        <f t="shared" si="9"/>
        <v>0</v>
      </c>
      <c r="CH72" s="3000">
        <f t="shared" si="9"/>
        <v>0</v>
      </c>
      <c r="CI72" s="3185">
        <f t="shared" si="0"/>
        <v>0</v>
      </c>
    </row>
    <row r="73" spans="1:87">
      <c r="A73" s="863" t="s">
        <v>2472</v>
      </c>
      <c r="B73" s="958" t="s">
        <v>1131</v>
      </c>
      <c r="C73" s="586" t="s">
        <v>1132</v>
      </c>
      <c r="D73" s="908" t="s">
        <v>65</v>
      </c>
      <c r="E73" s="1019" t="s">
        <v>2583</v>
      </c>
      <c r="F73" s="2676">
        <v>0</v>
      </c>
      <c r="G73" s="286"/>
      <c r="H73" s="287">
        <v>0</v>
      </c>
      <c r="I73" s="287"/>
      <c r="J73" s="285"/>
      <c r="K73" s="288"/>
      <c r="L73" s="277"/>
      <c r="M73" s="298">
        <f>L73/100000</f>
        <v>0</v>
      </c>
      <c r="N73" s="277"/>
      <c r="O73" s="212">
        <f>M73*N73</f>
        <v>0</v>
      </c>
      <c r="P73" s="171"/>
      <c r="Q73" s="1003">
        <f>'Ab3. ASHA'!Q70</f>
        <v>0</v>
      </c>
      <c r="R73" s="3002">
        <f>'Ab3. ASHA'!R70</f>
        <v>0</v>
      </c>
      <c r="S73" s="1172"/>
      <c r="T73" s="1172"/>
      <c r="U73" s="1172"/>
      <c r="V73" s="1172"/>
      <c r="W73" s="1172"/>
      <c r="X73" s="1172"/>
      <c r="Y73" s="1172"/>
      <c r="Z73" s="1172"/>
      <c r="AA73" s="1172"/>
      <c r="AB73" s="1172"/>
      <c r="AC73" s="1172"/>
      <c r="AD73" s="1172"/>
      <c r="AE73" s="1172"/>
      <c r="AF73" s="1172"/>
      <c r="AG73" s="1172"/>
      <c r="AH73" s="1172"/>
      <c r="AI73" s="1172"/>
      <c r="AJ73" s="1172"/>
      <c r="AK73" s="1172"/>
      <c r="AL73" s="1172"/>
      <c r="AM73" s="1172"/>
      <c r="AN73" s="1172"/>
      <c r="AO73" s="1172"/>
      <c r="AP73" s="1172"/>
      <c r="AQ73" s="1172"/>
      <c r="AR73" s="1172"/>
      <c r="AS73" s="1172"/>
      <c r="AT73" s="1172"/>
      <c r="AU73" s="1172"/>
      <c r="AV73" s="1172"/>
      <c r="AW73" s="1172"/>
      <c r="AX73" s="1172"/>
      <c r="AY73" s="1172"/>
      <c r="AZ73" s="1172"/>
      <c r="BA73" s="1172"/>
      <c r="BB73" s="897"/>
      <c r="BC73" s="897"/>
      <c r="BD73" s="897"/>
      <c r="BE73" s="897"/>
      <c r="BF73" s="897"/>
      <c r="BG73" s="897"/>
      <c r="BH73" s="897"/>
      <c r="BI73" s="897"/>
      <c r="BJ73" s="897"/>
      <c r="BK73" s="897"/>
      <c r="BL73" s="897"/>
      <c r="BM73" s="897"/>
      <c r="BN73" s="897"/>
      <c r="BO73" s="897"/>
      <c r="BP73" s="897"/>
      <c r="BQ73" s="897"/>
      <c r="BR73" s="897"/>
      <c r="BS73" s="897"/>
      <c r="BT73" s="897"/>
      <c r="BU73" s="897"/>
      <c r="BV73" s="897"/>
      <c r="BW73" s="897"/>
      <c r="BX73" s="897"/>
      <c r="BY73" s="897"/>
      <c r="BZ73" s="897"/>
      <c r="CA73" s="897"/>
      <c r="CB73" s="897"/>
      <c r="CC73" s="897"/>
      <c r="CD73" s="897"/>
      <c r="CE73" s="897"/>
      <c r="CF73" s="897"/>
      <c r="CG73" s="897"/>
      <c r="CH73" s="897"/>
      <c r="CI73" s="3185">
        <f t="shared" ref="CI73:CI124" si="10">SUM(BB73:CH73)</f>
        <v>0</v>
      </c>
    </row>
    <row r="74" spans="1:87" s="1169" customFormat="1">
      <c r="A74" s="391"/>
      <c r="B74" s="586"/>
      <c r="C74" s="586" t="s">
        <v>4600</v>
      </c>
      <c r="D74" s="982" t="s">
        <v>65</v>
      </c>
      <c r="E74" s="2253" t="s">
        <v>2583</v>
      </c>
      <c r="F74" s="2676"/>
      <c r="G74" s="286"/>
      <c r="H74" s="287"/>
      <c r="I74" s="287"/>
      <c r="J74" s="285"/>
      <c r="K74" s="288"/>
      <c r="L74" s="283"/>
      <c r="M74" s="298">
        <f>L74/100000</f>
        <v>0</v>
      </c>
      <c r="N74" s="283"/>
      <c r="O74" s="212">
        <f>M74*N74</f>
        <v>0</v>
      </c>
      <c r="P74" s="2256"/>
      <c r="Q74" s="2257">
        <f>'Ab3. ASHA'!Q71</f>
        <v>0</v>
      </c>
      <c r="R74" s="3001">
        <f>'Ab3. ASHA'!R71</f>
        <v>0</v>
      </c>
      <c r="S74" s="1168"/>
      <c r="T74" s="1168"/>
      <c r="U74" s="1168"/>
      <c r="V74" s="1168"/>
      <c r="W74" s="1168"/>
      <c r="X74" s="1168"/>
      <c r="Y74" s="1168"/>
      <c r="Z74" s="1168"/>
      <c r="AA74" s="1168"/>
      <c r="AB74" s="1168"/>
      <c r="AC74" s="1168"/>
      <c r="AD74" s="1168"/>
      <c r="AE74" s="1168"/>
      <c r="AF74" s="1168"/>
      <c r="AG74" s="1168"/>
      <c r="AH74" s="1168"/>
      <c r="AI74" s="1168"/>
      <c r="AJ74" s="1168"/>
      <c r="AK74" s="1168"/>
      <c r="AL74" s="1168"/>
      <c r="AM74" s="1168"/>
      <c r="AN74" s="1168"/>
      <c r="AO74" s="1168"/>
      <c r="AP74" s="1168"/>
      <c r="AQ74" s="1168"/>
      <c r="AR74" s="1168"/>
      <c r="AS74" s="1168"/>
      <c r="AT74" s="1168"/>
      <c r="AU74" s="1168"/>
      <c r="AV74" s="1168"/>
      <c r="AW74" s="1168"/>
      <c r="AX74" s="1168"/>
      <c r="AY74" s="1168"/>
      <c r="AZ74" s="1168"/>
      <c r="BA74" s="1168"/>
      <c r="BB74" s="3185"/>
      <c r="BC74" s="3185"/>
      <c r="BD74" s="3185"/>
      <c r="BE74" s="3185"/>
      <c r="BF74" s="3185"/>
      <c r="BG74" s="3185"/>
      <c r="BH74" s="3185"/>
      <c r="BI74" s="3185"/>
      <c r="BJ74" s="3185"/>
      <c r="BK74" s="3185"/>
      <c r="BL74" s="3185"/>
      <c r="BM74" s="3185"/>
      <c r="BN74" s="3185"/>
      <c r="BO74" s="3185"/>
      <c r="BP74" s="3185"/>
      <c r="BQ74" s="3185"/>
      <c r="BR74" s="3185"/>
      <c r="BS74" s="3185"/>
      <c r="BT74" s="3185"/>
      <c r="BU74" s="3185"/>
      <c r="BV74" s="3185"/>
      <c r="BW74" s="3185"/>
      <c r="BX74" s="3185"/>
      <c r="BY74" s="3185"/>
      <c r="BZ74" s="3185"/>
      <c r="CA74" s="3185"/>
      <c r="CB74" s="3185"/>
      <c r="CC74" s="3185"/>
      <c r="CD74" s="3185"/>
      <c r="CE74" s="3185"/>
      <c r="CF74" s="3185"/>
      <c r="CG74" s="3185"/>
      <c r="CH74" s="3185"/>
      <c r="CI74" s="3185">
        <f t="shared" si="10"/>
        <v>0</v>
      </c>
    </row>
    <row r="75" spans="1:87" s="1169" customFormat="1" ht="57">
      <c r="A75" s="2335" t="s">
        <v>4229</v>
      </c>
      <c r="B75" s="958"/>
      <c r="C75" s="958" t="s">
        <v>5987</v>
      </c>
      <c r="D75" s="982" t="s">
        <v>65</v>
      </c>
      <c r="E75" s="2326" t="s">
        <v>2583</v>
      </c>
      <c r="F75" s="2669">
        <v>0</v>
      </c>
      <c r="G75" s="231"/>
      <c r="H75" s="2336">
        <v>0</v>
      </c>
      <c r="I75" s="2336"/>
      <c r="J75" s="230"/>
      <c r="K75" s="2669">
        <v>1</v>
      </c>
      <c r="L75" s="2318">
        <v>342</v>
      </c>
      <c r="M75" s="298">
        <f>L75/100000</f>
        <v>3.4199999999999999E-3</v>
      </c>
      <c r="N75" s="2318">
        <v>8066</v>
      </c>
      <c r="O75" s="1189">
        <f>M75*N75</f>
        <v>27.585719999999998</v>
      </c>
      <c r="P75" s="2256" t="s">
        <v>5145</v>
      </c>
      <c r="Q75" s="2257" t="str">
        <f>'Ab3. ASHA'!Q72</f>
        <v>Recommended for approvalRs. 27.59L for ASHA Beneit Package - PMJJBY @ Rs. 330/- per annum and PMSBY @ Rs. 12/- per annum for 8066 ASHAs</v>
      </c>
      <c r="R75" s="3001">
        <f>'Ab3. ASHA'!R72</f>
        <v>27.59</v>
      </c>
      <c r="S75" s="1168"/>
      <c r="T75" s="1168"/>
      <c r="U75" s="1168"/>
      <c r="V75" s="1168"/>
      <c r="W75" s="1168"/>
      <c r="X75" s="1168"/>
      <c r="Y75" s="1168"/>
      <c r="Z75" s="1168"/>
      <c r="AA75" s="1168"/>
      <c r="AB75" s="1168"/>
      <c r="AC75" s="1168"/>
      <c r="AD75" s="1168"/>
      <c r="AE75" s="1168"/>
      <c r="AF75" s="1168"/>
      <c r="AG75" s="1168"/>
      <c r="AH75" s="1168"/>
      <c r="AI75" s="1168"/>
      <c r="AJ75" s="1168"/>
      <c r="AK75" s="1168"/>
      <c r="AL75" s="1168"/>
      <c r="AM75" s="1168"/>
      <c r="AN75" s="1168"/>
      <c r="AO75" s="1168"/>
      <c r="AP75" s="1168"/>
      <c r="AQ75" s="1168"/>
      <c r="AR75" s="1168"/>
      <c r="AS75" s="1168"/>
      <c r="AT75" s="1168"/>
      <c r="AU75" s="1168"/>
      <c r="AV75" s="1168"/>
      <c r="AW75" s="1168"/>
      <c r="AX75" s="1168"/>
      <c r="AY75" s="1168"/>
      <c r="AZ75" s="1168"/>
      <c r="BA75" s="1168"/>
      <c r="BB75" s="3185">
        <v>0.37</v>
      </c>
      <c r="BC75" s="3185">
        <v>1.71</v>
      </c>
      <c r="BD75" s="3185">
        <v>2.0499999999999998</v>
      </c>
      <c r="BE75" s="3185">
        <v>1.82</v>
      </c>
      <c r="BF75" s="3185">
        <v>6.21</v>
      </c>
      <c r="BG75" s="3185">
        <v>0.36</v>
      </c>
      <c r="BH75" s="3185">
        <v>1.69</v>
      </c>
      <c r="BI75" s="3185">
        <v>0.17</v>
      </c>
      <c r="BJ75" s="3185">
        <v>4.28</v>
      </c>
      <c r="BK75" s="3185">
        <v>2.66</v>
      </c>
      <c r="BL75" s="3185">
        <v>2.1</v>
      </c>
      <c r="BM75" s="3185">
        <v>2.1</v>
      </c>
      <c r="BN75" s="3185">
        <v>2.0699999999999998</v>
      </c>
      <c r="BO75" s="3185"/>
      <c r="BP75" s="3185"/>
      <c r="BQ75" s="3185"/>
      <c r="BR75" s="3185"/>
      <c r="BS75" s="3185"/>
      <c r="BT75" s="3185"/>
      <c r="BU75" s="3185"/>
      <c r="BV75" s="3185"/>
      <c r="BW75" s="3185"/>
      <c r="BX75" s="3185"/>
      <c r="BY75" s="3185"/>
      <c r="BZ75" s="3185"/>
      <c r="CA75" s="3185"/>
      <c r="CB75" s="3185"/>
      <c r="CC75" s="3185"/>
      <c r="CD75" s="3185"/>
      <c r="CE75" s="3185"/>
      <c r="CF75" s="3185"/>
      <c r="CG75" s="3185"/>
      <c r="CH75" s="3185"/>
      <c r="CI75" s="3185">
        <f t="shared" si="10"/>
        <v>27.590000000000003</v>
      </c>
    </row>
    <row r="76" spans="1:87">
      <c r="A76" s="3897"/>
      <c r="B76" s="3897"/>
      <c r="C76" s="3897"/>
      <c r="D76" s="908" t="s">
        <v>65</v>
      </c>
      <c r="E76" s="1151"/>
      <c r="F76" s="219"/>
      <c r="G76" s="219"/>
      <c r="H76" s="219"/>
      <c r="I76" s="219"/>
      <c r="J76" s="268"/>
      <c r="K76" s="219"/>
      <c r="L76" s="1216"/>
      <c r="M76" s="940"/>
      <c r="N76" s="257"/>
      <c r="O76" s="1155"/>
      <c r="P76" s="1218"/>
      <c r="Q76" s="1156"/>
      <c r="R76" s="3484"/>
      <c r="S76" s="1172"/>
      <c r="T76" s="1172"/>
      <c r="U76" s="1172"/>
      <c r="V76" s="1172"/>
      <c r="W76" s="1172"/>
      <c r="X76" s="1172"/>
      <c r="Y76" s="1172"/>
      <c r="Z76" s="1172"/>
      <c r="AA76" s="1172"/>
      <c r="AB76" s="1172"/>
      <c r="AC76" s="1172"/>
      <c r="AD76" s="1172"/>
      <c r="AE76" s="1172"/>
      <c r="AF76" s="1172"/>
      <c r="AG76" s="1172"/>
      <c r="AH76" s="1172"/>
      <c r="AI76" s="1172"/>
      <c r="AJ76" s="1172"/>
      <c r="AK76" s="1172"/>
      <c r="AL76" s="1172"/>
      <c r="AM76" s="1172"/>
      <c r="AN76" s="1172"/>
      <c r="AO76" s="1172"/>
      <c r="AP76" s="1172"/>
      <c r="AQ76" s="1172"/>
      <c r="AR76" s="1172"/>
      <c r="AS76" s="1172"/>
      <c r="AT76" s="1172"/>
      <c r="AU76" s="1172"/>
      <c r="AV76" s="1172"/>
      <c r="AW76" s="1172"/>
      <c r="AX76" s="1172"/>
      <c r="AY76" s="1172"/>
      <c r="AZ76" s="1172"/>
      <c r="BA76" s="1172"/>
      <c r="BB76" s="897"/>
      <c r="BC76" s="897"/>
      <c r="BD76" s="897"/>
      <c r="BE76" s="897"/>
      <c r="BF76" s="897"/>
      <c r="BG76" s="897"/>
      <c r="BH76" s="897"/>
      <c r="BI76" s="897"/>
      <c r="BJ76" s="897"/>
      <c r="BK76" s="897"/>
      <c r="BL76" s="897"/>
      <c r="BM76" s="897"/>
      <c r="BN76" s="897"/>
      <c r="BO76" s="897"/>
      <c r="BP76" s="897"/>
      <c r="BQ76" s="897"/>
      <c r="BR76" s="897"/>
      <c r="BS76" s="897"/>
      <c r="BT76" s="897"/>
      <c r="BU76" s="897"/>
      <c r="BV76" s="897"/>
      <c r="BW76" s="897"/>
      <c r="BX76" s="897"/>
      <c r="BY76" s="897"/>
      <c r="BZ76" s="897"/>
      <c r="CA76" s="897"/>
      <c r="CB76" s="897"/>
      <c r="CC76" s="897"/>
      <c r="CD76" s="897"/>
      <c r="CE76" s="897"/>
      <c r="CF76" s="897"/>
      <c r="CG76" s="897"/>
      <c r="CH76" s="897"/>
      <c r="CI76" s="3185">
        <f t="shared" si="10"/>
        <v>0</v>
      </c>
    </row>
    <row r="77" spans="1:87">
      <c r="A77" s="880" t="s">
        <v>43</v>
      </c>
      <c r="B77" s="1194"/>
      <c r="C77" s="1061" t="s">
        <v>4601</v>
      </c>
      <c r="D77" s="908" t="s">
        <v>65</v>
      </c>
      <c r="E77" s="997"/>
      <c r="F77" s="219"/>
      <c r="G77" s="219"/>
      <c r="H77" s="219"/>
      <c r="I77" s="219"/>
      <c r="J77" s="219"/>
      <c r="K77" s="219"/>
      <c r="L77" s="219"/>
      <c r="M77" s="1183"/>
      <c r="N77" s="152"/>
      <c r="O77" s="209">
        <f>SUM(O78:O83)</f>
        <v>88.725999999999999</v>
      </c>
      <c r="P77" s="718"/>
      <c r="Q77" s="1157"/>
      <c r="R77" s="3484">
        <f>SUM(R78:R83)</f>
        <v>88.73</v>
      </c>
      <c r="S77" s="1172"/>
      <c r="T77" s="1172"/>
      <c r="U77" s="1172"/>
      <c r="V77" s="1172"/>
      <c r="W77" s="1172"/>
      <c r="X77" s="1172"/>
      <c r="Y77" s="1172"/>
      <c r="Z77" s="1172"/>
      <c r="AA77" s="1172"/>
      <c r="AB77" s="1172"/>
      <c r="AC77" s="1172"/>
      <c r="AD77" s="1172"/>
      <c r="AE77" s="1172"/>
      <c r="AF77" s="1172"/>
      <c r="AG77" s="1172"/>
      <c r="AH77" s="1172"/>
      <c r="AI77" s="1172"/>
      <c r="AJ77" s="1172"/>
      <c r="AK77" s="1172"/>
      <c r="AL77" s="1172"/>
      <c r="AM77" s="1172"/>
      <c r="AN77" s="1172"/>
      <c r="AO77" s="1172"/>
      <c r="AP77" s="1172"/>
      <c r="AQ77" s="1172"/>
      <c r="AR77" s="1172"/>
      <c r="AS77" s="1172"/>
      <c r="AT77" s="1172"/>
      <c r="AU77" s="1172"/>
      <c r="AV77" s="1172"/>
      <c r="AW77" s="1172"/>
      <c r="AX77" s="1172"/>
      <c r="AY77" s="1172"/>
      <c r="AZ77" s="1172"/>
      <c r="BA77" s="1172"/>
      <c r="BB77" s="3484"/>
      <c r="BC77" s="3484"/>
      <c r="BD77" s="3484"/>
      <c r="BE77" s="3484"/>
      <c r="BF77" s="3484"/>
      <c r="BG77" s="3484"/>
      <c r="BH77" s="3484"/>
      <c r="BI77" s="3484"/>
      <c r="BJ77" s="3484"/>
      <c r="BK77" s="3484"/>
      <c r="BL77" s="3484"/>
      <c r="BM77" s="3484"/>
      <c r="BN77" s="3484"/>
      <c r="BO77" s="3484"/>
      <c r="BP77" s="3484"/>
      <c r="BQ77" s="3484"/>
      <c r="BR77" s="3484"/>
      <c r="BS77" s="3484"/>
      <c r="BT77" s="3484"/>
      <c r="BU77" s="3484"/>
      <c r="BV77" s="3484"/>
      <c r="BW77" s="3484"/>
      <c r="BX77" s="3484"/>
      <c r="BY77" s="3484"/>
      <c r="BZ77" s="3484"/>
      <c r="CA77" s="3484"/>
      <c r="CB77" s="3484"/>
      <c r="CC77" s="3484"/>
      <c r="CD77" s="3484"/>
      <c r="CE77" s="3484"/>
      <c r="CF77" s="3484"/>
      <c r="CG77" s="3484"/>
      <c r="CH77" s="3484"/>
      <c r="CI77" s="3185"/>
    </row>
    <row r="78" spans="1:87" s="1439" customFormat="1" ht="42" customHeight="1">
      <c r="A78" s="1004" t="s">
        <v>237</v>
      </c>
      <c r="B78" s="1080" t="s">
        <v>238</v>
      </c>
      <c r="C78" s="1080" t="s">
        <v>4602</v>
      </c>
      <c r="D78" s="982" t="s">
        <v>65</v>
      </c>
      <c r="E78" s="2623" t="s">
        <v>2583</v>
      </c>
      <c r="F78" s="2669">
        <v>7964</v>
      </c>
      <c r="G78" s="2670"/>
      <c r="H78" s="2671">
        <v>47.78</v>
      </c>
      <c r="I78" s="2671">
        <v>11.99</v>
      </c>
      <c r="J78" s="2669">
        <v>35.79</v>
      </c>
      <c r="K78" s="2669">
        <v>1</v>
      </c>
      <c r="L78" s="283">
        <v>1100</v>
      </c>
      <c r="M78" s="298">
        <f>L78/100000</f>
        <v>1.0999999999999999E-2</v>
      </c>
      <c r="N78" s="283">
        <v>8066</v>
      </c>
      <c r="O78" s="212">
        <f>M78*N78</f>
        <v>88.725999999999999</v>
      </c>
      <c r="P78" s="2645" t="s">
        <v>5484</v>
      </c>
      <c r="Q78" s="2257" t="str">
        <f>'Ab3. ASHA'!Q74</f>
        <v>Recommended for approvalRs. 88.73 L for uniform @ Rs. 1100 for 8066 ASHAs</v>
      </c>
      <c r="R78" s="3001">
        <f>'Ab3. ASHA'!R74</f>
        <v>88.73</v>
      </c>
      <c r="S78" s="1168"/>
      <c r="T78" s="2259"/>
      <c r="U78" s="2259"/>
      <c r="V78" s="2259"/>
      <c r="W78" s="2259"/>
      <c r="X78" s="2259"/>
      <c r="Y78" s="2259"/>
      <c r="Z78" s="2259"/>
      <c r="AA78" s="2259"/>
      <c r="AB78" s="2259"/>
      <c r="AC78" s="2259"/>
      <c r="AD78" s="2259"/>
      <c r="AE78" s="2259"/>
      <c r="AF78" s="2259"/>
      <c r="AG78" s="2259"/>
      <c r="AH78" s="2259"/>
      <c r="AI78" s="2259"/>
      <c r="AJ78" s="2259"/>
      <c r="AK78" s="2259"/>
      <c r="AL78" s="2259"/>
      <c r="AM78" s="2259"/>
      <c r="AN78" s="2259"/>
      <c r="AO78" s="2259"/>
      <c r="AP78" s="2259"/>
      <c r="AQ78" s="2259"/>
      <c r="AR78" s="2259"/>
      <c r="AS78" s="2259"/>
      <c r="AT78" s="2259"/>
      <c r="AU78" s="2259"/>
      <c r="AV78" s="2259"/>
      <c r="AW78" s="2259"/>
      <c r="AX78" s="2259"/>
      <c r="AY78" s="2259"/>
      <c r="AZ78" s="2259"/>
      <c r="BA78" s="2259"/>
      <c r="BB78" s="2571">
        <v>1.1200000000000001</v>
      </c>
      <c r="BC78" s="2571">
        <v>5.49</v>
      </c>
      <c r="BD78" s="2571">
        <v>6.61</v>
      </c>
      <c r="BE78" s="2571">
        <v>5.87</v>
      </c>
      <c r="BF78" s="2571">
        <v>20.02</v>
      </c>
      <c r="BG78" s="2571">
        <v>1.18</v>
      </c>
      <c r="BH78" s="2571">
        <v>5.45</v>
      </c>
      <c r="BI78" s="2571">
        <v>0.53</v>
      </c>
      <c r="BJ78" s="2571">
        <v>13.75</v>
      </c>
      <c r="BK78" s="2571">
        <v>8.56</v>
      </c>
      <c r="BL78" s="2571">
        <v>6.74</v>
      </c>
      <c r="BM78" s="2571">
        <v>6.74</v>
      </c>
      <c r="BN78" s="2571">
        <v>6.67</v>
      </c>
      <c r="BO78" s="2571"/>
      <c r="BP78" s="2571"/>
      <c r="BQ78" s="2571"/>
      <c r="BR78" s="2571"/>
      <c r="BS78" s="2571"/>
      <c r="BT78" s="2571"/>
      <c r="BU78" s="2571"/>
      <c r="BV78" s="2571"/>
      <c r="BW78" s="2571"/>
      <c r="BX78" s="2571"/>
      <c r="BY78" s="2571"/>
      <c r="BZ78" s="2571"/>
      <c r="CA78" s="2571"/>
      <c r="CB78" s="2571"/>
      <c r="CC78" s="2571"/>
      <c r="CD78" s="2571"/>
      <c r="CE78" s="2571"/>
      <c r="CF78" s="2571"/>
      <c r="CG78" s="2571"/>
      <c r="CH78" s="2571"/>
      <c r="CI78" s="3185">
        <f t="shared" si="10"/>
        <v>88.72999999999999</v>
      </c>
    </row>
    <row r="79" spans="1:87" s="1169" customFormat="1">
      <c r="A79" s="233"/>
      <c r="B79" s="1179"/>
      <c r="C79" s="2258" t="s">
        <v>4603</v>
      </c>
      <c r="D79" s="982" t="s">
        <v>65</v>
      </c>
      <c r="E79" s="2253" t="s">
        <v>2583</v>
      </c>
      <c r="F79" s="2669"/>
      <c r="G79" s="2669"/>
      <c r="H79" s="2669"/>
      <c r="I79" s="2669"/>
      <c r="J79" s="2669"/>
      <c r="K79" s="235"/>
      <c r="L79" s="283"/>
      <c r="M79" s="298">
        <f t="shared" ref="M79:M83" si="11">L79/100000</f>
        <v>0</v>
      </c>
      <c r="N79" s="283"/>
      <c r="O79" s="212">
        <f t="shared" ref="O79:O84" si="12">M79*N79</f>
        <v>0</v>
      </c>
      <c r="P79" s="2256"/>
      <c r="Q79" s="2257">
        <f>'Ab3. ASHA'!Q75</f>
        <v>0</v>
      </c>
      <c r="R79" s="3001">
        <f>'Ab3. ASHA'!R75</f>
        <v>0</v>
      </c>
      <c r="S79" s="1168"/>
      <c r="T79" s="1168"/>
      <c r="U79" s="1168"/>
      <c r="V79" s="1168"/>
      <c r="W79" s="1168"/>
      <c r="X79" s="1168"/>
      <c r="Y79" s="1168"/>
      <c r="Z79" s="1168"/>
      <c r="AA79" s="1168"/>
      <c r="AB79" s="1168"/>
      <c r="AC79" s="1168"/>
      <c r="AD79" s="1168"/>
      <c r="AE79" s="1168"/>
      <c r="AF79" s="1168"/>
      <c r="AG79" s="1168"/>
      <c r="AH79" s="1168"/>
      <c r="AI79" s="1168"/>
      <c r="AJ79" s="1168"/>
      <c r="AK79" s="1168"/>
      <c r="AL79" s="1168"/>
      <c r="AM79" s="1168"/>
      <c r="AN79" s="1168"/>
      <c r="AO79" s="1168"/>
      <c r="AP79" s="1168"/>
      <c r="AQ79" s="1168"/>
      <c r="AR79" s="1168"/>
      <c r="AS79" s="1168"/>
      <c r="AT79" s="1168"/>
      <c r="AU79" s="1168"/>
      <c r="AV79" s="1168"/>
      <c r="AW79" s="1168"/>
      <c r="AX79" s="1168"/>
      <c r="AY79" s="1168"/>
      <c r="AZ79" s="1168"/>
      <c r="BA79" s="1168"/>
      <c r="BB79" s="3185"/>
      <c r="BC79" s="3185"/>
      <c r="BD79" s="3185"/>
      <c r="BE79" s="3185"/>
      <c r="BF79" s="3185"/>
      <c r="BG79" s="3185"/>
      <c r="BH79" s="3185"/>
      <c r="BI79" s="3185"/>
      <c r="BJ79" s="3185"/>
      <c r="BK79" s="3185"/>
      <c r="BL79" s="3185"/>
      <c r="BM79" s="3185"/>
      <c r="BN79" s="3185"/>
      <c r="BO79" s="3185"/>
      <c r="BP79" s="3185"/>
      <c r="BQ79" s="3185"/>
      <c r="BR79" s="3185"/>
      <c r="BS79" s="3185"/>
      <c r="BT79" s="3185"/>
      <c r="BU79" s="3185"/>
      <c r="BV79" s="3185"/>
      <c r="BW79" s="3185"/>
      <c r="BX79" s="3185"/>
      <c r="BY79" s="3185"/>
      <c r="BZ79" s="3185"/>
      <c r="CA79" s="3185"/>
      <c r="CB79" s="3185"/>
      <c r="CC79" s="3185"/>
      <c r="CD79" s="3185"/>
      <c r="CE79" s="3185"/>
      <c r="CF79" s="3185"/>
      <c r="CG79" s="3185"/>
      <c r="CH79" s="3185"/>
      <c r="CI79" s="3185">
        <f t="shared" si="10"/>
        <v>0</v>
      </c>
    </row>
    <row r="80" spans="1:87" s="1013" customFormat="1">
      <c r="A80" s="431" t="s">
        <v>239</v>
      </c>
      <c r="B80" s="882" t="s">
        <v>240</v>
      </c>
      <c r="C80" s="882" t="s">
        <v>4604</v>
      </c>
      <c r="D80" s="908" t="s">
        <v>65</v>
      </c>
      <c r="E80" s="945" t="s">
        <v>2583</v>
      </c>
      <c r="F80" s="2672">
        <v>0</v>
      </c>
      <c r="G80" s="2673"/>
      <c r="H80" s="2674">
        <v>0</v>
      </c>
      <c r="I80" s="2674"/>
      <c r="J80" s="2672"/>
      <c r="K80" s="220"/>
      <c r="L80" s="277"/>
      <c r="M80" s="297">
        <f t="shared" si="11"/>
        <v>0</v>
      </c>
      <c r="N80" s="277"/>
      <c r="O80" s="210">
        <f t="shared" si="12"/>
        <v>0</v>
      </c>
      <c r="P80" s="171"/>
      <c r="Q80" s="1003">
        <f>'Ab3. ASHA'!Q76</f>
        <v>0</v>
      </c>
      <c r="R80" s="3002">
        <f>'Ab3. ASHA'!R76</f>
        <v>0</v>
      </c>
      <c r="S80" s="1197"/>
      <c r="T80" s="1173"/>
      <c r="U80" s="1173"/>
      <c r="V80" s="1173"/>
      <c r="W80" s="1173"/>
      <c r="X80" s="1173"/>
      <c r="Y80" s="1173"/>
      <c r="Z80" s="1173"/>
      <c r="AA80" s="1173"/>
      <c r="AB80" s="1173"/>
      <c r="AC80" s="1173"/>
      <c r="AD80" s="1173"/>
      <c r="AE80" s="1173"/>
      <c r="AF80" s="1173"/>
      <c r="AG80" s="1173"/>
      <c r="AH80" s="1173"/>
      <c r="AI80" s="1173"/>
      <c r="AJ80" s="1173"/>
      <c r="AK80" s="1173"/>
      <c r="AL80" s="1173"/>
      <c r="AM80" s="1173"/>
      <c r="AN80" s="1173"/>
      <c r="AO80" s="1173"/>
      <c r="AP80" s="1173"/>
      <c r="AQ80" s="1173"/>
      <c r="AR80" s="1173"/>
      <c r="AS80" s="1173"/>
      <c r="AT80" s="1173"/>
      <c r="AU80" s="1173"/>
      <c r="AV80" s="1173"/>
      <c r="AW80" s="1173"/>
      <c r="AX80" s="1173"/>
      <c r="AY80" s="1173"/>
      <c r="AZ80" s="1173"/>
      <c r="BA80" s="1173"/>
      <c r="BB80" s="3255"/>
      <c r="BC80" s="3255"/>
      <c r="BD80" s="3255"/>
      <c r="BE80" s="3255"/>
      <c r="BF80" s="3255"/>
      <c r="BG80" s="3255"/>
      <c r="BH80" s="3255"/>
      <c r="BI80" s="3255"/>
      <c r="BJ80" s="3255"/>
      <c r="BK80" s="3255"/>
      <c r="BL80" s="3255"/>
      <c r="BM80" s="3255"/>
      <c r="BN80" s="3255"/>
      <c r="BO80" s="3255"/>
      <c r="BP80" s="3255"/>
      <c r="BQ80" s="3255"/>
      <c r="BR80" s="3255"/>
      <c r="BS80" s="3255"/>
      <c r="BT80" s="3255"/>
      <c r="BU80" s="3255"/>
      <c r="BV80" s="3255"/>
      <c r="BW80" s="3255"/>
      <c r="BX80" s="3255"/>
      <c r="BY80" s="3255"/>
      <c r="BZ80" s="3255"/>
      <c r="CA80" s="3255"/>
      <c r="CB80" s="3255"/>
      <c r="CC80" s="3255"/>
      <c r="CD80" s="3255"/>
      <c r="CE80" s="3255"/>
      <c r="CF80" s="3255"/>
      <c r="CG80" s="3255"/>
      <c r="CH80" s="3255"/>
      <c r="CI80" s="3185">
        <f t="shared" si="10"/>
        <v>0</v>
      </c>
    </row>
    <row r="81" spans="1:87" s="2260" customFormat="1">
      <c r="A81" s="1004"/>
      <c r="B81" s="1080"/>
      <c r="C81" s="1080" t="s">
        <v>4605</v>
      </c>
      <c r="D81" s="982" t="s">
        <v>65</v>
      </c>
      <c r="E81" s="2253" t="s">
        <v>2583</v>
      </c>
      <c r="F81" s="2669"/>
      <c r="G81" s="2670"/>
      <c r="H81" s="2671"/>
      <c r="I81" s="2671"/>
      <c r="J81" s="2669"/>
      <c r="K81" s="230"/>
      <c r="L81" s="283"/>
      <c r="M81" s="298">
        <f t="shared" si="11"/>
        <v>0</v>
      </c>
      <c r="N81" s="283"/>
      <c r="O81" s="212">
        <f t="shared" si="12"/>
        <v>0</v>
      </c>
      <c r="P81" s="2256"/>
      <c r="Q81" s="2257">
        <f>'Ab3. ASHA'!Q77</f>
        <v>0</v>
      </c>
      <c r="R81" s="3001">
        <f>'Ab3. ASHA'!R77</f>
        <v>0</v>
      </c>
      <c r="S81" s="2259"/>
      <c r="T81" s="1207"/>
      <c r="U81" s="1207"/>
      <c r="V81" s="1207"/>
      <c r="W81" s="1207"/>
      <c r="X81" s="1207"/>
      <c r="Y81" s="1207"/>
      <c r="Z81" s="1207"/>
      <c r="AA81" s="1207"/>
      <c r="AB81" s="1207"/>
      <c r="AC81" s="1207"/>
      <c r="AD81" s="1207"/>
      <c r="AE81" s="1207"/>
      <c r="AF81" s="1207"/>
      <c r="AG81" s="1207"/>
      <c r="AH81" s="1207"/>
      <c r="AI81" s="1207"/>
      <c r="AJ81" s="1207"/>
      <c r="AK81" s="1207"/>
      <c r="AL81" s="1207"/>
      <c r="AM81" s="1207"/>
      <c r="AN81" s="1207"/>
      <c r="AO81" s="1207"/>
      <c r="AP81" s="1207"/>
      <c r="AQ81" s="1207"/>
      <c r="AR81" s="1207"/>
      <c r="AS81" s="1207"/>
      <c r="AT81" s="1207"/>
      <c r="AU81" s="1207"/>
      <c r="AV81" s="1207"/>
      <c r="AW81" s="1207"/>
      <c r="AX81" s="1207"/>
      <c r="AY81" s="1207"/>
      <c r="AZ81" s="1207"/>
      <c r="BA81" s="1207"/>
      <c r="BB81" s="2572"/>
      <c r="BC81" s="2572"/>
      <c r="BD81" s="2572"/>
      <c r="BE81" s="2572"/>
      <c r="BF81" s="2572"/>
      <c r="BG81" s="2572"/>
      <c r="BH81" s="2572"/>
      <c r="BI81" s="2572"/>
      <c r="BJ81" s="2572"/>
      <c r="BK81" s="2572"/>
      <c r="BL81" s="2572"/>
      <c r="BM81" s="2572"/>
      <c r="BN81" s="2572"/>
      <c r="BO81" s="2572"/>
      <c r="BP81" s="2572"/>
      <c r="BQ81" s="2572"/>
      <c r="BR81" s="2572"/>
      <c r="BS81" s="2572"/>
      <c r="BT81" s="2572"/>
      <c r="BU81" s="2572"/>
      <c r="BV81" s="2572"/>
      <c r="BW81" s="2572"/>
      <c r="BX81" s="2572"/>
      <c r="BY81" s="2572"/>
      <c r="BZ81" s="2572"/>
      <c r="CA81" s="2572"/>
      <c r="CB81" s="2572"/>
      <c r="CC81" s="2572"/>
      <c r="CD81" s="2572"/>
      <c r="CE81" s="2572"/>
      <c r="CF81" s="2572"/>
      <c r="CG81" s="2572"/>
      <c r="CH81" s="2572"/>
      <c r="CI81" s="3185">
        <f t="shared" si="10"/>
        <v>0</v>
      </c>
    </row>
    <row r="82" spans="1:87" s="2260" customFormat="1">
      <c r="A82" s="1004"/>
      <c r="B82" s="1080"/>
      <c r="C82" s="1080" t="s">
        <v>4606</v>
      </c>
      <c r="D82" s="982" t="s">
        <v>65</v>
      </c>
      <c r="E82" s="2253" t="s">
        <v>2583</v>
      </c>
      <c r="F82" s="2669"/>
      <c r="G82" s="2670"/>
      <c r="H82" s="2671"/>
      <c r="I82" s="2671"/>
      <c r="J82" s="2669"/>
      <c r="K82" s="230"/>
      <c r="L82" s="283"/>
      <c r="M82" s="298">
        <f t="shared" si="11"/>
        <v>0</v>
      </c>
      <c r="N82" s="283"/>
      <c r="O82" s="212">
        <f t="shared" si="12"/>
        <v>0</v>
      </c>
      <c r="P82" s="2256"/>
      <c r="Q82" s="2257">
        <f>'Ab3. ASHA'!Q78</f>
        <v>0</v>
      </c>
      <c r="R82" s="3001">
        <f>'Ab3. ASHA'!R78</f>
        <v>0</v>
      </c>
      <c r="S82" s="2259"/>
      <c r="T82" s="1207"/>
      <c r="U82" s="1207"/>
      <c r="V82" s="1207"/>
      <c r="W82" s="1207"/>
      <c r="X82" s="1207"/>
      <c r="Y82" s="1207"/>
      <c r="Z82" s="1207"/>
      <c r="AA82" s="1207"/>
      <c r="AB82" s="1207"/>
      <c r="AC82" s="1207"/>
      <c r="AD82" s="1207"/>
      <c r="AE82" s="1207"/>
      <c r="AF82" s="1207"/>
      <c r="AG82" s="1207"/>
      <c r="AH82" s="1207"/>
      <c r="AI82" s="1207"/>
      <c r="AJ82" s="1207"/>
      <c r="AK82" s="1207"/>
      <c r="AL82" s="1207"/>
      <c r="AM82" s="1207"/>
      <c r="AN82" s="1207"/>
      <c r="AO82" s="1207"/>
      <c r="AP82" s="1207"/>
      <c r="AQ82" s="1207"/>
      <c r="AR82" s="1207"/>
      <c r="AS82" s="1207"/>
      <c r="AT82" s="1207"/>
      <c r="AU82" s="1207"/>
      <c r="AV82" s="1207"/>
      <c r="AW82" s="1207"/>
      <c r="AX82" s="1207"/>
      <c r="AY82" s="1207"/>
      <c r="AZ82" s="1207"/>
      <c r="BA82" s="1207"/>
      <c r="BB82" s="2572"/>
      <c r="BC82" s="2572"/>
      <c r="BD82" s="2572"/>
      <c r="BE82" s="2572"/>
      <c r="BF82" s="2572"/>
      <c r="BG82" s="2572"/>
      <c r="BH82" s="2572"/>
      <c r="BI82" s="2572"/>
      <c r="BJ82" s="2572"/>
      <c r="BK82" s="2572"/>
      <c r="BL82" s="2572"/>
      <c r="BM82" s="2572"/>
      <c r="BN82" s="2572"/>
      <c r="BO82" s="2572"/>
      <c r="BP82" s="2572"/>
      <c r="BQ82" s="2572"/>
      <c r="BR82" s="2572"/>
      <c r="BS82" s="2572"/>
      <c r="BT82" s="2572"/>
      <c r="BU82" s="2572"/>
      <c r="BV82" s="2572"/>
      <c r="BW82" s="2572"/>
      <c r="BX82" s="2572"/>
      <c r="BY82" s="2572"/>
      <c r="BZ82" s="2572"/>
      <c r="CA82" s="2572"/>
      <c r="CB82" s="2572"/>
      <c r="CC82" s="2572"/>
      <c r="CD82" s="2572"/>
      <c r="CE82" s="2572"/>
      <c r="CF82" s="2572"/>
      <c r="CG82" s="2572"/>
      <c r="CH82" s="2572"/>
      <c r="CI82" s="3185">
        <f t="shared" si="10"/>
        <v>0</v>
      </c>
    </row>
    <row r="83" spans="1:87">
      <c r="A83" s="431" t="s">
        <v>234</v>
      </c>
      <c r="B83" s="882" t="s">
        <v>235</v>
      </c>
      <c r="C83" s="882" t="s">
        <v>236</v>
      </c>
      <c r="D83" s="908" t="s">
        <v>65</v>
      </c>
      <c r="E83" s="945" t="s">
        <v>2583</v>
      </c>
      <c r="F83" s="2672">
        <v>2000</v>
      </c>
      <c r="G83" s="2673"/>
      <c r="H83" s="2674">
        <v>36</v>
      </c>
      <c r="I83" s="2674">
        <v>26.7</v>
      </c>
      <c r="J83" s="2672">
        <v>9.3000000000000007</v>
      </c>
      <c r="K83" s="220"/>
      <c r="L83" s="277"/>
      <c r="M83" s="297">
        <f t="shared" si="11"/>
        <v>0</v>
      </c>
      <c r="N83" s="277"/>
      <c r="O83" s="210">
        <f t="shared" si="12"/>
        <v>0</v>
      </c>
      <c r="P83" s="171"/>
      <c r="Q83" s="1003">
        <f>'Ab3. ASHA'!Q79</f>
        <v>0</v>
      </c>
      <c r="R83" s="3002">
        <f>'Ab3. ASHA'!R79</f>
        <v>0</v>
      </c>
      <c r="S83" s="1172"/>
      <c r="T83" s="1172"/>
      <c r="U83" s="1172"/>
      <c r="V83" s="1172"/>
      <c r="W83" s="1172"/>
      <c r="X83" s="1172"/>
      <c r="Y83" s="1172"/>
      <c r="Z83" s="1172"/>
      <c r="AA83" s="1172"/>
      <c r="AB83" s="1172"/>
      <c r="AC83" s="1172"/>
      <c r="AD83" s="1172"/>
      <c r="AE83" s="1172"/>
      <c r="AF83" s="1172"/>
      <c r="AG83" s="1172"/>
      <c r="AH83" s="1172"/>
      <c r="AI83" s="1172"/>
      <c r="AJ83" s="1172"/>
      <c r="AK83" s="1172"/>
      <c r="AL83" s="1172"/>
      <c r="AM83" s="1172"/>
      <c r="AN83" s="1172"/>
      <c r="AO83" s="1172"/>
      <c r="AP83" s="1172"/>
      <c r="AQ83" s="1172"/>
      <c r="AR83" s="1172"/>
      <c r="AS83" s="1172"/>
      <c r="AT83" s="1172"/>
      <c r="AU83" s="1172"/>
      <c r="AV83" s="1172"/>
      <c r="AW83" s="1172"/>
      <c r="AX83" s="1172"/>
      <c r="AY83" s="1172"/>
      <c r="AZ83" s="1172"/>
      <c r="BA83" s="1172"/>
      <c r="BB83" s="897"/>
      <c r="BC83" s="897"/>
      <c r="BD83" s="897"/>
      <c r="BE83" s="897"/>
      <c r="BF83" s="897"/>
      <c r="BG83" s="897"/>
      <c r="BH83" s="897"/>
      <c r="BI83" s="897"/>
      <c r="BJ83" s="897"/>
      <c r="BK83" s="897"/>
      <c r="BL83" s="897"/>
      <c r="BM83" s="897"/>
      <c r="BN83" s="897"/>
      <c r="BO83" s="897"/>
      <c r="BP83" s="897"/>
      <c r="BQ83" s="897"/>
      <c r="BR83" s="897"/>
      <c r="BS83" s="897"/>
      <c r="BT83" s="897"/>
      <c r="BU83" s="897"/>
      <c r="BV83" s="897"/>
      <c r="BW83" s="897"/>
      <c r="BX83" s="897"/>
      <c r="BY83" s="897"/>
      <c r="BZ83" s="897"/>
      <c r="CA83" s="897"/>
      <c r="CB83" s="897"/>
      <c r="CC83" s="897"/>
      <c r="CD83" s="897"/>
      <c r="CE83" s="897"/>
      <c r="CF83" s="897"/>
      <c r="CG83" s="897"/>
      <c r="CH83" s="897"/>
      <c r="CI83" s="3185">
        <f t="shared" si="10"/>
        <v>0</v>
      </c>
    </row>
    <row r="84" spans="1:87" s="1169" customFormat="1" ht="30">
      <c r="A84" s="1004" t="s">
        <v>237</v>
      </c>
      <c r="B84" s="1080" t="s">
        <v>4607</v>
      </c>
      <c r="C84" s="1080" t="s">
        <v>362</v>
      </c>
      <c r="D84" s="982" t="s">
        <v>65</v>
      </c>
      <c r="E84" s="2323" t="s">
        <v>2583</v>
      </c>
      <c r="F84" s="2669"/>
      <c r="G84" s="2670"/>
      <c r="H84" s="2671"/>
      <c r="I84" s="2671"/>
      <c r="J84" s="2669"/>
      <c r="K84" s="230"/>
      <c r="L84" s="2318"/>
      <c r="M84" s="298">
        <f>L84/100000</f>
        <v>0</v>
      </c>
      <c r="N84" s="2318"/>
      <c r="O84" s="212">
        <f t="shared" si="12"/>
        <v>0</v>
      </c>
      <c r="P84" s="1220"/>
      <c r="Q84" s="2257">
        <f>'Ab3. ASHA'!Q80</f>
        <v>0</v>
      </c>
      <c r="R84" s="3001">
        <f>'Ab3. ASHA'!R80</f>
        <v>0</v>
      </c>
      <c r="S84" s="1168"/>
      <c r="T84" s="1168"/>
      <c r="U84" s="1168"/>
      <c r="V84" s="1168"/>
      <c r="W84" s="1168"/>
      <c r="X84" s="1168"/>
      <c r="Y84" s="1168"/>
      <c r="Z84" s="1168"/>
      <c r="AA84" s="1168"/>
      <c r="AB84" s="1168"/>
      <c r="AC84" s="1168"/>
      <c r="AD84" s="1168"/>
      <c r="AE84" s="1168"/>
      <c r="AF84" s="1168"/>
      <c r="AG84" s="1168"/>
      <c r="AH84" s="1168"/>
      <c r="AI84" s="1168"/>
      <c r="AJ84" s="1168"/>
      <c r="AK84" s="1168"/>
      <c r="AL84" s="1168"/>
      <c r="AM84" s="1168"/>
      <c r="AN84" s="1168"/>
      <c r="AO84" s="1168"/>
      <c r="AP84" s="1168"/>
      <c r="AQ84" s="1168"/>
      <c r="AR84" s="1168"/>
      <c r="AS84" s="1168"/>
      <c r="AT84" s="1168"/>
      <c r="AU84" s="1168"/>
      <c r="AV84" s="1168"/>
      <c r="AW84" s="1168"/>
      <c r="AX84" s="1168"/>
      <c r="AY84" s="1168"/>
      <c r="AZ84" s="1168"/>
      <c r="BA84" s="1168"/>
      <c r="BB84" s="3185"/>
      <c r="BC84" s="3185"/>
      <c r="BD84" s="3185"/>
      <c r="BE84" s="3185"/>
      <c r="BF84" s="3185"/>
      <c r="BG84" s="3185"/>
      <c r="BH84" s="3185"/>
      <c r="BI84" s="3185"/>
      <c r="BJ84" s="3185"/>
      <c r="BK84" s="3185"/>
      <c r="BL84" s="3185"/>
      <c r="BM84" s="3185"/>
      <c r="BN84" s="3185"/>
      <c r="BO84" s="3185"/>
      <c r="BP84" s="3185"/>
      <c r="BQ84" s="3185"/>
      <c r="BR84" s="3185"/>
      <c r="BS84" s="3185"/>
      <c r="BT84" s="3185"/>
      <c r="BU84" s="3185"/>
      <c r="BV84" s="3185"/>
      <c r="BW84" s="3185"/>
      <c r="BX84" s="3185"/>
      <c r="BY84" s="3185"/>
      <c r="BZ84" s="3185"/>
      <c r="CA84" s="3185"/>
      <c r="CB84" s="3185"/>
      <c r="CC84" s="3185"/>
      <c r="CD84" s="3185"/>
      <c r="CE84" s="3185"/>
      <c r="CF84" s="3185"/>
      <c r="CG84" s="3185"/>
      <c r="CH84" s="3185"/>
      <c r="CI84" s="3185">
        <f t="shared" si="10"/>
        <v>0</v>
      </c>
    </row>
    <row r="85" spans="1:87" s="1174" customFormat="1">
      <c r="A85" s="431" t="s">
        <v>2473</v>
      </c>
      <c r="B85" s="882"/>
      <c r="C85" s="882" t="s">
        <v>1304</v>
      </c>
      <c r="D85" s="908" t="s">
        <v>65</v>
      </c>
      <c r="E85" s="945" t="s">
        <v>2583</v>
      </c>
      <c r="F85" s="2672">
        <v>270</v>
      </c>
      <c r="G85" s="2673"/>
      <c r="H85" s="2674">
        <v>2.7</v>
      </c>
      <c r="I85" s="2674"/>
      <c r="J85" s="2675">
        <v>2.7</v>
      </c>
      <c r="K85" s="220"/>
      <c r="L85" s="277"/>
      <c r="M85" s="297">
        <f>L85/100000</f>
        <v>0</v>
      </c>
      <c r="N85" s="277"/>
      <c r="O85" s="866">
        <f>M85*N85</f>
        <v>0</v>
      </c>
      <c r="P85" s="171"/>
      <c r="Q85" s="1003">
        <f>'Ab3. ASHA'!Q81</f>
        <v>0</v>
      </c>
      <c r="R85" s="3002">
        <f>'Ab3. ASHA'!R81</f>
        <v>0</v>
      </c>
      <c r="S85" s="1198"/>
      <c r="T85" s="1198"/>
      <c r="U85" s="1198"/>
      <c r="V85" s="1198"/>
      <c r="W85" s="1198"/>
      <c r="X85" s="1198"/>
      <c r="Y85" s="1198"/>
      <c r="Z85" s="1198"/>
      <c r="AA85" s="1198"/>
      <c r="AB85" s="1198"/>
      <c r="AC85" s="1198"/>
      <c r="AD85" s="1198"/>
      <c r="AE85" s="1198"/>
      <c r="AF85" s="1198"/>
      <c r="AG85" s="1198"/>
      <c r="AH85" s="1198"/>
      <c r="AI85" s="1198"/>
      <c r="AJ85" s="1198"/>
      <c r="AK85" s="1198"/>
      <c r="AL85" s="1198"/>
      <c r="AM85" s="1198"/>
      <c r="AN85" s="1198"/>
      <c r="AO85" s="1198"/>
      <c r="AP85" s="1198"/>
      <c r="AQ85" s="1198"/>
      <c r="AR85" s="1198"/>
      <c r="AS85" s="1198"/>
      <c r="AT85" s="1198"/>
      <c r="AU85" s="1198"/>
      <c r="AV85" s="1198"/>
      <c r="AW85" s="1198"/>
      <c r="AX85" s="1198"/>
      <c r="AY85" s="1198"/>
      <c r="AZ85" s="1198"/>
      <c r="BA85" s="1198"/>
      <c r="BB85" s="3264"/>
      <c r="BC85" s="3264"/>
      <c r="BD85" s="3264"/>
      <c r="BE85" s="3264"/>
      <c r="BF85" s="3264"/>
      <c r="BG85" s="3264"/>
      <c r="BH85" s="3264"/>
      <c r="BI85" s="3264"/>
      <c r="BJ85" s="3264"/>
      <c r="BK85" s="3264"/>
      <c r="BL85" s="3264"/>
      <c r="BM85" s="3264"/>
      <c r="BN85" s="3264"/>
      <c r="BO85" s="3264"/>
      <c r="BP85" s="3264"/>
      <c r="BQ85" s="3264"/>
      <c r="BR85" s="3264"/>
      <c r="BS85" s="3264"/>
      <c r="BT85" s="3264"/>
      <c r="BU85" s="3264"/>
      <c r="BV85" s="3264"/>
      <c r="BW85" s="3264"/>
      <c r="BX85" s="3264"/>
      <c r="BY85" s="3264"/>
      <c r="BZ85" s="3264"/>
      <c r="CA85" s="3264"/>
      <c r="CB85" s="3264"/>
      <c r="CC85" s="3264"/>
      <c r="CD85" s="3264"/>
      <c r="CE85" s="3264"/>
      <c r="CF85" s="3264"/>
      <c r="CG85" s="3264"/>
      <c r="CH85" s="3264"/>
      <c r="CI85" s="3185">
        <f t="shared" si="10"/>
        <v>0</v>
      </c>
    </row>
    <row r="86" spans="1:87" s="1174" customFormat="1">
      <c r="A86" s="84">
        <v>3.2</v>
      </c>
      <c r="B86" s="1199"/>
      <c r="C86" s="1053" t="s">
        <v>8</v>
      </c>
      <c r="D86" s="929"/>
      <c r="E86" s="929"/>
      <c r="F86" s="218"/>
      <c r="G86" s="218"/>
      <c r="H86" s="218"/>
      <c r="I86" s="218"/>
      <c r="J86" s="218"/>
      <c r="K86" s="218"/>
      <c r="L86" s="218"/>
      <c r="M86" s="808"/>
      <c r="N86" s="150"/>
      <c r="O86" s="808">
        <f>SUM(O89:O91)+O119+O93</f>
        <v>28.891999999999999</v>
      </c>
      <c r="P86" s="705"/>
      <c r="Q86" s="996"/>
      <c r="R86" s="3020">
        <f>SUM(R89:R91)+R119+R93</f>
        <v>28.891999999999999</v>
      </c>
      <c r="S86" s="1198"/>
      <c r="T86" s="1198"/>
      <c r="U86" s="1198"/>
      <c r="V86" s="1198"/>
      <c r="W86" s="1198"/>
      <c r="X86" s="1198"/>
      <c r="Y86" s="1198"/>
      <c r="Z86" s="1198"/>
      <c r="AA86" s="1198"/>
      <c r="AB86" s="1198"/>
      <c r="AC86" s="1198"/>
      <c r="AD86" s="1198"/>
      <c r="AE86" s="1198"/>
      <c r="AF86" s="1198"/>
      <c r="AG86" s="1198"/>
      <c r="AH86" s="1198"/>
      <c r="AI86" s="1198"/>
      <c r="AJ86" s="1198"/>
      <c r="AK86" s="1198"/>
      <c r="AL86" s="1198"/>
      <c r="AM86" s="1198"/>
      <c r="AN86" s="1198"/>
      <c r="AO86" s="1198"/>
      <c r="AP86" s="1198"/>
      <c r="AQ86" s="1198"/>
      <c r="AR86" s="1198"/>
      <c r="AS86" s="1198"/>
      <c r="AT86" s="1198"/>
      <c r="AU86" s="1198"/>
      <c r="AV86" s="1198"/>
      <c r="AW86" s="1198"/>
      <c r="AX86" s="1198"/>
      <c r="AY86" s="1198"/>
      <c r="AZ86" s="1198"/>
      <c r="BA86" s="1198"/>
      <c r="BB86" s="3020"/>
      <c r="BC86" s="3020"/>
      <c r="BD86" s="3020"/>
      <c r="BE86" s="3020"/>
      <c r="BF86" s="3020"/>
      <c r="BG86" s="3020"/>
      <c r="BH86" s="3020"/>
      <c r="BI86" s="3020"/>
      <c r="BJ86" s="3020"/>
      <c r="BK86" s="3020"/>
      <c r="BL86" s="3020"/>
      <c r="BM86" s="3020"/>
      <c r="BN86" s="3020"/>
      <c r="BO86" s="3020"/>
      <c r="BP86" s="3020"/>
      <c r="BQ86" s="3020"/>
      <c r="BR86" s="3020"/>
      <c r="BS86" s="3020"/>
      <c r="BT86" s="3020"/>
      <c r="BU86" s="3020"/>
      <c r="BV86" s="3020"/>
      <c r="BW86" s="3020"/>
      <c r="BX86" s="3020"/>
      <c r="BY86" s="3020"/>
      <c r="BZ86" s="3020"/>
      <c r="CA86" s="3020"/>
      <c r="CB86" s="3020"/>
      <c r="CC86" s="3020"/>
      <c r="CD86" s="3020"/>
      <c r="CE86" s="3020"/>
      <c r="CF86" s="3020"/>
      <c r="CG86" s="3020"/>
      <c r="CH86" s="3020"/>
      <c r="CI86" s="3185"/>
    </row>
    <row r="87" spans="1:87" s="1203" customFormat="1">
      <c r="A87" s="3896"/>
      <c r="B87" s="3896"/>
      <c r="C87" s="3896"/>
      <c r="D87" s="1005" t="s">
        <v>85</v>
      </c>
      <c r="E87" s="1200"/>
      <c r="F87" s="308"/>
      <c r="G87" s="308"/>
      <c r="H87" s="308"/>
      <c r="I87" s="308"/>
      <c r="J87" s="308"/>
      <c r="K87" s="308"/>
      <c r="L87" s="308"/>
      <c r="M87" s="303"/>
      <c r="N87" s="309"/>
      <c r="O87" s="303"/>
      <c r="P87" s="720"/>
      <c r="Q87" s="1182"/>
      <c r="R87" s="3000"/>
      <c r="S87" s="1202"/>
      <c r="T87" s="1202"/>
      <c r="U87" s="1202"/>
      <c r="V87" s="1202"/>
      <c r="W87" s="1202"/>
      <c r="X87" s="1202"/>
      <c r="Y87" s="1202"/>
      <c r="Z87" s="1202"/>
      <c r="AA87" s="1202"/>
      <c r="AB87" s="1202"/>
      <c r="AC87" s="1202"/>
      <c r="AD87" s="1202"/>
      <c r="AE87" s="1202"/>
      <c r="AF87" s="1202"/>
      <c r="AG87" s="1202"/>
      <c r="AH87" s="1202"/>
      <c r="AI87" s="1202"/>
      <c r="AJ87" s="1202"/>
      <c r="AK87" s="1202"/>
      <c r="AL87" s="1202"/>
      <c r="AM87" s="1202"/>
      <c r="AN87" s="1202"/>
      <c r="AO87" s="1202"/>
      <c r="AP87" s="1202"/>
      <c r="AQ87" s="1202"/>
      <c r="AR87" s="1202"/>
      <c r="AS87" s="1202"/>
      <c r="AT87" s="1202"/>
      <c r="AU87" s="1202"/>
      <c r="AV87" s="1202"/>
      <c r="AW87" s="1202"/>
      <c r="AX87" s="1202"/>
      <c r="AY87" s="1202"/>
      <c r="AZ87" s="1202"/>
      <c r="BA87" s="1202"/>
      <c r="BB87" s="3265"/>
      <c r="BC87" s="3265"/>
      <c r="BD87" s="3265"/>
      <c r="BE87" s="3265"/>
      <c r="BF87" s="3265"/>
      <c r="BG87" s="3265"/>
      <c r="BH87" s="3265"/>
      <c r="BI87" s="3265"/>
      <c r="BJ87" s="3265"/>
      <c r="BK87" s="3265"/>
      <c r="BL87" s="3265"/>
      <c r="BM87" s="3265"/>
      <c r="BN87" s="3265"/>
      <c r="BO87" s="3265"/>
      <c r="BP87" s="3265"/>
      <c r="BQ87" s="3265"/>
      <c r="BR87" s="3265"/>
      <c r="BS87" s="3265"/>
      <c r="BT87" s="3265"/>
      <c r="BU87" s="3265"/>
      <c r="BV87" s="3265"/>
      <c r="BW87" s="3265"/>
      <c r="BX87" s="3265"/>
      <c r="BY87" s="3265"/>
      <c r="BZ87" s="3265"/>
      <c r="CA87" s="3265"/>
      <c r="CB87" s="3265"/>
      <c r="CC87" s="3265"/>
      <c r="CD87" s="3265"/>
      <c r="CE87" s="3265"/>
      <c r="CF87" s="3265"/>
      <c r="CG87" s="3265"/>
      <c r="CH87" s="3265"/>
      <c r="CI87" s="3185">
        <f t="shared" si="10"/>
        <v>0</v>
      </c>
    </row>
    <row r="88" spans="1:87" s="1203" customFormat="1">
      <c r="A88" s="1180"/>
      <c r="B88" s="1160"/>
      <c r="C88" s="1161" t="s">
        <v>4611</v>
      </c>
      <c r="D88" s="1005" t="s">
        <v>85</v>
      </c>
      <c r="E88" s="1200"/>
      <c r="F88" s="308"/>
      <c r="G88" s="308"/>
      <c r="H88" s="308"/>
      <c r="I88" s="308"/>
      <c r="J88" s="308"/>
      <c r="K88" s="308"/>
      <c r="L88" s="308"/>
      <c r="M88" s="303"/>
      <c r="N88" s="309"/>
      <c r="O88" s="303">
        <f>O89</f>
        <v>0</v>
      </c>
      <c r="P88" s="720"/>
      <c r="Q88" s="1182"/>
      <c r="R88" s="3000">
        <f>R89</f>
        <v>0</v>
      </c>
      <c r="S88" s="1202">
        <v>0</v>
      </c>
      <c r="T88" s="1202"/>
      <c r="U88" s="1202"/>
      <c r="V88" s="1202"/>
      <c r="W88" s="1202"/>
      <c r="X88" s="1202"/>
      <c r="Y88" s="1202"/>
      <c r="Z88" s="1202"/>
      <c r="AA88" s="1202"/>
      <c r="AB88" s="1202"/>
      <c r="AC88" s="1202"/>
      <c r="AD88" s="1202"/>
      <c r="AE88" s="1202"/>
      <c r="AF88" s="1202"/>
      <c r="AG88" s="1202"/>
      <c r="AH88" s="1202"/>
      <c r="AI88" s="1202"/>
      <c r="AJ88" s="1202"/>
      <c r="AK88" s="1202"/>
      <c r="AL88" s="1202"/>
      <c r="AM88" s="1202"/>
      <c r="AN88" s="1202"/>
      <c r="AO88" s="1202"/>
      <c r="AP88" s="1202"/>
      <c r="AQ88" s="1202"/>
      <c r="AR88" s="1202"/>
      <c r="AS88" s="1202"/>
      <c r="AT88" s="1202"/>
      <c r="AU88" s="1202"/>
      <c r="AV88" s="1202"/>
      <c r="AW88" s="1202"/>
      <c r="AX88" s="1202"/>
      <c r="AY88" s="1202"/>
      <c r="AZ88" s="1202"/>
      <c r="BA88" s="1202"/>
      <c r="BB88" s="3000">
        <f t="shared" ref="BB88:CH88" si="13">BB89</f>
        <v>0</v>
      </c>
      <c r="BC88" s="3000">
        <f t="shared" si="13"/>
        <v>0</v>
      </c>
      <c r="BD88" s="3000">
        <f t="shared" si="13"/>
        <v>0</v>
      </c>
      <c r="BE88" s="3000">
        <f t="shared" si="13"/>
        <v>0</v>
      </c>
      <c r="BF88" s="3000">
        <f t="shared" si="13"/>
        <v>0</v>
      </c>
      <c r="BG88" s="3000">
        <f t="shared" si="13"/>
        <v>0</v>
      </c>
      <c r="BH88" s="3000">
        <f t="shared" si="13"/>
        <v>0</v>
      </c>
      <c r="BI88" s="3000">
        <f t="shared" si="13"/>
        <v>0</v>
      </c>
      <c r="BJ88" s="3000">
        <f t="shared" si="13"/>
        <v>0</v>
      </c>
      <c r="BK88" s="3000">
        <f t="shared" si="13"/>
        <v>0</v>
      </c>
      <c r="BL88" s="3000">
        <f t="shared" si="13"/>
        <v>0</v>
      </c>
      <c r="BM88" s="3000">
        <f t="shared" si="13"/>
        <v>0</v>
      </c>
      <c r="BN88" s="3000">
        <f t="shared" si="13"/>
        <v>0</v>
      </c>
      <c r="BO88" s="3000">
        <f t="shared" si="13"/>
        <v>0</v>
      </c>
      <c r="BP88" s="3000">
        <f t="shared" si="13"/>
        <v>0</v>
      </c>
      <c r="BQ88" s="3000">
        <f t="shared" si="13"/>
        <v>0</v>
      </c>
      <c r="BR88" s="3000">
        <f t="shared" si="13"/>
        <v>0</v>
      </c>
      <c r="BS88" s="3000">
        <f t="shared" si="13"/>
        <v>0</v>
      </c>
      <c r="BT88" s="3000">
        <f t="shared" si="13"/>
        <v>0</v>
      </c>
      <c r="BU88" s="3000">
        <f t="shared" si="13"/>
        <v>0</v>
      </c>
      <c r="BV88" s="3000">
        <f t="shared" si="13"/>
        <v>0</v>
      </c>
      <c r="BW88" s="3000">
        <f t="shared" si="13"/>
        <v>0</v>
      </c>
      <c r="BX88" s="3000">
        <f t="shared" si="13"/>
        <v>0</v>
      </c>
      <c r="BY88" s="3000">
        <f t="shared" si="13"/>
        <v>0</v>
      </c>
      <c r="BZ88" s="3000">
        <f t="shared" si="13"/>
        <v>0</v>
      </c>
      <c r="CA88" s="3000">
        <f t="shared" si="13"/>
        <v>0</v>
      </c>
      <c r="CB88" s="3000">
        <f t="shared" si="13"/>
        <v>0</v>
      </c>
      <c r="CC88" s="3000">
        <f t="shared" si="13"/>
        <v>0</v>
      </c>
      <c r="CD88" s="3000">
        <f t="shared" si="13"/>
        <v>0</v>
      </c>
      <c r="CE88" s="3000">
        <f t="shared" si="13"/>
        <v>0</v>
      </c>
      <c r="CF88" s="3000">
        <f t="shared" si="13"/>
        <v>0</v>
      </c>
      <c r="CG88" s="3000">
        <f t="shared" si="13"/>
        <v>0</v>
      </c>
      <c r="CH88" s="3000">
        <f t="shared" si="13"/>
        <v>0</v>
      </c>
      <c r="CI88" s="3185">
        <f t="shared" si="10"/>
        <v>0</v>
      </c>
    </row>
    <row r="89" spans="1:87" s="1174" customFormat="1" ht="45">
      <c r="A89" s="1004" t="s">
        <v>244</v>
      </c>
      <c r="B89" s="882" t="s">
        <v>245</v>
      </c>
      <c r="C89" s="882" t="s">
        <v>2399</v>
      </c>
      <c r="D89" s="1005" t="s">
        <v>85</v>
      </c>
      <c r="E89" s="945" t="s">
        <v>86</v>
      </c>
      <c r="F89" s="2672">
        <v>0</v>
      </c>
      <c r="G89" s="2672"/>
      <c r="H89" s="2672">
        <v>0</v>
      </c>
      <c r="I89" s="220"/>
      <c r="J89" s="220"/>
      <c r="K89" s="220"/>
      <c r="L89" s="277"/>
      <c r="M89" s="297">
        <f>L89/100000</f>
        <v>0</v>
      </c>
      <c r="N89" s="277"/>
      <c r="O89" s="210">
        <f>M89*N89</f>
        <v>0</v>
      </c>
      <c r="P89" s="171"/>
      <c r="Q89" s="1003" t="str">
        <f>'Ab1. RMNCH+A'!Q223</f>
        <v>--</v>
      </c>
      <c r="R89" s="3002">
        <f>'Ab1. RMNCH+A'!R223</f>
        <v>0</v>
      </c>
      <c r="S89" s="1198"/>
      <c r="T89" s="1198"/>
      <c r="U89" s="1198"/>
      <c r="V89" s="1198"/>
      <c r="W89" s="1198"/>
      <c r="X89" s="1198"/>
      <c r="Y89" s="1198"/>
      <c r="Z89" s="1198"/>
      <c r="AA89" s="1198"/>
      <c r="AB89" s="1198"/>
      <c r="AC89" s="1198"/>
      <c r="AD89" s="1198"/>
      <c r="AE89" s="1198"/>
      <c r="AF89" s="1198"/>
      <c r="AG89" s="1198"/>
      <c r="AH89" s="1198"/>
      <c r="AI89" s="1198"/>
      <c r="AJ89" s="1198"/>
      <c r="AK89" s="1198"/>
      <c r="AL89" s="1198"/>
      <c r="AM89" s="1198"/>
      <c r="AN89" s="1198"/>
      <c r="AO89" s="1198"/>
      <c r="AP89" s="1198"/>
      <c r="AQ89" s="1198"/>
      <c r="AR89" s="1198"/>
      <c r="AS89" s="1198"/>
      <c r="AT89" s="1198"/>
      <c r="AU89" s="1198"/>
      <c r="AV89" s="1198"/>
      <c r="AW89" s="1198"/>
      <c r="AX89" s="1198"/>
      <c r="AY89" s="1198"/>
      <c r="AZ89" s="1198"/>
      <c r="BA89" s="1198"/>
      <c r="BB89" s="3264"/>
      <c r="BC89" s="3264"/>
      <c r="BD89" s="3264"/>
      <c r="BE89" s="3264"/>
      <c r="BF89" s="3264"/>
      <c r="BG89" s="3264"/>
      <c r="BH89" s="3264"/>
      <c r="BI89" s="3264"/>
      <c r="BJ89" s="3264"/>
      <c r="BK89" s="3264"/>
      <c r="BL89" s="3264"/>
      <c r="BM89" s="3264"/>
      <c r="BN89" s="3264"/>
      <c r="BO89" s="3264"/>
      <c r="BP89" s="3264"/>
      <c r="BQ89" s="3264"/>
      <c r="BR89" s="3264"/>
      <c r="BS89" s="3264"/>
      <c r="BT89" s="3264"/>
      <c r="BU89" s="3264"/>
      <c r="BV89" s="3264"/>
      <c r="BW89" s="3264"/>
      <c r="BX89" s="3264"/>
      <c r="BY89" s="3264"/>
      <c r="BZ89" s="3264"/>
      <c r="CA89" s="3264"/>
      <c r="CB89" s="3264"/>
      <c r="CC89" s="3264"/>
      <c r="CD89" s="3264"/>
      <c r="CE89" s="3264"/>
      <c r="CF89" s="3264"/>
      <c r="CG89" s="3264"/>
      <c r="CH89" s="3264"/>
      <c r="CI89" s="3185">
        <f t="shared" si="10"/>
        <v>0</v>
      </c>
    </row>
    <row r="90" spans="1:87" s="1174" customFormat="1">
      <c r="A90" s="1204"/>
      <c r="B90" s="1160"/>
      <c r="C90" s="1161" t="s">
        <v>4608</v>
      </c>
      <c r="D90" s="1005" t="s">
        <v>85</v>
      </c>
      <c r="E90" s="1162"/>
      <c r="F90" s="2677"/>
      <c r="G90" s="2677"/>
      <c r="H90" s="2677"/>
      <c r="I90" s="311"/>
      <c r="J90" s="311"/>
      <c r="K90" s="311"/>
      <c r="L90" s="305"/>
      <c r="M90" s="306"/>
      <c r="N90" s="305"/>
      <c r="O90" s="303">
        <f>O91</f>
        <v>12.696</v>
      </c>
      <c r="P90" s="715"/>
      <c r="Q90" s="1167"/>
      <c r="R90" s="3000">
        <f>R91</f>
        <v>12.696</v>
      </c>
      <c r="S90" s="1198"/>
      <c r="T90" s="1198"/>
      <c r="U90" s="1198"/>
      <c r="V90" s="1198"/>
      <c r="W90" s="1198"/>
      <c r="X90" s="1198"/>
      <c r="Y90" s="1198"/>
      <c r="Z90" s="1198"/>
      <c r="AA90" s="1198"/>
      <c r="AB90" s="1198"/>
      <c r="AC90" s="1198"/>
      <c r="AD90" s="1198"/>
      <c r="AE90" s="1198"/>
      <c r="AF90" s="1198"/>
      <c r="AG90" s="1198"/>
      <c r="AH90" s="1198"/>
      <c r="AI90" s="1198"/>
      <c r="AJ90" s="1198"/>
      <c r="AK90" s="1198"/>
      <c r="AL90" s="1198"/>
      <c r="AM90" s="1198"/>
      <c r="AN90" s="1198"/>
      <c r="AO90" s="1198"/>
      <c r="AP90" s="1198"/>
      <c r="AQ90" s="1198"/>
      <c r="AR90" s="1198"/>
      <c r="AS90" s="1198"/>
      <c r="AT90" s="1198"/>
      <c r="AU90" s="1198"/>
      <c r="AV90" s="1198"/>
      <c r="AW90" s="1198"/>
      <c r="AX90" s="1198"/>
      <c r="AY90" s="1198"/>
      <c r="AZ90" s="1198"/>
      <c r="BA90" s="1198"/>
      <c r="BB90" s="3000"/>
      <c r="BC90" s="3000"/>
      <c r="BD90" s="3000"/>
      <c r="BE90" s="3000"/>
      <c r="BF90" s="3000"/>
      <c r="BG90" s="3000"/>
      <c r="BH90" s="3000"/>
      <c r="BI90" s="3000"/>
      <c r="BJ90" s="3000"/>
      <c r="BK90" s="3000"/>
      <c r="BL90" s="3000"/>
      <c r="BM90" s="3000"/>
      <c r="BN90" s="3000"/>
      <c r="BO90" s="3000"/>
      <c r="BP90" s="3000"/>
      <c r="BQ90" s="3000"/>
      <c r="BR90" s="3000"/>
      <c r="BS90" s="3000"/>
      <c r="BT90" s="3000"/>
      <c r="BU90" s="3000"/>
      <c r="BV90" s="3000"/>
      <c r="BW90" s="3000"/>
      <c r="BX90" s="3000"/>
      <c r="BY90" s="3000"/>
      <c r="BZ90" s="3000"/>
      <c r="CA90" s="3000"/>
      <c r="CB90" s="3000"/>
      <c r="CC90" s="3000"/>
      <c r="CD90" s="3000"/>
      <c r="CE90" s="3000"/>
      <c r="CF90" s="3000"/>
      <c r="CG90" s="3000"/>
      <c r="CH90" s="3000"/>
      <c r="CI90" s="3185"/>
    </row>
    <row r="91" spans="1:87" s="3410" customFormat="1" ht="33" customHeight="1">
      <c r="A91" s="3393" t="s">
        <v>246</v>
      </c>
      <c r="B91" s="3394" t="s">
        <v>247</v>
      </c>
      <c r="C91" s="3394" t="s">
        <v>248</v>
      </c>
      <c r="D91" s="3395" t="s">
        <v>85</v>
      </c>
      <c r="E91" s="3396" t="s">
        <v>188</v>
      </c>
      <c r="F91" s="3404">
        <v>852</v>
      </c>
      <c r="G91" s="3405"/>
      <c r="H91" s="3406">
        <v>5.1100000000000003</v>
      </c>
      <c r="I91" s="3398"/>
      <c r="J91" s="3407"/>
      <c r="K91" s="3397"/>
      <c r="L91" s="3408">
        <v>600</v>
      </c>
      <c r="M91" s="1700">
        <f>L91/100000</f>
        <v>6.0000000000000001E-3</v>
      </c>
      <c r="N91" s="3408">
        <v>2116</v>
      </c>
      <c r="O91" s="3399">
        <f>M91*N91</f>
        <v>12.696</v>
      </c>
      <c r="P91" s="2018" t="s">
        <v>5230</v>
      </c>
      <c r="Q91" s="3400" t="str">
        <f>'Ab1. RMNCH+A'!Q301</f>
        <v>Continued activityRecommended for approval of Rs 12.7 lakhs for non monetory incentive for 2116 existing  peer educators @ Rs 50/month for 12 months</v>
      </c>
      <c r="R91" s="3483">
        <f>'Ab1. RMNCH+A'!R301</f>
        <v>12.696</v>
      </c>
      <c r="S91" s="3409"/>
      <c r="T91" s="3486"/>
      <c r="U91" s="3486"/>
      <c r="V91" s="3486"/>
      <c r="W91" s="3486"/>
      <c r="X91" s="3486"/>
      <c r="Y91" s="3486"/>
      <c r="Z91" s="3486"/>
      <c r="AA91" s="3486"/>
      <c r="AB91" s="3486"/>
      <c r="AC91" s="3486"/>
      <c r="AD91" s="3486"/>
      <c r="AE91" s="3486"/>
      <c r="AF91" s="3486"/>
      <c r="AG91" s="3486"/>
      <c r="AH91" s="3486"/>
      <c r="AI91" s="3486"/>
      <c r="AJ91" s="3486"/>
      <c r="AK91" s="3486"/>
      <c r="AL91" s="3486"/>
      <c r="AM91" s="3486"/>
      <c r="AN91" s="3486"/>
      <c r="AO91" s="3486"/>
      <c r="AP91" s="3486"/>
      <c r="AQ91" s="3486"/>
      <c r="AR91" s="3486"/>
      <c r="AS91" s="3486"/>
      <c r="AT91" s="3486"/>
      <c r="AU91" s="3486"/>
      <c r="AV91" s="3486"/>
      <c r="AW91" s="3486"/>
      <c r="AX91" s="3486"/>
      <c r="AY91" s="3486"/>
      <c r="AZ91" s="3486"/>
      <c r="BA91" s="3486"/>
      <c r="BB91" s="3411">
        <v>12.7</v>
      </c>
      <c r="BC91" s="3411"/>
      <c r="BD91" s="3411"/>
      <c r="BE91" s="3411"/>
      <c r="BF91" s="3411"/>
      <c r="BG91" s="3411"/>
      <c r="BH91" s="3411"/>
      <c r="BI91" s="3411"/>
      <c r="BJ91" s="3411"/>
      <c r="BK91" s="3411"/>
      <c r="BL91" s="3411"/>
      <c r="BM91" s="3411"/>
      <c r="BN91" s="3411"/>
      <c r="BO91" s="3411"/>
      <c r="BP91" s="3411"/>
      <c r="BQ91" s="3411"/>
      <c r="BR91" s="3411"/>
      <c r="BS91" s="3411"/>
      <c r="BT91" s="3411"/>
      <c r="BU91" s="3411"/>
      <c r="BV91" s="3411"/>
      <c r="BW91" s="3411"/>
      <c r="BX91" s="3411"/>
      <c r="BY91" s="3411"/>
      <c r="BZ91" s="3411"/>
      <c r="CA91" s="3411"/>
      <c r="CB91" s="3411"/>
      <c r="CC91" s="3411"/>
      <c r="CD91" s="3411"/>
      <c r="CE91" s="3411"/>
      <c r="CF91" s="3411"/>
      <c r="CG91" s="3411"/>
      <c r="CH91" s="3411"/>
      <c r="CI91" s="3403">
        <f t="shared" si="10"/>
        <v>12.7</v>
      </c>
    </row>
    <row r="92" spans="1:87" s="1203" customFormat="1">
      <c r="A92" s="3896"/>
      <c r="B92" s="3896"/>
      <c r="C92" s="3896"/>
      <c r="D92" s="1005" t="s">
        <v>85</v>
      </c>
      <c r="E92" s="1200"/>
      <c r="F92" s="308"/>
      <c r="G92" s="308"/>
      <c r="H92" s="308"/>
      <c r="I92" s="308"/>
      <c r="J92" s="308"/>
      <c r="K92" s="308"/>
      <c r="L92" s="308"/>
      <c r="M92" s="303"/>
      <c r="N92" s="309"/>
      <c r="O92" s="303"/>
      <c r="P92" s="720"/>
      <c r="Q92" s="1182"/>
      <c r="R92" s="3000"/>
      <c r="S92" s="1202"/>
      <c r="T92" s="1202"/>
      <c r="U92" s="1202"/>
      <c r="V92" s="1202"/>
      <c r="W92" s="1202"/>
      <c r="X92" s="1202"/>
      <c r="Y92" s="1202"/>
      <c r="Z92" s="1202"/>
      <c r="AA92" s="1202"/>
      <c r="AB92" s="1202"/>
      <c r="AC92" s="1202"/>
      <c r="AD92" s="1202"/>
      <c r="AE92" s="1202"/>
      <c r="AF92" s="1202"/>
      <c r="AG92" s="1202"/>
      <c r="AH92" s="1202"/>
      <c r="AI92" s="1202"/>
      <c r="AJ92" s="1202"/>
      <c r="AK92" s="1202"/>
      <c r="AL92" s="1202"/>
      <c r="AM92" s="1202"/>
      <c r="AN92" s="1202"/>
      <c r="AO92" s="1202"/>
      <c r="AP92" s="1202"/>
      <c r="AQ92" s="1202"/>
      <c r="AR92" s="1202"/>
      <c r="AS92" s="1202"/>
      <c r="AT92" s="1202"/>
      <c r="AU92" s="1202"/>
      <c r="AV92" s="1202"/>
      <c r="AW92" s="1202"/>
      <c r="AX92" s="1202"/>
      <c r="AY92" s="1202"/>
      <c r="AZ92" s="1202"/>
      <c r="BA92" s="1202"/>
      <c r="BB92" s="3265"/>
      <c r="BC92" s="3265"/>
      <c r="BD92" s="3265"/>
      <c r="BE92" s="3265"/>
      <c r="BF92" s="3265"/>
      <c r="BG92" s="3265"/>
      <c r="BH92" s="3265"/>
      <c r="BI92" s="3265"/>
      <c r="BJ92" s="3265"/>
      <c r="BK92" s="3265"/>
      <c r="BL92" s="3265"/>
      <c r="BM92" s="3265"/>
      <c r="BN92" s="3265"/>
      <c r="BO92" s="3265"/>
      <c r="BP92" s="3265"/>
      <c r="BQ92" s="3265"/>
      <c r="BR92" s="3265"/>
      <c r="BS92" s="3265"/>
      <c r="BT92" s="3265"/>
      <c r="BU92" s="3265"/>
      <c r="BV92" s="3265"/>
      <c r="BW92" s="3265"/>
      <c r="BX92" s="3265"/>
      <c r="BY92" s="3265"/>
      <c r="BZ92" s="3265"/>
      <c r="CA92" s="3265"/>
      <c r="CB92" s="3265"/>
      <c r="CC92" s="3265"/>
      <c r="CD92" s="3265"/>
      <c r="CE92" s="3265"/>
      <c r="CF92" s="3265"/>
      <c r="CG92" s="3265"/>
      <c r="CH92" s="3265"/>
      <c r="CI92" s="3185">
        <f t="shared" si="10"/>
        <v>0</v>
      </c>
    </row>
    <row r="93" spans="1:87" s="1169" customFormat="1">
      <c r="A93" s="1159" t="s">
        <v>260</v>
      </c>
      <c r="B93" s="1160"/>
      <c r="C93" s="1161" t="s">
        <v>4620</v>
      </c>
      <c r="D93" s="1007" t="s">
        <v>4219</v>
      </c>
      <c r="E93" s="1162"/>
      <c r="F93" s="301"/>
      <c r="G93" s="301"/>
      <c r="H93" s="301"/>
      <c r="I93" s="301"/>
      <c r="J93" s="301"/>
      <c r="K93" s="301"/>
      <c r="L93" s="301"/>
      <c r="M93" s="1164"/>
      <c r="N93" s="302"/>
      <c r="O93" s="303">
        <f>O94+O101</f>
        <v>3.5</v>
      </c>
      <c r="P93" s="715"/>
      <c r="Q93" s="1167"/>
      <c r="R93" s="3000">
        <f>R94+R101</f>
        <v>3.5</v>
      </c>
      <c r="S93" s="1168"/>
      <c r="T93" s="1168"/>
      <c r="U93" s="1168"/>
      <c r="V93" s="1168"/>
      <c r="W93" s="1168"/>
      <c r="X93" s="1168"/>
      <c r="Y93" s="1168"/>
      <c r="Z93" s="1168"/>
      <c r="AA93" s="1168"/>
      <c r="AB93" s="1168"/>
      <c r="AC93" s="1168"/>
      <c r="AD93" s="1168"/>
      <c r="AE93" s="1168"/>
      <c r="AF93" s="1168"/>
      <c r="AG93" s="1168"/>
      <c r="AH93" s="1168"/>
      <c r="AI93" s="1168"/>
      <c r="AJ93" s="1168"/>
      <c r="AK93" s="1168"/>
      <c r="AL93" s="1168"/>
      <c r="AM93" s="1168"/>
      <c r="AN93" s="1168"/>
      <c r="AO93" s="1168"/>
      <c r="AP93" s="1168"/>
      <c r="AQ93" s="1168"/>
      <c r="AR93" s="1168"/>
      <c r="AS93" s="1168"/>
      <c r="AT93" s="1168"/>
      <c r="AU93" s="1168"/>
      <c r="AV93" s="1168"/>
      <c r="AW93" s="1168"/>
      <c r="AX93" s="1168"/>
      <c r="AY93" s="1168"/>
      <c r="AZ93" s="1168"/>
      <c r="BA93" s="1168"/>
      <c r="BB93" s="3000"/>
      <c r="BC93" s="3000"/>
      <c r="BD93" s="3000"/>
      <c r="BE93" s="3000"/>
      <c r="BF93" s="3000"/>
      <c r="BG93" s="3000"/>
      <c r="BH93" s="3000"/>
      <c r="BI93" s="3000"/>
      <c r="BJ93" s="3000"/>
      <c r="BK93" s="3000"/>
      <c r="BL93" s="3000"/>
      <c r="BM93" s="3000"/>
      <c r="BN93" s="3000"/>
      <c r="BO93" s="3000"/>
      <c r="BP93" s="3000"/>
      <c r="BQ93" s="3000"/>
      <c r="BR93" s="3000"/>
      <c r="BS93" s="3000"/>
      <c r="BT93" s="3000"/>
      <c r="BU93" s="3000"/>
      <c r="BV93" s="3000"/>
      <c r="BW93" s="3000"/>
      <c r="BX93" s="3000"/>
      <c r="BY93" s="3000"/>
      <c r="BZ93" s="3000"/>
      <c r="CA93" s="3000"/>
      <c r="CB93" s="3000"/>
      <c r="CC93" s="3000"/>
      <c r="CD93" s="3000"/>
      <c r="CE93" s="3000"/>
      <c r="CF93" s="3000"/>
      <c r="CG93" s="3000"/>
      <c r="CH93" s="3000"/>
      <c r="CI93" s="3185"/>
    </row>
    <row r="94" spans="1:87" s="1169" customFormat="1">
      <c r="A94" s="1159" t="s">
        <v>261</v>
      </c>
      <c r="B94" s="1159" t="s">
        <v>262</v>
      </c>
      <c r="C94" s="1159" t="s">
        <v>2678</v>
      </c>
      <c r="D94" s="1007" t="s">
        <v>4219</v>
      </c>
      <c r="E94" s="1165"/>
      <c r="F94" s="302"/>
      <c r="G94" s="302"/>
      <c r="H94" s="302"/>
      <c r="I94" s="302"/>
      <c r="J94" s="302"/>
      <c r="K94" s="302"/>
      <c r="L94" s="302"/>
      <c r="M94" s="303"/>
      <c r="N94" s="302"/>
      <c r="O94" s="303">
        <f>SUM(O95:O100)</f>
        <v>0</v>
      </c>
      <c r="P94" s="716"/>
      <c r="Q94" s="1182"/>
      <c r="R94" s="3000">
        <f>SUM(R95:R100)</f>
        <v>0</v>
      </c>
      <c r="S94" s="1168"/>
      <c r="T94" s="1168"/>
      <c r="U94" s="1168"/>
      <c r="V94" s="1168"/>
      <c r="W94" s="1168"/>
      <c r="X94" s="1168"/>
      <c r="Y94" s="1168"/>
      <c r="Z94" s="1168"/>
      <c r="AA94" s="1168"/>
      <c r="AB94" s="1168"/>
      <c r="AC94" s="1168"/>
      <c r="AD94" s="1168"/>
      <c r="AE94" s="1168"/>
      <c r="AF94" s="1168"/>
      <c r="AG94" s="1168"/>
      <c r="AH94" s="1168"/>
      <c r="AI94" s="1168"/>
      <c r="AJ94" s="1168"/>
      <c r="AK94" s="1168"/>
      <c r="AL94" s="1168"/>
      <c r="AM94" s="1168"/>
      <c r="AN94" s="1168"/>
      <c r="AO94" s="1168"/>
      <c r="AP94" s="1168"/>
      <c r="AQ94" s="1168"/>
      <c r="AR94" s="1168"/>
      <c r="AS94" s="1168"/>
      <c r="AT94" s="1168"/>
      <c r="AU94" s="1168"/>
      <c r="AV94" s="1168"/>
      <c r="AW94" s="1168"/>
      <c r="AX94" s="1168"/>
      <c r="AY94" s="1168"/>
      <c r="AZ94" s="1168"/>
      <c r="BA94" s="1168"/>
      <c r="BB94" s="3000"/>
      <c r="BC94" s="3000"/>
      <c r="BD94" s="3000"/>
      <c r="BE94" s="3000"/>
      <c r="BF94" s="3000"/>
      <c r="BG94" s="3000"/>
      <c r="BH94" s="3000"/>
      <c r="BI94" s="3000"/>
      <c r="BJ94" s="3000"/>
      <c r="BK94" s="3000"/>
      <c r="BL94" s="3000"/>
      <c r="BM94" s="3000"/>
      <c r="BN94" s="3000"/>
      <c r="BO94" s="3000"/>
      <c r="BP94" s="3000"/>
      <c r="BQ94" s="3000"/>
      <c r="BR94" s="3000"/>
      <c r="BS94" s="3000"/>
      <c r="BT94" s="3000"/>
      <c r="BU94" s="3000"/>
      <c r="BV94" s="3000"/>
      <c r="BW94" s="3000"/>
      <c r="BX94" s="3000"/>
      <c r="BY94" s="3000"/>
      <c r="BZ94" s="3000"/>
      <c r="CA94" s="3000"/>
      <c r="CB94" s="3000"/>
      <c r="CC94" s="3000"/>
      <c r="CD94" s="3000"/>
      <c r="CE94" s="3000"/>
      <c r="CF94" s="3000"/>
      <c r="CG94" s="3000"/>
      <c r="CH94" s="3000"/>
      <c r="CI94" s="3185"/>
    </row>
    <row r="95" spans="1:87" s="1169" customFormat="1">
      <c r="A95" s="1205" t="s">
        <v>2686</v>
      </c>
      <c r="B95" s="1206" t="s">
        <v>264</v>
      </c>
      <c r="C95" s="1206" t="s">
        <v>2679</v>
      </c>
      <c r="D95" s="1007" t="s">
        <v>4219</v>
      </c>
      <c r="E95" s="1019" t="s">
        <v>4581</v>
      </c>
      <c r="F95" s="245">
        <v>0</v>
      </c>
      <c r="G95" s="245"/>
      <c r="H95" s="245">
        <v>0</v>
      </c>
      <c r="I95" s="245"/>
      <c r="J95" s="245"/>
      <c r="K95" s="245"/>
      <c r="L95" s="277"/>
      <c r="M95" s="298">
        <f t="shared" ref="M95:M100" si="14">L95/100000</f>
        <v>0</v>
      </c>
      <c r="N95" s="277"/>
      <c r="O95" s="212">
        <f t="shared" ref="O95:O100" si="15">M95*N95</f>
        <v>0</v>
      </c>
      <c r="P95" s="171"/>
      <c r="Q95" s="1003">
        <f>'Abs9. NVBDCP'!Q22</f>
        <v>0</v>
      </c>
      <c r="R95" s="3012">
        <f>'Abs9. NVBDCP'!R22</f>
        <v>0</v>
      </c>
      <c r="S95" s="1168"/>
      <c r="T95" s="1168"/>
      <c r="U95" s="1168"/>
      <c r="V95" s="1168"/>
      <c r="W95" s="1168"/>
      <c r="X95" s="1168"/>
      <c r="Y95" s="1168"/>
      <c r="Z95" s="1168"/>
      <c r="AA95" s="1168"/>
      <c r="AB95" s="1168"/>
      <c r="AC95" s="1168"/>
      <c r="AD95" s="1168"/>
      <c r="AE95" s="1168"/>
      <c r="AF95" s="1168"/>
      <c r="AG95" s="1168"/>
      <c r="AH95" s="1168"/>
      <c r="AI95" s="1168"/>
      <c r="AJ95" s="1168"/>
      <c r="AK95" s="1168"/>
      <c r="AL95" s="1168"/>
      <c r="AM95" s="1168"/>
      <c r="AN95" s="1168"/>
      <c r="AO95" s="1168"/>
      <c r="AP95" s="1168"/>
      <c r="AQ95" s="1168"/>
      <c r="AR95" s="1168"/>
      <c r="AS95" s="1168"/>
      <c r="AT95" s="1168"/>
      <c r="AU95" s="1168"/>
      <c r="AV95" s="1168"/>
      <c r="AW95" s="1168"/>
      <c r="AX95" s="1168"/>
      <c r="AY95" s="1168"/>
      <c r="AZ95" s="1168"/>
      <c r="BA95" s="1168"/>
      <c r="BB95" s="3185"/>
      <c r="BC95" s="3185"/>
      <c r="BD95" s="3185"/>
      <c r="BE95" s="3185"/>
      <c r="BF95" s="3185"/>
      <c r="BG95" s="3185"/>
      <c r="BH95" s="3185"/>
      <c r="BI95" s="3185"/>
      <c r="BJ95" s="3185"/>
      <c r="BK95" s="3185"/>
      <c r="BL95" s="3185"/>
      <c r="BM95" s="3185"/>
      <c r="BN95" s="3185"/>
      <c r="BO95" s="3185"/>
      <c r="BP95" s="3185"/>
      <c r="BQ95" s="3185"/>
      <c r="BR95" s="3185"/>
      <c r="BS95" s="3185"/>
      <c r="BT95" s="3185"/>
      <c r="BU95" s="3185"/>
      <c r="BV95" s="3185"/>
      <c r="BW95" s="3185"/>
      <c r="BX95" s="3185"/>
      <c r="BY95" s="3185"/>
      <c r="BZ95" s="3185"/>
      <c r="CA95" s="3185"/>
      <c r="CB95" s="3185"/>
      <c r="CC95" s="3185"/>
      <c r="CD95" s="3185"/>
      <c r="CE95" s="3185"/>
      <c r="CF95" s="3185"/>
      <c r="CG95" s="3185"/>
      <c r="CH95" s="3185"/>
      <c r="CI95" s="3185">
        <f t="shared" si="10"/>
        <v>0</v>
      </c>
    </row>
    <row r="96" spans="1:87" s="1169" customFormat="1">
      <c r="A96" s="1205" t="s">
        <v>2687</v>
      </c>
      <c r="B96" s="1206" t="s">
        <v>266</v>
      </c>
      <c r="C96" s="1206" t="s">
        <v>267</v>
      </c>
      <c r="D96" s="1007" t="s">
        <v>4219</v>
      </c>
      <c r="E96" s="1019" t="s">
        <v>4581</v>
      </c>
      <c r="F96" s="245">
        <v>0</v>
      </c>
      <c r="G96" s="245"/>
      <c r="H96" s="245">
        <v>0</v>
      </c>
      <c r="I96" s="245"/>
      <c r="J96" s="245"/>
      <c r="K96" s="245"/>
      <c r="L96" s="277"/>
      <c r="M96" s="298">
        <f t="shared" si="14"/>
        <v>0</v>
      </c>
      <c r="N96" s="277"/>
      <c r="O96" s="212">
        <f t="shared" si="15"/>
        <v>0</v>
      </c>
      <c r="P96" s="171"/>
      <c r="Q96" s="1003">
        <f>'Abs9. NVBDCP'!Q23</f>
        <v>0</v>
      </c>
      <c r="R96" s="3012">
        <f>'Abs9. NVBDCP'!R23</f>
        <v>0</v>
      </c>
      <c r="S96" s="1168"/>
      <c r="T96" s="1168"/>
      <c r="U96" s="1168"/>
      <c r="V96" s="1168"/>
      <c r="W96" s="1168"/>
      <c r="X96" s="1168"/>
      <c r="Y96" s="1168"/>
      <c r="Z96" s="1168"/>
      <c r="AA96" s="1168"/>
      <c r="AB96" s="1168"/>
      <c r="AC96" s="1168"/>
      <c r="AD96" s="1168"/>
      <c r="AE96" s="1168"/>
      <c r="AF96" s="1168"/>
      <c r="AG96" s="1168"/>
      <c r="AH96" s="1168"/>
      <c r="AI96" s="1168"/>
      <c r="AJ96" s="1168"/>
      <c r="AK96" s="1168"/>
      <c r="AL96" s="1168"/>
      <c r="AM96" s="1168"/>
      <c r="AN96" s="1168"/>
      <c r="AO96" s="1168"/>
      <c r="AP96" s="1168"/>
      <c r="AQ96" s="1168"/>
      <c r="AR96" s="1168"/>
      <c r="AS96" s="1168"/>
      <c r="AT96" s="1168"/>
      <c r="AU96" s="1168"/>
      <c r="AV96" s="1168"/>
      <c r="AW96" s="1168"/>
      <c r="AX96" s="1168"/>
      <c r="AY96" s="1168"/>
      <c r="AZ96" s="1168"/>
      <c r="BA96" s="1168"/>
      <c r="BB96" s="3185"/>
      <c r="BC96" s="3185"/>
      <c r="BD96" s="3185"/>
      <c r="BE96" s="3185"/>
      <c r="BF96" s="3185"/>
      <c r="BG96" s="3185"/>
      <c r="BH96" s="3185"/>
      <c r="BI96" s="3185"/>
      <c r="BJ96" s="3185"/>
      <c r="BK96" s="3185"/>
      <c r="BL96" s="3185"/>
      <c r="BM96" s="3185"/>
      <c r="BN96" s="3185"/>
      <c r="BO96" s="3185"/>
      <c r="BP96" s="3185"/>
      <c r="BQ96" s="3185"/>
      <c r="BR96" s="3185"/>
      <c r="BS96" s="3185"/>
      <c r="BT96" s="3185"/>
      <c r="BU96" s="3185"/>
      <c r="BV96" s="3185"/>
      <c r="BW96" s="3185"/>
      <c r="BX96" s="3185"/>
      <c r="BY96" s="3185"/>
      <c r="BZ96" s="3185"/>
      <c r="CA96" s="3185"/>
      <c r="CB96" s="3185"/>
      <c r="CC96" s="3185"/>
      <c r="CD96" s="3185"/>
      <c r="CE96" s="3185"/>
      <c r="CF96" s="3185"/>
      <c r="CG96" s="3185"/>
      <c r="CH96" s="3185"/>
      <c r="CI96" s="3185">
        <f t="shared" si="10"/>
        <v>0</v>
      </c>
    </row>
    <row r="97" spans="1:87" s="1169" customFormat="1" ht="30">
      <c r="A97" s="1205" t="s">
        <v>2688</v>
      </c>
      <c r="B97" s="1206" t="s">
        <v>268</v>
      </c>
      <c r="C97" s="1206" t="s">
        <v>2680</v>
      </c>
      <c r="D97" s="1007" t="s">
        <v>4219</v>
      </c>
      <c r="E97" s="1019" t="s">
        <v>4581</v>
      </c>
      <c r="F97" s="245">
        <v>0</v>
      </c>
      <c r="G97" s="245"/>
      <c r="H97" s="245">
        <v>0</v>
      </c>
      <c r="I97" s="245"/>
      <c r="J97" s="245"/>
      <c r="K97" s="245"/>
      <c r="L97" s="277"/>
      <c r="M97" s="298">
        <f t="shared" si="14"/>
        <v>0</v>
      </c>
      <c r="N97" s="277"/>
      <c r="O97" s="212">
        <f t="shared" si="15"/>
        <v>0</v>
      </c>
      <c r="P97" s="171"/>
      <c r="Q97" s="1003">
        <f>'Abs9. NVBDCP'!Q24</f>
        <v>0</v>
      </c>
      <c r="R97" s="3012">
        <f>'Abs9. NVBDCP'!R24</f>
        <v>0</v>
      </c>
      <c r="S97" s="1168"/>
      <c r="T97" s="1168"/>
      <c r="U97" s="1168"/>
      <c r="V97" s="1168"/>
      <c r="W97" s="1168"/>
      <c r="X97" s="1168"/>
      <c r="Y97" s="1168"/>
      <c r="Z97" s="1168"/>
      <c r="AA97" s="1168"/>
      <c r="AB97" s="1168"/>
      <c r="AC97" s="1168"/>
      <c r="AD97" s="1168"/>
      <c r="AE97" s="1168"/>
      <c r="AF97" s="1168"/>
      <c r="AG97" s="1168"/>
      <c r="AH97" s="1168"/>
      <c r="AI97" s="1168"/>
      <c r="AJ97" s="1168"/>
      <c r="AK97" s="1168"/>
      <c r="AL97" s="1168"/>
      <c r="AM97" s="1168"/>
      <c r="AN97" s="1168"/>
      <c r="AO97" s="1168"/>
      <c r="AP97" s="1168"/>
      <c r="AQ97" s="1168"/>
      <c r="AR97" s="1168"/>
      <c r="AS97" s="1168"/>
      <c r="AT97" s="1168"/>
      <c r="AU97" s="1168"/>
      <c r="AV97" s="1168"/>
      <c r="AW97" s="1168"/>
      <c r="AX97" s="1168"/>
      <c r="AY97" s="1168"/>
      <c r="AZ97" s="1168"/>
      <c r="BA97" s="1168"/>
      <c r="BB97" s="3185"/>
      <c r="BC97" s="3185"/>
      <c r="BD97" s="3185"/>
      <c r="BE97" s="3185"/>
      <c r="BF97" s="3185"/>
      <c r="BG97" s="3185"/>
      <c r="BH97" s="3185"/>
      <c r="BI97" s="3185"/>
      <c r="BJ97" s="3185"/>
      <c r="BK97" s="3185"/>
      <c r="BL97" s="3185"/>
      <c r="BM97" s="3185"/>
      <c r="BN97" s="3185"/>
      <c r="BO97" s="3185"/>
      <c r="BP97" s="3185"/>
      <c r="BQ97" s="3185"/>
      <c r="BR97" s="3185"/>
      <c r="BS97" s="3185"/>
      <c r="BT97" s="3185"/>
      <c r="BU97" s="3185"/>
      <c r="BV97" s="3185"/>
      <c r="BW97" s="3185"/>
      <c r="BX97" s="3185"/>
      <c r="BY97" s="3185"/>
      <c r="BZ97" s="3185"/>
      <c r="CA97" s="3185"/>
      <c r="CB97" s="3185"/>
      <c r="CC97" s="3185"/>
      <c r="CD97" s="3185"/>
      <c r="CE97" s="3185"/>
      <c r="CF97" s="3185"/>
      <c r="CG97" s="3185"/>
      <c r="CH97" s="3185"/>
      <c r="CI97" s="3185">
        <f t="shared" si="10"/>
        <v>0</v>
      </c>
    </row>
    <row r="98" spans="1:87" s="1169" customFormat="1">
      <c r="A98" s="1205" t="s">
        <v>2689</v>
      </c>
      <c r="B98" s="1206" t="s">
        <v>269</v>
      </c>
      <c r="C98" s="1206" t="s">
        <v>270</v>
      </c>
      <c r="D98" s="1007" t="s">
        <v>4219</v>
      </c>
      <c r="E98" s="1019" t="s">
        <v>4581</v>
      </c>
      <c r="F98" s="245">
        <v>0</v>
      </c>
      <c r="G98" s="245"/>
      <c r="H98" s="245">
        <v>0</v>
      </c>
      <c r="I98" s="245"/>
      <c r="J98" s="245"/>
      <c r="K98" s="245"/>
      <c r="L98" s="277"/>
      <c r="M98" s="298">
        <f t="shared" si="14"/>
        <v>0</v>
      </c>
      <c r="N98" s="277"/>
      <c r="O98" s="212">
        <f t="shared" si="15"/>
        <v>0</v>
      </c>
      <c r="P98" s="171"/>
      <c r="Q98" s="1003">
        <f>'Abs9. NVBDCP'!Q25</f>
        <v>0</v>
      </c>
      <c r="R98" s="3012">
        <f>'Abs9. NVBDCP'!R25</f>
        <v>0</v>
      </c>
      <c r="S98" s="1168"/>
      <c r="T98" s="1168"/>
      <c r="U98" s="1168"/>
      <c r="V98" s="1168"/>
      <c r="W98" s="1168"/>
      <c r="X98" s="1168"/>
      <c r="Y98" s="1168"/>
      <c r="Z98" s="1168"/>
      <c r="AA98" s="1168"/>
      <c r="AB98" s="1168"/>
      <c r="AC98" s="1168"/>
      <c r="AD98" s="1168"/>
      <c r="AE98" s="1168"/>
      <c r="AF98" s="1168"/>
      <c r="AG98" s="1168"/>
      <c r="AH98" s="1168"/>
      <c r="AI98" s="1168"/>
      <c r="AJ98" s="1168"/>
      <c r="AK98" s="1168"/>
      <c r="AL98" s="1168"/>
      <c r="AM98" s="1168"/>
      <c r="AN98" s="1168"/>
      <c r="AO98" s="1168"/>
      <c r="AP98" s="1168"/>
      <c r="AQ98" s="1168"/>
      <c r="AR98" s="1168"/>
      <c r="AS98" s="1168"/>
      <c r="AT98" s="1168"/>
      <c r="AU98" s="1168"/>
      <c r="AV98" s="1168"/>
      <c r="AW98" s="1168"/>
      <c r="AX98" s="1168"/>
      <c r="AY98" s="1168"/>
      <c r="AZ98" s="1168"/>
      <c r="BA98" s="1168"/>
      <c r="BB98" s="3185"/>
      <c r="BC98" s="3185"/>
      <c r="BD98" s="3185"/>
      <c r="BE98" s="3185"/>
      <c r="BF98" s="3185"/>
      <c r="BG98" s="3185"/>
      <c r="BH98" s="3185"/>
      <c r="BI98" s="3185"/>
      <c r="BJ98" s="3185"/>
      <c r="BK98" s="3185"/>
      <c r="BL98" s="3185"/>
      <c r="BM98" s="3185"/>
      <c r="BN98" s="3185"/>
      <c r="BO98" s="3185"/>
      <c r="BP98" s="3185"/>
      <c r="BQ98" s="3185"/>
      <c r="BR98" s="3185"/>
      <c r="BS98" s="3185"/>
      <c r="BT98" s="3185"/>
      <c r="BU98" s="3185"/>
      <c r="BV98" s="3185"/>
      <c r="BW98" s="3185"/>
      <c r="BX98" s="3185"/>
      <c r="BY98" s="3185"/>
      <c r="BZ98" s="3185"/>
      <c r="CA98" s="3185"/>
      <c r="CB98" s="3185"/>
      <c r="CC98" s="3185"/>
      <c r="CD98" s="3185"/>
      <c r="CE98" s="3185"/>
      <c r="CF98" s="3185"/>
      <c r="CG98" s="3185"/>
      <c r="CH98" s="3185"/>
      <c r="CI98" s="3185">
        <f t="shared" si="10"/>
        <v>0</v>
      </c>
    </row>
    <row r="99" spans="1:87" s="1169" customFormat="1">
      <c r="A99" s="1205" t="s">
        <v>2690</v>
      </c>
      <c r="B99" s="1206" t="s">
        <v>271</v>
      </c>
      <c r="C99" s="1206" t="s">
        <v>272</v>
      </c>
      <c r="D99" s="1007" t="s">
        <v>4219</v>
      </c>
      <c r="E99" s="1019" t="s">
        <v>4581</v>
      </c>
      <c r="F99" s="245">
        <v>0</v>
      </c>
      <c r="G99" s="245"/>
      <c r="H99" s="245">
        <v>0</v>
      </c>
      <c r="I99" s="245"/>
      <c r="J99" s="245"/>
      <c r="K99" s="245"/>
      <c r="L99" s="277"/>
      <c r="M99" s="298">
        <f t="shared" si="14"/>
        <v>0</v>
      </c>
      <c r="N99" s="277"/>
      <c r="O99" s="212">
        <f t="shared" si="15"/>
        <v>0</v>
      </c>
      <c r="P99" s="171"/>
      <c r="Q99" s="1003">
        <f>'Abs9. NVBDCP'!Q26</f>
        <v>0</v>
      </c>
      <c r="R99" s="3012">
        <f>'Abs9. NVBDCP'!R26</f>
        <v>0</v>
      </c>
      <c r="S99" s="1168"/>
      <c r="T99" s="1168"/>
      <c r="U99" s="1168"/>
      <c r="V99" s="1168"/>
      <c r="W99" s="1168"/>
      <c r="X99" s="1168"/>
      <c r="Y99" s="1168"/>
      <c r="Z99" s="1168"/>
      <c r="AA99" s="1168"/>
      <c r="AB99" s="1168"/>
      <c r="AC99" s="1168"/>
      <c r="AD99" s="1168"/>
      <c r="AE99" s="1168"/>
      <c r="AF99" s="1168"/>
      <c r="AG99" s="1168"/>
      <c r="AH99" s="1168"/>
      <c r="AI99" s="1168"/>
      <c r="AJ99" s="1168"/>
      <c r="AK99" s="1168"/>
      <c r="AL99" s="1168"/>
      <c r="AM99" s="1168"/>
      <c r="AN99" s="1168"/>
      <c r="AO99" s="1168"/>
      <c r="AP99" s="1168"/>
      <c r="AQ99" s="1168"/>
      <c r="AR99" s="1168"/>
      <c r="AS99" s="1168"/>
      <c r="AT99" s="1168"/>
      <c r="AU99" s="1168"/>
      <c r="AV99" s="1168"/>
      <c r="AW99" s="1168"/>
      <c r="AX99" s="1168"/>
      <c r="AY99" s="1168"/>
      <c r="AZ99" s="1168"/>
      <c r="BA99" s="1168"/>
      <c r="BB99" s="3185"/>
      <c r="BC99" s="3185"/>
      <c r="BD99" s="3185"/>
      <c r="BE99" s="3185"/>
      <c r="BF99" s="3185"/>
      <c r="BG99" s="3185"/>
      <c r="BH99" s="3185"/>
      <c r="BI99" s="3185"/>
      <c r="BJ99" s="3185"/>
      <c r="BK99" s="3185"/>
      <c r="BL99" s="3185"/>
      <c r="BM99" s="3185"/>
      <c r="BN99" s="3185"/>
      <c r="BO99" s="3185"/>
      <c r="BP99" s="3185"/>
      <c r="BQ99" s="3185"/>
      <c r="BR99" s="3185"/>
      <c r="BS99" s="3185"/>
      <c r="BT99" s="3185"/>
      <c r="BU99" s="3185"/>
      <c r="BV99" s="3185"/>
      <c r="BW99" s="3185"/>
      <c r="BX99" s="3185"/>
      <c r="BY99" s="3185"/>
      <c r="BZ99" s="3185"/>
      <c r="CA99" s="3185"/>
      <c r="CB99" s="3185"/>
      <c r="CC99" s="3185"/>
      <c r="CD99" s="3185"/>
      <c r="CE99" s="3185"/>
      <c r="CF99" s="3185"/>
      <c r="CG99" s="3185"/>
      <c r="CH99" s="3185"/>
      <c r="CI99" s="3185">
        <f t="shared" si="10"/>
        <v>0</v>
      </c>
    </row>
    <row r="100" spans="1:87" s="1169" customFormat="1" ht="30">
      <c r="A100" s="1205" t="s">
        <v>4303</v>
      </c>
      <c r="B100" s="1206"/>
      <c r="C100" s="1206" t="s">
        <v>4304</v>
      </c>
      <c r="D100" s="1007" t="s">
        <v>4219</v>
      </c>
      <c r="E100" s="1019" t="s">
        <v>4581</v>
      </c>
      <c r="F100" s="245">
        <v>0</v>
      </c>
      <c r="G100" s="245"/>
      <c r="H100" s="245">
        <v>0</v>
      </c>
      <c r="I100" s="245"/>
      <c r="J100" s="245"/>
      <c r="K100" s="245"/>
      <c r="L100" s="277"/>
      <c r="M100" s="298">
        <f t="shared" si="14"/>
        <v>0</v>
      </c>
      <c r="N100" s="277"/>
      <c r="O100" s="212">
        <f t="shared" si="15"/>
        <v>0</v>
      </c>
      <c r="P100" s="171"/>
      <c r="Q100" s="1003">
        <f>'Abs9. NVBDCP'!Q27</f>
        <v>0</v>
      </c>
      <c r="R100" s="3012">
        <f>'Abs9. NVBDCP'!R27</f>
        <v>0</v>
      </c>
      <c r="S100" s="1168"/>
      <c r="T100" s="1168"/>
      <c r="U100" s="1168"/>
      <c r="V100" s="1168"/>
      <c r="W100" s="1168"/>
      <c r="X100" s="1168"/>
      <c r="Y100" s="1168"/>
      <c r="Z100" s="1168"/>
      <c r="AA100" s="1168"/>
      <c r="AB100" s="1168"/>
      <c r="AC100" s="1168"/>
      <c r="AD100" s="1168"/>
      <c r="AE100" s="1168"/>
      <c r="AF100" s="1168"/>
      <c r="AG100" s="1168"/>
      <c r="AH100" s="1168"/>
      <c r="AI100" s="1168"/>
      <c r="AJ100" s="1168"/>
      <c r="AK100" s="1168"/>
      <c r="AL100" s="1168"/>
      <c r="AM100" s="1168"/>
      <c r="AN100" s="1168"/>
      <c r="AO100" s="1168"/>
      <c r="AP100" s="1168"/>
      <c r="AQ100" s="1168"/>
      <c r="AR100" s="1168"/>
      <c r="AS100" s="1168"/>
      <c r="AT100" s="1168"/>
      <c r="AU100" s="1168"/>
      <c r="AV100" s="1168"/>
      <c r="AW100" s="1168"/>
      <c r="AX100" s="1168"/>
      <c r="AY100" s="1168"/>
      <c r="AZ100" s="1168"/>
      <c r="BA100" s="1168"/>
      <c r="BB100" s="3185"/>
      <c r="BC100" s="3185"/>
      <c r="BD100" s="3185"/>
      <c r="BE100" s="3185"/>
      <c r="BF100" s="3185"/>
      <c r="BG100" s="3185"/>
      <c r="BH100" s="3185"/>
      <c r="BI100" s="3185"/>
      <c r="BJ100" s="3185"/>
      <c r="BK100" s="3185"/>
      <c r="BL100" s="3185"/>
      <c r="BM100" s="3185"/>
      <c r="BN100" s="3185"/>
      <c r="BO100" s="3185"/>
      <c r="BP100" s="3185"/>
      <c r="BQ100" s="3185"/>
      <c r="BR100" s="3185"/>
      <c r="BS100" s="3185"/>
      <c r="BT100" s="3185"/>
      <c r="BU100" s="3185"/>
      <c r="BV100" s="3185"/>
      <c r="BW100" s="3185"/>
      <c r="BX100" s="3185"/>
      <c r="BY100" s="3185"/>
      <c r="BZ100" s="3185"/>
      <c r="CA100" s="3185"/>
      <c r="CB100" s="3185"/>
      <c r="CC100" s="3185"/>
      <c r="CD100" s="3185"/>
      <c r="CE100" s="3185"/>
      <c r="CF100" s="3185"/>
      <c r="CG100" s="3185"/>
      <c r="CH100" s="3185"/>
      <c r="CI100" s="3185">
        <f t="shared" si="10"/>
        <v>0</v>
      </c>
    </row>
    <row r="101" spans="1:87" s="1169" customFormat="1">
      <c r="A101" s="1159" t="s">
        <v>263</v>
      </c>
      <c r="B101" s="1159" t="s">
        <v>262</v>
      </c>
      <c r="C101" s="1159" t="s">
        <v>2681</v>
      </c>
      <c r="D101" s="1007" t="s">
        <v>4219</v>
      </c>
      <c r="E101" s="1165"/>
      <c r="F101" s="302"/>
      <c r="G101" s="302"/>
      <c r="H101" s="302"/>
      <c r="I101" s="302"/>
      <c r="J101" s="302"/>
      <c r="K101" s="302"/>
      <c r="L101" s="302"/>
      <c r="M101" s="303"/>
      <c r="N101" s="302"/>
      <c r="O101" s="303">
        <f>SUM(O102:O105)</f>
        <v>3.5</v>
      </c>
      <c r="P101" s="716"/>
      <c r="Q101" s="1182"/>
      <c r="R101" s="3000">
        <f>SUM(R102:R105)</f>
        <v>3.5</v>
      </c>
      <c r="S101" s="1168"/>
      <c r="T101" s="1168"/>
      <c r="U101" s="1168"/>
      <c r="V101" s="1168"/>
      <c r="W101" s="1168"/>
      <c r="X101" s="1168"/>
      <c r="Y101" s="1168"/>
      <c r="Z101" s="1168"/>
      <c r="AA101" s="1168"/>
      <c r="AB101" s="1168"/>
      <c r="AC101" s="1168"/>
      <c r="AD101" s="1168"/>
      <c r="AE101" s="1168"/>
      <c r="AF101" s="1168"/>
      <c r="AG101" s="1168"/>
      <c r="AH101" s="1168"/>
      <c r="AI101" s="1168"/>
      <c r="AJ101" s="1168"/>
      <c r="AK101" s="1168"/>
      <c r="AL101" s="1168"/>
      <c r="AM101" s="1168"/>
      <c r="AN101" s="1168"/>
      <c r="AO101" s="1168"/>
      <c r="AP101" s="1168"/>
      <c r="AQ101" s="1168"/>
      <c r="AR101" s="1168"/>
      <c r="AS101" s="1168"/>
      <c r="AT101" s="1168"/>
      <c r="AU101" s="1168"/>
      <c r="AV101" s="1168"/>
      <c r="AW101" s="1168"/>
      <c r="AX101" s="1168"/>
      <c r="AY101" s="1168"/>
      <c r="AZ101" s="1168"/>
      <c r="BA101" s="1168"/>
      <c r="BB101" s="3000"/>
      <c r="BC101" s="3000"/>
      <c r="BD101" s="3000"/>
      <c r="BE101" s="3000"/>
      <c r="BF101" s="3000"/>
      <c r="BG101" s="3000"/>
      <c r="BH101" s="3000"/>
      <c r="BI101" s="3000"/>
      <c r="BJ101" s="3000"/>
      <c r="BK101" s="3000"/>
      <c r="BL101" s="3000"/>
      <c r="BM101" s="3000"/>
      <c r="BN101" s="3000"/>
      <c r="BO101" s="3000"/>
      <c r="BP101" s="3000"/>
      <c r="BQ101" s="3000"/>
      <c r="BR101" s="3000"/>
      <c r="BS101" s="3000"/>
      <c r="BT101" s="3000"/>
      <c r="BU101" s="3000"/>
      <c r="BV101" s="3000"/>
      <c r="BW101" s="3000"/>
      <c r="BX101" s="3000"/>
      <c r="BY101" s="3000"/>
      <c r="BZ101" s="3000"/>
      <c r="CA101" s="3000"/>
      <c r="CB101" s="3000"/>
      <c r="CC101" s="3000"/>
      <c r="CD101" s="3000"/>
      <c r="CE101" s="3000"/>
      <c r="CF101" s="3000"/>
      <c r="CG101" s="3000"/>
      <c r="CH101" s="3000"/>
      <c r="CI101" s="3185"/>
    </row>
    <row r="102" spans="1:87" s="1169" customFormat="1" ht="30">
      <c r="A102" s="1205" t="s">
        <v>2691</v>
      </c>
      <c r="B102" s="1206" t="s">
        <v>273</v>
      </c>
      <c r="C102" s="1206" t="s">
        <v>2682</v>
      </c>
      <c r="D102" s="2254" t="s">
        <v>4219</v>
      </c>
      <c r="E102" s="2623" t="s">
        <v>4709</v>
      </c>
      <c r="F102" s="279">
        <v>0</v>
      </c>
      <c r="G102" s="2634"/>
      <c r="H102" s="232">
        <v>0</v>
      </c>
      <c r="I102" s="232"/>
      <c r="J102" s="2634"/>
      <c r="K102" s="2634"/>
      <c r="L102" s="283">
        <v>50000</v>
      </c>
      <c r="M102" s="298">
        <f>L102/100000</f>
        <v>0.5</v>
      </c>
      <c r="N102" s="283">
        <v>7</v>
      </c>
      <c r="O102" s="212">
        <f>M102*N102</f>
        <v>3.5</v>
      </c>
      <c r="P102" s="2256" t="s">
        <v>5454</v>
      </c>
      <c r="Q102" s="2257" t="str">
        <f>'Abs9. NVBDCP'!Q28</f>
        <v>Activity Recommended</v>
      </c>
      <c r="R102" s="3014">
        <f>'Abs9. NVBDCP'!R28</f>
        <v>3.5</v>
      </c>
      <c r="S102" s="1168"/>
      <c r="T102" s="1168"/>
      <c r="U102" s="1168"/>
      <c r="V102" s="1168"/>
      <c r="W102" s="1168"/>
      <c r="X102" s="1168"/>
      <c r="Y102" s="1168"/>
      <c r="Z102" s="1168"/>
      <c r="AA102" s="1168"/>
      <c r="AB102" s="1168"/>
      <c r="AC102" s="1168"/>
      <c r="AD102" s="1168"/>
      <c r="AE102" s="1168"/>
      <c r="AF102" s="1168"/>
      <c r="AG102" s="1168"/>
      <c r="AH102" s="1168"/>
      <c r="AI102" s="1168"/>
      <c r="AJ102" s="1168"/>
      <c r="AK102" s="1168"/>
      <c r="AL102" s="1168"/>
      <c r="AM102" s="1168"/>
      <c r="AN102" s="1168"/>
      <c r="AO102" s="1168"/>
      <c r="AP102" s="1168"/>
      <c r="AQ102" s="1168"/>
      <c r="AR102" s="1168"/>
      <c r="AS102" s="1168"/>
      <c r="AT102" s="1168"/>
      <c r="AU102" s="1168"/>
      <c r="AV102" s="1168"/>
      <c r="AW102" s="1168"/>
      <c r="AX102" s="1168"/>
      <c r="AY102" s="1168"/>
      <c r="AZ102" s="1168"/>
      <c r="BA102" s="1168"/>
      <c r="BB102" s="3185"/>
      <c r="BC102" s="3185">
        <v>0.5</v>
      </c>
      <c r="BD102" s="3185">
        <v>0</v>
      </c>
      <c r="BE102" s="3185">
        <v>0.5</v>
      </c>
      <c r="BF102" s="3185">
        <v>0.5</v>
      </c>
      <c r="BG102" s="3185">
        <v>0</v>
      </c>
      <c r="BH102" s="3185">
        <v>0.5</v>
      </c>
      <c r="BI102" s="3185">
        <v>0</v>
      </c>
      <c r="BJ102" s="3185">
        <v>0</v>
      </c>
      <c r="BK102" s="3185">
        <v>0</v>
      </c>
      <c r="BL102" s="3185">
        <v>0.5</v>
      </c>
      <c r="BM102" s="3185">
        <v>0.5</v>
      </c>
      <c r="BN102" s="3185">
        <v>0.5</v>
      </c>
      <c r="BO102" s="3185"/>
      <c r="BP102" s="3185"/>
      <c r="BQ102" s="3185"/>
      <c r="BR102" s="3185"/>
      <c r="BS102" s="3185"/>
      <c r="BT102" s="3185"/>
      <c r="BU102" s="3185"/>
      <c r="BV102" s="3185"/>
      <c r="BW102" s="3185"/>
      <c r="BX102" s="3185"/>
      <c r="BY102" s="3185"/>
      <c r="BZ102" s="3185"/>
      <c r="CA102" s="3185"/>
      <c r="CB102" s="3185"/>
      <c r="CC102" s="3185"/>
      <c r="CD102" s="3185"/>
      <c r="CE102" s="3185"/>
      <c r="CF102" s="3185"/>
      <c r="CG102" s="3185"/>
      <c r="CH102" s="3185"/>
      <c r="CI102" s="3185">
        <f t="shared" si="10"/>
        <v>3.5</v>
      </c>
    </row>
    <row r="103" spans="1:87" s="1169" customFormat="1" ht="30">
      <c r="A103" s="1205" t="s">
        <v>2692</v>
      </c>
      <c r="B103" s="1206" t="s">
        <v>274</v>
      </c>
      <c r="C103" s="1206" t="s">
        <v>2683</v>
      </c>
      <c r="D103" s="1007" t="s">
        <v>4219</v>
      </c>
      <c r="E103" s="1019" t="s">
        <v>4710</v>
      </c>
      <c r="F103" s="245">
        <v>0</v>
      </c>
      <c r="G103" s="245"/>
      <c r="H103" s="245">
        <v>0</v>
      </c>
      <c r="I103" s="245"/>
      <c r="J103" s="245"/>
      <c r="K103" s="245"/>
      <c r="L103" s="277"/>
      <c r="M103" s="298">
        <f>L103/100000</f>
        <v>0</v>
      </c>
      <c r="N103" s="277"/>
      <c r="O103" s="212">
        <f>M103*N103</f>
        <v>0</v>
      </c>
      <c r="P103" s="171"/>
      <c r="Q103" s="1003">
        <f>'Abs9. NVBDCP'!Q29</f>
        <v>0</v>
      </c>
      <c r="R103" s="3012">
        <f>'Abs9. NVBDCP'!R29</f>
        <v>0</v>
      </c>
      <c r="S103" s="1168"/>
      <c r="T103" s="1168"/>
      <c r="U103" s="1168"/>
      <c r="V103" s="1168"/>
      <c r="W103" s="1168"/>
      <c r="X103" s="1168"/>
      <c r="Y103" s="1168"/>
      <c r="Z103" s="1168"/>
      <c r="AA103" s="1168"/>
      <c r="AB103" s="1168"/>
      <c r="AC103" s="1168"/>
      <c r="AD103" s="1168"/>
      <c r="AE103" s="1168"/>
      <c r="AF103" s="1168"/>
      <c r="AG103" s="1168"/>
      <c r="AH103" s="1168"/>
      <c r="AI103" s="1168"/>
      <c r="AJ103" s="1168"/>
      <c r="AK103" s="1168"/>
      <c r="AL103" s="1168"/>
      <c r="AM103" s="1168"/>
      <c r="AN103" s="1168"/>
      <c r="AO103" s="1168"/>
      <c r="AP103" s="1168"/>
      <c r="AQ103" s="1168"/>
      <c r="AR103" s="1168"/>
      <c r="AS103" s="1168"/>
      <c r="AT103" s="1168"/>
      <c r="AU103" s="1168"/>
      <c r="AV103" s="1168"/>
      <c r="AW103" s="1168"/>
      <c r="AX103" s="1168"/>
      <c r="AY103" s="1168"/>
      <c r="AZ103" s="1168"/>
      <c r="BA103" s="1168"/>
      <c r="BB103" s="3185"/>
      <c r="BC103" s="3185"/>
      <c r="BD103" s="3185"/>
      <c r="BE103" s="3185"/>
      <c r="BF103" s="3185"/>
      <c r="BG103" s="3185"/>
      <c r="BH103" s="3185"/>
      <c r="BI103" s="3185"/>
      <c r="BJ103" s="3185"/>
      <c r="BK103" s="3185"/>
      <c r="BL103" s="3185"/>
      <c r="BM103" s="3185"/>
      <c r="BN103" s="3185"/>
      <c r="BO103" s="3185"/>
      <c r="BP103" s="3185"/>
      <c r="BQ103" s="3185"/>
      <c r="BR103" s="3185"/>
      <c r="BS103" s="3185"/>
      <c r="BT103" s="3185"/>
      <c r="BU103" s="3185"/>
      <c r="BV103" s="3185"/>
      <c r="BW103" s="3185"/>
      <c r="BX103" s="3185"/>
      <c r="BY103" s="3185"/>
      <c r="BZ103" s="3185"/>
      <c r="CA103" s="3185"/>
      <c r="CB103" s="3185"/>
      <c r="CC103" s="3185"/>
      <c r="CD103" s="3185"/>
      <c r="CE103" s="3185"/>
      <c r="CF103" s="3185"/>
      <c r="CG103" s="3185"/>
      <c r="CH103" s="3185"/>
      <c r="CI103" s="3185">
        <f t="shared" si="10"/>
        <v>0</v>
      </c>
    </row>
    <row r="104" spans="1:87" s="1169" customFormat="1">
      <c r="A104" s="1205" t="s">
        <v>2693</v>
      </c>
      <c r="B104" s="1206" t="s">
        <v>275</v>
      </c>
      <c r="C104" s="1206" t="s">
        <v>2684</v>
      </c>
      <c r="D104" s="1007" t="s">
        <v>4219</v>
      </c>
      <c r="E104" s="1019" t="s">
        <v>4712</v>
      </c>
      <c r="F104" s="245">
        <v>0</v>
      </c>
      <c r="G104" s="245"/>
      <c r="H104" s="245">
        <v>0</v>
      </c>
      <c r="I104" s="245"/>
      <c r="J104" s="245"/>
      <c r="K104" s="245"/>
      <c r="L104" s="277"/>
      <c r="M104" s="298">
        <f>L104/100000</f>
        <v>0</v>
      </c>
      <c r="N104" s="277"/>
      <c r="O104" s="212">
        <f>M104*N104</f>
        <v>0</v>
      </c>
      <c r="P104" s="171"/>
      <c r="Q104" s="1003">
        <f>'Abs9. NVBDCP'!Q30</f>
        <v>0</v>
      </c>
      <c r="R104" s="3012">
        <f>'Abs9. NVBDCP'!R30</f>
        <v>0</v>
      </c>
      <c r="S104" s="1168"/>
      <c r="T104" s="1168"/>
      <c r="U104" s="1168"/>
      <c r="V104" s="1168"/>
      <c r="W104" s="1168"/>
      <c r="X104" s="1168"/>
      <c r="Y104" s="1168"/>
      <c r="Z104" s="1168"/>
      <c r="AA104" s="1168"/>
      <c r="AB104" s="1168"/>
      <c r="AC104" s="1168"/>
      <c r="AD104" s="1168"/>
      <c r="AE104" s="1168"/>
      <c r="AF104" s="1168"/>
      <c r="AG104" s="1168"/>
      <c r="AH104" s="1168"/>
      <c r="AI104" s="1168"/>
      <c r="AJ104" s="1168"/>
      <c r="AK104" s="1168"/>
      <c r="AL104" s="1168"/>
      <c r="AM104" s="1168"/>
      <c r="AN104" s="1168"/>
      <c r="AO104" s="1168"/>
      <c r="AP104" s="1168"/>
      <c r="AQ104" s="1168"/>
      <c r="AR104" s="1168"/>
      <c r="AS104" s="1168"/>
      <c r="AT104" s="1168"/>
      <c r="AU104" s="1168"/>
      <c r="AV104" s="1168"/>
      <c r="AW104" s="1168"/>
      <c r="AX104" s="1168"/>
      <c r="AY104" s="1168"/>
      <c r="AZ104" s="1168"/>
      <c r="BA104" s="1168"/>
      <c r="BB104" s="3185"/>
      <c r="BC104" s="3185"/>
      <c r="BD104" s="3185"/>
      <c r="BE104" s="3185"/>
      <c r="BF104" s="3185"/>
      <c r="BG104" s="3185"/>
      <c r="BH104" s="3185"/>
      <c r="BI104" s="3185"/>
      <c r="BJ104" s="3185"/>
      <c r="BK104" s="3185"/>
      <c r="BL104" s="3185"/>
      <c r="BM104" s="3185"/>
      <c r="BN104" s="3185"/>
      <c r="BO104" s="3185"/>
      <c r="BP104" s="3185"/>
      <c r="BQ104" s="3185"/>
      <c r="BR104" s="3185"/>
      <c r="BS104" s="3185"/>
      <c r="BT104" s="3185"/>
      <c r="BU104" s="3185"/>
      <c r="BV104" s="3185"/>
      <c r="BW104" s="3185"/>
      <c r="BX104" s="3185"/>
      <c r="BY104" s="3185"/>
      <c r="BZ104" s="3185"/>
      <c r="CA104" s="3185"/>
      <c r="CB104" s="3185"/>
      <c r="CC104" s="3185"/>
      <c r="CD104" s="3185"/>
      <c r="CE104" s="3185"/>
      <c r="CF104" s="3185"/>
      <c r="CG104" s="3185"/>
      <c r="CH104" s="3185"/>
      <c r="CI104" s="3185">
        <f t="shared" si="10"/>
        <v>0</v>
      </c>
    </row>
    <row r="105" spans="1:87" s="1169" customFormat="1">
      <c r="A105" s="1205" t="s">
        <v>2694</v>
      </c>
      <c r="B105" s="1206" t="s">
        <v>276</v>
      </c>
      <c r="C105" s="1206" t="s">
        <v>2685</v>
      </c>
      <c r="D105" s="1007" t="s">
        <v>4219</v>
      </c>
      <c r="E105" s="1019" t="s">
        <v>4712</v>
      </c>
      <c r="F105" s="245">
        <v>0</v>
      </c>
      <c r="G105" s="245"/>
      <c r="H105" s="245">
        <v>0</v>
      </c>
      <c r="I105" s="245"/>
      <c r="J105" s="245"/>
      <c r="K105" s="245"/>
      <c r="L105" s="277"/>
      <c r="M105" s="298">
        <f>L105/100000</f>
        <v>0</v>
      </c>
      <c r="N105" s="277"/>
      <c r="O105" s="212">
        <f>M105*N105</f>
        <v>0</v>
      </c>
      <c r="P105" s="171"/>
      <c r="Q105" s="1003">
        <f>'Abs9. NVBDCP'!Q31</f>
        <v>0</v>
      </c>
      <c r="R105" s="3012">
        <f>'Abs9. NVBDCP'!R31</f>
        <v>0</v>
      </c>
      <c r="S105" s="1168"/>
      <c r="T105" s="1168"/>
      <c r="U105" s="1168"/>
      <c r="V105" s="1168"/>
      <c r="W105" s="1168"/>
      <c r="X105" s="1168"/>
      <c r="Y105" s="1168"/>
      <c r="Z105" s="1168"/>
      <c r="AA105" s="1168"/>
      <c r="AB105" s="1168"/>
      <c r="AC105" s="1168"/>
      <c r="AD105" s="1168"/>
      <c r="AE105" s="1168"/>
      <c r="AF105" s="1168"/>
      <c r="AG105" s="1168"/>
      <c r="AH105" s="1168"/>
      <c r="AI105" s="1168"/>
      <c r="AJ105" s="1168"/>
      <c r="AK105" s="1168"/>
      <c r="AL105" s="1168"/>
      <c r="AM105" s="1168"/>
      <c r="AN105" s="1168"/>
      <c r="AO105" s="1168"/>
      <c r="AP105" s="1168"/>
      <c r="AQ105" s="1168"/>
      <c r="AR105" s="1168"/>
      <c r="AS105" s="1168"/>
      <c r="AT105" s="1168"/>
      <c r="AU105" s="1168"/>
      <c r="AV105" s="1168"/>
      <c r="AW105" s="1168"/>
      <c r="AX105" s="1168"/>
      <c r="AY105" s="1168"/>
      <c r="AZ105" s="1168"/>
      <c r="BA105" s="1168"/>
      <c r="BB105" s="3185"/>
      <c r="BC105" s="3185"/>
      <c r="BD105" s="3185"/>
      <c r="BE105" s="3185"/>
      <c r="BF105" s="3185"/>
      <c r="BG105" s="3185"/>
      <c r="BH105" s="3185"/>
      <c r="BI105" s="3185"/>
      <c r="BJ105" s="3185"/>
      <c r="BK105" s="3185"/>
      <c r="BL105" s="3185"/>
      <c r="BM105" s="3185"/>
      <c r="BN105" s="3185"/>
      <c r="BO105" s="3185"/>
      <c r="BP105" s="3185"/>
      <c r="BQ105" s="3185"/>
      <c r="BR105" s="3185"/>
      <c r="BS105" s="3185"/>
      <c r="BT105" s="3185"/>
      <c r="BU105" s="3185"/>
      <c r="BV105" s="3185"/>
      <c r="BW105" s="3185"/>
      <c r="BX105" s="3185"/>
      <c r="BY105" s="3185"/>
      <c r="BZ105" s="3185"/>
      <c r="CA105" s="3185"/>
      <c r="CB105" s="3185"/>
      <c r="CC105" s="3185"/>
      <c r="CD105" s="3185"/>
      <c r="CE105" s="3185"/>
      <c r="CF105" s="3185"/>
      <c r="CG105" s="3185"/>
      <c r="CH105" s="3185"/>
      <c r="CI105" s="3185">
        <f t="shared" si="10"/>
        <v>0</v>
      </c>
    </row>
    <row r="106" spans="1:87" s="1208" customFormat="1">
      <c r="A106" s="1180" t="s">
        <v>3879</v>
      </c>
      <c r="B106" s="1180" t="s">
        <v>2265</v>
      </c>
      <c r="C106" s="1180" t="s">
        <v>4609</v>
      </c>
      <c r="D106" s="1007" t="s">
        <v>4219</v>
      </c>
      <c r="E106" s="1165" t="s">
        <v>4525</v>
      </c>
      <c r="F106" s="312"/>
      <c r="G106" s="313"/>
      <c r="H106" s="314"/>
      <c r="I106" s="314"/>
      <c r="J106" s="312"/>
      <c r="K106" s="312"/>
      <c r="L106" s="312"/>
      <c r="M106" s="303"/>
      <c r="N106" s="302"/>
      <c r="O106" s="303">
        <f>SUM(O107:O111)</f>
        <v>105.7</v>
      </c>
      <c r="P106" s="716"/>
      <c r="Q106" s="1182"/>
      <c r="R106" s="3000">
        <f>SUM(R107:R111)</f>
        <v>105.7</v>
      </c>
      <c r="S106" s="1207"/>
      <c r="T106" s="3487"/>
      <c r="U106" s="3487"/>
      <c r="V106" s="3487"/>
      <c r="W106" s="3487"/>
      <c r="X106" s="3487"/>
      <c r="Y106" s="3487"/>
      <c r="Z106" s="3487"/>
      <c r="AA106" s="3487"/>
      <c r="AB106" s="3487"/>
      <c r="AC106" s="3487"/>
      <c r="AD106" s="3487"/>
      <c r="AE106" s="3487"/>
      <c r="AF106" s="3487"/>
      <c r="AG106" s="3487"/>
      <c r="AH106" s="3487"/>
      <c r="AI106" s="3487"/>
      <c r="AJ106" s="3487"/>
      <c r="AK106" s="3487"/>
      <c r="AL106" s="3487"/>
      <c r="AM106" s="3487"/>
      <c r="AN106" s="3487"/>
      <c r="AO106" s="3487"/>
      <c r="AP106" s="3487"/>
      <c r="AQ106" s="3487"/>
      <c r="AR106" s="3487"/>
      <c r="AS106" s="3487"/>
      <c r="AT106" s="3487"/>
      <c r="AU106" s="3487"/>
      <c r="AV106" s="3487"/>
      <c r="AW106" s="3487"/>
      <c r="AX106" s="3487"/>
      <c r="AY106" s="3487"/>
      <c r="AZ106" s="3487"/>
      <c r="BA106" s="3487"/>
      <c r="BB106" s="3000"/>
      <c r="BC106" s="3000"/>
      <c r="BD106" s="3000"/>
      <c r="BE106" s="3000"/>
      <c r="BF106" s="3000"/>
      <c r="BG106" s="3000"/>
      <c r="BH106" s="3000"/>
      <c r="BI106" s="3000"/>
      <c r="BJ106" s="3000"/>
      <c r="BK106" s="3000"/>
      <c r="BL106" s="3000"/>
      <c r="BM106" s="3000"/>
      <c r="BN106" s="3000"/>
      <c r="BO106" s="3000"/>
      <c r="BP106" s="3000"/>
      <c r="BQ106" s="3000"/>
      <c r="BR106" s="3000"/>
      <c r="BS106" s="3000"/>
      <c r="BT106" s="3000"/>
      <c r="BU106" s="3000"/>
      <c r="BV106" s="3000"/>
      <c r="BW106" s="3000"/>
      <c r="BX106" s="3000"/>
      <c r="BY106" s="3000"/>
      <c r="BZ106" s="3000"/>
      <c r="CA106" s="3000"/>
      <c r="CB106" s="3000"/>
      <c r="CC106" s="3000"/>
      <c r="CD106" s="3000"/>
      <c r="CE106" s="3000"/>
      <c r="CF106" s="3000"/>
      <c r="CG106" s="3000"/>
      <c r="CH106" s="3000"/>
      <c r="CI106" s="3185"/>
    </row>
    <row r="107" spans="1:87" s="1169" customFormat="1" ht="88.5" customHeight="1">
      <c r="A107" s="1004" t="s">
        <v>3937</v>
      </c>
      <c r="B107" s="1004" t="s">
        <v>4238</v>
      </c>
      <c r="C107" s="1004" t="s">
        <v>4236</v>
      </c>
      <c r="D107" s="2254" t="s">
        <v>4219</v>
      </c>
      <c r="E107" s="2326" t="s">
        <v>4525</v>
      </c>
      <c r="F107" s="2669">
        <v>7000</v>
      </c>
      <c r="G107" s="2670">
        <v>4500</v>
      </c>
      <c r="H107" s="2671">
        <v>70</v>
      </c>
      <c r="I107" s="2671">
        <v>27.51</v>
      </c>
      <c r="J107" s="2669">
        <v>40</v>
      </c>
      <c r="K107" s="2669">
        <v>7000</v>
      </c>
      <c r="L107" s="283">
        <v>1000</v>
      </c>
      <c r="M107" s="298">
        <f t="shared" ref="M107:M114" si="16">L107/100000</f>
        <v>0.01</v>
      </c>
      <c r="N107" s="283">
        <v>7000</v>
      </c>
      <c r="O107" s="212">
        <f t="shared" ref="O107:O114" si="17">M107*N107</f>
        <v>70</v>
      </c>
      <c r="P107" s="2350" t="s">
        <v>5164</v>
      </c>
      <c r="Q107" s="2257" t="str">
        <f>'Abs11. NTEP'!Q13</f>
        <v>Recommended Rs 70 lakhs towards Treatment Supporter Honorarium for DSTB patients</v>
      </c>
      <c r="R107" s="3024">
        <f>'Abs11. NTEP'!R13</f>
        <v>70</v>
      </c>
      <c r="S107" s="1168"/>
      <c r="T107" s="1168"/>
      <c r="U107" s="1168"/>
      <c r="V107" s="1168"/>
      <c r="W107" s="1168"/>
      <c r="X107" s="1168"/>
      <c r="Y107" s="1168"/>
      <c r="Z107" s="1168"/>
      <c r="AA107" s="1168"/>
      <c r="AB107" s="1168"/>
      <c r="AC107" s="1168"/>
      <c r="AD107" s="1168"/>
      <c r="AE107" s="1168"/>
      <c r="AF107" s="1168"/>
      <c r="AG107" s="1168"/>
      <c r="AH107" s="1168"/>
      <c r="AI107" s="1168"/>
      <c r="AJ107" s="1168"/>
      <c r="AK107" s="1168"/>
      <c r="AL107" s="1168"/>
      <c r="AM107" s="1168"/>
      <c r="AN107" s="1168"/>
      <c r="AO107" s="1168"/>
      <c r="AP107" s="1168"/>
      <c r="AQ107" s="1168"/>
      <c r="AR107" s="1168"/>
      <c r="AS107" s="1168"/>
      <c r="AT107" s="1168"/>
      <c r="AU107" s="1168"/>
      <c r="AV107" s="1168"/>
      <c r="AW107" s="1168"/>
      <c r="AX107" s="1168"/>
      <c r="AY107" s="1168"/>
      <c r="AZ107" s="1168"/>
      <c r="BA107" s="1168"/>
      <c r="BB107" s="3185"/>
      <c r="BC107" s="3185">
        <v>2.48</v>
      </c>
      <c r="BD107" s="3185">
        <v>0.52</v>
      </c>
      <c r="BE107" s="3185">
        <v>3.06</v>
      </c>
      <c r="BF107" s="3185">
        <v>17.12</v>
      </c>
      <c r="BG107" s="3185">
        <v>0.51</v>
      </c>
      <c r="BH107" s="3185">
        <v>6.45</v>
      </c>
      <c r="BI107" s="3185">
        <v>0.15</v>
      </c>
      <c r="BJ107" s="3185">
        <v>9.92</v>
      </c>
      <c r="BK107" s="3185">
        <v>13.43</v>
      </c>
      <c r="BL107" s="3185">
        <v>5.41</v>
      </c>
      <c r="BM107" s="3185">
        <v>8.0500000000000007</v>
      </c>
      <c r="BN107" s="3185">
        <v>2.9</v>
      </c>
      <c r="BO107" s="3185"/>
      <c r="BP107" s="3185"/>
      <c r="BQ107" s="3185"/>
      <c r="BR107" s="3185"/>
      <c r="BS107" s="3185"/>
      <c r="BT107" s="3185"/>
      <c r="BU107" s="3185"/>
      <c r="BV107" s="3185"/>
      <c r="BW107" s="3185"/>
      <c r="BX107" s="3185"/>
      <c r="BY107" s="3185"/>
      <c r="BZ107" s="3185"/>
      <c r="CA107" s="3185"/>
      <c r="CB107" s="3185"/>
      <c r="CC107" s="3185"/>
      <c r="CD107" s="3185"/>
      <c r="CE107" s="3185"/>
      <c r="CF107" s="3185"/>
      <c r="CG107" s="3185"/>
      <c r="CH107" s="3185"/>
      <c r="CI107" s="3185">
        <f t="shared" si="10"/>
        <v>70</v>
      </c>
    </row>
    <row r="108" spans="1:87" s="1169" customFormat="1" ht="78.75" customHeight="1">
      <c r="A108" s="1004" t="s">
        <v>3938</v>
      </c>
      <c r="B108" s="1004" t="s">
        <v>4239</v>
      </c>
      <c r="C108" s="1004" t="s">
        <v>4237</v>
      </c>
      <c r="D108" s="2254" t="s">
        <v>4219</v>
      </c>
      <c r="E108" s="2326" t="s">
        <v>4525</v>
      </c>
      <c r="F108" s="2669">
        <v>100</v>
      </c>
      <c r="G108" s="2670">
        <v>80</v>
      </c>
      <c r="H108" s="2671">
        <v>5</v>
      </c>
      <c r="I108" s="2671">
        <v>0.62</v>
      </c>
      <c r="J108" s="2669">
        <v>2</v>
      </c>
      <c r="K108" s="2669">
        <v>100</v>
      </c>
      <c r="L108" s="283">
        <v>5000</v>
      </c>
      <c r="M108" s="298">
        <f t="shared" si="16"/>
        <v>0.05</v>
      </c>
      <c r="N108" s="283">
        <v>100</v>
      </c>
      <c r="O108" s="212">
        <f t="shared" si="17"/>
        <v>5</v>
      </c>
      <c r="P108" s="2351" t="s">
        <v>5165</v>
      </c>
      <c r="Q108" s="2257" t="str">
        <f>'Abs11. NTEP'!Q14</f>
        <v>Recommended Rs 5 lakhs for Treatment Supporter Honorarium for DRTB patients</v>
      </c>
      <c r="R108" s="3024">
        <f>'Abs11. NTEP'!R14</f>
        <v>5</v>
      </c>
      <c r="S108" s="1168"/>
      <c r="T108" s="1168"/>
      <c r="U108" s="1168"/>
      <c r="V108" s="1168"/>
      <c r="W108" s="1168"/>
      <c r="X108" s="1168"/>
      <c r="Y108" s="1168"/>
      <c r="Z108" s="1168"/>
      <c r="AA108" s="1168"/>
      <c r="AB108" s="1168"/>
      <c r="AC108" s="1168"/>
      <c r="AD108" s="1168"/>
      <c r="AE108" s="1168"/>
      <c r="AF108" s="1168"/>
      <c r="AG108" s="1168"/>
      <c r="AH108" s="1168"/>
      <c r="AI108" s="1168"/>
      <c r="AJ108" s="1168"/>
      <c r="AK108" s="1168"/>
      <c r="AL108" s="1168"/>
      <c r="AM108" s="1168"/>
      <c r="AN108" s="1168"/>
      <c r="AO108" s="1168"/>
      <c r="AP108" s="1168"/>
      <c r="AQ108" s="1168"/>
      <c r="AR108" s="1168"/>
      <c r="AS108" s="1168"/>
      <c r="AT108" s="1168"/>
      <c r="AU108" s="1168"/>
      <c r="AV108" s="1168"/>
      <c r="AW108" s="1168"/>
      <c r="AX108" s="1168"/>
      <c r="AY108" s="1168"/>
      <c r="AZ108" s="1168"/>
      <c r="BA108" s="1168"/>
      <c r="BB108" s="3185"/>
      <c r="BC108" s="3185">
        <v>0.3</v>
      </c>
      <c r="BD108" s="3185">
        <v>0.45</v>
      </c>
      <c r="BE108" s="3185">
        <v>0.35</v>
      </c>
      <c r="BF108" s="3185">
        <v>0.85</v>
      </c>
      <c r="BG108" s="3185">
        <v>0.1</v>
      </c>
      <c r="BH108" s="3185">
        <v>0.5</v>
      </c>
      <c r="BI108" s="3185">
        <v>0.45</v>
      </c>
      <c r="BJ108" s="3185">
        <v>0.6</v>
      </c>
      <c r="BK108" s="3185">
        <v>0.45</v>
      </c>
      <c r="BL108" s="3185">
        <v>0.3</v>
      </c>
      <c r="BM108" s="3185">
        <v>0.35</v>
      </c>
      <c r="BN108" s="3185">
        <v>0.3</v>
      </c>
      <c r="BO108" s="3185"/>
      <c r="BP108" s="3185"/>
      <c r="BQ108" s="3185"/>
      <c r="BR108" s="3185"/>
      <c r="BS108" s="3185"/>
      <c r="BT108" s="3185"/>
      <c r="BU108" s="3185"/>
      <c r="BV108" s="3185"/>
      <c r="BW108" s="3185"/>
      <c r="BX108" s="3185"/>
      <c r="BY108" s="3185"/>
      <c r="BZ108" s="3185"/>
      <c r="CA108" s="3185"/>
      <c r="CB108" s="3185"/>
      <c r="CC108" s="3185"/>
      <c r="CD108" s="3185"/>
      <c r="CE108" s="3185"/>
      <c r="CF108" s="3185"/>
      <c r="CG108" s="3185"/>
      <c r="CH108" s="3185"/>
      <c r="CI108" s="3185">
        <f t="shared" si="10"/>
        <v>5</v>
      </c>
    </row>
    <row r="109" spans="1:87" s="1169" customFormat="1" ht="125.25" customHeight="1">
      <c r="A109" s="1004" t="s">
        <v>4408</v>
      </c>
      <c r="B109" s="1004"/>
      <c r="C109" s="1004" t="s">
        <v>4409</v>
      </c>
      <c r="D109" s="2254" t="s">
        <v>4219</v>
      </c>
      <c r="E109" s="2326" t="s">
        <v>4525</v>
      </c>
      <c r="F109" s="2669">
        <v>3000</v>
      </c>
      <c r="G109" s="2670">
        <v>995</v>
      </c>
      <c r="H109" s="2671">
        <v>5</v>
      </c>
      <c r="I109" s="2671">
        <v>1.75</v>
      </c>
      <c r="J109" s="2669">
        <v>5</v>
      </c>
      <c r="K109" s="2669">
        <v>3000</v>
      </c>
      <c r="L109" s="283">
        <v>500</v>
      </c>
      <c r="M109" s="298">
        <f t="shared" si="16"/>
        <v>5.0000000000000001E-3</v>
      </c>
      <c r="N109" s="283">
        <v>3000</v>
      </c>
      <c r="O109" s="212">
        <f t="shared" si="17"/>
        <v>15</v>
      </c>
      <c r="P109" s="2352" t="s">
        <v>5166</v>
      </c>
      <c r="Q109" s="2257" t="str">
        <f>'Abs11. NTEP'!Q15</f>
        <v>Recommended Rs 15 lakhs towards Informant Incentives for referral of presumptive TB patients to public health facility for diagnosed TB patients</v>
      </c>
      <c r="R109" s="3024">
        <f>'Abs11. NTEP'!R15</f>
        <v>15</v>
      </c>
      <c r="S109" s="1168"/>
      <c r="T109" s="1168"/>
      <c r="U109" s="1168"/>
      <c r="V109" s="1168"/>
      <c r="W109" s="1168"/>
      <c r="X109" s="1168"/>
      <c r="Y109" s="1168"/>
      <c r="Z109" s="1168"/>
      <c r="AA109" s="1168"/>
      <c r="AB109" s="1168"/>
      <c r="AC109" s="1168"/>
      <c r="AD109" s="1168"/>
      <c r="AE109" s="1168"/>
      <c r="AF109" s="1168"/>
      <c r="AG109" s="1168"/>
      <c r="AH109" s="1168"/>
      <c r="AI109" s="1168"/>
      <c r="AJ109" s="1168"/>
      <c r="AK109" s="1168"/>
      <c r="AL109" s="1168"/>
      <c r="AM109" s="1168"/>
      <c r="AN109" s="1168"/>
      <c r="AO109" s="1168"/>
      <c r="AP109" s="1168"/>
      <c r="AQ109" s="1168"/>
      <c r="AR109" s="1168"/>
      <c r="AS109" s="1168"/>
      <c r="AT109" s="1168"/>
      <c r="AU109" s="1168"/>
      <c r="AV109" s="1168"/>
      <c r="AW109" s="1168"/>
      <c r="AX109" s="1168"/>
      <c r="AY109" s="1168"/>
      <c r="AZ109" s="1168"/>
      <c r="BA109" s="1168"/>
      <c r="BB109" s="3185"/>
      <c r="BC109" s="3185">
        <v>1</v>
      </c>
      <c r="BD109" s="3185">
        <v>1.05</v>
      </c>
      <c r="BE109" s="3185">
        <v>1.1499999999999999</v>
      </c>
      <c r="BF109" s="3185">
        <v>2.4</v>
      </c>
      <c r="BG109" s="3185">
        <v>0.64</v>
      </c>
      <c r="BH109" s="3185">
        <v>1.2</v>
      </c>
      <c r="BI109" s="3185">
        <v>0.55000000000000004</v>
      </c>
      <c r="BJ109" s="3185">
        <v>1.53</v>
      </c>
      <c r="BK109" s="3185">
        <v>1.55</v>
      </c>
      <c r="BL109" s="3185">
        <v>1.38</v>
      </c>
      <c r="BM109" s="3185">
        <v>1.5</v>
      </c>
      <c r="BN109" s="3185">
        <v>1.05</v>
      </c>
      <c r="BO109" s="3185"/>
      <c r="BP109" s="3185"/>
      <c r="BQ109" s="3185"/>
      <c r="BR109" s="3185"/>
      <c r="BS109" s="3185"/>
      <c r="BT109" s="3185"/>
      <c r="BU109" s="3185"/>
      <c r="BV109" s="3185"/>
      <c r="BW109" s="3185"/>
      <c r="BX109" s="3185"/>
      <c r="BY109" s="3185"/>
      <c r="BZ109" s="3185"/>
      <c r="CA109" s="3185"/>
      <c r="CB109" s="3185"/>
      <c r="CC109" s="3185"/>
      <c r="CD109" s="3185"/>
      <c r="CE109" s="3185"/>
      <c r="CF109" s="3185"/>
      <c r="CG109" s="3185"/>
      <c r="CH109" s="3185"/>
      <c r="CI109" s="3185">
        <f>SUM(BB109:CH109)</f>
        <v>15</v>
      </c>
    </row>
    <row r="110" spans="1:87" ht="84" customHeight="1">
      <c r="A110" s="1205" t="s">
        <v>4363</v>
      </c>
      <c r="B110" s="1206"/>
      <c r="C110" s="1206" t="s">
        <v>4364</v>
      </c>
      <c r="D110" s="1007" t="s">
        <v>4219</v>
      </c>
      <c r="E110" s="1019" t="s">
        <v>4525</v>
      </c>
      <c r="F110" s="245">
        <v>0</v>
      </c>
      <c r="G110" s="245"/>
      <c r="H110" s="245">
        <v>0</v>
      </c>
      <c r="I110" s="245"/>
      <c r="J110" s="245"/>
      <c r="K110" s="245">
        <v>1</v>
      </c>
      <c r="L110" s="277">
        <v>31538</v>
      </c>
      <c r="M110" s="297">
        <f>L110/100000</f>
        <v>0.31537999999999999</v>
      </c>
      <c r="N110" s="277">
        <v>26</v>
      </c>
      <c r="O110" s="212">
        <f>M110*N110</f>
        <v>8.1998800000000003</v>
      </c>
      <c r="P110" s="2607" t="s">
        <v>5417</v>
      </c>
      <c r="Q110" s="1003" t="str">
        <f>'Abs11. NTEP'!Q16</f>
        <v>Recommeded Rs 8.20 lakhs towards State @ Rs 50000/meeting &amp; District TB Forum meetings @ Rs 30000/meeting twice a year</v>
      </c>
      <c r="R110" s="3002">
        <f>'Abs11. NTEP'!R16</f>
        <v>8.1999999999999993</v>
      </c>
      <c r="S110" s="1172"/>
      <c r="T110" s="1172"/>
      <c r="U110" s="1172"/>
      <c r="V110" s="1172"/>
      <c r="W110" s="1172"/>
      <c r="X110" s="1172"/>
      <c r="Y110" s="1172"/>
      <c r="Z110" s="1172"/>
      <c r="AA110" s="1172"/>
      <c r="AB110" s="1172"/>
      <c r="AC110" s="1172"/>
      <c r="AD110" s="1172"/>
      <c r="AE110" s="1172"/>
      <c r="AF110" s="1172"/>
      <c r="AG110" s="1172"/>
      <c r="AH110" s="1172"/>
      <c r="AI110" s="1172"/>
      <c r="AJ110" s="1172"/>
      <c r="AK110" s="1172"/>
      <c r="AL110" s="1172"/>
      <c r="AM110" s="1172"/>
      <c r="AN110" s="1172"/>
      <c r="AO110" s="1172"/>
      <c r="AP110" s="1172"/>
      <c r="AQ110" s="1172"/>
      <c r="AR110" s="1172"/>
      <c r="AS110" s="1172"/>
      <c r="AT110" s="1172"/>
      <c r="AU110" s="1172"/>
      <c r="AV110" s="1172"/>
      <c r="AW110" s="1172"/>
      <c r="AX110" s="1172"/>
      <c r="AY110" s="1172"/>
      <c r="AZ110" s="1172"/>
      <c r="BA110" s="1172"/>
      <c r="BB110" s="897">
        <v>4.3499999999999996</v>
      </c>
      <c r="BC110" s="897">
        <v>0.3</v>
      </c>
      <c r="BD110" s="897">
        <v>0.3</v>
      </c>
      <c r="BE110" s="897">
        <v>0.3</v>
      </c>
      <c r="BF110" s="897">
        <v>0.5</v>
      </c>
      <c r="BG110" s="897">
        <v>0.2</v>
      </c>
      <c r="BH110" s="897">
        <v>0.35</v>
      </c>
      <c r="BI110" s="897">
        <v>0.2</v>
      </c>
      <c r="BJ110" s="897">
        <v>0.4</v>
      </c>
      <c r="BK110" s="897">
        <v>0.4</v>
      </c>
      <c r="BL110" s="897">
        <v>0.3</v>
      </c>
      <c r="BM110" s="897">
        <v>0.3</v>
      </c>
      <c r="BN110" s="897">
        <v>0.3</v>
      </c>
      <c r="BO110" s="897"/>
      <c r="BP110" s="897"/>
      <c r="BQ110" s="897"/>
      <c r="BR110" s="897"/>
      <c r="BS110" s="897"/>
      <c r="BT110" s="897"/>
      <c r="BU110" s="897"/>
      <c r="BV110" s="897"/>
      <c r="BW110" s="897"/>
      <c r="BX110" s="897"/>
      <c r="BY110" s="897"/>
      <c r="BZ110" s="897"/>
      <c r="CA110" s="897"/>
      <c r="CB110" s="897"/>
      <c r="CC110" s="897"/>
      <c r="CD110" s="897"/>
      <c r="CE110" s="897"/>
      <c r="CF110" s="897"/>
      <c r="CG110" s="897"/>
      <c r="CH110" s="897"/>
      <c r="CI110" s="3185">
        <f t="shared" si="10"/>
        <v>8.1999999999999993</v>
      </c>
    </row>
    <row r="111" spans="1:87" ht="150">
      <c r="A111" s="1205" t="s">
        <v>4365</v>
      </c>
      <c r="B111" s="1206"/>
      <c r="C111" s="1206" t="s">
        <v>4366</v>
      </c>
      <c r="D111" s="1007" t="s">
        <v>4219</v>
      </c>
      <c r="E111" s="1019" t="s">
        <v>4525</v>
      </c>
      <c r="F111" s="245">
        <v>12</v>
      </c>
      <c r="G111" s="245"/>
      <c r="H111" s="245">
        <v>5</v>
      </c>
      <c r="I111" s="245"/>
      <c r="J111" s="245"/>
      <c r="K111" s="245">
        <v>1</v>
      </c>
      <c r="L111" s="277">
        <v>62501</v>
      </c>
      <c r="M111" s="297">
        <f>L111/100000</f>
        <v>0.62500999999999995</v>
      </c>
      <c r="N111" s="277">
        <v>12</v>
      </c>
      <c r="O111" s="212">
        <f>M111*N111</f>
        <v>7.500119999999999</v>
      </c>
      <c r="P111" s="2256" t="s">
        <v>5416</v>
      </c>
      <c r="Q111" s="1003" t="str">
        <f>'Abs11. NTEP'!Q17</f>
        <v>Recommended Rs 7.5 lakhs towards capacity building and involvement of TB survivors as TB champions in all districts</v>
      </c>
      <c r="R111" s="3002">
        <f>'Abs11. NTEP'!R17</f>
        <v>7.5</v>
      </c>
      <c r="S111" s="1172"/>
      <c r="T111" s="1172"/>
      <c r="U111" s="1172"/>
      <c r="V111" s="1172"/>
      <c r="W111" s="1172"/>
      <c r="X111" s="1172"/>
      <c r="Y111" s="1172"/>
      <c r="Z111" s="1172"/>
      <c r="AA111" s="1172"/>
      <c r="AB111" s="1172"/>
      <c r="AC111" s="1172"/>
      <c r="AD111" s="1172"/>
      <c r="AE111" s="1172"/>
      <c r="AF111" s="1172"/>
      <c r="AG111" s="1172"/>
      <c r="AH111" s="1172"/>
      <c r="AI111" s="1172"/>
      <c r="AJ111" s="1172"/>
      <c r="AK111" s="1172"/>
      <c r="AL111" s="1172"/>
      <c r="AM111" s="1172"/>
      <c r="AN111" s="1172"/>
      <c r="AO111" s="1172"/>
      <c r="AP111" s="1172"/>
      <c r="AQ111" s="1172"/>
      <c r="AR111" s="1172"/>
      <c r="AS111" s="1172"/>
      <c r="AT111" s="1172"/>
      <c r="AU111" s="1172"/>
      <c r="AV111" s="1172"/>
      <c r="AW111" s="1172"/>
      <c r="AX111" s="1172"/>
      <c r="AY111" s="1172"/>
      <c r="AZ111" s="1172"/>
      <c r="BA111" s="1172"/>
      <c r="BB111" s="897">
        <v>3</v>
      </c>
      <c r="BC111" s="897">
        <v>0.3</v>
      </c>
      <c r="BD111" s="897">
        <v>0.44</v>
      </c>
      <c r="BE111" s="897">
        <v>0.38</v>
      </c>
      <c r="BF111" s="897">
        <v>0.6</v>
      </c>
      <c r="BG111" s="897">
        <v>0.25</v>
      </c>
      <c r="BH111" s="897">
        <v>0.35</v>
      </c>
      <c r="BI111" s="897">
        <v>0.15</v>
      </c>
      <c r="BJ111" s="897">
        <v>0.5</v>
      </c>
      <c r="BK111" s="897">
        <v>0.5</v>
      </c>
      <c r="BL111" s="897">
        <v>0.35</v>
      </c>
      <c r="BM111" s="897">
        <v>0.38</v>
      </c>
      <c r="BN111" s="897">
        <v>0.3</v>
      </c>
      <c r="BO111" s="897"/>
      <c r="BP111" s="897"/>
      <c r="BQ111" s="897"/>
      <c r="BR111" s="897"/>
      <c r="BS111" s="897"/>
      <c r="BT111" s="897"/>
      <c r="BU111" s="897"/>
      <c r="BV111" s="897"/>
      <c r="BW111" s="897"/>
      <c r="BX111" s="897"/>
      <c r="BY111" s="897"/>
      <c r="BZ111" s="897"/>
      <c r="CA111" s="897"/>
      <c r="CB111" s="897"/>
      <c r="CC111" s="897"/>
      <c r="CD111" s="897"/>
      <c r="CE111" s="897"/>
      <c r="CF111" s="897"/>
      <c r="CG111" s="897"/>
      <c r="CH111" s="897"/>
      <c r="CI111" s="3185">
        <f t="shared" si="10"/>
        <v>7.4999999999999991</v>
      </c>
    </row>
    <row r="112" spans="1:87">
      <c r="A112" s="1180"/>
      <c r="B112" s="1180"/>
      <c r="C112" s="1180" t="s">
        <v>4610</v>
      </c>
      <c r="D112" s="1007" t="s">
        <v>4219</v>
      </c>
      <c r="E112" s="1162"/>
      <c r="F112" s="311"/>
      <c r="G112" s="315"/>
      <c r="H112" s="316"/>
      <c r="I112" s="316"/>
      <c r="J112" s="311"/>
      <c r="K112" s="311"/>
      <c r="L112" s="305"/>
      <c r="M112" s="306"/>
      <c r="N112" s="305"/>
      <c r="O112" s="303">
        <f>SUM(O113:O114)</f>
        <v>0</v>
      </c>
      <c r="P112" s="716"/>
      <c r="Q112" s="1182"/>
      <c r="R112" s="3000">
        <f>SUM(R113:R114)</f>
        <v>0</v>
      </c>
      <c r="S112" s="1172"/>
      <c r="T112" s="1172"/>
      <c r="U112" s="1172"/>
      <c r="V112" s="1172"/>
      <c r="W112" s="1172"/>
      <c r="X112" s="1172"/>
      <c r="Y112" s="1172"/>
      <c r="Z112" s="1172"/>
      <c r="AA112" s="1172"/>
      <c r="AB112" s="1172"/>
      <c r="AC112" s="1172"/>
      <c r="AD112" s="1172"/>
      <c r="AE112" s="1172"/>
      <c r="AF112" s="1172"/>
      <c r="AG112" s="1172"/>
      <c r="AH112" s="1172"/>
      <c r="AI112" s="1172"/>
      <c r="AJ112" s="1172"/>
      <c r="AK112" s="1172"/>
      <c r="AL112" s="1172"/>
      <c r="AM112" s="1172"/>
      <c r="AN112" s="1172"/>
      <c r="AO112" s="1172"/>
      <c r="AP112" s="1172"/>
      <c r="AQ112" s="1172"/>
      <c r="AR112" s="1172"/>
      <c r="AS112" s="1172"/>
      <c r="AT112" s="1172"/>
      <c r="AU112" s="1172"/>
      <c r="AV112" s="1172"/>
      <c r="AW112" s="1172"/>
      <c r="AX112" s="1172"/>
      <c r="AY112" s="1172"/>
      <c r="AZ112" s="1172"/>
      <c r="BA112" s="1172"/>
      <c r="BB112" s="3000">
        <f t="shared" ref="BB112:CH112" si="18">SUM(BB113:BB114)</f>
        <v>0</v>
      </c>
      <c r="BC112" s="3000">
        <f t="shared" si="18"/>
        <v>0</v>
      </c>
      <c r="BD112" s="3000">
        <f t="shared" si="18"/>
        <v>0</v>
      </c>
      <c r="BE112" s="3000">
        <f t="shared" si="18"/>
        <v>0</v>
      </c>
      <c r="BF112" s="3000">
        <f t="shared" si="18"/>
        <v>0</v>
      </c>
      <c r="BG112" s="3000">
        <f t="shared" si="18"/>
        <v>0</v>
      </c>
      <c r="BH112" s="3000">
        <f t="shared" si="18"/>
        <v>0</v>
      </c>
      <c r="BI112" s="3000">
        <f t="shared" si="18"/>
        <v>0</v>
      </c>
      <c r="BJ112" s="3000">
        <f t="shared" si="18"/>
        <v>0</v>
      </c>
      <c r="BK112" s="3000">
        <f t="shared" si="18"/>
        <v>0</v>
      </c>
      <c r="BL112" s="3000">
        <f t="shared" si="18"/>
        <v>0</v>
      </c>
      <c r="BM112" s="3000">
        <f t="shared" si="18"/>
        <v>0</v>
      </c>
      <c r="BN112" s="3000">
        <f t="shared" si="18"/>
        <v>0</v>
      </c>
      <c r="BO112" s="3000">
        <f t="shared" si="18"/>
        <v>0</v>
      </c>
      <c r="BP112" s="3000">
        <f t="shared" si="18"/>
        <v>0</v>
      </c>
      <c r="BQ112" s="3000">
        <f t="shared" si="18"/>
        <v>0</v>
      </c>
      <c r="BR112" s="3000">
        <f t="shared" si="18"/>
        <v>0</v>
      </c>
      <c r="BS112" s="3000">
        <f t="shared" si="18"/>
        <v>0</v>
      </c>
      <c r="BT112" s="3000">
        <f t="shared" si="18"/>
        <v>0</v>
      </c>
      <c r="BU112" s="3000">
        <f t="shared" si="18"/>
        <v>0</v>
      </c>
      <c r="BV112" s="3000">
        <f t="shared" si="18"/>
        <v>0</v>
      </c>
      <c r="BW112" s="3000">
        <f t="shared" si="18"/>
        <v>0</v>
      </c>
      <c r="BX112" s="3000">
        <f t="shared" si="18"/>
        <v>0</v>
      </c>
      <c r="BY112" s="3000">
        <f t="shared" si="18"/>
        <v>0</v>
      </c>
      <c r="BZ112" s="3000">
        <f t="shared" si="18"/>
        <v>0</v>
      </c>
      <c r="CA112" s="3000">
        <f t="shared" si="18"/>
        <v>0</v>
      </c>
      <c r="CB112" s="3000">
        <f t="shared" si="18"/>
        <v>0</v>
      </c>
      <c r="CC112" s="3000">
        <f t="shared" si="18"/>
        <v>0</v>
      </c>
      <c r="CD112" s="3000">
        <f t="shared" si="18"/>
        <v>0</v>
      </c>
      <c r="CE112" s="3000">
        <f t="shared" si="18"/>
        <v>0</v>
      </c>
      <c r="CF112" s="3000">
        <f t="shared" si="18"/>
        <v>0</v>
      </c>
      <c r="CG112" s="3000">
        <f t="shared" si="18"/>
        <v>0</v>
      </c>
      <c r="CH112" s="3000">
        <f t="shared" si="18"/>
        <v>0</v>
      </c>
      <c r="CI112" s="3185">
        <f t="shared" si="10"/>
        <v>0</v>
      </c>
    </row>
    <row r="113" spans="1:87">
      <c r="A113" s="1004" t="s">
        <v>3880</v>
      </c>
      <c r="B113" s="1004"/>
      <c r="C113" s="1080" t="s">
        <v>3752</v>
      </c>
      <c r="D113" s="1007" t="s">
        <v>4219</v>
      </c>
      <c r="E113" s="1019" t="s">
        <v>3223</v>
      </c>
      <c r="F113" s="230">
        <v>0</v>
      </c>
      <c r="G113" s="231"/>
      <c r="H113" s="232">
        <v>0</v>
      </c>
      <c r="I113" s="232"/>
      <c r="J113" s="230"/>
      <c r="K113" s="230"/>
      <c r="L113" s="277"/>
      <c r="M113" s="297">
        <f t="shared" si="16"/>
        <v>0</v>
      </c>
      <c r="N113" s="277"/>
      <c r="O113" s="212">
        <f t="shared" si="17"/>
        <v>0</v>
      </c>
      <c r="P113" s="171"/>
      <c r="Q113" s="1003">
        <f>'Abs12. NVHCP'!Q15</f>
        <v>0</v>
      </c>
      <c r="R113" s="3002">
        <f>'Abs12. NVHCP'!R15</f>
        <v>0</v>
      </c>
      <c r="S113" s="1172"/>
      <c r="T113" s="1172"/>
      <c r="U113" s="1172"/>
      <c r="V113" s="1172"/>
      <c r="W113" s="1172"/>
      <c r="X113" s="1172"/>
      <c r="Y113" s="1172"/>
      <c r="Z113" s="1172"/>
      <c r="AA113" s="1172"/>
      <c r="AB113" s="1172"/>
      <c r="AC113" s="1172"/>
      <c r="AD113" s="1172"/>
      <c r="AE113" s="1172"/>
      <c r="AF113" s="1172"/>
      <c r="AG113" s="1172"/>
      <c r="AH113" s="1172"/>
      <c r="AI113" s="1172"/>
      <c r="AJ113" s="1172"/>
      <c r="AK113" s="1172"/>
      <c r="AL113" s="1172"/>
      <c r="AM113" s="1172"/>
      <c r="AN113" s="1172"/>
      <c r="AO113" s="1172"/>
      <c r="AP113" s="1172"/>
      <c r="AQ113" s="1172"/>
      <c r="AR113" s="1172"/>
      <c r="AS113" s="1172"/>
      <c r="AT113" s="1172"/>
      <c r="AU113" s="1172"/>
      <c r="AV113" s="1172"/>
      <c r="AW113" s="1172"/>
      <c r="AX113" s="1172"/>
      <c r="AY113" s="1172"/>
      <c r="AZ113" s="1172"/>
      <c r="BA113" s="1172"/>
      <c r="BB113" s="897"/>
      <c r="BC113" s="897"/>
      <c r="BD113" s="897"/>
      <c r="BE113" s="897"/>
      <c r="BF113" s="897"/>
      <c r="BG113" s="897"/>
      <c r="BH113" s="897"/>
      <c r="BI113" s="897"/>
      <c r="BJ113" s="897"/>
      <c r="BK113" s="897"/>
      <c r="BL113" s="897"/>
      <c r="BM113" s="897"/>
      <c r="BN113" s="897"/>
      <c r="BO113" s="897"/>
      <c r="BP113" s="897"/>
      <c r="BQ113" s="897"/>
      <c r="BR113" s="897"/>
      <c r="BS113" s="897"/>
      <c r="BT113" s="897"/>
      <c r="BU113" s="897"/>
      <c r="BV113" s="897"/>
      <c r="BW113" s="897"/>
      <c r="BX113" s="897"/>
      <c r="BY113" s="897"/>
      <c r="BZ113" s="897"/>
      <c r="CA113" s="897"/>
      <c r="CB113" s="897"/>
      <c r="CC113" s="897"/>
      <c r="CD113" s="897"/>
      <c r="CE113" s="897"/>
      <c r="CF113" s="897"/>
      <c r="CG113" s="897"/>
      <c r="CH113" s="897"/>
      <c r="CI113" s="3185">
        <f t="shared" si="10"/>
        <v>0</v>
      </c>
    </row>
    <row r="114" spans="1:87" ht="30">
      <c r="A114" s="431" t="s">
        <v>3881</v>
      </c>
      <c r="B114" s="431"/>
      <c r="C114" s="882" t="s">
        <v>4221</v>
      </c>
      <c r="D114" s="1007" t="s">
        <v>4219</v>
      </c>
      <c r="E114" s="945" t="s">
        <v>3223</v>
      </c>
      <c r="F114" s="220">
        <v>0</v>
      </c>
      <c r="G114" s="224"/>
      <c r="H114" s="222">
        <v>0</v>
      </c>
      <c r="I114" s="222"/>
      <c r="J114" s="220"/>
      <c r="K114" s="220"/>
      <c r="L114" s="277"/>
      <c r="M114" s="297">
        <f t="shared" si="16"/>
        <v>0</v>
      </c>
      <c r="N114" s="277"/>
      <c r="O114" s="210">
        <f t="shared" si="17"/>
        <v>0</v>
      </c>
      <c r="P114" s="171"/>
      <c r="Q114" s="1003">
        <f>'Abs12. NVHCP'!Q16</f>
        <v>0</v>
      </c>
      <c r="R114" s="3002">
        <f>'Abs12. NVHCP'!R16</f>
        <v>0</v>
      </c>
      <c r="S114" s="1172"/>
      <c r="T114" s="1172"/>
      <c r="U114" s="1172"/>
      <c r="V114" s="1172"/>
      <c r="W114" s="1172"/>
      <c r="X114" s="1172"/>
      <c r="Y114" s="1172"/>
      <c r="Z114" s="1172"/>
      <c r="AA114" s="1172"/>
      <c r="AB114" s="1172"/>
      <c r="AC114" s="1172"/>
      <c r="AD114" s="1172"/>
      <c r="AE114" s="1172"/>
      <c r="AF114" s="1172"/>
      <c r="AG114" s="1172"/>
      <c r="AH114" s="1172"/>
      <c r="AI114" s="1172"/>
      <c r="AJ114" s="1172"/>
      <c r="AK114" s="1172"/>
      <c r="AL114" s="1172"/>
      <c r="AM114" s="1172"/>
      <c r="AN114" s="1172"/>
      <c r="AO114" s="1172"/>
      <c r="AP114" s="1172"/>
      <c r="AQ114" s="1172"/>
      <c r="AR114" s="1172"/>
      <c r="AS114" s="1172"/>
      <c r="AT114" s="1172"/>
      <c r="AU114" s="1172"/>
      <c r="AV114" s="1172"/>
      <c r="AW114" s="1172"/>
      <c r="AX114" s="1172"/>
      <c r="AY114" s="1172"/>
      <c r="AZ114" s="1172"/>
      <c r="BA114" s="1172"/>
      <c r="BB114" s="897"/>
      <c r="BC114" s="897"/>
      <c r="BD114" s="897"/>
      <c r="BE114" s="897"/>
      <c r="BF114" s="897"/>
      <c r="BG114" s="897"/>
      <c r="BH114" s="897"/>
      <c r="BI114" s="897"/>
      <c r="BJ114" s="897"/>
      <c r="BK114" s="897"/>
      <c r="BL114" s="897"/>
      <c r="BM114" s="897"/>
      <c r="BN114" s="897"/>
      <c r="BO114" s="897"/>
      <c r="BP114" s="897"/>
      <c r="BQ114" s="897"/>
      <c r="BR114" s="897"/>
      <c r="BS114" s="897"/>
      <c r="BT114" s="897"/>
      <c r="BU114" s="897"/>
      <c r="BV114" s="897"/>
      <c r="BW114" s="897"/>
      <c r="BX114" s="897"/>
      <c r="BY114" s="897"/>
      <c r="BZ114" s="897"/>
      <c r="CA114" s="897"/>
      <c r="CB114" s="897"/>
      <c r="CC114" s="897"/>
      <c r="CD114" s="897"/>
      <c r="CE114" s="897"/>
      <c r="CF114" s="897"/>
      <c r="CG114" s="897"/>
      <c r="CH114" s="897"/>
      <c r="CI114" s="3185">
        <f t="shared" si="10"/>
        <v>0</v>
      </c>
    </row>
    <row r="115" spans="1:87">
      <c r="A115" s="3896"/>
      <c r="B115" s="3896"/>
      <c r="C115" s="3896"/>
      <c r="D115" s="1165" t="s">
        <v>80</v>
      </c>
      <c r="E115" s="1162"/>
      <c r="F115" s="301"/>
      <c r="G115" s="301"/>
      <c r="H115" s="301"/>
      <c r="I115" s="301"/>
      <c r="J115" s="301"/>
      <c r="K115" s="301"/>
      <c r="L115" s="301"/>
      <c r="M115" s="1164"/>
      <c r="N115" s="1217"/>
      <c r="O115" s="1164"/>
      <c r="P115" s="715"/>
      <c r="Q115" s="1167"/>
      <c r="R115" s="3488"/>
      <c r="S115" s="1172"/>
      <c r="T115" s="1172"/>
      <c r="U115" s="1172"/>
      <c r="V115" s="1172"/>
      <c r="W115" s="1172"/>
      <c r="X115" s="1172"/>
      <c r="Y115" s="1172"/>
      <c r="Z115" s="1172"/>
      <c r="AA115" s="1172"/>
      <c r="AB115" s="1172"/>
      <c r="AC115" s="1172"/>
      <c r="AD115" s="1172"/>
      <c r="AE115" s="1172"/>
      <c r="AF115" s="1172"/>
      <c r="AG115" s="1172"/>
      <c r="AH115" s="1172"/>
      <c r="AI115" s="1172"/>
      <c r="AJ115" s="1172"/>
      <c r="AK115" s="1172"/>
      <c r="AL115" s="1172"/>
      <c r="AM115" s="1172"/>
      <c r="AN115" s="1172"/>
      <c r="AO115" s="1172"/>
      <c r="AP115" s="1172"/>
      <c r="AQ115" s="1172"/>
      <c r="AR115" s="1172"/>
      <c r="AS115" s="1172"/>
      <c r="AT115" s="1172"/>
      <c r="AU115" s="1172"/>
      <c r="AV115" s="1172"/>
      <c r="AW115" s="1172"/>
      <c r="AX115" s="1172"/>
      <c r="AY115" s="1172"/>
      <c r="AZ115" s="1172"/>
      <c r="BA115" s="1172"/>
      <c r="BB115" s="897"/>
      <c r="BC115" s="897"/>
      <c r="BD115" s="897"/>
      <c r="BE115" s="897"/>
      <c r="BF115" s="897"/>
      <c r="BG115" s="897"/>
      <c r="BH115" s="897"/>
      <c r="BI115" s="897"/>
      <c r="BJ115" s="897"/>
      <c r="BK115" s="897"/>
      <c r="BL115" s="897"/>
      <c r="BM115" s="897"/>
      <c r="BN115" s="897"/>
      <c r="BO115" s="897"/>
      <c r="BP115" s="897"/>
      <c r="BQ115" s="897"/>
      <c r="BR115" s="897"/>
      <c r="BS115" s="897"/>
      <c r="BT115" s="897"/>
      <c r="BU115" s="897"/>
      <c r="BV115" s="897"/>
      <c r="BW115" s="897"/>
      <c r="BX115" s="897"/>
      <c r="BY115" s="897"/>
      <c r="BZ115" s="897"/>
      <c r="CA115" s="897"/>
      <c r="CB115" s="897"/>
      <c r="CC115" s="897"/>
      <c r="CD115" s="897"/>
      <c r="CE115" s="897"/>
      <c r="CF115" s="897"/>
      <c r="CG115" s="897"/>
      <c r="CH115" s="897"/>
      <c r="CI115" s="3185">
        <f t="shared" si="10"/>
        <v>0</v>
      </c>
    </row>
    <row r="116" spans="1:87">
      <c r="A116" s="1180"/>
      <c r="B116" s="1180"/>
      <c r="C116" s="1180" t="s">
        <v>4623</v>
      </c>
      <c r="D116" s="1165" t="s">
        <v>80</v>
      </c>
      <c r="E116" s="1162"/>
      <c r="F116" s="301"/>
      <c r="G116" s="301"/>
      <c r="H116" s="301"/>
      <c r="I116" s="301"/>
      <c r="J116" s="301"/>
      <c r="K116" s="301"/>
      <c r="L116" s="301"/>
      <c r="M116" s="1164"/>
      <c r="N116" s="1217"/>
      <c r="O116" s="303">
        <f>O117</f>
        <v>0</v>
      </c>
      <c r="P116" s="716"/>
      <c r="Q116" s="1182"/>
      <c r="R116" s="3000">
        <f>R117</f>
        <v>0</v>
      </c>
      <c r="S116" s="1172"/>
      <c r="T116" s="1172"/>
      <c r="U116" s="1172"/>
      <c r="V116" s="1172"/>
      <c r="W116" s="1172"/>
      <c r="X116" s="1172"/>
      <c r="Y116" s="1172"/>
      <c r="Z116" s="1172"/>
      <c r="AA116" s="1172"/>
      <c r="AB116" s="1172"/>
      <c r="AC116" s="1172"/>
      <c r="AD116" s="1172"/>
      <c r="AE116" s="1172"/>
      <c r="AF116" s="1172"/>
      <c r="AG116" s="1172"/>
      <c r="AH116" s="1172"/>
      <c r="AI116" s="1172"/>
      <c r="AJ116" s="1172"/>
      <c r="AK116" s="1172"/>
      <c r="AL116" s="1172"/>
      <c r="AM116" s="1172"/>
      <c r="AN116" s="1172"/>
      <c r="AO116" s="1172"/>
      <c r="AP116" s="1172"/>
      <c r="AQ116" s="1172"/>
      <c r="AR116" s="1172"/>
      <c r="AS116" s="1172"/>
      <c r="AT116" s="1172"/>
      <c r="AU116" s="1172"/>
      <c r="AV116" s="1172"/>
      <c r="AW116" s="1172"/>
      <c r="AX116" s="1172"/>
      <c r="AY116" s="1172"/>
      <c r="AZ116" s="1172"/>
      <c r="BA116" s="1172"/>
      <c r="BB116" s="3000">
        <f t="shared" ref="BB116:CH116" si="19">BB117</f>
        <v>0</v>
      </c>
      <c r="BC116" s="3000">
        <f t="shared" si="19"/>
        <v>0</v>
      </c>
      <c r="BD116" s="3000">
        <f t="shared" si="19"/>
        <v>0</v>
      </c>
      <c r="BE116" s="3000">
        <f t="shared" si="19"/>
        <v>0</v>
      </c>
      <c r="BF116" s="3000">
        <f t="shared" si="19"/>
        <v>0</v>
      </c>
      <c r="BG116" s="3000">
        <f t="shared" si="19"/>
        <v>0</v>
      </c>
      <c r="BH116" s="3000">
        <f t="shared" si="19"/>
        <v>0</v>
      </c>
      <c r="BI116" s="3000">
        <f t="shared" si="19"/>
        <v>0</v>
      </c>
      <c r="BJ116" s="3000">
        <f t="shared" si="19"/>
        <v>0</v>
      </c>
      <c r="BK116" s="3000">
        <f t="shared" si="19"/>
        <v>0</v>
      </c>
      <c r="BL116" s="3000">
        <f t="shared" si="19"/>
        <v>0</v>
      </c>
      <c r="BM116" s="3000">
        <f t="shared" si="19"/>
        <v>0</v>
      </c>
      <c r="BN116" s="3000">
        <f t="shared" si="19"/>
        <v>0</v>
      </c>
      <c r="BO116" s="3000">
        <f t="shared" si="19"/>
        <v>0</v>
      </c>
      <c r="BP116" s="3000">
        <f t="shared" si="19"/>
        <v>0</v>
      </c>
      <c r="BQ116" s="3000">
        <f t="shared" si="19"/>
        <v>0</v>
      </c>
      <c r="BR116" s="3000">
        <f t="shared" si="19"/>
        <v>0</v>
      </c>
      <c r="BS116" s="3000">
        <f t="shared" si="19"/>
        <v>0</v>
      </c>
      <c r="BT116" s="3000">
        <f t="shared" si="19"/>
        <v>0</v>
      </c>
      <c r="BU116" s="3000">
        <f t="shared" si="19"/>
        <v>0</v>
      </c>
      <c r="BV116" s="3000">
        <f t="shared" si="19"/>
        <v>0</v>
      </c>
      <c r="BW116" s="3000">
        <f t="shared" si="19"/>
        <v>0</v>
      </c>
      <c r="BX116" s="3000">
        <f t="shared" si="19"/>
        <v>0</v>
      </c>
      <c r="BY116" s="3000">
        <f t="shared" si="19"/>
        <v>0</v>
      </c>
      <c r="BZ116" s="3000">
        <f t="shared" si="19"/>
        <v>0</v>
      </c>
      <c r="CA116" s="3000">
        <f t="shared" si="19"/>
        <v>0</v>
      </c>
      <c r="CB116" s="3000">
        <f t="shared" si="19"/>
        <v>0</v>
      </c>
      <c r="CC116" s="3000">
        <f t="shared" si="19"/>
        <v>0</v>
      </c>
      <c r="CD116" s="3000">
        <f t="shared" si="19"/>
        <v>0</v>
      </c>
      <c r="CE116" s="3000">
        <f t="shared" si="19"/>
        <v>0</v>
      </c>
      <c r="CF116" s="3000">
        <f t="shared" si="19"/>
        <v>0</v>
      </c>
      <c r="CG116" s="3000">
        <f t="shared" si="19"/>
        <v>0</v>
      </c>
      <c r="CH116" s="3000">
        <f t="shared" si="19"/>
        <v>0</v>
      </c>
      <c r="CI116" s="3185">
        <f t="shared" si="10"/>
        <v>0</v>
      </c>
    </row>
    <row r="117" spans="1:87" s="1169" customFormat="1" ht="30">
      <c r="A117" s="1205" t="s">
        <v>265</v>
      </c>
      <c r="B117" s="233" t="s">
        <v>144</v>
      </c>
      <c r="C117" s="233" t="s">
        <v>2677</v>
      </c>
      <c r="D117" s="1209" t="s">
        <v>80</v>
      </c>
      <c r="E117" s="1019" t="s">
        <v>145</v>
      </c>
      <c r="F117" s="236">
        <v>0</v>
      </c>
      <c r="G117" s="236"/>
      <c r="H117" s="236">
        <v>0</v>
      </c>
      <c r="I117" s="236"/>
      <c r="J117" s="236"/>
      <c r="K117" s="236"/>
      <c r="L117" s="277"/>
      <c r="M117" s="298">
        <f>L117/100000</f>
        <v>0</v>
      </c>
      <c r="N117" s="277"/>
      <c r="O117" s="212">
        <f>M117*N117</f>
        <v>0</v>
      </c>
      <c r="P117" s="171"/>
      <c r="Q117" s="1003">
        <f>'Abs16. NMHP'!Q9</f>
        <v>0</v>
      </c>
      <c r="R117" s="3489">
        <f>'Abs16. NMHP'!R9</f>
        <v>0</v>
      </c>
      <c r="S117" s="1168"/>
      <c r="T117" s="1168"/>
      <c r="U117" s="1168"/>
      <c r="V117" s="1168"/>
      <c r="W117" s="1168"/>
      <c r="X117" s="1168"/>
      <c r="Y117" s="1168"/>
      <c r="Z117" s="1168"/>
      <c r="AA117" s="1168"/>
      <c r="AB117" s="1168"/>
      <c r="AC117" s="1168"/>
      <c r="AD117" s="1168"/>
      <c r="AE117" s="1168"/>
      <c r="AF117" s="1168"/>
      <c r="AG117" s="1168"/>
      <c r="AH117" s="1168"/>
      <c r="AI117" s="1168"/>
      <c r="AJ117" s="1168"/>
      <c r="AK117" s="1168"/>
      <c r="AL117" s="1168"/>
      <c r="AM117" s="1168"/>
      <c r="AN117" s="1168"/>
      <c r="AO117" s="1168"/>
      <c r="AP117" s="1168"/>
      <c r="AQ117" s="1168"/>
      <c r="AR117" s="1168"/>
      <c r="AS117" s="1168"/>
      <c r="AT117" s="1168"/>
      <c r="AU117" s="1168"/>
      <c r="AV117" s="1168"/>
      <c r="AW117" s="1168"/>
      <c r="AX117" s="1168"/>
      <c r="AY117" s="1168"/>
      <c r="AZ117" s="1168"/>
      <c r="BA117" s="1168"/>
      <c r="BB117" s="3185"/>
      <c r="BC117" s="3185"/>
      <c r="BD117" s="3185"/>
      <c r="BE117" s="3185"/>
      <c r="BF117" s="3185"/>
      <c r="BG117" s="3185"/>
      <c r="BH117" s="3185"/>
      <c r="BI117" s="3185"/>
      <c r="BJ117" s="3185"/>
      <c r="BK117" s="3185"/>
      <c r="BL117" s="3185"/>
      <c r="BM117" s="3185"/>
      <c r="BN117" s="3185"/>
      <c r="BO117" s="3185"/>
      <c r="BP117" s="3185"/>
      <c r="BQ117" s="3185"/>
      <c r="BR117" s="3185"/>
      <c r="BS117" s="3185"/>
      <c r="BT117" s="3185"/>
      <c r="BU117" s="3185"/>
      <c r="BV117" s="3185"/>
      <c r="BW117" s="3185"/>
      <c r="BX117" s="3185"/>
      <c r="BY117" s="3185"/>
      <c r="BZ117" s="3185"/>
      <c r="CA117" s="3185"/>
      <c r="CB117" s="3185"/>
      <c r="CC117" s="3185"/>
      <c r="CD117" s="3185"/>
      <c r="CE117" s="3185"/>
      <c r="CF117" s="3185"/>
      <c r="CG117" s="3185"/>
      <c r="CH117" s="3185"/>
      <c r="CI117" s="3185">
        <f t="shared" si="10"/>
        <v>0</v>
      </c>
    </row>
    <row r="118" spans="1:87">
      <c r="A118" s="3896"/>
      <c r="B118" s="3896"/>
      <c r="C118" s="3896"/>
      <c r="D118" s="908" t="s">
        <v>65</v>
      </c>
      <c r="E118" s="1162"/>
      <c r="F118" s="311"/>
      <c r="G118" s="315"/>
      <c r="H118" s="316"/>
      <c r="I118" s="316"/>
      <c r="J118" s="311"/>
      <c r="K118" s="311"/>
      <c r="L118" s="305"/>
      <c r="M118" s="306"/>
      <c r="N118" s="305"/>
      <c r="O118" s="1164"/>
      <c r="P118" s="715"/>
      <c r="Q118" s="1167"/>
      <c r="R118" s="3488"/>
      <c r="S118" s="1172"/>
      <c r="T118" s="1172"/>
      <c r="U118" s="1172"/>
      <c r="V118" s="1172"/>
      <c r="W118" s="1172"/>
      <c r="X118" s="1172"/>
      <c r="Y118" s="1172"/>
      <c r="Z118" s="1172"/>
      <c r="AA118" s="1172"/>
      <c r="AB118" s="1172"/>
      <c r="AC118" s="1172"/>
      <c r="AD118" s="1172"/>
      <c r="AE118" s="1172"/>
      <c r="AF118" s="1172"/>
      <c r="AG118" s="1172"/>
      <c r="AH118" s="1172"/>
      <c r="AI118" s="1172"/>
      <c r="AJ118" s="1172"/>
      <c r="AK118" s="1172"/>
      <c r="AL118" s="1172"/>
      <c r="AM118" s="1172"/>
      <c r="AN118" s="1172"/>
      <c r="AO118" s="1172"/>
      <c r="AP118" s="1172"/>
      <c r="AQ118" s="1172"/>
      <c r="AR118" s="1172"/>
      <c r="AS118" s="1172"/>
      <c r="AT118" s="1172"/>
      <c r="AU118" s="1172"/>
      <c r="AV118" s="1172"/>
      <c r="AW118" s="1172"/>
      <c r="AX118" s="1172"/>
      <c r="AY118" s="1172"/>
      <c r="AZ118" s="1172"/>
      <c r="BA118" s="1172"/>
      <c r="BB118" s="897"/>
      <c r="BC118" s="897"/>
      <c r="BD118" s="897"/>
      <c r="BE118" s="897"/>
      <c r="BF118" s="897"/>
      <c r="BG118" s="897"/>
      <c r="BH118" s="897"/>
      <c r="BI118" s="897"/>
      <c r="BJ118" s="897"/>
      <c r="BK118" s="897"/>
      <c r="BL118" s="897"/>
      <c r="BM118" s="897"/>
      <c r="BN118" s="897"/>
      <c r="BO118" s="897"/>
      <c r="BP118" s="897"/>
      <c r="BQ118" s="897"/>
      <c r="BR118" s="897"/>
      <c r="BS118" s="897"/>
      <c r="BT118" s="897"/>
      <c r="BU118" s="897"/>
      <c r="BV118" s="897"/>
      <c r="BW118" s="897"/>
      <c r="BX118" s="897"/>
      <c r="BY118" s="897"/>
      <c r="BZ118" s="897"/>
      <c r="CA118" s="897"/>
      <c r="CB118" s="897"/>
      <c r="CC118" s="897"/>
      <c r="CD118" s="897"/>
      <c r="CE118" s="897"/>
      <c r="CF118" s="897"/>
      <c r="CG118" s="897"/>
      <c r="CH118" s="897"/>
      <c r="CI118" s="3185">
        <f t="shared" si="10"/>
        <v>0</v>
      </c>
    </row>
    <row r="119" spans="1:87" ht="30">
      <c r="A119" s="880" t="s">
        <v>2474</v>
      </c>
      <c r="B119" s="1194" t="s">
        <v>250</v>
      </c>
      <c r="C119" s="1061" t="s">
        <v>251</v>
      </c>
      <c r="D119" s="908" t="s">
        <v>65</v>
      </c>
      <c r="E119" s="997"/>
      <c r="F119" s="219"/>
      <c r="G119" s="219"/>
      <c r="H119" s="219"/>
      <c r="I119" s="219"/>
      <c r="J119" s="219"/>
      <c r="K119" s="219"/>
      <c r="L119" s="219"/>
      <c r="M119" s="1183"/>
      <c r="N119" s="152"/>
      <c r="O119" s="209">
        <f>SUM(O120:O123)</f>
        <v>0</v>
      </c>
      <c r="P119" s="718"/>
      <c r="Q119" s="1157"/>
      <c r="R119" s="3490">
        <f>SUM(R120:R123)</f>
        <v>0</v>
      </c>
      <c r="S119" s="1172"/>
      <c r="T119" s="1172"/>
      <c r="U119" s="1172"/>
      <c r="V119" s="1172"/>
      <c r="W119" s="1172"/>
      <c r="X119" s="1172"/>
      <c r="Y119" s="1172"/>
      <c r="Z119" s="1172"/>
      <c r="AA119" s="1172"/>
      <c r="AB119" s="1172"/>
      <c r="AC119" s="1172"/>
      <c r="AD119" s="1172"/>
      <c r="AE119" s="1172"/>
      <c r="AF119" s="1172"/>
      <c r="AG119" s="1172"/>
      <c r="AH119" s="1172"/>
      <c r="AI119" s="1172"/>
      <c r="AJ119" s="1172"/>
      <c r="AK119" s="1172"/>
      <c r="AL119" s="1172"/>
      <c r="AM119" s="1172"/>
      <c r="AN119" s="1172"/>
      <c r="AO119" s="1172"/>
      <c r="AP119" s="1172"/>
      <c r="AQ119" s="1172"/>
      <c r="AR119" s="1172"/>
      <c r="AS119" s="1172"/>
      <c r="AT119" s="1172"/>
      <c r="AU119" s="1172"/>
      <c r="AV119" s="1172"/>
      <c r="AW119" s="1172"/>
      <c r="AX119" s="1172"/>
      <c r="AY119" s="1172"/>
      <c r="AZ119" s="1172"/>
      <c r="BA119" s="1172"/>
      <c r="BB119" s="3490">
        <f t="shared" ref="BB119:CH119" si="20">SUM(BB120:BB123)</f>
        <v>0</v>
      </c>
      <c r="BC119" s="3490">
        <f t="shared" si="20"/>
        <v>0</v>
      </c>
      <c r="BD119" s="3490">
        <f t="shared" si="20"/>
        <v>0</v>
      </c>
      <c r="BE119" s="3490">
        <f t="shared" si="20"/>
        <v>0</v>
      </c>
      <c r="BF119" s="3490">
        <f t="shared" si="20"/>
        <v>0</v>
      </c>
      <c r="BG119" s="3490">
        <f t="shared" si="20"/>
        <v>0</v>
      </c>
      <c r="BH119" s="3490">
        <f t="shared" si="20"/>
        <v>0</v>
      </c>
      <c r="BI119" s="3490">
        <f t="shared" si="20"/>
        <v>0</v>
      </c>
      <c r="BJ119" s="3490">
        <f t="shared" si="20"/>
        <v>0</v>
      </c>
      <c r="BK119" s="3490">
        <f t="shared" si="20"/>
        <v>0</v>
      </c>
      <c r="BL119" s="3490">
        <f t="shared" si="20"/>
        <v>0</v>
      </c>
      <c r="BM119" s="3490">
        <f t="shared" si="20"/>
        <v>0</v>
      </c>
      <c r="BN119" s="3490">
        <f t="shared" si="20"/>
        <v>0</v>
      </c>
      <c r="BO119" s="3490">
        <f t="shared" si="20"/>
        <v>0</v>
      </c>
      <c r="BP119" s="3490">
        <f t="shared" si="20"/>
        <v>0</v>
      </c>
      <c r="BQ119" s="3490">
        <f t="shared" si="20"/>
        <v>0</v>
      </c>
      <c r="BR119" s="3490">
        <f t="shared" si="20"/>
        <v>0</v>
      </c>
      <c r="BS119" s="3490">
        <f t="shared" si="20"/>
        <v>0</v>
      </c>
      <c r="BT119" s="3490">
        <f t="shared" si="20"/>
        <v>0</v>
      </c>
      <c r="BU119" s="3490">
        <f t="shared" si="20"/>
        <v>0</v>
      </c>
      <c r="BV119" s="3490">
        <f t="shared" si="20"/>
        <v>0</v>
      </c>
      <c r="BW119" s="3490">
        <f t="shared" si="20"/>
        <v>0</v>
      </c>
      <c r="BX119" s="3490">
        <f t="shared" si="20"/>
        <v>0</v>
      </c>
      <c r="BY119" s="3490">
        <f t="shared" si="20"/>
        <v>0</v>
      </c>
      <c r="BZ119" s="3490">
        <f t="shared" si="20"/>
        <v>0</v>
      </c>
      <c r="CA119" s="3490">
        <f t="shared" si="20"/>
        <v>0</v>
      </c>
      <c r="CB119" s="3490">
        <f t="shared" si="20"/>
        <v>0</v>
      </c>
      <c r="CC119" s="3490">
        <f t="shared" si="20"/>
        <v>0</v>
      </c>
      <c r="CD119" s="3490">
        <f t="shared" si="20"/>
        <v>0</v>
      </c>
      <c r="CE119" s="3490">
        <f t="shared" si="20"/>
        <v>0</v>
      </c>
      <c r="CF119" s="3490">
        <f t="shared" si="20"/>
        <v>0</v>
      </c>
      <c r="CG119" s="3490">
        <f t="shared" si="20"/>
        <v>0</v>
      </c>
      <c r="CH119" s="3490">
        <f t="shared" si="20"/>
        <v>0</v>
      </c>
      <c r="CI119" s="3185">
        <f t="shared" si="10"/>
        <v>0</v>
      </c>
    </row>
    <row r="120" spans="1:87">
      <c r="A120" s="225" t="s">
        <v>2475</v>
      </c>
      <c r="B120" s="882" t="s">
        <v>252</v>
      </c>
      <c r="C120" s="882" t="s">
        <v>253</v>
      </c>
      <c r="D120" s="908" t="s">
        <v>65</v>
      </c>
      <c r="E120" s="945" t="s">
        <v>65</v>
      </c>
      <c r="F120" s="255">
        <v>0</v>
      </c>
      <c r="G120" s="255"/>
      <c r="H120" s="255">
        <v>0</v>
      </c>
      <c r="I120" s="255"/>
      <c r="J120" s="255"/>
      <c r="K120" s="255"/>
      <c r="L120" s="277"/>
      <c r="M120" s="297">
        <f>L120/100000</f>
        <v>0</v>
      </c>
      <c r="N120" s="277"/>
      <c r="O120" s="210">
        <f>M120*N120</f>
        <v>0</v>
      </c>
      <c r="P120" s="171"/>
      <c r="Q120" s="1022"/>
      <c r="R120" s="3491"/>
      <c r="S120" s="1172"/>
      <c r="T120" s="1172"/>
      <c r="U120" s="1172"/>
      <c r="V120" s="1172"/>
      <c r="W120" s="1172"/>
      <c r="X120" s="1172"/>
      <c r="Y120" s="1172"/>
      <c r="Z120" s="1172"/>
      <c r="AA120" s="1172"/>
      <c r="AB120" s="1172"/>
      <c r="AC120" s="1172"/>
      <c r="AD120" s="1172"/>
      <c r="AE120" s="1172"/>
      <c r="AF120" s="1172"/>
      <c r="AG120" s="1172"/>
      <c r="AH120" s="1172"/>
      <c r="AI120" s="1172"/>
      <c r="AJ120" s="1172"/>
      <c r="AK120" s="1172"/>
      <c r="AL120" s="1172"/>
      <c r="AM120" s="1172"/>
      <c r="AN120" s="1172"/>
      <c r="AO120" s="1172"/>
      <c r="AP120" s="1172"/>
      <c r="AQ120" s="1172"/>
      <c r="AR120" s="1172"/>
      <c r="AS120" s="1172"/>
      <c r="AT120" s="1172"/>
      <c r="AU120" s="1172"/>
      <c r="AV120" s="1172"/>
      <c r="AW120" s="1172"/>
      <c r="AX120" s="1172"/>
      <c r="AY120" s="1172"/>
      <c r="AZ120" s="1172"/>
      <c r="BA120" s="1172"/>
      <c r="BB120" s="897"/>
      <c r="BC120" s="897"/>
      <c r="BD120" s="897"/>
      <c r="BE120" s="897"/>
      <c r="BF120" s="897"/>
      <c r="BG120" s="897"/>
      <c r="BH120" s="897"/>
      <c r="BI120" s="897"/>
      <c r="BJ120" s="897"/>
      <c r="BK120" s="897"/>
      <c r="BL120" s="897"/>
      <c r="BM120" s="897"/>
      <c r="BN120" s="897"/>
      <c r="BO120" s="897"/>
      <c r="BP120" s="897"/>
      <c r="BQ120" s="897"/>
      <c r="BR120" s="897"/>
      <c r="BS120" s="897"/>
      <c r="BT120" s="897"/>
      <c r="BU120" s="897"/>
      <c r="BV120" s="897"/>
      <c r="BW120" s="897"/>
      <c r="BX120" s="897"/>
      <c r="BY120" s="897"/>
      <c r="BZ120" s="897"/>
      <c r="CA120" s="897"/>
      <c r="CB120" s="897"/>
      <c r="CC120" s="897"/>
      <c r="CD120" s="897"/>
      <c r="CE120" s="897"/>
      <c r="CF120" s="897"/>
      <c r="CG120" s="897"/>
      <c r="CH120" s="897"/>
      <c r="CI120" s="3185">
        <f t="shared" si="10"/>
        <v>0</v>
      </c>
    </row>
    <row r="121" spans="1:87">
      <c r="A121" s="225" t="s">
        <v>2476</v>
      </c>
      <c r="B121" s="882" t="s">
        <v>254</v>
      </c>
      <c r="C121" s="882" t="s">
        <v>255</v>
      </c>
      <c r="D121" s="908" t="s">
        <v>65</v>
      </c>
      <c r="E121" s="945" t="s">
        <v>65</v>
      </c>
      <c r="F121" s="255">
        <v>0</v>
      </c>
      <c r="G121" s="255"/>
      <c r="H121" s="255">
        <v>0</v>
      </c>
      <c r="I121" s="255"/>
      <c r="J121" s="255"/>
      <c r="K121" s="255"/>
      <c r="L121" s="277"/>
      <c r="M121" s="297">
        <f>L121/100000</f>
        <v>0</v>
      </c>
      <c r="N121" s="277"/>
      <c r="O121" s="210">
        <f>M121*N121</f>
        <v>0</v>
      </c>
      <c r="P121" s="171"/>
      <c r="Q121" s="1022"/>
      <c r="R121" s="3491"/>
      <c r="S121" s="1172"/>
      <c r="T121" s="1172"/>
      <c r="U121" s="1172"/>
      <c r="V121" s="1172"/>
      <c r="W121" s="1172"/>
      <c r="X121" s="1172"/>
      <c r="Y121" s="1172"/>
      <c r="Z121" s="1172"/>
      <c r="AA121" s="1172"/>
      <c r="AB121" s="1172"/>
      <c r="AC121" s="1172"/>
      <c r="AD121" s="1172"/>
      <c r="AE121" s="1172"/>
      <c r="AF121" s="1172"/>
      <c r="AG121" s="1172"/>
      <c r="AH121" s="1172"/>
      <c r="AI121" s="1172"/>
      <c r="AJ121" s="1172"/>
      <c r="AK121" s="1172"/>
      <c r="AL121" s="1172"/>
      <c r="AM121" s="1172"/>
      <c r="AN121" s="1172"/>
      <c r="AO121" s="1172"/>
      <c r="AP121" s="1172"/>
      <c r="AQ121" s="1172"/>
      <c r="AR121" s="1172"/>
      <c r="AS121" s="1172"/>
      <c r="AT121" s="1172"/>
      <c r="AU121" s="1172"/>
      <c r="AV121" s="1172"/>
      <c r="AW121" s="1172"/>
      <c r="AX121" s="1172"/>
      <c r="AY121" s="1172"/>
      <c r="AZ121" s="1172"/>
      <c r="BA121" s="1172"/>
      <c r="BB121" s="897"/>
      <c r="BC121" s="897"/>
      <c r="BD121" s="897"/>
      <c r="BE121" s="897"/>
      <c r="BF121" s="897"/>
      <c r="BG121" s="897"/>
      <c r="BH121" s="897"/>
      <c r="BI121" s="897"/>
      <c r="BJ121" s="897"/>
      <c r="BK121" s="897"/>
      <c r="BL121" s="897"/>
      <c r="BM121" s="897"/>
      <c r="BN121" s="897"/>
      <c r="BO121" s="897"/>
      <c r="BP121" s="897"/>
      <c r="BQ121" s="897"/>
      <c r="BR121" s="897"/>
      <c r="BS121" s="897"/>
      <c r="BT121" s="897"/>
      <c r="BU121" s="897"/>
      <c r="BV121" s="897"/>
      <c r="BW121" s="897"/>
      <c r="BX121" s="897"/>
      <c r="BY121" s="897"/>
      <c r="BZ121" s="897"/>
      <c r="CA121" s="897"/>
      <c r="CB121" s="897"/>
      <c r="CC121" s="897"/>
      <c r="CD121" s="897"/>
      <c r="CE121" s="897"/>
      <c r="CF121" s="897"/>
      <c r="CG121" s="897"/>
      <c r="CH121" s="897"/>
      <c r="CI121" s="3185">
        <f t="shared" si="10"/>
        <v>0</v>
      </c>
    </row>
    <row r="122" spans="1:87">
      <c r="A122" s="225" t="s">
        <v>2477</v>
      </c>
      <c r="B122" s="882" t="s">
        <v>256</v>
      </c>
      <c r="C122" s="882" t="s">
        <v>257</v>
      </c>
      <c r="D122" s="908" t="s">
        <v>65</v>
      </c>
      <c r="E122" s="945" t="s">
        <v>65</v>
      </c>
      <c r="F122" s="255">
        <v>100</v>
      </c>
      <c r="G122" s="255"/>
      <c r="H122" s="255">
        <v>0</v>
      </c>
      <c r="I122" s="255"/>
      <c r="J122" s="255"/>
      <c r="K122" s="255"/>
      <c r="L122" s="277"/>
      <c r="M122" s="297">
        <f>L122/100000</f>
        <v>0</v>
      </c>
      <c r="N122" s="277"/>
      <c r="O122" s="210">
        <f>M122*N122</f>
        <v>0</v>
      </c>
      <c r="P122" s="171"/>
      <c r="Q122" s="1022"/>
      <c r="R122" s="3491"/>
      <c r="S122" s="1172"/>
      <c r="T122" s="1172"/>
      <c r="U122" s="1172"/>
      <c r="V122" s="1172"/>
      <c r="W122" s="1172"/>
      <c r="X122" s="1172"/>
      <c r="Y122" s="1172"/>
      <c r="Z122" s="1172"/>
      <c r="AA122" s="1172"/>
      <c r="AB122" s="1172"/>
      <c r="AC122" s="1172"/>
      <c r="AD122" s="1172"/>
      <c r="AE122" s="1172"/>
      <c r="AF122" s="1172"/>
      <c r="AG122" s="1172"/>
      <c r="AH122" s="1172"/>
      <c r="AI122" s="1172"/>
      <c r="AJ122" s="1172"/>
      <c r="AK122" s="1172"/>
      <c r="AL122" s="1172"/>
      <c r="AM122" s="1172"/>
      <c r="AN122" s="1172"/>
      <c r="AO122" s="1172"/>
      <c r="AP122" s="1172"/>
      <c r="AQ122" s="1172"/>
      <c r="AR122" s="1172"/>
      <c r="AS122" s="1172"/>
      <c r="AT122" s="1172"/>
      <c r="AU122" s="1172"/>
      <c r="AV122" s="1172"/>
      <c r="AW122" s="1172"/>
      <c r="AX122" s="1172"/>
      <c r="AY122" s="1172"/>
      <c r="AZ122" s="1172"/>
      <c r="BA122" s="1172"/>
      <c r="BB122" s="897"/>
      <c r="BC122" s="897"/>
      <c r="BD122" s="897"/>
      <c r="BE122" s="897"/>
      <c r="BF122" s="897"/>
      <c r="BG122" s="897"/>
      <c r="BH122" s="897"/>
      <c r="BI122" s="897"/>
      <c r="BJ122" s="897"/>
      <c r="BK122" s="897"/>
      <c r="BL122" s="897"/>
      <c r="BM122" s="897"/>
      <c r="BN122" s="897"/>
      <c r="BO122" s="897"/>
      <c r="BP122" s="897"/>
      <c r="BQ122" s="897"/>
      <c r="BR122" s="897"/>
      <c r="BS122" s="897"/>
      <c r="BT122" s="897"/>
      <c r="BU122" s="897"/>
      <c r="BV122" s="897"/>
      <c r="BW122" s="897"/>
      <c r="BX122" s="897"/>
      <c r="BY122" s="897"/>
      <c r="BZ122" s="897"/>
      <c r="CA122" s="897"/>
      <c r="CB122" s="897"/>
      <c r="CC122" s="897"/>
      <c r="CD122" s="897"/>
      <c r="CE122" s="897"/>
      <c r="CF122" s="897"/>
      <c r="CG122" s="897"/>
      <c r="CH122" s="897"/>
      <c r="CI122" s="3185">
        <f t="shared" si="10"/>
        <v>0</v>
      </c>
    </row>
    <row r="123" spans="1:87">
      <c r="A123" s="225" t="s">
        <v>2478</v>
      </c>
      <c r="B123" s="1184" t="s">
        <v>258</v>
      </c>
      <c r="C123" s="1184" t="s">
        <v>259</v>
      </c>
      <c r="D123" s="908" t="s">
        <v>65</v>
      </c>
      <c r="E123" s="945" t="s">
        <v>65</v>
      </c>
      <c r="F123" s="255">
        <v>0</v>
      </c>
      <c r="G123" s="255"/>
      <c r="H123" s="255">
        <v>0</v>
      </c>
      <c r="I123" s="255"/>
      <c r="J123" s="255"/>
      <c r="K123" s="168"/>
      <c r="L123" s="277"/>
      <c r="M123" s="297">
        <f>L123/100000</f>
        <v>0</v>
      </c>
      <c r="N123" s="277"/>
      <c r="O123" s="210">
        <f>M123*N123</f>
        <v>0</v>
      </c>
      <c r="P123" s="171"/>
      <c r="Q123" s="1022"/>
      <c r="R123" s="3491"/>
      <c r="S123" s="1172"/>
      <c r="T123" s="1172"/>
      <c r="U123" s="1172"/>
      <c r="V123" s="1172"/>
      <c r="W123" s="1172"/>
      <c r="X123" s="1172"/>
      <c r="Y123" s="1172"/>
      <c r="Z123" s="1172"/>
      <c r="AA123" s="1172"/>
      <c r="AB123" s="1172"/>
      <c r="AC123" s="1172"/>
      <c r="AD123" s="1172"/>
      <c r="AE123" s="1172"/>
      <c r="AF123" s="1172"/>
      <c r="AG123" s="1172"/>
      <c r="AH123" s="1172"/>
      <c r="AI123" s="1172"/>
      <c r="AJ123" s="1172"/>
      <c r="AK123" s="1172"/>
      <c r="AL123" s="1172"/>
      <c r="AM123" s="1172"/>
      <c r="AN123" s="1172"/>
      <c r="AO123" s="1172"/>
      <c r="AP123" s="1172"/>
      <c r="AQ123" s="1172"/>
      <c r="AR123" s="1172"/>
      <c r="AS123" s="1172"/>
      <c r="AT123" s="1172"/>
      <c r="AU123" s="1172"/>
      <c r="AV123" s="1172"/>
      <c r="AW123" s="1172"/>
      <c r="AX123" s="1172"/>
      <c r="AY123" s="1172"/>
      <c r="AZ123" s="1172"/>
      <c r="BA123" s="1172"/>
      <c r="BB123" s="897"/>
      <c r="BC123" s="897"/>
      <c r="BD123" s="897"/>
      <c r="BE123" s="897"/>
      <c r="BF123" s="897"/>
      <c r="BG123" s="897"/>
      <c r="BH123" s="897"/>
      <c r="BI123" s="897"/>
      <c r="BJ123" s="897"/>
      <c r="BK123" s="897"/>
      <c r="BL123" s="897"/>
      <c r="BM123" s="897"/>
      <c r="BN123" s="897"/>
      <c r="BO123" s="897"/>
      <c r="BP123" s="897"/>
      <c r="BQ123" s="897"/>
      <c r="BR123" s="897"/>
      <c r="BS123" s="897"/>
      <c r="BT123" s="897"/>
      <c r="BU123" s="897"/>
      <c r="BV123" s="897"/>
      <c r="BW123" s="897"/>
      <c r="BX123" s="897"/>
      <c r="BY123" s="897"/>
      <c r="BZ123" s="897"/>
      <c r="CA123" s="897"/>
      <c r="CB123" s="897"/>
      <c r="CC123" s="897"/>
      <c r="CD123" s="897"/>
      <c r="CE123" s="897"/>
      <c r="CF123" s="897"/>
      <c r="CG123" s="897"/>
      <c r="CH123" s="897"/>
      <c r="CI123" s="3185">
        <f t="shared" si="10"/>
        <v>0</v>
      </c>
    </row>
    <row r="124" spans="1:87">
      <c r="O124" s="979"/>
      <c r="P124" s="1219"/>
      <c r="R124" s="2885">
        <v>3402.65</v>
      </c>
      <c r="S124" s="1172"/>
      <c r="T124" s="1172"/>
      <c r="U124" s="1172"/>
      <c r="V124" s="1172"/>
      <c r="W124" s="1172"/>
      <c r="X124" s="1172"/>
      <c r="Y124" s="1172"/>
      <c r="Z124" s="1172"/>
      <c r="AA124" s="1172"/>
      <c r="AB124" s="1172"/>
      <c r="AC124" s="1172"/>
      <c r="AD124" s="1172"/>
      <c r="AE124" s="1172"/>
      <c r="AF124" s="1172"/>
      <c r="AG124" s="1172"/>
      <c r="AH124" s="1172"/>
      <c r="AI124" s="1172"/>
      <c r="AJ124" s="1172"/>
      <c r="AK124" s="1172"/>
      <c r="AL124" s="1172"/>
      <c r="AM124" s="1172"/>
      <c r="AN124" s="1172"/>
      <c r="AO124" s="1172"/>
      <c r="AP124" s="1172"/>
      <c r="AQ124" s="1172"/>
      <c r="AR124" s="1172"/>
      <c r="AS124" s="1172"/>
      <c r="AT124" s="1172"/>
      <c r="AU124" s="1172"/>
      <c r="AV124" s="1172"/>
      <c r="AW124" s="1172"/>
      <c r="AX124" s="1172"/>
      <c r="AY124" s="1172"/>
      <c r="AZ124" s="1172"/>
      <c r="BA124" s="1172"/>
      <c r="BB124" s="897">
        <f>SUM(BB5:BB123)</f>
        <v>148.36999999999998</v>
      </c>
      <c r="BC124" s="897">
        <f t="shared" ref="BC124:CH124" si="21">SUM(BC5:BC123)</f>
        <v>188.16000000000005</v>
      </c>
      <c r="BD124" s="897">
        <f t="shared" si="21"/>
        <v>240.12000000000003</v>
      </c>
      <c r="BE124" s="897">
        <f t="shared" si="21"/>
        <v>206.84000000000003</v>
      </c>
      <c r="BF124" s="897">
        <f t="shared" si="21"/>
        <v>671.22000000000014</v>
      </c>
      <c r="BG124" s="897">
        <f t="shared" si="21"/>
        <v>40.580000000000005</v>
      </c>
      <c r="BH124" s="897">
        <f t="shared" si="21"/>
        <v>217.16999999999996</v>
      </c>
      <c r="BI124" s="897">
        <f t="shared" si="21"/>
        <v>20.98</v>
      </c>
      <c r="BJ124" s="897">
        <f t="shared" si="21"/>
        <v>503.84999999999997</v>
      </c>
      <c r="BK124" s="897">
        <f t="shared" si="21"/>
        <v>360.15000000000003</v>
      </c>
      <c r="BL124" s="897">
        <f t="shared" si="21"/>
        <v>271.04000000000008</v>
      </c>
      <c r="BM124" s="897">
        <f t="shared" si="21"/>
        <v>256.70999999999998</v>
      </c>
      <c r="BN124" s="897">
        <f t="shared" si="21"/>
        <v>230.06000000000003</v>
      </c>
      <c r="BO124" s="897">
        <f t="shared" si="21"/>
        <v>0</v>
      </c>
      <c r="BP124" s="897">
        <f t="shared" si="21"/>
        <v>0</v>
      </c>
      <c r="BQ124" s="897">
        <f t="shared" si="21"/>
        <v>0</v>
      </c>
      <c r="BR124" s="897">
        <f t="shared" si="21"/>
        <v>0</v>
      </c>
      <c r="BS124" s="897">
        <f t="shared" si="21"/>
        <v>15.8</v>
      </c>
      <c r="BT124" s="897">
        <f t="shared" si="21"/>
        <v>0</v>
      </c>
      <c r="BU124" s="897">
        <f t="shared" si="21"/>
        <v>0</v>
      </c>
      <c r="BV124" s="897">
        <f t="shared" si="21"/>
        <v>0</v>
      </c>
      <c r="BW124" s="897">
        <f t="shared" si="21"/>
        <v>0</v>
      </c>
      <c r="BX124" s="897">
        <f t="shared" si="21"/>
        <v>0</v>
      </c>
      <c r="BY124" s="897">
        <f t="shared" si="21"/>
        <v>0</v>
      </c>
      <c r="BZ124" s="897">
        <f t="shared" si="21"/>
        <v>0</v>
      </c>
      <c r="CA124" s="897">
        <f t="shared" si="21"/>
        <v>0</v>
      </c>
      <c r="CB124" s="897">
        <f t="shared" si="21"/>
        <v>0</v>
      </c>
      <c r="CC124" s="897">
        <f t="shared" si="21"/>
        <v>0</v>
      </c>
      <c r="CD124" s="897">
        <f t="shared" si="21"/>
        <v>0</v>
      </c>
      <c r="CE124" s="897">
        <f t="shared" si="21"/>
        <v>0</v>
      </c>
      <c r="CF124" s="897">
        <f t="shared" si="21"/>
        <v>0</v>
      </c>
      <c r="CG124" s="897">
        <f t="shared" si="21"/>
        <v>15.8</v>
      </c>
      <c r="CH124" s="897">
        <f t="shared" si="21"/>
        <v>15.8</v>
      </c>
      <c r="CI124" s="3185">
        <f t="shared" si="10"/>
        <v>3402.6500000000005</v>
      </c>
    </row>
    <row r="125" spans="1:87">
      <c r="O125" s="979"/>
      <c r="P125" s="1219"/>
      <c r="R125" s="1212"/>
      <c r="S125" s="1172"/>
      <c r="BB125" s="897"/>
      <c r="BC125" s="897"/>
      <c r="BD125" s="897"/>
      <c r="BE125" s="897"/>
      <c r="BF125" s="897"/>
      <c r="BG125" s="897"/>
      <c r="BH125" s="897"/>
      <c r="BI125" s="897"/>
      <c r="BJ125" s="897"/>
      <c r="BK125" s="897"/>
      <c r="BL125" s="897"/>
      <c r="BM125" s="897"/>
      <c r="BN125" s="897"/>
      <c r="BO125" s="897"/>
      <c r="BP125" s="897"/>
      <c r="BQ125" s="897"/>
      <c r="BR125" s="897"/>
      <c r="BS125" s="897"/>
      <c r="BT125" s="897"/>
      <c r="BU125" s="897"/>
      <c r="BV125" s="897"/>
      <c r="BW125" s="897"/>
      <c r="BX125" s="897"/>
      <c r="BY125" s="897"/>
      <c r="BZ125" s="897"/>
      <c r="CA125" s="897"/>
      <c r="CB125" s="897"/>
      <c r="CC125" s="897"/>
      <c r="CD125" s="897"/>
      <c r="CE125" s="897"/>
      <c r="CF125" s="897"/>
      <c r="CG125" s="897"/>
      <c r="CH125" s="897"/>
      <c r="CI125" s="897"/>
    </row>
    <row r="126" spans="1:87">
      <c r="O126" s="979"/>
      <c r="P126" s="1219"/>
      <c r="R126" s="1212"/>
      <c r="S126" s="1172"/>
    </row>
    <row r="127" spans="1:87">
      <c r="O127" s="979"/>
      <c r="P127" s="1219"/>
      <c r="R127" s="1212"/>
      <c r="S127" s="1172"/>
    </row>
    <row r="128" spans="1:87">
      <c r="O128" s="979"/>
      <c r="P128" s="1219"/>
      <c r="R128" s="1212"/>
      <c r="S128" s="1172"/>
    </row>
    <row r="129" spans="13:19">
      <c r="O129" s="979"/>
      <c r="P129" s="1219"/>
      <c r="R129" s="1212"/>
      <c r="S129" s="1172"/>
    </row>
    <row r="130" spans="13:19" s="1169" customFormat="1">
      <c r="M130" s="1213"/>
      <c r="O130" s="1213"/>
      <c r="P130" s="1220"/>
      <c r="R130" s="1213"/>
      <c r="S130" s="1168"/>
    </row>
    <row r="131" spans="13:19" s="1214" customFormat="1">
      <c r="M131" s="1215"/>
      <c r="O131" s="1215"/>
      <c r="P131" s="1221"/>
      <c r="R131" s="1215"/>
      <c r="S131" s="1172"/>
    </row>
    <row r="132" spans="13:19">
      <c r="O132" s="979"/>
      <c r="P132" s="1219"/>
      <c r="R132" s="1212"/>
    </row>
    <row r="133" spans="13:19">
      <c r="P133" s="1219"/>
    </row>
    <row r="134" spans="13:19">
      <c r="P134" s="1219"/>
    </row>
    <row r="135" spans="13:19">
      <c r="P135" s="1219"/>
    </row>
    <row r="136" spans="13:19">
      <c r="P136" s="1219"/>
    </row>
    <row r="137" spans="13:19">
      <c r="P137" s="1219"/>
    </row>
    <row r="138" spans="13:19">
      <c r="P138" s="1219"/>
    </row>
    <row r="139" spans="13:19">
      <c r="P139" s="1219"/>
    </row>
    <row r="140" spans="13:19">
      <c r="P140" s="1219"/>
    </row>
    <row r="141" spans="13:19">
      <c r="P141" s="1219"/>
    </row>
    <row r="142" spans="13:19">
      <c r="P142" s="1219"/>
    </row>
  </sheetData>
  <sheetProtection password="CC49" sheet="1" objects="1" scenarios="1" autoFilter="0"/>
  <mergeCells count="18">
    <mergeCell ref="A87:C87"/>
    <mergeCell ref="A92:C92"/>
    <mergeCell ref="A118:C118"/>
    <mergeCell ref="A115:C115"/>
    <mergeCell ref="A6:C6"/>
    <mergeCell ref="A38:C38"/>
    <mergeCell ref="A52:C52"/>
    <mergeCell ref="A60:C60"/>
    <mergeCell ref="A76:C76"/>
    <mergeCell ref="A57:C57"/>
    <mergeCell ref="K3:P3"/>
    <mergeCell ref="Q3:R3"/>
    <mergeCell ref="A1:C1"/>
    <mergeCell ref="F3:J3"/>
    <mergeCell ref="C3:C4"/>
    <mergeCell ref="D3:D4"/>
    <mergeCell ref="E3:E4"/>
    <mergeCell ref="A3:B4"/>
  </mergeCells>
  <phoneticPr fontId="68" type="noConversion"/>
  <pageMargins left="0.7" right="0.7" top="0.75" bottom="0.75" header="0.3" footer="0.3"/>
  <pageSetup paperSize="9" orientation="portrait" horizontalDpi="4294967295" verticalDpi="4294967295" r:id="rId1"/>
</worksheet>
</file>

<file path=xl/worksheets/sheet50.xml><?xml version="1.0" encoding="utf-8"?>
<worksheet xmlns="http://schemas.openxmlformats.org/spreadsheetml/2006/main" xmlns:r="http://schemas.openxmlformats.org/officeDocument/2006/relationships">
  <sheetPr codeName="Sheet28">
    <tabColor theme="7" tint="0.79998168889431442"/>
  </sheetPr>
  <dimension ref="A1:R23"/>
  <sheetViews>
    <sheetView zoomScale="70" zoomScaleNormal="70" workbookViewId="0">
      <pane xSplit="3" ySplit="5" topLeftCell="H6" activePane="bottomRight" state="frozen"/>
      <selection activeCell="A4" sqref="A4:R11"/>
      <selection pane="topRight" activeCell="A4" sqref="A4:R11"/>
      <selection pane="bottomLeft" activeCell="A4" sqref="A4:R11"/>
      <selection pane="bottomRight" activeCell="Q9" sqref="Q9"/>
    </sheetView>
  </sheetViews>
  <sheetFormatPr defaultColWidth="10.85546875" defaultRowHeight="15"/>
  <cols>
    <col min="1" max="1" width="10.85546875" style="904"/>
    <col min="2" max="2" width="18.140625" style="904" customWidth="1"/>
    <col min="3" max="3" width="45.5703125" style="904" customWidth="1"/>
    <col min="4" max="4" width="5.7109375" style="868" bestFit="1" customWidth="1"/>
    <col min="5" max="5" width="14" style="868" bestFit="1" customWidth="1"/>
    <col min="6" max="6" width="17.42578125" style="868" customWidth="1"/>
    <col min="7" max="7" width="16.7109375" style="868" customWidth="1"/>
    <col min="8" max="8" width="15.140625" style="978" customWidth="1"/>
    <col min="9" max="9" width="10.85546875" style="868"/>
    <col min="10" max="10" width="10.85546875" style="978"/>
    <col min="11" max="11" width="12.42578125" style="904" customWidth="1"/>
    <col min="12" max="12" width="13.140625" style="904" customWidth="1"/>
    <col min="13" max="13" width="13.85546875" style="978" customWidth="1"/>
    <col min="14" max="14" width="10.85546875" style="868"/>
    <col min="15" max="15" width="10.85546875" style="978"/>
    <col min="16" max="16" width="28.140625" style="904" customWidth="1"/>
    <col min="17" max="17" width="28.7109375" style="868" customWidth="1"/>
    <col min="18" max="18" width="16.5703125" style="978" customWidth="1"/>
    <col min="19" max="16384" width="10.85546875" style="868"/>
  </cols>
  <sheetData>
    <row r="1" spans="1:18" s="2129" customFormat="1" ht="30">
      <c r="A1" s="4103" t="s">
        <v>2117</v>
      </c>
      <c r="B1" s="4103"/>
      <c r="C1" s="4103"/>
      <c r="D1" s="982"/>
      <c r="E1" s="915"/>
      <c r="F1" s="83" t="s">
        <v>3827</v>
      </c>
      <c r="G1" s="1142"/>
      <c r="H1" s="1142"/>
      <c r="I1" s="1142"/>
      <c r="J1" s="1145"/>
      <c r="K1" s="2130"/>
      <c r="L1" s="2130"/>
      <c r="M1" s="1145"/>
      <c r="O1" s="2131"/>
      <c r="P1" s="2147"/>
      <c r="R1" s="2131"/>
    </row>
    <row r="2" spans="1:18" s="2129" customFormat="1">
      <c r="A2" s="1842" t="str">
        <f>HYPERLINK("#Index!F3", "Index Pg")</f>
        <v>Index Pg</v>
      </c>
      <c r="B2" s="1847"/>
      <c r="C2" s="864" t="str">
        <f>HYPERLINK("#'Budget Summary I'!A1:AL1", "Budget Summary I")</f>
        <v>Budget Summary I</v>
      </c>
      <c r="D2" s="2132"/>
      <c r="E2" s="2124" t="s">
        <v>4460</v>
      </c>
      <c r="F2" s="161">
        <f>R6+R8+R10+R13+R16+R22</f>
        <v>10</v>
      </c>
      <c r="G2" s="1142"/>
      <c r="H2" s="1142"/>
      <c r="I2" s="1146"/>
      <c r="J2" s="1145"/>
      <c r="K2" s="2023"/>
      <c r="L2" s="2023"/>
      <c r="M2" s="1145"/>
      <c r="O2" s="2131"/>
      <c r="P2" s="2147"/>
      <c r="R2" s="2131"/>
    </row>
    <row r="3" spans="1:18" s="2129" customFormat="1">
      <c r="A3" s="1846"/>
      <c r="B3" s="1847"/>
      <c r="C3" s="1916" t="str">
        <f>HYPERLINK("#'Budget Summary II'!A3:B5", "Budget Summary II")</f>
        <v>Budget Summary II</v>
      </c>
      <c r="D3" s="2146"/>
      <c r="E3" s="2128" t="s">
        <v>4461</v>
      </c>
      <c r="F3" s="786">
        <f>O6+O8+O10+O13+O16+O22</f>
        <v>10</v>
      </c>
      <c r="G3" s="1142"/>
      <c r="H3" s="1142"/>
      <c r="I3" s="1146"/>
      <c r="J3" s="1145"/>
      <c r="K3" s="2023"/>
      <c r="L3" s="2023"/>
      <c r="M3" s="1145"/>
      <c r="O3" s="2131"/>
      <c r="P3" s="2147"/>
      <c r="R3" s="2131"/>
    </row>
    <row r="4" spans="1:18" ht="14.45" customHeight="1">
      <c r="A4" s="3801" t="s">
        <v>48</v>
      </c>
      <c r="B4" s="3801" t="s">
        <v>49</v>
      </c>
      <c r="C4" s="3801" t="s">
        <v>50</v>
      </c>
      <c r="D4" s="3801" t="s">
        <v>51</v>
      </c>
      <c r="E4" s="3801" t="s">
        <v>52</v>
      </c>
      <c r="F4" s="3866" t="s">
        <v>4478</v>
      </c>
      <c r="G4" s="3866"/>
      <c r="H4" s="3866"/>
      <c r="I4" s="3866"/>
      <c r="J4" s="3866"/>
      <c r="K4" s="3866" t="s">
        <v>4484</v>
      </c>
      <c r="L4" s="3866"/>
      <c r="M4" s="3866"/>
      <c r="N4" s="3866"/>
      <c r="O4" s="3866"/>
      <c r="P4" s="3866"/>
      <c r="Q4" s="3801" t="s">
        <v>4514</v>
      </c>
      <c r="R4" s="3801"/>
    </row>
    <row r="5" spans="1:18" ht="60">
      <c r="A5" s="3801"/>
      <c r="B5" s="3801"/>
      <c r="C5" s="3801"/>
      <c r="D5" s="3801"/>
      <c r="E5" s="3801"/>
      <c r="F5" s="918" t="s">
        <v>4479</v>
      </c>
      <c r="G5" s="918" t="s">
        <v>4482</v>
      </c>
      <c r="H5" s="918" t="s">
        <v>4480</v>
      </c>
      <c r="I5" s="918" t="s">
        <v>4483</v>
      </c>
      <c r="J5" s="918" t="s">
        <v>2448</v>
      </c>
      <c r="K5" s="919" t="s">
        <v>53</v>
      </c>
      <c r="L5" s="919" t="s">
        <v>54</v>
      </c>
      <c r="M5" s="920" t="s">
        <v>55</v>
      </c>
      <c r="N5" s="919" t="s">
        <v>56</v>
      </c>
      <c r="O5" s="920" t="s">
        <v>57</v>
      </c>
      <c r="P5" s="1924" t="s">
        <v>58</v>
      </c>
      <c r="Q5" s="921" t="s">
        <v>2450</v>
      </c>
      <c r="R5" s="922" t="s">
        <v>4515</v>
      </c>
    </row>
    <row r="6" spans="1:18">
      <c r="A6" s="872">
        <f>'1.SD Facility Based Annex'!A7</f>
        <v>1</v>
      </c>
      <c r="B6" s="872">
        <f>'1.SD Facility Based Annex'!B7</f>
        <v>0</v>
      </c>
      <c r="C6" s="872" t="str">
        <f>'1.SD Facility Based Annex'!C7</f>
        <v>Service Delivery - Facility Based</v>
      </c>
      <c r="D6" s="872"/>
      <c r="E6" s="872"/>
      <c r="F6" s="872"/>
      <c r="G6" s="872"/>
      <c r="H6" s="872"/>
      <c r="I6" s="872"/>
      <c r="J6" s="872"/>
      <c r="K6" s="872"/>
      <c r="L6" s="872"/>
      <c r="M6" s="873"/>
      <c r="N6" s="872"/>
      <c r="O6" s="873">
        <f>O7</f>
        <v>0</v>
      </c>
      <c r="P6" s="872"/>
      <c r="Q6" s="872"/>
      <c r="R6" s="873">
        <f>R7</f>
        <v>0</v>
      </c>
    </row>
    <row r="7" spans="1:18" ht="30">
      <c r="A7" s="88" t="str">
        <f>+'1.SD Facility Based Annex'!A113</f>
        <v>1.3.2.5</v>
      </c>
      <c r="B7" s="88" t="str">
        <f>+'1.SD Facility Based Annex'!B113</f>
        <v>B.27.1.3</v>
      </c>
      <c r="C7" s="88" t="str">
        <f>+'1.SD Facility Based Annex'!C113</f>
        <v>Miscellaneous including Travel/ POL/ Stationary/ Communications/ Drugs etc.</v>
      </c>
      <c r="D7" s="88" t="str">
        <f>+'1.SD Facility Based Annex'!D113</f>
        <v>NCD</v>
      </c>
      <c r="E7" s="88" t="str">
        <f>+'1.SD Facility Based Annex'!E113</f>
        <v>NPPC</v>
      </c>
      <c r="F7" s="88">
        <f>+'1.SD Facility Based Annex'!F113</f>
        <v>0</v>
      </c>
      <c r="G7" s="88">
        <f>+'1.SD Facility Based Annex'!G113</f>
        <v>0</v>
      </c>
      <c r="H7" s="88">
        <f>+'1.SD Facility Based Annex'!H113</f>
        <v>0</v>
      </c>
      <c r="I7" s="88">
        <f>+'1.SD Facility Based Annex'!I113</f>
        <v>0</v>
      </c>
      <c r="J7" s="88">
        <f>+'1.SD Facility Based Annex'!J113</f>
        <v>0</v>
      </c>
      <c r="K7" s="88">
        <f>+'1.SD Facility Based Annex'!K113</f>
        <v>0</v>
      </c>
      <c r="L7" s="88">
        <f>+'1.SD Facility Based Annex'!L113</f>
        <v>0</v>
      </c>
      <c r="M7" s="690">
        <f>+'1.SD Facility Based Annex'!M113</f>
        <v>0</v>
      </c>
      <c r="N7" s="88">
        <f>+'1.SD Facility Based Annex'!N113</f>
        <v>0</v>
      </c>
      <c r="O7" s="690">
        <f>+'1.SD Facility Based Annex'!O113</f>
        <v>0</v>
      </c>
      <c r="P7" s="88">
        <f>+'1.SD Facility Based Annex'!P113</f>
        <v>0</v>
      </c>
      <c r="Q7" s="54"/>
      <c r="R7" s="1448"/>
    </row>
    <row r="8" spans="1:18">
      <c r="A8" s="1468">
        <f>'5.Infrastructure Annex'!A7</f>
        <v>5</v>
      </c>
      <c r="B8" s="1468"/>
      <c r="C8" s="1468" t="str">
        <f>'5.Infrastructure Annex'!C7</f>
        <v>Infrastructure</v>
      </c>
      <c r="D8" s="1419"/>
      <c r="E8" s="1419"/>
      <c r="F8" s="1419"/>
      <c r="G8" s="1419"/>
      <c r="H8" s="547"/>
      <c r="I8" s="1419"/>
      <c r="J8" s="547"/>
      <c r="K8" s="1468"/>
      <c r="L8" s="1468"/>
      <c r="M8" s="547"/>
      <c r="N8" s="877"/>
      <c r="O8" s="873">
        <f>O9</f>
        <v>10</v>
      </c>
      <c r="P8" s="876"/>
      <c r="Q8" s="743"/>
      <c r="R8" s="154">
        <f>R9</f>
        <v>10</v>
      </c>
    </row>
    <row r="9" spans="1:18" ht="105">
      <c r="A9" s="88" t="str">
        <f>+'5.Infrastructure Annex'!A24</f>
        <v>5.1.1.2.3</v>
      </c>
      <c r="B9" s="88" t="str">
        <f>+'5.Infrastructure Annex'!B24</f>
        <v>B.27.1.4</v>
      </c>
      <c r="C9" s="88" t="str">
        <f>+'5.Infrastructure Annex'!C24</f>
        <v>Renovation of PC unit/ OPD/ Beds/ Miscellaneous equipment etc.</v>
      </c>
      <c r="D9" s="88" t="str">
        <f>+'5.Infrastructure Annex'!D24</f>
        <v>NCD</v>
      </c>
      <c r="E9" s="88" t="str">
        <f>+'5.Infrastructure Annex'!E24</f>
        <v>NPPC</v>
      </c>
      <c r="F9" s="88">
        <f>+'5.Infrastructure Annex'!F24</f>
        <v>0</v>
      </c>
      <c r="G9" s="88">
        <f>+'5.Infrastructure Annex'!G24</f>
        <v>0</v>
      </c>
      <c r="H9" s="88">
        <f>+'5.Infrastructure Annex'!H24</f>
        <v>0</v>
      </c>
      <c r="I9" s="88">
        <f>+'5.Infrastructure Annex'!I24</f>
        <v>0</v>
      </c>
      <c r="J9" s="88">
        <f>+'5.Infrastructure Annex'!J24</f>
        <v>0</v>
      </c>
      <c r="K9" s="88">
        <f>+'5.Infrastructure Annex'!K24</f>
        <v>0</v>
      </c>
      <c r="L9" s="88">
        <f>+'5.Infrastructure Annex'!L24</f>
        <v>100000</v>
      </c>
      <c r="M9" s="690">
        <f>+'5.Infrastructure Annex'!M24</f>
        <v>1</v>
      </c>
      <c r="N9" s="88">
        <f>+'5.Infrastructure Annex'!N24</f>
        <v>10</v>
      </c>
      <c r="O9" s="690">
        <f>+'5.Infrastructure Annex'!O24</f>
        <v>10</v>
      </c>
      <c r="P9" s="88" t="str">
        <f>+'5.Infrastructure Annex'!P24</f>
        <v xml:space="preserve">10 Nirog sited where renovation is requird @ Rs 3 lakh per unit for patiants  especialy for user friendly  toilets  ,fallers beds  and aplinaces like walkers and sticks etc  </v>
      </c>
      <c r="Q9" s="54" t="s">
        <v>5918</v>
      </c>
      <c r="R9" s="142">
        <v>10</v>
      </c>
    </row>
    <row r="10" spans="1:18">
      <c r="A10" s="1716">
        <f>'6.Procurement Annex'!A7</f>
        <v>6</v>
      </c>
      <c r="B10" s="1716"/>
      <c r="C10" s="1716" t="str">
        <f>'6.Procurement Annex'!C7</f>
        <v>Procurement</v>
      </c>
      <c r="D10" s="1717"/>
      <c r="E10" s="1717"/>
      <c r="F10" s="1717"/>
      <c r="G10" s="1717"/>
      <c r="H10" s="547"/>
      <c r="I10" s="1717"/>
      <c r="J10" s="547"/>
      <c r="K10" s="1716"/>
      <c r="L10" s="1716"/>
      <c r="M10" s="547"/>
      <c r="N10" s="877"/>
      <c r="O10" s="873">
        <f>SUM(O11:O12)</f>
        <v>0</v>
      </c>
      <c r="P10" s="876"/>
      <c r="Q10" s="743"/>
      <c r="R10" s="154">
        <f>SUM(R11:R12)</f>
        <v>0</v>
      </c>
    </row>
    <row r="11" spans="1:18">
      <c r="A11" s="4100" t="str">
        <f>'6.Procurement Annex'!A44</f>
        <v>6.1.5.9</v>
      </c>
      <c r="B11" s="88" t="str">
        <f>'6-A. Proc. Sub-Annex'!B130</f>
        <v>B.27.1.4</v>
      </c>
      <c r="C11" s="88" t="str">
        <f>'6-A. Proc. Sub-Annex'!C130</f>
        <v>Equipment</v>
      </c>
      <c r="D11" s="88" t="str">
        <f>'6-A. Proc. Sub-Annex'!D130</f>
        <v>NCD</v>
      </c>
      <c r="E11" s="88" t="str">
        <f>'6-A. Proc. Sub-Annex'!E130</f>
        <v>NPPC</v>
      </c>
      <c r="F11" s="88">
        <f>'6-A. Proc. Sub-Annex'!F130</f>
        <v>0</v>
      </c>
      <c r="G11" s="88">
        <f>'6-A. Proc. Sub-Annex'!G130</f>
        <v>0</v>
      </c>
      <c r="H11" s="88">
        <f>'6-A. Proc. Sub-Annex'!H130</f>
        <v>0</v>
      </c>
      <c r="I11" s="88">
        <f>'6-A. Proc. Sub-Annex'!I130</f>
        <v>0</v>
      </c>
      <c r="J11" s="88">
        <f>'6-A. Proc. Sub-Annex'!J130</f>
        <v>0</v>
      </c>
      <c r="K11" s="88">
        <f>'6-A. Proc. Sub-Annex'!K130</f>
        <v>0</v>
      </c>
      <c r="L11" s="88">
        <f>'6-A. Proc. Sub-Annex'!L130</f>
        <v>0</v>
      </c>
      <c r="M11" s="690">
        <f>'6-A. Proc. Sub-Annex'!M130</f>
        <v>0</v>
      </c>
      <c r="N11" s="88">
        <f>'6-A. Proc. Sub-Annex'!N130</f>
        <v>0</v>
      </c>
      <c r="O11" s="690">
        <f>'6-A. Proc. Sub-Annex'!O130</f>
        <v>0</v>
      </c>
      <c r="P11" s="88">
        <f>'6-A. Proc. Sub-Annex'!P130</f>
        <v>0</v>
      </c>
      <c r="Q11" s="155"/>
      <c r="R11" s="142"/>
    </row>
    <row r="12" spans="1:18">
      <c r="A12" s="4100"/>
      <c r="B12" s="88">
        <f>'6-A. Proc. Sub-Annex'!B131</f>
        <v>0</v>
      </c>
      <c r="C12" s="88" t="str">
        <f>'6-A. Proc. Sub-Annex'!C131</f>
        <v>Any other equipment (please specify)</v>
      </c>
      <c r="D12" s="88" t="str">
        <f>'6-A. Proc. Sub-Annex'!D131</f>
        <v>NCD</v>
      </c>
      <c r="E12" s="88" t="str">
        <f>'6-A. Proc. Sub-Annex'!E131</f>
        <v>NPPC</v>
      </c>
      <c r="F12" s="88">
        <f>'6-A. Proc. Sub-Annex'!F131</f>
        <v>0</v>
      </c>
      <c r="G12" s="88">
        <f>'6-A. Proc. Sub-Annex'!G131</f>
        <v>0</v>
      </c>
      <c r="H12" s="88">
        <f>'6-A. Proc. Sub-Annex'!H131</f>
        <v>0</v>
      </c>
      <c r="I12" s="88">
        <f>'6-A. Proc. Sub-Annex'!I131</f>
        <v>0</v>
      </c>
      <c r="J12" s="88">
        <f>'6-A. Proc. Sub-Annex'!J131</f>
        <v>0</v>
      </c>
      <c r="K12" s="88">
        <f>'6-A. Proc. Sub-Annex'!K131</f>
        <v>0</v>
      </c>
      <c r="L12" s="88">
        <f>'6-A. Proc. Sub-Annex'!L131</f>
        <v>0</v>
      </c>
      <c r="M12" s="690">
        <f>'6-A. Proc. Sub-Annex'!M131</f>
        <v>0</v>
      </c>
      <c r="N12" s="88">
        <f>'6-A. Proc. Sub-Annex'!N131</f>
        <v>0</v>
      </c>
      <c r="O12" s="690">
        <f>'6-A. Proc. Sub-Annex'!O131</f>
        <v>0</v>
      </c>
      <c r="P12" s="88">
        <f>'6-A. Proc. Sub-Annex'!P131</f>
        <v>0</v>
      </c>
      <c r="Q12" s="155"/>
      <c r="R12" s="142"/>
    </row>
    <row r="13" spans="1:18">
      <c r="A13" s="1468">
        <f>'9.Training Annex'!A7</f>
        <v>9</v>
      </c>
      <c r="B13" s="1468"/>
      <c r="C13" s="1468" t="str">
        <f>'9.Training Annex'!C7</f>
        <v>Training and Capacity Building</v>
      </c>
      <c r="D13" s="1419"/>
      <c r="E13" s="1419"/>
      <c r="F13" s="1419"/>
      <c r="G13" s="1419"/>
      <c r="H13" s="547"/>
      <c r="I13" s="1419"/>
      <c r="J13" s="547"/>
      <c r="K13" s="1468"/>
      <c r="L13" s="1468"/>
      <c r="M13" s="547"/>
      <c r="N13" s="877"/>
      <c r="O13" s="873">
        <f>SUM(O14:O15)</f>
        <v>0</v>
      </c>
      <c r="P13" s="876"/>
      <c r="Q13" s="743"/>
      <c r="R13" s="154">
        <f>SUM(R14:R15)</f>
        <v>0</v>
      </c>
    </row>
    <row r="14" spans="1:18" ht="45">
      <c r="A14" s="4100" t="str">
        <f>'9.Training Annex'!A61</f>
        <v>9.2.4.7</v>
      </c>
      <c r="B14" s="88" t="str">
        <f>'9-A.Training Sub-Annex'!B273</f>
        <v>B.27.1.2</v>
      </c>
      <c r="C14" s="88" t="str">
        <f>'9-A.Training Sub-Annex'!C273</f>
        <v>Training of PHC Medical Officers, nurses, Paramedical Workers &amp; Other Health Staff under NPPC</v>
      </c>
      <c r="D14" s="88" t="str">
        <f>'9-A.Training Sub-Annex'!D273</f>
        <v>NCD</v>
      </c>
      <c r="E14" s="88" t="str">
        <f>'9-A.Training Sub-Annex'!E273</f>
        <v>NPPC</v>
      </c>
      <c r="F14" s="88">
        <f>'9-A.Training Sub-Annex'!F273</f>
        <v>1</v>
      </c>
      <c r="G14" s="88">
        <f>'9-A.Training Sub-Annex'!G273</f>
        <v>0</v>
      </c>
      <c r="H14" s="88">
        <f>'9-A.Training Sub-Annex'!H273</f>
        <v>1</v>
      </c>
      <c r="I14" s="88">
        <f>'9-A.Training Sub-Annex'!I273</f>
        <v>0</v>
      </c>
      <c r="J14" s="88">
        <f>'9-A.Training Sub-Annex'!J273</f>
        <v>0</v>
      </c>
      <c r="K14" s="88">
        <f>'9-A.Training Sub-Annex'!K273</f>
        <v>0</v>
      </c>
      <c r="L14" s="88">
        <f>'9-A.Training Sub-Annex'!L273</f>
        <v>0</v>
      </c>
      <c r="M14" s="690">
        <f>'9-A.Training Sub-Annex'!M273</f>
        <v>0</v>
      </c>
      <c r="N14" s="88">
        <f>'9-A.Training Sub-Annex'!N273</f>
        <v>0</v>
      </c>
      <c r="O14" s="690">
        <f>'9-A.Training Sub-Annex'!O273</f>
        <v>0</v>
      </c>
      <c r="P14" s="88">
        <f>'9-A.Training Sub-Annex'!P273</f>
        <v>0</v>
      </c>
      <c r="Q14" s="155"/>
      <c r="R14" s="142"/>
    </row>
    <row r="15" spans="1:18">
      <c r="A15" s="4100"/>
      <c r="B15" s="88">
        <f>'9-A.Training Sub-Annex'!B274</f>
        <v>0</v>
      </c>
      <c r="C15" s="88" t="str">
        <f>'9-A.Training Sub-Annex'!C274</f>
        <v>Any other (please specify)</v>
      </c>
      <c r="D15" s="88" t="str">
        <f>'9-A.Training Sub-Annex'!D274</f>
        <v>NCD</v>
      </c>
      <c r="E15" s="88" t="str">
        <f>'9-A.Training Sub-Annex'!E274</f>
        <v>NPPC</v>
      </c>
      <c r="F15" s="88">
        <f>'9-A.Training Sub-Annex'!F274</f>
        <v>0</v>
      </c>
      <c r="G15" s="88">
        <f>'9-A.Training Sub-Annex'!G274</f>
        <v>0</v>
      </c>
      <c r="H15" s="88">
        <f>'9-A.Training Sub-Annex'!H274</f>
        <v>0</v>
      </c>
      <c r="I15" s="88">
        <f>'9-A.Training Sub-Annex'!I274</f>
        <v>0</v>
      </c>
      <c r="J15" s="88">
        <f>'9-A.Training Sub-Annex'!J274</f>
        <v>0</v>
      </c>
      <c r="K15" s="88">
        <f>'9-A.Training Sub-Annex'!K274</f>
        <v>0</v>
      </c>
      <c r="L15" s="88">
        <f>'9-A.Training Sub-Annex'!L274</f>
        <v>0</v>
      </c>
      <c r="M15" s="690">
        <f>'9-A.Training Sub-Annex'!M274</f>
        <v>0</v>
      </c>
      <c r="N15" s="88">
        <f>'9-A.Training Sub-Annex'!N274</f>
        <v>0</v>
      </c>
      <c r="O15" s="690">
        <f>'9-A.Training Sub-Annex'!O274</f>
        <v>0</v>
      </c>
      <c r="P15" s="88">
        <f>'9-A.Training Sub-Annex'!P274</f>
        <v>0</v>
      </c>
      <c r="Q15" s="155"/>
      <c r="R15" s="142"/>
    </row>
    <row r="16" spans="1:18">
      <c r="A16" s="1716">
        <f>'11.IEC-BCC Annex'!A7</f>
        <v>11</v>
      </c>
      <c r="B16" s="1716"/>
      <c r="C16" s="1716" t="str">
        <f>'11.IEC-BCC Annex'!C7</f>
        <v>IEC/BCC</v>
      </c>
      <c r="D16" s="1717"/>
      <c r="E16" s="1717"/>
      <c r="F16" s="1717"/>
      <c r="G16" s="1717"/>
      <c r="H16" s="547"/>
      <c r="I16" s="1717"/>
      <c r="J16" s="547"/>
      <c r="K16" s="1716"/>
      <c r="L16" s="1716"/>
      <c r="M16" s="547"/>
      <c r="N16" s="877"/>
      <c r="O16" s="873">
        <f>SUM(O17:O19)</f>
        <v>0</v>
      </c>
      <c r="P16" s="876"/>
      <c r="Q16" s="743"/>
      <c r="R16" s="154">
        <f>SUM(R17:R19)</f>
        <v>0</v>
      </c>
    </row>
    <row r="17" spans="1:18">
      <c r="A17" s="4100" t="str">
        <f>'11.IEC-BCC Annex'!A41</f>
        <v>11.4.10</v>
      </c>
      <c r="B17" s="88" t="str">
        <f>+'11-A. IEC Sub-Annex'!B101</f>
        <v>B.27.1.3</v>
      </c>
      <c r="C17" s="88" t="str">
        <f>+'11-A. IEC Sub-Annex'!C101</f>
        <v>IEC for DH</v>
      </c>
      <c r="D17" s="88" t="str">
        <f>+'11-A. IEC Sub-Annex'!D101</f>
        <v>NCD</v>
      </c>
      <c r="E17" s="88" t="str">
        <f>+'11-A. IEC Sub-Annex'!E101</f>
        <v>NPPC</v>
      </c>
      <c r="F17" s="88">
        <f>+'11-A. IEC Sub-Annex'!F101</f>
        <v>0</v>
      </c>
      <c r="G17" s="88">
        <f>+'11-A. IEC Sub-Annex'!G101</f>
        <v>0</v>
      </c>
      <c r="H17" s="88">
        <f>+'11-A. IEC Sub-Annex'!H101</f>
        <v>0</v>
      </c>
      <c r="I17" s="88">
        <f>+'11-A. IEC Sub-Annex'!I101</f>
        <v>0</v>
      </c>
      <c r="J17" s="88">
        <f>+'11-A. IEC Sub-Annex'!J101</f>
        <v>0</v>
      </c>
      <c r="K17" s="88">
        <f>+'11-A. IEC Sub-Annex'!K101</f>
        <v>0</v>
      </c>
      <c r="L17" s="88">
        <f>+'11-A. IEC Sub-Annex'!L101</f>
        <v>0</v>
      </c>
      <c r="M17" s="690">
        <f>+'11-A. IEC Sub-Annex'!M101</f>
        <v>0</v>
      </c>
      <c r="N17" s="88">
        <f>+'11-A. IEC Sub-Annex'!N101</f>
        <v>0</v>
      </c>
      <c r="O17" s="690">
        <f>+'11-A. IEC Sub-Annex'!O101</f>
        <v>0</v>
      </c>
      <c r="P17" s="88">
        <f>+'11-A. IEC Sub-Annex'!P101</f>
        <v>0</v>
      </c>
      <c r="Q17" s="155"/>
      <c r="R17" s="142"/>
    </row>
    <row r="18" spans="1:18">
      <c r="A18" s="4100"/>
      <c r="B18" s="88" t="str">
        <f>+'11-A. IEC Sub-Annex'!B102</f>
        <v>B.27.2.2</v>
      </c>
      <c r="C18" s="88" t="str">
        <f>+'11-A. IEC Sub-Annex'!C102</f>
        <v>IEC for State Palliative care cell</v>
      </c>
      <c r="D18" s="88" t="str">
        <f>+'11-A. IEC Sub-Annex'!D102</f>
        <v>NCD</v>
      </c>
      <c r="E18" s="88" t="str">
        <f>+'11-A. IEC Sub-Annex'!E102</f>
        <v>NPPC</v>
      </c>
      <c r="F18" s="88">
        <f>+'11-A. IEC Sub-Annex'!F102</f>
        <v>0</v>
      </c>
      <c r="G18" s="88">
        <f>+'11-A. IEC Sub-Annex'!G102</f>
        <v>0</v>
      </c>
      <c r="H18" s="88">
        <f>+'11-A. IEC Sub-Annex'!H102</f>
        <v>0</v>
      </c>
      <c r="I18" s="88">
        <f>+'11-A. IEC Sub-Annex'!I102</f>
        <v>0</v>
      </c>
      <c r="J18" s="88">
        <f>+'11-A. IEC Sub-Annex'!J102</f>
        <v>0</v>
      </c>
      <c r="K18" s="88">
        <f>+'11-A. IEC Sub-Annex'!K102</f>
        <v>0</v>
      </c>
      <c r="L18" s="88">
        <f>+'11-A. IEC Sub-Annex'!L102</f>
        <v>0</v>
      </c>
      <c r="M18" s="690">
        <f>+'11-A. IEC Sub-Annex'!M102</f>
        <v>0</v>
      </c>
      <c r="N18" s="88">
        <f>+'11-A. IEC Sub-Annex'!N102</f>
        <v>0</v>
      </c>
      <c r="O18" s="690">
        <f>+'11-A. IEC Sub-Annex'!O102</f>
        <v>0</v>
      </c>
      <c r="P18" s="88">
        <f>+'11-A. IEC Sub-Annex'!P102</f>
        <v>0</v>
      </c>
      <c r="Q18" s="155"/>
      <c r="R18" s="142"/>
    </row>
    <row r="19" spans="1:18">
      <c r="A19" s="4100"/>
      <c r="B19" s="88">
        <f>+'11-A. IEC Sub-Annex'!B103</f>
        <v>0</v>
      </c>
      <c r="C19" s="88" t="str">
        <f>+'11-A. IEC Sub-Annex'!C103</f>
        <v>Any other IEC/BCC activities (please specify)</v>
      </c>
      <c r="D19" s="88" t="str">
        <f>+'11-A. IEC Sub-Annex'!D103</f>
        <v>NCD</v>
      </c>
      <c r="E19" s="88" t="str">
        <f>+'11-A. IEC Sub-Annex'!E103</f>
        <v>NPPC</v>
      </c>
      <c r="F19" s="88">
        <f>+'11-A. IEC Sub-Annex'!F103</f>
        <v>0</v>
      </c>
      <c r="G19" s="88">
        <f>+'11-A. IEC Sub-Annex'!G103</f>
        <v>0</v>
      </c>
      <c r="H19" s="88">
        <f>+'11-A. IEC Sub-Annex'!H103</f>
        <v>0</v>
      </c>
      <c r="I19" s="88">
        <f>+'11-A. IEC Sub-Annex'!I103</f>
        <v>0</v>
      </c>
      <c r="J19" s="88">
        <f>+'11-A. IEC Sub-Annex'!J103</f>
        <v>0</v>
      </c>
      <c r="K19" s="88">
        <f>+'11-A. IEC Sub-Annex'!K103</f>
        <v>0</v>
      </c>
      <c r="L19" s="88">
        <f>+'11-A. IEC Sub-Annex'!L103</f>
        <v>0</v>
      </c>
      <c r="M19" s="690">
        <f>+'11-A. IEC Sub-Annex'!M103</f>
        <v>0</v>
      </c>
      <c r="N19" s="88">
        <f>+'11-A. IEC Sub-Annex'!N103</f>
        <v>0</v>
      </c>
      <c r="O19" s="690">
        <f>+'11-A. IEC Sub-Annex'!O103</f>
        <v>0</v>
      </c>
      <c r="P19" s="88">
        <f>+'11-A. IEC Sub-Annex'!P103</f>
        <v>0</v>
      </c>
      <c r="Q19" s="155"/>
      <c r="R19" s="142"/>
    </row>
    <row r="20" spans="1:18">
      <c r="A20" s="1716">
        <f>'12.Printing Annex'!A7</f>
        <v>12</v>
      </c>
      <c r="B20" s="1716"/>
      <c r="C20" s="1716" t="str">
        <f>'12.Printing Annex'!C7</f>
        <v>Printing</v>
      </c>
      <c r="D20" s="1717"/>
      <c r="E20" s="1717"/>
      <c r="F20" s="1717"/>
      <c r="G20" s="1717"/>
      <c r="H20" s="547"/>
      <c r="I20" s="1717"/>
      <c r="J20" s="547"/>
      <c r="K20" s="1716"/>
      <c r="L20" s="1716"/>
      <c r="M20" s="547"/>
      <c r="N20" s="877"/>
      <c r="O20" s="873">
        <f>SUM(O21:O23)</f>
        <v>0</v>
      </c>
      <c r="P20" s="876"/>
      <c r="Q20" s="743"/>
      <c r="R20" s="154">
        <f>SUM(R21:R23)</f>
        <v>0</v>
      </c>
    </row>
    <row r="21" spans="1:18">
      <c r="A21" s="88" t="str">
        <f>'12.Printing Annex'!A44</f>
        <v>12.4.11</v>
      </c>
      <c r="B21" s="88">
        <f>'12-A. Print Sub-Annex'!B108</f>
        <v>0</v>
      </c>
      <c r="C21" s="88" t="str">
        <f>'12-A. Print Sub-Annex'!C108</f>
        <v>Printing activities under NPPC</v>
      </c>
      <c r="D21" s="88" t="str">
        <f>'12-A. Print Sub-Annex'!D108</f>
        <v>NCD</v>
      </c>
      <c r="E21" s="88" t="str">
        <f>'12-A. Print Sub-Annex'!E108</f>
        <v>NPPC</v>
      </c>
      <c r="F21" s="88">
        <f>'12-A. Print Sub-Annex'!F108</f>
        <v>0</v>
      </c>
      <c r="G21" s="88">
        <f>'12-A. Print Sub-Annex'!G108</f>
        <v>0</v>
      </c>
      <c r="H21" s="88">
        <f>'12-A. Print Sub-Annex'!H108</f>
        <v>0</v>
      </c>
      <c r="I21" s="88">
        <f>'12-A. Print Sub-Annex'!I108</f>
        <v>0</v>
      </c>
      <c r="J21" s="88">
        <f>'12-A. Print Sub-Annex'!J108</f>
        <v>0</v>
      </c>
      <c r="K21" s="88">
        <f>'12-A. Print Sub-Annex'!K108</f>
        <v>0</v>
      </c>
      <c r="L21" s="88">
        <f>'12-A. Print Sub-Annex'!L108</f>
        <v>0</v>
      </c>
      <c r="M21" s="690">
        <f>'12-A. Print Sub-Annex'!M108</f>
        <v>0</v>
      </c>
      <c r="N21" s="88">
        <f>'12-A. Print Sub-Annex'!N108</f>
        <v>0</v>
      </c>
      <c r="O21" s="690">
        <f>'12-A. Print Sub-Annex'!O108</f>
        <v>0</v>
      </c>
      <c r="P21" s="88">
        <f>'12-A. Print Sub-Annex'!P108</f>
        <v>0</v>
      </c>
      <c r="Q21" s="155"/>
      <c r="R21" s="142"/>
    </row>
    <row r="22" spans="1:18">
      <c r="A22" s="876">
        <f>'16.PM Annex'!A7</f>
        <v>16</v>
      </c>
      <c r="B22" s="876">
        <f>'16.PM Annex'!B7</f>
        <v>0</v>
      </c>
      <c r="C22" s="876" t="str">
        <f>'16.PM Annex'!C7</f>
        <v>Programme Management</v>
      </c>
      <c r="D22" s="877"/>
      <c r="E22" s="877"/>
      <c r="F22" s="877"/>
      <c r="G22" s="877"/>
      <c r="H22" s="547"/>
      <c r="I22" s="877"/>
      <c r="J22" s="547"/>
      <c r="K22" s="876"/>
      <c r="L22" s="876"/>
      <c r="M22" s="547"/>
      <c r="N22" s="877"/>
      <c r="O22" s="873">
        <f>O23</f>
        <v>0</v>
      </c>
      <c r="P22" s="876"/>
      <c r="Q22" s="743"/>
      <c r="R22" s="154">
        <f>R23</f>
        <v>0</v>
      </c>
    </row>
    <row r="23" spans="1:18" ht="30">
      <c r="A23" s="88" t="str">
        <f>'16-A. PM sub Annex'!A138</f>
        <v>16.1.4.2.2</v>
      </c>
      <c r="B23" s="88" t="e">
        <f>'16-A. PM sub Annex'!#REF!</f>
        <v>#REF!</v>
      </c>
      <c r="C23" s="88" t="str">
        <f>'16-A. PM sub Annex'!C138</f>
        <v>Contingencies under NPPCF</v>
      </c>
      <c r="D23" s="88" t="str">
        <f>'16-A. PM sub Annex'!D138</f>
        <v>NCD</v>
      </c>
      <c r="E23" s="88" t="str">
        <f>'16-A. PM sub Annex'!E138</f>
        <v>HRH&amp;HPIP/ NPPCF</v>
      </c>
      <c r="F23" s="88">
        <f>'16-A. PM sub Annex'!F138</f>
        <v>0</v>
      </c>
      <c r="G23" s="88">
        <f>'16-A. PM sub Annex'!G138</f>
        <v>0</v>
      </c>
      <c r="H23" s="88">
        <f>'16-A. PM sub Annex'!H138</f>
        <v>0</v>
      </c>
      <c r="I23" s="88">
        <f>'16-A. PM sub Annex'!I138</f>
        <v>0</v>
      </c>
      <c r="J23" s="88">
        <f>'16-A. PM sub Annex'!J138</f>
        <v>0</v>
      </c>
      <c r="K23" s="88">
        <f>'16-A. PM sub Annex'!K138</f>
        <v>0</v>
      </c>
      <c r="L23" s="88">
        <f>'16-A. PM sub Annex'!L138</f>
        <v>0</v>
      </c>
      <c r="M23" s="690">
        <f>'16-A. PM sub Annex'!M138</f>
        <v>0</v>
      </c>
      <c r="N23" s="88">
        <f>'16-A. PM sub Annex'!N138</f>
        <v>0</v>
      </c>
      <c r="O23" s="690">
        <f>'16-A. PM sub Annex'!O138</f>
        <v>0</v>
      </c>
      <c r="P23" s="88">
        <f>'16-A. PM sub Annex'!P138</f>
        <v>0</v>
      </c>
      <c r="Q23" s="155"/>
      <c r="R23" s="142"/>
    </row>
  </sheetData>
  <sheetProtection sheet="1" formatCells="0" formatColumns="0" formatRows="0" autoFilter="0"/>
  <autoFilter ref="A5:M23"/>
  <mergeCells count="12">
    <mergeCell ref="A11:A12"/>
    <mergeCell ref="A14:A15"/>
    <mergeCell ref="A17:A19"/>
    <mergeCell ref="Q4:R4"/>
    <mergeCell ref="E4:E5"/>
    <mergeCell ref="F4:J4"/>
    <mergeCell ref="K4:P4"/>
    <mergeCell ref="A1:C1"/>
    <mergeCell ref="A4:A5"/>
    <mergeCell ref="B4:B5"/>
    <mergeCell ref="C4:C5"/>
    <mergeCell ref="D4:D5"/>
  </mergeCells>
  <pageMargins left="0.7" right="0.7" top="0.75" bottom="0.75" header="0.3" footer="0.3"/>
</worksheet>
</file>

<file path=xl/worksheets/sheet51.xml><?xml version="1.0" encoding="utf-8"?>
<worksheet xmlns="http://schemas.openxmlformats.org/spreadsheetml/2006/main" xmlns:r="http://schemas.openxmlformats.org/officeDocument/2006/relationships">
  <sheetPr codeName="Sheet29">
    <tabColor theme="7" tint="0.79998168889431442"/>
  </sheetPr>
  <dimension ref="A1:R12"/>
  <sheetViews>
    <sheetView zoomScale="70" zoomScaleNormal="70" workbookViewId="0">
      <pane xSplit="3" ySplit="5" topLeftCell="K6" activePane="bottomRight" state="frozen"/>
      <selection activeCell="A4" sqref="A4:R11"/>
      <selection pane="topRight" activeCell="A4" sqref="A4:R11"/>
      <selection pane="bottomLeft" activeCell="A4" sqref="A4:R11"/>
      <selection pane="bottomRight" activeCell="O5" sqref="O5"/>
    </sheetView>
  </sheetViews>
  <sheetFormatPr defaultColWidth="10.5703125" defaultRowHeight="15"/>
  <cols>
    <col min="1" max="1" width="10.7109375" style="1789" bestFit="1" customWidth="1"/>
    <col min="2" max="2" width="16.85546875" style="1789" customWidth="1"/>
    <col min="3" max="3" width="45.5703125" style="1789" bestFit="1" customWidth="1"/>
    <col min="4" max="4" width="4.85546875" style="1227" bestFit="1" customWidth="1"/>
    <col min="5" max="5" width="17.140625" style="1227" customWidth="1"/>
    <col min="6" max="6" width="17.85546875" style="1227" customWidth="1"/>
    <col min="7" max="7" width="14" style="1227" customWidth="1"/>
    <col min="8" max="8" width="9.140625" style="1227" bestFit="1" customWidth="1"/>
    <col min="9" max="9" width="10" style="1227" bestFit="1" customWidth="1"/>
    <col min="10" max="10" width="8.28515625" style="1227" customWidth="1"/>
    <col min="11" max="11" width="11.5703125" style="1942" customWidth="1"/>
    <col min="12" max="12" width="11.7109375" style="1942" customWidth="1"/>
    <col min="13" max="13" width="11.85546875" style="1131" bestFit="1" customWidth="1"/>
    <col min="14" max="14" width="10.5703125" style="1942"/>
    <col min="15" max="15" width="10.5703125" style="1961"/>
    <col min="16" max="16" width="41.28515625" style="1942" customWidth="1"/>
    <col min="17" max="17" width="48.5703125" style="1942" customWidth="1"/>
    <col min="18" max="18" width="10.5703125" style="1961"/>
    <col min="19" max="16384" width="10.5703125" style="1942"/>
  </cols>
  <sheetData>
    <row r="1" spans="1:18" s="2001" customFormat="1">
      <c r="A1" s="4099" t="s">
        <v>3829</v>
      </c>
      <c r="B1" s="4099"/>
      <c r="C1" s="4099"/>
      <c r="D1" s="2166"/>
      <c r="E1" s="915"/>
      <c r="F1" s="2000" t="s">
        <v>4550</v>
      </c>
      <c r="G1" s="2166"/>
      <c r="H1" s="2166"/>
      <c r="I1" s="2166"/>
      <c r="J1" s="2166"/>
      <c r="K1" s="2166"/>
      <c r="L1" s="2166"/>
      <c r="M1" s="2167"/>
      <c r="O1" s="2002"/>
      <c r="R1" s="2002"/>
    </row>
    <row r="2" spans="1:18" s="2001" customFormat="1">
      <c r="A2" s="1842" t="str">
        <f>HYPERLINK("#Index!F3", "Index Pg")</f>
        <v>Index Pg</v>
      </c>
      <c r="B2" s="1847"/>
      <c r="C2" s="864" t="str">
        <f>HYPERLINK("#'Budget Summary I'!A1:AL1", "Budget Summary I")</f>
        <v>Budget Summary I</v>
      </c>
      <c r="D2" s="2168"/>
      <c r="E2" s="2124" t="s">
        <v>4460</v>
      </c>
      <c r="F2" s="2169">
        <f>R8+R6+R11</f>
        <v>0</v>
      </c>
      <c r="G2" s="2170"/>
      <c r="H2" s="2170"/>
      <c r="I2" s="2170"/>
      <c r="J2" s="2170"/>
      <c r="K2" s="2171"/>
      <c r="L2" s="2171"/>
      <c r="M2" s="2172"/>
      <c r="O2" s="2002"/>
      <c r="R2" s="2002"/>
    </row>
    <row r="3" spans="1:18" s="2001" customFormat="1">
      <c r="A3" s="1846"/>
      <c r="B3" s="1847"/>
      <c r="C3" s="1916" t="str">
        <f>HYPERLINK("#'Budget Summary II'!A3:B5", "Budget Summary II")</f>
        <v>Budget Summary II</v>
      </c>
      <c r="D3" s="2168"/>
      <c r="E3" s="2128" t="s">
        <v>4461</v>
      </c>
      <c r="F3" s="786">
        <f>O8+O6+O11</f>
        <v>0</v>
      </c>
      <c r="G3" s="2170"/>
      <c r="H3" s="2170"/>
      <c r="I3" s="2170"/>
      <c r="J3" s="2170"/>
      <c r="K3" s="2171"/>
      <c r="L3" s="2171"/>
      <c r="M3" s="2172"/>
      <c r="O3" s="2002"/>
      <c r="R3" s="2002"/>
    </row>
    <row r="4" spans="1:18" s="1227" customFormat="1" ht="14.45" customHeight="1">
      <c r="A4" s="3801" t="s">
        <v>48</v>
      </c>
      <c r="B4" s="3801" t="s">
        <v>49</v>
      </c>
      <c r="C4" s="3801" t="s">
        <v>50</v>
      </c>
      <c r="D4" s="3801" t="s">
        <v>51</v>
      </c>
      <c r="E4" s="3801" t="s">
        <v>52</v>
      </c>
      <c r="F4" s="3866" t="s">
        <v>4478</v>
      </c>
      <c r="G4" s="3866"/>
      <c r="H4" s="3866"/>
      <c r="I4" s="3866"/>
      <c r="J4" s="3866"/>
      <c r="K4" s="3866" t="s">
        <v>4484</v>
      </c>
      <c r="L4" s="3866"/>
      <c r="M4" s="3866"/>
      <c r="N4" s="3866"/>
      <c r="O4" s="3866"/>
      <c r="P4" s="3866"/>
      <c r="Q4" s="3801" t="s">
        <v>4514</v>
      </c>
      <c r="R4" s="3801"/>
    </row>
    <row r="5" spans="1:18" s="1227" customFormat="1" ht="90">
      <c r="A5" s="3801"/>
      <c r="B5" s="3801"/>
      <c r="C5" s="3801"/>
      <c r="D5" s="3801"/>
      <c r="E5" s="3801"/>
      <c r="F5" s="918" t="s">
        <v>4479</v>
      </c>
      <c r="G5" s="918" t="s">
        <v>4482</v>
      </c>
      <c r="H5" s="918" t="s">
        <v>4480</v>
      </c>
      <c r="I5" s="918" t="s">
        <v>4483</v>
      </c>
      <c r="J5" s="918" t="s">
        <v>2448</v>
      </c>
      <c r="K5" s="919" t="s">
        <v>53</v>
      </c>
      <c r="L5" s="919" t="s">
        <v>54</v>
      </c>
      <c r="M5" s="920" t="s">
        <v>55</v>
      </c>
      <c r="N5" s="919" t="s">
        <v>56</v>
      </c>
      <c r="O5" s="920" t="s">
        <v>57</v>
      </c>
      <c r="P5" s="919" t="s">
        <v>58</v>
      </c>
      <c r="Q5" s="921" t="s">
        <v>2450</v>
      </c>
      <c r="R5" s="922" t="s">
        <v>4515</v>
      </c>
    </row>
    <row r="6" spans="1:18">
      <c r="A6" s="2007">
        <f>'5.Infrastructure Annex'!A7</f>
        <v>5</v>
      </c>
      <c r="B6" s="2007"/>
      <c r="C6" s="2007" t="str">
        <f>'5.Infrastructure Annex'!C7</f>
        <v>Infrastructure</v>
      </c>
      <c r="D6" s="785"/>
      <c r="E6" s="785"/>
      <c r="F6" s="1994"/>
      <c r="G6" s="1994"/>
      <c r="H6" s="1995"/>
      <c r="I6" s="1994"/>
      <c r="J6" s="547"/>
      <c r="K6" s="2173"/>
      <c r="L6" s="2173"/>
      <c r="M6" s="208"/>
      <c r="N6" s="1997"/>
      <c r="O6" s="1957">
        <f>O7</f>
        <v>0</v>
      </c>
      <c r="P6" s="1953"/>
      <c r="Q6" s="1953"/>
      <c r="R6" s="1957">
        <f>R7</f>
        <v>0</v>
      </c>
    </row>
    <row r="7" spans="1:18" ht="30">
      <c r="A7" s="1958" t="str">
        <f>'5.Infrastructure Annex'!A88</f>
        <v>5.3.8</v>
      </c>
      <c r="B7" s="1958" t="str">
        <f>'5.Infrastructure Annex'!B88</f>
        <v>B.28.1</v>
      </c>
      <c r="C7" s="88" t="str">
        <f>'5.Infrastructure Annex'!C88</f>
        <v>Assistance to State for Capacity building (Burns &amp; injury): Civil Work</v>
      </c>
      <c r="D7" s="88" t="str">
        <f>'5.Infrastructure Annex'!D88</f>
        <v>NCD</v>
      </c>
      <c r="E7" s="88" t="str">
        <f>'5.Infrastructure Annex'!E88</f>
        <v>NPPMBI</v>
      </c>
      <c r="F7" s="88">
        <f>'5.Infrastructure Annex'!F88</f>
        <v>0</v>
      </c>
      <c r="G7" s="88">
        <f>'5.Infrastructure Annex'!G88</f>
        <v>0</v>
      </c>
      <c r="H7" s="88">
        <f>'5.Infrastructure Annex'!H88</f>
        <v>0</v>
      </c>
      <c r="I7" s="88">
        <f>'5.Infrastructure Annex'!I88</f>
        <v>0</v>
      </c>
      <c r="J7" s="88">
        <f>'5.Infrastructure Annex'!J88</f>
        <v>0</v>
      </c>
      <c r="K7" s="88">
        <f>'5.Infrastructure Annex'!K88</f>
        <v>0</v>
      </c>
      <c r="L7" s="88">
        <f>'5.Infrastructure Annex'!L88</f>
        <v>0</v>
      </c>
      <c r="M7" s="690">
        <f>'5.Infrastructure Annex'!M88</f>
        <v>0</v>
      </c>
      <c r="N7" s="88">
        <f>'5.Infrastructure Annex'!N88</f>
        <v>0</v>
      </c>
      <c r="O7" s="690">
        <f>'5.Infrastructure Annex'!O88</f>
        <v>0</v>
      </c>
      <c r="P7" s="88">
        <f>'5.Infrastructure Annex'!P88</f>
        <v>0</v>
      </c>
      <c r="Q7" s="55"/>
      <c r="R7" s="1966"/>
    </row>
    <row r="8" spans="1:18">
      <c r="A8" s="2007">
        <f>'6.Procurement Annex'!A7</f>
        <v>6</v>
      </c>
      <c r="B8" s="2007"/>
      <c r="C8" s="2007" t="str">
        <f>'6.Procurement Annex'!C7</f>
        <v>Procurement</v>
      </c>
      <c r="D8" s="785"/>
      <c r="E8" s="785"/>
      <c r="F8" s="1994"/>
      <c r="G8" s="1994"/>
      <c r="H8" s="1995"/>
      <c r="I8" s="1994"/>
      <c r="J8" s="547"/>
      <c r="K8" s="2173"/>
      <c r="L8" s="2173"/>
      <c r="M8" s="208"/>
      <c r="N8" s="1997"/>
      <c r="O8" s="1957">
        <f>SUM(O9:O10)</f>
        <v>0</v>
      </c>
      <c r="P8" s="1953"/>
      <c r="Q8" s="1964"/>
      <c r="R8" s="1965">
        <f>SUM(R9:R10)</f>
        <v>0</v>
      </c>
    </row>
    <row r="9" spans="1:18">
      <c r="A9" s="1958" t="str">
        <f>'6.Procurement Annex'!A45</f>
        <v>6.1.5.10</v>
      </c>
      <c r="B9" s="1958" t="str">
        <f>'6-A. Proc. Sub-Annex'!B133</f>
        <v>B.28.2</v>
      </c>
      <c r="C9" s="1958" t="str">
        <f>'6-A. Proc. Sub-Annex'!C133</f>
        <v>Procurement of Equipment</v>
      </c>
      <c r="D9" s="1958" t="str">
        <f>'6-A. Proc. Sub-Annex'!D133</f>
        <v>NCD</v>
      </c>
      <c r="E9" s="1958" t="str">
        <f>'6-A. Proc. Sub-Annex'!E133</f>
        <v>NPPMBI</v>
      </c>
      <c r="F9" s="1958">
        <f>'6-A. Proc. Sub-Annex'!F133</f>
        <v>0</v>
      </c>
      <c r="G9" s="1958">
        <f>'6-A. Proc. Sub-Annex'!G133</f>
        <v>0</v>
      </c>
      <c r="H9" s="1958">
        <f>'6-A. Proc. Sub-Annex'!H133</f>
        <v>0</v>
      </c>
      <c r="I9" s="1958">
        <f>'6-A. Proc. Sub-Annex'!I133</f>
        <v>0</v>
      </c>
      <c r="J9" s="1958">
        <f>'6-A. Proc. Sub-Annex'!J133</f>
        <v>0</v>
      </c>
      <c r="K9" s="1958">
        <f>'6-A. Proc. Sub-Annex'!K133</f>
        <v>0</v>
      </c>
      <c r="L9" s="1958">
        <f>'6-A. Proc. Sub-Annex'!L133</f>
        <v>0</v>
      </c>
      <c r="M9" s="859">
        <f>'6-A. Proc. Sub-Annex'!M133</f>
        <v>0</v>
      </c>
      <c r="N9" s="1958">
        <f>'6-A. Proc. Sub-Annex'!N133</f>
        <v>0</v>
      </c>
      <c r="O9" s="859">
        <f>'6-A. Proc. Sub-Annex'!O133</f>
        <v>0</v>
      </c>
      <c r="P9" s="1958">
        <f>'6-A. Proc. Sub-Annex'!P133</f>
        <v>0</v>
      </c>
      <c r="Q9" s="55"/>
      <c r="R9" s="1966"/>
    </row>
    <row r="10" spans="1:18">
      <c r="A10" s="1958"/>
      <c r="B10" s="1958">
        <f>'6-A. Proc. Sub-Annex'!B134</f>
        <v>0</v>
      </c>
      <c r="C10" s="1958" t="str">
        <f>'6-A. Proc. Sub-Annex'!C134</f>
        <v>Any other equipment (please specify)</v>
      </c>
      <c r="D10" s="1958" t="str">
        <f>'6-A. Proc. Sub-Annex'!D134</f>
        <v>NCD</v>
      </c>
      <c r="E10" s="1958" t="str">
        <f>'6-A. Proc. Sub-Annex'!E134</f>
        <v>NPPMBI</v>
      </c>
      <c r="F10" s="1958">
        <f>'6-A. Proc. Sub-Annex'!F134</f>
        <v>0</v>
      </c>
      <c r="G10" s="1958">
        <f>'6-A. Proc. Sub-Annex'!G134</f>
        <v>0</v>
      </c>
      <c r="H10" s="1958">
        <f>'6-A. Proc. Sub-Annex'!H134</f>
        <v>0</v>
      </c>
      <c r="I10" s="1958">
        <f>'6-A. Proc. Sub-Annex'!I134</f>
        <v>0</v>
      </c>
      <c r="J10" s="1958">
        <f>'6-A. Proc. Sub-Annex'!J134</f>
        <v>0</v>
      </c>
      <c r="K10" s="1958">
        <f>'6-A. Proc. Sub-Annex'!K134</f>
        <v>0</v>
      </c>
      <c r="L10" s="1958">
        <f>'6-A. Proc. Sub-Annex'!L134</f>
        <v>0</v>
      </c>
      <c r="M10" s="859">
        <f>'6-A. Proc. Sub-Annex'!M134</f>
        <v>0</v>
      </c>
      <c r="N10" s="1958">
        <f>'6-A. Proc. Sub-Annex'!N134</f>
        <v>0</v>
      </c>
      <c r="O10" s="859">
        <f>'6-A. Proc. Sub-Annex'!O134</f>
        <v>0</v>
      </c>
      <c r="P10" s="1958">
        <f>'6-A. Proc. Sub-Annex'!P134</f>
        <v>0</v>
      </c>
      <c r="Q10" s="55"/>
      <c r="R10" s="1966"/>
    </row>
    <row r="11" spans="1:18">
      <c r="A11" s="1973">
        <f>'12.Printing Annex'!A7</f>
        <v>12</v>
      </c>
      <c r="B11" s="1953"/>
      <c r="C11" s="1973" t="str">
        <f>'12.Printing Annex'!C7</f>
        <v>Printing</v>
      </c>
      <c r="D11" s="1951"/>
      <c r="E11" s="1951"/>
      <c r="F11" s="1951"/>
      <c r="G11" s="1951"/>
      <c r="H11" s="1951"/>
      <c r="I11" s="1951"/>
      <c r="J11" s="1951"/>
      <c r="K11" s="1997"/>
      <c r="L11" s="1997"/>
      <c r="M11" s="2174"/>
      <c r="N11" s="1997"/>
      <c r="O11" s="1957">
        <f>O12</f>
        <v>0</v>
      </c>
      <c r="P11" s="1953"/>
      <c r="Q11" s="1964"/>
      <c r="R11" s="1965">
        <f>R12</f>
        <v>0</v>
      </c>
    </row>
    <row r="12" spans="1:18">
      <c r="A12" s="1958" t="str">
        <f>'12.Printing Annex'!A45</f>
        <v>12.4.12</v>
      </c>
      <c r="B12" s="1958">
        <f>'12-A. Print Sub-Annex'!B109</f>
        <v>0</v>
      </c>
      <c r="C12" s="1958" t="str">
        <f>'12-A. Print Sub-Annex'!C109</f>
        <v>Printing activities under Burns and Injuries</v>
      </c>
      <c r="D12" s="1958" t="str">
        <f>'12-A. Print Sub-Annex'!D109</f>
        <v>NCD</v>
      </c>
      <c r="E12" s="1958" t="str">
        <f>'12-A. Print Sub-Annex'!E109</f>
        <v>NPPMBI</v>
      </c>
      <c r="F12" s="1958">
        <f>'12-A. Print Sub-Annex'!F109</f>
        <v>0</v>
      </c>
      <c r="G12" s="1958">
        <f>'12-A. Print Sub-Annex'!G109</f>
        <v>0</v>
      </c>
      <c r="H12" s="1958">
        <f>'12-A. Print Sub-Annex'!H109</f>
        <v>0</v>
      </c>
      <c r="I12" s="1958">
        <f>'12-A. Print Sub-Annex'!I109</f>
        <v>0</v>
      </c>
      <c r="J12" s="1958">
        <f>'12-A. Print Sub-Annex'!J109</f>
        <v>0</v>
      </c>
      <c r="K12" s="1958">
        <f>'12-A. Print Sub-Annex'!K109</f>
        <v>0</v>
      </c>
      <c r="L12" s="1958">
        <f>'12-A. Print Sub-Annex'!L109</f>
        <v>0</v>
      </c>
      <c r="M12" s="859">
        <f>'12-A. Print Sub-Annex'!M109</f>
        <v>0</v>
      </c>
      <c r="N12" s="1958">
        <f>'12-A. Print Sub-Annex'!N109</f>
        <v>0</v>
      </c>
      <c r="O12" s="859">
        <f>'12-A. Print Sub-Annex'!O109</f>
        <v>0</v>
      </c>
      <c r="P12" s="1958">
        <f>'12-A. Print Sub-Annex'!P109</f>
        <v>0</v>
      </c>
      <c r="Q12" s="55"/>
      <c r="R12" s="1966"/>
    </row>
  </sheetData>
  <sheetProtection sheet="1" formatCells="0" formatColumns="0" formatRows="0" autoFilter="0"/>
  <autoFilter ref="A5:M10"/>
  <mergeCells count="9">
    <mergeCell ref="Q4:R4"/>
    <mergeCell ref="E4:E5"/>
    <mergeCell ref="A1:C1"/>
    <mergeCell ref="A4:A5"/>
    <mergeCell ref="B4:B5"/>
    <mergeCell ref="C4:C5"/>
    <mergeCell ref="D4:D5"/>
    <mergeCell ref="F4:J4"/>
    <mergeCell ref="K4:P4"/>
  </mergeCells>
  <pageMargins left="0.7" right="0.7" top="0.75" bottom="0.75" header="0.3" footer="0.3"/>
</worksheet>
</file>

<file path=xl/worksheets/sheet52.xml><?xml version="1.0" encoding="utf-8"?>
<worksheet xmlns="http://schemas.openxmlformats.org/spreadsheetml/2006/main" xmlns:r="http://schemas.openxmlformats.org/officeDocument/2006/relationships">
  <sheetPr codeName="Sheet35">
    <tabColor theme="7" tint="0.79998168889431442"/>
  </sheetPr>
  <dimension ref="A1:R43"/>
  <sheetViews>
    <sheetView zoomScale="60" zoomScaleNormal="60" workbookViewId="0">
      <pane xSplit="3" ySplit="5" topLeftCell="J27" activePane="bottomRight" state="frozen"/>
      <selection activeCell="A4" sqref="A4:R11"/>
      <selection pane="topRight" activeCell="A4" sqref="A4:R11"/>
      <selection pane="bottomLeft" activeCell="A4" sqref="A4:R11"/>
      <selection pane="bottomRight" activeCell="Q46" sqref="Q46"/>
    </sheetView>
  </sheetViews>
  <sheetFormatPr defaultColWidth="10.42578125" defaultRowHeight="15"/>
  <cols>
    <col min="1" max="1" width="10.42578125" style="904"/>
    <col min="2" max="2" width="15.7109375" style="904" bestFit="1" customWidth="1"/>
    <col min="3" max="3" width="40" style="904" customWidth="1"/>
    <col min="4" max="4" width="7.5703125" style="868" bestFit="1" customWidth="1"/>
    <col min="5" max="5" width="14.28515625" style="868" customWidth="1"/>
    <col min="6" max="6" width="22.140625" style="868" bestFit="1" customWidth="1"/>
    <col min="7" max="7" width="16.140625" style="868" bestFit="1" customWidth="1"/>
    <col min="8" max="8" width="17.140625" style="978" bestFit="1" customWidth="1"/>
    <col min="9" max="9" width="22.5703125" style="868" customWidth="1"/>
    <col min="10" max="10" width="13.140625" style="978" customWidth="1"/>
    <col min="11" max="11" width="15.85546875" style="904" customWidth="1"/>
    <col min="12" max="12" width="15.42578125" style="904" customWidth="1"/>
    <col min="13" max="13" width="13.140625" style="978" customWidth="1"/>
    <col min="14" max="14" width="10.42578125" style="860"/>
    <col min="15" max="15" width="10.42578125" style="2885"/>
    <col min="16" max="16" width="44.42578125" style="904" customWidth="1"/>
    <col min="17" max="17" width="45.85546875" style="904" customWidth="1"/>
    <col min="18" max="18" width="10.42578125" style="2885"/>
    <col min="19" max="16384" width="10.42578125" style="860"/>
  </cols>
  <sheetData>
    <row r="1" spans="1:18" s="861" customFormat="1">
      <c r="A1" s="4113" t="s">
        <v>4465</v>
      </c>
      <c r="B1" s="4113"/>
      <c r="C1" s="4113"/>
      <c r="D1" s="1840"/>
      <c r="E1" s="1837"/>
      <c r="F1" s="83" t="s">
        <v>3834</v>
      </c>
      <c r="G1" s="1847"/>
      <c r="H1" s="1847"/>
      <c r="I1" s="1847"/>
      <c r="J1" s="1841"/>
      <c r="K1" s="2021"/>
      <c r="L1" s="2021"/>
      <c r="M1" s="1841"/>
      <c r="O1" s="2881"/>
      <c r="P1" s="2012"/>
      <c r="Q1" s="2012"/>
      <c r="R1" s="2881"/>
    </row>
    <row r="2" spans="1:18" s="861" customFormat="1">
      <c r="A2" s="1842" t="str">
        <f>HYPERLINK("#Index!F3", "Index Pg")</f>
        <v>Index Pg</v>
      </c>
      <c r="B2" s="1847"/>
      <c r="C2" s="864" t="str">
        <f>HYPERLINK("#'Budget Summary I'!A1:AL1", "Budget Summary I")</f>
        <v>Budget Summary I</v>
      </c>
      <c r="D2" s="2019"/>
      <c r="E2" s="1463" t="s">
        <v>4460</v>
      </c>
      <c r="F2" s="161">
        <f>R6+R11+R13+R22+R25+R27+R32+R40+R42+R30</f>
        <v>165.99</v>
      </c>
      <c r="G2" s="1847"/>
      <c r="H2" s="1847"/>
      <c r="I2" s="1847"/>
      <c r="J2" s="1841"/>
      <c r="K2" s="1981"/>
      <c r="L2" s="1981"/>
      <c r="M2" s="1841"/>
      <c r="O2" s="2881"/>
      <c r="P2" s="2012"/>
      <c r="Q2" s="2012"/>
      <c r="R2" s="2881"/>
    </row>
    <row r="3" spans="1:18" s="861" customFormat="1">
      <c r="A3" s="1846"/>
      <c r="B3" s="1847"/>
      <c r="C3" s="1916" t="str">
        <f>HYPERLINK("#'Budget Summary II'!A3:B5", "Budget Summary II")</f>
        <v>Budget Summary II</v>
      </c>
      <c r="D3" s="2019"/>
      <c r="E3" s="2035" t="s">
        <v>4461</v>
      </c>
      <c r="F3" s="786">
        <f>O6+O11+O13+O22+O25+O27+O32+O40+O42+O30</f>
        <v>165.99</v>
      </c>
      <c r="G3" s="1847"/>
      <c r="H3" s="1847"/>
      <c r="I3" s="1847"/>
      <c r="J3" s="1841"/>
      <c r="K3" s="1981"/>
      <c r="M3" s="1841"/>
      <c r="O3" s="2881"/>
      <c r="P3" s="2012"/>
      <c r="Q3" s="2012"/>
      <c r="R3" s="2881"/>
    </row>
    <row r="4" spans="1:18" s="868" customFormat="1">
      <c r="A4" s="3801" t="s">
        <v>48</v>
      </c>
      <c r="B4" s="3801" t="s">
        <v>49</v>
      </c>
      <c r="C4" s="3801" t="s">
        <v>50</v>
      </c>
      <c r="D4" s="3801" t="s">
        <v>51</v>
      </c>
      <c r="E4" s="3801" t="s">
        <v>52</v>
      </c>
      <c r="F4" s="3866" t="s">
        <v>4478</v>
      </c>
      <c r="G4" s="3866"/>
      <c r="H4" s="3866"/>
      <c r="I4" s="3866"/>
      <c r="J4" s="3866"/>
      <c r="K4" s="3866" t="s">
        <v>4484</v>
      </c>
      <c r="L4" s="3866"/>
      <c r="M4" s="3866"/>
      <c r="N4" s="3866"/>
      <c r="O4" s="3866"/>
      <c r="P4" s="3866"/>
      <c r="Q4" s="3801" t="s">
        <v>4514</v>
      </c>
      <c r="R4" s="3801"/>
    </row>
    <row r="5" spans="1:18" s="868" customFormat="1" ht="60">
      <c r="A5" s="3801"/>
      <c r="B5" s="3801"/>
      <c r="C5" s="3801"/>
      <c r="D5" s="3801"/>
      <c r="E5" s="3801"/>
      <c r="F5" s="918" t="s">
        <v>4479</v>
      </c>
      <c r="G5" s="918" t="s">
        <v>4482</v>
      </c>
      <c r="H5" s="918" t="s">
        <v>4480</v>
      </c>
      <c r="I5" s="918" t="s">
        <v>4483</v>
      </c>
      <c r="J5" s="918" t="s">
        <v>2448</v>
      </c>
      <c r="K5" s="919" t="s">
        <v>53</v>
      </c>
      <c r="L5" s="919" t="s">
        <v>54</v>
      </c>
      <c r="M5" s="920" t="s">
        <v>55</v>
      </c>
      <c r="N5" s="919" t="s">
        <v>56</v>
      </c>
      <c r="O5" s="2821" t="s">
        <v>57</v>
      </c>
      <c r="P5" s="919" t="s">
        <v>58</v>
      </c>
      <c r="Q5" s="921" t="s">
        <v>2450</v>
      </c>
      <c r="R5" s="2824" t="s">
        <v>4515</v>
      </c>
    </row>
    <row r="6" spans="1:18">
      <c r="A6" s="2007">
        <f>'2.SD Community Based Annex'!A7</f>
        <v>2</v>
      </c>
      <c r="B6" s="2007"/>
      <c r="C6" s="2007" t="str">
        <f>'2.SD Community Based Annex'!C7</f>
        <v>Service Delivery - Community Based</v>
      </c>
      <c r="D6" s="785"/>
      <c r="E6" s="785"/>
      <c r="F6" s="1994"/>
      <c r="G6" s="1994"/>
      <c r="H6" s="1995"/>
      <c r="I6" s="1994"/>
      <c r="J6" s="547"/>
      <c r="K6" s="1996"/>
      <c r="L6" s="1996"/>
      <c r="M6" s="547"/>
      <c r="N6" s="2089"/>
      <c r="O6" s="2882">
        <f>SUM(O7:O10)</f>
        <v>45.99</v>
      </c>
      <c r="P6" s="2091"/>
      <c r="Q6" s="2091"/>
      <c r="R6" s="2882">
        <f>SUM(R7:R10)</f>
        <v>45.99</v>
      </c>
    </row>
    <row r="7" spans="1:18">
      <c r="A7" s="88" t="str">
        <f>'2.SD Community Based Annex'!A17</f>
        <v>2.1.3.2</v>
      </c>
      <c r="B7" s="88" t="str">
        <f>'2.SD Community Based Annex'!B17</f>
        <v>I.2.8</v>
      </c>
      <c r="C7" s="88" t="str">
        <f>'2.SD Community Based Annex'!C17</f>
        <v xml:space="preserve">Grant in aid for Mobile Ophthalmic Units </v>
      </c>
      <c r="D7" s="1975" t="str">
        <f>'2.SD Community Based Annex'!D17</f>
        <v>NCD</v>
      </c>
      <c r="E7" s="1975" t="str">
        <f>'2.SD Community Based Annex'!E17</f>
        <v>NPCB</v>
      </c>
      <c r="F7" s="1975">
        <f>'2.SD Community Based Annex'!F17</f>
        <v>0</v>
      </c>
      <c r="G7" s="1975">
        <f>'2.SD Community Based Annex'!G17</f>
        <v>0</v>
      </c>
      <c r="H7" s="1975">
        <f>'2.SD Community Based Annex'!H17</f>
        <v>0</v>
      </c>
      <c r="I7" s="1975">
        <f>'2.SD Community Based Annex'!I17</f>
        <v>0</v>
      </c>
      <c r="J7" s="1975">
        <f>'2.SD Community Based Annex'!J17</f>
        <v>0</v>
      </c>
      <c r="K7" s="1975">
        <f>'2.SD Community Based Annex'!K17</f>
        <v>0</v>
      </c>
      <c r="L7" s="1975">
        <f>'2.SD Community Based Annex'!L17</f>
        <v>0</v>
      </c>
      <c r="M7" s="162">
        <f>'2.SD Community Based Annex'!M17</f>
        <v>0</v>
      </c>
      <c r="N7" s="1975">
        <f>'2.SD Community Based Annex'!N17</f>
        <v>0</v>
      </c>
      <c r="O7" s="2822">
        <f>'2.SD Community Based Annex'!O17</f>
        <v>0</v>
      </c>
      <c r="P7" s="88">
        <f>'2.SD Community Based Annex'!P17</f>
        <v>0</v>
      </c>
      <c r="Q7" s="54"/>
      <c r="R7" s="2815"/>
    </row>
    <row r="8" spans="1:18" ht="75">
      <c r="A8" s="431" t="str">
        <f>'2.SD Community Based Annex'!A50</f>
        <v>2.3.2.4</v>
      </c>
      <c r="B8" s="431" t="str">
        <f>'2.SD Community Based Annex'!B50</f>
        <v>I.1.5</v>
      </c>
      <c r="C8" s="431" t="str">
        <f>'2.SD Community Based Annex'!C50</f>
        <v>Recurring grant for collection of eye balls by eye banks and eye donation centres</v>
      </c>
      <c r="D8" s="1177" t="str">
        <f>'2.SD Community Based Annex'!D50</f>
        <v>NCD</v>
      </c>
      <c r="E8" s="1177" t="str">
        <f>'2.SD Community Based Annex'!E50</f>
        <v>NPCB</v>
      </c>
      <c r="F8" s="1177">
        <f>'2.SD Community Based Annex'!F50</f>
        <v>2</v>
      </c>
      <c r="G8" s="1177">
        <f>'2.SD Community Based Annex'!G50</f>
        <v>2</v>
      </c>
      <c r="H8" s="1177">
        <f>'2.SD Community Based Annex'!H50</f>
        <v>4</v>
      </c>
      <c r="I8" s="1177">
        <f>'2.SD Community Based Annex'!I50</f>
        <v>0</v>
      </c>
      <c r="J8" s="1177">
        <f>'2.SD Community Based Annex'!J50</f>
        <v>4</v>
      </c>
      <c r="K8" s="1177">
        <f>'2.SD Community Based Annex'!K50</f>
        <v>0</v>
      </c>
      <c r="L8" s="1177">
        <f>'2.SD Community Based Annex'!L50</f>
        <v>133000</v>
      </c>
      <c r="M8" s="162">
        <f>'2.SD Community Based Annex'!M50</f>
        <v>1.33</v>
      </c>
      <c r="N8" s="1177">
        <f>'2.SD Community Based Annex'!N50</f>
        <v>3</v>
      </c>
      <c r="O8" s="2822">
        <f>'2.SD Community Based Annex'!O50</f>
        <v>3.99</v>
      </c>
      <c r="P8" s="431" t="str">
        <f>'2.SD Community Based Annex'!P50</f>
        <v>IGMC:2 Lac, RPGMC: 0.99 lac,SLBSGMC,Mandi:1 lac</v>
      </c>
      <c r="Q8" s="2827" t="s">
        <v>5919</v>
      </c>
      <c r="R8" s="2815">
        <v>3.99</v>
      </c>
    </row>
    <row r="9" spans="1:18" ht="135">
      <c r="A9" s="88" t="str">
        <f>'2.SD Community Based Annex'!A57</f>
        <v>2.3.3.2</v>
      </c>
      <c r="B9" s="88" t="str">
        <f>'2.SD Community Based Annex'!B57</f>
        <v>I.1.3</v>
      </c>
      <c r="C9" s="88" t="str">
        <f>'2.SD Community Based Annex'!C57</f>
        <v>Screening and free spectacles to school children</v>
      </c>
      <c r="D9" s="1975" t="str">
        <f>'2.SD Community Based Annex'!D57</f>
        <v>NCD</v>
      </c>
      <c r="E9" s="1975" t="str">
        <f>'2.SD Community Based Annex'!E57</f>
        <v>NPCB</v>
      </c>
      <c r="F9" s="1975">
        <f>'2.SD Community Based Annex'!F57</f>
        <v>5000</v>
      </c>
      <c r="G9" s="1975">
        <f>'2.SD Community Based Annex'!G57</f>
        <v>20</v>
      </c>
      <c r="H9" s="1975">
        <f>'2.SD Community Based Annex'!H57</f>
        <v>17.5</v>
      </c>
      <c r="I9" s="1975">
        <f>'2.SD Community Based Annex'!I57</f>
        <v>0.26</v>
      </c>
      <c r="J9" s="1975">
        <f>'2.SD Community Based Annex'!J57</f>
        <v>17.239999999999998</v>
      </c>
      <c r="K9" s="1975">
        <f>'2.SD Community Based Annex'!K57</f>
        <v>0</v>
      </c>
      <c r="L9" s="1975">
        <f>'2.SD Community Based Annex'!L57</f>
        <v>350</v>
      </c>
      <c r="M9" s="162">
        <f>'2.SD Community Based Annex'!M57</f>
        <v>3.5000000000000001E-3</v>
      </c>
      <c r="N9" s="1975">
        <f>'2.SD Community Based Annex'!N57</f>
        <v>10000</v>
      </c>
      <c r="O9" s="2822">
        <f>'2.SD Community Based Annex'!O57</f>
        <v>35</v>
      </c>
      <c r="P9" s="88" t="str">
        <f>'2.SD Community Based Annex'!P57</f>
        <v>Under "Mission Drishti" the screening of students from class 6th-10th will be conducted .The total number of children  to be screened are 2.86 lacs. It is anivsaged that approx. 28000 children will require spectacles, however the state is proposing funds for 10000 children initially and on achievement of this target rest of the funds would be proposed in the supplementary PIP.</v>
      </c>
      <c r="Q9" s="2828" t="s">
        <v>5755</v>
      </c>
      <c r="R9" s="2815">
        <v>35</v>
      </c>
    </row>
    <row r="10" spans="1:18" ht="30">
      <c r="A10" s="88" t="str">
        <f>'2.SD Community Based Annex'!A58</f>
        <v>2.3.3.3</v>
      </c>
      <c r="B10" s="88" t="str">
        <f>'2.SD Community Based Annex'!B58</f>
        <v>I.1.4</v>
      </c>
      <c r="C10" s="88" t="str">
        <f>'2.SD Community Based Annex'!C58</f>
        <v>Screening and free spectacles for near work to Old Person</v>
      </c>
      <c r="D10" s="1975" t="str">
        <f>'2.SD Community Based Annex'!D58</f>
        <v>NCD</v>
      </c>
      <c r="E10" s="1975" t="str">
        <f>'2.SD Community Based Annex'!E58</f>
        <v>NPCB</v>
      </c>
      <c r="F10" s="1975">
        <f>'2.SD Community Based Annex'!F58</f>
        <v>2000</v>
      </c>
      <c r="G10" s="1975">
        <f>'2.SD Community Based Annex'!G58</f>
        <v>11</v>
      </c>
      <c r="H10" s="1975">
        <f>'2.SD Community Based Annex'!H58</f>
        <v>3</v>
      </c>
      <c r="I10" s="1975">
        <f>'2.SD Community Based Annex'!I58</f>
        <v>0</v>
      </c>
      <c r="J10" s="1975">
        <f>'2.SD Community Based Annex'!J58</f>
        <v>3</v>
      </c>
      <c r="K10" s="1975">
        <f>'2.SD Community Based Annex'!K58</f>
        <v>0</v>
      </c>
      <c r="L10" s="1975">
        <f>'2.SD Community Based Annex'!L58</f>
        <v>350</v>
      </c>
      <c r="M10" s="162">
        <f>'2.SD Community Based Annex'!M58</f>
        <v>3.5000000000000001E-3</v>
      </c>
      <c r="N10" s="1975">
        <f>'2.SD Community Based Annex'!N58</f>
        <v>2000</v>
      </c>
      <c r="O10" s="2822">
        <f>'2.SD Community Based Annex'!O58</f>
        <v>7</v>
      </c>
      <c r="P10" s="88">
        <f>'2.SD Community Based Annex'!P58</f>
        <v>0</v>
      </c>
      <c r="Q10" s="2828" t="s">
        <v>5723</v>
      </c>
      <c r="R10" s="2815">
        <v>7</v>
      </c>
    </row>
    <row r="11" spans="1:18">
      <c r="A11" s="2007">
        <f>'5.Infrastructure Annex'!A7</f>
        <v>5</v>
      </c>
      <c r="B11" s="2007"/>
      <c r="C11" s="2007" t="str">
        <f>'5.Infrastructure Annex'!C7</f>
        <v>Infrastructure</v>
      </c>
      <c r="D11" s="785"/>
      <c r="E11" s="785"/>
      <c r="F11" s="785"/>
      <c r="G11" s="785"/>
      <c r="H11" s="547"/>
      <c r="I11" s="785"/>
      <c r="J11" s="547"/>
      <c r="K11" s="2007"/>
      <c r="L11" s="2007"/>
      <c r="M11" s="547"/>
      <c r="N11" s="2089"/>
      <c r="O11" s="2882">
        <f>O12</f>
        <v>0</v>
      </c>
      <c r="P11" s="2091"/>
      <c r="Q11" s="2092"/>
      <c r="R11" s="2883">
        <f>R12</f>
        <v>0</v>
      </c>
    </row>
    <row r="12" spans="1:18" ht="45">
      <c r="A12" s="88" t="str">
        <f>'5.Infrastructure Annex'!A18</f>
        <v>5.1.1.1.8</v>
      </c>
      <c r="B12" s="88" t="str">
        <f>'5.Infrastructure Annex'!B18</f>
        <v>I.2.7</v>
      </c>
      <c r="C12" s="88" t="str">
        <f>'5.Infrastructure Annex'!C18</f>
        <v>Grant-in-aid for construction of Eye Wards and Eye OTS (renamed as  dedicated eye unit)</v>
      </c>
      <c r="D12" s="1975" t="str">
        <f>'5.Infrastructure Annex'!D18</f>
        <v>NCD</v>
      </c>
      <c r="E12" s="1975" t="str">
        <f>'5.Infrastructure Annex'!E18</f>
        <v>NPCB</v>
      </c>
      <c r="F12" s="1975">
        <f>'5.Infrastructure Annex'!F18</f>
        <v>0</v>
      </c>
      <c r="G12" s="1975">
        <f>'5.Infrastructure Annex'!G18</f>
        <v>0</v>
      </c>
      <c r="H12" s="1975">
        <f>'5.Infrastructure Annex'!H18</f>
        <v>0</v>
      </c>
      <c r="I12" s="1975">
        <f>'5.Infrastructure Annex'!I18</f>
        <v>0</v>
      </c>
      <c r="J12" s="1975">
        <f>'5.Infrastructure Annex'!J18</f>
        <v>0</v>
      </c>
      <c r="K12" s="1975">
        <f>'5.Infrastructure Annex'!K18</f>
        <v>0</v>
      </c>
      <c r="L12" s="1975">
        <f>'5.Infrastructure Annex'!L18</f>
        <v>0</v>
      </c>
      <c r="M12" s="162">
        <f>'5.Infrastructure Annex'!M18</f>
        <v>0</v>
      </c>
      <c r="N12" s="1975">
        <f>'5.Infrastructure Annex'!N18</f>
        <v>0</v>
      </c>
      <c r="O12" s="2822">
        <f>'5.Infrastructure Annex'!O18</f>
        <v>0</v>
      </c>
      <c r="P12" s="88">
        <f>'5.Infrastructure Annex'!P18</f>
        <v>0</v>
      </c>
      <c r="Q12" s="54"/>
      <c r="R12" s="2815"/>
    </row>
    <row r="13" spans="1:18">
      <c r="A13" s="2007">
        <f>'6.Procurement Annex'!A7</f>
        <v>6</v>
      </c>
      <c r="B13" s="2007"/>
      <c r="C13" s="2007" t="str">
        <f>'6.Procurement Annex'!C7</f>
        <v>Procurement</v>
      </c>
      <c r="D13" s="785"/>
      <c r="E13" s="785"/>
      <c r="F13" s="1994"/>
      <c r="G13" s="1994"/>
      <c r="H13" s="1995"/>
      <c r="I13" s="1994"/>
      <c r="J13" s="547"/>
      <c r="K13" s="1996"/>
      <c r="L13" s="1996"/>
      <c r="M13" s="547"/>
      <c r="N13" s="2089"/>
      <c r="O13" s="2882">
        <f>SUM(O14:O21)</f>
        <v>30</v>
      </c>
      <c r="P13" s="2091"/>
      <c r="Q13" s="2092"/>
      <c r="R13" s="2883">
        <f>SUM(R14:R21)</f>
        <v>30</v>
      </c>
    </row>
    <row r="14" spans="1:18">
      <c r="A14" s="4095" t="str">
        <f>'6.Procurement Annex'!A36</f>
        <v>6.1.5.1</v>
      </c>
      <c r="B14" s="88" t="str">
        <f>'6-A. Proc. Sub-Annex'!B94</f>
        <v>I.2.1.</v>
      </c>
      <c r="C14" s="88" t="str">
        <f>'6-A. Proc. Sub-Annex'!C94</f>
        <v>Grant-in-aid for District Hospitals</v>
      </c>
      <c r="D14" s="1975" t="str">
        <f>'6-A. Proc. Sub-Annex'!D94</f>
        <v>NCD</v>
      </c>
      <c r="E14" s="1975" t="str">
        <f>'6-A. Proc. Sub-Annex'!E94</f>
        <v>NPCB</v>
      </c>
      <c r="F14" s="1975">
        <f>'6-A. Proc. Sub-Annex'!F94</f>
        <v>5</v>
      </c>
      <c r="G14" s="1975">
        <f>'6-A. Proc. Sub-Annex'!G94</f>
        <v>0</v>
      </c>
      <c r="H14" s="1975">
        <f>'6-A. Proc. Sub-Annex'!H94</f>
        <v>70.2</v>
      </c>
      <c r="I14" s="1975">
        <f>'6-A. Proc. Sub-Annex'!I94</f>
        <v>6.47</v>
      </c>
      <c r="J14" s="1975">
        <f>'6-A. Proc. Sub-Annex'!J94</f>
        <v>63.73</v>
      </c>
      <c r="K14" s="1975">
        <f>'6-A. Proc. Sub-Annex'!K94</f>
        <v>0</v>
      </c>
      <c r="L14" s="1975">
        <f>'6-A. Proc. Sub-Annex'!L94</f>
        <v>0</v>
      </c>
      <c r="M14" s="162">
        <f>'6-A. Proc. Sub-Annex'!M94</f>
        <v>0</v>
      </c>
      <c r="N14" s="1975">
        <f>'6-A. Proc. Sub-Annex'!N94</f>
        <v>0</v>
      </c>
      <c r="O14" s="2822">
        <f>'6-A. Proc. Sub-Annex'!O94</f>
        <v>0</v>
      </c>
      <c r="P14" s="88">
        <f>'6-A. Proc. Sub-Annex'!P94</f>
        <v>0</v>
      </c>
      <c r="Q14" s="54"/>
      <c r="R14" s="2815"/>
    </row>
    <row r="15" spans="1:18">
      <c r="A15" s="4095"/>
      <c r="B15" s="88" t="str">
        <f>'6-A. Proc. Sub-Annex'!B95</f>
        <v>I.2.2.</v>
      </c>
      <c r="C15" s="88" t="str">
        <f>'6-A. Proc. Sub-Annex'!C95</f>
        <v>Grant-in-aid for Sub Divisional Hospitals</v>
      </c>
      <c r="D15" s="1975" t="str">
        <f>'6-A. Proc. Sub-Annex'!D95</f>
        <v>NCD</v>
      </c>
      <c r="E15" s="1975" t="str">
        <f>'6-A. Proc. Sub-Annex'!E95</f>
        <v>NPCB</v>
      </c>
      <c r="F15" s="1975">
        <f>'6-A. Proc. Sub-Annex'!F95</f>
        <v>2</v>
      </c>
      <c r="G15" s="1975">
        <f>'6-A. Proc. Sub-Annex'!G95</f>
        <v>0</v>
      </c>
      <c r="H15" s="1975">
        <f>'6-A. Proc. Sub-Annex'!H95</f>
        <v>80.900000000000006</v>
      </c>
      <c r="I15" s="1975">
        <f>'6-A. Proc. Sub-Annex'!I95</f>
        <v>0</v>
      </c>
      <c r="J15" s="1975">
        <f>'6-A. Proc. Sub-Annex'!J95</f>
        <v>80.900000000000006</v>
      </c>
      <c r="K15" s="1975">
        <f>'6-A. Proc. Sub-Annex'!K95</f>
        <v>0</v>
      </c>
      <c r="L15" s="1975">
        <f>'6-A. Proc. Sub-Annex'!L95</f>
        <v>0</v>
      </c>
      <c r="M15" s="162">
        <f>'6-A. Proc. Sub-Annex'!M95</f>
        <v>0</v>
      </c>
      <c r="N15" s="1975">
        <f>'6-A. Proc. Sub-Annex'!N95</f>
        <v>0</v>
      </c>
      <c r="O15" s="2822">
        <f>'6-A. Proc. Sub-Annex'!O95</f>
        <v>0</v>
      </c>
      <c r="P15" s="88">
        <f>'6-A. Proc. Sub-Annex'!P95</f>
        <v>0</v>
      </c>
      <c r="Q15" s="54"/>
      <c r="R15" s="2815"/>
    </row>
    <row r="16" spans="1:18" ht="30">
      <c r="A16" s="4095"/>
      <c r="B16" s="88" t="str">
        <f>'6-A. Proc. Sub-Annex'!B96</f>
        <v>I.2.3</v>
      </c>
      <c r="C16" s="88" t="str">
        <f>'6-A. Proc. Sub-Annex'!C96</f>
        <v xml:space="preserve">Grant-in-aid for Vision Centre (PHC) (Govt.) </v>
      </c>
      <c r="D16" s="1975" t="str">
        <f>'6-A. Proc. Sub-Annex'!D96</f>
        <v>NCD</v>
      </c>
      <c r="E16" s="1975" t="str">
        <f>'6-A. Proc. Sub-Annex'!E96</f>
        <v>NPCB</v>
      </c>
      <c r="F16" s="1975">
        <f>'6-A. Proc. Sub-Annex'!F96</f>
        <v>0</v>
      </c>
      <c r="G16" s="1975">
        <f>'6-A. Proc. Sub-Annex'!G96</f>
        <v>0</v>
      </c>
      <c r="H16" s="1975">
        <f>'6-A. Proc. Sub-Annex'!H96</f>
        <v>0</v>
      </c>
      <c r="I16" s="1975">
        <f>'6-A. Proc. Sub-Annex'!I96</f>
        <v>0</v>
      </c>
      <c r="J16" s="1975">
        <f>'6-A. Proc. Sub-Annex'!J96</f>
        <v>0</v>
      </c>
      <c r="K16" s="1975">
        <f>'6-A. Proc. Sub-Annex'!K96</f>
        <v>0</v>
      </c>
      <c r="L16" s="1975">
        <f>'6-A. Proc. Sub-Annex'!L96</f>
        <v>0</v>
      </c>
      <c r="M16" s="162">
        <f>'6-A. Proc. Sub-Annex'!M96</f>
        <v>0</v>
      </c>
      <c r="N16" s="1975">
        <f>'6-A. Proc. Sub-Annex'!N96</f>
        <v>0</v>
      </c>
      <c r="O16" s="2822">
        <f>'6-A. Proc. Sub-Annex'!O96</f>
        <v>0</v>
      </c>
      <c r="P16" s="88">
        <f>'6-A. Proc. Sub-Annex'!P96</f>
        <v>0</v>
      </c>
      <c r="Q16" s="54"/>
      <c r="R16" s="2815"/>
    </row>
    <row r="17" spans="1:18">
      <c r="A17" s="4095"/>
      <c r="B17" s="88" t="str">
        <f>'6-A. Proc. Sub-Annex'!B97</f>
        <v>I.2.4</v>
      </c>
      <c r="C17" s="88" t="str">
        <f>'6-A. Proc. Sub-Annex'!C97</f>
        <v>Grant-in-aid for Eye Bank (Govt.)</v>
      </c>
      <c r="D17" s="1975" t="str">
        <f>'6-A. Proc. Sub-Annex'!D97</f>
        <v>NCD</v>
      </c>
      <c r="E17" s="1975" t="str">
        <f>'6-A. Proc. Sub-Annex'!E97</f>
        <v>NPCB</v>
      </c>
      <c r="F17" s="1975">
        <f>'6-A. Proc. Sub-Annex'!F97</f>
        <v>1</v>
      </c>
      <c r="G17" s="1975">
        <f>'6-A. Proc. Sub-Annex'!G97</f>
        <v>0</v>
      </c>
      <c r="H17" s="1975">
        <f>'6-A. Proc. Sub-Annex'!H97</f>
        <v>40</v>
      </c>
      <c r="I17" s="1975">
        <f>'6-A. Proc. Sub-Annex'!I97</f>
        <v>0</v>
      </c>
      <c r="J17" s="1975">
        <f>'6-A. Proc. Sub-Annex'!J97</f>
        <v>40</v>
      </c>
      <c r="K17" s="1975">
        <f>'6-A. Proc. Sub-Annex'!K97</f>
        <v>0</v>
      </c>
      <c r="L17" s="1975">
        <f>'6-A. Proc. Sub-Annex'!L97</f>
        <v>0</v>
      </c>
      <c r="M17" s="162">
        <f>'6-A. Proc. Sub-Annex'!M97</f>
        <v>0</v>
      </c>
      <c r="N17" s="1975">
        <f>'6-A. Proc. Sub-Annex'!N97</f>
        <v>0</v>
      </c>
      <c r="O17" s="2822">
        <f>'6-A. Proc. Sub-Annex'!O97</f>
        <v>0</v>
      </c>
      <c r="P17" s="88">
        <f>'6-A. Proc. Sub-Annex'!P97</f>
        <v>0</v>
      </c>
      <c r="Q17" s="54"/>
      <c r="R17" s="2815"/>
    </row>
    <row r="18" spans="1:18" ht="30">
      <c r="A18" s="4095"/>
      <c r="B18" s="88" t="str">
        <f>'6-A. Proc. Sub-Annex'!B98</f>
        <v>I.2.5</v>
      </c>
      <c r="C18" s="88" t="str">
        <f>'6-A. Proc. Sub-Annex'!C98</f>
        <v>Grant-in-aid for Eye Donation Centre (Govt.)</v>
      </c>
      <c r="D18" s="1975" t="str">
        <f>'6-A. Proc. Sub-Annex'!D98</f>
        <v>NCD</v>
      </c>
      <c r="E18" s="1975" t="str">
        <f>'6-A. Proc. Sub-Annex'!E98</f>
        <v>NPCB</v>
      </c>
      <c r="F18" s="1975">
        <f>'6-A. Proc. Sub-Annex'!F98</f>
        <v>0</v>
      </c>
      <c r="G18" s="1975">
        <f>'6-A. Proc. Sub-Annex'!G98</f>
        <v>0</v>
      </c>
      <c r="H18" s="1975">
        <f>'6-A. Proc. Sub-Annex'!H98</f>
        <v>0</v>
      </c>
      <c r="I18" s="1975">
        <f>'6-A. Proc. Sub-Annex'!I98</f>
        <v>0</v>
      </c>
      <c r="J18" s="1975">
        <f>'6-A. Proc. Sub-Annex'!J98</f>
        <v>0</v>
      </c>
      <c r="K18" s="1975">
        <f>'6-A. Proc. Sub-Annex'!K98</f>
        <v>0</v>
      </c>
      <c r="L18" s="1975">
        <f>'6-A. Proc. Sub-Annex'!L98</f>
        <v>0</v>
      </c>
      <c r="M18" s="162">
        <f>'6-A. Proc. Sub-Annex'!M98</f>
        <v>0</v>
      </c>
      <c r="N18" s="1975">
        <f>'6-A. Proc. Sub-Annex'!N98</f>
        <v>0</v>
      </c>
      <c r="O18" s="2822">
        <f>'6-A. Proc. Sub-Annex'!O98</f>
        <v>0</v>
      </c>
      <c r="P18" s="88">
        <f>'6-A. Proc. Sub-Annex'!P98</f>
        <v>0</v>
      </c>
      <c r="Q18" s="54"/>
      <c r="R18" s="2815"/>
    </row>
    <row r="19" spans="1:18">
      <c r="A19" s="88" t="str">
        <f>'6.Procurement Annex'!A51</f>
        <v>6.1.6.5</v>
      </c>
      <c r="B19" s="88" t="str">
        <f>'6-A. Proc. Sub-Annex'!B141</f>
        <v>I.1.8</v>
      </c>
      <c r="C19" s="88" t="str">
        <f>'6-A. Proc. Sub-Annex'!C141</f>
        <v>Maintenance of Ophthalmic Equipment</v>
      </c>
      <c r="D19" s="1975" t="str">
        <f>'6-A. Proc. Sub-Annex'!D141</f>
        <v>NCD</v>
      </c>
      <c r="E19" s="1975" t="str">
        <f>'6-A. Proc. Sub-Annex'!E141</f>
        <v>NPCB</v>
      </c>
      <c r="F19" s="1975">
        <f>'6-A. Proc. Sub-Annex'!F141</f>
        <v>0</v>
      </c>
      <c r="G19" s="1975">
        <f>'6-A. Proc. Sub-Annex'!G141</f>
        <v>0</v>
      </c>
      <c r="H19" s="1975">
        <f>'6-A. Proc. Sub-Annex'!H141</f>
        <v>0</v>
      </c>
      <c r="I19" s="1975">
        <f>'6-A. Proc. Sub-Annex'!I141</f>
        <v>0</v>
      </c>
      <c r="J19" s="1975">
        <f>'6-A. Proc. Sub-Annex'!J141</f>
        <v>0</v>
      </c>
      <c r="K19" s="1975">
        <f>'6-A. Proc. Sub-Annex'!K141</f>
        <v>0</v>
      </c>
      <c r="L19" s="1975">
        <f>'6-A. Proc. Sub-Annex'!L141</f>
        <v>0</v>
      </c>
      <c r="M19" s="162">
        <f>'6-A. Proc. Sub-Annex'!M141</f>
        <v>0</v>
      </c>
      <c r="N19" s="1975">
        <f>'6-A. Proc. Sub-Annex'!N141</f>
        <v>0</v>
      </c>
      <c r="O19" s="2822">
        <f>'6-A. Proc. Sub-Annex'!O141</f>
        <v>0</v>
      </c>
      <c r="P19" s="88">
        <f>'6-A. Proc. Sub-Annex'!P141</f>
        <v>0</v>
      </c>
      <c r="Q19" s="54"/>
      <c r="R19" s="2815"/>
    </row>
    <row r="20" spans="1:18" ht="60">
      <c r="A20" s="4095" t="str">
        <f>'6.Procurement Annex'!A79</f>
        <v>6.2.4.1</v>
      </c>
      <c r="B20" s="88" t="str">
        <f>'6-A. Proc. Sub-Annex'!B251</f>
        <v>B.16.2.11.4.a</v>
      </c>
      <c r="C20" s="88" t="str">
        <f>'6-A. Proc. Sub-Annex'!C251</f>
        <v>Assistance for consumables/drugs/medicines to the Govt./District Hospital for Cat sx etc</v>
      </c>
      <c r="D20" s="1975" t="str">
        <f>'6-A. Proc. Sub-Annex'!D251</f>
        <v>NCD</v>
      </c>
      <c r="E20" s="1975" t="str">
        <f>'6-A. Proc. Sub-Annex'!E251</f>
        <v>NPCB</v>
      </c>
      <c r="F20" s="1975">
        <f>'6-A. Proc. Sub-Annex'!F251</f>
        <v>6000</v>
      </c>
      <c r="G20" s="1975">
        <f>'6-A. Proc. Sub-Annex'!G251</f>
        <v>4.75</v>
      </c>
      <c r="H20" s="1975">
        <f>'6-A. Proc. Sub-Annex'!H251</f>
        <v>60</v>
      </c>
      <c r="I20" s="1975">
        <f>'6-A. Proc. Sub-Annex'!I251</f>
        <v>4.75</v>
      </c>
      <c r="J20" s="1975">
        <f>'6-A. Proc. Sub-Annex'!J251</f>
        <v>55.25</v>
      </c>
      <c r="K20" s="1975">
        <f>'6-A. Proc. Sub-Annex'!K251</f>
        <v>0</v>
      </c>
      <c r="L20" s="1975">
        <f>'6-A. Proc. Sub-Annex'!L251</f>
        <v>1000</v>
      </c>
      <c r="M20" s="162">
        <f>'6-A. Proc. Sub-Annex'!M251</f>
        <v>0.01</v>
      </c>
      <c r="N20" s="1975">
        <f>'6-A. Proc. Sub-Annex'!N251</f>
        <v>3000</v>
      </c>
      <c r="O20" s="2822">
        <f>'6-A. Proc. Sub-Annex'!O251</f>
        <v>30</v>
      </c>
      <c r="P20" s="88" t="str">
        <f>'6-A. Proc. Sub-Annex'!P251</f>
        <v>The expenditure of the cataract surgery done in the Govt. intitution under this head is less utilized because the patients avail the benefit under Ayushman Bharat</v>
      </c>
      <c r="Q20" s="2828" t="s">
        <v>5723</v>
      </c>
      <c r="R20" s="2815">
        <v>30</v>
      </c>
    </row>
    <row r="21" spans="1:18" ht="30">
      <c r="A21" s="4095"/>
      <c r="B21" s="88"/>
      <c r="C21" s="88" t="str">
        <f>'6-A. Proc. Sub-Annex'!C252</f>
        <v>Any other drugs &amp; supplies (please specify)</v>
      </c>
      <c r="D21" s="1975" t="str">
        <f>'6-A. Proc. Sub-Annex'!D252</f>
        <v>NCD</v>
      </c>
      <c r="E21" s="1975" t="str">
        <f>'6-A. Proc. Sub-Annex'!E252</f>
        <v>NPCB</v>
      </c>
      <c r="F21" s="1975">
        <f>'6-A. Proc. Sub-Annex'!F252</f>
        <v>0</v>
      </c>
      <c r="G21" s="1975">
        <f>'6-A. Proc. Sub-Annex'!G252</f>
        <v>0</v>
      </c>
      <c r="H21" s="1975">
        <f>'6-A. Proc. Sub-Annex'!H252</f>
        <v>0</v>
      </c>
      <c r="I21" s="1975">
        <f>'6-A. Proc. Sub-Annex'!I252</f>
        <v>0</v>
      </c>
      <c r="J21" s="1975">
        <f>'6-A. Proc. Sub-Annex'!J252</f>
        <v>0</v>
      </c>
      <c r="K21" s="1975">
        <f>'6-A. Proc. Sub-Annex'!K252</f>
        <v>0</v>
      </c>
      <c r="L21" s="1975">
        <f>'6-A. Proc. Sub-Annex'!L252</f>
        <v>0</v>
      </c>
      <c r="M21" s="162">
        <f>'6-A. Proc. Sub-Annex'!M252</f>
        <v>0</v>
      </c>
      <c r="N21" s="1975">
        <f>'6-A. Proc. Sub-Annex'!N252</f>
        <v>0</v>
      </c>
      <c r="O21" s="2822">
        <f>'6-A. Proc. Sub-Annex'!O252</f>
        <v>0</v>
      </c>
      <c r="P21" s="88">
        <f>'6-A. Proc. Sub-Annex'!P252</f>
        <v>0</v>
      </c>
      <c r="Q21" s="54"/>
      <c r="R21" s="2815"/>
    </row>
    <row r="22" spans="1:18">
      <c r="A22" s="2007">
        <f>'9.Training Annex'!A7</f>
        <v>9</v>
      </c>
      <c r="B22" s="2007"/>
      <c r="C22" s="2007" t="str">
        <f>'9.Training Annex'!C7</f>
        <v>Training and Capacity Building</v>
      </c>
      <c r="D22" s="785"/>
      <c r="E22" s="785"/>
      <c r="F22" s="785"/>
      <c r="G22" s="785"/>
      <c r="H22" s="547"/>
      <c r="I22" s="785"/>
      <c r="J22" s="547"/>
      <c r="K22" s="2007"/>
      <c r="L22" s="2007"/>
      <c r="M22" s="547"/>
      <c r="N22" s="2089"/>
      <c r="O22" s="2882">
        <f>SUM(O23:O24)</f>
        <v>0</v>
      </c>
      <c r="P22" s="2091"/>
      <c r="Q22" s="2092"/>
      <c r="R22" s="2883">
        <f>SUM(R23:R24)</f>
        <v>0</v>
      </c>
    </row>
    <row r="23" spans="1:18">
      <c r="A23" s="4095" t="str">
        <f>'9.Training Annex'!A55</f>
        <v>9.2.4.1</v>
      </c>
      <c r="B23" s="88" t="str">
        <f>'9-A.Training Sub-Annex'!B249</f>
        <v>I.1.6</v>
      </c>
      <c r="C23" s="88" t="str">
        <f>'9-A.Training Sub-Annex'!C249</f>
        <v>Training of PMOA under NPCB</v>
      </c>
      <c r="D23" s="1975" t="str">
        <f>'9-A.Training Sub-Annex'!D249</f>
        <v>NCD</v>
      </c>
      <c r="E23" s="1975" t="str">
        <f>'9-A.Training Sub-Annex'!E249</f>
        <v>NPCB</v>
      </c>
      <c r="F23" s="1975">
        <f>'9-A.Training Sub-Annex'!F249</f>
        <v>0</v>
      </c>
      <c r="G23" s="1975">
        <f>'9-A.Training Sub-Annex'!G249</f>
        <v>0</v>
      </c>
      <c r="H23" s="1975">
        <f>'9-A.Training Sub-Annex'!H249</f>
        <v>0</v>
      </c>
      <c r="I23" s="1975">
        <f>'9-A.Training Sub-Annex'!I249</f>
        <v>0</v>
      </c>
      <c r="J23" s="1975">
        <f>'9-A.Training Sub-Annex'!J249</f>
        <v>0</v>
      </c>
      <c r="K23" s="1975">
        <f>'9-A.Training Sub-Annex'!K249</f>
        <v>0</v>
      </c>
      <c r="L23" s="1975">
        <f>'9-A.Training Sub-Annex'!L249</f>
        <v>0</v>
      </c>
      <c r="M23" s="162">
        <f>'9-A.Training Sub-Annex'!M249</f>
        <v>0</v>
      </c>
      <c r="N23" s="1975">
        <f>'9-A.Training Sub-Annex'!N249</f>
        <v>0</v>
      </c>
      <c r="O23" s="2822">
        <f>'9-A.Training Sub-Annex'!O249</f>
        <v>0</v>
      </c>
      <c r="P23" s="88">
        <f>'9-A.Training Sub-Annex'!P249</f>
        <v>0</v>
      </c>
      <c r="Q23" s="54"/>
      <c r="R23" s="2815"/>
    </row>
    <row r="24" spans="1:18">
      <c r="A24" s="4095"/>
      <c r="B24" s="88"/>
      <c r="C24" s="88" t="str">
        <f>'9-A.Training Sub-Annex'!C250</f>
        <v>Any other (please specify)</v>
      </c>
      <c r="D24" s="1975" t="str">
        <f>'9-A.Training Sub-Annex'!D250</f>
        <v>NCD</v>
      </c>
      <c r="E24" s="1975" t="str">
        <f>'9-A.Training Sub-Annex'!E250</f>
        <v>NPCB</v>
      </c>
      <c r="F24" s="1975">
        <f>'9-A.Training Sub-Annex'!F250</f>
        <v>0</v>
      </c>
      <c r="G24" s="1975">
        <f>'9-A.Training Sub-Annex'!G250</f>
        <v>0</v>
      </c>
      <c r="H24" s="1975">
        <f>'9-A.Training Sub-Annex'!H250</f>
        <v>0</v>
      </c>
      <c r="I24" s="1975">
        <f>'9-A.Training Sub-Annex'!I250</f>
        <v>0</v>
      </c>
      <c r="J24" s="1975">
        <f>'9-A.Training Sub-Annex'!J250</f>
        <v>0</v>
      </c>
      <c r="K24" s="1975">
        <f>'9-A.Training Sub-Annex'!K250</f>
        <v>0</v>
      </c>
      <c r="L24" s="1975">
        <f>'9-A.Training Sub-Annex'!L250</f>
        <v>0</v>
      </c>
      <c r="M24" s="162">
        <f>'9-A.Training Sub-Annex'!M250</f>
        <v>0</v>
      </c>
      <c r="N24" s="1975">
        <f>'9-A.Training Sub-Annex'!N250</f>
        <v>0</v>
      </c>
      <c r="O24" s="2822">
        <f>'9-A.Training Sub-Annex'!O250</f>
        <v>0</v>
      </c>
      <c r="P24" s="88">
        <f>'9-A.Training Sub-Annex'!P250</f>
        <v>0</v>
      </c>
      <c r="Q24" s="54"/>
      <c r="R24" s="2815"/>
    </row>
    <row r="25" spans="1:18" ht="30">
      <c r="A25" s="2007">
        <f>'10.Review Research &amp; Surveillen'!A7</f>
        <v>10</v>
      </c>
      <c r="B25" s="2007">
        <f>'10.Review Research &amp; Surveillen'!B7</f>
        <v>0</v>
      </c>
      <c r="C25" s="2007" t="str">
        <f>'10.Review Research &amp; Surveillen'!C7</f>
        <v>Reviews, Research, Surveys and Surveillance</v>
      </c>
      <c r="D25" s="785"/>
      <c r="E25" s="785"/>
      <c r="F25" s="785"/>
      <c r="G25" s="785"/>
      <c r="H25" s="547"/>
      <c r="I25" s="785"/>
      <c r="J25" s="547"/>
      <c r="K25" s="2007"/>
      <c r="L25" s="2007"/>
      <c r="M25" s="547"/>
      <c r="N25" s="2089"/>
      <c r="O25" s="2882">
        <f>O26</f>
        <v>0</v>
      </c>
      <c r="P25" s="2091"/>
      <c r="Q25" s="2092"/>
      <c r="R25" s="2883">
        <f>R26</f>
        <v>0</v>
      </c>
    </row>
    <row r="26" spans="1:18" ht="30">
      <c r="A26" s="88" t="str">
        <f>'10.Review Research &amp; Surveillen'!A61</f>
        <v>10.5.6</v>
      </c>
      <c r="B26" s="88">
        <f>'10.Review Research &amp; Surveillen'!B61</f>
        <v>0</v>
      </c>
      <c r="C26" s="88" t="str">
        <f>'10.Review Research &amp; Surveillen'!C61</f>
        <v>Sub-national Disease Free Certification: Cataract/Blindness</v>
      </c>
      <c r="D26" s="1975" t="str">
        <f>'10.Review Research &amp; Surveillen'!D61</f>
        <v>NCD</v>
      </c>
      <c r="E26" s="1975" t="str">
        <f>'10.Review Research &amp; Surveillen'!E61</f>
        <v>NPCB</v>
      </c>
      <c r="F26" s="1975">
        <f>'10.Review Research &amp; Surveillen'!F61</f>
        <v>0</v>
      </c>
      <c r="G26" s="1975">
        <f>'10.Review Research &amp; Surveillen'!G61</f>
        <v>0</v>
      </c>
      <c r="H26" s="1975">
        <f>'10.Review Research &amp; Surveillen'!H61</f>
        <v>0</v>
      </c>
      <c r="I26" s="1975">
        <f>'10.Review Research &amp; Surveillen'!I61</f>
        <v>0</v>
      </c>
      <c r="J26" s="1975">
        <f>'10.Review Research &amp; Surveillen'!J61</f>
        <v>0</v>
      </c>
      <c r="K26" s="1975">
        <f>'10.Review Research &amp; Surveillen'!K61</f>
        <v>0</v>
      </c>
      <c r="L26" s="1975">
        <f>'10.Review Research &amp; Surveillen'!L61</f>
        <v>0</v>
      </c>
      <c r="M26" s="162">
        <f>'10.Review Research &amp; Surveillen'!M61</f>
        <v>0</v>
      </c>
      <c r="N26" s="1975">
        <f>'10.Review Research &amp; Surveillen'!N61</f>
        <v>0</v>
      </c>
      <c r="O26" s="2822">
        <f>'10.Review Research &amp; Surveillen'!O61</f>
        <v>0</v>
      </c>
      <c r="P26" s="88">
        <f>'10.Review Research &amp; Surveillen'!P61</f>
        <v>0</v>
      </c>
      <c r="Q26" s="54"/>
      <c r="R26" s="2815"/>
    </row>
    <row r="27" spans="1:18">
      <c r="A27" s="2007">
        <f>'11.IEC-BCC Annex'!A7</f>
        <v>11</v>
      </c>
      <c r="B27" s="2007"/>
      <c r="C27" s="2007" t="str">
        <f>'11.IEC-BCC Annex'!C7</f>
        <v>IEC/BCC</v>
      </c>
      <c r="D27" s="785"/>
      <c r="E27" s="785"/>
      <c r="F27" s="1994"/>
      <c r="G27" s="1994"/>
      <c r="H27" s="1995"/>
      <c r="I27" s="1994"/>
      <c r="J27" s="547"/>
      <c r="K27" s="1996"/>
      <c r="L27" s="1996"/>
      <c r="M27" s="547"/>
      <c r="N27" s="2089"/>
      <c r="O27" s="2882">
        <f>SUM(O28:O29)</f>
        <v>10</v>
      </c>
      <c r="P27" s="2091"/>
      <c r="Q27" s="2092"/>
      <c r="R27" s="2883">
        <f>SUM(R28:R29)</f>
        <v>10</v>
      </c>
    </row>
    <row r="28" spans="1:18" ht="45">
      <c r="A28" s="4095" t="str">
        <f>'11.IEC-BCC Annex'!A32</f>
        <v>11.4.1</v>
      </c>
      <c r="B28" s="88" t="str">
        <f>'11-A. IEC Sub-Annex'!B78</f>
        <v>B.10.6.11</v>
      </c>
      <c r="C28" s="88" t="str">
        <f>'11-A. IEC Sub-Annex'!C78</f>
        <v>State level IEC for Minor State @ Rs. 10 lakh and for Major States @ Rs. 20 lakh under NPCB&amp;VI</v>
      </c>
      <c r="D28" s="1975" t="str">
        <f>'11-A. IEC Sub-Annex'!D78</f>
        <v>NCD</v>
      </c>
      <c r="E28" s="1975" t="str">
        <f>'11-A. IEC Sub-Annex'!E78</f>
        <v>NPCB</v>
      </c>
      <c r="F28" s="1975">
        <f>'11-A. IEC Sub-Annex'!F78</f>
        <v>0</v>
      </c>
      <c r="G28" s="1975">
        <f>'11-A. IEC Sub-Annex'!G78</f>
        <v>0</v>
      </c>
      <c r="H28" s="1975">
        <f>'11-A. IEC Sub-Annex'!H78</f>
        <v>0</v>
      </c>
      <c r="I28" s="1975">
        <f>'11-A. IEC Sub-Annex'!I78</f>
        <v>0</v>
      </c>
      <c r="J28" s="1975">
        <f>'11-A. IEC Sub-Annex'!J78</f>
        <v>0</v>
      </c>
      <c r="K28" s="1975">
        <f>'11-A. IEC Sub-Annex'!K78</f>
        <v>0</v>
      </c>
      <c r="L28" s="1975">
        <f>'11-A. IEC Sub-Annex'!L78</f>
        <v>1000000</v>
      </c>
      <c r="M28" s="162">
        <f>'11-A. IEC Sub-Annex'!M78</f>
        <v>10</v>
      </c>
      <c r="N28" s="1975">
        <f>'11-A. IEC Sub-Annex'!N78</f>
        <v>1</v>
      </c>
      <c r="O28" s="2822">
        <f>'11-A. IEC Sub-Annex'!O78</f>
        <v>10</v>
      </c>
      <c r="P28" s="88">
        <f>'11-A. IEC Sub-Annex'!P78</f>
        <v>0</v>
      </c>
      <c r="Q28" s="2828" t="s">
        <v>5723</v>
      </c>
      <c r="R28" s="2815">
        <v>10</v>
      </c>
    </row>
    <row r="29" spans="1:18" ht="30">
      <c r="A29" s="4095"/>
      <c r="B29" s="88"/>
      <c r="C29" s="88" t="str">
        <f>'11-A. IEC Sub-Annex'!C79</f>
        <v>Any other IEC/BCC activities (please specify)</v>
      </c>
      <c r="D29" s="1975" t="str">
        <f>'11-A. IEC Sub-Annex'!D79</f>
        <v>NCD</v>
      </c>
      <c r="E29" s="1975" t="str">
        <f>'11-A. IEC Sub-Annex'!E79</f>
        <v>NPCB</v>
      </c>
      <c r="F29" s="1975">
        <f>'11-A. IEC Sub-Annex'!F79</f>
        <v>0</v>
      </c>
      <c r="G29" s="1975">
        <f>'11-A. IEC Sub-Annex'!G79</f>
        <v>0</v>
      </c>
      <c r="H29" s="1975">
        <f>'11-A. IEC Sub-Annex'!H79</f>
        <v>0</v>
      </c>
      <c r="I29" s="1975">
        <f>'11-A. IEC Sub-Annex'!I79</f>
        <v>0</v>
      </c>
      <c r="J29" s="1975">
        <f>'11-A. IEC Sub-Annex'!J79</f>
        <v>0</v>
      </c>
      <c r="K29" s="1975">
        <f>'11-A. IEC Sub-Annex'!K79</f>
        <v>0</v>
      </c>
      <c r="L29" s="1975">
        <f>'11-A. IEC Sub-Annex'!L79</f>
        <v>0</v>
      </c>
      <c r="M29" s="162">
        <f>'11-A. IEC Sub-Annex'!M79</f>
        <v>0</v>
      </c>
      <c r="N29" s="1975">
        <f>'11-A. IEC Sub-Annex'!N79</f>
        <v>0</v>
      </c>
      <c r="O29" s="2822">
        <f>'11-A. IEC Sub-Annex'!O79</f>
        <v>0</v>
      </c>
      <c r="P29" s="88">
        <f>'11-A. IEC Sub-Annex'!P79</f>
        <v>0</v>
      </c>
      <c r="Q29" s="54"/>
      <c r="R29" s="2815"/>
    </row>
    <row r="30" spans="1:18">
      <c r="A30" s="2007">
        <f>'12.Printing Annex'!A7</f>
        <v>12</v>
      </c>
      <c r="B30" s="2007"/>
      <c r="C30" s="2007" t="str">
        <f>'11.IEC-BCC Annex'!C10</f>
        <v>IEC/BCC activities under CH</v>
      </c>
      <c r="D30" s="785"/>
      <c r="E30" s="785"/>
      <c r="F30" s="1994"/>
      <c r="G30" s="1994"/>
      <c r="H30" s="1995"/>
      <c r="I30" s="1994"/>
      <c r="J30" s="547"/>
      <c r="K30" s="1996"/>
      <c r="L30" s="1996"/>
      <c r="M30" s="547"/>
      <c r="N30" s="2089"/>
      <c r="O30" s="2882">
        <f>SUM(O31:O31)</f>
        <v>0</v>
      </c>
      <c r="P30" s="2091"/>
      <c r="Q30" s="2092"/>
      <c r="R30" s="2883">
        <f>SUM(R31:R31)</f>
        <v>0</v>
      </c>
    </row>
    <row r="31" spans="1:18" s="861" customFormat="1">
      <c r="A31" s="2175" t="str">
        <f>'12.Printing Annex'!A34</f>
        <v>12.4.1</v>
      </c>
      <c r="B31" s="2176">
        <f>'12-A. Print Sub-Annex'!B92</f>
        <v>0</v>
      </c>
      <c r="C31" s="2176" t="str">
        <f>'12-A. Print Sub-Annex'!C92</f>
        <v>Printing activities under NPCB+VI</v>
      </c>
      <c r="D31" s="2175" t="str">
        <f>'12-A. Print Sub-Annex'!D92</f>
        <v>NCD</v>
      </c>
      <c r="E31" s="2175" t="str">
        <f>'12-A. Print Sub-Annex'!E92</f>
        <v>NPCB</v>
      </c>
      <c r="F31" s="2175">
        <f>'12-A. Print Sub-Annex'!F92</f>
        <v>0</v>
      </c>
      <c r="G31" s="2175">
        <f>'12-A. Print Sub-Annex'!G92</f>
        <v>0</v>
      </c>
      <c r="H31" s="2175">
        <f>'12-A. Print Sub-Annex'!H92</f>
        <v>0</v>
      </c>
      <c r="I31" s="2175">
        <f>'12-A. Print Sub-Annex'!I92</f>
        <v>0</v>
      </c>
      <c r="J31" s="2175">
        <f>'12-A. Print Sub-Annex'!J92</f>
        <v>0</v>
      </c>
      <c r="K31" s="2175">
        <f>'12-A. Print Sub-Annex'!K92</f>
        <v>0</v>
      </c>
      <c r="L31" s="2175">
        <f>'12-A. Print Sub-Annex'!L92</f>
        <v>0</v>
      </c>
      <c r="M31" s="1956">
        <f>'12-A. Print Sub-Annex'!M92</f>
        <v>0</v>
      </c>
      <c r="N31" s="2175">
        <f>'12-A. Print Sub-Annex'!N92</f>
        <v>0</v>
      </c>
      <c r="O31" s="2886">
        <f>'12-A. Print Sub-Annex'!O92</f>
        <v>0</v>
      </c>
      <c r="P31" s="2176">
        <f>'12-A. Print Sub-Annex'!P92</f>
        <v>0</v>
      </c>
      <c r="Q31" s="2177"/>
      <c r="R31" s="2884"/>
    </row>
    <row r="32" spans="1:18">
      <c r="A32" s="2007">
        <f>'15.PPP Annex'!A7</f>
        <v>15</v>
      </c>
      <c r="B32" s="2007"/>
      <c r="C32" s="2007" t="str">
        <f>'15.PPP Annex'!C7</f>
        <v>PPP</v>
      </c>
      <c r="D32" s="785"/>
      <c r="E32" s="785"/>
      <c r="F32" s="1994"/>
      <c r="G32" s="1994"/>
      <c r="H32" s="1995"/>
      <c r="I32" s="1994"/>
      <c r="J32" s="547"/>
      <c r="K32" s="1996"/>
      <c r="L32" s="1996"/>
      <c r="M32" s="547"/>
      <c r="N32" s="2089"/>
      <c r="O32" s="2882">
        <f>SUM(O33:O39)</f>
        <v>80</v>
      </c>
      <c r="P32" s="2091"/>
      <c r="Q32" s="2092"/>
      <c r="R32" s="2883">
        <f>SUM(R33:R39)</f>
        <v>80</v>
      </c>
    </row>
    <row r="33" spans="1:18" ht="45">
      <c r="A33" s="88" t="str">
        <f>'15.PPP Annex'!A36</f>
        <v>15.4.2</v>
      </c>
      <c r="B33" s="88" t="str">
        <f>'15.PPP Annex'!B36</f>
        <v>15.6.1/ I.1.1</v>
      </c>
      <c r="C33" s="88" t="str">
        <f>'15.PPP Annex'!C36</f>
        <v>Reimbursement for cataract operation for NGO and Private  Practitioners as per NGO norms @ Rs. 2000</v>
      </c>
      <c r="D33" s="1975" t="str">
        <f>'15.PPP Annex'!D36</f>
        <v>NCD</v>
      </c>
      <c r="E33" s="1975" t="str">
        <f>'15.PPP Annex'!E36</f>
        <v>NPCB</v>
      </c>
      <c r="F33" s="1975">
        <f>'15.PPP Annex'!F36</f>
        <v>0</v>
      </c>
      <c r="G33" s="1975">
        <f>'15.PPP Annex'!G36</f>
        <v>0</v>
      </c>
      <c r="H33" s="1975">
        <f>'15.PPP Annex'!H36</f>
        <v>0</v>
      </c>
      <c r="I33" s="1975">
        <f>'15.PPP Annex'!I36</f>
        <v>16.18</v>
      </c>
      <c r="J33" s="1975">
        <f>'15.PPP Annex'!J36</f>
        <v>0</v>
      </c>
      <c r="K33" s="1975">
        <f>'15.PPP Annex'!K36</f>
        <v>0</v>
      </c>
      <c r="L33" s="1975">
        <f>'15.PPP Annex'!L36</f>
        <v>2000</v>
      </c>
      <c r="M33" s="162">
        <f>'15.PPP Annex'!M36</f>
        <v>0.02</v>
      </c>
      <c r="N33" s="1975">
        <f>'15.PPP Annex'!N36</f>
        <v>4000</v>
      </c>
      <c r="O33" s="2822">
        <f>'15.PPP Annex'!O36</f>
        <v>80</v>
      </c>
      <c r="P33" s="88">
        <f>'15.PPP Annex'!P36</f>
        <v>0</v>
      </c>
      <c r="Q33" s="2828" t="s">
        <v>5723</v>
      </c>
      <c r="R33" s="2815">
        <v>80</v>
      </c>
    </row>
    <row r="34" spans="1:18">
      <c r="A34" s="88" t="str">
        <f>'15.PPP Annex'!A38</f>
        <v>15.4.3.1</v>
      </c>
      <c r="B34" s="88"/>
      <c r="C34" s="88" t="str">
        <f>'15.PPP Annex'!C38</f>
        <v>Diabetic Retinopathy @ Rs. 2000</v>
      </c>
      <c r="D34" s="1975" t="str">
        <f>'15.PPP Annex'!D38</f>
        <v>NCD</v>
      </c>
      <c r="E34" s="1975" t="str">
        <f>'15.PPP Annex'!E38</f>
        <v>NPCB</v>
      </c>
      <c r="F34" s="1975">
        <f>'15.PPP Annex'!F38</f>
        <v>0</v>
      </c>
      <c r="G34" s="1975">
        <f>'15.PPP Annex'!G38</f>
        <v>0</v>
      </c>
      <c r="H34" s="1975">
        <f>'15.PPP Annex'!H38</f>
        <v>0</v>
      </c>
      <c r="I34" s="1975">
        <f>'15.PPP Annex'!I38</f>
        <v>0</v>
      </c>
      <c r="J34" s="1975">
        <f>'15.PPP Annex'!J38</f>
        <v>0</v>
      </c>
      <c r="K34" s="1975">
        <f>'15.PPP Annex'!K38</f>
        <v>0</v>
      </c>
      <c r="L34" s="1975">
        <f>'15.PPP Annex'!L38</f>
        <v>0</v>
      </c>
      <c r="M34" s="162">
        <f>'15.PPP Annex'!M38</f>
        <v>0</v>
      </c>
      <c r="N34" s="1975">
        <f>'15.PPP Annex'!N38</f>
        <v>0</v>
      </c>
      <c r="O34" s="2822">
        <f>'15.PPP Annex'!O38</f>
        <v>0</v>
      </c>
      <c r="P34" s="88">
        <f>'15.PPP Annex'!P38</f>
        <v>0</v>
      </c>
      <c r="Q34" s="54"/>
      <c r="R34" s="2815"/>
    </row>
    <row r="35" spans="1:18">
      <c r="A35" s="88" t="str">
        <f>'15.PPP Annex'!A39</f>
        <v>15.4.3.2</v>
      </c>
      <c r="B35" s="88"/>
      <c r="C35" s="88" t="str">
        <f>'15.PPP Annex'!C39</f>
        <v>Childhood Blindness @ Rs. 2000</v>
      </c>
      <c r="D35" s="1975" t="str">
        <f>'15.PPP Annex'!D39</f>
        <v>NCD</v>
      </c>
      <c r="E35" s="1975" t="str">
        <f>'15.PPP Annex'!E39</f>
        <v>NPCB</v>
      </c>
      <c r="F35" s="1975">
        <f>'15.PPP Annex'!F39</f>
        <v>0</v>
      </c>
      <c r="G35" s="1975">
        <f>'15.PPP Annex'!G39</f>
        <v>0</v>
      </c>
      <c r="H35" s="1975">
        <f>'15.PPP Annex'!H39</f>
        <v>0</v>
      </c>
      <c r="I35" s="1975">
        <f>'15.PPP Annex'!I39</f>
        <v>0</v>
      </c>
      <c r="J35" s="1975">
        <f>'15.PPP Annex'!J39</f>
        <v>0</v>
      </c>
      <c r="K35" s="1975">
        <f>'15.PPP Annex'!K39</f>
        <v>0</v>
      </c>
      <c r="L35" s="1975">
        <f>'15.PPP Annex'!L39</f>
        <v>0</v>
      </c>
      <c r="M35" s="162">
        <f>'15.PPP Annex'!M39</f>
        <v>0</v>
      </c>
      <c r="N35" s="1975">
        <f>'15.PPP Annex'!N39</f>
        <v>0</v>
      </c>
      <c r="O35" s="2822">
        <f>'15.PPP Annex'!O39</f>
        <v>0</v>
      </c>
      <c r="P35" s="88">
        <f>'15.PPP Annex'!P39</f>
        <v>0</v>
      </c>
      <c r="Q35" s="54"/>
      <c r="R35" s="2815"/>
    </row>
    <row r="36" spans="1:18">
      <c r="A36" s="88" t="str">
        <f>'15.PPP Annex'!A40</f>
        <v>15.5.3</v>
      </c>
      <c r="B36" s="88"/>
      <c r="C36" s="88" t="str">
        <f>'15.PPP Annex'!C40</f>
        <v>Glaucoma @ Rs. 2000</v>
      </c>
      <c r="D36" s="1975" t="str">
        <f>'15.PPP Annex'!D40</f>
        <v>NCD</v>
      </c>
      <c r="E36" s="1975" t="str">
        <f>'15.PPP Annex'!E40</f>
        <v>NPCB</v>
      </c>
      <c r="F36" s="1975">
        <f>'15.PPP Annex'!F40</f>
        <v>0</v>
      </c>
      <c r="G36" s="1975">
        <f>'15.PPP Annex'!G40</f>
        <v>0</v>
      </c>
      <c r="H36" s="1975">
        <f>'15.PPP Annex'!H40</f>
        <v>0</v>
      </c>
      <c r="I36" s="1975">
        <f>'15.PPP Annex'!I40</f>
        <v>0</v>
      </c>
      <c r="J36" s="1975">
        <f>'15.PPP Annex'!J40</f>
        <v>0</v>
      </c>
      <c r="K36" s="1975">
        <f>'15.PPP Annex'!K40</f>
        <v>0</v>
      </c>
      <c r="L36" s="1975">
        <f>'15.PPP Annex'!L40</f>
        <v>0</v>
      </c>
      <c r="M36" s="162">
        <f>'15.PPP Annex'!M40</f>
        <v>0</v>
      </c>
      <c r="N36" s="1975">
        <f>'15.PPP Annex'!N40</f>
        <v>0</v>
      </c>
      <c r="O36" s="2822">
        <f>'15.PPP Annex'!O40</f>
        <v>0</v>
      </c>
      <c r="P36" s="88">
        <f>'15.PPP Annex'!P40</f>
        <v>0</v>
      </c>
      <c r="Q36" s="54"/>
      <c r="R36" s="2815"/>
    </row>
    <row r="37" spans="1:18">
      <c r="A37" s="88" t="str">
        <f>'15.PPP Annex'!A41</f>
        <v>15.4.3.4</v>
      </c>
      <c r="B37" s="88"/>
      <c r="C37" s="88" t="str">
        <f>'15.PPP Annex'!C41</f>
        <v>Keratoplasty @ Rs. 5000</v>
      </c>
      <c r="D37" s="1975" t="str">
        <f>'15.PPP Annex'!D41</f>
        <v>NCD</v>
      </c>
      <c r="E37" s="1975" t="str">
        <f>'15.PPP Annex'!E41</f>
        <v>NPCB</v>
      </c>
      <c r="F37" s="1975">
        <f>'15.PPP Annex'!F41</f>
        <v>0</v>
      </c>
      <c r="G37" s="1975">
        <f>'15.PPP Annex'!G41</f>
        <v>0</v>
      </c>
      <c r="H37" s="1975">
        <f>'15.PPP Annex'!H41</f>
        <v>0</v>
      </c>
      <c r="I37" s="1975">
        <f>'15.PPP Annex'!I41</f>
        <v>0</v>
      </c>
      <c r="J37" s="1975">
        <f>'15.PPP Annex'!J41</f>
        <v>0</v>
      </c>
      <c r="K37" s="1975">
        <f>'15.PPP Annex'!K41</f>
        <v>0</v>
      </c>
      <c r="L37" s="1975">
        <f>'15.PPP Annex'!L41</f>
        <v>0</v>
      </c>
      <c r="M37" s="162">
        <f>'15.PPP Annex'!M41</f>
        <v>0</v>
      </c>
      <c r="N37" s="1975">
        <f>'15.PPP Annex'!N41</f>
        <v>0</v>
      </c>
      <c r="O37" s="2822">
        <f>'15.PPP Annex'!O41</f>
        <v>0</v>
      </c>
      <c r="P37" s="88">
        <f>'15.PPP Annex'!P41</f>
        <v>0</v>
      </c>
      <c r="Q37" s="54"/>
      <c r="R37" s="2815"/>
    </row>
    <row r="38" spans="1:18">
      <c r="A38" s="88" t="str">
        <f>'15.PPP Annex'!A42</f>
        <v>15.4.3.5</v>
      </c>
      <c r="B38" s="88"/>
      <c r="C38" s="88" t="str">
        <f>'15.PPP Annex'!C42</f>
        <v>Vitreoretinal Surgery@ Rs. 7500</v>
      </c>
      <c r="D38" s="1975" t="str">
        <f>'15.PPP Annex'!D42</f>
        <v>NCD</v>
      </c>
      <c r="E38" s="1975" t="str">
        <f>'15.PPP Annex'!E42</f>
        <v>NPCB</v>
      </c>
      <c r="F38" s="1975">
        <f>'15.PPP Annex'!F42</f>
        <v>0</v>
      </c>
      <c r="G38" s="1975">
        <f>'15.PPP Annex'!G42</f>
        <v>0</v>
      </c>
      <c r="H38" s="1975">
        <f>'15.PPP Annex'!H42</f>
        <v>0</v>
      </c>
      <c r="I38" s="1975">
        <f>'15.PPP Annex'!I42</f>
        <v>0</v>
      </c>
      <c r="J38" s="1975">
        <f>'15.PPP Annex'!J42</f>
        <v>0</v>
      </c>
      <c r="K38" s="1975">
        <f>'15.PPP Annex'!K42</f>
        <v>0</v>
      </c>
      <c r="L38" s="1975">
        <f>'15.PPP Annex'!L42</f>
        <v>0</v>
      </c>
      <c r="M38" s="162">
        <f>'15.PPP Annex'!M42</f>
        <v>0</v>
      </c>
      <c r="N38" s="1975">
        <f>'15.PPP Annex'!N42</f>
        <v>0</v>
      </c>
      <c r="O38" s="2822">
        <f>'15.PPP Annex'!O42</f>
        <v>0</v>
      </c>
      <c r="P38" s="88">
        <f>'15.PPP Annex'!P42</f>
        <v>0</v>
      </c>
      <c r="Q38" s="54"/>
      <c r="R38" s="2815"/>
    </row>
    <row r="39" spans="1:18">
      <c r="A39" s="88" t="str">
        <f>'15.PPP Annex'!A45</f>
        <v>15.4.3.6</v>
      </c>
      <c r="B39" s="88"/>
      <c r="C39" s="88" t="str">
        <f>'15.PPP Annex'!C45</f>
        <v>Any other (please specify)</v>
      </c>
      <c r="D39" s="1975" t="str">
        <f>'15.PPP Annex'!D45</f>
        <v>NCD</v>
      </c>
      <c r="E39" s="1975" t="str">
        <f>'15.PPP Annex'!E45</f>
        <v>NPCB</v>
      </c>
      <c r="F39" s="1975">
        <f>'15.PPP Annex'!F45</f>
        <v>0</v>
      </c>
      <c r="G39" s="1975">
        <f>'15.PPP Annex'!G45</f>
        <v>0</v>
      </c>
      <c r="H39" s="1975">
        <f>'15.PPP Annex'!H45</f>
        <v>0</v>
      </c>
      <c r="I39" s="1975">
        <f>'15.PPP Annex'!I45</f>
        <v>0</v>
      </c>
      <c r="J39" s="1975">
        <f>'15.PPP Annex'!J45</f>
        <v>0</v>
      </c>
      <c r="K39" s="1975">
        <f>'15.PPP Annex'!K45</f>
        <v>0</v>
      </c>
      <c r="L39" s="1975">
        <f>'15.PPP Annex'!L45</f>
        <v>0</v>
      </c>
      <c r="M39" s="162">
        <f>'15.PPP Annex'!M45</f>
        <v>0</v>
      </c>
      <c r="N39" s="1975">
        <f>'15.PPP Annex'!N45</f>
        <v>0</v>
      </c>
      <c r="O39" s="2822">
        <f>'15.PPP Annex'!O45</f>
        <v>0</v>
      </c>
      <c r="P39" s="88">
        <f>'15.PPP Annex'!P45</f>
        <v>0</v>
      </c>
      <c r="Q39" s="54"/>
      <c r="R39" s="2815"/>
    </row>
    <row r="40" spans="1:18">
      <c r="A40" s="876">
        <f>'16.PM Annex'!A7</f>
        <v>16</v>
      </c>
      <c r="B40" s="876">
        <f>'16.PM Annex'!B7</f>
        <v>0</v>
      </c>
      <c r="C40" s="876" t="str">
        <f>'16.PM Annex'!C7</f>
        <v>Programme Management</v>
      </c>
      <c r="D40" s="877"/>
      <c r="E40" s="877"/>
      <c r="F40" s="877"/>
      <c r="G40" s="877"/>
      <c r="H40" s="547"/>
      <c r="I40" s="877"/>
      <c r="J40" s="547"/>
      <c r="K40" s="876"/>
      <c r="L40" s="876"/>
      <c r="M40" s="547"/>
      <c r="N40" s="2089"/>
      <c r="O40" s="2882">
        <f>SUM(O41)</f>
        <v>0</v>
      </c>
      <c r="P40" s="2091"/>
      <c r="Q40" s="2092"/>
      <c r="R40" s="2883">
        <f>SUM(R41)</f>
        <v>0</v>
      </c>
    </row>
    <row r="41" spans="1:18" ht="45">
      <c r="A41" s="88" t="str">
        <f>'16-A. PM sub Annex'!A171</f>
        <v>16.1.5.3.10</v>
      </c>
      <c r="B41" s="88" t="e">
        <f>'16-A. PM sub Annex'!#REF!</f>
        <v>#REF!</v>
      </c>
      <c r="C41" s="88" t="str">
        <f>'16-A. PM sub Annex'!C171</f>
        <v>Management of Health Society (State to provide details of PM Staff in the remarks column separately)</v>
      </c>
      <c r="D41" s="1975" t="str">
        <f>'16-A. PM sub Annex'!D171</f>
        <v>NCD</v>
      </c>
      <c r="E41" s="1975" t="str">
        <f>'16-A. PM sub Annex'!E171</f>
        <v>HRH&amp;HPIP/NPCB</v>
      </c>
      <c r="F41" s="1975">
        <f>'16-A. PM sub Annex'!F171</f>
        <v>0</v>
      </c>
      <c r="G41" s="1975">
        <f>'16-A. PM sub Annex'!G171</f>
        <v>0</v>
      </c>
      <c r="H41" s="1975">
        <f>'16-A. PM sub Annex'!H171</f>
        <v>0</v>
      </c>
      <c r="I41" s="1975">
        <f>'16-A. PM sub Annex'!I171</f>
        <v>0</v>
      </c>
      <c r="J41" s="1975">
        <f>'16-A. PM sub Annex'!J171</f>
        <v>0</v>
      </c>
      <c r="K41" s="1975">
        <f>'16-A. PM sub Annex'!K171</f>
        <v>0</v>
      </c>
      <c r="L41" s="1975">
        <f>'16-A. PM sub Annex'!L171</f>
        <v>0</v>
      </c>
      <c r="M41" s="162">
        <f>'16-A. PM sub Annex'!M171</f>
        <v>0</v>
      </c>
      <c r="N41" s="1975">
        <f>'16-A. PM sub Annex'!N171</f>
        <v>0</v>
      </c>
      <c r="O41" s="2822">
        <f>'16-A. PM sub Annex'!O171</f>
        <v>0</v>
      </c>
      <c r="P41" s="88">
        <f>'16-A. PM sub Annex'!P171</f>
        <v>0</v>
      </c>
      <c r="Q41" s="54"/>
      <c r="R41" s="2815"/>
    </row>
    <row r="42" spans="1:18" ht="30">
      <c r="A42" s="2007">
        <f>'17.IT Initiatives_SD'!A7</f>
        <v>17</v>
      </c>
      <c r="B42" s="2007"/>
      <c r="C42" s="2007" t="str">
        <f>'17.IT Initiatives_SD'!C7</f>
        <v>IT Initiatives for strengthening Service Delivery</v>
      </c>
      <c r="D42" s="785"/>
      <c r="E42" s="785"/>
      <c r="F42" s="785"/>
      <c r="G42" s="785"/>
      <c r="H42" s="547"/>
      <c r="I42" s="785"/>
      <c r="J42" s="547"/>
      <c r="K42" s="2007"/>
      <c r="L42" s="2007"/>
      <c r="M42" s="547"/>
      <c r="N42" s="2089"/>
      <c r="O42" s="2882">
        <f>O43</f>
        <v>0</v>
      </c>
      <c r="P42" s="2091"/>
      <c r="Q42" s="2092"/>
      <c r="R42" s="2883">
        <f>R43</f>
        <v>0</v>
      </c>
    </row>
    <row r="43" spans="1:18" ht="45">
      <c r="A43" s="2014">
        <f>'17.IT Initiatives_SD'!A8</f>
        <v>17.100000000000001</v>
      </c>
      <c r="B43" s="2014" t="str">
        <f>'17.IT Initiatives_SD'!B8</f>
        <v>I.2.9</v>
      </c>
      <c r="C43" s="2014" t="str">
        <f>'17.IT Initiatives_SD'!C8</f>
        <v>Fixed tele- ophthalmic network unit in Got. Set up/ internet based ophthalmic consultation unit)</v>
      </c>
      <c r="D43" s="1006" t="str">
        <f>'17.IT Initiatives_SD'!D8</f>
        <v>NCD</v>
      </c>
      <c r="E43" s="1006" t="str">
        <f>'17.IT Initiatives_SD'!E8</f>
        <v>NPCB</v>
      </c>
      <c r="F43" s="1006">
        <f>'17.IT Initiatives_SD'!F8</f>
        <v>0</v>
      </c>
      <c r="G43" s="1006">
        <f>'17.IT Initiatives_SD'!G8</f>
        <v>0</v>
      </c>
      <c r="H43" s="1006">
        <f>'17.IT Initiatives_SD'!H8</f>
        <v>0</v>
      </c>
      <c r="I43" s="1006">
        <f>'17.IT Initiatives_SD'!I8</f>
        <v>0</v>
      </c>
      <c r="J43" s="1006">
        <f>'17.IT Initiatives_SD'!J8</f>
        <v>0</v>
      </c>
      <c r="K43" s="1006">
        <f>'17.IT Initiatives_SD'!K8</f>
        <v>0</v>
      </c>
      <c r="L43" s="1006">
        <f>'17.IT Initiatives_SD'!L8</f>
        <v>0</v>
      </c>
      <c r="M43" s="162">
        <f>'17.IT Initiatives_SD'!M8</f>
        <v>0</v>
      </c>
      <c r="N43" s="1006">
        <f>'17.IT Initiatives_SD'!N8</f>
        <v>0</v>
      </c>
      <c r="O43" s="2822">
        <f>'17.IT Initiatives_SD'!O8</f>
        <v>0</v>
      </c>
      <c r="P43" s="2014">
        <f>'17.IT Initiatives_SD'!P8</f>
        <v>0</v>
      </c>
      <c r="Q43" s="54"/>
      <c r="R43" s="2815"/>
    </row>
  </sheetData>
  <sheetProtection sheet="1" formatCells="0" formatColumns="0" formatRows="0" autoFilter="0"/>
  <autoFilter ref="A5:M43"/>
  <mergeCells count="13">
    <mergeCell ref="A14:A18"/>
    <mergeCell ref="A20:A21"/>
    <mergeCell ref="A23:A24"/>
    <mergeCell ref="A28:A29"/>
    <mergeCell ref="Q4:R4"/>
    <mergeCell ref="E4:E5"/>
    <mergeCell ref="F4:J4"/>
    <mergeCell ref="K4:P4"/>
    <mergeCell ref="A1:C1"/>
    <mergeCell ref="A4:A5"/>
    <mergeCell ref="B4:B5"/>
    <mergeCell ref="C4:C5"/>
    <mergeCell ref="D4:D5"/>
  </mergeCells>
  <pageMargins left="0.7" right="0.7" top="0.75" bottom="0.75" header="0.3" footer="0.3"/>
  <pageSetup orientation="portrait" horizontalDpi="4294967295" verticalDpi="4294967295" r:id="rId1"/>
</worksheet>
</file>

<file path=xl/worksheets/sheet53.xml><?xml version="1.0" encoding="utf-8"?>
<worksheet xmlns="http://schemas.openxmlformats.org/spreadsheetml/2006/main" xmlns:r="http://schemas.openxmlformats.org/officeDocument/2006/relationships">
  <sheetPr codeName="Sheet36">
    <tabColor theme="7" tint="0.79998168889431442"/>
  </sheetPr>
  <dimension ref="A1:R33"/>
  <sheetViews>
    <sheetView zoomScale="80" zoomScaleNormal="80" workbookViewId="0">
      <pane xSplit="3" ySplit="5" topLeftCell="K23" activePane="bottomRight" state="frozen"/>
      <selection activeCell="A4" sqref="A4:R11"/>
      <selection pane="topRight" activeCell="A4" sqref="A4:R11"/>
      <selection pane="bottomLeft" activeCell="A4" sqref="A4:R11"/>
      <selection pane="bottomRight" activeCell="Q32" sqref="Q32"/>
    </sheetView>
  </sheetViews>
  <sheetFormatPr defaultColWidth="9.140625" defaultRowHeight="15"/>
  <cols>
    <col min="1" max="1" width="10.28515625" style="904" bestFit="1" customWidth="1"/>
    <col min="2" max="2" width="15.7109375" style="904" bestFit="1" customWidth="1"/>
    <col min="3" max="3" width="62.85546875" style="904" bestFit="1" customWidth="1"/>
    <col min="4" max="4" width="4.5703125" style="868" bestFit="1" customWidth="1"/>
    <col min="5" max="5" width="15.85546875" style="868" bestFit="1" customWidth="1"/>
    <col min="6" max="6" width="22.140625" style="868" bestFit="1" customWidth="1"/>
    <col min="7" max="7" width="16.140625" style="868" bestFit="1" customWidth="1"/>
    <col min="8" max="8" width="17.140625" style="978" bestFit="1" customWidth="1"/>
    <col min="9" max="9" width="19.42578125" style="868" bestFit="1" customWidth="1"/>
    <col min="10" max="10" width="14.85546875" style="978" bestFit="1" customWidth="1"/>
    <col min="11" max="11" width="13.7109375" style="904" customWidth="1"/>
    <col min="12" max="12" width="12.7109375" style="904" customWidth="1"/>
    <col min="13" max="13" width="9.140625" style="978" customWidth="1"/>
    <col min="14" max="14" width="9.140625" style="860"/>
    <col min="15" max="15" width="11" style="2823" customWidth="1"/>
    <col min="16" max="16" width="35.42578125" style="860" customWidth="1"/>
    <col min="17" max="17" width="35.5703125" style="860" customWidth="1"/>
    <col min="18" max="18" width="10.5703125" style="2823" bestFit="1" customWidth="1"/>
    <col min="19" max="16384" width="9.140625" style="860"/>
  </cols>
  <sheetData>
    <row r="1" spans="1:18" s="963" customFormat="1">
      <c r="A1" s="4103" t="s">
        <v>2094</v>
      </c>
      <c r="B1" s="4103"/>
      <c r="C1" s="4103"/>
      <c r="D1" s="2178"/>
      <c r="E1" s="2095"/>
      <c r="F1" s="83" t="s">
        <v>3845</v>
      </c>
      <c r="G1" s="1845"/>
      <c r="H1" s="1845"/>
      <c r="I1" s="1845"/>
      <c r="J1" s="1845"/>
      <c r="K1" s="2179"/>
      <c r="L1" s="2179"/>
      <c r="M1" s="1845"/>
      <c r="O1" s="2819"/>
      <c r="R1" s="2819"/>
    </row>
    <row r="2" spans="1:18" s="963" customFormat="1">
      <c r="A2" s="1842" t="str">
        <f>HYPERLINK("#Index!F3", "Index Pg")</f>
        <v>Index Pg</v>
      </c>
      <c r="B2" s="1847"/>
      <c r="C2" s="864" t="str">
        <f>HYPERLINK("#'Budget Summary I'!A1:AL1", "Budget Summary I")</f>
        <v>Budget Summary I</v>
      </c>
      <c r="D2" s="2180"/>
      <c r="E2" s="1463" t="s">
        <v>4460</v>
      </c>
      <c r="F2" s="161">
        <f>R27+R21+R18+R12+R10+R6+R8+R16+R29+R25</f>
        <v>57.51</v>
      </c>
      <c r="G2" s="1845"/>
      <c r="H2" s="1845"/>
      <c r="I2" s="1845"/>
      <c r="J2" s="1845"/>
      <c r="L2" s="2181"/>
      <c r="M2" s="1845"/>
      <c r="O2" s="2819"/>
      <c r="R2" s="2819"/>
    </row>
    <row r="3" spans="1:18" s="963" customFormat="1">
      <c r="A3" s="1846"/>
      <c r="B3" s="1847"/>
      <c r="C3" s="864" t="str">
        <f>HYPERLINK("#'Budget Summary II'!A3:B5", "Budget Summary II")</f>
        <v>Budget Summary II</v>
      </c>
      <c r="D3" s="2180"/>
      <c r="E3" s="1463" t="s">
        <v>4461</v>
      </c>
      <c r="F3" s="161">
        <f>O27+O21+O18+O12+O10+O6+O8+O16+O29+O25</f>
        <v>59.192479999999996</v>
      </c>
      <c r="G3" s="1845"/>
      <c r="H3" s="1845"/>
      <c r="I3" s="1845"/>
      <c r="J3" s="1845"/>
      <c r="M3" s="1845"/>
      <c r="O3" s="2819"/>
      <c r="R3" s="2819"/>
    </row>
    <row r="4" spans="1:18" s="868" customFormat="1">
      <c r="A4" s="3801" t="s">
        <v>48</v>
      </c>
      <c r="B4" s="3801" t="s">
        <v>49</v>
      </c>
      <c r="C4" s="3801" t="s">
        <v>50</v>
      </c>
      <c r="D4" s="3801" t="s">
        <v>51</v>
      </c>
      <c r="E4" s="3801" t="s">
        <v>52</v>
      </c>
      <c r="F4" s="3799" t="s">
        <v>4478</v>
      </c>
      <c r="G4" s="3799"/>
      <c r="H4" s="3799"/>
      <c r="I4" s="3799"/>
      <c r="J4" s="3799"/>
      <c r="K4" s="3799" t="s">
        <v>4484</v>
      </c>
      <c r="L4" s="3799"/>
      <c r="M4" s="3799"/>
      <c r="N4" s="3799"/>
      <c r="O4" s="3799"/>
      <c r="P4" s="3799"/>
      <c r="Q4" s="3800" t="s">
        <v>4514</v>
      </c>
      <c r="R4" s="3800"/>
    </row>
    <row r="5" spans="1:18" s="868" customFormat="1" ht="60">
      <c r="A5" s="3801"/>
      <c r="B5" s="3801"/>
      <c r="C5" s="3801"/>
      <c r="D5" s="3801"/>
      <c r="E5" s="3801"/>
      <c r="F5" s="918" t="s">
        <v>4479</v>
      </c>
      <c r="G5" s="918" t="s">
        <v>4482</v>
      </c>
      <c r="H5" s="918" t="s">
        <v>4480</v>
      </c>
      <c r="I5" s="918" t="s">
        <v>4483</v>
      </c>
      <c r="J5" s="2050" t="s">
        <v>2448</v>
      </c>
      <c r="K5" s="2051" t="s">
        <v>53</v>
      </c>
      <c r="L5" s="2051" t="s">
        <v>54</v>
      </c>
      <c r="M5" s="2052" t="s">
        <v>55</v>
      </c>
      <c r="N5" s="2051" t="s">
        <v>56</v>
      </c>
      <c r="O5" s="2889" t="s">
        <v>57</v>
      </c>
      <c r="P5" s="2051" t="s">
        <v>58</v>
      </c>
      <c r="Q5" s="1595" t="s">
        <v>2450</v>
      </c>
      <c r="R5" s="2887" t="s">
        <v>4515</v>
      </c>
    </row>
    <row r="6" spans="1:18">
      <c r="A6" s="1468">
        <f>'2.SD Community Based Annex'!A7</f>
        <v>2</v>
      </c>
      <c r="B6" s="1468"/>
      <c r="C6" s="1468" t="str">
        <f>'2.SD Community Based Annex'!C7</f>
        <v>Service Delivery - Community Based</v>
      </c>
      <c r="D6" s="1419"/>
      <c r="E6" s="1419"/>
      <c r="F6" s="1419"/>
      <c r="G6" s="1419"/>
      <c r="H6" s="547"/>
      <c r="I6" s="1419"/>
      <c r="J6" s="547"/>
      <c r="K6" s="1468"/>
      <c r="L6" s="1468"/>
      <c r="M6" s="547"/>
      <c r="N6" s="2089"/>
      <c r="O6" s="2818">
        <f>O7</f>
        <v>2.4000000000000004</v>
      </c>
      <c r="P6" s="2089"/>
      <c r="Q6" s="2089"/>
      <c r="R6" s="2818">
        <f>R7</f>
        <v>2.4</v>
      </c>
    </row>
    <row r="7" spans="1:18" ht="45">
      <c r="A7" s="88" t="str">
        <f>+'2.SD Community Based Annex'!A49</f>
        <v>2.3.2.3</v>
      </c>
      <c r="B7" s="88" t="str">
        <f>+'2.SD Community Based Annex'!B49</f>
        <v>J.1.3</v>
      </c>
      <c r="C7" s="88" t="str">
        <f>+'2.SD Community Based Annex'!C49</f>
        <v>DMHP: Targeted interventions at community level Activities &amp; interventions targeted at schools, colleges, workplaces, out of school adolescents, urban slums and suicide prevention.</v>
      </c>
      <c r="D7" s="1975" t="str">
        <f>+'2.SD Community Based Annex'!D49</f>
        <v>NCD</v>
      </c>
      <c r="E7" s="1975" t="str">
        <f>+'2.SD Community Based Annex'!E49</f>
        <v>NMHP</v>
      </c>
      <c r="F7" s="1975">
        <f>+'2.SD Community Based Annex'!F49</f>
        <v>12</v>
      </c>
      <c r="G7" s="1975">
        <f>+'2.SD Community Based Annex'!G49</f>
        <v>0</v>
      </c>
      <c r="H7" s="1975">
        <f>+'2.SD Community Based Annex'!H49</f>
        <v>6</v>
      </c>
      <c r="I7" s="1975">
        <f>+'2.SD Community Based Annex'!I49</f>
        <v>7.0000000000000007E-2</v>
      </c>
      <c r="J7" s="1975">
        <f>+'2.SD Community Based Annex'!J49</f>
        <v>5</v>
      </c>
      <c r="K7" s="1975">
        <f>+'2.SD Community Based Annex'!K49</f>
        <v>0</v>
      </c>
      <c r="L7" s="1975">
        <f>+'2.SD Community Based Annex'!L49</f>
        <v>20000</v>
      </c>
      <c r="M7" s="162">
        <f>+'2.SD Community Based Annex'!M49</f>
        <v>0.2</v>
      </c>
      <c r="N7" s="1975">
        <f>+'2.SD Community Based Annex'!N49</f>
        <v>12</v>
      </c>
      <c r="O7" s="2822">
        <f>+'2.SD Community Based Annex'!O49</f>
        <v>2.4000000000000004</v>
      </c>
      <c r="P7" s="88">
        <f>+'2.SD Community Based Annex'!P49</f>
        <v>0</v>
      </c>
      <c r="Q7" s="54" t="s">
        <v>5756</v>
      </c>
      <c r="R7" s="2825">
        <v>2.4</v>
      </c>
    </row>
    <row r="8" spans="1:18">
      <c r="A8" s="2007">
        <f>'3.Community Intervention Annexn'!A7</f>
        <v>3</v>
      </c>
      <c r="B8" s="2007"/>
      <c r="C8" s="2007" t="str">
        <f>'3.Community Intervention Annexn'!C7</f>
        <v>Community Interventions</v>
      </c>
      <c r="D8" s="785"/>
      <c r="E8" s="2182"/>
      <c r="F8" s="2183"/>
      <c r="G8" s="2183"/>
      <c r="H8" s="2184"/>
      <c r="I8" s="2183"/>
      <c r="J8" s="2185"/>
      <c r="K8" s="2186"/>
      <c r="L8" s="2186"/>
      <c r="M8" s="2185"/>
      <c r="N8" s="2187"/>
      <c r="O8" s="3078">
        <f>O9</f>
        <v>0</v>
      </c>
      <c r="P8" s="2188"/>
      <c r="Q8" s="2198"/>
      <c r="R8" s="2888">
        <f>R9</f>
        <v>0</v>
      </c>
    </row>
    <row r="9" spans="1:18" ht="30">
      <c r="A9" s="88" t="e">
        <f>+'3-A. CI Sub-Annex'!#REF!</f>
        <v>#REF!</v>
      </c>
      <c r="B9" s="88" t="str">
        <f>+'3-A. CI Sub-Annex'!B117</f>
        <v>J.1.3</v>
      </c>
      <c r="C9" s="88" t="str">
        <f>+'3-A. CI Sub-Annex'!C117</f>
        <v>District counselling centre (DCC) and crisis helpline outsourced to psychology department/ NGO per year</v>
      </c>
      <c r="D9" s="1975" t="str">
        <f>+'3-A. CI Sub-Annex'!D117</f>
        <v>NCD</v>
      </c>
      <c r="E9" s="1975" t="str">
        <f>+'3-A. CI Sub-Annex'!E117</f>
        <v>NMHP</v>
      </c>
      <c r="F9" s="1975">
        <f>+'3-A. CI Sub-Annex'!F117</f>
        <v>0</v>
      </c>
      <c r="G9" s="1975">
        <f>+'3-A. CI Sub-Annex'!G117</f>
        <v>0</v>
      </c>
      <c r="H9" s="1975">
        <f>+'3-A. CI Sub-Annex'!H117</f>
        <v>0</v>
      </c>
      <c r="I9" s="1975">
        <f>+'3-A. CI Sub-Annex'!I117</f>
        <v>0</v>
      </c>
      <c r="J9" s="1975">
        <f>+'3-A. CI Sub-Annex'!J117</f>
        <v>0</v>
      </c>
      <c r="K9" s="1975">
        <f>+'3-A. CI Sub-Annex'!K117</f>
        <v>0</v>
      </c>
      <c r="L9" s="1975">
        <f>+'3-A. CI Sub-Annex'!L117</f>
        <v>0</v>
      </c>
      <c r="M9" s="162">
        <f>+'3-A. CI Sub-Annex'!M117</f>
        <v>0</v>
      </c>
      <c r="N9" s="1975">
        <f>+'3-A. CI Sub-Annex'!N117</f>
        <v>0</v>
      </c>
      <c r="O9" s="2822">
        <f>+'3-A. CI Sub-Annex'!O117</f>
        <v>0</v>
      </c>
      <c r="P9" s="88">
        <f>+'3-A. CI Sub-Annex'!P117</f>
        <v>0</v>
      </c>
      <c r="Q9" s="54"/>
      <c r="R9" s="2825"/>
    </row>
    <row r="10" spans="1:18">
      <c r="A10" s="1468">
        <f>'5.Infrastructure Annex'!A7</f>
        <v>5</v>
      </c>
      <c r="B10" s="1468"/>
      <c r="C10" s="1468" t="str">
        <f>'5.Infrastructure Annex'!C7</f>
        <v>Infrastructure</v>
      </c>
      <c r="D10" s="1419"/>
      <c r="E10" s="2189"/>
      <c r="F10" s="2189"/>
      <c r="G10" s="2189"/>
      <c r="H10" s="2185"/>
      <c r="I10" s="2189"/>
      <c r="J10" s="2185"/>
      <c r="K10" s="2190"/>
      <c r="L10" s="2190"/>
      <c r="M10" s="2185"/>
      <c r="N10" s="2187"/>
      <c r="O10" s="3078">
        <f>O11</f>
        <v>0</v>
      </c>
      <c r="P10" s="2188"/>
      <c r="Q10" s="2198"/>
      <c r="R10" s="2888">
        <f>R11</f>
        <v>0</v>
      </c>
    </row>
    <row r="11" spans="1:18" ht="30">
      <c r="A11" s="88" t="str">
        <f>+'5.Infrastructure Annex'!A95</f>
        <v>5.3.15</v>
      </c>
      <c r="B11" s="88" t="str">
        <f>+'5.Infrastructure Annex'!B95</f>
        <v>J.1.1</v>
      </c>
      <c r="C11" s="88" t="str">
        <f>+'5.Infrastructure Annex'!C95</f>
        <v>District DMHP Centre, Counselling Centre under psychology dept.. In a selected college including crisis helpline</v>
      </c>
      <c r="D11" s="1975" t="str">
        <f>+'5.Infrastructure Annex'!D95</f>
        <v>NCD</v>
      </c>
      <c r="E11" s="1975" t="str">
        <f>+'5.Infrastructure Annex'!E95</f>
        <v>NMHP</v>
      </c>
      <c r="F11" s="1975">
        <f>+'5.Infrastructure Annex'!F95</f>
        <v>0</v>
      </c>
      <c r="G11" s="1975">
        <f>+'5.Infrastructure Annex'!G95</f>
        <v>0</v>
      </c>
      <c r="H11" s="1975">
        <f>+'5.Infrastructure Annex'!H95</f>
        <v>7.0000000000000007E-2</v>
      </c>
      <c r="I11" s="1975">
        <f>+'5.Infrastructure Annex'!I95</f>
        <v>7.0000000000000007E-2</v>
      </c>
      <c r="J11" s="1975">
        <f>+'5.Infrastructure Annex'!J95</f>
        <v>0</v>
      </c>
      <c r="K11" s="1975">
        <f>+'5.Infrastructure Annex'!K95</f>
        <v>0</v>
      </c>
      <c r="L11" s="1975">
        <f>+'5.Infrastructure Annex'!L95</f>
        <v>0</v>
      </c>
      <c r="M11" s="162">
        <f>+'5.Infrastructure Annex'!M95</f>
        <v>0</v>
      </c>
      <c r="N11" s="1975">
        <f>+'5.Infrastructure Annex'!N95</f>
        <v>0</v>
      </c>
      <c r="O11" s="2822">
        <f>+'5.Infrastructure Annex'!O95</f>
        <v>0</v>
      </c>
      <c r="P11" s="88">
        <f>+'5.Infrastructure Annex'!P95</f>
        <v>0</v>
      </c>
      <c r="Q11" s="54"/>
      <c r="R11" s="2825"/>
    </row>
    <row r="12" spans="1:18">
      <c r="A12" s="1716">
        <f>'6.Procurement Annex'!A7</f>
        <v>6</v>
      </c>
      <c r="B12" s="1716"/>
      <c r="C12" s="1716" t="str">
        <f>'6.Procurement Annex'!C7</f>
        <v>Procurement</v>
      </c>
      <c r="D12" s="1717"/>
      <c r="E12" s="2191"/>
      <c r="F12" s="2191"/>
      <c r="G12" s="2191"/>
      <c r="H12" s="2185"/>
      <c r="I12" s="2191"/>
      <c r="J12" s="2185"/>
      <c r="K12" s="2192"/>
      <c r="L12" s="2192"/>
      <c r="M12" s="2185"/>
      <c r="N12" s="2187"/>
      <c r="O12" s="3078">
        <f>SUM(O13:O15)</f>
        <v>25</v>
      </c>
      <c r="P12" s="2188"/>
      <c r="Q12" s="2198"/>
      <c r="R12" s="2888">
        <f>SUM(R13:R15)</f>
        <v>25</v>
      </c>
    </row>
    <row r="13" spans="1:18" ht="30">
      <c r="A13" s="4118" t="str">
        <f>'6.Procurement Annex'!A37</f>
        <v>6.1.5.2</v>
      </c>
      <c r="B13" s="2193" t="str">
        <f>+'6-A. Proc. Sub-Annex'!B100</f>
        <v>J.1.4</v>
      </c>
      <c r="C13" s="2193" t="str">
        <f>+'6-A. Proc. Sub-Annex'!C100</f>
        <v>Equipment</v>
      </c>
      <c r="D13" s="2194" t="str">
        <f>+'6-A. Proc. Sub-Annex'!D100</f>
        <v>NCD</v>
      </c>
      <c r="E13" s="2194" t="str">
        <f>+'6-A. Proc. Sub-Annex'!E100</f>
        <v>NMHP</v>
      </c>
      <c r="F13" s="2194">
        <f>+'6-A. Proc. Sub-Annex'!F100</f>
        <v>0</v>
      </c>
      <c r="G13" s="2194">
        <f>+'6-A. Proc. Sub-Annex'!G100</f>
        <v>0</v>
      </c>
      <c r="H13" s="2194">
        <f>+'6-A. Proc. Sub-Annex'!H100</f>
        <v>0</v>
      </c>
      <c r="I13" s="2194">
        <f>+'6-A. Proc. Sub-Annex'!I100</f>
        <v>0</v>
      </c>
      <c r="J13" s="2194">
        <f>+'6-A. Proc. Sub-Annex'!J100</f>
        <v>0</v>
      </c>
      <c r="K13" s="2194">
        <f>+'6-A. Proc. Sub-Annex'!K100</f>
        <v>0</v>
      </c>
      <c r="L13" s="2194">
        <f>+'6-A. Proc. Sub-Annex'!L100</f>
        <v>0</v>
      </c>
      <c r="M13" s="2195">
        <f>+'6-A. Proc. Sub-Annex'!M100</f>
        <v>0</v>
      </c>
      <c r="N13" s="2194">
        <f>+'6-A. Proc. Sub-Annex'!N100</f>
        <v>0</v>
      </c>
      <c r="O13" s="2890">
        <f>+'6-A. Proc. Sub-Annex'!O100</f>
        <v>0</v>
      </c>
      <c r="P13" s="2193">
        <f>+'6-A. Proc. Sub-Annex'!P100</f>
        <v>0</v>
      </c>
      <c r="Q13" s="54"/>
      <c r="R13" s="2825"/>
    </row>
    <row r="14" spans="1:18" ht="60">
      <c r="A14" s="4119"/>
      <c r="B14" s="88"/>
      <c r="C14" s="88">
        <f>+'6-A. Proc. Sub-Annex'!C254</f>
        <v>0</v>
      </c>
      <c r="D14" s="1975" t="str">
        <f>+'6-A. Proc. Sub-Annex'!D254</f>
        <v>NCD</v>
      </c>
      <c r="E14" s="1975" t="str">
        <f>+'6-A. Proc. Sub-Annex'!E254</f>
        <v>NMHP</v>
      </c>
      <c r="F14" s="1975">
        <f>+'6-A. Proc. Sub-Annex'!F254</f>
        <v>12</v>
      </c>
      <c r="G14" s="1975">
        <f>+'6-A. Proc. Sub-Annex'!G254</f>
        <v>0</v>
      </c>
      <c r="H14" s="1975">
        <f>+'6-A. Proc. Sub-Annex'!H254</f>
        <v>24</v>
      </c>
      <c r="I14" s="1975">
        <f>+'6-A. Proc. Sub-Annex'!I254</f>
        <v>0</v>
      </c>
      <c r="J14" s="1975">
        <f>+'6-A. Proc. Sub-Annex'!J254</f>
        <v>0</v>
      </c>
      <c r="K14" s="1975">
        <f>+'6-A. Proc. Sub-Annex'!K254</f>
        <v>0</v>
      </c>
      <c r="L14" s="1975">
        <f>+'6-A. Proc. Sub-Annex'!L254</f>
        <v>2500000</v>
      </c>
      <c r="M14" s="162">
        <f>+'6-A. Proc. Sub-Annex'!M254</f>
        <v>25</v>
      </c>
      <c r="N14" s="1975">
        <f>+'6-A. Proc. Sub-Annex'!N254</f>
        <v>1</v>
      </c>
      <c r="O14" s="2822">
        <f>+'6-A. Proc. Sub-Annex'!O254</f>
        <v>25</v>
      </c>
      <c r="P14" s="88" t="str">
        <f>+'6-A. Proc. Sub-Annex'!P254</f>
        <v>It has been decided that HHMH&amp;R shall procure the medicines under National Mental Health Programme and distributed to districts.</v>
      </c>
      <c r="Q14" s="54" t="s">
        <v>5723</v>
      </c>
      <c r="R14" s="2825">
        <v>25</v>
      </c>
    </row>
    <row r="15" spans="1:18" ht="30">
      <c r="A15" s="88" t="str">
        <f>'6.Procurement Annex'!A80</f>
        <v>6.2.4.2</v>
      </c>
      <c r="B15" s="88"/>
      <c r="C15" s="88">
        <f>+'6-A. Proc. Sub-Annex'!C255</f>
        <v>0</v>
      </c>
      <c r="D15" s="1975" t="str">
        <f>+'6-A. Proc. Sub-Annex'!D255</f>
        <v>NCD</v>
      </c>
      <c r="E15" s="1975" t="str">
        <f>+'6-A. Proc. Sub-Annex'!E255</f>
        <v>NMHP</v>
      </c>
      <c r="F15" s="1975">
        <f>+'6-A. Proc. Sub-Annex'!F255</f>
        <v>0</v>
      </c>
      <c r="G15" s="1975">
        <f>+'6-A. Proc. Sub-Annex'!G255</f>
        <v>0</v>
      </c>
      <c r="H15" s="1975">
        <f>+'6-A. Proc. Sub-Annex'!H255</f>
        <v>0</v>
      </c>
      <c r="I15" s="1975">
        <f>+'6-A. Proc. Sub-Annex'!I255</f>
        <v>0</v>
      </c>
      <c r="J15" s="1975">
        <f>+'6-A. Proc. Sub-Annex'!J255</f>
        <v>0</v>
      </c>
      <c r="K15" s="1975">
        <f>+'6-A. Proc. Sub-Annex'!K255</f>
        <v>0</v>
      </c>
      <c r="L15" s="1975">
        <f>+'6-A. Proc. Sub-Annex'!L255</f>
        <v>0</v>
      </c>
      <c r="M15" s="162">
        <f>+'6-A. Proc. Sub-Annex'!M255</f>
        <v>0</v>
      </c>
      <c r="N15" s="1975">
        <f>+'6-A. Proc. Sub-Annex'!N255</f>
        <v>0</v>
      </c>
      <c r="O15" s="2822">
        <f>+'6-A. Proc. Sub-Annex'!O255</f>
        <v>0</v>
      </c>
      <c r="P15" s="88">
        <f>+'6-A. Proc. Sub-Annex'!P255</f>
        <v>0</v>
      </c>
      <c r="Q15" s="54"/>
      <c r="R15" s="2825"/>
    </row>
    <row r="16" spans="1:18">
      <c r="A16" s="1716">
        <f>'7.Referral Transport Annex'!A7</f>
        <v>7</v>
      </c>
      <c r="B16" s="1716"/>
      <c r="C16" s="1716" t="str">
        <f>'7.Referral Transport Annex'!C7</f>
        <v>Referral Transport</v>
      </c>
      <c r="D16" s="1717"/>
      <c r="E16" s="2191"/>
      <c r="F16" s="2191"/>
      <c r="G16" s="2191"/>
      <c r="H16" s="2185"/>
      <c r="I16" s="2191"/>
      <c r="J16" s="2185"/>
      <c r="K16" s="2192"/>
      <c r="L16" s="2192"/>
      <c r="M16" s="2185"/>
      <c r="N16" s="2187"/>
      <c r="O16" s="3078">
        <f>O17</f>
        <v>0</v>
      </c>
      <c r="P16" s="2188"/>
      <c r="Q16" s="2198"/>
      <c r="R16" s="2888">
        <f>R17</f>
        <v>0</v>
      </c>
    </row>
    <row r="17" spans="1:18" ht="30">
      <c r="A17" s="88">
        <f>+'7.Referral Transport Annex'!A28</f>
        <v>7.7</v>
      </c>
      <c r="B17" s="88" t="str">
        <f>+'7.Referral Transport Annex'!B28</f>
        <v>J.1.6</v>
      </c>
      <c r="C17" s="88" t="str">
        <f>+'7.Referral Transport Annex'!C28</f>
        <v>Ambulatory Services</v>
      </c>
      <c r="D17" s="1975" t="str">
        <f>+'7.Referral Transport Annex'!D28</f>
        <v>NCD</v>
      </c>
      <c r="E17" s="1975" t="str">
        <f>+'7.Referral Transport Annex'!E28</f>
        <v>NMHP</v>
      </c>
      <c r="F17" s="1975">
        <f>+'7.Referral Transport Annex'!F28</f>
        <v>0</v>
      </c>
      <c r="G17" s="1975">
        <f>+'7.Referral Transport Annex'!G28</f>
        <v>0</v>
      </c>
      <c r="H17" s="1975">
        <f>+'7.Referral Transport Annex'!H28</f>
        <v>0</v>
      </c>
      <c r="I17" s="1975">
        <f>+'7.Referral Transport Annex'!I28</f>
        <v>0</v>
      </c>
      <c r="J17" s="1975">
        <f>+'7.Referral Transport Annex'!J28</f>
        <v>0</v>
      </c>
      <c r="K17" s="1975">
        <f>+'7.Referral Transport Annex'!K28</f>
        <v>0</v>
      </c>
      <c r="L17" s="1975">
        <f>+'7.Referral Transport Annex'!L28</f>
        <v>0</v>
      </c>
      <c r="M17" s="162">
        <f>+'7.Referral Transport Annex'!M28</f>
        <v>0</v>
      </c>
      <c r="N17" s="1975">
        <f>+'7.Referral Transport Annex'!N28</f>
        <v>0</v>
      </c>
      <c r="O17" s="2822">
        <f>+'7.Referral Transport Annex'!O28</f>
        <v>0</v>
      </c>
      <c r="P17" s="88">
        <f>+'7.Referral Transport Annex'!P28</f>
        <v>0</v>
      </c>
      <c r="Q17" s="54"/>
      <c r="R17" s="2825"/>
    </row>
    <row r="18" spans="1:18">
      <c r="A18" s="1468">
        <f>'9.Training Annex'!A7</f>
        <v>9</v>
      </c>
      <c r="B18" s="1468"/>
      <c r="C18" s="1468" t="str">
        <f>'9.Training Annex'!C7</f>
        <v>Training and Capacity Building</v>
      </c>
      <c r="D18" s="1419"/>
      <c r="E18" s="2189"/>
      <c r="F18" s="2189"/>
      <c r="G18" s="2189"/>
      <c r="H18" s="2185"/>
      <c r="I18" s="2189"/>
      <c r="J18" s="2185"/>
      <c r="K18" s="2190"/>
      <c r="L18" s="2190"/>
      <c r="M18" s="2185"/>
      <c r="N18" s="2187"/>
      <c r="O18" s="3078">
        <f>SUM(O19:O20)</f>
        <v>21.03248</v>
      </c>
      <c r="P18" s="2188"/>
      <c r="Q18" s="2198"/>
      <c r="R18" s="2888">
        <f>SUM(R19:R20)</f>
        <v>21.03</v>
      </c>
    </row>
    <row r="19" spans="1:18" ht="45">
      <c r="A19" s="4114" t="str">
        <f>'9.Training Annex'!A56</f>
        <v>9.2.4.2</v>
      </c>
      <c r="B19" s="88" t="str">
        <f>+'9-A.Training Sub-Annex'!B252</f>
        <v>J.1.2</v>
      </c>
      <c r="C19" s="88" t="str">
        <f>+'9-A.Training Sub-Annex'!C252</f>
        <v>Training of PHC Medical Officers, Nurses, Paramedical Workers &amp; Other Health Staff working under NMHP</v>
      </c>
      <c r="D19" s="1975" t="str">
        <f>+'9-A.Training Sub-Annex'!D252</f>
        <v>NCD</v>
      </c>
      <c r="E19" s="1975" t="str">
        <f>+'9-A.Training Sub-Annex'!E252</f>
        <v>NMHP</v>
      </c>
      <c r="F19" s="1975">
        <f>+'9-A.Training Sub-Annex'!F252</f>
        <v>8</v>
      </c>
      <c r="G19" s="1975">
        <f>+'9-A.Training Sub-Annex'!G252</f>
        <v>3</v>
      </c>
      <c r="H19" s="1975">
        <f>+'9-A.Training Sub-Annex'!H252</f>
        <v>24.92</v>
      </c>
      <c r="I19" s="1975">
        <f>+'9-A.Training Sub-Annex'!I252</f>
        <v>0</v>
      </c>
      <c r="J19" s="1975">
        <f>+'9-A.Training Sub-Annex'!J252</f>
        <v>10</v>
      </c>
      <c r="K19" s="1975">
        <f>+'9-A.Training Sub-Annex'!K252</f>
        <v>0</v>
      </c>
      <c r="L19" s="1975">
        <f>+'9-A.Training Sub-Annex'!L252</f>
        <v>262906</v>
      </c>
      <c r="M19" s="162">
        <f>+'9-A.Training Sub-Annex'!M252</f>
        <v>2.62906</v>
      </c>
      <c r="N19" s="1975">
        <f>+'9-A.Training Sub-Annex'!N252</f>
        <v>8</v>
      </c>
      <c r="O19" s="2822">
        <f>+'9-A.Training Sub-Annex'!O252</f>
        <v>21.03248</v>
      </c>
      <c r="P19" s="88" t="str">
        <f>+'9-A.Training Sub-Annex'!P252</f>
        <v>5 batches of Mos @ 255200 and 3 batches paramedics  @ 275750 proposed to be  conducted .</v>
      </c>
      <c r="Q19" s="54" t="s">
        <v>5756</v>
      </c>
      <c r="R19" s="2825">
        <v>21.03</v>
      </c>
    </row>
    <row r="20" spans="1:18" ht="30">
      <c r="A20" s="4115"/>
      <c r="B20" s="88"/>
      <c r="C20" s="88" t="str">
        <f>+'9-A.Training Sub-Annex'!C253</f>
        <v>Any other (please specify)</v>
      </c>
      <c r="D20" s="1975" t="str">
        <f>+'9-A.Training Sub-Annex'!D253</f>
        <v>NCD</v>
      </c>
      <c r="E20" s="1975" t="str">
        <f>+'9-A.Training Sub-Annex'!E253</f>
        <v>NMHP</v>
      </c>
      <c r="F20" s="1975">
        <f>+'9-A.Training Sub-Annex'!F253</f>
        <v>0</v>
      </c>
      <c r="G20" s="1975">
        <f>+'9-A.Training Sub-Annex'!G253</f>
        <v>0</v>
      </c>
      <c r="H20" s="1975">
        <f>+'9-A.Training Sub-Annex'!H253</f>
        <v>0</v>
      </c>
      <c r="I20" s="1975">
        <f>+'9-A.Training Sub-Annex'!I253</f>
        <v>0</v>
      </c>
      <c r="J20" s="1975">
        <f>+'9-A.Training Sub-Annex'!J253</f>
        <v>0</v>
      </c>
      <c r="K20" s="1975">
        <f>+'9-A.Training Sub-Annex'!K253</f>
        <v>0</v>
      </c>
      <c r="L20" s="1975">
        <f>+'9-A.Training Sub-Annex'!L253</f>
        <v>0</v>
      </c>
      <c r="M20" s="162">
        <f>+'9-A.Training Sub-Annex'!M253</f>
        <v>0</v>
      </c>
      <c r="N20" s="1975">
        <f>+'9-A.Training Sub-Annex'!N253</f>
        <v>0</v>
      </c>
      <c r="O20" s="2822">
        <f>+'9-A.Training Sub-Annex'!O253</f>
        <v>0</v>
      </c>
      <c r="P20" s="88">
        <f>+'9-A.Training Sub-Annex'!P253</f>
        <v>0</v>
      </c>
      <c r="Q20" s="54"/>
      <c r="R20" s="2825">
        <v>0</v>
      </c>
    </row>
    <row r="21" spans="1:18">
      <c r="A21" s="1716">
        <f>'11.IEC-BCC Annex'!A7</f>
        <v>11</v>
      </c>
      <c r="B21" s="1716"/>
      <c r="C21" s="1716" t="str">
        <f>'11.IEC-BCC Annex'!C7</f>
        <v>IEC/BCC</v>
      </c>
      <c r="D21" s="1717"/>
      <c r="E21" s="2191"/>
      <c r="F21" s="2191"/>
      <c r="G21" s="2191"/>
      <c r="H21" s="2185"/>
      <c r="I21" s="2191"/>
      <c r="J21" s="2185"/>
      <c r="K21" s="2192"/>
      <c r="L21" s="2192"/>
      <c r="M21" s="2185"/>
      <c r="N21" s="2187"/>
      <c r="O21" s="3078">
        <f>SUM(O22:O24)</f>
        <v>5</v>
      </c>
      <c r="P21" s="2188"/>
      <c r="Q21" s="2198"/>
      <c r="R21" s="2888">
        <f>SUM(R22:R24)</f>
        <v>5</v>
      </c>
    </row>
    <row r="22" spans="1:18" ht="30">
      <c r="A22" s="4104" t="str">
        <f>'11.IEC-BCC Annex'!A33</f>
        <v>11.4.2</v>
      </c>
      <c r="B22" s="88" t="str">
        <f>+'11-A. IEC Sub-Annex'!B81</f>
        <v>B.10.6.12.a</v>
      </c>
      <c r="C22" s="88" t="str">
        <f>+'11-A. IEC Sub-Annex'!C81</f>
        <v>Translation of IEC material and distribution</v>
      </c>
      <c r="D22" s="1975" t="str">
        <f>+'11-A. IEC Sub-Annex'!D81</f>
        <v>NCD</v>
      </c>
      <c r="E22" s="1975" t="str">
        <f>+'11-A. IEC Sub-Annex'!E81</f>
        <v>NMHP</v>
      </c>
      <c r="F22" s="1975">
        <f>+'11-A. IEC Sub-Annex'!F81</f>
        <v>6</v>
      </c>
      <c r="G22" s="1975">
        <f>+'11-A. IEC Sub-Annex'!G81</f>
        <v>0</v>
      </c>
      <c r="H22" s="1975">
        <f>+'11-A. IEC Sub-Annex'!H81</f>
        <v>6</v>
      </c>
      <c r="I22" s="1975">
        <f>+'11-A. IEC Sub-Annex'!I81</f>
        <v>0</v>
      </c>
      <c r="J22" s="1975">
        <f>+'11-A. IEC Sub-Annex'!J81</f>
        <v>6</v>
      </c>
      <c r="K22" s="1975">
        <f>+'11-A. IEC Sub-Annex'!K81</f>
        <v>0</v>
      </c>
      <c r="L22" s="1975">
        <f>+'11-A. IEC Sub-Annex'!L81</f>
        <v>0</v>
      </c>
      <c r="M22" s="162">
        <f>+'11-A. IEC Sub-Annex'!M81</f>
        <v>0</v>
      </c>
      <c r="N22" s="1975">
        <f>+'11-A. IEC Sub-Annex'!N81</f>
        <v>0</v>
      </c>
      <c r="O22" s="2822">
        <f>+'11-A. IEC Sub-Annex'!O81</f>
        <v>0</v>
      </c>
      <c r="P22" s="88">
        <f>+'11-A. IEC Sub-Annex'!P81</f>
        <v>0</v>
      </c>
      <c r="Q22" s="54"/>
      <c r="R22" s="2825"/>
    </row>
    <row r="23" spans="1:18" ht="45">
      <c r="A23" s="4105"/>
      <c r="B23" s="88" t="str">
        <f>+'11-A. IEC Sub-Annex'!B82</f>
        <v>B.10.6.12.b</v>
      </c>
      <c r="C23" s="88" t="str">
        <f>+'11-A. IEC Sub-Annex'!C82</f>
        <v>Awareness generation activities in the community, schools, workplaces with community involvement</v>
      </c>
      <c r="D23" s="1975" t="str">
        <f>+'11-A. IEC Sub-Annex'!D82</f>
        <v>NCD</v>
      </c>
      <c r="E23" s="1975" t="str">
        <f>+'11-A. IEC Sub-Annex'!E82</f>
        <v>NMHP</v>
      </c>
      <c r="F23" s="1975">
        <f>+'11-A. IEC Sub-Annex'!F82</f>
        <v>50</v>
      </c>
      <c r="G23" s="1975">
        <f>+'11-A. IEC Sub-Annex'!G82</f>
        <v>0</v>
      </c>
      <c r="H23" s="1975">
        <f>+'11-A. IEC Sub-Annex'!H82</f>
        <v>3.5</v>
      </c>
      <c r="I23" s="1975">
        <f>+'11-A. IEC Sub-Annex'!I82</f>
        <v>0.05</v>
      </c>
      <c r="J23" s="1975">
        <f>+'11-A. IEC Sub-Annex'!J82</f>
        <v>3.45</v>
      </c>
      <c r="K23" s="1975">
        <f>+'11-A. IEC Sub-Annex'!K82</f>
        <v>0</v>
      </c>
      <c r="L23" s="1975">
        <f>+'11-A. IEC Sub-Annex'!L82</f>
        <v>500000</v>
      </c>
      <c r="M23" s="162">
        <f>+'11-A. IEC Sub-Annex'!M82</f>
        <v>5</v>
      </c>
      <c r="N23" s="1975">
        <f>+'11-A. IEC Sub-Annex'!N82</f>
        <v>1</v>
      </c>
      <c r="O23" s="2822">
        <f>+'11-A. IEC Sub-Annex'!O82</f>
        <v>5</v>
      </c>
      <c r="P23" s="88" t="str">
        <f>+'11-A. IEC Sub-Annex'!P82</f>
        <v xml:space="preserve">2.5 lacs for the state HQ, 2.5 lacs to be distributed in the 12 districts proportionately. </v>
      </c>
      <c r="Q23" s="54" t="s">
        <v>5756</v>
      </c>
      <c r="R23" s="2825">
        <v>5</v>
      </c>
    </row>
    <row r="24" spans="1:18" ht="30">
      <c r="A24" s="4106"/>
      <c r="B24" s="88"/>
      <c r="C24" s="88" t="str">
        <f>+'11-A. IEC Sub-Annex'!C83</f>
        <v>Any other IEC/BCC activities (please specify)</v>
      </c>
      <c r="D24" s="1975" t="str">
        <f>+'11-A. IEC Sub-Annex'!D83</f>
        <v>NCD</v>
      </c>
      <c r="E24" s="1975" t="str">
        <f>+'11-A. IEC Sub-Annex'!E83</f>
        <v>NMHP</v>
      </c>
      <c r="F24" s="1975">
        <f>+'11-A. IEC Sub-Annex'!F83</f>
        <v>88</v>
      </c>
      <c r="G24" s="1975">
        <f>+'11-A. IEC Sub-Annex'!G83</f>
        <v>0</v>
      </c>
      <c r="H24" s="1975">
        <f>+'11-A. IEC Sub-Annex'!H83</f>
        <v>2.2799999999999998</v>
      </c>
      <c r="I24" s="1975">
        <f>+'11-A. IEC Sub-Annex'!I83</f>
        <v>6.04</v>
      </c>
      <c r="J24" s="1975">
        <f>+'11-A. IEC Sub-Annex'!J83</f>
        <v>-3.76</v>
      </c>
      <c r="K24" s="1975">
        <f>+'11-A. IEC Sub-Annex'!K83</f>
        <v>0</v>
      </c>
      <c r="L24" s="1975">
        <f>+'11-A. IEC Sub-Annex'!L83</f>
        <v>0</v>
      </c>
      <c r="M24" s="162">
        <f>+'11-A. IEC Sub-Annex'!M83</f>
        <v>0</v>
      </c>
      <c r="N24" s="1975">
        <f>+'11-A. IEC Sub-Annex'!N83</f>
        <v>0</v>
      </c>
      <c r="O24" s="2822">
        <f>+'11-A. IEC Sub-Annex'!O83</f>
        <v>0</v>
      </c>
      <c r="P24" s="88">
        <f>+'11-A. IEC Sub-Annex'!P83</f>
        <v>0</v>
      </c>
      <c r="Q24" s="54"/>
      <c r="R24" s="2825"/>
    </row>
    <row r="25" spans="1:18">
      <c r="A25" s="1716">
        <f>'12.Printing Annex'!A7</f>
        <v>12</v>
      </c>
      <c r="B25" s="1716"/>
      <c r="C25" s="1716" t="str">
        <f>'12.Printing Annex'!C7</f>
        <v>Printing</v>
      </c>
      <c r="D25" s="1717"/>
      <c r="E25" s="2191"/>
      <c r="F25" s="2191"/>
      <c r="G25" s="2191"/>
      <c r="H25" s="2185"/>
      <c r="I25" s="2191"/>
      <c r="J25" s="2185"/>
      <c r="K25" s="2192"/>
      <c r="L25" s="2192"/>
      <c r="M25" s="2185"/>
      <c r="N25" s="2187"/>
      <c r="O25" s="3078">
        <f>O26</f>
        <v>0</v>
      </c>
      <c r="P25" s="2188"/>
      <c r="Q25" s="2198"/>
      <c r="R25" s="2888">
        <f>R26</f>
        <v>0</v>
      </c>
    </row>
    <row r="26" spans="1:18" ht="30">
      <c r="A26" s="88" t="str">
        <f>'12.Printing Annex'!A35</f>
        <v>12.4.2</v>
      </c>
      <c r="B26" s="88">
        <f>'12-A. Print Sub-Annex'!B93</f>
        <v>0</v>
      </c>
      <c r="C26" s="88" t="str">
        <f>'12-A. Print Sub-Annex'!C93</f>
        <v>Printing activities under NMHP</v>
      </c>
      <c r="D26" s="1975" t="str">
        <f>'12-A. Print Sub-Annex'!D93</f>
        <v>NCD</v>
      </c>
      <c r="E26" s="1975" t="str">
        <f>'12-A. Print Sub-Annex'!E93</f>
        <v>NMHP</v>
      </c>
      <c r="F26" s="1975">
        <f>'12-A. Print Sub-Annex'!F93</f>
        <v>0</v>
      </c>
      <c r="G26" s="1975">
        <f>'12-A. Print Sub-Annex'!G93</f>
        <v>0</v>
      </c>
      <c r="H26" s="1975">
        <f>'12-A. Print Sub-Annex'!H93</f>
        <v>0</v>
      </c>
      <c r="I26" s="1975">
        <f>'12-A. Print Sub-Annex'!I93</f>
        <v>0</v>
      </c>
      <c r="J26" s="1975">
        <f>'12-A. Print Sub-Annex'!J93</f>
        <v>0</v>
      </c>
      <c r="K26" s="1975">
        <f>'12-A. Print Sub-Annex'!K93</f>
        <v>0</v>
      </c>
      <c r="L26" s="1975">
        <f>'12-A. Print Sub-Annex'!L93</f>
        <v>0</v>
      </c>
      <c r="M26" s="162">
        <f>'12-A. Print Sub-Annex'!M93</f>
        <v>0</v>
      </c>
      <c r="N26" s="1975">
        <f>'12-A. Print Sub-Annex'!N93</f>
        <v>0</v>
      </c>
      <c r="O26" s="2822">
        <f>'12-A. Print Sub-Annex'!O93</f>
        <v>0</v>
      </c>
      <c r="P26" s="88">
        <f>'12-A. Print Sub-Annex'!P93</f>
        <v>0</v>
      </c>
      <c r="Q26" s="54"/>
      <c r="R26" s="2825"/>
    </row>
    <row r="27" spans="1:18">
      <c r="A27" s="1716">
        <f>'15.PPP Annex'!A7</f>
        <v>15</v>
      </c>
      <c r="B27" s="1716"/>
      <c r="C27" s="1716" t="str">
        <f>'15.PPP Annex'!C7</f>
        <v>PPP</v>
      </c>
      <c r="D27" s="1717"/>
      <c r="E27" s="2191"/>
      <c r="F27" s="2191"/>
      <c r="G27" s="2191"/>
      <c r="H27" s="2185"/>
      <c r="I27" s="2191"/>
      <c r="J27" s="2185"/>
      <c r="K27" s="2192"/>
      <c r="L27" s="2192"/>
      <c r="M27" s="2185"/>
      <c r="N27" s="2187"/>
      <c r="O27" s="3078">
        <f>O28</f>
        <v>0</v>
      </c>
      <c r="P27" s="2188"/>
      <c r="Q27" s="2198"/>
      <c r="R27" s="2888">
        <f>R28</f>
        <v>0</v>
      </c>
    </row>
    <row r="28" spans="1:18" ht="30">
      <c r="A28" s="88" t="str">
        <f>+'15.PPP Annex'!A46</f>
        <v>15.4.4</v>
      </c>
      <c r="B28" s="88"/>
      <c r="C28" s="88" t="str">
        <f>+'15.PPP Annex'!C46</f>
        <v>NGO based activities under NMHP</v>
      </c>
      <c r="D28" s="1975" t="str">
        <f>+'15.PPP Annex'!D46</f>
        <v>NCD</v>
      </c>
      <c r="E28" s="1975" t="str">
        <f>+'15.PPP Annex'!E46</f>
        <v>NMHP</v>
      </c>
      <c r="F28" s="1975">
        <f>+'15.PPP Annex'!F46</f>
        <v>0</v>
      </c>
      <c r="G28" s="1975">
        <f>+'15.PPP Annex'!G46</f>
        <v>0</v>
      </c>
      <c r="H28" s="1975">
        <f>+'15.PPP Annex'!H46</f>
        <v>0</v>
      </c>
      <c r="I28" s="1975">
        <f>+'15.PPP Annex'!I46</f>
        <v>0</v>
      </c>
      <c r="J28" s="1975">
        <f>+'15.PPP Annex'!J46</f>
        <v>0</v>
      </c>
      <c r="K28" s="1975">
        <f>+'15.PPP Annex'!K46</f>
        <v>0</v>
      </c>
      <c r="L28" s="1975">
        <f>+'15.PPP Annex'!L46</f>
        <v>0</v>
      </c>
      <c r="M28" s="162">
        <f>+'15.PPP Annex'!M46</f>
        <v>0</v>
      </c>
      <c r="N28" s="1975">
        <f>+'15.PPP Annex'!N46</f>
        <v>0</v>
      </c>
      <c r="O28" s="2822">
        <f>+'15.PPP Annex'!O46</f>
        <v>0</v>
      </c>
      <c r="P28" s="88">
        <f>+'15.PPP Annex'!P46</f>
        <v>0</v>
      </c>
      <c r="Q28" s="54"/>
      <c r="R28" s="2825"/>
    </row>
    <row r="29" spans="1:18">
      <c r="A29" s="876">
        <f>'16.PM Annex'!A7</f>
        <v>16</v>
      </c>
      <c r="B29" s="876"/>
      <c r="C29" s="876" t="str">
        <f>'16.PM Annex'!C7</f>
        <v>Programme Management</v>
      </c>
      <c r="D29" s="877"/>
      <c r="E29" s="2196"/>
      <c r="F29" s="2196"/>
      <c r="G29" s="2196"/>
      <c r="H29" s="2185"/>
      <c r="I29" s="2196"/>
      <c r="J29" s="2185"/>
      <c r="K29" s="2197"/>
      <c r="L29" s="2197"/>
      <c r="M29" s="2185"/>
      <c r="N29" s="2187"/>
      <c r="O29" s="3078">
        <f>SUM(O30:O33)</f>
        <v>5.76</v>
      </c>
      <c r="P29" s="2188"/>
      <c r="Q29" s="2198"/>
      <c r="R29" s="2888">
        <f>SUM(R30:R33)</f>
        <v>4.08</v>
      </c>
    </row>
    <row r="30" spans="1:18" ht="30">
      <c r="A30" s="88" t="str">
        <f>'16-A. PM sub Annex'!A18</f>
        <v>16.1.1.8</v>
      </c>
      <c r="B30" s="88" t="e">
        <f>'16-A. PM sub Annex'!#REF!</f>
        <v>#REF!</v>
      </c>
      <c r="C30" s="88" t="str">
        <f>'16-A. PM sub Annex'!C18</f>
        <v>Preparatory phase : Development of district plan</v>
      </c>
      <c r="D30" s="1975" t="str">
        <f>'16-A. PM sub Annex'!D18</f>
        <v>NCD</v>
      </c>
      <c r="E30" s="1975" t="str">
        <f>'16-A. PM sub Annex'!E18</f>
        <v>HRH&amp;HPIP/NMHP</v>
      </c>
      <c r="F30" s="1975">
        <f>'16-A. PM sub Annex'!F18</f>
        <v>0</v>
      </c>
      <c r="G30" s="1975">
        <f>'16-A. PM sub Annex'!G18</f>
        <v>0</v>
      </c>
      <c r="H30" s="1975">
        <f>'16-A. PM sub Annex'!H18</f>
        <v>0</v>
      </c>
      <c r="I30" s="1975">
        <f>'16-A. PM sub Annex'!I18</f>
        <v>0</v>
      </c>
      <c r="J30" s="1975">
        <f>'16-A. PM sub Annex'!J18</f>
        <v>0</v>
      </c>
      <c r="K30" s="1975">
        <f>'16-A. PM sub Annex'!K18</f>
        <v>0</v>
      </c>
      <c r="L30" s="1975">
        <f>'16-A. PM sub Annex'!L18</f>
        <v>0</v>
      </c>
      <c r="M30" s="162">
        <f>'16-A. PM sub Annex'!M18</f>
        <v>0</v>
      </c>
      <c r="N30" s="1975">
        <f>'16-A. PM sub Annex'!N18</f>
        <v>0</v>
      </c>
      <c r="O30" s="2822">
        <f>'16-A. PM sub Annex'!O18</f>
        <v>0</v>
      </c>
      <c r="P30" s="88">
        <f>'16-A. PM sub Annex'!P18</f>
        <v>0</v>
      </c>
      <c r="Q30" s="54"/>
      <c r="R30" s="2825"/>
    </row>
    <row r="31" spans="1:18" ht="30">
      <c r="A31" s="88" t="str">
        <f>'16-A. PM sub Annex'!A107</f>
        <v>16.1.3.3.13</v>
      </c>
      <c r="B31" s="88" t="e">
        <f>'16-A. PM sub Annex'!#REF!</f>
        <v>#REF!</v>
      </c>
      <c r="C31" s="88" t="str">
        <f>'16-A. PM sub Annex'!C107</f>
        <v>Miscellaneous/ Travel</v>
      </c>
      <c r="D31" s="1975" t="str">
        <f>'16-A. PM sub Annex'!D107</f>
        <v>NCD</v>
      </c>
      <c r="E31" s="1975" t="str">
        <f>'16-A. PM sub Annex'!E107</f>
        <v>HRH&amp;HPIP/NMHP</v>
      </c>
      <c r="F31" s="1975">
        <f>'16-A. PM sub Annex'!F107</f>
        <v>0</v>
      </c>
      <c r="G31" s="1975">
        <f>'16-A. PM sub Annex'!G107</f>
        <v>0</v>
      </c>
      <c r="H31" s="1975">
        <f>'16-A. PM sub Annex'!H107</f>
        <v>0</v>
      </c>
      <c r="I31" s="1975">
        <f>'16-A. PM sub Annex'!I107</f>
        <v>0</v>
      </c>
      <c r="J31" s="1975">
        <f>'16-A. PM sub Annex'!J107</f>
        <v>0</v>
      </c>
      <c r="K31" s="1975">
        <f>'16-A. PM sub Annex'!K107</f>
        <v>0</v>
      </c>
      <c r="L31" s="1975">
        <f>'16-A. PM sub Annex'!L107</f>
        <v>0</v>
      </c>
      <c r="M31" s="162">
        <f>'16-A. PM sub Annex'!M107</f>
        <v>0</v>
      </c>
      <c r="N31" s="1975">
        <f>'16-A. PM sub Annex'!N107</f>
        <v>0</v>
      </c>
      <c r="O31" s="2822">
        <f>'16-A. PM sub Annex'!O107</f>
        <v>0</v>
      </c>
      <c r="P31" s="88">
        <f>'16-A. PM sub Annex'!P107</f>
        <v>0</v>
      </c>
      <c r="Q31" s="54" t="s">
        <v>5921</v>
      </c>
      <c r="R31" s="2825">
        <v>2.88</v>
      </c>
    </row>
    <row r="32" spans="1:18" ht="30">
      <c r="A32" s="88" t="str">
        <f>'16-A. PM sub Annex'!A142</f>
        <v>16.1.4.2.6</v>
      </c>
      <c r="B32" s="88" t="e">
        <f>'16-A. PM sub Annex'!#REF!</f>
        <v>#REF!</v>
      </c>
      <c r="C32" s="88" t="str">
        <f>'16-A. PM sub Annex'!C142</f>
        <v>Operational expenses of the district centre : rent, telephone expenses, website etc.</v>
      </c>
      <c r="D32" s="1975" t="str">
        <f>'16-A. PM sub Annex'!D142</f>
        <v>NCD</v>
      </c>
      <c r="E32" s="1975" t="str">
        <f>'16-A. PM sub Annex'!E142</f>
        <v>HRH&amp;HPIP/NMHP</v>
      </c>
      <c r="F32" s="1975">
        <f>'16-A. PM sub Annex'!F142</f>
        <v>0</v>
      </c>
      <c r="G32" s="1975">
        <f>'16-A. PM sub Annex'!G142</f>
        <v>0</v>
      </c>
      <c r="H32" s="1975">
        <f>'16-A. PM sub Annex'!H142</f>
        <v>0</v>
      </c>
      <c r="I32" s="1975">
        <f>'16-A. PM sub Annex'!I142</f>
        <v>0</v>
      </c>
      <c r="J32" s="1975">
        <f>'16-A. PM sub Annex'!J142</f>
        <v>0</v>
      </c>
      <c r="K32" s="1975">
        <f>'16-A. PM sub Annex'!K142</f>
        <v>0</v>
      </c>
      <c r="L32" s="1975">
        <f>'16-A. PM sub Annex'!L142</f>
        <v>24000</v>
      </c>
      <c r="M32" s="162">
        <f>'16-A. PM sub Annex'!M142</f>
        <v>0.24</v>
      </c>
      <c r="N32" s="1975">
        <f>'16-A. PM sub Annex'!N142</f>
        <v>12</v>
      </c>
      <c r="O32" s="2822">
        <f>'16-A. PM sub Annex'!O142</f>
        <v>2.88</v>
      </c>
      <c r="P32" s="88" t="str">
        <f>'16-A. PM sub Annex'!P142</f>
        <v>operational expenses for the DMHT</v>
      </c>
      <c r="Q32" s="54" t="s">
        <v>5757</v>
      </c>
      <c r="R32" s="2825">
        <f>12*0.1</f>
        <v>1.2000000000000002</v>
      </c>
    </row>
    <row r="33" spans="1:18" ht="30">
      <c r="A33" s="88" t="str">
        <f>'16-A. PM sub Annex'!A143</f>
        <v>16.1.4.2.7</v>
      </c>
      <c r="B33" s="88" t="e">
        <f>'16-A. PM sub Annex'!#REF!</f>
        <v>#REF!</v>
      </c>
      <c r="C33" s="88" t="str">
        <f>'16-A. PM sub Annex'!C143</f>
        <v>Contingency under NMHP</v>
      </c>
      <c r="D33" s="1975" t="str">
        <f>'16-A. PM sub Annex'!D143</f>
        <v>NCD</v>
      </c>
      <c r="E33" s="1975" t="str">
        <f>'16-A. PM sub Annex'!E143</f>
        <v>HRH&amp;HPIP/NMHP</v>
      </c>
      <c r="F33" s="1975">
        <f>'16-A. PM sub Annex'!F143</f>
        <v>0</v>
      </c>
      <c r="G33" s="1975">
        <f>'16-A. PM sub Annex'!G143</f>
        <v>0</v>
      </c>
      <c r="H33" s="1975">
        <f>'16-A. PM sub Annex'!H143</f>
        <v>0</v>
      </c>
      <c r="I33" s="1975">
        <f>'16-A. PM sub Annex'!I143</f>
        <v>0</v>
      </c>
      <c r="J33" s="1975">
        <f>'16-A. PM sub Annex'!J143</f>
        <v>0</v>
      </c>
      <c r="K33" s="1975">
        <f>'16-A. PM sub Annex'!K143</f>
        <v>0</v>
      </c>
      <c r="L33" s="1975">
        <f>'16-A. PM sub Annex'!L143</f>
        <v>24000</v>
      </c>
      <c r="M33" s="162">
        <f>'16-A. PM sub Annex'!M143</f>
        <v>0.24</v>
      </c>
      <c r="N33" s="1975">
        <f>'16-A. PM sub Annex'!N143</f>
        <v>12</v>
      </c>
      <c r="O33" s="2822">
        <f>'16-A. PM sub Annex'!O143</f>
        <v>2.88</v>
      </c>
      <c r="P33" s="88" t="str">
        <f>'16-A. PM sub Annex'!P143</f>
        <v>contingency for the DMHT</v>
      </c>
      <c r="Q33" s="108" t="s">
        <v>5920</v>
      </c>
      <c r="R33" s="2826">
        <v>0</v>
      </c>
    </row>
  </sheetData>
  <sheetProtection sheet="1" formatCells="0" formatColumns="0" formatRows="0" autoFilter="0"/>
  <autoFilter ref="A5:M33"/>
  <mergeCells count="12">
    <mergeCell ref="A13:A14"/>
    <mergeCell ref="A19:A20"/>
    <mergeCell ref="A22:A24"/>
    <mergeCell ref="Q4:R4"/>
    <mergeCell ref="E4:E5"/>
    <mergeCell ref="F4:J4"/>
    <mergeCell ref="K4:P4"/>
    <mergeCell ref="A1:C1"/>
    <mergeCell ref="A4:A5"/>
    <mergeCell ref="B4:B5"/>
    <mergeCell ref="C4:C5"/>
    <mergeCell ref="D4:D5"/>
  </mergeCells>
  <pageMargins left="0.7" right="0.7" top="0.75" bottom="0.75" header="0.3" footer="0.3"/>
</worksheet>
</file>

<file path=xl/worksheets/sheet54.xml><?xml version="1.0" encoding="utf-8"?>
<worksheet xmlns="http://schemas.openxmlformats.org/spreadsheetml/2006/main" xmlns:r="http://schemas.openxmlformats.org/officeDocument/2006/relationships">
  <dimension ref="A1:P472"/>
  <sheetViews>
    <sheetView zoomScale="70" zoomScaleNormal="70" workbookViewId="0">
      <pane xSplit="3" ySplit="5" topLeftCell="D18" activePane="bottomRight" state="frozen"/>
      <selection pane="topRight" activeCell="D1" sqref="D1"/>
      <selection pane="bottomLeft" activeCell="A6" sqref="A6"/>
      <selection pane="bottomRight" activeCell="M119" sqref="M119"/>
    </sheetView>
  </sheetViews>
  <sheetFormatPr defaultColWidth="8.7109375" defaultRowHeight="12.75"/>
  <cols>
    <col min="1" max="1" width="9.42578125" style="1" bestFit="1" customWidth="1"/>
    <col min="2" max="2" width="11.42578125" style="1" customWidth="1"/>
    <col min="3" max="3" width="39.42578125" style="1" customWidth="1"/>
    <col min="4" max="4" width="17.7109375" style="1" customWidth="1"/>
    <col min="5" max="5" width="15.28515625" style="1" customWidth="1"/>
    <col min="6" max="6" width="15" style="1" customWidth="1"/>
    <col min="7" max="7" width="17.42578125" style="1" customWidth="1"/>
    <col min="8" max="8" width="19.85546875" style="1" customWidth="1"/>
    <col min="9" max="9" width="17.28515625" style="1" customWidth="1"/>
    <col min="10" max="10" width="14.28515625" style="1" customWidth="1"/>
    <col min="11" max="11" width="17" style="1" customWidth="1"/>
    <col min="12" max="12" width="12.85546875" style="1" customWidth="1"/>
    <col min="13" max="13" width="19.140625" style="1" customWidth="1"/>
    <col min="14" max="14" width="27.7109375" style="1" customWidth="1"/>
    <col min="15" max="15" width="33.85546875" style="1" customWidth="1"/>
    <col min="16" max="16" width="20" style="1" customWidth="1"/>
    <col min="17" max="16384" width="8.7109375" style="1"/>
  </cols>
  <sheetData>
    <row r="1" spans="1:16">
      <c r="A1" s="4120" t="s">
        <v>4212</v>
      </c>
      <c r="B1" s="4120"/>
      <c r="C1" s="4120"/>
      <c r="D1" s="4120"/>
      <c r="E1" s="4120"/>
      <c r="F1" s="4120"/>
      <c r="G1" s="4120"/>
      <c r="H1" s="4120"/>
      <c r="I1" s="4120"/>
      <c r="J1" s="4120"/>
      <c r="K1" s="4120"/>
      <c r="L1" s="4120"/>
      <c r="M1" s="4120"/>
      <c r="N1" s="4120"/>
      <c r="O1" s="4120"/>
      <c r="P1" s="4120"/>
    </row>
    <row r="2" spans="1:16" s="18" customFormat="1">
      <c r="A2" s="16" t="str">
        <f>HYPERLINK("#Index!D2", "Index Pg")</f>
        <v>Index Pg</v>
      </c>
      <c r="B2" s="10"/>
      <c r="C2" s="11" t="str">
        <f>HYPERLINK("#'Budget Summary II'!A3:B5", "Budget Summary II")</f>
        <v>Budget Summary II</v>
      </c>
      <c r="D2" s="17"/>
      <c r="E2" s="17"/>
      <c r="F2" s="17"/>
      <c r="G2" s="17"/>
      <c r="H2" s="17"/>
      <c r="I2" s="17"/>
      <c r="J2" s="2"/>
      <c r="K2" s="2"/>
      <c r="L2" s="2"/>
      <c r="M2" s="2"/>
      <c r="N2" s="2"/>
      <c r="O2" s="2"/>
      <c r="P2" s="2"/>
    </row>
    <row r="3" spans="1:16" ht="12.75" customHeight="1">
      <c r="A3" s="4122" t="s">
        <v>48</v>
      </c>
      <c r="B3" s="4122" t="s">
        <v>49</v>
      </c>
      <c r="C3" s="4122" t="s">
        <v>50</v>
      </c>
      <c r="D3" s="4121" t="s">
        <v>4478</v>
      </c>
      <c r="E3" s="4121"/>
      <c r="F3" s="4121"/>
      <c r="G3" s="4121"/>
      <c r="H3" s="4121"/>
      <c r="I3" s="4124" t="s">
        <v>4484</v>
      </c>
      <c r="J3" s="4125"/>
      <c r="K3" s="4125"/>
      <c r="L3" s="4125"/>
      <c r="M3" s="4125"/>
      <c r="N3" s="4126"/>
      <c r="O3" s="4127" t="s">
        <v>4514</v>
      </c>
      <c r="P3" s="4128"/>
    </row>
    <row r="4" spans="1:16" ht="51">
      <c r="A4" s="4123"/>
      <c r="B4" s="4123"/>
      <c r="C4" s="4123"/>
      <c r="D4" s="39" t="s">
        <v>4479</v>
      </c>
      <c r="E4" s="39" t="s">
        <v>4482</v>
      </c>
      <c r="F4" s="39" t="s">
        <v>4480</v>
      </c>
      <c r="G4" s="39" t="s">
        <v>4483</v>
      </c>
      <c r="H4" s="40" t="s">
        <v>2448</v>
      </c>
      <c r="I4" s="37" t="s">
        <v>53</v>
      </c>
      <c r="J4" s="37" t="s">
        <v>54</v>
      </c>
      <c r="K4" s="38" t="s">
        <v>55</v>
      </c>
      <c r="L4" s="37" t="s">
        <v>56</v>
      </c>
      <c r="M4" s="38" t="s">
        <v>57</v>
      </c>
      <c r="N4" s="37" t="s">
        <v>58</v>
      </c>
      <c r="O4" s="41" t="s">
        <v>2450</v>
      </c>
      <c r="P4" s="42" t="s">
        <v>4515</v>
      </c>
    </row>
    <row r="5" spans="1:16" s="25" customFormat="1">
      <c r="A5" s="12"/>
      <c r="B5" s="12"/>
      <c r="C5" s="13" t="s">
        <v>4013</v>
      </c>
      <c r="D5" s="33"/>
      <c r="E5" s="33"/>
      <c r="F5" s="33">
        <f>F6+F12+F103+F212+F214+F217+F223+F226+F237+F264</f>
        <v>8477.4</v>
      </c>
      <c r="G5" s="33">
        <f>G6+G12+G103+G212+G214+G217+G223+G226+G237+G264</f>
        <v>411.99999999999994</v>
      </c>
      <c r="H5" s="33">
        <f>H6+H12+H103+H212+H214+H217+H223+H226+H237+H264</f>
        <v>7635.67</v>
      </c>
      <c r="I5" s="12"/>
      <c r="J5" s="12"/>
      <c r="K5" s="24"/>
      <c r="L5" s="12"/>
      <c r="M5" s="33">
        <f>M6+M12+M103+M212+M214+M217+M223+M226+M237+M264</f>
        <v>4349.7659999999996</v>
      </c>
      <c r="N5" s="12"/>
      <c r="O5" s="12"/>
      <c r="P5" s="33">
        <f>P6+P12+P103+P212+P214+P217+P223+P226+P237+P264</f>
        <v>4239.7700000000004</v>
      </c>
    </row>
    <row r="6" spans="1:16" ht="25.5">
      <c r="A6" s="19">
        <f>'2.SD Community Based Annex'!A7</f>
        <v>2</v>
      </c>
      <c r="B6" s="19">
        <f>'2.SD Community Based Annex'!B7</f>
        <v>0</v>
      </c>
      <c r="C6" s="19" t="str">
        <f>'2.SD Community Based Annex'!C7</f>
        <v>Service Delivery - Community Based</v>
      </c>
      <c r="D6" s="26"/>
      <c r="E6" s="26"/>
      <c r="F6" s="26">
        <f>F7</f>
        <v>0</v>
      </c>
      <c r="G6" s="26">
        <f>G7</f>
        <v>0</v>
      </c>
      <c r="H6" s="26">
        <f>H7</f>
        <v>0</v>
      </c>
      <c r="I6" s="26"/>
      <c r="J6" s="26"/>
      <c r="K6" s="26"/>
      <c r="L6" s="26"/>
      <c r="M6" s="26">
        <f>M7</f>
        <v>0</v>
      </c>
      <c r="N6" s="26"/>
      <c r="O6" s="26"/>
      <c r="P6" s="26">
        <f>P7</f>
        <v>0</v>
      </c>
    </row>
    <row r="7" spans="1:16" s="8" customFormat="1">
      <c r="A7" s="20">
        <f>'2.SD Community Based Annex'!A8</f>
        <v>2.1</v>
      </c>
      <c r="B7" s="20">
        <f>'2.SD Community Based Annex'!B8</f>
        <v>0</v>
      </c>
      <c r="C7" s="20" t="str">
        <f>'2.SD Community Based Annex'!C8</f>
        <v>Mobile Units</v>
      </c>
      <c r="D7" s="27"/>
      <c r="E7" s="27"/>
      <c r="F7" s="27">
        <f>F8+F10</f>
        <v>0</v>
      </c>
      <c r="G7" s="27">
        <f>G8+G10</f>
        <v>0</v>
      </c>
      <c r="H7" s="27">
        <f>H8+H10</f>
        <v>0</v>
      </c>
      <c r="I7" s="27"/>
      <c r="J7" s="27"/>
      <c r="K7" s="27"/>
      <c r="L7" s="27"/>
      <c r="M7" s="27">
        <f>M8+M10</f>
        <v>0</v>
      </c>
      <c r="N7" s="27"/>
      <c r="O7" s="27"/>
      <c r="P7" s="27">
        <f>P8+P10</f>
        <v>0</v>
      </c>
    </row>
    <row r="8" spans="1:16" s="8" customFormat="1" ht="25.5">
      <c r="A8" s="15" t="str">
        <f>'2.SD Community Based Annex'!A9</f>
        <v>2.1.1</v>
      </c>
      <c r="B8" s="15" t="str">
        <f>'2.SD Community Based Annex'!B9</f>
        <v>B11</v>
      </c>
      <c r="C8" s="15" t="str">
        <f>'2.SD Community Based Annex'!C9</f>
        <v>National Mobile Medical Units (MMU)</v>
      </c>
      <c r="D8" s="28"/>
      <c r="E8" s="28"/>
      <c r="F8" s="28">
        <f>F9</f>
        <v>0</v>
      </c>
      <c r="G8" s="28">
        <f>G9</f>
        <v>0</v>
      </c>
      <c r="H8" s="28">
        <f>H9</f>
        <v>0</v>
      </c>
      <c r="I8" s="28"/>
      <c r="J8" s="28"/>
      <c r="K8" s="28"/>
      <c r="L8" s="28"/>
      <c r="M8" s="28">
        <f>M9</f>
        <v>0</v>
      </c>
      <c r="N8" s="28"/>
      <c r="O8" s="28"/>
      <c r="P8" s="28">
        <f>P9</f>
        <v>0</v>
      </c>
    </row>
    <row r="9" spans="1:16">
      <c r="A9" s="3" t="str">
        <f>'2.SD Community Based Annex'!A10</f>
        <v>2.1.1.1</v>
      </c>
      <c r="B9" s="3" t="str">
        <f>'2.SD Community Based Annex'!B10</f>
        <v>B11.1.1</v>
      </c>
      <c r="C9" s="3" t="str">
        <f>'2.SD Community Based Annex'!C10</f>
        <v>Capex</v>
      </c>
      <c r="D9" s="5">
        <f>'2.SD Community Based Annex'!F10</f>
        <v>0</v>
      </c>
      <c r="E9" s="5">
        <f>'2.SD Community Based Annex'!G10</f>
        <v>0</v>
      </c>
      <c r="F9" s="5">
        <f>'2.SD Community Based Annex'!H10</f>
        <v>0</v>
      </c>
      <c r="G9" s="5">
        <f>'2.SD Community Based Annex'!I10</f>
        <v>0</v>
      </c>
      <c r="H9" s="5">
        <f>'2.SD Community Based Annex'!J10</f>
        <v>0</v>
      </c>
      <c r="I9" s="5">
        <f>'2.SD Community Based Annex'!K10</f>
        <v>0</v>
      </c>
      <c r="J9" s="5">
        <f>'2.SD Community Based Annex'!L10</f>
        <v>0</v>
      </c>
      <c r="K9" s="5">
        <f>'2.SD Community Based Annex'!M10</f>
        <v>0</v>
      </c>
      <c r="L9" s="5">
        <f>'2.SD Community Based Annex'!N10</f>
        <v>0</v>
      </c>
      <c r="M9" s="5">
        <f>'2.SD Community Based Annex'!O10</f>
        <v>0</v>
      </c>
      <c r="N9" s="5">
        <f>'2.SD Community Based Annex'!P10</f>
        <v>0</v>
      </c>
      <c r="O9" s="5">
        <f>'2.SD Community Based Annex'!Q10</f>
        <v>0</v>
      </c>
      <c r="P9" s="5">
        <f>'2.SD Community Based Annex'!R10</f>
        <v>0</v>
      </c>
    </row>
    <row r="10" spans="1:16" s="8" customFormat="1" ht="38.25">
      <c r="A10" s="14" t="str">
        <f>'2.SD Community Based Annex'!A12</f>
        <v>2.1.2</v>
      </c>
      <c r="B10" s="14" t="str">
        <f>'2.SD Community Based Annex'!B12</f>
        <v>B11.2</v>
      </c>
      <c r="C10" s="14" t="str">
        <f>'2.SD Community Based Annex'!C12</f>
        <v>National Mobile Medical Vans (smaller vehicles) and specialised Mobile Medical Units</v>
      </c>
      <c r="D10" s="28"/>
      <c r="E10" s="28"/>
      <c r="F10" s="28">
        <f>F11</f>
        <v>0</v>
      </c>
      <c r="G10" s="28">
        <f>G11</f>
        <v>0</v>
      </c>
      <c r="H10" s="28">
        <f>H11</f>
        <v>0</v>
      </c>
      <c r="I10" s="28"/>
      <c r="J10" s="28"/>
      <c r="K10" s="28"/>
      <c r="L10" s="28"/>
      <c r="M10" s="28">
        <f>M11</f>
        <v>0</v>
      </c>
      <c r="N10" s="28"/>
      <c r="O10" s="28"/>
      <c r="P10" s="28">
        <f>P11</f>
        <v>0</v>
      </c>
    </row>
    <row r="11" spans="1:16">
      <c r="A11" s="2" t="str">
        <f>'2.SD Community Based Annex'!A13</f>
        <v>2.1.2.1</v>
      </c>
      <c r="B11" s="2" t="str">
        <f>'2.SD Community Based Annex'!B13</f>
        <v>B11.2.1</v>
      </c>
      <c r="C11" s="2" t="str">
        <f>'2.SD Community Based Annex'!C13</f>
        <v>Capex</v>
      </c>
      <c r="D11" s="5">
        <f>'2.SD Community Based Annex'!F13</f>
        <v>0</v>
      </c>
      <c r="E11" s="5">
        <f>'2.SD Community Based Annex'!G13</f>
        <v>0</v>
      </c>
      <c r="F11" s="5">
        <f>'2.SD Community Based Annex'!H13</f>
        <v>0</v>
      </c>
      <c r="G11" s="5">
        <f>'2.SD Community Based Annex'!I13</f>
        <v>0</v>
      </c>
      <c r="H11" s="5">
        <f>'2.SD Community Based Annex'!J13</f>
        <v>0</v>
      </c>
      <c r="I11" s="5">
        <f>'2.SD Community Based Annex'!K13</f>
        <v>0</v>
      </c>
      <c r="J11" s="5">
        <f>'2.SD Community Based Annex'!L13</f>
        <v>0</v>
      </c>
      <c r="K11" s="5">
        <f>'2.SD Community Based Annex'!M13</f>
        <v>0</v>
      </c>
      <c r="L11" s="5">
        <f>'2.SD Community Based Annex'!N13</f>
        <v>0</v>
      </c>
      <c r="M11" s="5">
        <f>'2.SD Community Based Annex'!O13</f>
        <v>0</v>
      </c>
      <c r="N11" s="5">
        <f>'2.SD Community Based Annex'!P13</f>
        <v>0</v>
      </c>
      <c r="O11" s="5">
        <f>'2.SD Community Based Annex'!Q13</f>
        <v>0</v>
      </c>
      <c r="P11" s="5">
        <f>'2.SD Community Based Annex'!R13</f>
        <v>0</v>
      </c>
    </row>
    <row r="12" spans="1:16">
      <c r="A12" s="19">
        <f>'5.Infrastructure Annex'!A7</f>
        <v>5</v>
      </c>
      <c r="B12" s="19">
        <f>'5.Infrastructure Annex'!B7</f>
        <v>0</v>
      </c>
      <c r="C12" s="19" t="str">
        <f>'5.Infrastructure Annex'!C7</f>
        <v>Infrastructure</v>
      </c>
      <c r="D12" s="26"/>
      <c r="E12" s="26"/>
      <c r="F12" s="26">
        <f>F13+F59+F86</f>
        <v>7796.58</v>
      </c>
      <c r="G12" s="26">
        <f>G13+G59+G86</f>
        <v>204.09999999999997</v>
      </c>
      <c r="H12" s="26">
        <f>H13+H59+H86</f>
        <v>7115.04</v>
      </c>
      <c r="I12" s="26"/>
      <c r="J12" s="26"/>
      <c r="K12" s="26"/>
      <c r="L12" s="26"/>
      <c r="M12" s="26">
        <f>M13+M59+M86</f>
        <v>3718.1679999999997</v>
      </c>
      <c r="N12" s="26"/>
      <c r="O12" s="26"/>
      <c r="P12" s="26">
        <f>P13+P59+P86</f>
        <v>3608.17</v>
      </c>
    </row>
    <row r="13" spans="1:16" ht="38.25">
      <c r="A13" s="20">
        <f>'5.Infrastructure Annex'!A8</f>
        <v>5.0999999999999996</v>
      </c>
      <c r="B13" s="20">
        <f>'5.Infrastructure Annex'!B8</f>
        <v>0</v>
      </c>
      <c r="C13" s="20" t="str">
        <f>'5.Infrastructure Annex'!C8</f>
        <v>Upgradation of existing facilities as per IPHS norms including staff quarters</v>
      </c>
      <c r="D13" s="27"/>
      <c r="E13" s="27"/>
      <c r="F13" s="27">
        <f>F14+F58</f>
        <v>6552</v>
      </c>
      <c r="G13" s="27">
        <f>G14+G58</f>
        <v>182.39</v>
      </c>
      <c r="H13" s="27">
        <f>H14+H58</f>
        <v>5893.61</v>
      </c>
      <c r="I13" s="27"/>
      <c r="J13" s="27"/>
      <c r="K13" s="27"/>
      <c r="L13" s="27"/>
      <c r="M13" s="27">
        <f>M14+M58</f>
        <v>3231.0185999999999</v>
      </c>
      <c r="N13" s="27"/>
      <c r="O13" s="27"/>
      <c r="P13" s="27">
        <f>P14+P58</f>
        <v>3121.02</v>
      </c>
    </row>
    <row r="14" spans="1:16">
      <c r="A14" s="15" t="str">
        <f>'5.Infrastructure Annex'!A9</f>
        <v>5.1.1</v>
      </c>
      <c r="B14" s="15" t="str">
        <f>'5.Infrastructure Annex'!B9</f>
        <v>B.4.1</v>
      </c>
      <c r="C14" s="15" t="str">
        <f>'5.Infrastructure Annex'!C9</f>
        <v>Upgradation</v>
      </c>
      <c r="D14" s="28"/>
      <c r="E14" s="28"/>
      <c r="F14" s="28">
        <f>F15+F26+F40+F50</f>
        <v>6552</v>
      </c>
      <c r="G14" s="28">
        <f>G15+G26+G40+G50</f>
        <v>182.39</v>
      </c>
      <c r="H14" s="28">
        <f>H15+H26+H40+H50</f>
        <v>5893.61</v>
      </c>
      <c r="I14" s="28"/>
      <c r="J14" s="28"/>
      <c r="K14" s="28"/>
      <c r="L14" s="28"/>
      <c r="M14" s="28">
        <f>M15+M26+M40+M50</f>
        <v>3231.0185999999999</v>
      </c>
      <c r="N14" s="28"/>
      <c r="O14" s="28"/>
      <c r="P14" s="28">
        <f>P15+P26+P40+P50</f>
        <v>3121.02</v>
      </c>
    </row>
    <row r="15" spans="1:16" ht="63.75">
      <c r="A15" s="3" t="str">
        <f>'5.Infrastructure Annex'!A10</f>
        <v>5.1.1.1</v>
      </c>
      <c r="B15" s="3" t="str">
        <f>'5.Infrastructure Annex'!B10</f>
        <v>B4.1.1 to B4.1.6/ B5.6/ A.9.10/ B.5.10</v>
      </c>
      <c r="C15" s="3" t="str">
        <f>'5.Infrastructure Annex'!C10</f>
        <v>Additional building/ Major Upgradation of existing facilities/ Structure</v>
      </c>
      <c r="D15" s="5"/>
      <c r="E15" s="5"/>
      <c r="F15" s="5">
        <f>SUM(F16:F25)</f>
        <v>0</v>
      </c>
      <c r="G15" s="5">
        <f>SUM(G16:G25)</f>
        <v>0</v>
      </c>
      <c r="H15" s="5">
        <f>SUM(H16:H25)</f>
        <v>0</v>
      </c>
      <c r="I15" s="5"/>
      <c r="J15" s="5"/>
      <c r="K15" s="5"/>
      <c r="L15" s="5"/>
      <c r="M15" s="5">
        <f>SUM(M16:M25)</f>
        <v>499.99859999999995</v>
      </c>
      <c r="N15" s="5"/>
      <c r="O15" s="5"/>
      <c r="P15" s="5">
        <f>SUM(P16:P25)</f>
        <v>500</v>
      </c>
    </row>
    <row r="16" spans="1:16" ht="25.5">
      <c r="A16" s="3" t="str">
        <f>'5.Infrastructure Annex'!A11</f>
        <v>5.1.1.1.1</v>
      </c>
      <c r="B16" s="3" t="str">
        <f>'5.Infrastructure Annex'!B11</f>
        <v>B4.1.1.1</v>
      </c>
      <c r="C16" s="3" t="str">
        <f>'5.Infrastructure Annex'!C11</f>
        <v>District Hospitals (As per the DH Strengthening Guidelines)</v>
      </c>
      <c r="D16" s="5">
        <f>'5.Infrastructure Annex'!F11</f>
        <v>0</v>
      </c>
      <c r="E16" s="5">
        <f>'5.Infrastructure Annex'!G11</f>
        <v>0</v>
      </c>
      <c r="F16" s="5">
        <f>'5.Infrastructure Annex'!H11</f>
        <v>0</v>
      </c>
      <c r="G16" s="5">
        <f>'5.Infrastructure Annex'!I11</f>
        <v>0</v>
      </c>
      <c r="H16" s="5">
        <f>'5.Infrastructure Annex'!J11</f>
        <v>0</v>
      </c>
      <c r="I16" s="5">
        <f>'5.Infrastructure Annex'!K11</f>
        <v>0</v>
      </c>
      <c r="J16" s="5">
        <f>'5.Infrastructure Annex'!L11</f>
        <v>0</v>
      </c>
      <c r="K16" s="5">
        <f>'5.Infrastructure Annex'!M11</f>
        <v>0</v>
      </c>
      <c r="L16" s="5">
        <f>'5.Infrastructure Annex'!N11</f>
        <v>0</v>
      </c>
      <c r="M16" s="5">
        <f>'5.Infrastructure Annex'!O11</f>
        <v>0</v>
      </c>
      <c r="N16" s="5">
        <f>'5.Infrastructure Annex'!P11</f>
        <v>0</v>
      </c>
      <c r="O16" s="5">
        <f>'5.Infrastructure Annex'!Q11</f>
        <v>0</v>
      </c>
      <c r="P16" s="5">
        <f>'5.Infrastructure Annex'!R11</f>
        <v>0</v>
      </c>
    </row>
    <row r="17" spans="1:16" ht="25.5">
      <c r="A17" s="3" t="str">
        <f>'5.Infrastructure Annex'!A12</f>
        <v>5.1.1.1.2</v>
      </c>
      <c r="B17" s="3" t="str">
        <f>'5.Infrastructure Annex'!B12</f>
        <v>B4.1.6.1</v>
      </c>
      <c r="C17" s="3" t="str">
        <f>'5.Infrastructure Annex'!C12</f>
        <v>SDH</v>
      </c>
      <c r="D17" s="5">
        <f>'5.Infrastructure Annex'!F12</f>
        <v>0</v>
      </c>
      <c r="E17" s="5">
        <f>'5.Infrastructure Annex'!G12</f>
        <v>0</v>
      </c>
      <c r="F17" s="5">
        <f>'5.Infrastructure Annex'!H12</f>
        <v>0</v>
      </c>
      <c r="G17" s="5">
        <f>'5.Infrastructure Annex'!I12</f>
        <v>0</v>
      </c>
      <c r="H17" s="5">
        <f>'5.Infrastructure Annex'!J12</f>
        <v>0</v>
      </c>
      <c r="I17" s="5">
        <f>'5.Infrastructure Annex'!K12</f>
        <v>0</v>
      </c>
      <c r="J17" s="5">
        <f>'5.Infrastructure Annex'!L12</f>
        <v>0</v>
      </c>
      <c r="K17" s="5">
        <f>'5.Infrastructure Annex'!M12</f>
        <v>0</v>
      </c>
      <c r="L17" s="5">
        <f>'5.Infrastructure Annex'!N12</f>
        <v>0</v>
      </c>
      <c r="M17" s="5">
        <f>'5.Infrastructure Annex'!O12</f>
        <v>0</v>
      </c>
      <c r="N17" s="5">
        <f>'5.Infrastructure Annex'!P12</f>
        <v>0</v>
      </c>
      <c r="O17" s="5">
        <f>'5.Infrastructure Annex'!Q12</f>
        <v>0</v>
      </c>
      <c r="P17" s="5">
        <f>'5.Infrastructure Annex'!R12</f>
        <v>0</v>
      </c>
    </row>
    <row r="18" spans="1:16" ht="25.5">
      <c r="A18" s="3" t="str">
        <f>'5.Infrastructure Annex'!A13</f>
        <v>5.1.1.1.3</v>
      </c>
      <c r="B18" s="3" t="str">
        <f>'5.Infrastructure Annex'!B13</f>
        <v>B4.1.2.1</v>
      </c>
      <c r="C18" s="3" t="str">
        <f>'5.Infrastructure Annex'!C13</f>
        <v>CHCs</v>
      </c>
      <c r="D18" s="5">
        <f>'5.Infrastructure Annex'!F13</f>
        <v>0</v>
      </c>
      <c r="E18" s="5">
        <f>'5.Infrastructure Annex'!G13</f>
        <v>0</v>
      </c>
      <c r="F18" s="5">
        <f>'5.Infrastructure Annex'!H13</f>
        <v>0</v>
      </c>
      <c r="G18" s="5">
        <f>'5.Infrastructure Annex'!I13</f>
        <v>0</v>
      </c>
      <c r="H18" s="5">
        <f>'5.Infrastructure Annex'!J13</f>
        <v>0</v>
      </c>
      <c r="I18" s="5">
        <f>'5.Infrastructure Annex'!K13</f>
        <v>0</v>
      </c>
      <c r="J18" s="5">
        <f>'5.Infrastructure Annex'!L13</f>
        <v>0</v>
      </c>
      <c r="K18" s="5">
        <f>'5.Infrastructure Annex'!M13</f>
        <v>0</v>
      </c>
      <c r="L18" s="5">
        <f>'5.Infrastructure Annex'!N13</f>
        <v>0</v>
      </c>
      <c r="M18" s="5">
        <f>'5.Infrastructure Annex'!O13</f>
        <v>0</v>
      </c>
      <c r="N18" s="5">
        <f>'5.Infrastructure Annex'!P13</f>
        <v>0</v>
      </c>
      <c r="O18" s="5">
        <f>'5.Infrastructure Annex'!Q13</f>
        <v>0</v>
      </c>
      <c r="P18" s="5">
        <f>'5.Infrastructure Annex'!R13</f>
        <v>0</v>
      </c>
    </row>
    <row r="19" spans="1:16" ht="25.5">
      <c r="A19" s="3" t="str">
        <f>'5.Infrastructure Annex'!A14</f>
        <v>5.1.1.1.4</v>
      </c>
      <c r="B19" s="3" t="str">
        <f>'5.Infrastructure Annex'!B14</f>
        <v>B4.1.3.1</v>
      </c>
      <c r="C19" s="3" t="str">
        <f>'5.Infrastructure Annex'!C14</f>
        <v>PHCs</v>
      </c>
      <c r="D19" s="5">
        <f>'5.Infrastructure Annex'!F14</f>
        <v>0</v>
      </c>
      <c r="E19" s="5">
        <f>'5.Infrastructure Annex'!G14</f>
        <v>0</v>
      </c>
      <c r="F19" s="5">
        <f>'5.Infrastructure Annex'!H14</f>
        <v>0</v>
      </c>
      <c r="G19" s="5">
        <f>'5.Infrastructure Annex'!I14</f>
        <v>0</v>
      </c>
      <c r="H19" s="5">
        <f>'5.Infrastructure Annex'!J14</f>
        <v>0</v>
      </c>
      <c r="I19" s="5">
        <f>'5.Infrastructure Annex'!K14</f>
        <v>0</v>
      </c>
      <c r="J19" s="5">
        <f>'5.Infrastructure Annex'!L14</f>
        <v>0</v>
      </c>
      <c r="K19" s="5">
        <f>'5.Infrastructure Annex'!M14</f>
        <v>0</v>
      </c>
      <c r="L19" s="5">
        <f>'5.Infrastructure Annex'!N14</f>
        <v>0</v>
      </c>
      <c r="M19" s="5">
        <f>'5.Infrastructure Annex'!O14</f>
        <v>0</v>
      </c>
      <c r="N19" s="5">
        <f>'5.Infrastructure Annex'!P14</f>
        <v>0</v>
      </c>
      <c r="O19" s="5">
        <f>'5.Infrastructure Annex'!Q14</f>
        <v>0</v>
      </c>
      <c r="P19" s="5">
        <f>'5.Infrastructure Annex'!R14</f>
        <v>0</v>
      </c>
    </row>
    <row r="20" spans="1:16" ht="25.5">
      <c r="A20" s="3" t="str">
        <f>'5.Infrastructure Annex'!A15</f>
        <v>5.1.1.1.5</v>
      </c>
      <c r="B20" s="3" t="str">
        <f>'5.Infrastructure Annex'!B15</f>
        <v>B4.1.4.1</v>
      </c>
      <c r="C20" s="3" t="str">
        <f>'5.Infrastructure Annex'!C15</f>
        <v>HWC-HSCs</v>
      </c>
      <c r="D20" s="5">
        <f>'5.Infrastructure Annex'!F15</f>
        <v>0</v>
      </c>
      <c r="E20" s="5">
        <f>'5.Infrastructure Annex'!G15</f>
        <v>0</v>
      </c>
      <c r="F20" s="5">
        <f>'5.Infrastructure Annex'!H15</f>
        <v>0</v>
      </c>
      <c r="G20" s="5">
        <f>'5.Infrastructure Annex'!I15</f>
        <v>0</v>
      </c>
      <c r="H20" s="5">
        <f>'5.Infrastructure Annex'!J15</f>
        <v>0</v>
      </c>
      <c r="I20" s="5">
        <f>'5.Infrastructure Annex'!K15</f>
        <v>0</v>
      </c>
      <c r="J20" s="5">
        <f>'5.Infrastructure Annex'!L15</f>
        <v>0</v>
      </c>
      <c r="K20" s="5">
        <f>'5.Infrastructure Annex'!M15</f>
        <v>0</v>
      </c>
      <c r="L20" s="5">
        <f>'5.Infrastructure Annex'!N15</f>
        <v>0</v>
      </c>
      <c r="M20" s="5">
        <f>'5.Infrastructure Annex'!O15</f>
        <v>0</v>
      </c>
      <c r="N20" s="5">
        <f>'5.Infrastructure Annex'!P15</f>
        <v>0</v>
      </c>
      <c r="O20" s="5">
        <f>'5.Infrastructure Annex'!Q15</f>
        <v>0</v>
      </c>
      <c r="P20" s="5">
        <f>'5.Infrastructure Annex'!R15</f>
        <v>0</v>
      </c>
    </row>
    <row r="21" spans="1:16" ht="25.5">
      <c r="A21" s="3" t="str">
        <f>'5.Infrastructure Annex'!A16</f>
        <v>5.1.1.1.6</v>
      </c>
      <c r="B21" s="3" t="str">
        <f>'5.Infrastructure Annex'!B16</f>
        <v>B4.1.5.2</v>
      </c>
      <c r="C21" s="3" t="str">
        <f>'5.Infrastructure Annex'!C16</f>
        <v>Additional building/ Major Upgradation of MCH Wings</v>
      </c>
      <c r="D21" s="5">
        <f>'5.Infrastructure Annex'!F16</f>
        <v>0</v>
      </c>
      <c r="E21" s="5">
        <f>'5.Infrastructure Annex'!G16</f>
        <v>0</v>
      </c>
      <c r="F21" s="5">
        <f>'5.Infrastructure Annex'!H16</f>
        <v>0</v>
      </c>
      <c r="G21" s="5">
        <f>'5.Infrastructure Annex'!I16</f>
        <v>0</v>
      </c>
      <c r="H21" s="5">
        <f>'5.Infrastructure Annex'!J16</f>
        <v>0</v>
      </c>
      <c r="I21" s="5">
        <f>'5.Infrastructure Annex'!K16</f>
        <v>0</v>
      </c>
      <c r="J21" s="5">
        <f>'5.Infrastructure Annex'!L16</f>
        <v>0</v>
      </c>
      <c r="K21" s="5">
        <f>'5.Infrastructure Annex'!M16</f>
        <v>0</v>
      </c>
      <c r="L21" s="5">
        <f>'5.Infrastructure Annex'!N16</f>
        <v>0</v>
      </c>
      <c r="M21" s="5">
        <f>'5.Infrastructure Annex'!O16</f>
        <v>0</v>
      </c>
      <c r="N21" s="5">
        <f>'5.Infrastructure Annex'!P16</f>
        <v>0</v>
      </c>
      <c r="O21" s="5">
        <f>'5.Infrastructure Annex'!Q16</f>
        <v>0</v>
      </c>
      <c r="P21" s="5">
        <f>'5.Infrastructure Annex'!R16</f>
        <v>0</v>
      </c>
    </row>
    <row r="22" spans="1:16" ht="38.25">
      <c r="A22" s="3" t="str">
        <f>'5.Infrastructure Annex'!A17</f>
        <v>5.1.1.1.7</v>
      </c>
      <c r="B22" s="3" t="str">
        <f>'5.Infrastructure Annex'!B17</f>
        <v>B.5.6.3</v>
      </c>
      <c r="C22" s="3" t="str">
        <f>'5.Infrastructure Annex'!C17</f>
        <v>Additional building/ Major Upgradation of Facility based new-born care centres (SNCU/NBSU/NBCC/KMC unit)</v>
      </c>
      <c r="D22" s="5">
        <f>'5.Infrastructure Annex'!F17</f>
        <v>0</v>
      </c>
      <c r="E22" s="5">
        <f>'5.Infrastructure Annex'!G17</f>
        <v>0</v>
      </c>
      <c r="F22" s="5">
        <f>'5.Infrastructure Annex'!H17</f>
        <v>0</v>
      </c>
      <c r="G22" s="5">
        <f>'5.Infrastructure Annex'!I17</f>
        <v>0</v>
      </c>
      <c r="H22" s="5">
        <f>'5.Infrastructure Annex'!J17</f>
        <v>0</v>
      </c>
      <c r="I22" s="5">
        <f>'5.Infrastructure Annex'!K17</f>
        <v>0</v>
      </c>
      <c r="J22" s="5">
        <f>'5.Infrastructure Annex'!L17</f>
        <v>0</v>
      </c>
      <c r="K22" s="5">
        <f>'5.Infrastructure Annex'!M17</f>
        <v>0</v>
      </c>
      <c r="L22" s="5">
        <f>'5.Infrastructure Annex'!N17</f>
        <v>0</v>
      </c>
      <c r="M22" s="5">
        <f>'5.Infrastructure Annex'!O17</f>
        <v>0</v>
      </c>
      <c r="N22" s="5">
        <f>'5.Infrastructure Annex'!P17</f>
        <v>0</v>
      </c>
      <c r="O22" s="5">
        <f>'5.Infrastructure Annex'!Q17</f>
        <v>0</v>
      </c>
      <c r="P22" s="5">
        <f>'5.Infrastructure Annex'!R17</f>
        <v>0</v>
      </c>
    </row>
    <row r="23" spans="1:16" ht="38.25">
      <c r="A23" s="3" t="str">
        <f>'5.Infrastructure Annex'!A18</f>
        <v>5.1.1.1.8</v>
      </c>
      <c r="B23" s="3" t="str">
        <f>'5.Infrastructure Annex'!B18</f>
        <v>I.2.7</v>
      </c>
      <c r="C23" s="3" t="str">
        <f>'5.Infrastructure Annex'!C18</f>
        <v>Grant-in-aid for construction of Eye Wards and Eye OTS (renamed as  dedicated eye unit)</v>
      </c>
      <c r="D23" s="5">
        <f>'5.Infrastructure Annex'!F18</f>
        <v>0</v>
      </c>
      <c r="E23" s="5">
        <f>'5.Infrastructure Annex'!G18</f>
        <v>0</v>
      </c>
      <c r="F23" s="5">
        <f>'5.Infrastructure Annex'!H18</f>
        <v>0</v>
      </c>
      <c r="G23" s="5">
        <f>'5.Infrastructure Annex'!I18</f>
        <v>0</v>
      </c>
      <c r="H23" s="5">
        <f>'5.Infrastructure Annex'!J18</f>
        <v>0</v>
      </c>
      <c r="I23" s="5">
        <f>'5.Infrastructure Annex'!K18</f>
        <v>0</v>
      </c>
      <c r="J23" s="5">
        <f>'5.Infrastructure Annex'!L18</f>
        <v>0</v>
      </c>
      <c r="K23" s="5">
        <f>'5.Infrastructure Annex'!M18</f>
        <v>0</v>
      </c>
      <c r="L23" s="5">
        <f>'5.Infrastructure Annex'!N18</f>
        <v>0</v>
      </c>
      <c r="M23" s="5">
        <f>'5.Infrastructure Annex'!O18</f>
        <v>0</v>
      </c>
      <c r="N23" s="5">
        <f>'5.Infrastructure Annex'!P18</f>
        <v>0</v>
      </c>
      <c r="O23" s="5">
        <f>'5.Infrastructure Annex'!Q18</f>
        <v>0</v>
      </c>
      <c r="P23" s="5">
        <f>'5.Infrastructure Annex'!R18</f>
        <v>0</v>
      </c>
    </row>
    <row r="24" spans="1:16" ht="25.5">
      <c r="A24" s="3" t="str">
        <f>'5.Infrastructure Annex'!A19</f>
        <v>5.1.1.1.9</v>
      </c>
      <c r="B24" s="3" t="str">
        <f>'5.Infrastructure Annex'!B19</f>
        <v>B.5.10.1.1</v>
      </c>
      <c r="C24" s="3" t="str">
        <f>'5.Infrastructure Annex'!C19</f>
        <v>Training Institutions</v>
      </c>
      <c r="D24" s="5">
        <f>'5.Infrastructure Annex'!F19</f>
        <v>0</v>
      </c>
      <c r="E24" s="5">
        <f>'5.Infrastructure Annex'!G19</f>
        <v>0</v>
      </c>
      <c r="F24" s="5">
        <f>'5.Infrastructure Annex'!H19</f>
        <v>0</v>
      </c>
      <c r="G24" s="5">
        <f>'5.Infrastructure Annex'!I19</f>
        <v>0</v>
      </c>
      <c r="H24" s="5">
        <f>'5.Infrastructure Annex'!J19</f>
        <v>0</v>
      </c>
      <c r="I24" s="5">
        <f>'5.Infrastructure Annex'!K19</f>
        <v>0</v>
      </c>
      <c r="J24" s="5">
        <f>'5.Infrastructure Annex'!L19</f>
        <v>0</v>
      </c>
      <c r="K24" s="5">
        <f>'5.Infrastructure Annex'!M19</f>
        <v>0</v>
      </c>
      <c r="L24" s="5">
        <f>'5.Infrastructure Annex'!N19</f>
        <v>0</v>
      </c>
      <c r="M24" s="5">
        <f>'5.Infrastructure Annex'!O19</f>
        <v>0</v>
      </c>
      <c r="N24" s="5">
        <f>'5.Infrastructure Annex'!P19</f>
        <v>0</v>
      </c>
      <c r="O24" s="5">
        <f>'5.Infrastructure Annex'!Q19</f>
        <v>0</v>
      </c>
      <c r="P24" s="5">
        <f>'5.Infrastructure Annex'!R19</f>
        <v>0</v>
      </c>
    </row>
    <row r="25" spans="1:16" ht="409.5">
      <c r="A25" s="3" t="str">
        <f>'5.Infrastructure Annex'!A20</f>
        <v>5.1.1.1.10</v>
      </c>
      <c r="B25" s="3">
        <f>'5.Infrastructure Annex'!B20</f>
        <v>0</v>
      </c>
      <c r="C25" s="3" t="str">
        <f>'5.Infrastructure Annex'!C20</f>
        <v>Any Other</v>
      </c>
      <c r="D25" s="5">
        <f>'5.Infrastructure Annex'!F20</f>
        <v>0</v>
      </c>
      <c r="E25" s="5">
        <f>'5.Infrastructure Annex'!G20</f>
        <v>0</v>
      </c>
      <c r="F25" s="5">
        <f>'5.Infrastructure Annex'!H20</f>
        <v>0</v>
      </c>
      <c r="G25" s="5">
        <f>'5.Infrastructure Annex'!I20</f>
        <v>0</v>
      </c>
      <c r="H25" s="5">
        <f>'5.Infrastructure Annex'!J20</f>
        <v>0</v>
      </c>
      <c r="I25" s="5">
        <f>'5.Infrastructure Annex'!K20</f>
        <v>0</v>
      </c>
      <c r="J25" s="5">
        <f>'5.Infrastructure Annex'!L20</f>
        <v>277777</v>
      </c>
      <c r="K25" s="5">
        <f>'5.Infrastructure Annex'!M20</f>
        <v>2.7777699999999999</v>
      </c>
      <c r="L25" s="5">
        <f>'5.Infrastructure Annex'!N20</f>
        <v>180</v>
      </c>
      <c r="M25" s="5">
        <f>'5.Infrastructure Annex'!O20</f>
        <v>499.99859999999995</v>
      </c>
      <c r="N25" s="5" t="str">
        <f>'5.Infrastructure Annex'!P20</f>
        <v xml:space="preserve">1. The State proposes to establish one Model CHC in each of the twelve districts. The CHC will  provide 24x7 hour services including deliveries and new born care and other services including dental services. It will provide all the diagnostics as per free diagnostic initiative. A gap analysis would be conducted in terms of manpower, infrastructure, equipment etc. The HR will be placed as per the state norms by the state. The infrastructure upgradation and equipement will be funded by NHM. this CHC will serve as a hub for the PHCs under it. 2. All the HWC-PHC under the model CHC will be upgraded into model HWC-PHCs. HR will be provided by the state and infrastructure upgradation and equipment by NHM. The Model HWC-PHC will be spoke for the model CHC and hub for the HWC-HSCs. 3. Likewise all the HWCs-HSCs uder the model pHCs will be upgraded to model HWC-HSC on similar pattern as for model HWC-PHCs. After the gap analysis if additional funds are required the same will be projected in the SPIP 2021-22.   </v>
      </c>
      <c r="O25" s="5" t="str">
        <f>'5.Infrastructure Annex'!Q20</f>
        <v>Recommended for approval Rs 500 Lakhs for 12 model CHCs with the conditionality that • all the CHCs will be developed to deliver secondary care services as per IPHS. • Gap analysis shall be done against IPHS norms, time bound action points shall be developed.• Progress shall be monitored and if required technical support from NHSRC can be taken.</v>
      </c>
      <c r="P25" s="5">
        <f>'5.Infrastructure Annex'!R20</f>
        <v>500</v>
      </c>
    </row>
    <row r="26" spans="1:16" ht="51">
      <c r="A26" s="3" t="str">
        <f>'5.Infrastructure Annex'!A21</f>
        <v>5.1.1.2</v>
      </c>
      <c r="B26" s="3" t="str">
        <f>'5.Infrastructure Annex'!B21</f>
        <v>B4.1.1 to B4.1.4/ B4.1.6/ B.5.10</v>
      </c>
      <c r="C26" s="3" t="str">
        <f>'5.Infrastructure Annex'!C21</f>
        <v>Upgradation/ Renovation</v>
      </c>
      <c r="D26" s="5">
        <f>SUM(D27:D39)</f>
        <v>802</v>
      </c>
      <c r="E26" s="5">
        <f>SUM(E27:E39)</f>
        <v>0</v>
      </c>
      <c r="F26" s="5">
        <f>SUM(F27:F39)</f>
        <v>5600</v>
      </c>
      <c r="G26" s="5">
        <f>SUM(G27:G39)</f>
        <v>182.39</v>
      </c>
      <c r="H26" s="5">
        <f>SUM(H27:H39)</f>
        <v>5417.61</v>
      </c>
      <c r="I26" s="5">
        <f>'5.Infrastructure Annex'!K21</f>
        <v>0</v>
      </c>
      <c r="J26" s="5">
        <f>'5.Infrastructure Annex'!L21</f>
        <v>0</v>
      </c>
      <c r="K26" s="5">
        <f>'5.Infrastructure Annex'!M21</f>
        <v>0</v>
      </c>
      <c r="L26" s="5">
        <f>'5.Infrastructure Annex'!N21</f>
        <v>0</v>
      </c>
      <c r="M26" s="5">
        <f>SUM(M27:M39)</f>
        <v>373</v>
      </c>
      <c r="N26" s="5">
        <f>'5.Infrastructure Annex'!P21</f>
        <v>0</v>
      </c>
      <c r="O26" s="5">
        <f>'5.Infrastructure Annex'!Q21</f>
        <v>0</v>
      </c>
      <c r="P26" s="5">
        <f>SUM(P27:P39)</f>
        <v>368</v>
      </c>
    </row>
    <row r="27" spans="1:16" ht="25.5">
      <c r="A27" s="3" t="str">
        <f>'5.Infrastructure Annex'!A22</f>
        <v>5.1.1.2.1</v>
      </c>
      <c r="B27" s="3" t="str">
        <f>'5.Infrastructure Annex'!B22</f>
        <v>B4.1.1.2</v>
      </c>
      <c r="C27" s="3" t="str">
        <f>'5.Infrastructure Annex'!C22</f>
        <v>District Hospitals (As per the DH Strengthening Guidelines)</v>
      </c>
      <c r="D27" s="5">
        <f>'5.Infrastructure Annex'!F22</f>
        <v>0</v>
      </c>
      <c r="E27" s="5">
        <f>'5.Infrastructure Annex'!G22</f>
        <v>0</v>
      </c>
      <c r="F27" s="5">
        <f>'5.Infrastructure Annex'!H22</f>
        <v>0</v>
      </c>
      <c r="G27" s="5">
        <f>'5.Infrastructure Annex'!I22</f>
        <v>0</v>
      </c>
      <c r="H27" s="5">
        <f>'5.Infrastructure Annex'!J22</f>
        <v>0</v>
      </c>
      <c r="I27" s="5">
        <f>'5.Infrastructure Annex'!K22</f>
        <v>0</v>
      </c>
      <c r="J27" s="5">
        <f>'5.Infrastructure Annex'!L22</f>
        <v>0</v>
      </c>
      <c r="K27" s="5">
        <f>'5.Infrastructure Annex'!M22</f>
        <v>0</v>
      </c>
      <c r="L27" s="5">
        <f>'5.Infrastructure Annex'!N22</f>
        <v>0</v>
      </c>
      <c r="M27" s="5">
        <f>'5.Infrastructure Annex'!O22</f>
        <v>0</v>
      </c>
      <c r="N27" s="5">
        <f>'5.Infrastructure Annex'!P22</f>
        <v>0</v>
      </c>
      <c r="O27" s="5">
        <f>'5.Infrastructure Annex'!Q22</f>
        <v>0</v>
      </c>
      <c r="P27" s="5">
        <f>'5.Infrastructure Annex'!R22</f>
        <v>0</v>
      </c>
    </row>
    <row r="28" spans="1:16" ht="25.5">
      <c r="A28" s="3" t="str">
        <f>'5.Infrastructure Annex'!A23</f>
        <v>5.1.1.2.2</v>
      </c>
      <c r="B28" s="3" t="str">
        <f>'5.Infrastructure Annex'!B23</f>
        <v>B.26.1.1</v>
      </c>
      <c r="C28" s="3" t="str">
        <f>'5.Infrastructure Annex'!C23</f>
        <v xml:space="preserve">Renovation, Dental Chair, Equipment - District Hospitals </v>
      </c>
      <c r="D28" s="5">
        <f>'5.Infrastructure Annex'!F23</f>
        <v>0</v>
      </c>
      <c r="E28" s="5">
        <f>'5.Infrastructure Annex'!G23</f>
        <v>0</v>
      </c>
      <c r="F28" s="5">
        <f>'5.Infrastructure Annex'!H23</f>
        <v>0</v>
      </c>
      <c r="G28" s="5">
        <f>'5.Infrastructure Annex'!I23</f>
        <v>0</v>
      </c>
      <c r="H28" s="5">
        <f>'5.Infrastructure Annex'!J23</f>
        <v>0</v>
      </c>
      <c r="I28" s="5">
        <f>'5.Infrastructure Annex'!K23</f>
        <v>0</v>
      </c>
      <c r="J28" s="5">
        <f>'5.Infrastructure Annex'!L23</f>
        <v>0</v>
      </c>
      <c r="K28" s="5">
        <f>'5.Infrastructure Annex'!M23</f>
        <v>0</v>
      </c>
      <c r="L28" s="5">
        <f>'5.Infrastructure Annex'!N23</f>
        <v>0</v>
      </c>
      <c r="M28" s="5">
        <f>'5.Infrastructure Annex'!O23</f>
        <v>0</v>
      </c>
      <c r="N28" s="5">
        <f>'5.Infrastructure Annex'!P23</f>
        <v>0</v>
      </c>
      <c r="O28" s="5">
        <f>'5.Infrastructure Annex'!Q23</f>
        <v>0</v>
      </c>
      <c r="P28" s="5">
        <f>'5.Infrastructure Annex'!R23</f>
        <v>0</v>
      </c>
    </row>
    <row r="29" spans="1:16" ht="89.25">
      <c r="A29" s="3" t="str">
        <f>'5.Infrastructure Annex'!A24</f>
        <v>5.1.1.2.3</v>
      </c>
      <c r="B29" s="3" t="str">
        <f>'5.Infrastructure Annex'!B24</f>
        <v>B.27.1.4</v>
      </c>
      <c r="C29" s="3" t="str">
        <f>'5.Infrastructure Annex'!C24</f>
        <v>Renovation of PC unit/ OPD/ Beds/ Miscellaneous equipment etc.</v>
      </c>
      <c r="D29" s="5">
        <f>'5.Infrastructure Annex'!F24</f>
        <v>0</v>
      </c>
      <c r="E29" s="5">
        <f>'5.Infrastructure Annex'!G24</f>
        <v>0</v>
      </c>
      <c r="F29" s="5">
        <f>'5.Infrastructure Annex'!H24</f>
        <v>0</v>
      </c>
      <c r="G29" s="5">
        <f>'5.Infrastructure Annex'!I24</f>
        <v>0</v>
      </c>
      <c r="H29" s="5">
        <f>'5.Infrastructure Annex'!J24</f>
        <v>0</v>
      </c>
      <c r="I29" s="5">
        <f>'5.Infrastructure Annex'!K24</f>
        <v>0</v>
      </c>
      <c r="J29" s="5">
        <f>'5.Infrastructure Annex'!L24</f>
        <v>100000</v>
      </c>
      <c r="K29" s="5">
        <f>'5.Infrastructure Annex'!M24</f>
        <v>1</v>
      </c>
      <c r="L29" s="5">
        <f>'5.Infrastructure Annex'!N24</f>
        <v>10</v>
      </c>
      <c r="M29" s="5">
        <f>'5.Infrastructure Annex'!O24</f>
        <v>10</v>
      </c>
      <c r="N29" s="5" t="str">
        <f>'5.Infrastructure Annex'!P24</f>
        <v xml:space="preserve">10 Nirog sited where renovation is requird @ Rs 3 lakh per unit for patiants  especialy for user friendly  toilets  ,fallers beds  and aplinaces like walkers and sticks etc  </v>
      </c>
      <c r="O29" s="5" t="str">
        <f>'5.Infrastructure Annex'!Q24</f>
        <v xml:space="preserve">Recommended for approval for 10 Integrated Nirog clinics for renovation of units such as uer frienly toilets, faller beds, appliances like walkers and sticks etc.  </v>
      </c>
      <c r="P29" s="5">
        <f>'5.Infrastructure Annex'!R24</f>
        <v>10</v>
      </c>
    </row>
    <row r="30" spans="1:16" ht="25.5">
      <c r="A30" s="3" t="str">
        <f>'5.Infrastructure Annex'!A25</f>
        <v>5.1.1.2.4</v>
      </c>
      <c r="B30" s="3" t="str">
        <f>'5.Infrastructure Annex'!B25</f>
        <v>B4.1.6.2</v>
      </c>
      <c r="C30" s="3" t="str">
        <f>'5.Infrastructure Annex'!C25</f>
        <v>SDH</v>
      </c>
      <c r="D30" s="5">
        <f>'5.Infrastructure Annex'!F25</f>
        <v>0</v>
      </c>
      <c r="E30" s="5">
        <f>'5.Infrastructure Annex'!G25</f>
        <v>0</v>
      </c>
      <c r="F30" s="5">
        <f>'5.Infrastructure Annex'!H25</f>
        <v>0</v>
      </c>
      <c r="G30" s="5">
        <f>'5.Infrastructure Annex'!I25</f>
        <v>0</v>
      </c>
      <c r="H30" s="5">
        <f>'5.Infrastructure Annex'!J25</f>
        <v>0</v>
      </c>
      <c r="I30" s="5">
        <f>'5.Infrastructure Annex'!K25</f>
        <v>0</v>
      </c>
      <c r="J30" s="5">
        <f>'5.Infrastructure Annex'!L25</f>
        <v>0</v>
      </c>
      <c r="K30" s="5">
        <f>'5.Infrastructure Annex'!M25</f>
        <v>0</v>
      </c>
      <c r="L30" s="5">
        <f>'5.Infrastructure Annex'!N25</f>
        <v>0</v>
      </c>
      <c r="M30" s="5">
        <f>'5.Infrastructure Annex'!O25</f>
        <v>0</v>
      </c>
      <c r="N30" s="5">
        <f>'5.Infrastructure Annex'!P25</f>
        <v>0</v>
      </c>
      <c r="O30" s="5">
        <f>'5.Infrastructure Annex'!Q25</f>
        <v>0</v>
      </c>
      <c r="P30" s="5">
        <f>'5.Infrastructure Annex'!R25</f>
        <v>0</v>
      </c>
    </row>
    <row r="31" spans="1:16" ht="25.5">
      <c r="A31" s="3" t="str">
        <f>'5.Infrastructure Annex'!A26</f>
        <v>5.1.1.2.5</v>
      </c>
      <c r="B31" s="3" t="str">
        <f>'5.Infrastructure Annex'!B26</f>
        <v>B4.1.2.2</v>
      </c>
      <c r="C31" s="3" t="str">
        <f>'5.Infrastructure Annex'!C26</f>
        <v>CHCs</v>
      </c>
      <c r="D31" s="5">
        <f>'5.Infrastructure Annex'!F26</f>
        <v>0</v>
      </c>
      <c r="E31" s="5">
        <f>'5.Infrastructure Annex'!G26</f>
        <v>0</v>
      </c>
      <c r="F31" s="5">
        <f>'5.Infrastructure Annex'!H26</f>
        <v>0</v>
      </c>
      <c r="G31" s="5">
        <f>'5.Infrastructure Annex'!I26</f>
        <v>0</v>
      </c>
      <c r="H31" s="5">
        <f>'5.Infrastructure Annex'!J26</f>
        <v>0</v>
      </c>
      <c r="I31" s="5">
        <f>'5.Infrastructure Annex'!K26</f>
        <v>0</v>
      </c>
      <c r="J31" s="5">
        <f>'5.Infrastructure Annex'!L26</f>
        <v>0</v>
      </c>
      <c r="K31" s="5">
        <f>'5.Infrastructure Annex'!M26</f>
        <v>0</v>
      </c>
      <c r="L31" s="5">
        <f>'5.Infrastructure Annex'!N26</f>
        <v>0</v>
      </c>
      <c r="M31" s="5">
        <f>'5.Infrastructure Annex'!O26</f>
        <v>0</v>
      </c>
      <c r="N31" s="5">
        <f>'5.Infrastructure Annex'!P26</f>
        <v>0</v>
      </c>
      <c r="O31" s="5">
        <f>'5.Infrastructure Annex'!Q26</f>
        <v>0</v>
      </c>
      <c r="P31" s="5">
        <f>'5.Infrastructure Annex'!R26</f>
        <v>0</v>
      </c>
    </row>
    <row r="32" spans="1:16" ht="25.5">
      <c r="A32" s="3" t="str">
        <f>'5.Infrastructure Annex'!A27</f>
        <v>5.1.1.2.6</v>
      </c>
      <c r="B32" s="3" t="str">
        <f>'5.Infrastructure Annex'!B27</f>
        <v>B4.1.3.2</v>
      </c>
      <c r="C32" s="3" t="str">
        <f>'5.Infrastructure Annex'!C27</f>
        <v>PHCs</v>
      </c>
      <c r="D32" s="5">
        <f>'5.Infrastructure Annex'!F27</f>
        <v>0</v>
      </c>
      <c r="E32" s="5">
        <f>'5.Infrastructure Annex'!G27</f>
        <v>0</v>
      </c>
      <c r="F32" s="5">
        <f>'5.Infrastructure Annex'!H27</f>
        <v>0</v>
      </c>
      <c r="G32" s="5">
        <f>'5.Infrastructure Annex'!I27</f>
        <v>0</v>
      </c>
      <c r="H32" s="5">
        <f>'5.Infrastructure Annex'!J27</f>
        <v>0</v>
      </c>
      <c r="I32" s="5">
        <f>'5.Infrastructure Annex'!K27</f>
        <v>0</v>
      </c>
      <c r="J32" s="5">
        <f>'5.Infrastructure Annex'!L27</f>
        <v>0</v>
      </c>
      <c r="K32" s="5">
        <f>'5.Infrastructure Annex'!M27</f>
        <v>0</v>
      </c>
      <c r="L32" s="5">
        <f>'5.Infrastructure Annex'!N27</f>
        <v>0</v>
      </c>
      <c r="M32" s="5">
        <f>'5.Infrastructure Annex'!O27</f>
        <v>0</v>
      </c>
      <c r="N32" s="5">
        <f>'5.Infrastructure Annex'!P27</f>
        <v>0</v>
      </c>
      <c r="O32" s="5">
        <f>'5.Infrastructure Annex'!Q27</f>
        <v>0</v>
      </c>
      <c r="P32" s="5">
        <f>'5.Infrastructure Annex'!R27</f>
        <v>0</v>
      </c>
    </row>
    <row r="33" spans="1:16" ht="25.5">
      <c r="A33" s="3" t="str">
        <f>'5.Infrastructure Annex'!A28</f>
        <v>5.1.1.2.7</v>
      </c>
      <c r="B33" s="3" t="str">
        <f>'5.Infrastructure Annex'!B28</f>
        <v>B4.1.4.2</v>
      </c>
      <c r="C33" s="3" t="str">
        <f>'5.Infrastructure Annex'!C28</f>
        <v>Upgradation/ Renovation of HWC-HSCs</v>
      </c>
      <c r="D33" s="5">
        <f>'5.Infrastructure Annex'!F28</f>
        <v>0</v>
      </c>
      <c r="E33" s="5">
        <f>'5.Infrastructure Annex'!G28</f>
        <v>0</v>
      </c>
      <c r="F33" s="5">
        <f>'5.Infrastructure Annex'!H28</f>
        <v>0</v>
      </c>
      <c r="G33" s="5">
        <f>'5.Infrastructure Annex'!I28</f>
        <v>0</v>
      </c>
      <c r="H33" s="5">
        <f>'5.Infrastructure Annex'!J28</f>
        <v>0</v>
      </c>
      <c r="I33" s="5">
        <f>'5.Infrastructure Annex'!K28</f>
        <v>0</v>
      </c>
      <c r="J33" s="5">
        <f>'5.Infrastructure Annex'!L28</f>
        <v>0</v>
      </c>
      <c r="K33" s="5">
        <f>'5.Infrastructure Annex'!M28</f>
        <v>0</v>
      </c>
      <c r="L33" s="5">
        <f>'5.Infrastructure Annex'!N28</f>
        <v>0</v>
      </c>
      <c r="M33" s="5">
        <f>'5.Infrastructure Annex'!O28</f>
        <v>0</v>
      </c>
      <c r="N33" s="5">
        <f>'5.Infrastructure Annex'!P28</f>
        <v>0</v>
      </c>
      <c r="O33" s="5">
        <f>'5.Infrastructure Annex'!Q28</f>
        <v>0</v>
      </c>
      <c r="P33" s="5">
        <f>'5.Infrastructure Annex'!R28</f>
        <v>0</v>
      </c>
    </row>
    <row r="34" spans="1:16" ht="331.5">
      <c r="A34" s="3" t="str">
        <f>'5.Infrastructure Annex'!A29</f>
        <v>5.1.1.2.8</v>
      </c>
      <c r="B34" s="3" t="str">
        <f>'5.Infrastructure Annex'!B29</f>
        <v>B18.3</v>
      </c>
      <c r="C34" s="3" t="str">
        <f>'5.Infrastructure Annex'!C29</f>
        <v>Infrastructure strengthening of SC  to H&amp;WC</v>
      </c>
      <c r="D34" s="5">
        <f>'5.Infrastructure Annex'!F29</f>
        <v>800</v>
      </c>
      <c r="E34" s="5">
        <f>'5.Infrastructure Annex'!G29</f>
        <v>0</v>
      </c>
      <c r="F34" s="5">
        <f>'5.Infrastructure Annex'!H29</f>
        <v>5600</v>
      </c>
      <c r="G34" s="5">
        <f>'5.Infrastructure Annex'!I29</f>
        <v>182.39</v>
      </c>
      <c r="H34" s="5">
        <f>'5.Infrastructure Annex'!J29</f>
        <v>5417.61</v>
      </c>
      <c r="I34" s="5">
        <f>'5.Infrastructure Annex'!K29</f>
        <v>1</v>
      </c>
      <c r="J34" s="5">
        <f>'5.Infrastructure Annex'!L29</f>
        <v>100000</v>
      </c>
      <c r="K34" s="5">
        <f>'5.Infrastructure Annex'!M29</f>
        <v>1</v>
      </c>
      <c r="L34" s="5">
        <f>'5.Infrastructure Annex'!N29</f>
        <v>193</v>
      </c>
      <c r="M34" s="5">
        <f>'5.Infrastructure Annex'!O29</f>
        <v>193</v>
      </c>
      <c r="N34" s="5" t="str">
        <f>'5.Infrastructure Annex'!P29</f>
        <v>Stste has total 2104 HSCs out of which 590 are co-located HSCs. Therefoe state is left with 1514 HSCs (2104-590 co-located HSCs=1514). GOI has approved 1321 HSCs till date. The state proposes to seek approval of all the SCs which are required to be converted to HWCs in this FY. However, the Civil Work of these 193 SCs is anticipated to be spilled over to next FY and therefore the state is proposing Rs. 1 Lakh per SC for these left out SCs. If required during FY 2021-22 only , appropriate proposal will also be built in SPIP 2021-22. Therefore funds @ Rs. 1 Lakh for 193 HSCs (1514-1321=193) are being proposed.</v>
      </c>
      <c r="O34" s="5" t="str">
        <f>'5.Infrastructure Annex'!Q29</f>
        <v>Recommended for approvalRs. 193 lakh @Rs1 lakh/SHC-HWC for infrastructure strengthening of 193 SHCs-HWCs</v>
      </c>
      <c r="P34" s="5">
        <f>'5.Infrastructure Annex'!R29</f>
        <v>193</v>
      </c>
    </row>
    <row r="35" spans="1:16" ht="25.5">
      <c r="A35" s="3" t="str">
        <f>'5.Infrastructure Annex'!A31</f>
        <v>5.1.1.2.10</v>
      </c>
      <c r="B35" s="3" t="str">
        <f>'5.Infrastructure Annex'!B31</f>
        <v>B.5.10.1.2</v>
      </c>
      <c r="C35" s="3" t="str">
        <f>'5.Infrastructure Annex'!C31</f>
        <v>Training Institutions</v>
      </c>
      <c r="D35" s="5">
        <f>'5.Infrastructure Annex'!F31</f>
        <v>0</v>
      </c>
      <c r="E35" s="5">
        <f>'5.Infrastructure Annex'!G31</f>
        <v>0</v>
      </c>
      <c r="F35" s="5">
        <f>'5.Infrastructure Annex'!H31</f>
        <v>0</v>
      </c>
      <c r="G35" s="5">
        <f>'5.Infrastructure Annex'!I31</f>
        <v>0</v>
      </c>
      <c r="H35" s="5">
        <f>'5.Infrastructure Annex'!J31</f>
        <v>0</v>
      </c>
      <c r="I35" s="5">
        <f>'5.Infrastructure Annex'!K31</f>
        <v>0</v>
      </c>
      <c r="J35" s="5">
        <f>'5.Infrastructure Annex'!L31</f>
        <v>0</v>
      </c>
      <c r="K35" s="5">
        <f>'5.Infrastructure Annex'!M31</f>
        <v>0</v>
      </c>
      <c r="L35" s="5">
        <f>'5.Infrastructure Annex'!N31</f>
        <v>0</v>
      </c>
      <c r="M35" s="5">
        <f>'5.Infrastructure Annex'!O31</f>
        <v>0</v>
      </c>
      <c r="N35" s="5">
        <f>'5.Infrastructure Annex'!P31</f>
        <v>0</v>
      </c>
      <c r="O35" s="5">
        <f>'5.Infrastructure Annex'!Q31</f>
        <v>0</v>
      </c>
      <c r="P35" s="5">
        <f>'5.Infrastructure Annex'!R31</f>
        <v>0</v>
      </c>
    </row>
    <row r="36" spans="1:16" ht="25.5">
      <c r="A36" s="3" t="str">
        <f>'5.Infrastructure Annex'!A32</f>
        <v>5.1.1.2.11</v>
      </c>
      <c r="B36" s="3">
        <f>'5.Infrastructure Annex'!B32</f>
        <v>0</v>
      </c>
      <c r="C36" s="3" t="str">
        <f>'5.Infrastructure Annex'!C32</f>
        <v>Drug Warehouses</v>
      </c>
      <c r="D36" s="5">
        <f>'5.Infrastructure Annex'!F32</f>
        <v>0</v>
      </c>
      <c r="E36" s="5">
        <f>'5.Infrastructure Annex'!G32</f>
        <v>0</v>
      </c>
      <c r="F36" s="5">
        <f>'5.Infrastructure Annex'!H32</f>
        <v>0</v>
      </c>
      <c r="G36" s="5">
        <f>'5.Infrastructure Annex'!I32</f>
        <v>0</v>
      </c>
      <c r="H36" s="5">
        <f>'5.Infrastructure Annex'!J32</f>
        <v>0</v>
      </c>
      <c r="I36" s="5">
        <f>'5.Infrastructure Annex'!K32</f>
        <v>0</v>
      </c>
      <c r="J36" s="5">
        <f>'5.Infrastructure Annex'!L32</f>
        <v>0</v>
      </c>
      <c r="K36" s="5">
        <f>'5.Infrastructure Annex'!M32</f>
        <v>0</v>
      </c>
      <c r="L36" s="5">
        <f>'5.Infrastructure Annex'!N32</f>
        <v>0</v>
      </c>
      <c r="M36" s="5">
        <f>'5.Infrastructure Annex'!O32</f>
        <v>0</v>
      </c>
      <c r="N36" s="5">
        <f>'5.Infrastructure Annex'!P32</f>
        <v>0</v>
      </c>
      <c r="O36" s="5">
        <f>'5.Infrastructure Annex'!Q32</f>
        <v>0</v>
      </c>
      <c r="P36" s="5">
        <f>'5.Infrastructure Annex'!R32</f>
        <v>0</v>
      </c>
    </row>
    <row r="37" spans="1:16" ht="409.5">
      <c r="A37" s="3" t="str">
        <f>'5.Infrastructure Annex'!A33</f>
        <v>5.1.1.2.12</v>
      </c>
      <c r="B37" s="3">
        <f>'5.Infrastructure Annex'!B33</f>
        <v>0</v>
      </c>
      <c r="C37" s="3" t="str">
        <f>'5.Infrastructure Annex'!C33</f>
        <v>Upgradation/ Renovation of Obstetric ICUs/ HDUs (as per operational guidelines of ICUs and HDUs, 2017)</v>
      </c>
      <c r="D37" s="5">
        <f>'5.Infrastructure Annex'!F33</f>
        <v>2</v>
      </c>
      <c r="E37" s="5">
        <f>'5.Infrastructure Annex'!G33</f>
        <v>0</v>
      </c>
      <c r="F37" s="5">
        <f>'5.Infrastructure Annex'!H33</f>
        <v>0</v>
      </c>
      <c r="G37" s="5">
        <f>'5.Infrastructure Annex'!I33</f>
        <v>0</v>
      </c>
      <c r="H37" s="5">
        <f>'5.Infrastructure Annex'!J33</f>
        <v>0</v>
      </c>
      <c r="I37" s="5">
        <f>'5.Infrastructure Annex'!K33</f>
        <v>0</v>
      </c>
      <c r="J37" s="5">
        <f>'5.Infrastructure Annex'!L33</f>
        <v>1375000</v>
      </c>
      <c r="K37" s="5">
        <f>'5.Infrastructure Annex'!M33</f>
        <v>13.75</v>
      </c>
      <c r="L37" s="5">
        <f>'5.Infrastructure Annex'!N33</f>
        <v>12</v>
      </c>
      <c r="M37" s="5">
        <f>'5.Infrastructure Annex'!O33</f>
        <v>165</v>
      </c>
      <c r="N37" s="5" t="str">
        <f>'5.Infrastructure Annex'!P33</f>
        <v>State has revisited its all previous approval over the year including the year 20-21 for establishing HDU/ICU in the State. Now the state proposes to establish 12 HDUs/ICUs in high load facilities the detailed proposal is being shared by the state with MoHFW, GoI.</v>
      </c>
      <c r="O37" s="5" t="str">
        <f>'5.Infrastructure Annex'!Q33</f>
        <v xml:space="preserve">Recommended for approval Obstetric HDUs/ICUs: 1. K.N. Hospital for Mother &amp; Child (8 bedded HDU + 4 bedded ICU)2. Dr. RPGMC Tanda (8 bedded HDU + 4 bedded ICU)3. Regional Hospital, Chamba (6+2 Hybrid HDU)4. regional Hospital, Nahan (6+2 Hybrid HDU)5. Regional Hospital, Mandi (6+2 Hybrid HDU)6. Regional Hospital, Una (8 bedded HDU)7. Regional Hospital, Hamirpur (8 bedded HDU)8. Regional Hospital, Solan (8 bedded HDU)9. Regional Hospital, Kullu (8 bedded HDU)10. Regional Hospital, Kinnaur (8 bedded HDU)11. Shri Lal Bahadur Shastri Govt. Medical College, Nerchowk, Mandi (6+2 Hybrid HDU)12. Mahatma Gandhi Medical Services Complex, Khaneri, Shimla (4 bedded HDU).                                                 State to ensure functionalization of all Obstetric HDU/ICUs by April 2022.Conditionality:1. They must be set up in already existing facilities, preferably DH.2. This fund should be utilized for civil construction, beds, ductless AHU and other infrastructure components.3. Simultaneously, requirement for equipment &amp; HR should be planned, while HR need to be supported by State. </v>
      </c>
      <c r="P37" s="5">
        <f>'5.Infrastructure Annex'!R33</f>
        <v>165</v>
      </c>
    </row>
    <row r="38" spans="1:16" ht="51">
      <c r="A38" s="3" t="str">
        <f>'5.Infrastructure Annex'!A34</f>
        <v>5.1.1.2.13</v>
      </c>
      <c r="B38" s="3">
        <f>'5.Infrastructure Annex'!B34</f>
        <v>0</v>
      </c>
      <c r="C38" s="3" t="str">
        <f>'5.Infrastructure Annex'!C34</f>
        <v>Greening of Health sector: DH/ CHC as per IPHS guidelines</v>
      </c>
      <c r="D38" s="5">
        <f>'5.Infrastructure Annex'!F34</f>
        <v>0</v>
      </c>
      <c r="E38" s="5">
        <f>'5.Infrastructure Annex'!G34</f>
        <v>0</v>
      </c>
      <c r="F38" s="5">
        <f>'5.Infrastructure Annex'!H34</f>
        <v>0</v>
      </c>
      <c r="G38" s="5">
        <f>'5.Infrastructure Annex'!I34</f>
        <v>0</v>
      </c>
      <c r="H38" s="5">
        <f>'5.Infrastructure Annex'!J34</f>
        <v>0</v>
      </c>
      <c r="I38" s="5">
        <f>'5.Infrastructure Annex'!K34</f>
        <v>0</v>
      </c>
      <c r="J38" s="5">
        <f>'5.Infrastructure Annex'!L34</f>
        <v>500000</v>
      </c>
      <c r="K38" s="5">
        <f>'5.Infrastructure Annex'!M34</f>
        <v>5</v>
      </c>
      <c r="L38" s="5">
        <f>'5.Infrastructure Annex'!N34</f>
        <v>1</v>
      </c>
      <c r="M38" s="5">
        <f>'5.Infrastructure Annex'!O34</f>
        <v>5</v>
      </c>
      <c r="N38" s="5" t="str">
        <f>'5.Infrastructure Annex'!P34</f>
        <v>The state has selected zonal hospital Dharamshala for greening as per IPHS guidelines.</v>
      </c>
      <c r="O38" s="5" t="str">
        <f>'5.Infrastructure Annex'!Q34</f>
        <v xml:space="preserve">Not recommended for approval </v>
      </c>
      <c r="P38" s="5">
        <f>'5.Infrastructure Annex'!R34</f>
        <v>0</v>
      </c>
    </row>
    <row r="39" spans="1:16" ht="25.5">
      <c r="A39" s="3" t="str">
        <f>'5.Infrastructure Annex'!A35</f>
        <v>5.1.1.2.13</v>
      </c>
      <c r="B39" s="3">
        <f>'5.Infrastructure Annex'!B35</f>
        <v>0</v>
      </c>
      <c r="C39" s="3" t="str">
        <f>'5.Infrastructure Annex'!C35</f>
        <v>Any Others</v>
      </c>
      <c r="D39" s="5">
        <f>'5.Infrastructure Annex'!F35</f>
        <v>0</v>
      </c>
      <c r="E39" s="5">
        <f>'5.Infrastructure Annex'!G35</f>
        <v>0</v>
      </c>
      <c r="F39" s="5">
        <f>'5.Infrastructure Annex'!H35</f>
        <v>0</v>
      </c>
      <c r="G39" s="5">
        <f>'5.Infrastructure Annex'!I35</f>
        <v>0</v>
      </c>
      <c r="H39" s="5">
        <f>'5.Infrastructure Annex'!J35</f>
        <v>0</v>
      </c>
      <c r="I39" s="5">
        <f>'5.Infrastructure Annex'!K35</f>
        <v>0</v>
      </c>
      <c r="J39" s="5">
        <f>'5.Infrastructure Annex'!L35</f>
        <v>0</v>
      </c>
      <c r="K39" s="5">
        <f>'5.Infrastructure Annex'!M35</f>
        <v>0</v>
      </c>
      <c r="L39" s="5">
        <f>'5.Infrastructure Annex'!N35</f>
        <v>0</v>
      </c>
      <c r="M39" s="5">
        <f>'5.Infrastructure Annex'!O35</f>
        <v>0</v>
      </c>
      <c r="N39" s="5" t="str">
        <f>'5.Infrastructure Annex'!P35</f>
        <v>.</v>
      </c>
      <c r="O39" s="5">
        <f>'5.Infrastructure Annex'!Q35</f>
        <v>0</v>
      </c>
      <c r="P39" s="5">
        <f>'5.Infrastructure Annex'!R35</f>
        <v>0</v>
      </c>
    </row>
    <row r="40" spans="1:16" ht="89.25">
      <c r="A40" s="3" t="str">
        <f>'5.Infrastructure Annex'!A36</f>
        <v>5.1.1.3</v>
      </c>
      <c r="B40" s="3" t="str">
        <f>'5.Infrastructure Annex'!B36</f>
        <v>B4.1.1/ B4.1.2/ B4.1.3/ B4.1.4/ B4.1.5/ B4.1.6/ B.5.10</v>
      </c>
      <c r="C40" s="3" t="str">
        <f>'5.Infrastructure Annex'!C36</f>
        <v>Spill over of Ongoing Upgradation Works approved in previous years</v>
      </c>
      <c r="D40" s="5">
        <f>SUM(D41:D49)</f>
        <v>7</v>
      </c>
      <c r="E40" s="5">
        <f>SUM(E41:E49)</f>
        <v>4</v>
      </c>
      <c r="F40" s="5">
        <f>SUM(F41:F49)</f>
        <v>952</v>
      </c>
      <c r="G40" s="5">
        <f>SUM(G41:G49)</f>
        <v>0</v>
      </c>
      <c r="H40" s="5">
        <f>SUM(H41:H49)</f>
        <v>476</v>
      </c>
      <c r="I40" s="5">
        <f>'5.Infrastructure Annex'!K36</f>
        <v>0</v>
      </c>
      <c r="J40" s="5">
        <f>'5.Infrastructure Annex'!L36</f>
        <v>0</v>
      </c>
      <c r="K40" s="5">
        <f>'5.Infrastructure Annex'!M36</f>
        <v>0</v>
      </c>
      <c r="L40" s="5">
        <f>'5.Infrastructure Annex'!N36</f>
        <v>0</v>
      </c>
      <c r="M40" s="5">
        <f>SUM(M41:M49)</f>
        <v>2358.02</v>
      </c>
      <c r="N40" s="5">
        <f>'5.Infrastructure Annex'!P36</f>
        <v>0</v>
      </c>
      <c r="O40" s="5">
        <f>'5.Infrastructure Annex'!Q36</f>
        <v>0</v>
      </c>
      <c r="P40" s="5">
        <f>SUM(P41:P49)</f>
        <v>2253.02</v>
      </c>
    </row>
    <row r="41" spans="1:16" ht="25.5">
      <c r="A41" s="3" t="str">
        <f>'5.Infrastructure Annex'!A37</f>
        <v>5.1.1.3.1</v>
      </c>
      <c r="B41" s="3" t="str">
        <f>'5.Infrastructure Annex'!B37</f>
        <v>B4.1.1.3</v>
      </c>
      <c r="C41" s="3" t="str">
        <f>'5.Infrastructure Annex'!C37</f>
        <v>District Hospitals (As per the DH Strengthening Guidelines)</v>
      </c>
      <c r="D41" s="5">
        <f>'5.Infrastructure Annex'!F37</f>
        <v>0</v>
      </c>
      <c r="E41" s="5">
        <f>'5.Infrastructure Annex'!G37</f>
        <v>0</v>
      </c>
      <c r="F41" s="5">
        <f>'5.Infrastructure Annex'!H37</f>
        <v>0</v>
      </c>
      <c r="G41" s="5">
        <f>'5.Infrastructure Annex'!I37</f>
        <v>0</v>
      </c>
      <c r="H41" s="5">
        <f>'5.Infrastructure Annex'!J37</f>
        <v>0</v>
      </c>
      <c r="I41" s="5">
        <f>'5.Infrastructure Annex'!K37</f>
        <v>0</v>
      </c>
      <c r="J41" s="5">
        <f>'5.Infrastructure Annex'!L37</f>
        <v>0</v>
      </c>
      <c r="K41" s="5">
        <f>'5.Infrastructure Annex'!M37</f>
        <v>0</v>
      </c>
      <c r="L41" s="5">
        <f>'5.Infrastructure Annex'!N37</f>
        <v>0</v>
      </c>
      <c r="M41" s="5">
        <f>'5.Infrastructure Annex'!O37</f>
        <v>0</v>
      </c>
      <c r="N41" s="5">
        <f>'5.Infrastructure Annex'!P37</f>
        <v>0</v>
      </c>
      <c r="O41" s="5">
        <f>'5.Infrastructure Annex'!Q37</f>
        <v>0</v>
      </c>
      <c r="P41" s="5">
        <f>'5.Infrastructure Annex'!R37</f>
        <v>0</v>
      </c>
    </row>
    <row r="42" spans="1:16" ht="25.5">
      <c r="A42" s="3" t="str">
        <f>'5.Infrastructure Annex'!A38</f>
        <v>5.1.1.3.2</v>
      </c>
      <c r="B42" s="3" t="str">
        <f>'5.Infrastructure Annex'!B38</f>
        <v>B4.1.6.3</v>
      </c>
      <c r="C42" s="3" t="str">
        <f>'5.Infrastructure Annex'!C38</f>
        <v>SDH</v>
      </c>
      <c r="D42" s="5">
        <f>'5.Infrastructure Annex'!F38</f>
        <v>0</v>
      </c>
      <c r="E42" s="5">
        <f>'5.Infrastructure Annex'!G38</f>
        <v>0</v>
      </c>
      <c r="F42" s="5">
        <f>'5.Infrastructure Annex'!H38</f>
        <v>0</v>
      </c>
      <c r="G42" s="5">
        <f>'5.Infrastructure Annex'!I38</f>
        <v>0</v>
      </c>
      <c r="H42" s="5">
        <f>'5.Infrastructure Annex'!J38</f>
        <v>0</v>
      </c>
      <c r="I42" s="5">
        <f>'5.Infrastructure Annex'!K38</f>
        <v>0</v>
      </c>
      <c r="J42" s="5">
        <f>'5.Infrastructure Annex'!L38</f>
        <v>0</v>
      </c>
      <c r="K42" s="5">
        <f>'5.Infrastructure Annex'!M38</f>
        <v>0</v>
      </c>
      <c r="L42" s="5">
        <f>'5.Infrastructure Annex'!N38</f>
        <v>0</v>
      </c>
      <c r="M42" s="5">
        <f>'5.Infrastructure Annex'!O38</f>
        <v>0</v>
      </c>
      <c r="N42" s="5">
        <f>'5.Infrastructure Annex'!P38</f>
        <v>0</v>
      </c>
      <c r="O42" s="5">
        <f>'5.Infrastructure Annex'!Q38</f>
        <v>0</v>
      </c>
      <c r="P42" s="5">
        <f>'5.Infrastructure Annex'!R38</f>
        <v>0</v>
      </c>
    </row>
    <row r="43" spans="1:16" ht="25.5">
      <c r="A43" s="3" t="str">
        <f>'5.Infrastructure Annex'!A39</f>
        <v>5.1.1.3.3</v>
      </c>
      <c r="B43" s="3" t="str">
        <f>'5.Infrastructure Annex'!B39</f>
        <v>B4.1.2.3</v>
      </c>
      <c r="C43" s="3" t="str">
        <f>'5.Infrastructure Annex'!C39</f>
        <v>CHCs</v>
      </c>
      <c r="D43" s="5">
        <f>'5.Infrastructure Annex'!F39</f>
        <v>0</v>
      </c>
      <c r="E43" s="5">
        <f>'5.Infrastructure Annex'!G39</f>
        <v>0</v>
      </c>
      <c r="F43" s="5">
        <f>'5.Infrastructure Annex'!H39</f>
        <v>0</v>
      </c>
      <c r="G43" s="5">
        <f>'5.Infrastructure Annex'!I39</f>
        <v>0</v>
      </c>
      <c r="H43" s="5">
        <f>'5.Infrastructure Annex'!J39</f>
        <v>0</v>
      </c>
      <c r="I43" s="5">
        <f>'5.Infrastructure Annex'!K39</f>
        <v>0</v>
      </c>
      <c r="J43" s="5">
        <f>'5.Infrastructure Annex'!L39</f>
        <v>0</v>
      </c>
      <c r="K43" s="5">
        <f>'5.Infrastructure Annex'!M39</f>
        <v>0</v>
      </c>
      <c r="L43" s="5">
        <f>'5.Infrastructure Annex'!N39</f>
        <v>0</v>
      </c>
      <c r="M43" s="5">
        <f>'5.Infrastructure Annex'!O39</f>
        <v>0</v>
      </c>
      <c r="N43" s="5">
        <f>'5.Infrastructure Annex'!P39</f>
        <v>0</v>
      </c>
      <c r="O43" s="5">
        <f>'5.Infrastructure Annex'!Q39</f>
        <v>0</v>
      </c>
      <c r="P43" s="5">
        <f>'5.Infrastructure Annex'!R39</f>
        <v>0</v>
      </c>
    </row>
    <row r="44" spans="1:16" ht="25.5">
      <c r="A44" s="3" t="str">
        <f>'5.Infrastructure Annex'!A40</f>
        <v>5.1.1.3.4</v>
      </c>
      <c r="B44" s="3" t="str">
        <f>'5.Infrastructure Annex'!B40</f>
        <v>B4.1.3.3</v>
      </c>
      <c r="C44" s="3" t="str">
        <f>'5.Infrastructure Annex'!C40</f>
        <v>PHCs</v>
      </c>
      <c r="D44" s="5">
        <f>'5.Infrastructure Annex'!F40</f>
        <v>0</v>
      </c>
      <c r="E44" s="5">
        <f>'5.Infrastructure Annex'!G40</f>
        <v>0</v>
      </c>
      <c r="F44" s="5">
        <f>'5.Infrastructure Annex'!H40</f>
        <v>0</v>
      </c>
      <c r="G44" s="5">
        <f>'5.Infrastructure Annex'!I40</f>
        <v>0</v>
      </c>
      <c r="H44" s="5">
        <f>'5.Infrastructure Annex'!J40</f>
        <v>0</v>
      </c>
      <c r="I44" s="5">
        <f>'5.Infrastructure Annex'!K40</f>
        <v>0</v>
      </c>
      <c r="J44" s="5">
        <f>'5.Infrastructure Annex'!L40</f>
        <v>0</v>
      </c>
      <c r="K44" s="5">
        <f>'5.Infrastructure Annex'!M40</f>
        <v>0</v>
      </c>
      <c r="L44" s="5">
        <f>'5.Infrastructure Annex'!N40</f>
        <v>0</v>
      </c>
      <c r="M44" s="5">
        <f>'5.Infrastructure Annex'!O40</f>
        <v>0</v>
      </c>
      <c r="N44" s="5">
        <f>'5.Infrastructure Annex'!P40</f>
        <v>0</v>
      </c>
      <c r="O44" s="5">
        <f>'5.Infrastructure Annex'!Q40</f>
        <v>0</v>
      </c>
      <c r="P44" s="5">
        <f>'5.Infrastructure Annex'!R40</f>
        <v>0</v>
      </c>
    </row>
    <row r="45" spans="1:16" ht="25.5">
      <c r="A45" s="3" t="str">
        <f>'5.Infrastructure Annex'!A41</f>
        <v>5.1.1.3.5</v>
      </c>
      <c r="B45" s="3" t="str">
        <f>'5.Infrastructure Annex'!B41</f>
        <v>B4.1.4.3</v>
      </c>
      <c r="C45" s="3" t="str">
        <f>'5.Infrastructure Annex'!C41</f>
        <v>Spill over of Ongoing Upgradation Works - HWC-HSCs</v>
      </c>
      <c r="D45" s="5">
        <f>'5.Infrastructure Annex'!F41</f>
        <v>0</v>
      </c>
      <c r="E45" s="5">
        <f>'5.Infrastructure Annex'!G41</f>
        <v>0</v>
      </c>
      <c r="F45" s="5">
        <f>'5.Infrastructure Annex'!H41</f>
        <v>0</v>
      </c>
      <c r="G45" s="5">
        <f>'5.Infrastructure Annex'!I41</f>
        <v>0</v>
      </c>
      <c r="H45" s="5">
        <f>'5.Infrastructure Annex'!J41</f>
        <v>0</v>
      </c>
      <c r="I45" s="5">
        <f>'5.Infrastructure Annex'!K41</f>
        <v>0</v>
      </c>
      <c r="J45" s="5">
        <f>'5.Infrastructure Annex'!L41</f>
        <v>0</v>
      </c>
      <c r="K45" s="5">
        <f>'5.Infrastructure Annex'!M41</f>
        <v>0</v>
      </c>
      <c r="L45" s="5">
        <f>'5.Infrastructure Annex'!N41</f>
        <v>0</v>
      </c>
      <c r="M45" s="5">
        <f>'5.Infrastructure Annex'!O41</f>
        <v>0</v>
      </c>
      <c r="N45" s="5">
        <f>'5.Infrastructure Annex'!P41</f>
        <v>0</v>
      </c>
      <c r="O45" s="5">
        <f>'5.Infrastructure Annex'!Q41</f>
        <v>0</v>
      </c>
      <c r="P45" s="5">
        <f>'5.Infrastructure Annex'!R41</f>
        <v>0</v>
      </c>
    </row>
    <row r="46" spans="1:16" ht="357">
      <c r="A46" s="3" t="str">
        <f>'5.Infrastructure Annex'!A42</f>
        <v>5.1.1.3.6</v>
      </c>
      <c r="B46" s="3" t="str">
        <f>'5.Infrastructure Annex'!B42</f>
        <v>B4.1.5.3</v>
      </c>
      <c r="C46" s="3" t="str">
        <f>'5.Infrastructure Annex'!C42</f>
        <v>Spill over of Ongoing Upgradation-MCH Wings</v>
      </c>
      <c r="D46" s="5">
        <f>'5.Infrastructure Annex'!F42</f>
        <v>7</v>
      </c>
      <c r="E46" s="5">
        <f>'5.Infrastructure Annex'!G42</f>
        <v>4</v>
      </c>
      <c r="F46" s="5">
        <f>'5.Infrastructure Annex'!H42</f>
        <v>952</v>
      </c>
      <c r="G46" s="5" t="str">
        <f>'5.Infrastructure Annex'!I42</f>
        <v>476                              Leftout funds:-        (MCH Nurpur = 2.10 cr being released; Dr. RPGMC Tanda = 2.45 cr, RH Bilaspur=0.07 cr, RH Solan=0.07 cr., Dr.YSPGMC Nahan = 0.07 cr not yet released)</v>
      </c>
      <c r="H46" s="5">
        <f>'5.Infrastructure Annex'!J42</f>
        <v>476</v>
      </c>
      <c r="I46" s="5">
        <f>'5.Infrastructure Annex'!K42</f>
        <v>0</v>
      </c>
      <c r="J46" s="5">
        <f>'5.Infrastructure Annex'!L42</f>
        <v>33686000</v>
      </c>
      <c r="K46" s="5">
        <f>'5.Infrastructure Annex'!M42</f>
        <v>336.86</v>
      </c>
      <c r="L46" s="5">
        <f>'5.Infrastructure Annex'!N42</f>
        <v>7</v>
      </c>
      <c r="M46" s="5">
        <f>'5.Infrastructure Annex'!O42</f>
        <v>2358.02</v>
      </c>
      <c r="N46" s="5" t="str">
        <f>'5.Infrastructure Annex'!P42</f>
        <v>1. RH Kullu - Out of Rs.20 cr. approved, Rs.8.45 cr. stand released and another 4 cr. built in S.PIP. Work is progressing fast. Rest of fund i.e. Rs.7.55 cr built. 2. Dr.RPGMC Tanda = Out of Rs. 40 cr. approved, Rs. 18.95 cr. stand released . Work is in progress, Rs. 10 cr is built 3. CH Nurpur = Out of Rs. 10 cr. approved, Rs. 8.10 cr has been released. Remaining funds built in Supplementary PIP and funds proposed are NIL 4. RH Una = Out of Rs.20 cr., Rs. 4.57 cr. has been released and another Rs.4 cr. has been proposed in S.PIP. Work is in progress hence Rs.5 cr  built in PIP. Rs. 1 lac as token money for MCH wings at Dr.YSPGMC, Nahan, RH Bilaspur and DH Solan built as the work is about to be initiated</v>
      </c>
      <c r="O46" s="5" t="str">
        <f>'5.Infrastructure Annex'!Q42</f>
        <v xml:space="preserve">Ongoing activity; Recommended for approval Rs 2353.02 lakh with the conditionality that utilisation certificate will be shared for each of the facility.Rs 1209.00 Lakhs have been recommended for approval in SPIP 2020-2021. </v>
      </c>
      <c r="P46" s="5">
        <f>'5.Infrastructure Annex'!R42</f>
        <v>2253.02</v>
      </c>
    </row>
    <row r="47" spans="1:16" ht="63.75">
      <c r="A47" s="3" t="str">
        <f>'5.Infrastructure Annex'!A43</f>
        <v>5.1.1.3.7</v>
      </c>
      <c r="B47" s="3">
        <f>'5.Infrastructure Annex'!B43</f>
        <v>0</v>
      </c>
      <c r="C47" s="3" t="str">
        <f>'5.Infrastructure Annex'!C43</f>
        <v>Spill over of Ongoing Upgradation-Facility based new-born care centres (SNCU/NBSU/NBCC/KMC unit)/MNCU &amp; State resource centre/CLMC units/Paediatric HDUs</v>
      </c>
      <c r="D47" s="5">
        <f>'5.Infrastructure Annex'!F43</f>
        <v>0</v>
      </c>
      <c r="E47" s="5">
        <f>'5.Infrastructure Annex'!G43</f>
        <v>0</v>
      </c>
      <c r="F47" s="5">
        <f>'5.Infrastructure Annex'!H43</f>
        <v>0</v>
      </c>
      <c r="G47" s="5">
        <f>'5.Infrastructure Annex'!I43</f>
        <v>0</v>
      </c>
      <c r="H47" s="5">
        <f>'5.Infrastructure Annex'!J43</f>
        <v>0</v>
      </c>
      <c r="I47" s="5">
        <f>'5.Infrastructure Annex'!K43</f>
        <v>0</v>
      </c>
      <c r="J47" s="5">
        <f>'5.Infrastructure Annex'!L43</f>
        <v>0</v>
      </c>
      <c r="K47" s="5">
        <f>'5.Infrastructure Annex'!M43</f>
        <v>0</v>
      </c>
      <c r="L47" s="5">
        <f>'5.Infrastructure Annex'!N43</f>
        <v>0</v>
      </c>
      <c r="M47" s="5">
        <f>'5.Infrastructure Annex'!O43</f>
        <v>0</v>
      </c>
      <c r="N47" s="5">
        <f>'5.Infrastructure Annex'!P43</f>
        <v>0</v>
      </c>
      <c r="O47" s="5" t="str">
        <f>'5.Infrastructure Annex'!Q43</f>
        <v>-</v>
      </c>
      <c r="P47" s="5">
        <f>'5.Infrastructure Annex'!R43</f>
        <v>0</v>
      </c>
    </row>
    <row r="48" spans="1:16" ht="25.5">
      <c r="A48" s="3" t="str">
        <f>'5.Infrastructure Annex'!A44</f>
        <v>5.1.1.3.8</v>
      </c>
      <c r="B48" s="3" t="str">
        <f>'5.Infrastructure Annex'!B44</f>
        <v>B.5.10.1.3</v>
      </c>
      <c r="C48" s="3" t="str">
        <f>'5.Infrastructure Annex'!C44</f>
        <v>Training Institutions</v>
      </c>
      <c r="D48" s="5">
        <f>'5.Infrastructure Annex'!F44</f>
        <v>0</v>
      </c>
      <c r="E48" s="5">
        <f>'5.Infrastructure Annex'!G44</f>
        <v>0</v>
      </c>
      <c r="F48" s="5">
        <f>'5.Infrastructure Annex'!H44</f>
        <v>0</v>
      </c>
      <c r="G48" s="5">
        <f>'5.Infrastructure Annex'!I44</f>
        <v>0</v>
      </c>
      <c r="H48" s="5">
        <f>'5.Infrastructure Annex'!J44</f>
        <v>0</v>
      </c>
      <c r="I48" s="5">
        <f>'5.Infrastructure Annex'!K44</f>
        <v>0</v>
      </c>
      <c r="J48" s="5">
        <f>'5.Infrastructure Annex'!L44</f>
        <v>0</v>
      </c>
      <c r="K48" s="5">
        <f>'5.Infrastructure Annex'!M44</f>
        <v>0</v>
      </c>
      <c r="L48" s="5">
        <f>'5.Infrastructure Annex'!N44</f>
        <v>0</v>
      </c>
      <c r="M48" s="5">
        <f>'5.Infrastructure Annex'!O44</f>
        <v>0</v>
      </c>
      <c r="N48" s="5">
        <f>'5.Infrastructure Annex'!P44</f>
        <v>0</v>
      </c>
      <c r="O48" s="5">
        <f>'5.Infrastructure Annex'!Q44</f>
        <v>0</v>
      </c>
      <c r="P48" s="5">
        <f>'5.Infrastructure Annex'!R44</f>
        <v>0</v>
      </c>
    </row>
    <row r="49" spans="1:16" ht="25.5">
      <c r="A49" s="3" t="str">
        <f>'5.Infrastructure Annex'!A45</f>
        <v>5.1.1.3.9</v>
      </c>
      <c r="B49" s="3">
        <f>'5.Infrastructure Annex'!B45</f>
        <v>0</v>
      </c>
      <c r="C49" s="3" t="str">
        <f>'5.Infrastructure Annex'!C45</f>
        <v>Any Others</v>
      </c>
      <c r="D49" s="5">
        <f>'5.Infrastructure Annex'!F45</f>
        <v>0</v>
      </c>
      <c r="E49" s="5">
        <f>'5.Infrastructure Annex'!G45</f>
        <v>0</v>
      </c>
      <c r="F49" s="5">
        <f>'5.Infrastructure Annex'!H45</f>
        <v>0</v>
      </c>
      <c r="G49" s="5">
        <f>'5.Infrastructure Annex'!I45</f>
        <v>0</v>
      </c>
      <c r="H49" s="5">
        <f>'5.Infrastructure Annex'!J45</f>
        <v>0</v>
      </c>
      <c r="I49" s="5">
        <f>'5.Infrastructure Annex'!K45</f>
        <v>0</v>
      </c>
      <c r="J49" s="5">
        <f>'5.Infrastructure Annex'!L45</f>
        <v>0</v>
      </c>
      <c r="K49" s="5">
        <f>'5.Infrastructure Annex'!M45</f>
        <v>0</v>
      </c>
      <c r="L49" s="5">
        <f>'5.Infrastructure Annex'!N45</f>
        <v>0</v>
      </c>
      <c r="M49" s="5">
        <f>'5.Infrastructure Annex'!O45</f>
        <v>0</v>
      </c>
      <c r="N49" s="5">
        <f>'5.Infrastructure Annex'!P45</f>
        <v>0</v>
      </c>
      <c r="O49" s="5">
        <f>'5.Infrastructure Annex'!Q45</f>
        <v>0</v>
      </c>
      <c r="P49" s="5">
        <f>'5.Infrastructure Annex'!R45</f>
        <v>0</v>
      </c>
    </row>
    <row r="50" spans="1:16" ht="76.5">
      <c r="A50" s="3" t="str">
        <f>'5.Infrastructure Annex'!A46</f>
        <v>5.1.1.4</v>
      </c>
      <c r="B50" s="3" t="str">
        <f>'5.Infrastructure Annex'!B46</f>
        <v>B4.1.1/ B4.1.2/ B4.1.3/ B4.1.4/ B4.1.6/ B.5.10</v>
      </c>
      <c r="C50" s="3" t="str">
        <f>'5.Infrastructure Annex'!C46</f>
        <v>Staff Quarters</v>
      </c>
      <c r="D50" s="5">
        <f>SUM(D51:D57)</f>
        <v>0</v>
      </c>
      <c r="E50" s="5">
        <f>SUM(E51:E57)</f>
        <v>0</v>
      </c>
      <c r="F50" s="5">
        <f>SUM(F51:F57)</f>
        <v>0</v>
      </c>
      <c r="G50" s="5">
        <f>SUM(G51:G57)</f>
        <v>0</v>
      </c>
      <c r="H50" s="5">
        <f>SUM(H51:H57)</f>
        <v>0</v>
      </c>
      <c r="I50" s="5">
        <f>'5.Infrastructure Annex'!K46</f>
        <v>0</v>
      </c>
      <c r="J50" s="5">
        <f>'5.Infrastructure Annex'!L46</f>
        <v>0</v>
      </c>
      <c r="K50" s="5">
        <f>'5.Infrastructure Annex'!M46</f>
        <v>0</v>
      </c>
      <c r="L50" s="5">
        <f>'5.Infrastructure Annex'!N46</f>
        <v>0</v>
      </c>
      <c r="M50" s="5">
        <f>SUM(M51:M57)</f>
        <v>0</v>
      </c>
      <c r="N50" s="5">
        <f>'5.Infrastructure Annex'!P46</f>
        <v>0</v>
      </c>
      <c r="O50" s="5">
        <f>'5.Infrastructure Annex'!Q46</f>
        <v>0</v>
      </c>
      <c r="P50" s="5">
        <f>SUM(P51:P57)</f>
        <v>0</v>
      </c>
    </row>
    <row r="51" spans="1:16" ht="25.5">
      <c r="A51" s="3" t="str">
        <f>'5.Infrastructure Annex'!A47</f>
        <v>5.1.1.4.1</v>
      </c>
      <c r="B51" s="3" t="str">
        <f>'5.Infrastructure Annex'!B47</f>
        <v>B4.1.1.4</v>
      </c>
      <c r="C51" s="3" t="str">
        <f>'5.Infrastructure Annex'!C47</f>
        <v>District Hospitals (As per the DH Strengthening Guidelines)</v>
      </c>
      <c r="D51" s="5">
        <f>'5.Infrastructure Annex'!F47</f>
        <v>0</v>
      </c>
      <c r="E51" s="5">
        <f>'5.Infrastructure Annex'!G47</f>
        <v>0</v>
      </c>
      <c r="F51" s="5">
        <f>'5.Infrastructure Annex'!H47</f>
        <v>0</v>
      </c>
      <c r="G51" s="5">
        <f>'5.Infrastructure Annex'!I47</f>
        <v>0</v>
      </c>
      <c r="H51" s="5">
        <f>'5.Infrastructure Annex'!J47</f>
        <v>0</v>
      </c>
      <c r="I51" s="5">
        <f>'5.Infrastructure Annex'!K47</f>
        <v>0</v>
      </c>
      <c r="J51" s="5">
        <f>'5.Infrastructure Annex'!L47</f>
        <v>0</v>
      </c>
      <c r="K51" s="5">
        <f>'5.Infrastructure Annex'!M47</f>
        <v>0</v>
      </c>
      <c r="L51" s="5">
        <f>'5.Infrastructure Annex'!N47</f>
        <v>0</v>
      </c>
      <c r="M51" s="5">
        <f>'5.Infrastructure Annex'!O47</f>
        <v>0</v>
      </c>
      <c r="N51" s="5">
        <f>'5.Infrastructure Annex'!P47</f>
        <v>0</v>
      </c>
      <c r="O51" s="5">
        <f>'5.Infrastructure Annex'!Q47</f>
        <v>0</v>
      </c>
      <c r="P51" s="5">
        <f>'5.Infrastructure Annex'!R47</f>
        <v>0</v>
      </c>
    </row>
    <row r="52" spans="1:16" ht="25.5">
      <c r="A52" s="3" t="str">
        <f>'5.Infrastructure Annex'!A48</f>
        <v>5.1.1.4.2</v>
      </c>
      <c r="B52" s="3" t="str">
        <f>'5.Infrastructure Annex'!B48</f>
        <v>B4.1.6.4</v>
      </c>
      <c r="C52" s="3" t="str">
        <f>'5.Infrastructure Annex'!C48</f>
        <v>SDH</v>
      </c>
      <c r="D52" s="5">
        <f>'5.Infrastructure Annex'!F48</f>
        <v>0</v>
      </c>
      <c r="E52" s="5">
        <f>'5.Infrastructure Annex'!G48</f>
        <v>0</v>
      </c>
      <c r="F52" s="5">
        <f>'5.Infrastructure Annex'!H48</f>
        <v>0</v>
      </c>
      <c r="G52" s="5">
        <f>'5.Infrastructure Annex'!I48</f>
        <v>0</v>
      </c>
      <c r="H52" s="5">
        <f>'5.Infrastructure Annex'!J48</f>
        <v>0</v>
      </c>
      <c r="I52" s="5">
        <f>'5.Infrastructure Annex'!K48</f>
        <v>0</v>
      </c>
      <c r="J52" s="5">
        <f>'5.Infrastructure Annex'!L48</f>
        <v>0</v>
      </c>
      <c r="K52" s="5">
        <f>'5.Infrastructure Annex'!M48</f>
        <v>0</v>
      </c>
      <c r="L52" s="5">
        <f>'5.Infrastructure Annex'!N48</f>
        <v>0</v>
      </c>
      <c r="M52" s="5">
        <f>'5.Infrastructure Annex'!O48</f>
        <v>0</v>
      </c>
      <c r="N52" s="5">
        <f>'5.Infrastructure Annex'!P48</f>
        <v>0</v>
      </c>
      <c r="O52" s="5">
        <f>'5.Infrastructure Annex'!Q48</f>
        <v>0</v>
      </c>
      <c r="P52" s="5">
        <f>'5.Infrastructure Annex'!R48</f>
        <v>0</v>
      </c>
    </row>
    <row r="53" spans="1:16" ht="25.5">
      <c r="A53" s="3" t="str">
        <f>'5.Infrastructure Annex'!A49</f>
        <v>5.1.1.4.3</v>
      </c>
      <c r="B53" s="3" t="str">
        <f>'5.Infrastructure Annex'!B49</f>
        <v>B4.1.2.4</v>
      </c>
      <c r="C53" s="3" t="str">
        <f>'5.Infrastructure Annex'!C49</f>
        <v>CHCs</v>
      </c>
      <c r="D53" s="5">
        <f>'5.Infrastructure Annex'!F49</f>
        <v>0</v>
      </c>
      <c r="E53" s="5">
        <f>'5.Infrastructure Annex'!G49</f>
        <v>0</v>
      </c>
      <c r="F53" s="5">
        <f>'5.Infrastructure Annex'!H49</f>
        <v>0</v>
      </c>
      <c r="G53" s="5">
        <f>'5.Infrastructure Annex'!I49</f>
        <v>0</v>
      </c>
      <c r="H53" s="5">
        <f>'5.Infrastructure Annex'!J49</f>
        <v>0</v>
      </c>
      <c r="I53" s="5">
        <f>'5.Infrastructure Annex'!K49</f>
        <v>0</v>
      </c>
      <c r="J53" s="5">
        <f>'5.Infrastructure Annex'!L49</f>
        <v>0</v>
      </c>
      <c r="K53" s="5">
        <f>'5.Infrastructure Annex'!M49</f>
        <v>0</v>
      </c>
      <c r="L53" s="5">
        <f>'5.Infrastructure Annex'!N49</f>
        <v>0</v>
      </c>
      <c r="M53" s="5">
        <f>'5.Infrastructure Annex'!O49</f>
        <v>0</v>
      </c>
      <c r="N53" s="5">
        <f>'5.Infrastructure Annex'!P49</f>
        <v>0</v>
      </c>
      <c r="O53" s="5">
        <f>'5.Infrastructure Annex'!Q49</f>
        <v>0</v>
      </c>
      <c r="P53" s="5">
        <f>'5.Infrastructure Annex'!R49</f>
        <v>0</v>
      </c>
    </row>
    <row r="54" spans="1:16" ht="25.5">
      <c r="A54" s="3" t="str">
        <f>'5.Infrastructure Annex'!A50</f>
        <v>5.1.1.4.4</v>
      </c>
      <c r="B54" s="3" t="str">
        <f>'5.Infrastructure Annex'!B50</f>
        <v>B4.1.3.4</v>
      </c>
      <c r="C54" s="3" t="str">
        <f>'5.Infrastructure Annex'!C50</f>
        <v>PHCs</v>
      </c>
      <c r="D54" s="5">
        <f>'5.Infrastructure Annex'!F50</f>
        <v>0</v>
      </c>
      <c r="E54" s="5">
        <f>'5.Infrastructure Annex'!G50</f>
        <v>0</v>
      </c>
      <c r="F54" s="5">
        <f>'5.Infrastructure Annex'!H50</f>
        <v>0</v>
      </c>
      <c r="G54" s="5">
        <f>'5.Infrastructure Annex'!I50</f>
        <v>0</v>
      </c>
      <c r="H54" s="5">
        <f>'5.Infrastructure Annex'!J50</f>
        <v>0</v>
      </c>
      <c r="I54" s="5">
        <f>'5.Infrastructure Annex'!K50</f>
        <v>0</v>
      </c>
      <c r="J54" s="5">
        <f>'5.Infrastructure Annex'!L50</f>
        <v>0</v>
      </c>
      <c r="K54" s="5">
        <f>'5.Infrastructure Annex'!M50</f>
        <v>0</v>
      </c>
      <c r="L54" s="5">
        <f>'5.Infrastructure Annex'!N50</f>
        <v>0</v>
      </c>
      <c r="M54" s="5">
        <f>'5.Infrastructure Annex'!O50</f>
        <v>0</v>
      </c>
      <c r="N54" s="5">
        <f>'5.Infrastructure Annex'!P50</f>
        <v>0</v>
      </c>
      <c r="O54" s="5">
        <f>'5.Infrastructure Annex'!Q50</f>
        <v>0</v>
      </c>
      <c r="P54" s="5">
        <f>'5.Infrastructure Annex'!R50</f>
        <v>0</v>
      </c>
    </row>
    <row r="55" spans="1:16" ht="25.5">
      <c r="A55" s="3" t="str">
        <f>'5.Infrastructure Annex'!A51</f>
        <v>5.1.1.4.5</v>
      </c>
      <c r="B55" s="3" t="str">
        <f>'5.Infrastructure Annex'!B51</f>
        <v>B4.1.4.4</v>
      </c>
      <c r="C55" s="3" t="str">
        <f>'5.Infrastructure Annex'!C51</f>
        <v>Sub Centres</v>
      </c>
      <c r="D55" s="5">
        <f>'5.Infrastructure Annex'!F51</f>
        <v>0</v>
      </c>
      <c r="E55" s="5">
        <f>'5.Infrastructure Annex'!G51</f>
        <v>0</v>
      </c>
      <c r="F55" s="5">
        <f>'5.Infrastructure Annex'!H51</f>
        <v>0</v>
      </c>
      <c r="G55" s="5">
        <f>'5.Infrastructure Annex'!I51</f>
        <v>0</v>
      </c>
      <c r="H55" s="5">
        <f>'5.Infrastructure Annex'!J51</f>
        <v>0</v>
      </c>
      <c r="I55" s="5">
        <f>'5.Infrastructure Annex'!K51</f>
        <v>0</v>
      </c>
      <c r="J55" s="5">
        <f>'5.Infrastructure Annex'!L51</f>
        <v>0</v>
      </c>
      <c r="K55" s="5">
        <f>'5.Infrastructure Annex'!M51</f>
        <v>0</v>
      </c>
      <c r="L55" s="5">
        <f>'5.Infrastructure Annex'!N51</f>
        <v>0</v>
      </c>
      <c r="M55" s="5">
        <f>'5.Infrastructure Annex'!O51</f>
        <v>0</v>
      </c>
      <c r="N55" s="5">
        <f>'5.Infrastructure Annex'!P51</f>
        <v>0</v>
      </c>
      <c r="O55" s="5">
        <f>'5.Infrastructure Annex'!Q51</f>
        <v>0</v>
      </c>
      <c r="P55" s="5">
        <f>'5.Infrastructure Annex'!R51</f>
        <v>0</v>
      </c>
    </row>
    <row r="56" spans="1:16" ht="25.5">
      <c r="A56" s="3" t="str">
        <f>'5.Infrastructure Annex'!A52</f>
        <v>5.1.1.4.6</v>
      </c>
      <c r="B56" s="3" t="str">
        <f>'5.Infrastructure Annex'!B52</f>
        <v>B.5.10.1.4</v>
      </c>
      <c r="C56" s="3" t="str">
        <f>'5.Infrastructure Annex'!C52</f>
        <v>Training Institutions (incl. hostels/residential facilities)</v>
      </c>
      <c r="D56" s="5">
        <f>'5.Infrastructure Annex'!F52</f>
        <v>0</v>
      </c>
      <c r="E56" s="5">
        <f>'5.Infrastructure Annex'!G52</f>
        <v>0</v>
      </c>
      <c r="F56" s="5">
        <f>'5.Infrastructure Annex'!H52</f>
        <v>0</v>
      </c>
      <c r="G56" s="5">
        <f>'5.Infrastructure Annex'!I52</f>
        <v>0</v>
      </c>
      <c r="H56" s="5">
        <f>'5.Infrastructure Annex'!J52</f>
        <v>0</v>
      </c>
      <c r="I56" s="5">
        <f>'5.Infrastructure Annex'!K52</f>
        <v>0</v>
      </c>
      <c r="J56" s="5">
        <f>'5.Infrastructure Annex'!L52</f>
        <v>0</v>
      </c>
      <c r="K56" s="5">
        <f>'5.Infrastructure Annex'!M52</f>
        <v>0</v>
      </c>
      <c r="L56" s="5">
        <f>'5.Infrastructure Annex'!N52</f>
        <v>0</v>
      </c>
      <c r="M56" s="5">
        <f>'5.Infrastructure Annex'!O52</f>
        <v>0</v>
      </c>
      <c r="N56" s="5">
        <f>'5.Infrastructure Annex'!P52</f>
        <v>0</v>
      </c>
      <c r="O56" s="5">
        <f>'5.Infrastructure Annex'!Q52</f>
        <v>0</v>
      </c>
      <c r="P56" s="5">
        <f>'5.Infrastructure Annex'!R52</f>
        <v>0</v>
      </c>
    </row>
    <row r="57" spans="1:16" ht="25.5">
      <c r="A57" s="3" t="str">
        <f>'5.Infrastructure Annex'!A53</f>
        <v>5.1.1.4.7</v>
      </c>
      <c r="B57" s="3">
        <f>'5.Infrastructure Annex'!B53</f>
        <v>0</v>
      </c>
      <c r="C57" s="3" t="str">
        <f>'5.Infrastructure Annex'!C53</f>
        <v>Any Others</v>
      </c>
      <c r="D57" s="5">
        <f>'5.Infrastructure Annex'!F53</f>
        <v>0</v>
      </c>
      <c r="E57" s="5">
        <f>'5.Infrastructure Annex'!G53</f>
        <v>0</v>
      </c>
      <c r="F57" s="5">
        <f>'5.Infrastructure Annex'!H53</f>
        <v>0</v>
      </c>
      <c r="G57" s="5">
        <f>'5.Infrastructure Annex'!I53</f>
        <v>0</v>
      </c>
      <c r="H57" s="5">
        <f>'5.Infrastructure Annex'!J53</f>
        <v>0</v>
      </c>
      <c r="I57" s="5">
        <f>'5.Infrastructure Annex'!K53</f>
        <v>0</v>
      </c>
      <c r="J57" s="5">
        <f>'5.Infrastructure Annex'!L53</f>
        <v>0</v>
      </c>
      <c r="K57" s="5">
        <f>'5.Infrastructure Annex'!M53</f>
        <v>0</v>
      </c>
      <c r="L57" s="5">
        <f>'5.Infrastructure Annex'!N53</f>
        <v>0</v>
      </c>
      <c r="M57" s="5">
        <f>'5.Infrastructure Annex'!O53</f>
        <v>0</v>
      </c>
      <c r="N57" s="5">
        <f>'5.Infrastructure Annex'!P53</f>
        <v>0</v>
      </c>
      <c r="O57" s="5">
        <f>'5.Infrastructure Annex'!Q53</f>
        <v>0</v>
      </c>
      <c r="P57" s="5">
        <f>'5.Infrastructure Annex'!R53</f>
        <v>0</v>
      </c>
    </row>
    <row r="58" spans="1:16">
      <c r="A58" s="15" t="str">
        <f>'5.Infrastructure Annex'!A54</f>
        <v>5.1.2</v>
      </c>
      <c r="B58" s="15" t="str">
        <f>'5.Infrastructure Annex'!B54</f>
        <v>B.4.3</v>
      </c>
      <c r="C58" s="15" t="str">
        <f>'5.Infrastructure Annex'!C54</f>
        <v>Sub Centre Rent and Contingencies</v>
      </c>
      <c r="D58" s="28">
        <f>'5.Infrastructure Annex'!F54</f>
        <v>0</v>
      </c>
      <c r="E58" s="28">
        <f>'5.Infrastructure Annex'!G54</f>
        <v>0</v>
      </c>
      <c r="F58" s="28">
        <f>'5.Infrastructure Annex'!H54</f>
        <v>0</v>
      </c>
      <c r="G58" s="28">
        <f>'5.Infrastructure Annex'!I54</f>
        <v>0</v>
      </c>
      <c r="H58" s="28">
        <f>'5.Infrastructure Annex'!J54</f>
        <v>0</v>
      </c>
      <c r="I58" s="28">
        <f>'5.Infrastructure Annex'!K54</f>
        <v>0</v>
      </c>
      <c r="J58" s="28">
        <f>'5.Infrastructure Annex'!L54</f>
        <v>0</v>
      </c>
      <c r="K58" s="28">
        <f>'5.Infrastructure Annex'!M54</f>
        <v>0</v>
      </c>
      <c r="L58" s="28">
        <f>'5.Infrastructure Annex'!N54</f>
        <v>0</v>
      </c>
      <c r="M58" s="28">
        <f>'5.Infrastructure Annex'!O54</f>
        <v>0</v>
      </c>
      <c r="N58" s="28">
        <f>'5.Infrastructure Annex'!P54</f>
        <v>0</v>
      </c>
      <c r="O58" s="28">
        <f>'5.Infrastructure Annex'!Q54</f>
        <v>0</v>
      </c>
      <c r="P58" s="28">
        <f>'5.Infrastructure Annex'!R54</f>
        <v>0</v>
      </c>
    </row>
    <row r="59" spans="1:16">
      <c r="A59" s="20">
        <f>'5.Infrastructure Annex'!A55</f>
        <v>5.2</v>
      </c>
      <c r="B59" s="20">
        <f>'5.Infrastructure Annex'!B55</f>
        <v>0</v>
      </c>
      <c r="C59" s="20" t="str">
        <f>'5.Infrastructure Annex'!C55</f>
        <v xml:space="preserve">New Constructions </v>
      </c>
      <c r="D59" s="27"/>
      <c r="E59" s="27"/>
      <c r="F59" s="27">
        <f>F60+F75+F86</f>
        <v>1119.54</v>
      </c>
      <c r="G59" s="27">
        <f>G60+G75+G86</f>
        <v>11.39</v>
      </c>
      <c r="H59" s="27">
        <f>H60+H75+H86</f>
        <v>1107.43</v>
      </c>
      <c r="I59" s="27"/>
      <c r="J59" s="27"/>
      <c r="K59" s="27"/>
      <c r="L59" s="27"/>
      <c r="M59" s="27">
        <f>M60+M75+M86</f>
        <v>341.46170000000001</v>
      </c>
      <c r="N59" s="27"/>
      <c r="O59" s="27"/>
      <c r="P59" s="27">
        <f>P60+P75+P86</f>
        <v>341.46000000000004</v>
      </c>
    </row>
    <row r="60" spans="1:16" ht="153">
      <c r="A60" s="15" t="str">
        <f>'5.Infrastructure Annex'!A56</f>
        <v>5.2.1</v>
      </c>
      <c r="B60" s="15" t="str">
        <f>'5.Infrastructure Annex'!B56</f>
        <v>B5.1/ B5.2/ B5.3/ B5.5/ B5.10/ A.9.10.2/ B.5.11/ B.5.12/B.5.13/ B4.1.5/ A.4.1.2/ A.2.5</v>
      </c>
      <c r="C60" s="15" t="str">
        <f>'5.Infrastructure Annex'!C56</f>
        <v>New construction (to be initiated this year) as per the IPHS norms including staff quarters</v>
      </c>
      <c r="D60" s="28"/>
      <c r="E60" s="28"/>
      <c r="F60" s="28">
        <f>SUM(F61:F74)</f>
        <v>994.5</v>
      </c>
      <c r="G60" s="28">
        <f>SUM(G61:G74)</f>
        <v>1.07</v>
      </c>
      <c r="H60" s="28">
        <f>SUM(H61:H74)</f>
        <v>993.43000000000006</v>
      </c>
      <c r="I60" s="28"/>
      <c r="J60" s="28"/>
      <c r="K60" s="28"/>
      <c r="L60" s="28"/>
      <c r="M60" s="28">
        <f>SUM(M61:M74)</f>
        <v>195.774</v>
      </c>
      <c r="N60" s="28"/>
      <c r="O60" s="28"/>
      <c r="P60" s="28">
        <f>SUM(P61:P74)</f>
        <v>195.77</v>
      </c>
    </row>
    <row r="61" spans="1:16">
      <c r="A61" s="3" t="str">
        <f>'5.Infrastructure Annex'!A57</f>
        <v>5.2.1.1</v>
      </c>
      <c r="B61" s="3" t="str">
        <f>'5.Infrastructure Annex'!B57</f>
        <v>B5.12.1</v>
      </c>
      <c r="C61" s="3" t="str">
        <f>'5.Infrastructure Annex'!C57</f>
        <v>DH</v>
      </c>
      <c r="D61" s="5">
        <f>'5.Infrastructure Annex'!F57</f>
        <v>0</v>
      </c>
      <c r="E61" s="5">
        <f>'5.Infrastructure Annex'!G57</f>
        <v>0</v>
      </c>
      <c r="F61" s="5">
        <f>'5.Infrastructure Annex'!H57</f>
        <v>0</v>
      </c>
      <c r="G61" s="5">
        <f>'5.Infrastructure Annex'!I57</f>
        <v>0</v>
      </c>
      <c r="H61" s="5">
        <f>'5.Infrastructure Annex'!J57</f>
        <v>0</v>
      </c>
      <c r="I61" s="5">
        <f>'5.Infrastructure Annex'!K57</f>
        <v>0</v>
      </c>
      <c r="J61" s="5">
        <f>'5.Infrastructure Annex'!L57</f>
        <v>0</v>
      </c>
      <c r="K61" s="5">
        <f>'5.Infrastructure Annex'!M57</f>
        <v>0</v>
      </c>
      <c r="L61" s="5">
        <f>'5.Infrastructure Annex'!N57</f>
        <v>0</v>
      </c>
      <c r="M61" s="5">
        <f>'5.Infrastructure Annex'!O57</f>
        <v>0</v>
      </c>
      <c r="N61" s="5">
        <f>'5.Infrastructure Annex'!P57</f>
        <v>0</v>
      </c>
      <c r="O61" s="5">
        <f>'5.Infrastructure Annex'!Q57</f>
        <v>0</v>
      </c>
      <c r="P61" s="5">
        <f>'5.Infrastructure Annex'!R57</f>
        <v>0</v>
      </c>
    </row>
    <row r="62" spans="1:16">
      <c r="A62" s="3" t="str">
        <f>'5.Infrastructure Annex'!A58</f>
        <v>5.2.1.2</v>
      </c>
      <c r="B62" s="3" t="str">
        <f>'5.Infrastructure Annex'!B58</f>
        <v>B5.11.1</v>
      </c>
      <c r="C62" s="3" t="str">
        <f>'5.Infrastructure Annex'!C58</f>
        <v>SDH</v>
      </c>
      <c r="D62" s="5">
        <f>'5.Infrastructure Annex'!F58</f>
        <v>0</v>
      </c>
      <c r="E62" s="5">
        <f>'5.Infrastructure Annex'!G58</f>
        <v>0</v>
      </c>
      <c r="F62" s="5">
        <f>'5.Infrastructure Annex'!H58</f>
        <v>0</v>
      </c>
      <c r="G62" s="5">
        <f>'5.Infrastructure Annex'!I58</f>
        <v>0</v>
      </c>
      <c r="H62" s="5">
        <f>'5.Infrastructure Annex'!J58</f>
        <v>0</v>
      </c>
      <c r="I62" s="5">
        <f>'5.Infrastructure Annex'!K58</f>
        <v>0</v>
      </c>
      <c r="J62" s="5">
        <f>'5.Infrastructure Annex'!L58</f>
        <v>0</v>
      </c>
      <c r="K62" s="5">
        <f>'5.Infrastructure Annex'!M58</f>
        <v>0</v>
      </c>
      <c r="L62" s="5">
        <f>'5.Infrastructure Annex'!N58</f>
        <v>0</v>
      </c>
      <c r="M62" s="5">
        <f>'5.Infrastructure Annex'!O58</f>
        <v>0</v>
      </c>
      <c r="N62" s="5">
        <f>'5.Infrastructure Annex'!P58</f>
        <v>0</v>
      </c>
      <c r="O62" s="5">
        <f>'5.Infrastructure Annex'!Q58</f>
        <v>0</v>
      </c>
      <c r="P62" s="5">
        <f>'5.Infrastructure Annex'!R58</f>
        <v>0</v>
      </c>
    </row>
    <row r="63" spans="1:16">
      <c r="A63" s="3" t="str">
        <f>'5.Infrastructure Annex'!A59</f>
        <v>5.2.1.3</v>
      </c>
      <c r="B63" s="3" t="str">
        <f>'5.Infrastructure Annex'!B59</f>
        <v>B5.1.1</v>
      </c>
      <c r="C63" s="3" t="str">
        <f>'5.Infrastructure Annex'!C59</f>
        <v>CHCs</v>
      </c>
      <c r="D63" s="5">
        <f>'5.Infrastructure Annex'!F59</f>
        <v>0</v>
      </c>
      <c r="E63" s="5">
        <f>'5.Infrastructure Annex'!G59</f>
        <v>0</v>
      </c>
      <c r="F63" s="5">
        <f>'5.Infrastructure Annex'!H59</f>
        <v>0</v>
      </c>
      <c r="G63" s="5">
        <f>'5.Infrastructure Annex'!I59</f>
        <v>0</v>
      </c>
      <c r="H63" s="5">
        <f>'5.Infrastructure Annex'!J59</f>
        <v>0</v>
      </c>
      <c r="I63" s="5">
        <f>'5.Infrastructure Annex'!K59</f>
        <v>0</v>
      </c>
      <c r="J63" s="5">
        <f>'5.Infrastructure Annex'!L59</f>
        <v>0</v>
      </c>
      <c r="K63" s="5">
        <f>'5.Infrastructure Annex'!M59</f>
        <v>0</v>
      </c>
      <c r="L63" s="5">
        <f>'5.Infrastructure Annex'!N59</f>
        <v>0</v>
      </c>
      <c r="M63" s="5">
        <f>'5.Infrastructure Annex'!O59</f>
        <v>0</v>
      </c>
      <c r="N63" s="5">
        <f>'5.Infrastructure Annex'!P59</f>
        <v>0</v>
      </c>
      <c r="O63" s="5">
        <f>'5.Infrastructure Annex'!Q59</f>
        <v>0</v>
      </c>
      <c r="P63" s="5">
        <f>'5.Infrastructure Annex'!R59</f>
        <v>0</v>
      </c>
    </row>
    <row r="64" spans="1:16">
      <c r="A64" s="3" t="str">
        <f>'5.Infrastructure Annex'!A60</f>
        <v>5.2.1.4</v>
      </c>
      <c r="B64" s="3" t="str">
        <f>'5.Infrastructure Annex'!B60</f>
        <v>B5.2.1</v>
      </c>
      <c r="C64" s="3" t="str">
        <f>'5.Infrastructure Annex'!C60</f>
        <v>PHCs</v>
      </c>
      <c r="D64" s="5">
        <f>'5.Infrastructure Annex'!F60</f>
        <v>0</v>
      </c>
      <c r="E64" s="5">
        <f>'5.Infrastructure Annex'!G60</f>
        <v>0</v>
      </c>
      <c r="F64" s="5">
        <f>'5.Infrastructure Annex'!H60</f>
        <v>0</v>
      </c>
      <c r="G64" s="5">
        <f>'5.Infrastructure Annex'!I60</f>
        <v>0</v>
      </c>
      <c r="H64" s="5">
        <f>'5.Infrastructure Annex'!J60</f>
        <v>0</v>
      </c>
      <c r="I64" s="5">
        <f>'5.Infrastructure Annex'!K60</f>
        <v>0</v>
      </c>
      <c r="J64" s="5">
        <f>'5.Infrastructure Annex'!L60</f>
        <v>0</v>
      </c>
      <c r="K64" s="5">
        <f>'5.Infrastructure Annex'!M60</f>
        <v>0</v>
      </c>
      <c r="L64" s="5">
        <f>'5.Infrastructure Annex'!N60</f>
        <v>0</v>
      </c>
      <c r="M64" s="5">
        <f>'5.Infrastructure Annex'!O60</f>
        <v>0</v>
      </c>
      <c r="N64" s="5">
        <f>'5.Infrastructure Annex'!P60</f>
        <v>0</v>
      </c>
      <c r="O64" s="5">
        <f>'5.Infrastructure Annex'!Q60</f>
        <v>0</v>
      </c>
      <c r="P64" s="5">
        <f>'5.Infrastructure Annex'!R60</f>
        <v>0</v>
      </c>
    </row>
    <row r="65" spans="1:16">
      <c r="A65" s="3" t="str">
        <f>'5.Infrastructure Annex'!A61</f>
        <v>5.2.1.5</v>
      </c>
      <c r="B65" s="3" t="str">
        <f>'5.Infrastructure Annex'!B61</f>
        <v>B5.3.1</v>
      </c>
      <c r="C65" s="3" t="str">
        <f>'5.Infrastructure Annex'!C61</f>
        <v>SHCs/Sub Centres</v>
      </c>
      <c r="D65" s="5">
        <f>'5.Infrastructure Annex'!F61</f>
        <v>80</v>
      </c>
      <c r="E65" s="5">
        <f>'5.Infrastructure Annex'!G61</f>
        <v>0</v>
      </c>
      <c r="F65" s="5">
        <f>'5.Infrastructure Annex'!H61</f>
        <v>840</v>
      </c>
      <c r="G65" s="5">
        <f>'5.Infrastructure Annex'!I61</f>
        <v>0</v>
      </c>
      <c r="H65" s="5">
        <f>'5.Infrastructure Annex'!J61</f>
        <v>840</v>
      </c>
      <c r="I65" s="5">
        <f>'5.Infrastructure Annex'!K61</f>
        <v>0</v>
      </c>
      <c r="J65" s="5">
        <f>'5.Infrastructure Annex'!L61</f>
        <v>0</v>
      </c>
      <c r="K65" s="5">
        <f>'5.Infrastructure Annex'!M61</f>
        <v>0</v>
      </c>
      <c r="L65" s="5">
        <f>'5.Infrastructure Annex'!N61</f>
        <v>0</v>
      </c>
      <c r="M65" s="5">
        <f>'5.Infrastructure Annex'!O61</f>
        <v>0</v>
      </c>
      <c r="N65" s="5">
        <f>'5.Infrastructure Annex'!P61</f>
        <v>0</v>
      </c>
      <c r="O65" s="5">
        <f>'5.Infrastructure Annex'!Q61</f>
        <v>0</v>
      </c>
      <c r="P65" s="5">
        <f>'5.Infrastructure Annex'!R61</f>
        <v>0</v>
      </c>
    </row>
    <row r="66" spans="1:16">
      <c r="A66" s="3" t="str">
        <f>'5.Infrastructure Annex'!A62</f>
        <v>5.2.1.6</v>
      </c>
      <c r="B66" s="3" t="str">
        <f>'5.Infrastructure Annex'!B62</f>
        <v>B4.1.5.1</v>
      </c>
      <c r="C66" s="3" t="str">
        <f>'5.Infrastructure Annex'!C62</f>
        <v>New construction: MCH Wings</v>
      </c>
      <c r="D66" s="5">
        <f>'5.Infrastructure Annex'!F62</f>
        <v>0</v>
      </c>
      <c r="E66" s="5">
        <f>'5.Infrastructure Annex'!G62</f>
        <v>0</v>
      </c>
      <c r="F66" s="5">
        <f>'5.Infrastructure Annex'!H62</f>
        <v>0</v>
      </c>
      <c r="G66" s="5">
        <f>'5.Infrastructure Annex'!I62</f>
        <v>0</v>
      </c>
      <c r="H66" s="5">
        <f>'5.Infrastructure Annex'!J62</f>
        <v>0</v>
      </c>
      <c r="I66" s="5">
        <f>'5.Infrastructure Annex'!K62</f>
        <v>0</v>
      </c>
      <c r="J66" s="5">
        <f>'5.Infrastructure Annex'!L62</f>
        <v>0</v>
      </c>
      <c r="K66" s="5">
        <f>'5.Infrastructure Annex'!M62</f>
        <v>0</v>
      </c>
      <c r="L66" s="5">
        <f>'5.Infrastructure Annex'!N62</f>
        <v>0</v>
      </c>
      <c r="M66" s="5">
        <f>'5.Infrastructure Annex'!O62</f>
        <v>0</v>
      </c>
      <c r="N66" s="5">
        <f>'5.Infrastructure Annex'!P62</f>
        <v>0</v>
      </c>
      <c r="O66" s="5" t="str">
        <f>'5.Infrastructure Annex'!Q62</f>
        <v>-</v>
      </c>
      <c r="P66" s="5">
        <f>'5.Infrastructure Annex'!R62</f>
        <v>0</v>
      </c>
    </row>
    <row r="67" spans="1:16" ht="38.25">
      <c r="A67" s="3" t="str">
        <f>'5.Infrastructure Annex'!A63</f>
        <v>5.2.1.7</v>
      </c>
      <c r="B67" s="3" t="str">
        <f>'5.Infrastructure Annex'!B63</f>
        <v>B.5.6.1</v>
      </c>
      <c r="C67" s="3" t="str">
        <f>'5.Infrastructure Annex'!C63</f>
        <v>New construction: Facility based new-born care centres (SNCU/NBSU/NBCC/KMC unit)</v>
      </c>
      <c r="D67" s="5">
        <f>'5.Infrastructure Annex'!F63</f>
        <v>7</v>
      </c>
      <c r="E67" s="5">
        <f>'5.Infrastructure Annex'!G63</f>
        <v>0</v>
      </c>
      <c r="F67" s="5">
        <f>'5.Infrastructure Annex'!H63</f>
        <v>50</v>
      </c>
      <c r="G67" s="5">
        <f>'5.Infrastructure Annex'!I63</f>
        <v>0</v>
      </c>
      <c r="H67" s="5">
        <f>'5.Infrastructure Annex'!J63</f>
        <v>50</v>
      </c>
      <c r="I67" s="5">
        <f>'5.Infrastructure Annex'!K63</f>
        <v>0</v>
      </c>
      <c r="J67" s="5">
        <f>'5.Infrastructure Annex'!L63</f>
        <v>0</v>
      </c>
      <c r="K67" s="5">
        <f>'5.Infrastructure Annex'!M63</f>
        <v>0</v>
      </c>
      <c r="L67" s="5">
        <f>'5.Infrastructure Annex'!N63</f>
        <v>0</v>
      </c>
      <c r="M67" s="5">
        <f>'5.Infrastructure Annex'!O63</f>
        <v>0</v>
      </c>
      <c r="N67" s="5">
        <f>'5.Infrastructure Annex'!P63</f>
        <v>0</v>
      </c>
      <c r="O67" s="5" t="str">
        <f>'5.Infrastructure Annex'!Q63</f>
        <v>-</v>
      </c>
      <c r="P67" s="5">
        <f>'5.Infrastructure Annex'!R63</f>
        <v>0</v>
      </c>
    </row>
    <row r="68" spans="1:16" ht="165.75">
      <c r="A68" s="3" t="str">
        <f>'5.Infrastructure Annex'!A64</f>
        <v>5.2.1.8</v>
      </c>
      <c r="B68" s="3" t="str">
        <f>'5.Infrastructure Annex'!B64</f>
        <v>B5.13.1</v>
      </c>
      <c r="C68" s="3" t="str">
        <f>'5.Infrastructure Annex'!C64</f>
        <v>New construction: DEIC (RBSK)</v>
      </c>
      <c r="D68" s="5">
        <f>'5.Infrastructure Annex'!F64</f>
        <v>8</v>
      </c>
      <c r="E68" s="5">
        <f>'5.Infrastructure Annex'!G64</f>
        <v>0</v>
      </c>
      <c r="F68" s="5">
        <f>'5.Infrastructure Annex'!H64</f>
        <v>80</v>
      </c>
      <c r="G68" s="5">
        <f>'5.Infrastructure Annex'!I64</f>
        <v>0.39</v>
      </c>
      <c r="H68" s="5">
        <f>'5.Infrastructure Annex'!J64</f>
        <v>79.61</v>
      </c>
      <c r="I68" s="5">
        <f>'5.Infrastructure Annex'!K64</f>
        <v>0</v>
      </c>
      <c r="J68" s="5">
        <f>'5.Infrastructure Annex'!L64</f>
        <v>2500000</v>
      </c>
      <c r="K68" s="5">
        <f>'5.Infrastructure Annex'!M64</f>
        <v>25</v>
      </c>
      <c r="L68" s="5">
        <f>'5.Infrastructure Annex'!N64</f>
        <v>1</v>
      </c>
      <c r="M68" s="5">
        <f>'5.Infrastructure Annex'!O64</f>
        <v>25</v>
      </c>
      <c r="N68" s="5" t="str">
        <f>'5.Infrastructure Annex'!P64</f>
        <v>The state has identified a site for new construction of DEIC measuring 2500 Sq. feet as per thumb rule of Rs. 1000 per Sq. ft. proposal of Rs. 25 lac (2500*1000) has been built</v>
      </c>
      <c r="O68" s="5" t="str">
        <f>'5.Infrastructure Annex'!Q64</f>
        <v xml:space="preserve">Recommended for approval Rs.25 lakhs as proposed by the State to develop DEIC, Kullu measuring 2500 Sq. ft. @ Rs 1000 per Sq. ft. State may seek technical support from programme division, MoHFW/ National Advisor, RBSK in developing the DEIC. Expenditure to be as per actuals and according to RBSK DEIC OGs. State to ensure physical and functional linkages with Maternal Ward/MCH Wing and SNCU. </v>
      </c>
      <c r="P68" s="5">
        <f>'5.Infrastructure Annex'!R64</f>
        <v>25</v>
      </c>
    </row>
    <row r="69" spans="1:16" ht="140.25">
      <c r="A69" s="3" t="str">
        <f>'5.Infrastructure Annex'!A65</f>
        <v>5.2.1.9</v>
      </c>
      <c r="B69" s="3" t="str">
        <f>'5.Infrastructure Annex'!B65</f>
        <v>A.4.1.2</v>
      </c>
      <c r="C69" s="3" t="str">
        <f>'5.Infrastructure Annex'!C65</f>
        <v xml:space="preserve">AFHCs at Medical college/ DH/CHC/PHC level  </v>
      </c>
      <c r="D69" s="5">
        <f>'5.Infrastructure Annex'!F65</f>
        <v>49</v>
      </c>
      <c r="E69" s="5">
        <f>'5.Infrastructure Annex'!G65</f>
        <v>0</v>
      </c>
      <c r="F69" s="5">
        <f>'5.Infrastructure Annex'!H65</f>
        <v>24.5</v>
      </c>
      <c r="G69" s="5">
        <f>'5.Infrastructure Annex'!I65</f>
        <v>0.68</v>
      </c>
      <c r="H69" s="5">
        <f>'5.Infrastructure Annex'!J65</f>
        <v>23.82</v>
      </c>
      <c r="I69" s="5">
        <f>'5.Infrastructure Annex'!K65</f>
        <v>0</v>
      </c>
      <c r="J69" s="5">
        <f>'5.Infrastructure Annex'!L65</f>
        <v>1040000</v>
      </c>
      <c r="K69" s="5">
        <f>'5.Infrastructure Annex'!M65</f>
        <v>10.4</v>
      </c>
      <c r="L69" s="5">
        <f>'5.Infrastructure Annex'!N65</f>
        <v>1</v>
      </c>
      <c r="M69" s="5">
        <f>'5.Infrastructure Annex'!O65</f>
        <v>10.4</v>
      </c>
      <c r="N69" s="5" t="str">
        <f>'5.Infrastructure Annex'!P65</f>
        <v>The amount is required for 99 clinics (Kangra 19, Bilaspur 5, Mandi 16, Chamba 8, 51 in non RKSK districts ) for contigencies including minor repair etc. @ Rs. 10000/- per clinic Amount of 50,000  is required for establishment of  new Nayi Disha Kendras at PHC Sanjauli, Shimla</v>
      </c>
      <c r="O69" s="5" t="str">
        <f>'5.Infrastructure Annex'!Q65</f>
        <v>Continued activityRecommended for approval of Rs 10.40 lakhs as follows:1. For operational expenses for existing 99 AFHCs @ Rs.10000/clinic per year.2. For establishment of new AFHC at PHC Sanjauli, Shimla @ Rs.50000/-.</v>
      </c>
      <c r="P69" s="5">
        <f>'5.Infrastructure Annex'!R65</f>
        <v>10.4</v>
      </c>
    </row>
    <row r="70" spans="1:16" ht="89.25">
      <c r="A70" s="3" t="str">
        <f>'5.Infrastructure Annex'!A66</f>
        <v>5.2.1.10</v>
      </c>
      <c r="B70" s="3" t="str">
        <f>'5.Infrastructure Annex'!B66</f>
        <v>A.2.5</v>
      </c>
      <c r="C70" s="3" t="str">
        <f>'5.Infrastructure Annex'!C66</f>
        <v>Establishment of NRCs</v>
      </c>
      <c r="D70" s="5">
        <f>'5.Infrastructure Annex'!F66</f>
        <v>0</v>
      </c>
      <c r="E70" s="5">
        <f>'5.Infrastructure Annex'!G66</f>
        <v>0</v>
      </c>
      <c r="F70" s="5">
        <f>'5.Infrastructure Annex'!H66</f>
        <v>0</v>
      </c>
      <c r="G70" s="5">
        <f>'5.Infrastructure Annex'!I66</f>
        <v>0</v>
      </c>
      <c r="H70" s="5">
        <f>'5.Infrastructure Annex'!J66</f>
        <v>0</v>
      </c>
      <c r="I70" s="5">
        <f>'5.Infrastructure Annex'!K66</f>
        <v>1</v>
      </c>
      <c r="J70" s="5">
        <f>'5.Infrastructure Annex'!L66</f>
        <v>200000</v>
      </c>
      <c r="K70" s="5">
        <f>'5.Infrastructure Annex'!M66</f>
        <v>2</v>
      </c>
      <c r="L70" s="5">
        <f>'5.Infrastructure Annex'!N66</f>
        <v>4</v>
      </c>
      <c r="M70" s="5">
        <f>'5.Infrastructure Annex'!O66</f>
        <v>8</v>
      </c>
      <c r="N70" s="5" t="str">
        <f>'5.Infrastructure Annex'!P66</f>
        <v>State plan to establish 4 more NRCs at Hamirpur, Chamba, Sirmour &amp; MC Nerchowk Mandi @ Rs. 2 lacs</v>
      </c>
      <c r="O70" s="5" t="str">
        <f>'5.Infrastructure Annex'!Q66</f>
        <v>Rs. 8 lakh is recommended for approval for establishing four new NRCs at medical college Sirmaur, Mandi, Chamba &amp; Hamirpur @ Rs. 2 lakh per NRC. The State to share the establishment completion status.</v>
      </c>
      <c r="P70" s="5">
        <f>'5.Infrastructure Annex'!R66</f>
        <v>8</v>
      </c>
    </row>
    <row r="71" spans="1:16" ht="89.25">
      <c r="A71" s="3" t="str">
        <f>'5.Infrastructure Annex'!A67</f>
        <v>5.2.1.11</v>
      </c>
      <c r="B71" s="3">
        <f>'5.Infrastructure Annex'!B67</f>
        <v>0</v>
      </c>
      <c r="C71" s="3" t="str">
        <f>'5.Infrastructure Annex'!C67</f>
        <v>Drug Warehouses</v>
      </c>
      <c r="D71" s="5">
        <f>'5.Infrastructure Annex'!F67</f>
        <v>0</v>
      </c>
      <c r="E71" s="5">
        <f>'5.Infrastructure Annex'!G67</f>
        <v>0</v>
      </c>
      <c r="F71" s="5">
        <f>'5.Infrastructure Annex'!H67</f>
        <v>0</v>
      </c>
      <c r="G71" s="5">
        <f>'5.Infrastructure Annex'!I67</f>
        <v>0</v>
      </c>
      <c r="H71" s="5">
        <f>'5.Infrastructure Annex'!J67</f>
        <v>0</v>
      </c>
      <c r="I71" s="5">
        <f>'5.Infrastructure Annex'!K67</f>
        <v>1</v>
      </c>
      <c r="J71" s="5">
        <f>'5.Infrastructure Annex'!L67</f>
        <v>15237400</v>
      </c>
      <c r="K71" s="5">
        <f>'5.Infrastructure Annex'!M67</f>
        <v>152.374</v>
      </c>
      <c r="L71" s="5">
        <f>'5.Infrastructure Annex'!N67</f>
        <v>1</v>
      </c>
      <c r="M71" s="5">
        <f>'5.Infrastructure Annex'!O67</f>
        <v>152.374</v>
      </c>
      <c r="N71" s="5" t="str">
        <f>'5.Infrastructure Annex'!P67</f>
        <v/>
      </c>
      <c r="O71" s="5" t="str">
        <f>'5.Infrastructure Annex'!Q67</f>
        <v>New proposal for the construction of a Distt. Vaccination store in the Aspirational District Chamba is recommended for approval. State to ensure ientified land for the same.</v>
      </c>
      <c r="P71" s="5">
        <f>'5.Infrastructure Annex'!R67</f>
        <v>152.37</v>
      </c>
    </row>
    <row r="72" spans="1:16">
      <c r="A72" s="3" t="str">
        <f>'5.Infrastructure Annex'!A68</f>
        <v>5.2.1.12</v>
      </c>
      <c r="B72" s="3" t="str">
        <f>'5.Infrastructure Annex'!B68</f>
        <v>B5.5</v>
      </c>
      <c r="C72" s="3" t="str">
        <f>'5.Infrastructure Annex'!C68</f>
        <v>Govt. Dispensaries/ others</v>
      </c>
      <c r="D72" s="5">
        <f>'5.Infrastructure Annex'!F68</f>
        <v>0</v>
      </c>
      <c r="E72" s="5">
        <f>'5.Infrastructure Annex'!G68</f>
        <v>0</v>
      </c>
      <c r="F72" s="5">
        <f>'5.Infrastructure Annex'!H68</f>
        <v>0</v>
      </c>
      <c r="G72" s="5">
        <f>'5.Infrastructure Annex'!I68</f>
        <v>0</v>
      </c>
      <c r="H72" s="5">
        <f>'5.Infrastructure Annex'!J68</f>
        <v>0</v>
      </c>
      <c r="I72" s="5">
        <f>'5.Infrastructure Annex'!K68</f>
        <v>0</v>
      </c>
      <c r="J72" s="5">
        <f>'5.Infrastructure Annex'!L68</f>
        <v>0</v>
      </c>
      <c r="K72" s="5">
        <f>'5.Infrastructure Annex'!M68</f>
        <v>0</v>
      </c>
      <c r="L72" s="5">
        <f>'5.Infrastructure Annex'!N68</f>
        <v>0</v>
      </c>
      <c r="M72" s="5">
        <f>'5.Infrastructure Annex'!O68</f>
        <v>0</v>
      </c>
      <c r="N72" s="5">
        <f>'5.Infrastructure Annex'!P68</f>
        <v>0</v>
      </c>
      <c r="O72" s="5">
        <f>'5.Infrastructure Annex'!Q68</f>
        <v>0</v>
      </c>
      <c r="P72" s="5">
        <f>'5.Infrastructure Annex'!R68</f>
        <v>0</v>
      </c>
    </row>
    <row r="73" spans="1:16" ht="25.5">
      <c r="A73" s="3" t="str">
        <f>'5.Infrastructure Annex'!A69</f>
        <v>5.2.1.13</v>
      </c>
      <c r="B73" s="3" t="str">
        <f>'5.Infrastructure Annex'!B69</f>
        <v>B5.10.2/ B5.10.3</v>
      </c>
      <c r="C73" s="3" t="str">
        <f>'5.Infrastructure Annex'!C69</f>
        <v>Training Institutions</v>
      </c>
      <c r="D73" s="5">
        <f>'5.Infrastructure Annex'!F69</f>
        <v>0</v>
      </c>
      <c r="E73" s="5">
        <f>'5.Infrastructure Annex'!G69</f>
        <v>0</v>
      </c>
      <c r="F73" s="5">
        <f>'5.Infrastructure Annex'!H69</f>
        <v>0</v>
      </c>
      <c r="G73" s="5">
        <f>'5.Infrastructure Annex'!I69</f>
        <v>0</v>
      </c>
      <c r="H73" s="5">
        <f>'5.Infrastructure Annex'!J69</f>
        <v>0</v>
      </c>
      <c r="I73" s="5">
        <f>'5.Infrastructure Annex'!K69</f>
        <v>0</v>
      </c>
      <c r="J73" s="5">
        <f>'5.Infrastructure Annex'!L69</f>
        <v>0</v>
      </c>
      <c r="K73" s="5">
        <f>'5.Infrastructure Annex'!M69</f>
        <v>0</v>
      </c>
      <c r="L73" s="5">
        <f>'5.Infrastructure Annex'!N69</f>
        <v>0</v>
      </c>
      <c r="M73" s="5">
        <f>'5.Infrastructure Annex'!O69</f>
        <v>0</v>
      </c>
      <c r="N73" s="5">
        <f>'5.Infrastructure Annex'!P69</f>
        <v>0</v>
      </c>
      <c r="O73" s="5">
        <f>'5.Infrastructure Annex'!Q69</f>
        <v>0</v>
      </c>
      <c r="P73" s="5">
        <f>'5.Infrastructure Annex'!R69</f>
        <v>0</v>
      </c>
    </row>
    <row r="74" spans="1:16">
      <c r="A74" s="3" t="str">
        <f>'5.Infrastructure Annex'!A70</f>
        <v>5.2.1.14</v>
      </c>
      <c r="B74" s="3">
        <f>'5.Infrastructure Annex'!B70</f>
        <v>0</v>
      </c>
      <c r="C74" s="3" t="str">
        <f>'5.Infrastructure Annex'!C70</f>
        <v>Others</v>
      </c>
      <c r="D74" s="5">
        <f>'5.Infrastructure Annex'!F70</f>
        <v>0</v>
      </c>
      <c r="E74" s="5">
        <f>'5.Infrastructure Annex'!G70</f>
        <v>0</v>
      </c>
      <c r="F74" s="5">
        <f>'5.Infrastructure Annex'!H70</f>
        <v>0</v>
      </c>
      <c r="G74" s="5">
        <f>'5.Infrastructure Annex'!I70</f>
        <v>0</v>
      </c>
      <c r="H74" s="5">
        <f>'5.Infrastructure Annex'!J70</f>
        <v>0</v>
      </c>
      <c r="I74" s="5">
        <f>'5.Infrastructure Annex'!K70</f>
        <v>0</v>
      </c>
      <c r="J74" s="5">
        <f>'5.Infrastructure Annex'!L70</f>
        <v>0</v>
      </c>
      <c r="K74" s="5">
        <f>'5.Infrastructure Annex'!M70</f>
        <v>0</v>
      </c>
      <c r="L74" s="5">
        <f>'5.Infrastructure Annex'!N70</f>
        <v>0</v>
      </c>
      <c r="M74" s="5">
        <f>'5.Infrastructure Annex'!O70</f>
        <v>0</v>
      </c>
      <c r="N74" s="5">
        <f>'5.Infrastructure Annex'!P70</f>
        <v>0</v>
      </c>
      <c r="O74" s="5">
        <f>'5.Infrastructure Annex'!Q70</f>
        <v>0</v>
      </c>
      <c r="P74" s="5">
        <f>'5.Infrastructure Annex'!R70</f>
        <v>0</v>
      </c>
    </row>
    <row r="75" spans="1:16" ht="114.75">
      <c r="A75" s="15" t="str">
        <f>'5.Infrastructure Annex'!A71</f>
        <v>5.2.2</v>
      </c>
      <c r="B75" s="15" t="str">
        <f>'5.Infrastructure Annex'!B71</f>
        <v>B5.1/ B5.2/ B5.3/ B5.6/ B5.5/ B5.10/ B.5.11/ B.5.12/ B.5.13</v>
      </c>
      <c r="C75" s="15" t="str">
        <f>'5.Infrastructure Annex'!C71</f>
        <v>Carry forward of new construction initiated last year, or the year before</v>
      </c>
      <c r="D75" s="28"/>
      <c r="E75" s="28"/>
      <c r="F75" s="28">
        <f>SUM(F76:F85)</f>
        <v>0</v>
      </c>
      <c r="G75" s="28">
        <f>SUM(G76:G85)</f>
        <v>0</v>
      </c>
      <c r="H75" s="28">
        <f>SUM(H76:H85)</f>
        <v>0</v>
      </c>
      <c r="I75" s="28"/>
      <c r="J75" s="28"/>
      <c r="K75" s="28"/>
      <c r="L75" s="28"/>
      <c r="M75" s="28">
        <f>SUM(M76:M85)</f>
        <v>0</v>
      </c>
      <c r="N75" s="28"/>
      <c r="O75" s="28"/>
      <c r="P75" s="28">
        <f>SUM(P76:P85)</f>
        <v>0</v>
      </c>
    </row>
    <row r="76" spans="1:16">
      <c r="A76" s="3" t="str">
        <f>'5.Infrastructure Annex'!A72</f>
        <v>5.2.2.1</v>
      </c>
      <c r="B76" s="3" t="str">
        <f>'5.Infrastructure Annex'!B72</f>
        <v>B.5.12.2</v>
      </c>
      <c r="C76" s="3" t="str">
        <f>'5.Infrastructure Annex'!C72</f>
        <v>DH</v>
      </c>
      <c r="D76" s="5">
        <f>'5.Infrastructure Annex'!F72</f>
        <v>0</v>
      </c>
      <c r="E76" s="5">
        <f>'5.Infrastructure Annex'!G72</f>
        <v>0</v>
      </c>
      <c r="F76" s="5">
        <f>'5.Infrastructure Annex'!H72</f>
        <v>0</v>
      </c>
      <c r="G76" s="5">
        <f>'5.Infrastructure Annex'!I72</f>
        <v>0</v>
      </c>
      <c r="H76" s="5">
        <f>'5.Infrastructure Annex'!J72</f>
        <v>0</v>
      </c>
      <c r="I76" s="5">
        <f>'5.Infrastructure Annex'!K72</f>
        <v>0</v>
      </c>
      <c r="J76" s="5">
        <f>'5.Infrastructure Annex'!L72</f>
        <v>0</v>
      </c>
      <c r="K76" s="5">
        <f>'5.Infrastructure Annex'!M72</f>
        <v>0</v>
      </c>
      <c r="L76" s="5">
        <f>'5.Infrastructure Annex'!N72</f>
        <v>0</v>
      </c>
      <c r="M76" s="5">
        <f>'5.Infrastructure Annex'!O72</f>
        <v>0</v>
      </c>
      <c r="N76" s="5">
        <f>'5.Infrastructure Annex'!P72</f>
        <v>0</v>
      </c>
      <c r="O76" s="5">
        <f>'5.Infrastructure Annex'!Q72</f>
        <v>0</v>
      </c>
      <c r="P76" s="5">
        <f>'5.Infrastructure Annex'!R72</f>
        <v>0</v>
      </c>
    </row>
    <row r="77" spans="1:16">
      <c r="A77" s="3" t="str">
        <f>'5.Infrastructure Annex'!A73</f>
        <v>5.2.2.2</v>
      </c>
      <c r="B77" s="3" t="str">
        <f>'5.Infrastructure Annex'!B73</f>
        <v>B.5.11.2</v>
      </c>
      <c r="C77" s="3" t="str">
        <f>'5.Infrastructure Annex'!C73</f>
        <v>SDH</v>
      </c>
      <c r="D77" s="5">
        <f>'5.Infrastructure Annex'!F73</f>
        <v>0</v>
      </c>
      <c r="E77" s="5">
        <f>'5.Infrastructure Annex'!G73</f>
        <v>0</v>
      </c>
      <c r="F77" s="5">
        <f>'5.Infrastructure Annex'!H73</f>
        <v>0</v>
      </c>
      <c r="G77" s="5">
        <f>'5.Infrastructure Annex'!I73</f>
        <v>0</v>
      </c>
      <c r="H77" s="5">
        <f>'5.Infrastructure Annex'!J73</f>
        <v>0</v>
      </c>
      <c r="I77" s="5">
        <f>'5.Infrastructure Annex'!K73</f>
        <v>0</v>
      </c>
      <c r="J77" s="5">
        <f>'5.Infrastructure Annex'!L73</f>
        <v>0</v>
      </c>
      <c r="K77" s="5">
        <f>'5.Infrastructure Annex'!M73</f>
        <v>0</v>
      </c>
      <c r="L77" s="5">
        <f>'5.Infrastructure Annex'!N73</f>
        <v>0</v>
      </c>
      <c r="M77" s="5">
        <f>'5.Infrastructure Annex'!O73</f>
        <v>0</v>
      </c>
      <c r="N77" s="5">
        <f>'5.Infrastructure Annex'!P73</f>
        <v>0</v>
      </c>
      <c r="O77" s="5">
        <f>'5.Infrastructure Annex'!Q73</f>
        <v>0</v>
      </c>
      <c r="P77" s="5">
        <f>'5.Infrastructure Annex'!R73</f>
        <v>0</v>
      </c>
    </row>
    <row r="78" spans="1:16">
      <c r="A78" s="3" t="str">
        <f>'5.Infrastructure Annex'!A74</f>
        <v>5.2.2.3</v>
      </c>
      <c r="B78" s="3" t="str">
        <f>'5.Infrastructure Annex'!B74</f>
        <v>B5.1.2</v>
      </c>
      <c r="C78" s="3" t="str">
        <f>'5.Infrastructure Annex'!C74</f>
        <v>CHCs</v>
      </c>
      <c r="D78" s="5">
        <f>'5.Infrastructure Annex'!F74</f>
        <v>0</v>
      </c>
      <c r="E78" s="5">
        <f>'5.Infrastructure Annex'!G74</f>
        <v>0</v>
      </c>
      <c r="F78" s="5">
        <f>'5.Infrastructure Annex'!H74</f>
        <v>0</v>
      </c>
      <c r="G78" s="5">
        <f>'5.Infrastructure Annex'!I74</f>
        <v>0</v>
      </c>
      <c r="H78" s="5">
        <f>'5.Infrastructure Annex'!J74</f>
        <v>0</v>
      </c>
      <c r="I78" s="5">
        <f>'5.Infrastructure Annex'!K74</f>
        <v>0</v>
      </c>
      <c r="J78" s="5">
        <f>'5.Infrastructure Annex'!L74</f>
        <v>0</v>
      </c>
      <c r="K78" s="5">
        <f>'5.Infrastructure Annex'!M74</f>
        <v>0</v>
      </c>
      <c r="L78" s="5">
        <f>'5.Infrastructure Annex'!N74</f>
        <v>0</v>
      </c>
      <c r="M78" s="5">
        <f>'5.Infrastructure Annex'!O74</f>
        <v>0</v>
      </c>
      <c r="N78" s="5">
        <f>'5.Infrastructure Annex'!P74</f>
        <v>0</v>
      </c>
      <c r="O78" s="5">
        <f>'5.Infrastructure Annex'!Q74</f>
        <v>0</v>
      </c>
      <c r="P78" s="5">
        <f>'5.Infrastructure Annex'!R74</f>
        <v>0</v>
      </c>
    </row>
    <row r="79" spans="1:16">
      <c r="A79" s="3" t="str">
        <f>'5.Infrastructure Annex'!A75</f>
        <v>5.2.2.4</v>
      </c>
      <c r="B79" s="3" t="str">
        <f>'5.Infrastructure Annex'!B75</f>
        <v>B5.2.2</v>
      </c>
      <c r="C79" s="3" t="str">
        <f>'5.Infrastructure Annex'!C75</f>
        <v>PHCs</v>
      </c>
      <c r="D79" s="5">
        <f>'5.Infrastructure Annex'!F75</f>
        <v>0</v>
      </c>
      <c r="E79" s="5">
        <f>'5.Infrastructure Annex'!G75</f>
        <v>0</v>
      </c>
      <c r="F79" s="5">
        <f>'5.Infrastructure Annex'!H75</f>
        <v>0</v>
      </c>
      <c r="G79" s="5">
        <f>'5.Infrastructure Annex'!I75</f>
        <v>0</v>
      </c>
      <c r="H79" s="5">
        <f>'5.Infrastructure Annex'!J75</f>
        <v>0</v>
      </c>
      <c r="I79" s="5">
        <f>'5.Infrastructure Annex'!K75</f>
        <v>0</v>
      </c>
      <c r="J79" s="5">
        <f>'5.Infrastructure Annex'!L75</f>
        <v>0</v>
      </c>
      <c r="K79" s="5">
        <f>'5.Infrastructure Annex'!M75</f>
        <v>0</v>
      </c>
      <c r="L79" s="5">
        <f>'5.Infrastructure Annex'!N75</f>
        <v>0</v>
      </c>
      <c r="M79" s="5">
        <f>'5.Infrastructure Annex'!O75</f>
        <v>0</v>
      </c>
      <c r="N79" s="5">
        <f>'5.Infrastructure Annex'!P75</f>
        <v>0</v>
      </c>
      <c r="O79" s="5">
        <f>'5.Infrastructure Annex'!Q75</f>
        <v>0</v>
      </c>
      <c r="P79" s="5">
        <f>'5.Infrastructure Annex'!R75</f>
        <v>0</v>
      </c>
    </row>
    <row r="80" spans="1:16">
      <c r="A80" s="3" t="str">
        <f>'5.Infrastructure Annex'!A76</f>
        <v>5.2.2.5</v>
      </c>
      <c r="B80" s="3" t="str">
        <f>'5.Infrastructure Annex'!B76</f>
        <v>B5.3.2</v>
      </c>
      <c r="C80" s="3" t="str">
        <f>'5.Infrastructure Annex'!C76</f>
        <v>SHCs/Sub Centres</v>
      </c>
      <c r="D80" s="5">
        <f>'5.Infrastructure Annex'!F76</f>
        <v>0</v>
      </c>
      <c r="E80" s="5">
        <f>'5.Infrastructure Annex'!G76</f>
        <v>0</v>
      </c>
      <c r="F80" s="5">
        <f>'5.Infrastructure Annex'!H76</f>
        <v>0</v>
      </c>
      <c r="G80" s="5">
        <f>'5.Infrastructure Annex'!I76</f>
        <v>0</v>
      </c>
      <c r="H80" s="5">
        <f>'5.Infrastructure Annex'!J76</f>
        <v>0</v>
      </c>
      <c r="I80" s="5">
        <f>'5.Infrastructure Annex'!K76</f>
        <v>0</v>
      </c>
      <c r="J80" s="5">
        <f>'5.Infrastructure Annex'!L76</f>
        <v>0</v>
      </c>
      <c r="K80" s="5">
        <f>'5.Infrastructure Annex'!M76</f>
        <v>0</v>
      </c>
      <c r="L80" s="5">
        <f>'5.Infrastructure Annex'!N76</f>
        <v>0</v>
      </c>
      <c r="M80" s="5">
        <f>'5.Infrastructure Annex'!O76</f>
        <v>0</v>
      </c>
      <c r="N80" s="5">
        <f>'5.Infrastructure Annex'!P76</f>
        <v>0</v>
      </c>
      <c r="O80" s="5">
        <f>'5.Infrastructure Annex'!Q76</f>
        <v>0</v>
      </c>
      <c r="P80" s="5">
        <f>'5.Infrastructure Annex'!R76</f>
        <v>0</v>
      </c>
    </row>
    <row r="81" spans="1:16" ht="51">
      <c r="A81" s="3" t="str">
        <f>'5.Infrastructure Annex'!A77</f>
        <v>5.2.2.6</v>
      </c>
      <c r="B81" s="3" t="str">
        <f>'5.Infrastructure Annex'!B77</f>
        <v>B.5.6.2</v>
      </c>
      <c r="C81" s="3" t="str">
        <f>'5.Infrastructure Annex'!C77</f>
        <v>Carry forward: Facility based new-born care centres (SNCU/NBSU/NBCC/KMC unit/ Mother New-born Care Unit/ State Resource Centre/Paediatric HDU</v>
      </c>
      <c r="D81" s="5">
        <f>'5.Infrastructure Annex'!F77</f>
        <v>0</v>
      </c>
      <c r="E81" s="5">
        <f>'5.Infrastructure Annex'!G77</f>
        <v>0</v>
      </c>
      <c r="F81" s="5">
        <f>'5.Infrastructure Annex'!H77</f>
        <v>0</v>
      </c>
      <c r="G81" s="5">
        <f>'5.Infrastructure Annex'!I77</f>
        <v>0</v>
      </c>
      <c r="H81" s="5">
        <f>'5.Infrastructure Annex'!J77</f>
        <v>0</v>
      </c>
      <c r="I81" s="5">
        <f>'5.Infrastructure Annex'!K77</f>
        <v>0</v>
      </c>
      <c r="J81" s="5">
        <f>'5.Infrastructure Annex'!L77</f>
        <v>0</v>
      </c>
      <c r="K81" s="5">
        <f>'5.Infrastructure Annex'!M77</f>
        <v>0</v>
      </c>
      <c r="L81" s="5">
        <f>'5.Infrastructure Annex'!N77</f>
        <v>0</v>
      </c>
      <c r="M81" s="5">
        <f>'5.Infrastructure Annex'!O77</f>
        <v>0</v>
      </c>
      <c r="N81" s="5">
        <f>'5.Infrastructure Annex'!P77</f>
        <v>0</v>
      </c>
      <c r="O81" s="5" t="str">
        <f>'5.Infrastructure Annex'!Q77</f>
        <v>-</v>
      </c>
      <c r="P81" s="5">
        <f>'5.Infrastructure Annex'!R77</f>
        <v>0</v>
      </c>
    </row>
    <row r="82" spans="1:16">
      <c r="A82" s="3" t="str">
        <f>'5.Infrastructure Annex'!A78</f>
        <v>5.2.2.7</v>
      </c>
      <c r="B82" s="3" t="str">
        <f>'5.Infrastructure Annex'!B78</f>
        <v>B.5.13.2</v>
      </c>
      <c r="C82" s="3" t="str">
        <f>'5.Infrastructure Annex'!C78</f>
        <v>Carry forward: DEIC (RBSK)</v>
      </c>
      <c r="D82" s="5">
        <f>'5.Infrastructure Annex'!F78</f>
        <v>0</v>
      </c>
      <c r="E82" s="5">
        <f>'5.Infrastructure Annex'!G78</f>
        <v>0</v>
      </c>
      <c r="F82" s="5">
        <f>'5.Infrastructure Annex'!H78</f>
        <v>0</v>
      </c>
      <c r="G82" s="5">
        <f>'5.Infrastructure Annex'!I78</f>
        <v>0</v>
      </c>
      <c r="H82" s="5">
        <f>'5.Infrastructure Annex'!J78</f>
        <v>0</v>
      </c>
      <c r="I82" s="5">
        <f>'5.Infrastructure Annex'!K78</f>
        <v>0</v>
      </c>
      <c r="J82" s="5">
        <f>'5.Infrastructure Annex'!L78</f>
        <v>0</v>
      </c>
      <c r="K82" s="5">
        <f>'5.Infrastructure Annex'!M78</f>
        <v>0</v>
      </c>
      <c r="L82" s="5">
        <f>'5.Infrastructure Annex'!N78</f>
        <v>0</v>
      </c>
      <c r="M82" s="5">
        <f>'5.Infrastructure Annex'!O78</f>
        <v>0</v>
      </c>
      <c r="N82" s="5">
        <f>'5.Infrastructure Annex'!P78</f>
        <v>0</v>
      </c>
      <c r="O82" s="5" t="str">
        <f>'5.Infrastructure Annex'!Q78</f>
        <v>--</v>
      </c>
      <c r="P82" s="5">
        <f>'5.Infrastructure Annex'!R78</f>
        <v>0</v>
      </c>
    </row>
    <row r="83" spans="1:16">
      <c r="A83" s="3" t="str">
        <f>'5.Infrastructure Annex'!A79</f>
        <v>5.2.2.8</v>
      </c>
      <c r="B83" s="3" t="str">
        <f>'5.Infrastructure Annex'!B79</f>
        <v>B5.5</v>
      </c>
      <c r="C83" s="3" t="str">
        <f>'5.Infrastructure Annex'!C79</f>
        <v>Govt. Dispensaries/ others</v>
      </c>
      <c r="D83" s="5">
        <f>'5.Infrastructure Annex'!F79</f>
        <v>0</v>
      </c>
      <c r="E83" s="5">
        <f>'5.Infrastructure Annex'!G79</f>
        <v>0</v>
      </c>
      <c r="F83" s="5">
        <f>'5.Infrastructure Annex'!H79</f>
        <v>0</v>
      </c>
      <c r="G83" s="5">
        <f>'5.Infrastructure Annex'!I79</f>
        <v>0</v>
      </c>
      <c r="H83" s="5">
        <f>'5.Infrastructure Annex'!J79</f>
        <v>0</v>
      </c>
      <c r="I83" s="5">
        <f>'5.Infrastructure Annex'!K79</f>
        <v>0</v>
      </c>
      <c r="J83" s="5">
        <f>'5.Infrastructure Annex'!L79</f>
        <v>0</v>
      </c>
      <c r="K83" s="5">
        <f>'5.Infrastructure Annex'!M79</f>
        <v>0</v>
      </c>
      <c r="L83" s="5">
        <f>'5.Infrastructure Annex'!N79</f>
        <v>0</v>
      </c>
      <c r="M83" s="5">
        <f>'5.Infrastructure Annex'!O79</f>
        <v>0</v>
      </c>
      <c r="N83" s="5">
        <f>'5.Infrastructure Annex'!P79</f>
        <v>0</v>
      </c>
      <c r="O83" s="5">
        <f>'5.Infrastructure Annex'!Q79</f>
        <v>0</v>
      </c>
      <c r="P83" s="5">
        <f>'5.Infrastructure Annex'!R79</f>
        <v>0</v>
      </c>
    </row>
    <row r="84" spans="1:16">
      <c r="A84" s="3" t="str">
        <f>'5.Infrastructure Annex'!A80</f>
        <v>5.2.2.9</v>
      </c>
      <c r="B84" s="3" t="str">
        <f>'5.Infrastructure Annex'!B80</f>
        <v>B5.10.4</v>
      </c>
      <c r="C84" s="3" t="str">
        <f>'5.Infrastructure Annex'!C80</f>
        <v>Training Institutions</v>
      </c>
      <c r="D84" s="5">
        <f>'5.Infrastructure Annex'!F80</f>
        <v>0</v>
      </c>
      <c r="E84" s="5">
        <f>'5.Infrastructure Annex'!G80</f>
        <v>0</v>
      </c>
      <c r="F84" s="5">
        <f>'5.Infrastructure Annex'!H80</f>
        <v>0</v>
      </c>
      <c r="G84" s="5">
        <f>'5.Infrastructure Annex'!I80</f>
        <v>0</v>
      </c>
      <c r="H84" s="5">
        <f>'5.Infrastructure Annex'!J80</f>
        <v>0</v>
      </c>
      <c r="I84" s="5">
        <f>'5.Infrastructure Annex'!K80</f>
        <v>0</v>
      </c>
      <c r="J84" s="5">
        <f>'5.Infrastructure Annex'!L80</f>
        <v>0</v>
      </c>
      <c r="K84" s="5">
        <f>'5.Infrastructure Annex'!M80</f>
        <v>0</v>
      </c>
      <c r="L84" s="5">
        <f>'5.Infrastructure Annex'!N80</f>
        <v>0</v>
      </c>
      <c r="M84" s="5">
        <f>'5.Infrastructure Annex'!O80</f>
        <v>0</v>
      </c>
      <c r="N84" s="5">
        <f>'5.Infrastructure Annex'!P80</f>
        <v>0</v>
      </c>
      <c r="O84" s="5">
        <f>'5.Infrastructure Annex'!Q80</f>
        <v>0</v>
      </c>
      <c r="P84" s="5">
        <f>'5.Infrastructure Annex'!R80</f>
        <v>0</v>
      </c>
    </row>
    <row r="85" spans="1:16">
      <c r="A85" s="3" t="str">
        <f>'5.Infrastructure Annex'!A81</f>
        <v>5.2.2.10</v>
      </c>
      <c r="B85" s="3">
        <f>'5.Infrastructure Annex'!B81</f>
        <v>0</v>
      </c>
      <c r="C85" s="3" t="str">
        <f>'5.Infrastructure Annex'!C81</f>
        <v>Others</v>
      </c>
      <c r="D85" s="5">
        <f>'5.Infrastructure Annex'!F81</f>
        <v>0</v>
      </c>
      <c r="E85" s="5">
        <f>'5.Infrastructure Annex'!G81</f>
        <v>0</v>
      </c>
      <c r="F85" s="5">
        <f>'5.Infrastructure Annex'!H81</f>
        <v>0</v>
      </c>
      <c r="G85" s="5">
        <f>'5.Infrastructure Annex'!I81</f>
        <v>0</v>
      </c>
      <c r="H85" s="5">
        <f>'5.Infrastructure Annex'!J81</f>
        <v>0</v>
      </c>
      <c r="I85" s="5">
        <f>'5.Infrastructure Annex'!K81</f>
        <v>0</v>
      </c>
      <c r="J85" s="5">
        <f>'5.Infrastructure Annex'!L81</f>
        <v>0</v>
      </c>
      <c r="K85" s="5">
        <f>'5.Infrastructure Annex'!M81</f>
        <v>0</v>
      </c>
      <c r="L85" s="5">
        <f>'5.Infrastructure Annex'!N81</f>
        <v>0</v>
      </c>
      <c r="M85" s="5">
        <f>'5.Infrastructure Annex'!O81</f>
        <v>0</v>
      </c>
      <c r="N85" s="5">
        <f>'5.Infrastructure Annex'!P81</f>
        <v>0</v>
      </c>
      <c r="O85" s="5">
        <f>'5.Infrastructure Annex'!Q81</f>
        <v>0</v>
      </c>
      <c r="P85" s="5">
        <f>'5.Infrastructure Annex'!R81</f>
        <v>0</v>
      </c>
    </row>
    <row r="86" spans="1:16" ht="25.5">
      <c r="A86" s="20">
        <f>'5.Infrastructure Annex'!A82</f>
        <v>5.3</v>
      </c>
      <c r="B86" s="20">
        <f>'5.Infrastructure Annex'!B82</f>
        <v>0</v>
      </c>
      <c r="C86" s="20" t="str">
        <f>'5.Infrastructure Annex'!C82</f>
        <v>Other construction/ Civil works except IPHS Infrastructure</v>
      </c>
      <c r="D86" s="27"/>
      <c r="E86" s="27"/>
      <c r="F86" s="27">
        <f>SUM(F87:F102)</f>
        <v>125.03999999999999</v>
      </c>
      <c r="G86" s="27">
        <f>SUM(G87:G102)</f>
        <v>10.32</v>
      </c>
      <c r="H86" s="27">
        <f>SUM(H87:H102)</f>
        <v>114</v>
      </c>
      <c r="I86" s="27"/>
      <c r="J86" s="27"/>
      <c r="K86" s="27"/>
      <c r="L86" s="27"/>
      <c r="M86" s="27">
        <f>SUM(M87:M102)</f>
        <v>145.68770000000001</v>
      </c>
      <c r="N86" s="27"/>
      <c r="O86" s="27"/>
      <c r="P86" s="27">
        <f>SUM(P87:P102)</f>
        <v>145.69</v>
      </c>
    </row>
    <row r="87" spans="1:16">
      <c r="A87" s="3" t="str">
        <f>'5.Infrastructure Annex'!A83</f>
        <v>5.3.1</v>
      </c>
      <c r="B87" s="3" t="str">
        <f>'5.Infrastructure Annex'!B83</f>
        <v>B4.1.5.4</v>
      </c>
      <c r="C87" s="3" t="str">
        <f>'5.Infrastructure Annex'!C83</f>
        <v>Civil Works</v>
      </c>
      <c r="D87" s="5">
        <f>'5.Infrastructure Annex'!F83</f>
        <v>0</v>
      </c>
      <c r="E87" s="5">
        <f>'5.Infrastructure Annex'!G83</f>
        <v>0</v>
      </c>
      <c r="F87" s="5">
        <f>'5.Infrastructure Annex'!H83</f>
        <v>0</v>
      </c>
      <c r="G87" s="5">
        <f>'5.Infrastructure Annex'!I83</f>
        <v>0</v>
      </c>
      <c r="H87" s="5">
        <f>'5.Infrastructure Annex'!J83</f>
        <v>0</v>
      </c>
      <c r="I87" s="5">
        <f>'5.Infrastructure Annex'!K83</f>
        <v>0</v>
      </c>
      <c r="J87" s="5">
        <f>'5.Infrastructure Annex'!L83</f>
        <v>0</v>
      </c>
      <c r="K87" s="5">
        <f>'5.Infrastructure Annex'!M83</f>
        <v>0</v>
      </c>
      <c r="L87" s="5">
        <f>'5.Infrastructure Annex'!N83</f>
        <v>0</v>
      </c>
      <c r="M87" s="5">
        <f>'5.Infrastructure Annex'!O83</f>
        <v>0</v>
      </c>
      <c r="N87" s="5">
        <f>'5.Infrastructure Annex'!P83</f>
        <v>0</v>
      </c>
      <c r="O87" s="5">
        <f>'5.Infrastructure Annex'!Q83</f>
        <v>0</v>
      </c>
      <c r="P87" s="5">
        <f>'5.Infrastructure Annex'!R83</f>
        <v>0</v>
      </c>
    </row>
    <row r="88" spans="1:16" ht="25.5">
      <c r="A88" s="3" t="str">
        <f>'5.Infrastructure Annex'!A84</f>
        <v>5.3.3</v>
      </c>
      <c r="B88" s="3" t="str">
        <f>'5.Infrastructure Annex'!B84</f>
        <v>B4.1.5.4.1</v>
      </c>
      <c r="C88" s="3" t="str">
        <f>'5.Infrastructure Annex'!C84</f>
        <v>Blood bank/ BCSU/ BSU/ Day care centre for hemoglobinopathies</v>
      </c>
      <c r="D88" s="5">
        <f>'5.Infrastructure Annex'!F84</f>
        <v>0</v>
      </c>
      <c r="E88" s="5">
        <f>'5.Infrastructure Annex'!G84</f>
        <v>0</v>
      </c>
      <c r="F88" s="5">
        <f>'5.Infrastructure Annex'!H84</f>
        <v>0</v>
      </c>
      <c r="G88" s="5">
        <f>'5.Infrastructure Annex'!I84</f>
        <v>0</v>
      </c>
      <c r="H88" s="5">
        <f>'5.Infrastructure Annex'!J84</f>
        <v>0</v>
      </c>
      <c r="I88" s="5">
        <f>'5.Infrastructure Annex'!K84</f>
        <v>0</v>
      </c>
      <c r="J88" s="5">
        <f>'5.Infrastructure Annex'!L84</f>
        <v>0</v>
      </c>
      <c r="K88" s="5">
        <f>'5.Infrastructure Annex'!M84</f>
        <v>0</v>
      </c>
      <c r="L88" s="5">
        <f>'5.Infrastructure Annex'!N84</f>
        <v>0</v>
      </c>
      <c r="M88" s="5">
        <f>'5.Infrastructure Annex'!O84</f>
        <v>0</v>
      </c>
      <c r="N88" s="5">
        <f>'5.Infrastructure Annex'!P84</f>
        <v>0</v>
      </c>
      <c r="O88" s="5">
        <f>'5.Infrastructure Annex'!Q84</f>
        <v>0</v>
      </c>
      <c r="P88" s="5">
        <f>'5.Infrastructure Annex'!R84</f>
        <v>0</v>
      </c>
    </row>
    <row r="89" spans="1:16">
      <c r="A89" s="3" t="str">
        <f>'5.Infrastructure Annex'!A85</f>
        <v>5.3.4</v>
      </c>
      <c r="B89" s="3" t="str">
        <f>'5.Infrastructure Annex'!B85</f>
        <v>B.5.7</v>
      </c>
      <c r="C89" s="3" t="str">
        <f>'5.Infrastructure Annex'!C85</f>
        <v>Operationalization of FRUS</v>
      </c>
      <c r="D89" s="5">
        <f>'5.Infrastructure Annex'!F85</f>
        <v>0</v>
      </c>
      <c r="E89" s="5">
        <f>'5.Infrastructure Annex'!G85</f>
        <v>0</v>
      </c>
      <c r="F89" s="5">
        <f>'5.Infrastructure Annex'!H85</f>
        <v>0</v>
      </c>
      <c r="G89" s="5">
        <f>'5.Infrastructure Annex'!I85</f>
        <v>0</v>
      </c>
      <c r="H89" s="5">
        <f>'5.Infrastructure Annex'!J85</f>
        <v>0</v>
      </c>
      <c r="I89" s="5">
        <f>'5.Infrastructure Annex'!K85</f>
        <v>0</v>
      </c>
      <c r="J89" s="5">
        <f>'5.Infrastructure Annex'!L85</f>
        <v>0</v>
      </c>
      <c r="K89" s="5">
        <f>'5.Infrastructure Annex'!M85</f>
        <v>0</v>
      </c>
      <c r="L89" s="5">
        <f>'5.Infrastructure Annex'!N85</f>
        <v>0</v>
      </c>
      <c r="M89" s="5">
        <f>'5.Infrastructure Annex'!O85</f>
        <v>0</v>
      </c>
      <c r="N89" s="5">
        <f>'5.Infrastructure Annex'!P85</f>
        <v>0</v>
      </c>
      <c r="O89" s="5">
        <f>'5.Infrastructure Annex'!Q85</f>
        <v>0</v>
      </c>
      <c r="P89" s="5">
        <f>'5.Infrastructure Annex'!R85</f>
        <v>0</v>
      </c>
    </row>
    <row r="90" spans="1:16" ht="25.5">
      <c r="A90" s="3" t="str">
        <f>'5.Infrastructure Annex'!A86</f>
        <v>5.3.5</v>
      </c>
      <c r="B90" s="3" t="str">
        <f>'5.Infrastructure Annex'!B86</f>
        <v>B.5.8</v>
      </c>
      <c r="C90" s="3" t="str">
        <f>'5.Infrastructure Annex'!C86</f>
        <v>Operationalization of 24 hour services at PHCs</v>
      </c>
      <c r="D90" s="5">
        <f>'5.Infrastructure Annex'!F86</f>
        <v>0</v>
      </c>
      <c r="E90" s="5">
        <f>'5.Infrastructure Annex'!G86</f>
        <v>0</v>
      </c>
      <c r="F90" s="5">
        <f>'5.Infrastructure Annex'!H86</f>
        <v>0</v>
      </c>
      <c r="G90" s="5">
        <f>'5.Infrastructure Annex'!I86</f>
        <v>0</v>
      </c>
      <c r="H90" s="5">
        <f>'5.Infrastructure Annex'!J86</f>
        <v>0</v>
      </c>
      <c r="I90" s="5">
        <f>'5.Infrastructure Annex'!K86</f>
        <v>0</v>
      </c>
      <c r="J90" s="5">
        <f>'5.Infrastructure Annex'!L86</f>
        <v>0</v>
      </c>
      <c r="K90" s="5">
        <f>'5.Infrastructure Annex'!M86</f>
        <v>0</v>
      </c>
      <c r="L90" s="5">
        <f>'5.Infrastructure Annex'!N86</f>
        <v>0</v>
      </c>
      <c r="M90" s="5">
        <f>'5.Infrastructure Annex'!O86</f>
        <v>0</v>
      </c>
      <c r="N90" s="5">
        <f>'5.Infrastructure Annex'!P86</f>
        <v>0</v>
      </c>
      <c r="O90" s="5">
        <f>'5.Infrastructure Annex'!Q86</f>
        <v>0</v>
      </c>
      <c r="P90" s="5">
        <f>'5.Infrastructure Annex'!R86</f>
        <v>0</v>
      </c>
    </row>
    <row r="91" spans="1:16" ht="25.5">
      <c r="A91" s="3" t="str">
        <f>'5.Infrastructure Annex'!A87</f>
        <v>5.3.6</v>
      </c>
      <c r="B91" s="3" t="str">
        <f>'5.Infrastructure Annex'!B87</f>
        <v>B.5.9</v>
      </c>
      <c r="C91" s="3" t="str">
        <f>'5.Infrastructure Annex'!C87</f>
        <v>Operationalising Infection Management &amp; Environment Plan at health facilities</v>
      </c>
      <c r="D91" s="5">
        <f>'5.Infrastructure Annex'!F87</f>
        <v>0</v>
      </c>
      <c r="E91" s="5">
        <f>'5.Infrastructure Annex'!G87</f>
        <v>0</v>
      </c>
      <c r="F91" s="5">
        <f>'5.Infrastructure Annex'!H87</f>
        <v>0</v>
      </c>
      <c r="G91" s="5">
        <f>'5.Infrastructure Annex'!I87</f>
        <v>0</v>
      </c>
      <c r="H91" s="5">
        <f>'5.Infrastructure Annex'!J87</f>
        <v>0</v>
      </c>
      <c r="I91" s="5">
        <f>'5.Infrastructure Annex'!K87</f>
        <v>0</v>
      </c>
      <c r="J91" s="5">
        <f>'5.Infrastructure Annex'!L87</f>
        <v>0</v>
      </c>
      <c r="K91" s="5">
        <f>'5.Infrastructure Annex'!M87</f>
        <v>0</v>
      </c>
      <c r="L91" s="5">
        <f>'5.Infrastructure Annex'!N87</f>
        <v>0</v>
      </c>
      <c r="M91" s="5">
        <f>'5.Infrastructure Annex'!O87</f>
        <v>0</v>
      </c>
      <c r="N91" s="5">
        <f>'5.Infrastructure Annex'!P87</f>
        <v>0</v>
      </c>
      <c r="O91" s="5">
        <f>'5.Infrastructure Annex'!Q87</f>
        <v>0</v>
      </c>
      <c r="P91" s="5">
        <f>'5.Infrastructure Annex'!R87</f>
        <v>0</v>
      </c>
    </row>
    <row r="92" spans="1:16" ht="25.5">
      <c r="A92" s="3" t="str">
        <f>'5.Infrastructure Annex'!A88</f>
        <v>5.3.8</v>
      </c>
      <c r="B92" s="3" t="str">
        <f>'5.Infrastructure Annex'!B88</f>
        <v>B.28.1</v>
      </c>
      <c r="C92" s="3" t="str">
        <f>'5.Infrastructure Annex'!C88</f>
        <v>Assistance to State for Capacity building (Burns &amp; injury): Civil Work</v>
      </c>
      <c r="D92" s="5">
        <f>'5.Infrastructure Annex'!F88</f>
        <v>0</v>
      </c>
      <c r="E92" s="5">
        <f>'5.Infrastructure Annex'!G88</f>
        <v>0</v>
      </c>
      <c r="F92" s="5">
        <f>'5.Infrastructure Annex'!H88</f>
        <v>0</v>
      </c>
      <c r="G92" s="5">
        <f>'5.Infrastructure Annex'!I88</f>
        <v>0</v>
      </c>
      <c r="H92" s="5">
        <f>'5.Infrastructure Annex'!J88</f>
        <v>0</v>
      </c>
      <c r="I92" s="5">
        <f>'5.Infrastructure Annex'!K88</f>
        <v>0</v>
      </c>
      <c r="J92" s="5">
        <f>'5.Infrastructure Annex'!L88</f>
        <v>0</v>
      </c>
      <c r="K92" s="5">
        <f>'5.Infrastructure Annex'!M88</f>
        <v>0</v>
      </c>
      <c r="L92" s="5">
        <f>'5.Infrastructure Annex'!N88</f>
        <v>0</v>
      </c>
      <c r="M92" s="5">
        <f>'5.Infrastructure Annex'!O88</f>
        <v>0</v>
      </c>
      <c r="N92" s="5">
        <f>'5.Infrastructure Annex'!P88</f>
        <v>0</v>
      </c>
      <c r="O92" s="5">
        <f>'5.Infrastructure Annex'!Q88</f>
        <v>0</v>
      </c>
      <c r="P92" s="5">
        <f>'5.Infrastructure Annex'!R88</f>
        <v>0</v>
      </c>
    </row>
    <row r="93" spans="1:16" ht="25.5">
      <c r="A93" s="3" t="str">
        <f>'5.Infrastructure Annex'!A89</f>
        <v>5.3.9</v>
      </c>
      <c r="B93" s="3" t="str">
        <f>'5.Infrastructure Annex'!B89</f>
        <v>C.1.p</v>
      </c>
      <c r="C93" s="3" t="str">
        <f>'5.Infrastructure Annex'!C89</f>
        <v>Safety Pits</v>
      </c>
      <c r="D93" s="5">
        <f>'5.Infrastructure Annex'!F89</f>
        <v>0</v>
      </c>
      <c r="E93" s="5">
        <f>'5.Infrastructure Annex'!G89</f>
        <v>0</v>
      </c>
      <c r="F93" s="5">
        <f>'5.Infrastructure Annex'!H89</f>
        <v>0</v>
      </c>
      <c r="G93" s="5">
        <f>'5.Infrastructure Annex'!I89</f>
        <v>0</v>
      </c>
      <c r="H93" s="5">
        <f>'5.Infrastructure Annex'!J89</f>
        <v>0</v>
      </c>
      <c r="I93" s="5">
        <f>'5.Infrastructure Annex'!K89</f>
        <v>0</v>
      </c>
      <c r="J93" s="5">
        <f>'5.Infrastructure Annex'!L89</f>
        <v>0</v>
      </c>
      <c r="K93" s="5">
        <f>'5.Infrastructure Annex'!M89</f>
        <v>0</v>
      </c>
      <c r="L93" s="5">
        <f>'5.Infrastructure Annex'!N89</f>
        <v>0</v>
      </c>
      <c r="M93" s="5">
        <f>'5.Infrastructure Annex'!O89</f>
        <v>0</v>
      </c>
      <c r="N93" s="5" t="str">
        <f>'5.Infrastructure Annex'!P89</f>
        <v>funds will be utilized from BMWM</v>
      </c>
      <c r="O93" s="5" t="str">
        <f>'5.Infrastructure Annex'!Q89</f>
        <v>Fund will be utilized from sanctioned BMWM.</v>
      </c>
      <c r="P93" s="5">
        <f>'5.Infrastructure Annex'!R89</f>
        <v>0</v>
      </c>
    </row>
    <row r="94" spans="1:16">
      <c r="A94" s="3" t="str">
        <f>'5.Infrastructure Annex'!A90</f>
        <v>5.3.10</v>
      </c>
      <c r="B94" s="3" t="str">
        <f>'5.Infrastructure Annex'!B90</f>
        <v>D.2</v>
      </c>
      <c r="C94" s="3" t="str">
        <f>'5.Infrastructure Annex'!C90</f>
        <v>Establishment of IDD Monitoring Lab</v>
      </c>
      <c r="D94" s="5">
        <f>'5.Infrastructure Annex'!F90</f>
        <v>0</v>
      </c>
      <c r="E94" s="5">
        <f>'5.Infrastructure Annex'!G90</f>
        <v>0</v>
      </c>
      <c r="F94" s="5">
        <f>'5.Infrastructure Annex'!H90</f>
        <v>0</v>
      </c>
      <c r="G94" s="5">
        <f>'5.Infrastructure Annex'!I90</f>
        <v>0</v>
      </c>
      <c r="H94" s="5">
        <f>'5.Infrastructure Annex'!J90</f>
        <v>0</v>
      </c>
      <c r="I94" s="5">
        <f>'5.Infrastructure Annex'!K90</f>
        <v>0</v>
      </c>
      <c r="J94" s="5">
        <f>'5.Infrastructure Annex'!L90</f>
        <v>0</v>
      </c>
      <c r="K94" s="5">
        <f>'5.Infrastructure Annex'!M90</f>
        <v>0</v>
      </c>
      <c r="L94" s="5">
        <f>'5.Infrastructure Annex'!N90</f>
        <v>0</v>
      </c>
      <c r="M94" s="5">
        <f>'5.Infrastructure Annex'!O90</f>
        <v>0</v>
      </c>
      <c r="N94" s="5">
        <f>'5.Infrastructure Annex'!P90</f>
        <v>0</v>
      </c>
      <c r="O94" s="5">
        <f>'5.Infrastructure Annex'!Q90</f>
        <v>0</v>
      </c>
      <c r="P94" s="5">
        <f>'5.Infrastructure Annex'!R90</f>
        <v>0</v>
      </c>
    </row>
    <row r="95" spans="1:16" ht="25.5">
      <c r="A95" s="3" t="str">
        <f>'5.Infrastructure Annex'!A91</f>
        <v>5.3.11</v>
      </c>
      <c r="B95" s="3" t="str">
        <f>'5.Infrastructure Annex'!B91</f>
        <v>F.1.1.j</v>
      </c>
      <c r="C95" s="3" t="str">
        <f>'5.Infrastructure Annex'!C91</f>
        <v>Construction and maintenance of Hatcheries</v>
      </c>
      <c r="D95" s="5">
        <f>'5.Infrastructure Annex'!F91</f>
        <v>0</v>
      </c>
      <c r="E95" s="5">
        <f>'5.Infrastructure Annex'!G91</f>
        <v>0</v>
      </c>
      <c r="F95" s="5">
        <f>'5.Infrastructure Annex'!H91</f>
        <v>0</v>
      </c>
      <c r="G95" s="5">
        <f>'5.Infrastructure Annex'!I91</f>
        <v>0</v>
      </c>
      <c r="H95" s="5">
        <f>'5.Infrastructure Annex'!J91</f>
        <v>0</v>
      </c>
      <c r="I95" s="5">
        <f>'5.Infrastructure Annex'!K91</f>
        <v>0</v>
      </c>
      <c r="J95" s="5">
        <f>'5.Infrastructure Annex'!L91</f>
        <v>0</v>
      </c>
      <c r="K95" s="5">
        <f>'5.Infrastructure Annex'!M91</f>
        <v>0</v>
      </c>
      <c r="L95" s="5">
        <f>'5.Infrastructure Annex'!N91</f>
        <v>0</v>
      </c>
      <c r="M95" s="5">
        <f>'5.Infrastructure Annex'!O91</f>
        <v>0</v>
      </c>
      <c r="N95" s="5">
        <f>'5.Infrastructure Annex'!P91</f>
        <v>0</v>
      </c>
      <c r="O95" s="5">
        <f>'5.Infrastructure Annex'!Q91</f>
        <v>0</v>
      </c>
      <c r="P95" s="5">
        <f>'5.Infrastructure Annex'!R91</f>
        <v>0</v>
      </c>
    </row>
    <row r="96" spans="1:16">
      <c r="A96" s="3" t="str">
        <f>'5.Infrastructure Annex'!A92</f>
        <v>5.3.12</v>
      </c>
      <c r="B96" s="3" t="str">
        <f>'5.Infrastructure Annex'!B92</f>
        <v>F.2.1.e</v>
      </c>
      <c r="C96" s="3" t="str">
        <f>'5.Infrastructure Annex'!C92</f>
        <v>Infrastructure (INF)</v>
      </c>
      <c r="D96" s="5">
        <f>'5.Infrastructure Annex'!F92</f>
        <v>0</v>
      </c>
      <c r="E96" s="5">
        <f>'5.Infrastructure Annex'!G92</f>
        <v>0</v>
      </c>
      <c r="F96" s="5">
        <f>'5.Infrastructure Annex'!H92</f>
        <v>0</v>
      </c>
      <c r="G96" s="5">
        <f>'5.Infrastructure Annex'!I92</f>
        <v>0</v>
      </c>
      <c r="H96" s="5">
        <f>'5.Infrastructure Annex'!J92</f>
        <v>0</v>
      </c>
      <c r="I96" s="5">
        <f>'5.Infrastructure Annex'!K92</f>
        <v>0</v>
      </c>
      <c r="J96" s="5">
        <f>'5.Infrastructure Annex'!L92</f>
        <v>0</v>
      </c>
      <c r="K96" s="5">
        <f>'5.Infrastructure Annex'!M92</f>
        <v>0</v>
      </c>
      <c r="L96" s="5">
        <f>'5.Infrastructure Annex'!N92</f>
        <v>0</v>
      </c>
      <c r="M96" s="5">
        <f>'5.Infrastructure Annex'!O92</f>
        <v>0</v>
      </c>
      <c r="N96" s="5">
        <f>'5.Infrastructure Annex'!P92</f>
        <v>0</v>
      </c>
      <c r="O96" s="5">
        <f>'5.Infrastructure Annex'!Q92</f>
        <v>0</v>
      </c>
      <c r="P96" s="5">
        <f>'5.Infrastructure Annex'!R92</f>
        <v>0</v>
      </c>
    </row>
    <row r="97" spans="1:16">
      <c r="A97" s="3" t="str">
        <f>'5.Infrastructure Annex'!A93</f>
        <v>5.3.13</v>
      </c>
      <c r="B97" s="3" t="str">
        <f>'5.Infrastructure Annex'!B93</f>
        <v>F.1.3.j</v>
      </c>
      <c r="C97" s="3" t="str">
        <f>'5.Infrastructure Annex'!C93</f>
        <v>ICU Establishment in Endemic District</v>
      </c>
      <c r="D97" s="5">
        <f>'5.Infrastructure Annex'!F93</f>
        <v>0</v>
      </c>
      <c r="E97" s="5">
        <f>'5.Infrastructure Annex'!G93</f>
        <v>0</v>
      </c>
      <c r="F97" s="5">
        <f>'5.Infrastructure Annex'!H93</f>
        <v>0</v>
      </c>
      <c r="G97" s="5">
        <f>'5.Infrastructure Annex'!I93</f>
        <v>0</v>
      </c>
      <c r="H97" s="5">
        <f>'5.Infrastructure Annex'!J93</f>
        <v>0</v>
      </c>
      <c r="I97" s="5">
        <f>'5.Infrastructure Annex'!K93</f>
        <v>0</v>
      </c>
      <c r="J97" s="5">
        <f>'5.Infrastructure Annex'!L93</f>
        <v>0</v>
      </c>
      <c r="K97" s="5">
        <f>'5.Infrastructure Annex'!M93</f>
        <v>0</v>
      </c>
      <c r="L97" s="5">
        <f>'5.Infrastructure Annex'!N93</f>
        <v>0</v>
      </c>
      <c r="M97" s="5">
        <f>'5.Infrastructure Annex'!O93</f>
        <v>0</v>
      </c>
      <c r="N97" s="5">
        <f>'5.Infrastructure Annex'!P93</f>
        <v>0</v>
      </c>
      <c r="O97" s="5">
        <f>'5.Infrastructure Annex'!Q93</f>
        <v>0</v>
      </c>
      <c r="P97" s="5">
        <f>'5.Infrastructure Annex'!R93</f>
        <v>0</v>
      </c>
    </row>
    <row r="98" spans="1:16" ht="409.5">
      <c r="A98" s="3" t="str">
        <f>'5.Infrastructure Annex'!A94</f>
        <v>5.3.14</v>
      </c>
      <c r="B98" s="3" t="str">
        <f>'5.Infrastructure Annex'!B94</f>
        <v>H.1</v>
      </c>
      <c r="C98" s="3" t="str">
        <f>'5.Infrastructure Annex'!C94</f>
        <v>Civil Works under NTEP</v>
      </c>
      <c r="D98" s="5">
        <f>'5.Infrastructure Annex'!F94</f>
        <v>15</v>
      </c>
      <c r="E98" s="5">
        <f>'5.Infrastructure Annex'!G94</f>
        <v>6</v>
      </c>
      <c r="F98" s="5">
        <f>'5.Infrastructure Annex'!H94</f>
        <v>124.97</v>
      </c>
      <c r="G98" s="5">
        <f>'5.Infrastructure Annex'!I94</f>
        <v>10.25</v>
      </c>
      <c r="H98" s="5">
        <f>'5.Infrastructure Annex'!J94</f>
        <v>114</v>
      </c>
      <c r="I98" s="5">
        <f>'5.Infrastructure Annex'!K94</f>
        <v>26</v>
      </c>
      <c r="J98" s="5">
        <f>'5.Infrastructure Annex'!L94</f>
        <v>213030</v>
      </c>
      <c r="K98" s="5">
        <f>'5.Infrastructure Annex'!M94</f>
        <v>2.1303000000000001</v>
      </c>
      <c r="L98" s="5">
        <f>'5.Infrastructure Annex'!N94</f>
        <v>59</v>
      </c>
      <c r="M98" s="5">
        <f>'5.Infrastructure Annex'!O94</f>
        <v>125.68770000000001</v>
      </c>
      <c r="N98" s="5" t="str">
        <f>'5.Infrastructure Annex'!P94</f>
        <v>NTEP-1Funds under this head has been allocated for carrying out Civil Work under NTEP. Details of activities and allocated funds is as follow: -• Rs. 50000 maintenances cost of 5 DMCs, total proposed by District Bilaspur .• Rs.40,000/-  proposed by and  minor repair of 4  DMCs  by district Kullu district.• Rs.100000 proposed by District L&amp;S for repair of DMC Taboo, DMC Gondhla, DMC Kaza  and DMC Udhaypur  in the district .•  Rs.3.00 lacs Minor repair of DMC Lab IGMC Shimla for install CB-NAAT machine in the DMC Lab. • Rs. 5.50 lacs proposed by district Shimla for roof repair of DDS  Center DDU.• Rs. 80,000 lacs proposed by District Sirmaur for maintenance of DMC Narag  DMC Sarahan, DMC Rajgarh, DMC Sangrah, DMC Guttadhar, DMC Shillai, DMC Haripurdhar, DMC Nauradhar,  in the district.• Rs. 2,50000 proposed by District Hamirpur for repair and Iron paneling in the DTC Office Hamirpur. • Rs. 3,28,685 lacs proposed by District Kullu for repair and Iron paneling in the DTC.• Rs. 12,73,600 proposed by roof and repair of DTC  Mandi as per estimate from PWD Division • Rs. 2,02,222 estimate received from CMO Sirmaur for DR-TB center Pounta Sahib.• Rs 2,17,778 proposed by CMO Sirmaur for minor repair of TB Unit , Sarahan, Shillai and Sangrah  proposed @ 72500 each. • Rs. 4.00 lacs for DR-TB Center Ayurvedic Collage Paprola District kangra.• Rs. 5.00 lacs for repair of DTC walls at  Dharamshala • 25.00 lacs for Establishment of electrical transformer for made BSL-III Laboratory functional as per estimate from PWD Division at Dharampur. • The funds for provision of lift for Nodal DR-TB Center , Dr. RPGMC Tanda , district Kangra  amount of Rs. 55,25,500/- proposed. The cost of Ramp and R/ wall amount of Rs. 22,37,215 removed as discussed in NPCC meeting. • Total 25 new DMC proposed @10,000 each as per details mentioned below:1. PHC Tapri  Justifications:- Tribal Area: DMC Tapri will serve for the population of nearby PHCs i.e. PHC Urni, PHC Meeru, JSW Hospital Sholtu including PHC Tapri2. CHC Baroh Justifications:- No service in this area, can be made a hub for surrounding PHCs and HSCs3. Kala Amb Justifications:-Industrial Area, large no. of migrants.4. Kola WalaBhood Justification:-Hard to reach area, no service in the vicinity5. Dhagera Justification:- Hard to reach area, no service in the vicinity6. Staun Justifications:- Mining and stone crushing area, vulnerable population, migrant labor7. Majara Justifications:- Highly Populous area, industrial population.8. Nanidhar Justifications:- Hard to reach area, no service in the vicinity9. Kotidhiman Justifications:- Hard to reach area, no service in the vicinity10. Kalibari PHC Justifications:- 13 KM distance from nearest DMC, high patient load, industrial area11. PHC Kalol Justifications:- Services not available in the vicinity, can be made hub for other PHCs and HSCs12. PHC Behal Justifications:- Services not available in the vicinity, can be made hub for other PHCs and HSCs 13. Tihra Justifications:- Services not available in the vicinity, central point of Block Dharampur14. Sudhar Justifications:- Very hard area: Services not available in the vicinity15. Pandoh Justifications:-  Services not available in the vicinity; high patient load16. Baggi Justifications:-  High footfall, can be made a hub for large no of PHCs and HSCs17. Thalot Justifications:-  Services not available in the vicinity. Migrant labor  populous area18. Haraboi Justifications:-  Very hard area. Services not available in the vicinity.19. Churag Justifications:-  Hard area, Services not available in the vicinity, thickly populated. 20. Asla Justifications Hard area, Services not available in the vicinity 21. PHC JaonJustifications :-  PHC Jaon covers many hard areas. High footfall22. PHC Sundla Justifications PHC is located at centre point of Block Kihar, High patient load23. PHC SagnamJustifications :- Tribal Area, snow bound. Patient needs diagnostic service 24. CH SantoshGarh Justifications :- Civil Hospital: High footfall, can be made a hub for large no of PHCs and HSCs25. CHC Dhusara Justifications :- CHC: High footfall, can be made a hub for large no of PHCs and HSCsTotal= 125.59 lacs.</v>
      </c>
      <c r="O98" s="5" t="str">
        <f>'5.Infrastructure Annex'!Q94</f>
        <v>Recommended the following civil works: 1.  Rs 42.93 lakhs for minor works and maintenance	Rs 5.7 lakhs for 8 DMCs and for installation of 1CBNAAT machine	Rs 2.18 lakhs for 3 TUs	Rs 23.52 lakhs for 4 DTCs	Rs 5.5 lakhs for 1 DDS	Rs 6.02 lakhs for 2 DRTB Centres2. Rs 25 lakhs for BSL III lab which is about to start functioning3. Rs 77.63 lakhs for Nodal DRTB Centre (Lift and Ramp) as discussed in the NPCC meeting. 4. Rs 2.5 lakhs for 25 new DMCs (as the proposal is for high case load facilities and hard to reach areas, and is coupled with proposal for LT and microscope). Funds recommended as proposed by the State</v>
      </c>
      <c r="P98" s="5">
        <f>'5.Infrastructure Annex'!R94</f>
        <v>125.69</v>
      </c>
    </row>
    <row r="99" spans="1:16" ht="38.25">
      <c r="A99" s="3" t="str">
        <f>'5.Infrastructure Annex'!A95</f>
        <v>5.3.15</v>
      </c>
      <c r="B99" s="3" t="str">
        <f>'5.Infrastructure Annex'!B95</f>
        <v>J.1.1</v>
      </c>
      <c r="C99" s="3" t="str">
        <f>'5.Infrastructure Annex'!C95</f>
        <v>District DMHP Centre, Counselling Centre under psychology dept.. In a selected college including crisis helpline</v>
      </c>
      <c r="D99" s="5">
        <f>'5.Infrastructure Annex'!F95</f>
        <v>0</v>
      </c>
      <c r="E99" s="5">
        <f>'5.Infrastructure Annex'!G95</f>
        <v>0</v>
      </c>
      <c r="F99" s="5">
        <f>'5.Infrastructure Annex'!H95</f>
        <v>7.0000000000000007E-2</v>
      </c>
      <c r="G99" s="5">
        <f>'5.Infrastructure Annex'!I95</f>
        <v>7.0000000000000007E-2</v>
      </c>
      <c r="H99" s="5">
        <f>'5.Infrastructure Annex'!J95</f>
        <v>0</v>
      </c>
      <c r="I99" s="5">
        <f>'5.Infrastructure Annex'!K95</f>
        <v>0</v>
      </c>
      <c r="J99" s="5">
        <f>'5.Infrastructure Annex'!L95</f>
        <v>0</v>
      </c>
      <c r="K99" s="5">
        <f>'5.Infrastructure Annex'!M95</f>
        <v>0</v>
      </c>
      <c r="L99" s="5">
        <f>'5.Infrastructure Annex'!N95</f>
        <v>0</v>
      </c>
      <c r="M99" s="5">
        <f>'5.Infrastructure Annex'!O95</f>
        <v>0</v>
      </c>
      <c r="N99" s="5">
        <f>'5.Infrastructure Annex'!P95</f>
        <v>0</v>
      </c>
      <c r="O99" s="5">
        <f>'5.Infrastructure Annex'!Q95</f>
        <v>0</v>
      </c>
      <c r="P99" s="5">
        <f>'5.Infrastructure Annex'!R95</f>
        <v>0</v>
      </c>
    </row>
    <row r="100" spans="1:16" ht="63.75">
      <c r="A100" s="3" t="str">
        <f>'5.Infrastructure Annex'!A96</f>
        <v>5.3.16</v>
      </c>
      <c r="B100" s="3" t="str">
        <f>'5.Infrastructure Annex'!B96</f>
        <v>K.2.1.1</v>
      </c>
      <c r="C100" s="3" t="str">
        <f>'5.Infrastructure Annex'!C96</f>
        <v>Non-recurring GIA: New Construction @80  lakh/ Extension of existing ward @ 40 lakh/ Renovation @20 lakh/ for Geriatrics Unit with 10 beds and OPD facilities at DH</v>
      </c>
      <c r="D100" s="5">
        <f>'5.Infrastructure Annex'!F96</f>
        <v>0</v>
      </c>
      <c r="E100" s="5">
        <f>'5.Infrastructure Annex'!G96</f>
        <v>0</v>
      </c>
      <c r="F100" s="5">
        <f>'5.Infrastructure Annex'!H96</f>
        <v>0</v>
      </c>
      <c r="G100" s="5">
        <f>'5.Infrastructure Annex'!I96</f>
        <v>0</v>
      </c>
      <c r="H100" s="5">
        <f>'5.Infrastructure Annex'!J96</f>
        <v>0</v>
      </c>
      <c r="I100" s="5">
        <f>'5.Infrastructure Annex'!K96</f>
        <v>0</v>
      </c>
      <c r="J100" s="5">
        <f>'5.Infrastructure Annex'!L96</f>
        <v>0</v>
      </c>
      <c r="K100" s="5">
        <f>'5.Infrastructure Annex'!M96</f>
        <v>0</v>
      </c>
      <c r="L100" s="5">
        <f>'5.Infrastructure Annex'!N96</f>
        <v>0</v>
      </c>
      <c r="M100" s="5">
        <f>'5.Infrastructure Annex'!O96</f>
        <v>0</v>
      </c>
      <c r="N100" s="5">
        <f>'5.Infrastructure Annex'!P96</f>
        <v>0</v>
      </c>
      <c r="O100" s="5">
        <f>'5.Infrastructure Annex'!Q96</f>
        <v>0</v>
      </c>
      <c r="P100" s="5">
        <f>'5.Infrastructure Annex'!R96</f>
        <v>0</v>
      </c>
    </row>
    <row r="101" spans="1:16" ht="229.5">
      <c r="A101" s="3" t="str">
        <f>'5.Infrastructure Annex'!A97</f>
        <v>5.3.17</v>
      </c>
      <c r="B101" s="3" t="str">
        <f>'5.Infrastructure Annex'!B97</f>
        <v>O1.1.2.1</v>
      </c>
      <c r="C101" s="3" t="str">
        <f>'5.Infrastructure Annex'!C97</f>
        <v>Cardiac Care Unit (CCU/ ICU)</v>
      </c>
      <c r="D101" s="5">
        <f>'5.Infrastructure Annex'!F97</f>
        <v>0</v>
      </c>
      <c r="E101" s="5">
        <f>'5.Infrastructure Annex'!G97</f>
        <v>0</v>
      </c>
      <c r="F101" s="5">
        <f>'5.Infrastructure Annex'!H97</f>
        <v>0</v>
      </c>
      <c r="G101" s="5">
        <f>'5.Infrastructure Annex'!I97</f>
        <v>0</v>
      </c>
      <c r="H101" s="5">
        <f>'5.Infrastructure Annex'!J97</f>
        <v>0</v>
      </c>
      <c r="I101" s="5">
        <f>'5.Infrastructure Annex'!K97</f>
        <v>0</v>
      </c>
      <c r="J101" s="5">
        <f>'5.Infrastructure Annex'!L97</f>
        <v>200000</v>
      </c>
      <c r="K101" s="5">
        <f>'5.Infrastructure Annex'!M97</f>
        <v>2</v>
      </c>
      <c r="L101" s="5">
        <f>'5.Infrastructure Annex'!N97</f>
        <v>10</v>
      </c>
      <c r="M101" s="5">
        <f>'5.Infrastructure Annex'!O97</f>
        <v>20</v>
      </c>
      <c r="N101" s="5" t="str">
        <f>'5.Infrastructure Annex'!P97</f>
        <v>We are setting up 10 integrated  Nirog clinics in HP in high load facility to manage all common NCDs DM,HTN cancers/chemotherapy, palliative care,COPD etc. the cost per unit will be 5 Lakh for equipment &amp; minor repair(spirometer,Nebuliser , Peak flow meter,VIA &amp; Cryo equipment etc )  The funds under this head are proposed for the minor  repair and maintainance for setting up of the 10 integrtaed Nirog clinics @Rs 2Lac per unit.</v>
      </c>
      <c r="O101" s="5" t="str">
        <f>'5.Infrastructure Annex'!Q97</f>
        <v>Recommended for approval for setting up of 10 Integrated Nirog Clinics in high case load facilities @ Rs 2 lakh per unit</v>
      </c>
      <c r="P101" s="5">
        <f>'5.Infrastructure Annex'!R97</f>
        <v>20</v>
      </c>
    </row>
    <row r="102" spans="1:16">
      <c r="A102" s="3" t="str">
        <f>'5.Infrastructure Annex'!A98</f>
        <v>5.3.18</v>
      </c>
      <c r="B102" s="3">
        <f>'5.Infrastructure Annex'!B98</f>
        <v>0</v>
      </c>
      <c r="C102" s="3" t="str">
        <f>'5.Infrastructure Annex'!C98</f>
        <v>Any other (please specify)</v>
      </c>
      <c r="D102" s="5">
        <f>'5.Infrastructure Annex'!F98</f>
        <v>0</v>
      </c>
      <c r="E102" s="5">
        <f>'5.Infrastructure Annex'!G98</f>
        <v>0</v>
      </c>
      <c r="F102" s="5">
        <f>'5.Infrastructure Annex'!H98</f>
        <v>0</v>
      </c>
      <c r="G102" s="5">
        <f>'5.Infrastructure Annex'!I98</f>
        <v>0</v>
      </c>
      <c r="H102" s="5">
        <f>'5.Infrastructure Annex'!J98</f>
        <v>0</v>
      </c>
      <c r="I102" s="5">
        <f>'5.Infrastructure Annex'!K98</f>
        <v>0</v>
      </c>
      <c r="J102" s="5">
        <f>'5.Infrastructure Annex'!L98</f>
        <v>0</v>
      </c>
      <c r="K102" s="5">
        <f>'5.Infrastructure Annex'!M98</f>
        <v>0</v>
      </c>
      <c r="L102" s="5">
        <f>'5.Infrastructure Annex'!N98</f>
        <v>0</v>
      </c>
      <c r="M102" s="5">
        <f>'5.Infrastructure Annex'!O98</f>
        <v>0</v>
      </c>
      <c r="N102" s="5">
        <f>'5.Infrastructure Annex'!P98</f>
        <v>0</v>
      </c>
      <c r="O102" s="5">
        <f>'5.Infrastructure Annex'!Q98</f>
        <v>0</v>
      </c>
      <c r="P102" s="5">
        <f>'5.Infrastructure Annex'!R98</f>
        <v>0</v>
      </c>
    </row>
    <row r="103" spans="1:16">
      <c r="A103" s="20">
        <f>'6-A. Proc. Sub-Annex'!A5</f>
        <v>6.1</v>
      </c>
      <c r="B103" s="20" t="str">
        <f>'6-A. Proc. Sub-Annex'!B5</f>
        <v>B.16.1</v>
      </c>
      <c r="C103" s="20" t="str">
        <f>'6-A. Proc. Sub-Annex'!C5</f>
        <v>Procurement of Equipment</v>
      </c>
      <c r="D103" s="27"/>
      <c r="E103" s="27"/>
      <c r="F103" s="27">
        <f>'6-A. Proc. Sub-Annex'!H5</f>
        <v>0</v>
      </c>
      <c r="G103" s="27">
        <f>'6-A. Proc. Sub-Annex'!I5</f>
        <v>0</v>
      </c>
      <c r="H103" s="27">
        <f>'6-A. Proc. Sub-Annex'!J5</f>
        <v>0</v>
      </c>
      <c r="I103" s="27"/>
      <c r="J103" s="27"/>
      <c r="K103" s="27"/>
      <c r="L103" s="27"/>
      <c r="M103" s="27">
        <f>'6-A. Proc. Sub-Annex'!O5</f>
        <v>0</v>
      </c>
      <c r="N103" s="27"/>
      <c r="O103" s="27"/>
      <c r="P103" s="27">
        <f>'6-A. Proc. Sub-Annex'!R5</f>
        <v>0</v>
      </c>
    </row>
    <row r="104" spans="1:16" ht="25.5">
      <c r="A104" s="3" t="str">
        <f>'6-A. Proc. Sub-Annex'!A7</f>
        <v>6.1.1.1</v>
      </c>
      <c r="B104" s="3" t="str">
        <f>'6-A. Proc. Sub-Annex'!B7</f>
        <v>B16.1.1</v>
      </c>
      <c r="C104" s="3" t="str">
        <f>'6-A. Proc. Sub-Annex'!C7</f>
        <v>Procurement of bio-medical and other equipment:  MH</v>
      </c>
      <c r="D104" s="5"/>
      <c r="E104" s="5"/>
      <c r="F104" s="5">
        <f>SUM(F105:F108)</f>
        <v>158.14000000000001</v>
      </c>
      <c r="G104" s="5">
        <f>SUM(G105:G108)</f>
        <v>0</v>
      </c>
      <c r="H104" s="5">
        <f>SUM(H105:H108)</f>
        <v>158.14000000000001</v>
      </c>
      <c r="I104" s="5"/>
      <c r="J104" s="5"/>
      <c r="K104" s="5"/>
      <c r="L104" s="5"/>
      <c r="M104" s="5">
        <f>SUM(M105:M108)</f>
        <v>2200.0484999999999</v>
      </c>
      <c r="N104" s="5">
        <f>'6-A. Proc. Sub-Annex'!P7</f>
        <v>0</v>
      </c>
      <c r="O104" s="5">
        <f>'6-A. Proc. Sub-Annex'!Q7</f>
        <v>0</v>
      </c>
      <c r="P104" s="5">
        <f>SUM(P105:P108)</f>
        <v>2155.0500000000002</v>
      </c>
    </row>
    <row r="105" spans="1:16" ht="51">
      <c r="A105" s="3" t="str">
        <f>'6-A. Proc. Sub-Annex'!A8</f>
        <v>6.1.1.1.1</v>
      </c>
      <c r="B105" s="3" t="str">
        <f>'6-A. Proc. Sub-Annex'!B8</f>
        <v>B16.1.1.2</v>
      </c>
      <c r="C105" s="3" t="str">
        <f>'6-A. Proc. Sub-Annex'!C8</f>
        <v>MVA /EVA for Safe Abortion services</v>
      </c>
      <c r="D105" s="5">
        <f>'6-A. Proc. Sub-Annex'!F8</f>
        <v>0</v>
      </c>
      <c r="E105" s="5">
        <f>'6-A. Proc. Sub-Annex'!G8</f>
        <v>0</v>
      </c>
      <c r="F105" s="5">
        <f>'6-A. Proc. Sub-Annex'!H8</f>
        <v>0</v>
      </c>
      <c r="G105" s="5">
        <f>'6-A. Proc. Sub-Annex'!I8</f>
        <v>0</v>
      </c>
      <c r="H105" s="5">
        <f>'6-A. Proc. Sub-Annex'!J8</f>
        <v>0</v>
      </c>
      <c r="I105" s="5">
        <f>'6-A. Proc. Sub-Annex'!K8</f>
        <v>0</v>
      </c>
      <c r="J105" s="5">
        <f>'6-A. Proc. Sub-Annex'!L8</f>
        <v>0</v>
      </c>
      <c r="K105" s="5">
        <f>'6-A. Proc. Sub-Annex'!M8</f>
        <v>0</v>
      </c>
      <c r="L105" s="5">
        <f>'6-A. Proc. Sub-Annex'!N8</f>
        <v>0</v>
      </c>
      <c r="M105" s="5">
        <f>'6-A. Proc. Sub-Annex'!O8</f>
        <v>0</v>
      </c>
      <c r="N105" s="5">
        <f>'6-A. Proc. Sub-Annex'!P8</f>
        <v>0</v>
      </c>
      <c r="O105" s="5" t="str">
        <f>'6-A. Proc. Sub-Annex'!Q8</f>
        <v>The State to ensure availability of functional MVA/EVA equipments at all the facilities providing safe abortion services.</v>
      </c>
      <c r="P105" s="5">
        <f>'6-A. Proc. Sub-Annex'!R8</f>
        <v>0</v>
      </c>
    </row>
    <row r="106" spans="1:16" ht="242.25">
      <c r="A106" s="3" t="str">
        <f>'6-A. Proc. Sub-Annex'!A9</f>
        <v>6.1.1.1.2</v>
      </c>
      <c r="B106" s="3">
        <f>'6-A. Proc. Sub-Annex'!B9</f>
        <v>0</v>
      </c>
      <c r="C106" s="3" t="str">
        <f>'6-A. Proc. Sub-Annex'!C9</f>
        <v>Procurement under LaQshya</v>
      </c>
      <c r="D106" s="5">
        <f>'6-A. Proc. Sub-Annex'!F9</f>
        <v>2</v>
      </c>
      <c r="E106" s="5">
        <f>'6-A. Proc. Sub-Annex'!G9</f>
        <v>0</v>
      </c>
      <c r="F106" s="5">
        <f>'6-A. Proc. Sub-Annex'!H9</f>
        <v>37.24</v>
      </c>
      <c r="G106" s="5">
        <f>'6-A. Proc. Sub-Annex'!I9</f>
        <v>0</v>
      </c>
      <c r="H106" s="5">
        <f>'6-A. Proc. Sub-Annex'!J9</f>
        <v>37.24</v>
      </c>
      <c r="I106" s="5">
        <f>'6-A. Proc. Sub-Annex'!K9</f>
        <v>0</v>
      </c>
      <c r="J106" s="5">
        <f>'6-A. Proc. Sub-Annex'!L9</f>
        <v>5402175</v>
      </c>
      <c r="K106" s="5">
        <f>'6-A. Proc. Sub-Annex'!M9</f>
        <v>54.021749999999997</v>
      </c>
      <c r="L106" s="5">
        <f>'6-A. Proc. Sub-Annex'!N9</f>
        <v>22</v>
      </c>
      <c r="M106" s="5">
        <f>'6-A. Proc. Sub-Annex'!O9</f>
        <v>1188.4784999999999</v>
      </c>
      <c r="N106" s="5" t="str">
        <f>'6-A. Proc. Sub-Annex'!P9</f>
        <v>State has 22 notified Laqshay facilities. A gap anaysis of equipment required in these facilities based upon the MNH toolkit was conducted. State has revisited its all previous approvals over the years. The tendor process of procurement of required Laqshay eqipment is underway and most likely will be completed in the next Financila Year. That is why approval of 20-21 has also been revisited. The detailed proposal is being shared by the state with MoHFW, GoI.</v>
      </c>
      <c r="O106" s="5" t="str">
        <f>'6-A. Proc. Sub-Annex'!Q9</f>
        <v xml:space="preserve">Recommended for approval Rs 1188.48 lakhs for the equipment for the LaQshya facilities on the basis of gap analysis received in PIP 2019-20 (for Rs. 404.30 lakhs) &amp; FY 2020-21 (for Rs. 37.24 lakhs) respectively for 47 types of medical devices and equipment at the mentioned cost per unit. </v>
      </c>
      <c r="P106" s="5">
        <f>'6-A. Proc. Sub-Annex'!R9</f>
        <v>1188.48</v>
      </c>
    </row>
    <row r="107" spans="1:16" ht="140.25">
      <c r="A107" s="3" t="str">
        <f>'6-A. Proc. Sub-Annex'!A10</f>
        <v>6.1.1.1.3</v>
      </c>
      <c r="B107" s="3">
        <f>'6-A. Proc. Sub-Annex'!B10</f>
        <v>0</v>
      </c>
      <c r="C107" s="3" t="str">
        <f>'6-A. Proc. Sub-Annex'!C10</f>
        <v>Equipment for  Obstetric ICUs/ HDUs (as per operational guidelines of ICUs and HDUs, 2017)</v>
      </c>
      <c r="D107" s="5">
        <f>'6-A. Proc. Sub-Annex'!F10</f>
        <v>2</v>
      </c>
      <c r="E107" s="5">
        <f>'6-A. Proc. Sub-Annex'!G10</f>
        <v>0</v>
      </c>
      <c r="F107" s="5">
        <f>'6-A. Proc. Sub-Annex'!H10</f>
        <v>120.9</v>
      </c>
      <c r="G107" s="5">
        <f>'6-A. Proc. Sub-Annex'!I10</f>
        <v>0</v>
      </c>
      <c r="H107" s="5">
        <f>'6-A. Proc. Sub-Annex'!J10</f>
        <v>120.9</v>
      </c>
      <c r="I107" s="5">
        <f>'6-A. Proc. Sub-Annex'!K10</f>
        <v>0</v>
      </c>
      <c r="J107" s="5">
        <f>'6-A. Proc. Sub-Annex'!L10</f>
        <v>8054750</v>
      </c>
      <c r="K107" s="5">
        <f>'6-A. Proc. Sub-Annex'!M10</f>
        <v>80.547499999999999</v>
      </c>
      <c r="L107" s="5">
        <f>'6-A. Proc. Sub-Annex'!N10</f>
        <v>12</v>
      </c>
      <c r="M107" s="5">
        <f>'6-A. Proc. Sub-Annex'!O10</f>
        <v>966.56999999999994</v>
      </c>
      <c r="N107" s="5" t="str">
        <f>'6-A. Proc. Sub-Annex'!P10</f>
        <v>State has revisited its all previous approval over the year including the year 20-21 for establishing HDU/ICU in the State. Now the state proposes to establish 12 HDUs/ICUs in high load facilities the detailed proposal is being shared by the state with MoHFW, GoI.</v>
      </c>
      <c r="O107" s="5" t="str">
        <f>'6-A. Proc. Sub-Annex'!Q10</f>
        <v>Recommended for approval lumpsum amount of Rs 966.57 lakhs for Obstetric HDU/ICU as per details in FMR 5.1.1.2.12 for the proposed 6+2 Hybrid HDU/ICU units, 4 bedded ICU unit and 8 bedded HDU unit. State is suggested to adhere to the NHM operational guidelines on ICUs/HDUs</v>
      </c>
      <c r="P107" s="5">
        <f>'6-A. Proc. Sub-Annex'!R10</f>
        <v>966.57</v>
      </c>
    </row>
    <row r="108" spans="1:16" ht="102">
      <c r="A108" s="3" t="str">
        <f>'6-A. Proc. Sub-Annex'!A12</f>
        <v>6.1.1.1.4</v>
      </c>
      <c r="B108" s="3" t="str">
        <f>'6-A. Proc. Sub-Annex'!B12</f>
        <v>B16.1.1.3</v>
      </c>
      <c r="C108" s="3" t="str">
        <f>'6-A. Proc. Sub-Annex'!C12</f>
        <v>Any other equipment (please specify)</v>
      </c>
      <c r="D108" s="5">
        <f>'6-A. Proc. Sub-Annex'!F12</f>
        <v>0</v>
      </c>
      <c r="E108" s="5">
        <f>'6-A. Proc. Sub-Annex'!G12</f>
        <v>0</v>
      </c>
      <c r="F108" s="5">
        <f>'6-A. Proc. Sub-Annex'!H12</f>
        <v>0</v>
      </c>
      <c r="G108" s="5">
        <f>'6-A. Proc. Sub-Annex'!I12</f>
        <v>0</v>
      </c>
      <c r="H108" s="5">
        <f>'6-A. Proc. Sub-Annex'!J12</f>
        <v>0</v>
      </c>
      <c r="I108" s="5">
        <f>'6-A. Proc. Sub-Annex'!K12</f>
        <v>0</v>
      </c>
      <c r="J108" s="5">
        <f>'6-A. Proc. Sub-Annex'!L12</f>
        <v>4500000</v>
      </c>
      <c r="K108" s="5">
        <f>'6-A. Proc. Sub-Annex'!M12</f>
        <v>45</v>
      </c>
      <c r="L108" s="5">
        <f>'6-A. Proc. Sub-Annex'!N12</f>
        <v>1</v>
      </c>
      <c r="M108" s="5">
        <f>'6-A. Proc. Sub-Annex'!O12</f>
        <v>45</v>
      </c>
      <c r="N108" s="5" t="str">
        <f>'6-A. Proc. Sub-Annex'!P12</f>
        <v>A High End Laproscope is being proposed for DDU Shimla which is a district level hospital as well as a FRU and a Laqshay facility which would be used both by OBG and Surgery Department.</v>
      </c>
      <c r="O108" s="5" t="str">
        <f>'6-A. Proc. Sub-Annex'!Q12</f>
        <v xml:space="preserve">Not recommended. This proposal was not discussed in NPCC meeting as it has been added in post NPCC budget sheet. </v>
      </c>
      <c r="P108" s="5">
        <f>'6-A. Proc. Sub-Annex'!R12</f>
        <v>0</v>
      </c>
    </row>
    <row r="109" spans="1:16" ht="25.5">
      <c r="A109" s="3" t="str">
        <f>'6-A. Proc. Sub-Annex'!A13</f>
        <v>6.1.1.2</v>
      </c>
      <c r="B109" s="3" t="str">
        <f>'6-A. Proc. Sub-Annex'!B13</f>
        <v>B16.1.2</v>
      </c>
      <c r="C109" s="3" t="str">
        <f>'6-A. Proc. Sub-Annex'!C13</f>
        <v>Procurement of bio-medical and other equipment:  CH</v>
      </c>
      <c r="D109" s="5"/>
      <c r="E109" s="5"/>
      <c r="F109" s="5">
        <f>SUM(F110:F111)</f>
        <v>605.34</v>
      </c>
      <c r="G109" s="5">
        <f>SUM(G110:G111)</f>
        <v>0</v>
      </c>
      <c r="H109" s="5">
        <f>SUM(H110:H111)</f>
        <v>605.34</v>
      </c>
      <c r="I109" s="5"/>
      <c r="J109" s="5"/>
      <c r="K109" s="5"/>
      <c r="L109" s="5"/>
      <c r="M109" s="5">
        <f>SUM(M110:M111)</f>
        <v>50.16</v>
      </c>
      <c r="N109" s="5">
        <f>'6-A. Proc. Sub-Annex'!P13</f>
        <v>0</v>
      </c>
      <c r="O109" s="5">
        <f>'6-A. Proc. Sub-Annex'!Q13</f>
        <v>0</v>
      </c>
      <c r="P109" s="5">
        <f>SUM(P110:P111)</f>
        <v>50.16</v>
      </c>
    </row>
    <row r="110" spans="1:16" ht="25.5">
      <c r="A110" s="3" t="str">
        <f>'6-A. Proc. Sub-Annex'!A14</f>
        <v>6.1.1.2.1</v>
      </c>
      <c r="B110" s="3" t="str">
        <f>'6-A. Proc. Sub-Annex'!B14</f>
        <v>B16.1.2.1</v>
      </c>
      <c r="C110" s="3" t="str">
        <f>'6-A. Proc. Sub-Annex'!C14</f>
        <v>Equipment for Paediatric HDU, Emergency, OPD and Ward</v>
      </c>
      <c r="D110" s="5">
        <f>'6-A. Proc. Sub-Annex'!F14</f>
        <v>1</v>
      </c>
      <c r="E110" s="5">
        <f>'6-A. Proc. Sub-Annex'!G14</f>
        <v>0</v>
      </c>
      <c r="F110" s="5">
        <f>'6-A. Proc. Sub-Annex'!H14</f>
        <v>605.34</v>
      </c>
      <c r="G110" s="5">
        <f>'6-A. Proc. Sub-Annex'!I14</f>
        <v>0</v>
      </c>
      <c r="H110" s="5">
        <f>'6-A. Proc. Sub-Annex'!J14</f>
        <v>605.34</v>
      </c>
      <c r="I110" s="5">
        <f>'6-A. Proc. Sub-Annex'!K14</f>
        <v>0</v>
      </c>
      <c r="J110" s="5">
        <f>'6-A. Proc. Sub-Annex'!L14</f>
        <v>0</v>
      </c>
      <c r="K110" s="5">
        <f>'6-A. Proc. Sub-Annex'!M14</f>
        <v>0</v>
      </c>
      <c r="L110" s="5">
        <f>'6-A. Proc. Sub-Annex'!N14</f>
        <v>0</v>
      </c>
      <c r="M110" s="5">
        <f>'6-A. Proc. Sub-Annex'!O14</f>
        <v>0</v>
      </c>
      <c r="N110" s="5">
        <f>'6-A. Proc. Sub-Annex'!P14</f>
        <v>0</v>
      </c>
      <c r="O110" s="5" t="str">
        <f>'6-A. Proc. Sub-Annex'!Q14</f>
        <v>-</v>
      </c>
      <c r="P110" s="5">
        <f>'6-A. Proc. Sub-Annex'!R14</f>
        <v>0</v>
      </c>
    </row>
    <row r="111" spans="1:16" ht="306">
      <c r="A111" s="3" t="str">
        <f>'6-A. Proc. Sub-Annex'!A18</f>
        <v>6.1.1.2.4</v>
      </c>
      <c r="B111" s="3" t="str">
        <f>'6-A. Proc. Sub-Annex'!B18</f>
        <v>B16.1.2.2</v>
      </c>
      <c r="C111" s="3" t="str">
        <f>'6-A. Proc. Sub-Annex'!C18</f>
        <v>Any other equipment (including equipment for SRC/MNCU/SNCU/ NBSU/NBCC/NRC/ etc</v>
      </c>
      <c r="D111" s="5">
        <f>'6-A. Proc. Sub-Annex'!F18</f>
        <v>0</v>
      </c>
      <c r="E111" s="5">
        <f>'6-A. Proc. Sub-Annex'!G18</f>
        <v>0</v>
      </c>
      <c r="F111" s="5">
        <f>'6-A. Proc. Sub-Annex'!H18</f>
        <v>0</v>
      </c>
      <c r="G111" s="5">
        <f>'6-A. Proc. Sub-Annex'!I18</f>
        <v>0</v>
      </c>
      <c r="H111" s="5">
        <f>'6-A. Proc. Sub-Annex'!J18</f>
        <v>0</v>
      </c>
      <c r="I111" s="5">
        <f>'6-A. Proc. Sub-Annex'!K18</f>
        <v>1</v>
      </c>
      <c r="J111" s="5">
        <f>'6-A. Proc. Sub-Annex'!L18</f>
        <v>5016000</v>
      </c>
      <c r="K111" s="5">
        <f>'6-A. Proc. Sub-Annex'!M18</f>
        <v>50.16</v>
      </c>
      <c r="L111" s="5">
        <f>'6-A. Proc. Sub-Annex'!N18</f>
        <v>1</v>
      </c>
      <c r="M111" s="5">
        <f>'6-A. Proc. Sub-Annex'!O18</f>
        <v>50.16</v>
      </c>
      <c r="N111" s="5" t="str">
        <f>'6-A. Proc. Sub-Annex'!P18</f>
        <v>Annexure attahced</v>
      </c>
      <c r="O111" s="5" t="str">
        <f>'6-A. Proc. Sub-Annex'!Q18</f>
        <v xml:space="preserve">Recommended for approval Rs 50.16 Lakhs for procuring 21 medical equipments for SNCU in the listed districts as mentioned below: Pulse Oxymeter - 2, Cardiac Monitor - 1, Oxygen concentrator - 3, Multipara monitor with neonatal probes - 2, Infantometer - 3, Digital weighing scale - 2, Infusion pump - 2, Radiant warmer - 2, Bubble C-PAP - 1, LED Phototherapy (Double side light) - 1, Double wall incubator with x-ray plate slot - 1, Portable O2 Analyzer - 1, Fluxmeter for measuring phototherapy blue light irradiance - 2, Lyringoscope - 1, ECG machine - 1, Ambu mask - 35.The state has proposed 25 Lakhs INR/unit for Neonatal Ventilators which is on the higher side; State may procure these through competitive biddings. </v>
      </c>
      <c r="P111" s="5">
        <f>'6-A. Proc. Sub-Annex'!R18</f>
        <v>50.16</v>
      </c>
    </row>
    <row r="112" spans="1:16" ht="25.5">
      <c r="A112" s="3" t="str">
        <f>'6-A. Proc. Sub-Annex'!A19</f>
        <v>6.1.1.3</v>
      </c>
      <c r="B112" s="3" t="str">
        <f>'6-A. Proc. Sub-Annex'!B19</f>
        <v>B16.1.3</v>
      </c>
      <c r="C112" s="3" t="str">
        <f>'6-A. Proc. Sub-Annex'!C19</f>
        <v>Procurement of bio-medical and other equipment:  FP</v>
      </c>
      <c r="D112" s="5"/>
      <c r="E112" s="5"/>
      <c r="F112" s="5">
        <f>SUM(F113:F118)</f>
        <v>0</v>
      </c>
      <c r="G112" s="5">
        <f>SUM(G113:G118)</f>
        <v>0</v>
      </c>
      <c r="H112" s="5">
        <f>SUM(H113:H118)</f>
        <v>0</v>
      </c>
      <c r="I112" s="5"/>
      <c r="J112" s="5"/>
      <c r="K112" s="5"/>
      <c r="L112" s="5"/>
      <c r="M112" s="5">
        <f>SUM(M113:M118)</f>
        <v>48</v>
      </c>
      <c r="N112" s="5">
        <f>'6-A. Proc. Sub-Annex'!P19</f>
        <v>0</v>
      </c>
      <c r="O112" s="5">
        <f>'6-A. Proc. Sub-Annex'!Q19</f>
        <v>0</v>
      </c>
      <c r="P112" s="5">
        <f>SUM(P113:P118)</f>
        <v>48</v>
      </c>
    </row>
    <row r="113" spans="1:16" ht="25.5">
      <c r="A113" s="3" t="str">
        <f>'6-A. Proc. Sub-Annex'!A20</f>
        <v>6.1.1.3.1</v>
      </c>
      <c r="B113" s="3" t="str">
        <f>'6-A. Proc. Sub-Annex'!B20</f>
        <v>B16.1.3.1</v>
      </c>
      <c r="C113" s="3" t="str">
        <f>'6-A. Proc. Sub-Annex'!C20</f>
        <v>NSV kits</v>
      </c>
      <c r="D113" s="5">
        <f>'6-A. Proc. Sub-Annex'!F20</f>
        <v>0</v>
      </c>
      <c r="E113" s="5">
        <f>'6-A. Proc. Sub-Annex'!G20</f>
        <v>0</v>
      </c>
      <c r="F113" s="5">
        <f>'6-A. Proc. Sub-Annex'!H20</f>
        <v>0</v>
      </c>
      <c r="G113" s="5">
        <f>'6-A. Proc. Sub-Annex'!I20</f>
        <v>0</v>
      </c>
      <c r="H113" s="5">
        <f>'6-A. Proc. Sub-Annex'!J20</f>
        <v>0</v>
      </c>
      <c r="I113" s="5">
        <f>'6-A. Proc. Sub-Annex'!K20</f>
        <v>0</v>
      </c>
      <c r="J113" s="5">
        <f>'6-A. Proc. Sub-Annex'!L20</f>
        <v>0</v>
      </c>
      <c r="K113" s="5">
        <f>'6-A. Proc. Sub-Annex'!M20</f>
        <v>0</v>
      </c>
      <c r="L113" s="5">
        <f>'6-A. Proc. Sub-Annex'!N20</f>
        <v>0</v>
      </c>
      <c r="M113" s="5">
        <f>'6-A. Proc. Sub-Annex'!O20</f>
        <v>0</v>
      </c>
      <c r="N113" s="5">
        <f>'6-A. Proc. Sub-Annex'!P20</f>
        <v>0</v>
      </c>
      <c r="O113" s="5" t="str">
        <f>'6-A. Proc. Sub-Annex'!Q20</f>
        <v>--</v>
      </c>
      <c r="P113" s="5">
        <f>'6-A. Proc. Sub-Annex'!R20</f>
        <v>0</v>
      </c>
    </row>
    <row r="114" spans="1:16" ht="25.5">
      <c r="A114" s="3" t="str">
        <f>'6-A. Proc. Sub-Annex'!A21</f>
        <v>6.1.1.3.2</v>
      </c>
      <c r="B114" s="3" t="str">
        <f>'6-A. Proc. Sub-Annex'!B21</f>
        <v>B16.1.3.2</v>
      </c>
      <c r="C114" s="3" t="str">
        <f>'6-A. Proc. Sub-Annex'!C21</f>
        <v>IUCD kits</v>
      </c>
      <c r="D114" s="5">
        <f>'6-A. Proc. Sub-Annex'!F21</f>
        <v>0</v>
      </c>
      <c r="E114" s="5">
        <f>'6-A. Proc. Sub-Annex'!G21</f>
        <v>0</v>
      </c>
      <c r="F114" s="5">
        <f>'6-A. Proc. Sub-Annex'!H21</f>
        <v>0</v>
      </c>
      <c r="G114" s="5">
        <f>'6-A. Proc. Sub-Annex'!I21</f>
        <v>0</v>
      </c>
      <c r="H114" s="5">
        <f>'6-A. Proc. Sub-Annex'!J21</f>
        <v>0</v>
      </c>
      <c r="I114" s="5">
        <f>'6-A. Proc. Sub-Annex'!K21</f>
        <v>0</v>
      </c>
      <c r="J114" s="5">
        <f>'6-A. Proc. Sub-Annex'!L21</f>
        <v>0</v>
      </c>
      <c r="K114" s="5">
        <f>'6-A. Proc. Sub-Annex'!M21</f>
        <v>0</v>
      </c>
      <c r="L114" s="5">
        <f>'6-A. Proc. Sub-Annex'!N21</f>
        <v>0</v>
      </c>
      <c r="M114" s="5">
        <f>'6-A. Proc. Sub-Annex'!O21</f>
        <v>0</v>
      </c>
      <c r="N114" s="5">
        <f>'6-A. Proc. Sub-Annex'!P21</f>
        <v>0</v>
      </c>
      <c r="O114" s="5" t="str">
        <f>'6-A. Proc. Sub-Annex'!Q21</f>
        <v>--</v>
      </c>
      <c r="P114" s="5">
        <f>'6-A. Proc. Sub-Annex'!R21</f>
        <v>0</v>
      </c>
    </row>
    <row r="115" spans="1:16" ht="25.5">
      <c r="A115" s="3" t="str">
        <f>'6-A. Proc. Sub-Annex'!A22</f>
        <v>6.1.1.3.3</v>
      </c>
      <c r="B115" s="3" t="str">
        <f>'6-A. Proc. Sub-Annex'!B22</f>
        <v>B16.1.3.3</v>
      </c>
      <c r="C115" s="3" t="str">
        <f>'6-A. Proc. Sub-Annex'!C22</f>
        <v>minilap kits</v>
      </c>
      <c r="D115" s="5">
        <f>'6-A. Proc. Sub-Annex'!F22</f>
        <v>0</v>
      </c>
      <c r="E115" s="5">
        <f>'6-A. Proc. Sub-Annex'!G22</f>
        <v>0</v>
      </c>
      <c r="F115" s="5">
        <f>'6-A. Proc. Sub-Annex'!H22</f>
        <v>0</v>
      </c>
      <c r="G115" s="5">
        <f>'6-A. Proc. Sub-Annex'!I22</f>
        <v>0</v>
      </c>
      <c r="H115" s="5">
        <f>'6-A. Proc. Sub-Annex'!J22</f>
        <v>0</v>
      </c>
      <c r="I115" s="5">
        <f>'6-A. Proc. Sub-Annex'!K22</f>
        <v>0</v>
      </c>
      <c r="J115" s="5">
        <f>'6-A. Proc. Sub-Annex'!L22</f>
        <v>0</v>
      </c>
      <c r="K115" s="5">
        <f>'6-A. Proc. Sub-Annex'!M22</f>
        <v>0</v>
      </c>
      <c r="L115" s="5">
        <f>'6-A. Proc. Sub-Annex'!N22</f>
        <v>0</v>
      </c>
      <c r="M115" s="5">
        <f>'6-A. Proc. Sub-Annex'!O22</f>
        <v>0</v>
      </c>
      <c r="N115" s="5">
        <f>'6-A. Proc. Sub-Annex'!P22</f>
        <v>0</v>
      </c>
      <c r="O115" s="5" t="str">
        <f>'6-A. Proc. Sub-Annex'!Q22</f>
        <v>--</v>
      </c>
      <c r="P115" s="5">
        <f>'6-A. Proc. Sub-Annex'!R22</f>
        <v>0</v>
      </c>
    </row>
    <row r="116" spans="1:16" ht="63.75">
      <c r="A116" s="3" t="str">
        <f>'6-A. Proc. Sub-Annex'!A23</f>
        <v>6.1.1.3.4</v>
      </c>
      <c r="B116" s="3" t="str">
        <f>'6-A. Proc. Sub-Annex'!B23</f>
        <v>B16.1.3.4</v>
      </c>
      <c r="C116" s="3" t="str">
        <f>'6-A. Proc. Sub-Annex'!C23</f>
        <v>laparoscopes</v>
      </c>
      <c r="D116" s="5">
        <f>'6-A. Proc. Sub-Annex'!F23</f>
        <v>0</v>
      </c>
      <c r="E116" s="5">
        <f>'6-A. Proc. Sub-Annex'!G23</f>
        <v>0</v>
      </c>
      <c r="F116" s="5">
        <f>'6-A. Proc. Sub-Annex'!H23</f>
        <v>0</v>
      </c>
      <c r="G116" s="5">
        <f>'6-A. Proc. Sub-Annex'!I23</f>
        <v>0</v>
      </c>
      <c r="H116" s="5">
        <f>'6-A. Proc. Sub-Annex'!J23</f>
        <v>0</v>
      </c>
      <c r="I116" s="5">
        <f>'6-A. Proc. Sub-Annex'!K23</f>
        <v>1</v>
      </c>
      <c r="J116" s="5">
        <f>'6-A. Proc. Sub-Annex'!L23</f>
        <v>800000</v>
      </c>
      <c r="K116" s="5">
        <f>'6-A. Proc. Sub-Annex'!M23</f>
        <v>8</v>
      </c>
      <c r="L116" s="5">
        <f>'6-A. Proc. Sub-Annex'!N23</f>
        <v>6</v>
      </c>
      <c r="M116" s="5">
        <f>'6-A. Proc. Sub-Annex'!O23</f>
        <v>48</v>
      </c>
      <c r="N116" s="5" t="str">
        <f>'6-A. Proc. Sub-Annex'!P23</f>
        <v xml:space="preserve">Funds proposed under this head for purchase laparoscopes for six district @ Rs. 800000 approx. With Insuffator   </v>
      </c>
      <c r="O116" s="5" t="str">
        <f>'6-A. Proc. Sub-Annex'!Q23</f>
        <v>Ongoing activity :Rs 48.00 lakhs is approved  to procure 6 laproscopes with insuffalator @Rs 800000/laparoscope</v>
      </c>
      <c r="P116" s="5">
        <f>'6-A. Proc. Sub-Annex'!R23</f>
        <v>48</v>
      </c>
    </row>
    <row r="117" spans="1:16" ht="25.5">
      <c r="A117" s="3" t="str">
        <f>'6-A. Proc. Sub-Annex'!A24</f>
        <v>6.1.1.3.5</v>
      </c>
      <c r="B117" s="3" t="str">
        <f>'6-A. Proc. Sub-Annex'!B24</f>
        <v>B16.1.3.5</v>
      </c>
      <c r="C117" s="3" t="str">
        <f>'6-A. Proc. Sub-Annex'!C24</f>
        <v>PPIUCD forceps</v>
      </c>
      <c r="D117" s="5">
        <f>'6-A. Proc. Sub-Annex'!F24</f>
        <v>0</v>
      </c>
      <c r="E117" s="5">
        <f>'6-A. Proc. Sub-Annex'!G24</f>
        <v>0</v>
      </c>
      <c r="F117" s="5">
        <f>'6-A. Proc. Sub-Annex'!H24</f>
        <v>0</v>
      </c>
      <c r="G117" s="5">
        <f>'6-A. Proc. Sub-Annex'!I24</f>
        <v>0</v>
      </c>
      <c r="H117" s="5">
        <f>'6-A. Proc. Sub-Annex'!J24</f>
        <v>0</v>
      </c>
      <c r="I117" s="5">
        <f>'6-A. Proc. Sub-Annex'!K24</f>
        <v>0</v>
      </c>
      <c r="J117" s="5">
        <f>'6-A. Proc. Sub-Annex'!L24</f>
        <v>0</v>
      </c>
      <c r="K117" s="5">
        <f>'6-A. Proc. Sub-Annex'!M24</f>
        <v>0</v>
      </c>
      <c r="L117" s="5">
        <f>'6-A. Proc. Sub-Annex'!N24</f>
        <v>0</v>
      </c>
      <c r="M117" s="5">
        <f>'6-A. Proc. Sub-Annex'!O24</f>
        <v>0</v>
      </c>
      <c r="N117" s="5">
        <f>'6-A. Proc. Sub-Annex'!P24</f>
        <v>0</v>
      </c>
      <c r="O117" s="5" t="str">
        <f>'6-A. Proc. Sub-Annex'!Q24</f>
        <v>--</v>
      </c>
      <c r="P117" s="5">
        <f>'6-A. Proc. Sub-Annex'!R24</f>
        <v>0</v>
      </c>
    </row>
    <row r="118" spans="1:16" ht="25.5">
      <c r="A118" s="3" t="str">
        <f>'6-A. Proc. Sub-Annex'!A25</f>
        <v>6.1.1.3.6</v>
      </c>
      <c r="B118" s="3" t="str">
        <f>'6-A. Proc. Sub-Annex'!B25</f>
        <v>B16.1.3.6</v>
      </c>
      <c r="C118" s="3" t="str">
        <f>'6-A. Proc. Sub-Annex'!C25</f>
        <v>Any other equipment (please specify)</v>
      </c>
      <c r="D118" s="5">
        <f>'6-A. Proc. Sub-Annex'!F25</f>
        <v>0</v>
      </c>
      <c r="E118" s="5">
        <f>'6-A. Proc. Sub-Annex'!G25</f>
        <v>0</v>
      </c>
      <c r="F118" s="5">
        <f>'6-A. Proc. Sub-Annex'!H25</f>
        <v>0</v>
      </c>
      <c r="G118" s="5">
        <f>'6-A. Proc. Sub-Annex'!I25</f>
        <v>0</v>
      </c>
      <c r="H118" s="5">
        <f>'6-A. Proc. Sub-Annex'!J25</f>
        <v>0</v>
      </c>
      <c r="I118" s="5">
        <f>'6-A. Proc. Sub-Annex'!K25</f>
        <v>0</v>
      </c>
      <c r="J118" s="5">
        <f>'6-A. Proc. Sub-Annex'!L25</f>
        <v>0</v>
      </c>
      <c r="K118" s="5">
        <f>'6-A. Proc. Sub-Annex'!M25</f>
        <v>0</v>
      </c>
      <c r="L118" s="5">
        <f>'6-A. Proc. Sub-Annex'!N25</f>
        <v>0</v>
      </c>
      <c r="M118" s="5">
        <f>'6-A. Proc. Sub-Annex'!O25</f>
        <v>0</v>
      </c>
      <c r="N118" s="5">
        <f>'6-A. Proc. Sub-Annex'!P25</f>
        <v>0</v>
      </c>
      <c r="O118" s="5" t="str">
        <f>'6-A. Proc. Sub-Annex'!Q25</f>
        <v>--</v>
      </c>
      <c r="P118" s="5">
        <f>'6-A. Proc. Sub-Annex'!R25</f>
        <v>0</v>
      </c>
    </row>
    <row r="119" spans="1:16" ht="25.5">
      <c r="A119" s="3" t="str">
        <f>'6-A. Proc. Sub-Annex'!A26</f>
        <v>6.1.1.4</v>
      </c>
      <c r="B119" s="3" t="str">
        <f>'6-A. Proc. Sub-Annex'!B26</f>
        <v>B16.1.6</v>
      </c>
      <c r="C119" s="3" t="str">
        <f>'6-A. Proc. Sub-Annex'!C26</f>
        <v>Procurement of bio-medical and other equipment:  AH</v>
      </c>
      <c r="D119" s="5"/>
      <c r="E119" s="5"/>
      <c r="F119" s="5">
        <f>SUM(F120:F121)</f>
        <v>0</v>
      </c>
      <c r="G119" s="5">
        <f>SUM(G120:G121)</f>
        <v>0</v>
      </c>
      <c r="H119" s="5">
        <f>SUM(H120:H121)</f>
        <v>0</v>
      </c>
      <c r="I119" s="5"/>
      <c r="J119" s="5"/>
      <c r="K119" s="5"/>
      <c r="L119" s="5"/>
      <c r="M119" s="5">
        <f>SUM(M120:M121)</f>
        <v>0</v>
      </c>
      <c r="N119" s="5">
        <f>'6-A. Proc. Sub-Annex'!P26</f>
        <v>0</v>
      </c>
      <c r="O119" s="5">
        <f>'6-A. Proc. Sub-Annex'!Q26</f>
        <v>0</v>
      </c>
      <c r="P119" s="5">
        <f>SUM(P120:P121)</f>
        <v>0</v>
      </c>
    </row>
    <row r="120" spans="1:16" ht="25.5">
      <c r="A120" s="3" t="str">
        <f>'6-A. Proc. Sub-Annex'!A27</f>
        <v>6.1.1.4.1</v>
      </c>
      <c r="B120" s="3" t="str">
        <f>'6-A. Proc. Sub-Annex'!B27</f>
        <v>B16.1.6.1</v>
      </c>
      <c r="C120" s="3" t="str">
        <f>'6-A. Proc. Sub-Annex'!C27</f>
        <v>Equipment for AFHCs</v>
      </c>
      <c r="D120" s="5">
        <f>'6-A. Proc. Sub-Annex'!F27</f>
        <v>0</v>
      </c>
      <c r="E120" s="5">
        <f>'6-A. Proc. Sub-Annex'!G27</f>
        <v>0</v>
      </c>
      <c r="F120" s="5">
        <f>'6-A. Proc. Sub-Annex'!H27</f>
        <v>0</v>
      </c>
      <c r="G120" s="5">
        <f>'6-A. Proc. Sub-Annex'!I27</f>
        <v>0</v>
      </c>
      <c r="H120" s="5">
        <f>'6-A. Proc. Sub-Annex'!J27</f>
        <v>0</v>
      </c>
      <c r="I120" s="5">
        <f>'6-A. Proc. Sub-Annex'!K27</f>
        <v>0</v>
      </c>
      <c r="J120" s="5">
        <f>'6-A. Proc. Sub-Annex'!L27</f>
        <v>0</v>
      </c>
      <c r="K120" s="5">
        <f>'6-A. Proc. Sub-Annex'!M27</f>
        <v>0</v>
      </c>
      <c r="L120" s="5">
        <f>'6-A. Proc. Sub-Annex'!N27</f>
        <v>0</v>
      </c>
      <c r="M120" s="5">
        <f>'6-A. Proc. Sub-Annex'!O27</f>
        <v>0</v>
      </c>
      <c r="N120" s="5">
        <f>'6-A. Proc. Sub-Annex'!P27</f>
        <v>0</v>
      </c>
      <c r="O120" s="5" t="str">
        <f>'6-A. Proc. Sub-Annex'!Q27</f>
        <v>-</v>
      </c>
      <c r="P120" s="5">
        <f>'6-A. Proc. Sub-Annex'!R27</f>
        <v>0</v>
      </c>
    </row>
    <row r="121" spans="1:16" ht="25.5">
      <c r="A121" s="3" t="str">
        <f>'6-A. Proc. Sub-Annex'!A28</f>
        <v>6.1.1.4.2</v>
      </c>
      <c r="B121" s="3" t="str">
        <f>'6-A. Proc. Sub-Annex'!B28</f>
        <v>B16.1.6.2</v>
      </c>
      <c r="C121" s="3" t="str">
        <f>'6-A. Proc. Sub-Annex'!C28</f>
        <v>Any other equipment (please specify)</v>
      </c>
      <c r="D121" s="5">
        <f>'6-A. Proc. Sub-Annex'!F28</f>
        <v>0</v>
      </c>
      <c r="E121" s="5">
        <f>'6-A. Proc. Sub-Annex'!G28</f>
        <v>0</v>
      </c>
      <c r="F121" s="5">
        <f>'6-A. Proc. Sub-Annex'!H28</f>
        <v>0</v>
      </c>
      <c r="G121" s="5">
        <f>'6-A. Proc. Sub-Annex'!I28</f>
        <v>0</v>
      </c>
      <c r="H121" s="5">
        <f>'6-A. Proc. Sub-Annex'!J28</f>
        <v>0</v>
      </c>
      <c r="I121" s="5">
        <f>'6-A. Proc. Sub-Annex'!K28</f>
        <v>0</v>
      </c>
      <c r="J121" s="5">
        <f>'6-A. Proc. Sub-Annex'!L28</f>
        <v>0</v>
      </c>
      <c r="K121" s="5">
        <f>'6-A. Proc. Sub-Annex'!M28</f>
        <v>0</v>
      </c>
      <c r="L121" s="5">
        <f>'6-A. Proc. Sub-Annex'!N28</f>
        <v>0</v>
      </c>
      <c r="M121" s="5">
        <f>'6-A. Proc. Sub-Annex'!O28</f>
        <v>0</v>
      </c>
      <c r="N121" s="5">
        <f>'6-A. Proc. Sub-Annex'!P28</f>
        <v>0</v>
      </c>
      <c r="O121" s="5" t="str">
        <f>'6-A. Proc. Sub-Annex'!Q28</f>
        <v>-</v>
      </c>
      <c r="P121" s="5">
        <f>'6-A. Proc. Sub-Annex'!R28</f>
        <v>0</v>
      </c>
    </row>
    <row r="122" spans="1:16" ht="25.5">
      <c r="A122" s="3" t="str">
        <f>'6-A. Proc. Sub-Annex'!A29</f>
        <v>6.1.1.5</v>
      </c>
      <c r="B122" s="3" t="str">
        <f>'6-A. Proc. Sub-Annex'!B29</f>
        <v>B16.1.6.3</v>
      </c>
      <c r="C122" s="3" t="str">
        <f>'6-A. Proc. Sub-Annex'!C29</f>
        <v>Procurement of bio-medical and other equipment:  RBSK</v>
      </c>
      <c r="D122" s="5"/>
      <c r="E122" s="5"/>
      <c r="F122" s="5">
        <f>SUM(F123:F125)</f>
        <v>54.5</v>
      </c>
      <c r="G122" s="5">
        <f>SUM(G123:G125)</f>
        <v>0.32</v>
      </c>
      <c r="H122" s="5">
        <f>SUM(H123:H125)</f>
        <v>54.18</v>
      </c>
      <c r="I122" s="5"/>
      <c r="J122" s="5"/>
      <c r="K122" s="5"/>
      <c r="L122" s="5"/>
      <c r="M122" s="5">
        <f>SUM(M123:M125)</f>
        <v>39.5</v>
      </c>
      <c r="N122" s="5">
        <f>'6-A. Proc. Sub-Annex'!P29</f>
        <v>0</v>
      </c>
      <c r="O122" s="5">
        <f>'6-A. Proc. Sub-Annex'!Q29</f>
        <v>0</v>
      </c>
      <c r="P122" s="5">
        <f>SUM(P123:P125)</f>
        <v>39.5</v>
      </c>
    </row>
    <row r="123" spans="1:16" ht="114.75">
      <c r="A123" s="3" t="str">
        <f>'6-A. Proc. Sub-Annex'!A30</f>
        <v>6.1.1.5.1</v>
      </c>
      <c r="B123" s="3" t="str">
        <f>'6-A. Proc. Sub-Annex'!B30</f>
        <v>B16.1.6.3.1</v>
      </c>
      <c r="C123" s="3" t="str">
        <f>'6-A. Proc. Sub-Annex'!C30</f>
        <v xml:space="preserve">Equipment for Mobile health teams </v>
      </c>
      <c r="D123" s="5">
        <f>'6-A. Proc. Sub-Annex'!F30</f>
        <v>150</v>
      </c>
      <c r="E123" s="5">
        <f>'6-A. Proc. Sub-Annex'!G30</f>
        <v>0</v>
      </c>
      <c r="F123" s="5">
        <f>'6-A. Proc. Sub-Annex'!H30</f>
        <v>4.5</v>
      </c>
      <c r="G123" s="5">
        <f>'6-A. Proc. Sub-Annex'!I30</f>
        <v>0.32</v>
      </c>
      <c r="H123" s="5">
        <f>'6-A. Proc. Sub-Annex'!J30</f>
        <v>4.18</v>
      </c>
      <c r="I123" s="5">
        <f>'6-A. Proc. Sub-Annex'!K30</f>
        <v>1</v>
      </c>
      <c r="J123" s="5">
        <f>'6-A. Proc. Sub-Annex'!L30</f>
        <v>3000</v>
      </c>
      <c r="K123" s="5">
        <f>'6-A. Proc. Sub-Annex'!M30</f>
        <v>0.03</v>
      </c>
      <c r="L123" s="5">
        <f>'6-A. Proc. Sub-Annex'!N30</f>
        <v>150</v>
      </c>
      <c r="M123" s="5">
        <f>'6-A. Proc. Sub-Annex'!O30</f>
        <v>4.5</v>
      </c>
      <c r="N123" s="5" t="str">
        <f>'6-A. Proc. Sub-Annex'!P30</f>
        <v xml:space="preserve">Fund proposed for procurement of job aids screening  for MHTs </v>
      </c>
      <c r="O123" s="5" t="str">
        <f>'6-A. Proc. Sub-Annex'!Q30</f>
        <v xml:space="preserve">Recommended for approval of Rs.4.50 lakhs for procurement of equipments for RBSK Mobile Health Teams as per RBSK Job Aids for screening @ Rs 3000 per set for 150 teams. Expenditure is as per actuals. Equipments for RBSK mobile health teams to be as per RBSK Job Aids. </v>
      </c>
      <c r="P123" s="5">
        <f>'6-A. Proc. Sub-Annex'!R30</f>
        <v>4.5</v>
      </c>
    </row>
    <row r="124" spans="1:16" ht="293.25">
      <c r="A124" s="3" t="str">
        <f>'6-A. Proc. Sub-Annex'!A31</f>
        <v>6.1.1.5.2</v>
      </c>
      <c r="B124" s="3" t="str">
        <f>'6-A. Proc. Sub-Annex'!B31</f>
        <v>B16.1.6.3.2</v>
      </c>
      <c r="C124" s="3" t="str">
        <f>'6-A. Proc. Sub-Annex'!C31</f>
        <v xml:space="preserve">Equipment for DEIC </v>
      </c>
      <c r="D124" s="5">
        <f>'6-A. Proc. Sub-Annex'!F31</f>
        <v>5</v>
      </c>
      <c r="E124" s="5">
        <f>'6-A. Proc. Sub-Annex'!G31</f>
        <v>0</v>
      </c>
      <c r="F124" s="5">
        <f>'6-A. Proc. Sub-Annex'!H31</f>
        <v>50</v>
      </c>
      <c r="G124" s="5">
        <f>'6-A. Proc. Sub-Annex'!I31</f>
        <v>0</v>
      </c>
      <c r="H124" s="5">
        <f>'6-A. Proc. Sub-Annex'!J31</f>
        <v>50</v>
      </c>
      <c r="I124" s="5">
        <f>'6-A. Proc. Sub-Annex'!K31</f>
        <v>0</v>
      </c>
      <c r="J124" s="5">
        <f>'6-A. Proc. Sub-Annex'!L31</f>
        <v>3500000</v>
      </c>
      <c r="K124" s="5">
        <f>'6-A. Proc. Sub-Annex'!M31</f>
        <v>35</v>
      </c>
      <c r="L124" s="5">
        <f>'6-A. Proc. Sub-Annex'!N31</f>
        <v>1</v>
      </c>
      <c r="M124" s="5">
        <f>'6-A. Proc. Sub-Annex'!O31</f>
        <v>35</v>
      </c>
      <c r="N124" s="5" t="str">
        <f>'6-A. Proc. Sub-Annex'!P31</f>
        <v xml:space="preserve">The State is in the process of establishment of 8 DEICs in the state on a scaled down version as per the approval granted by Govt. of India in ROP 2020-21. The state now plans to establish a DEIC in RH Klllu as per Govt. of India guidelines in a PPP mode and besides proposing for equipment, the state has built in adequate HR for the same as well. Reference to the query raised by RBSK division, MoHFW vide email dated 16.03.2021 the proposal for equipment has been revised to Rs. 10 lac to Rs. 35 lac. The gap analysis is being sent by the state RBSK division to MOHFW directly. </v>
      </c>
      <c r="O124" s="5" t="str">
        <f>'6-A. Proc. Sub-Annex'!Q31</f>
        <v>As proposed, Rs 35 lakhs is recommended for approval (Rs. 10 Lakhs for already approved 5 DEICs and Rs.25 lakhs for Kullu DEIC)  as per discussion held in NPCC meeting.The State to ensure that essential equipments as per RBSK Equipment Operational Guidelines is made available in the approved DEICs, where HR would be positioned  -  namely IGMC,Shimla; Dr. RPGMC Tanda; Pt. JLNGMC, Chamba; Dr.RKGMC, Hamirpur; Sh.LBSGMC, Nerchowk Mandi. The State to ensure to make DEICs functional as per RBSK Guidelines. Expenditure will be as per actuals and according to RBSK DEIC essential Guidelines.</v>
      </c>
      <c r="P124" s="5">
        <f>'6-A. Proc. Sub-Annex'!R31</f>
        <v>35</v>
      </c>
    </row>
    <row r="125" spans="1:16" ht="25.5">
      <c r="A125" s="3" t="str">
        <f>'6-A. Proc. Sub-Annex'!A34</f>
        <v>6.1.1.5.3</v>
      </c>
      <c r="B125" s="3">
        <f>'6-A. Proc. Sub-Annex'!B34</f>
        <v>0</v>
      </c>
      <c r="C125" s="3" t="str">
        <f>'6-A. Proc. Sub-Annex'!C34</f>
        <v>Any other equipment (please specify)</v>
      </c>
      <c r="D125" s="5">
        <f>'6-A. Proc. Sub-Annex'!F34</f>
        <v>0</v>
      </c>
      <c r="E125" s="5">
        <f>'6-A. Proc. Sub-Annex'!G34</f>
        <v>0</v>
      </c>
      <c r="F125" s="5">
        <f>'6-A. Proc. Sub-Annex'!H34</f>
        <v>0</v>
      </c>
      <c r="G125" s="5">
        <f>'6-A. Proc. Sub-Annex'!I34</f>
        <v>0</v>
      </c>
      <c r="H125" s="5">
        <f>'6-A. Proc. Sub-Annex'!J34</f>
        <v>0</v>
      </c>
      <c r="I125" s="5">
        <f>'6-A. Proc. Sub-Annex'!K34</f>
        <v>0</v>
      </c>
      <c r="J125" s="5">
        <f>'6-A. Proc. Sub-Annex'!L34</f>
        <v>0</v>
      </c>
      <c r="K125" s="5">
        <f>'6-A. Proc. Sub-Annex'!M34</f>
        <v>0</v>
      </c>
      <c r="L125" s="5">
        <f>'6-A. Proc. Sub-Annex'!N34</f>
        <v>0</v>
      </c>
      <c r="M125" s="5">
        <f>'6-A. Proc. Sub-Annex'!O34</f>
        <v>0</v>
      </c>
      <c r="N125" s="5">
        <f>'6-A. Proc. Sub-Annex'!P34</f>
        <v>0</v>
      </c>
      <c r="O125" s="5" t="str">
        <f>'6-A. Proc. Sub-Annex'!Q34</f>
        <v>-</v>
      </c>
      <c r="P125" s="5">
        <f>'6-A. Proc. Sub-Annex'!R34</f>
        <v>0</v>
      </c>
    </row>
    <row r="126" spans="1:16" ht="25.5">
      <c r="A126" s="3" t="str">
        <f>'6-A. Proc. Sub-Annex'!A38</f>
        <v>6.1.1.6</v>
      </c>
      <c r="B126" s="3">
        <f>'6-A. Proc. Sub-Annex'!B38</f>
        <v>0</v>
      </c>
      <c r="C126" s="3" t="str">
        <f>'6-A. Proc. Sub-Annex'!C38</f>
        <v>Procurement of bio-medical and other equipment: NIDDCP</v>
      </c>
      <c r="D126" s="5"/>
      <c r="E126" s="5"/>
      <c r="F126" s="5">
        <f>SUM(F127:F128)</f>
        <v>0</v>
      </c>
      <c r="G126" s="5">
        <f>SUM(G127:G128)</f>
        <v>0</v>
      </c>
      <c r="H126" s="5">
        <f>SUM(H127:H128)</f>
        <v>0</v>
      </c>
      <c r="I126" s="5"/>
      <c r="J126" s="5"/>
      <c r="K126" s="5"/>
      <c r="L126" s="5"/>
      <c r="M126" s="5">
        <f>SUM(M127:M128)</f>
        <v>0</v>
      </c>
      <c r="N126" s="5">
        <f>'6-A. Proc. Sub-Annex'!P38</f>
        <v>0</v>
      </c>
      <c r="O126" s="5">
        <f>'6-A. Proc. Sub-Annex'!Q38</f>
        <v>0</v>
      </c>
      <c r="P126" s="5">
        <f>SUM(P127:P128)</f>
        <v>0</v>
      </c>
    </row>
    <row r="127" spans="1:16" ht="127.5">
      <c r="A127" s="3" t="str">
        <f>'6-A. Proc. Sub-Annex'!A39</f>
        <v>6.1.1.6.1</v>
      </c>
      <c r="B127" s="3">
        <f>'6-A. Proc. Sub-Annex'!B39</f>
        <v>0</v>
      </c>
      <c r="C127" s="3" t="str">
        <f>'6-A. Proc. Sub-Annex'!C39</f>
        <v>Procurement of lab equipment</v>
      </c>
      <c r="D127" s="5">
        <f>'6-A. Proc. Sub-Annex'!F39</f>
        <v>0</v>
      </c>
      <c r="E127" s="5">
        <f>'6-A. Proc. Sub-Annex'!G39</f>
        <v>0</v>
      </c>
      <c r="F127" s="5">
        <f>'6-A. Proc. Sub-Annex'!H39</f>
        <v>0</v>
      </c>
      <c r="G127" s="5">
        <f>'6-A. Proc. Sub-Annex'!I39</f>
        <v>0</v>
      </c>
      <c r="H127" s="5">
        <f>'6-A. Proc. Sub-Annex'!J39</f>
        <v>0</v>
      </c>
      <c r="I127" s="5">
        <f>'6-A. Proc. Sub-Annex'!K39</f>
        <v>0</v>
      </c>
      <c r="J127" s="5">
        <f>'6-A. Proc. Sub-Annex'!L39</f>
        <v>0</v>
      </c>
      <c r="K127" s="5">
        <f>'6-A. Proc. Sub-Annex'!M39</f>
        <v>0</v>
      </c>
      <c r="L127" s="5">
        <f>'6-A. Proc. Sub-Annex'!N39</f>
        <v>0</v>
      </c>
      <c r="M127" s="5">
        <f>'6-A. Proc. Sub-Annex'!O39</f>
        <v>0</v>
      </c>
      <c r="N127" s="5" t="str">
        <f>'6-A. Proc. Sub-Annex'!P39</f>
        <v>Funds proposed by State for State IDD lab inder Fmr 10.4.1 have been considered here as the proposal is for procurement of lab equipment to replace existing functonal lab equipment in the State IDD Monitoring Lab at Kanga District.</v>
      </c>
      <c r="O127" s="5" t="str">
        <f>'6-A. Proc. Sub-Annex'!Q39</f>
        <v>Not recommended. The State had already received Rs. 4.00 lakhs for procurement of equipment for State IDD lab at Kangra in RoP 2020-21.</v>
      </c>
      <c r="P127" s="5">
        <f>'6-A. Proc. Sub-Annex'!R39</f>
        <v>0</v>
      </c>
    </row>
    <row r="128" spans="1:16" ht="25.5">
      <c r="A128" s="3" t="str">
        <f>'6-A. Proc. Sub-Annex'!A40</f>
        <v>6.1.1.6.2</v>
      </c>
      <c r="B128" s="3">
        <f>'6-A. Proc. Sub-Annex'!B40</f>
        <v>0</v>
      </c>
      <c r="C128" s="3" t="str">
        <f>'6-A. Proc. Sub-Annex'!C40</f>
        <v>Any other equipment (please specify)</v>
      </c>
      <c r="D128" s="5">
        <f>'6-A. Proc. Sub-Annex'!F40</f>
        <v>0</v>
      </c>
      <c r="E128" s="5">
        <f>'6-A. Proc. Sub-Annex'!G40</f>
        <v>0</v>
      </c>
      <c r="F128" s="5">
        <f>'6-A. Proc. Sub-Annex'!H40</f>
        <v>0</v>
      </c>
      <c r="G128" s="5">
        <f>'6-A. Proc. Sub-Annex'!I40</f>
        <v>0</v>
      </c>
      <c r="H128" s="5">
        <f>'6-A. Proc. Sub-Annex'!J40</f>
        <v>0</v>
      </c>
      <c r="I128" s="5">
        <f>'6-A. Proc. Sub-Annex'!K40</f>
        <v>0</v>
      </c>
      <c r="J128" s="5">
        <f>'6-A. Proc. Sub-Annex'!L40</f>
        <v>0</v>
      </c>
      <c r="K128" s="5">
        <f>'6-A. Proc. Sub-Annex'!M40</f>
        <v>0</v>
      </c>
      <c r="L128" s="5">
        <f>'6-A. Proc. Sub-Annex'!N40</f>
        <v>0</v>
      </c>
      <c r="M128" s="5">
        <f>'6-A. Proc. Sub-Annex'!O40</f>
        <v>0</v>
      </c>
      <c r="N128" s="5">
        <f>'6-A. Proc. Sub-Annex'!P40</f>
        <v>0</v>
      </c>
      <c r="O128" s="5">
        <f>'6-A. Proc. Sub-Annex'!Q40</f>
        <v>0</v>
      </c>
      <c r="P128" s="5">
        <f>'6-A. Proc. Sub-Annex'!R40</f>
        <v>0</v>
      </c>
    </row>
    <row r="129" spans="1:16" ht="25.5">
      <c r="A129" s="3" t="str">
        <f>'6-A. Proc. Sub-Annex'!A42</f>
        <v>6.1.1.7</v>
      </c>
      <c r="B129" s="3" t="str">
        <f>'6-A. Proc. Sub-Annex'!B42</f>
        <v>B16.1.7</v>
      </c>
      <c r="C129" s="3" t="str">
        <f>'6-A. Proc. Sub-Annex'!C42</f>
        <v xml:space="preserve">Procurement of bio-medical and other equipment: Training </v>
      </c>
      <c r="D129" s="5"/>
      <c r="E129" s="5"/>
      <c r="F129" s="5">
        <f>SUM(F130:F134)</f>
        <v>0</v>
      </c>
      <c r="G129" s="5">
        <f>SUM(G130:G134)</f>
        <v>0</v>
      </c>
      <c r="H129" s="5">
        <f>SUM(H130:H134)</f>
        <v>0</v>
      </c>
      <c r="I129" s="5"/>
      <c r="J129" s="5"/>
      <c r="K129" s="5"/>
      <c r="L129" s="5"/>
      <c r="M129" s="5">
        <f>SUM(M130:M134)</f>
        <v>0</v>
      </c>
      <c r="N129" s="5">
        <f>'6-A. Proc. Sub-Annex'!P42</f>
        <v>0</v>
      </c>
      <c r="O129" s="5">
        <f>'6-A. Proc. Sub-Annex'!Q42</f>
        <v>0</v>
      </c>
      <c r="P129" s="5">
        <f>SUM(P130:P134)</f>
        <v>0</v>
      </c>
    </row>
    <row r="130" spans="1:16" ht="25.5">
      <c r="A130" s="3" t="str">
        <f>'6-A. Proc. Sub-Annex'!A43</f>
        <v>6.1.1.7.1</v>
      </c>
      <c r="B130" s="3" t="str">
        <f>'6-A. Proc. Sub-Annex'!B43</f>
        <v>B3.3</v>
      </c>
      <c r="C130" s="3" t="str">
        <f>'6-A. Proc. Sub-Annex'!C43</f>
        <v>Equipment for Rollout of B.Sc. (Community Health)</v>
      </c>
      <c r="D130" s="5">
        <f>'6-A. Proc. Sub-Annex'!F43</f>
        <v>0</v>
      </c>
      <c r="E130" s="5">
        <f>'6-A. Proc. Sub-Annex'!G43</f>
        <v>0</v>
      </c>
      <c r="F130" s="5">
        <f>'6-A. Proc. Sub-Annex'!H43</f>
        <v>0</v>
      </c>
      <c r="G130" s="5">
        <f>'6-A. Proc. Sub-Annex'!I43</f>
        <v>0</v>
      </c>
      <c r="H130" s="5">
        <f>'6-A. Proc. Sub-Annex'!J43</f>
        <v>0</v>
      </c>
      <c r="I130" s="5">
        <f>'6-A. Proc. Sub-Annex'!K43</f>
        <v>0</v>
      </c>
      <c r="J130" s="5">
        <f>'6-A. Proc. Sub-Annex'!L43</f>
        <v>0</v>
      </c>
      <c r="K130" s="5">
        <f>'6-A. Proc. Sub-Annex'!M43</f>
        <v>0</v>
      </c>
      <c r="L130" s="5">
        <f>'6-A. Proc. Sub-Annex'!N43</f>
        <v>0</v>
      </c>
      <c r="M130" s="5">
        <f>'6-A. Proc. Sub-Annex'!O43</f>
        <v>0</v>
      </c>
      <c r="N130" s="5">
        <f>'6-A. Proc. Sub-Annex'!P43</f>
        <v>0</v>
      </c>
      <c r="O130" s="5">
        <f>'6-A. Proc. Sub-Annex'!Q43</f>
        <v>0</v>
      </c>
      <c r="P130" s="5">
        <f>'6-A. Proc. Sub-Annex'!R43</f>
        <v>0</v>
      </c>
    </row>
    <row r="131" spans="1:16" ht="25.5">
      <c r="A131" s="3" t="str">
        <f>'6-A. Proc. Sub-Annex'!A44</f>
        <v>6.1.1.7.2</v>
      </c>
      <c r="B131" s="3" t="str">
        <f>'6-A. Proc. Sub-Annex'!B44</f>
        <v>B16.1.7</v>
      </c>
      <c r="C131" s="3" t="str">
        <f>'6-A. Proc. Sub-Annex'!C44</f>
        <v xml:space="preserve">Equipment and mannequin </v>
      </c>
      <c r="D131" s="5">
        <f>'6-A. Proc. Sub-Annex'!F44</f>
        <v>0</v>
      </c>
      <c r="E131" s="5">
        <f>'6-A. Proc. Sub-Annex'!G44</f>
        <v>0</v>
      </c>
      <c r="F131" s="5">
        <f>'6-A. Proc. Sub-Annex'!H44</f>
        <v>0</v>
      </c>
      <c r="G131" s="5">
        <f>'6-A. Proc. Sub-Annex'!I44</f>
        <v>0</v>
      </c>
      <c r="H131" s="5">
        <f>'6-A. Proc. Sub-Annex'!J44</f>
        <v>0</v>
      </c>
      <c r="I131" s="5">
        <f>'6-A. Proc. Sub-Annex'!K44</f>
        <v>0</v>
      </c>
      <c r="J131" s="5">
        <f>'6-A. Proc. Sub-Annex'!L44</f>
        <v>0</v>
      </c>
      <c r="K131" s="5">
        <f>'6-A. Proc. Sub-Annex'!M44</f>
        <v>0</v>
      </c>
      <c r="L131" s="5">
        <f>'6-A. Proc. Sub-Annex'!N44</f>
        <v>0</v>
      </c>
      <c r="M131" s="5">
        <f>'6-A. Proc. Sub-Annex'!O44</f>
        <v>0</v>
      </c>
      <c r="N131" s="5">
        <f>'6-A. Proc. Sub-Annex'!P44</f>
        <v>0</v>
      </c>
      <c r="O131" s="5">
        <f>'6-A. Proc. Sub-Annex'!Q44</f>
        <v>0</v>
      </c>
      <c r="P131" s="5">
        <f>'6-A. Proc. Sub-Annex'!R44</f>
        <v>0</v>
      </c>
    </row>
    <row r="132" spans="1:16" ht="25.5">
      <c r="A132" s="3" t="str">
        <f>'6-A. Proc. Sub-Annex'!A11</f>
        <v>6.1.1.7.3</v>
      </c>
      <c r="B132" s="3" t="str">
        <f>'6-A. Proc. Sub-Annex'!B11</f>
        <v>B16.1.7/ A.9.1.2.2</v>
      </c>
      <c r="C132" s="3" t="str">
        <f>'6-A. Proc. Sub-Annex'!C11</f>
        <v>Models and Equipment for DAKSHATA training</v>
      </c>
      <c r="D132" s="5">
        <f>'6-A. Proc. Sub-Annex'!F11</f>
        <v>0</v>
      </c>
      <c r="E132" s="5">
        <f>'6-A. Proc. Sub-Annex'!G11</f>
        <v>0</v>
      </c>
      <c r="F132" s="5">
        <f>'6-A. Proc. Sub-Annex'!H11</f>
        <v>0</v>
      </c>
      <c r="G132" s="5">
        <f>'6-A. Proc. Sub-Annex'!I11</f>
        <v>0</v>
      </c>
      <c r="H132" s="5">
        <f>'6-A. Proc. Sub-Annex'!J11</f>
        <v>0</v>
      </c>
      <c r="I132" s="5">
        <f>'6-A. Proc. Sub-Annex'!K11</f>
        <v>0</v>
      </c>
      <c r="J132" s="5">
        <f>'6-A. Proc. Sub-Annex'!L11</f>
        <v>0</v>
      </c>
      <c r="K132" s="5">
        <f>'6-A. Proc. Sub-Annex'!M11</f>
        <v>0</v>
      </c>
      <c r="L132" s="5">
        <f>'6-A. Proc. Sub-Annex'!N11</f>
        <v>0</v>
      </c>
      <c r="M132" s="5">
        <f>'6-A. Proc. Sub-Annex'!O11</f>
        <v>0</v>
      </c>
      <c r="N132" s="5">
        <f>'6-A. Proc. Sub-Annex'!P11</f>
        <v>0</v>
      </c>
      <c r="O132" s="5" t="str">
        <f>'6-A. Proc. Sub-Annex'!Q11</f>
        <v>-</v>
      </c>
      <c r="P132" s="5">
        <f>'6-A. Proc. Sub-Annex'!R11</f>
        <v>0</v>
      </c>
    </row>
    <row r="133" spans="1:16" ht="25.5">
      <c r="A133" s="3" t="str">
        <f>'6-A. Proc. Sub-Annex'!A45</f>
        <v>6.1.1.7.4</v>
      </c>
      <c r="B133" s="3" t="str">
        <f>'6-A. Proc. Sub-Annex'!B45</f>
        <v>B16.1.7/ A.9.10.1</v>
      </c>
      <c r="C133" s="3" t="str">
        <f>'6-A. Proc. Sub-Annex'!C45</f>
        <v>Equipment for nursing schools/institutions</v>
      </c>
      <c r="D133" s="5">
        <f>'6-A. Proc. Sub-Annex'!F45</f>
        <v>0</v>
      </c>
      <c r="E133" s="5">
        <f>'6-A. Proc. Sub-Annex'!G45</f>
        <v>0</v>
      </c>
      <c r="F133" s="5">
        <f>'6-A. Proc. Sub-Annex'!H45</f>
        <v>0</v>
      </c>
      <c r="G133" s="5">
        <f>'6-A. Proc. Sub-Annex'!I45</f>
        <v>0</v>
      </c>
      <c r="H133" s="5">
        <f>'6-A. Proc. Sub-Annex'!J45</f>
        <v>0</v>
      </c>
      <c r="I133" s="5">
        <f>'6-A. Proc. Sub-Annex'!K45</f>
        <v>0</v>
      </c>
      <c r="J133" s="5">
        <f>'6-A. Proc. Sub-Annex'!L45</f>
        <v>0</v>
      </c>
      <c r="K133" s="5">
        <f>'6-A. Proc. Sub-Annex'!M45</f>
        <v>0</v>
      </c>
      <c r="L133" s="5">
        <f>'6-A. Proc. Sub-Annex'!N45</f>
        <v>0</v>
      </c>
      <c r="M133" s="5">
        <f>'6-A. Proc. Sub-Annex'!O45</f>
        <v>0</v>
      </c>
      <c r="N133" s="5">
        <f>'6-A. Proc. Sub-Annex'!P45</f>
        <v>0</v>
      </c>
      <c r="O133" s="5">
        <f>'6-A. Proc. Sub-Annex'!Q45</f>
        <v>0</v>
      </c>
      <c r="P133" s="5">
        <f>'6-A. Proc. Sub-Annex'!R45</f>
        <v>0</v>
      </c>
    </row>
    <row r="134" spans="1:16" ht="25.5">
      <c r="A134" s="3" t="str">
        <f>'6-A. Proc. Sub-Annex'!A46</f>
        <v>6.1.1.7.5</v>
      </c>
      <c r="B134" s="3">
        <f>'6-A. Proc. Sub-Annex'!B46</f>
        <v>0</v>
      </c>
      <c r="C134" s="3" t="str">
        <f>'6-A. Proc. Sub-Annex'!C46</f>
        <v>Any other equipment (please specify)</v>
      </c>
      <c r="D134" s="5">
        <f>'6-A. Proc. Sub-Annex'!F46</f>
        <v>0</v>
      </c>
      <c r="E134" s="5">
        <f>'6-A. Proc. Sub-Annex'!G46</f>
        <v>0</v>
      </c>
      <c r="F134" s="5">
        <f>'6-A. Proc. Sub-Annex'!H46</f>
        <v>0</v>
      </c>
      <c r="G134" s="5">
        <f>'6-A. Proc. Sub-Annex'!I46</f>
        <v>0</v>
      </c>
      <c r="H134" s="5">
        <f>'6-A. Proc. Sub-Annex'!J46</f>
        <v>0</v>
      </c>
      <c r="I134" s="5">
        <f>'6-A. Proc. Sub-Annex'!K46</f>
        <v>0</v>
      </c>
      <c r="J134" s="5">
        <f>'6-A. Proc. Sub-Annex'!L46</f>
        <v>0</v>
      </c>
      <c r="K134" s="5">
        <f>'6-A. Proc. Sub-Annex'!M46</f>
        <v>0</v>
      </c>
      <c r="L134" s="5">
        <f>'6-A. Proc. Sub-Annex'!N46</f>
        <v>0</v>
      </c>
      <c r="M134" s="5">
        <f>'6-A. Proc. Sub-Annex'!O46</f>
        <v>0</v>
      </c>
      <c r="N134" s="5">
        <f>'6-A. Proc. Sub-Annex'!P46</f>
        <v>0</v>
      </c>
      <c r="O134" s="5">
        <f>'6-A. Proc. Sub-Annex'!Q46</f>
        <v>0</v>
      </c>
      <c r="P134" s="5">
        <f>'6-A. Proc. Sub-Annex'!R46</f>
        <v>0</v>
      </c>
    </row>
    <row r="135" spans="1:16" ht="25.5">
      <c r="A135" s="3" t="str">
        <f>'6-A. Proc. Sub-Annex'!A47</f>
        <v>6.1.1.8</v>
      </c>
      <c r="B135" s="3" t="str">
        <f>'6-A. Proc. Sub-Annex'!B47</f>
        <v>B16.1.8</v>
      </c>
      <c r="C135" s="3" t="str">
        <f>'6-A. Proc. Sub-Annex'!C47</f>
        <v>Procurement of bio-medical and other equipment: AYUSH</v>
      </c>
      <c r="D135" s="5"/>
      <c r="E135" s="5"/>
      <c r="F135" s="5">
        <f>SUM(F136:F137)</f>
        <v>0</v>
      </c>
      <c r="G135" s="5">
        <f>SUM(G136:G137)</f>
        <v>0</v>
      </c>
      <c r="H135" s="5">
        <f>SUM(H136:H137)</f>
        <v>0</v>
      </c>
      <c r="I135" s="5"/>
      <c r="J135" s="5"/>
      <c r="K135" s="5"/>
      <c r="L135" s="5"/>
      <c r="M135" s="5">
        <f>SUM(M136:M137)</f>
        <v>0</v>
      </c>
      <c r="N135" s="5">
        <f>'6-A. Proc. Sub-Annex'!P47</f>
        <v>0</v>
      </c>
      <c r="O135" s="5">
        <f>'6-A. Proc. Sub-Annex'!Q47</f>
        <v>0</v>
      </c>
      <c r="P135" s="5">
        <f>SUM(P136:P137)</f>
        <v>0</v>
      </c>
    </row>
    <row r="136" spans="1:16" ht="25.5">
      <c r="A136" s="3" t="str">
        <f>'6-A. Proc. Sub-Annex'!A48</f>
        <v>6.1.1.8.1</v>
      </c>
      <c r="B136" s="3">
        <f>'6-A. Proc. Sub-Annex'!B48</f>
        <v>0</v>
      </c>
      <c r="C136" s="3" t="str">
        <f>'6-A. Proc. Sub-Annex'!C48</f>
        <v>Procurement of bio-medical and other equipment: AYUSH</v>
      </c>
      <c r="D136" s="5">
        <f>'6-A. Proc. Sub-Annex'!F48</f>
        <v>0</v>
      </c>
      <c r="E136" s="5">
        <f>'6-A. Proc. Sub-Annex'!G48</f>
        <v>0</v>
      </c>
      <c r="F136" s="5">
        <f>'6-A. Proc. Sub-Annex'!H48</f>
        <v>0</v>
      </c>
      <c r="G136" s="5">
        <f>'6-A. Proc. Sub-Annex'!I48</f>
        <v>0</v>
      </c>
      <c r="H136" s="5">
        <f>'6-A. Proc. Sub-Annex'!J48</f>
        <v>0</v>
      </c>
      <c r="I136" s="5">
        <f>'6-A. Proc. Sub-Annex'!K48</f>
        <v>0</v>
      </c>
      <c r="J136" s="5">
        <f>'6-A. Proc. Sub-Annex'!L48</f>
        <v>0</v>
      </c>
      <c r="K136" s="5">
        <f>'6-A. Proc. Sub-Annex'!M48</f>
        <v>0</v>
      </c>
      <c r="L136" s="5">
        <f>'6-A. Proc. Sub-Annex'!N48</f>
        <v>0</v>
      </c>
      <c r="M136" s="5">
        <f>'6-A. Proc. Sub-Annex'!O48</f>
        <v>0</v>
      </c>
      <c r="N136" s="5">
        <f>'6-A. Proc. Sub-Annex'!P48</f>
        <v>0</v>
      </c>
      <c r="O136" s="5">
        <f>'6-A. Proc. Sub-Annex'!Q48</f>
        <v>0</v>
      </c>
      <c r="P136" s="5">
        <f>'6-A. Proc. Sub-Annex'!R48</f>
        <v>0</v>
      </c>
    </row>
    <row r="137" spans="1:16" ht="25.5">
      <c r="A137" s="3" t="str">
        <f>'6-A. Proc. Sub-Annex'!A49</f>
        <v>6.1.1.8.2</v>
      </c>
      <c r="B137" s="3">
        <f>'6-A. Proc. Sub-Annex'!B49</f>
        <v>0</v>
      </c>
      <c r="C137" s="3" t="str">
        <f>'6-A. Proc. Sub-Annex'!C49</f>
        <v>Any other</v>
      </c>
      <c r="D137" s="5">
        <f>'6-A. Proc. Sub-Annex'!F49</f>
        <v>0</v>
      </c>
      <c r="E137" s="5">
        <f>'6-A. Proc. Sub-Annex'!G49</f>
        <v>0</v>
      </c>
      <c r="F137" s="5">
        <f>'6-A. Proc. Sub-Annex'!H49</f>
        <v>0</v>
      </c>
      <c r="G137" s="5">
        <f>'6-A. Proc. Sub-Annex'!I49</f>
        <v>0</v>
      </c>
      <c r="H137" s="5">
        <f>'6-A. Proc. Sub-Annex'!J49</f>
        <v>0</v>
      </c>
      <c r="I137" s="5">
        <f>'6-A. Proc. Sub-Annex'!K49</f>
        <v>0</v>
      </c>
      <c r="J137" s="5">
        <f>'6-A. Proc. Sub-Annex'!L49</f>
        <v>0</v>
      </c>
      <c r="K137" s="5">
        <f>'6-A. Proc. Sub-Annex'!M49</f>
        <v>0</v>
      </c>
      <c r="L137" s="5">
        <f>'6-A. Proc. Sub-Annex'!N49</f>
        <v>0</v>
      </c>
      <c r="M137" s="5">
        <f>'6-A. Proc. Sub-Annex'!O49</f>
        <v>0</v>
      </c>
      <c r="N137" s="5">
        <f>'6-A. Proc. Sub-Annex'!P49</f>
        <v>0</v>
      </c>
      <c r="O137" s="5">
        <f>'6-A. Proc. Sub-Annex'!Q49</f>
        <v>0</v>
      </c>
      <c r="P137" s="5">
        <f>'6-A. Proc. Sub-Annex'!R49</f>
        <v>0</v>
      </c>
    </row>
    <row r="138" spans="1:16" ht="25.5">
      <c r="A138" s="3" t="str">
        <f>'6-A. Proc. Sub-Annex'!A50</f>
        <v>6.1.1.9</v>
      </c>
      <c r="B138" s="3" t="str">
        <f>'6-A. Proc. Sub-Annex'!B50</f>
        <v>B16.1.1.1</v>
      </c>
      <c r="C138" s="3" t="str">
        <f>'6-A. Proc. Sub-Annex'!C50</f>
        <v>Procurement of bio-medical and other equipment: Blood Banks/BSUs</v>
      </c>
      <c r="D138" s="5"/>
      <c r="E138" s="5"/>
      <c r="F138" s="5">
        <f>SUM(F139:F140)</f>
        <v>100</v>
      </c>
      <c r="G138" s="5">
        <f>SUM(G139:G140)</f>
        <v>0</v>
      </c>
      <c r="H138" s="5">
        <f>SUM(H139:H140)</f>
        <v>100</v>
      </c>
      <c r="I138" s="5"/>
      <c r="J138" s="5"/>
      <c r="K138" s="5"/>
      <c r="L138" s="5"/>
      <c r="M138" s="5">
        <f>SUM(M139:M140)</f>
        <v>0</v>
      </c>
      <c r="N138" s="5">
        <f>'6-A. Proc. Sub-Annex'!P50</f>
        <v>0</v>
      </c>
      <c r="O138" s="5">
        <f>'6-A. Proc. Sub-Annex'!Q50</f>
        <v>0</v>
      </c>
      <c r="P138" s="5">
        <f>SUM(P139:P140)</f>
        <v>0</v>
      </c>
    </row>
    <row r="139" spans="1:16" ht="25.5">
      <c r="A139" s="3" t="str">
        <f>'6-A. Proc. Sub-Annex'!A51</f>
        <v>6.1.1.9.1</v>
      </c>
      <c r="B139" s="3">
        <f>'6-A. Proc. Sub-Annex'!B51</f>
        <v>0</v>
      </c>
      <c r="C139" s="3" t="str">
        <f>'6-A. Proc. Sub-Annex'!C51</f>
        <v>Equipment for Blood Banks/BSU/BCSU</v>
      </c>
      <c r="D139" s="5">
        <f>'6-A. Proc. Sub-Annex'!F51</f>
        <v>2</v>
      </c>
      <c r="E139" s="5">
        <f>'6-A. Proc. Sub-Annex'!G51</f>
        <v>0</v>
      </c>
      <c r="F139" s="5">
        <f>'6-A. Proc. Sub-Annex'!H51</f>
        <v>100</v>
      </c>
      <c r="G139" s="5">
        <f>'6-A. Proc. Sub-Annex'!I51</f>
        <v>0</v>
      </c>
      <c r="H139" s="5">
        <f>'6-A. Proc. Sub-Annex'!J51</f>
        <v>100</v>
      </c>
      <c r="I139" s="5">
        <f>'6-A. Proc. Sub-Annex'!K51</f>
        <v>0</v>
      </c>
      <c r="J139" s="5">
        <f>'6-A. Proc. Sub-Annex'!L51</f>
        <v>0</v>
      </c>
      <c r="K139" s="5">
        <f>'6-A. Proc. Sub-Annex'!M51</f>
        <v>0</v>
      </c>
      <c r="L139" s="5">
        <f>'6-A. Proc. Sub-Annex'!N51</f>
        <v>0</v>
      </c>
      <c r="M139" s="5">
        <f>'6-A. Proc. Sub-Annex'!O51</f>
        <v>0</v>
      </c>
      <c r="N139" s="5">
        <f>'6-A. Proc. Sub-Annex'!P51</f>
        <v>0</v>
      </c>
      <c r="O139" s="5">
        <f>'6-A. Proc. Sub-Annex'!Q51</f>
        <v>0</v>
      </c>
      <c r="P139" s="5">
        <f>'6-A. Proc. Sub-Annex'!R51</f>
        <v>0</v>
      </c>
    </row>
    <row r="140" spans="1:16" ht="25.5">
      <c r="A140" s="3" t="str">
        <f>'6-A. Proc. Sub-Annex'!A52</f>
        <v>6.1.1.9.2</v>
      </c>
      <c r="B140" s="3">
        <f>'6-A. Proc. Sub-Annex'!B52</f>
        <v>0</v>
      </c>
      <c r="C140" s="3" t="str">
        <f>'6-A. Proc. Sub-Annex'!C52</f>
        <v>Equipment for Day Care Centre</v>
      </c>
      <c r="D140" s="5">
        <f>'6-A. Proc. Sub-Annex'!F52</f>
        <v>0</v>
      </c>
      <c r="E140" s="5">
        <f>'6-A. Proc. Sub-Annex'!G52</f>
        <v>0</v>
      </c>
      <c r="F140" s="5">
        <f>'6-A. Proc. Sub-Annex'!H52</f>
        <v>0</v>
      </c>
      <c r="G140" s="5">
        <f>'6-A. Proc. Sub-Annex'!I52</f>
        <v>0</v>
      </c>
      <c r="H140" s="5">
        <f>'6-A. Proc. Sub-Annex'!J52</f>
        <v>0</v>
      </c>
      <c r="I140" s="5">
        <f>'6-A. Proc. Sub-Annex'!K52</f>
        <v>0</v>
      </c>
      <c r="J140" s="5">
        <f>'6-A. Proc. Sub-Annex'!L52</f>
        <v>0</v>
      </c>
      <c r="K140" s="5">
        <f>'6-A. Proc. Sub-Annex'!M52</f>
        <v>0</v>
      </c>
      <c r="L140" s="5">
        <f>'6-A. Proc. Sub-Annex'!N52</f>
        <v>0</v>
      </c>
      <c r="M140" s="5">
        <f>'6-A. Proc. Sub-Annex'!O52</f>
        <v>0</v>
      </c>
      <c r="N140" s="5">
        <f>'6-A. Proc. Sub-Annex'!P52</f>
        <v>0</v>
      </c>
      <c r="O140" s="5">
        <f>'6-A. Proc. Sub-Annex'!Q52</f>
        <v>0</v>
      </c>
      <c r="P140" s="5">
        <f>'6-A. Proc. Sub-Annex'!R52</f>
        <v>0</v>
      </c>
    </row>
    <row r="141" spans="1:16">
      <c r="A141" s="3" t="str">
        <f>'6-A. Proc. Sub-Annex'!A53</f>
        <v>6.1.1.10</v>
      </c>
      <c r="B141" s="3" t="str">
        <f>'6-A. Proc. Sub-Annex'!B53</f>
        <v>B16.1.4</v>
      </c>
      <c r="C141" s="3" t="str">
        <f>'6-A. Proc. Sub-Annex'!C53</f>
        <v>Procurement of equipment: IMEP</v>
      </c>
      <c r="D141" s="5"/>
      <c r="E141" s="5"/>
      <c r="F141" s="5">
        <f>SUM(F142:F143)</f>
        <v>0</v>
      </c>
      <c r="G141" s="5">
        <f>SUM(G142:G143)</f>
        <v>0</v>
      </c>
      <c r="H141" s="5">
        <f>SUM(H142:H143)</f>
        <v>0</v>
      </c>
      <c r="I141" s="5"/>
      <c r="J141" s="5"/>
      <c r="K141" s="5"/>
      <c r="L141" s="5"/>
      <c r="M141" s="5">
        <f>SUM(M142:M143)</f>
        <v>0</v>
      </c>
      <c r="N141" s="5">
        <f>'6-A. Proc. Sub-Annex'!P53</f>
        <v>0</v>
      </c>
      <c r="O141" s="5">
        <f>'6-A. Proc. Sub-Annex'!Q53</f>
        <v>0</v>
      </c>
      <c r="P141" s="5">
        <f>SUM(P142:P143)</f>
        <v>0</v>
      </c>
    </row>
    <row r="142" spans="1:16" ht="25.5">
      <c r="A142" s="3" t="str">
        <f>'6-A. Proc. Sub-Annex'!A36</f>
        <v>6.1.1.10.1</v>
      </c>
      <c r="B142" s="3" t="str">
        <f>'6-A. Proc. Sub-Annex'!B36</f>
        <v>C.1.o</v>
      </c>
      <c r="C142" s="3" t="str">
        <f>'6-A. Proc. Sub-Annex'!C36</f>
        <v>Hub Cutter</v>
      </c>
      <c r="D142" s="5">
        <f>'6-A. Proc. Sub-Annex'!F36</f>
        <v>0</v>
      </c>
      <c r="E142" s="5">
        <f>'6-A. Proc. Sub-Annex'!G36</f>
        <v>0</v>
      </c>
      <c r="F142" s="5">
        <f>'6-A. Proc. Sub-Annex'!H36</f>
        <v>0</v>
      </c>
      <c r="G142" s="5">
        <f>'6-A. Proc. Sub-Annex'!I36</f>
        <v>0</v>
      </c>
      <c r="H142" s="5">
        <f>'6-A. Proc. Sub-Annex'!J36</f>
        <v>0</v>
      </c>
      <c r="I142" s="5">
        <f>'6-A. Proc. Sub-Annex'!K36</f>
        <v>0</v>
      </c>
      <c r="J142" s="5">
        <f>'6-A. Proc. Sub-Annex'!L36</f>
        <v>0</v>
      </c>
      <c r="K142" s="5">
        <f>'6-A. Proc. Sub-Annex'!M36</f>
        <v>0</v>
      </c>
      <c r="L142" s="5">
        <f>'6-A. Proc. Sub-Annex'!N36</f>
        <v>0</v>
      </c>
      <c r="M142" s="5">
        <f>'6-A. Proc. Sub-Annex'!O36</f>
        <v>0</v>
      </c>
      <c r="N142" s="5" t="str">
        <f>'6-A. Proc. Sub-Annex'!P36</f>
        <v>Fund from BMMP</v>
      </c>
      <c r="O142" s="5" t="str">
        <f>'6-A. Proc. Sub-Annex'!Q36</f>
        <v>--</v>
      </c>
      <c r="P142" s="5">
        <f>'6-A. Proc. Sub-Annex'!R36</f>
        <v>0</v>
      </c>
    </row>
    <row r="143" spans="1:16" ht="25.5">
      <c r="A143" s="3" t="str">
        <f>'6-A. Proc. Sub-Annex'!A54</f>
        <v>6.1.1.10.2</v>
      </c>
      <c r="B143" s="3" t="str">
        <f>'6-A. Proc. Sub-Annex'!B54</f>
        <v>B16.1.6.2</v>
      </c>
      <c r="C143" s="3">
        <f>'6-A. Proc. Sub-Annex'!C54</f>
        <v>0</v>
      </c>
      <c r="D143" s="5">
        <f>'6-A. Proc. Sub-Annex'!F54</f>
        <v>0</v>
      </c>
      <c r="E143" s="5">
        <f>'6-A. Proc. Sub-Annex'!G54</f>
        <v>0</v>
      </c>
      <c r="F143" s="5">
        <f>'6-A. Proc. Sub-Annex'!H54</f>
        <v>0</v>
      </c>
      <c r="G143" s="5">
        <f>'6-A. Proc. Sub-Annex'!I54</f>
        <v>0</v>
      </c>
      <c r="H143" s="5">
        <f>'6-A. Proc. Sub-Annex'!J54</f>
        <v>0</v>
      </c>
      <c r="I143" s="5">
        <f>'6-A. Proc. Sub-Annex'!K54</f>
        <v>0</v>
      </c>
      <c r="J143" s="5">
        <f>'6-A. Proc. Sub-Annex'!L54</f>
        <v>0</v>
      </c>
      <c r="K143" s="5">
        <f>'6-A. Proc. Sub-Annex'!M54</f>
        <v>0</v>
      </c>
      <c r="L143" s="5">
        <f>'6-A. Proc. Sub-Annex'!N54</f>
        <v>0</v>
      </c>
      <c r="M143" s="5">
        <f>'6-A. Proc. Sub-Annex'!O54</f>
        <v>0</v>
      </c>
      <c r="N143" s="5">
        <f>'6-A. Proc. Sub-Annex'!P54</f>
        <v>0</v>
      </c>
      <c r="O143" s="5">
        <f>'6-A. Proc. Sub-Annex'!Q54</f>
        <v>0</v>
      </c>
      <c r="P143" s="5">
        <f>'6-A. Proc. Sub-Annex'!R54</f>
        <v>0</v>
      </c>
    </row>
    <row r="144" spans="1:16" ht="25.5">
      <c r="A144" s="3" t="str">
        <f>'6-A. Proc. Sub-Annex'!A123</f>
        <v>6.1.1.11</v>
      </c>
      <c r="B144" s="3" t="str">
        <f>'6-A. Proc. Sub-Annex'!B123</f>
        <v>B.25.2.1.a</v>
      </c>
      <c r="C144" s="3" t="str">
        <f>'6-A. Proc. Sub-Annex'!C123</f>
        <v>Procurement of bio-medical and other Equipment: NPPCD</v>
      </c>
      <c r="D144" s="5"/>
      <c r="E144" s="5"/>
      <c r="F144" s="5">
        <f>SUM(F145:F146)</f>
        <v>0</v>
      </c>
      <c r="G144" s="5">
        <f>SUM(G145:G146)</f>
        <v>0</v>
      </c>
      <c r="H144" s="5">
        <f>SUM(H145:H146)</f>
        <v>0</v>
      </c>
      <c r="I144" s="5"/>
      <c r="J144" s="5"/>
      <c r="K144" s="5"/>
      <c r="L144" s="5"/>
      <c r="M144" s="5">
        <f>SUM(M145:M146)</f>
        <v>10</v>
      </c>
      <c r="N144" s="5">
        <f>'6-A. Proc. Sub-Annex'!P123</f>
        <v>0</v>
      </c>
      <c r="O144" s="5">
        <f>'6-A. Proc. Sub-Annex'!Q123</f>
        <v>0</v>
      </c>
      <c r="P144" s="5">
        <f>SUM(P145:P146)</f>
        <v>0</v>
      </c>
    </row>
    <row r="145" spans="1:16" ht="140.25">
      <c r="A145" s="3" t="str">
        <f>'6-A. Proc. Sub-Annex'!A124</f>
        <v>6.1.1.11.1</v>
      </c>
      <c r="B145" s="3">
        <f>'6-A. Proc. Sub-Annex'!B124</f>
        <v>0</v>
      </c>
      <c r="C145" s="3" t="str">
        <f>'6-A. Proc. Sub-Annex'!C124</f>
        <v>Procurement of equipment</v>
      </c>
      <c r="D145" s="5">
        <f>'6-A. Proc. Sub-Annex'!F124</f>
        <v>0</v>
      </c>
      <c r="E145" s="5">
        <f>'6-A. Proc. Sub-Annex'!G124</f>
        <v>0</v>
      </c>
      <c r="F145" s="5">
        <f>'6-A. Proc. Sub-Annex'!H124</f>
        <v>0</v>
      </c>
      <c r="G145" s="5">
        <f>'6-A. Proc. Sub-Annex'!I124</f>
        <v>0</v>
      </c>
      <c r="H145" s="5">
        <f>'6-A. Proc. Sub-Annex'!J124</f>
        <v>0</v>
      </c>
      <c r="I145" s="5">
        <f>'6-A. Proc. Sub-Annex'!K124</f>
        <v>0</v>
      </c>
      <c r="J145" s="5">
        <f>'6-A. Proc. Sub-Annex'!L124</f>
        <v>1000000</v>
      </c>
      <c r="K145" s="5">
        <f>'6-A. Proc. Sub-Annex'!M124</f>
        <v>10</v>
      </c>
      <c r="L145" s="5">
        <f>'6-A. Proc. Sub-Annex'!N124</f>
        <v>1</v>
      </c>
      <c r="M145" s="5">
        <f>'6-A. Proc. Sub-Annex'!O124</f>
        <v>10</v>
      </c>
      <c r="N145" s="5" t="str">
        <f>'6-A. Proc. Sub-Annex'!P212</f>
        <v xml:space="preserve"> A deafness screning  van  has been provided by ICMR to IGMC Shimla under a projact in 2018. The project is over and the running cost of the van will be Rs 10lakh per year . (opex cost  &amp; POL for deafness van)It will help in deafness screening in the state as mobile van </v>
      </c>
      <c r="O145" s="5" t="str">
        <f>'6-A. Proc. Sub-Annex'!Q124</f>
        <v>As per the operational guidelines, the screening camps may be organized in collaboration with RBSK / MoSJ&amp;E.As discussed during NPCC meeting, there is no provision of mobile van in the programme. Hence, it is not recommended for approval.</v>
      </c>
      <c r="P145" s="5">
        <f>'6-A. Proc. Sub-Annex'!R124</f>
        <v>0</v>
      </c>
    </row>
    <row r="146" spans="1:16" ht="25.5">
      <c r="A146" s="3" t="str">
        <f>'6-A. Proc. Sub-Annex'!A125</f>
        <v>6.1.1.11.2</v>
      </c>
      <c r="B146" s="3">
        <f>'6-A. Proc. Sub-Annex'!B125</f>
        <v>0</v>
      </c>
      <c r="C146" s="3" t="str">
        <f>'6-A. Proc. Sub-Annex'!C125</f>
        <v>Any other equipment (please specify)</v>
      </c>
      <c r="D146" s="5">
        <f>'6-A. Proc. Sub-Annex'!F125</f>
        <v>0</v>
      </c>
      <c r="E146" s="5">
        <f>'6-A. Proc. Sub-Annex'!G125</f>
        <v>0</v>
      </c>
      <c r="F146" s="5">
        <f>'6-A. Proc. Sub-Annex'!H125</f>
        <v>0</v>
      </c>
      <c r="G146" s="5">
        <f>'6-A. Proc. Sub-Annex'!I125</f>
        <v>0</v>
      </c>
      <c r="H146" s="5">
        <f>'6-A. Proc. Sub-Annex'!J125</f>
        <v>0</v>
      </c>
      <c r="I146" s="5">
        <f>'6-A. Proc. Sub-Annex'!K125</f>
        <v>0</v>
      </c>
      <c r="J146" s="5">
        <f>'6-A. Proc. Sub-Annex'!L125</f>
        <v>0</v>
      </c>
      <c r="K146" s="5">
        <f>'6-A. Proc. Sub-Annex'!M125</f>
        <v>0</v>
      </c>
      <c r="L146" s="5">
        <f>'6-A. Proc. Sub-Annex'!N125</f>
        <v>0</v>
      </c>
      <c r="M146" s="5">
        <f>'6-A. Proc. Sub-Annex'!O125</f>
        <v>0</v>
      </c>
      <c r="N146" s="5">
        <f>'6-A. Proc. Sub-Annex'!P125</f>
        <v>0</v>
      </c>
      <c r="O146" s="5">
        <f>'6-A. Proc. Sub-Annex'!Q125</f>
        <v>0</v>
      </c>
      <c r="P146" s="5">
        <f>'6-A. Proc. Sub-Annex'!R125</f>
        <v>0</v>
      </c>
    </row>
    <row r="147" spans="1:16" ht="25.5">
      <c r="A147" s="3" t="str">
        <f>'6-A. Proc. Sub-Annex'!A126</f>
        <v>6.1.1.12</v>
      </c>
      <c r="B147" s="3">
        <f>'6-A. Proc. Sub-Annex'!B126</f>
        <v>0</v>
      </c>
      <c r="C147" s="3" t="str">
        <f>'6-A. Proc. Sub-Annex'!C126</f>
        <v>Procurement of bio-medical and other Equipment: NOHP</v>
      </c>
      <c r="D147" s="5"/>
      <c r="E147" s="5"/>
      <c r="F147" s="5">
        <f>SUM(F148:F149)</f>
        <v>0</v>
      </c>
      <c r="G147" s="5">
        <f>SUM(G148:G149)</f>
        <v>0</v>
      </c>
      <c r="H147" s="5">
        <f>SUM(H148:H149)</f>
        <v>0</v>
      </c>
      <c r="I147" s="5"/>
      <c r="J147" s="5"/>
      <c r="K147" s="5"/>
      <c r="L147" s="5"/>
      <c r="M147" s="5">
        <f>SUM(M148:M149)</f>
        <v>39.51</v>
      </c>
      <c r="N147" s="5">
        <f>'6-A. Proc. Sub-Annex'!P126</f>
        <v>0</v>
      </c>
      <c r="O147" s="5">
        <f>'6-A. Proc. Sub-Annex'!Q126</f>
        <v>0</v>
      </c>
      <c r="P147" s="5">
        <f>SUM(P148:P149)</f>
        <v>39.510000000000005</v>
      </c>
    </row>
    <row r="148" spans="1:16" ht="216.75">
      <c r="A148" s="3" t="str">
        <f>'6-A. Proc. Sub-Annex'!A127</f>
        <v>6.1.1.12.1</v>
      </c>
      <c r="B148" s="3" t="str">
        <f>'6-A. Proc. Sub-Annex'!B127</f>
        <v>B.26.1.1</v>
      </c>
      <c r="C148" s="3" t="str">
        <f>'6-A. Proc. Sub-Annex'!C127</f>
        <v>Dental Chair, Equipment</v>
      </c>
      <c r="D148" s="5">
        <f>'6-A. Proc. Sub-Annex'!F127</f>
        <v>0</v>
      </c>
      <c r="E148" s="5">
        <f>'6-A. Proc. Sub-Annex'!G127</f>
        <v>0</v>
      </c>
      <c r="F148" s="5">
        <f>'6-A. Proc. Sub-Annex'!H127</f>
        <v>0</v>
      </c>
      <c r="G148" s="5">
        <f>'6-A. Proc. Sub-Annex'!I127</f>
        <v>0</v>
      </c>
      <c r="H148" s="5">
        <f>'6-A. Proc. Sub-Annex'!J127</f>
        <v>0</v>
      </c>
      <c r="I148" s="5">
        <f>'6-A. Proc. Sub-Annex'!K127</f>
        <v>1</v>
      </c>
      <c r="J148" s="5">
        <f>'6-A. Proc. Sub-Annex'!L127</f>
        <v>439000</v>
      </c>
      <c r="K148" s="5">
        <f>'6-A. Proc. Sub-Annex'!M127</f>
        <v>4.3899999999999997</v>
      </c>
      <c r="L148" s="5">
        <f>'6-A. Proc. Sub-Annex'!N127</f>
        <v>9</v>
      </c>
      <c r="M148" s="5">
        <f>'6-A. Proc. Sub-Annex'!O127</f>
        <v>39.51</v>
      </c>
      <c r="N148" s="5" t="str">
        <f>'6-A. Proc. Sub-Annex'!P127</f>
        <v>21.51 lac is required for Dental chair in 9 clinics for the tentative cost of 2.39 lacs each chair. 18 lac is required for other fixed equipments ie. RvG,Ultrasonic scalers, Extractions foreceps etc at the tentative cost of Rs. 2 lac for each clinic. The new clinics are proposed to be established at CHC Baroh, PHC Geharwin, PHC Dharwas, PHC Purthi, PHC Kherian, PHC Lapiana, PHC Gadagusain, PHC Thachi and PHC Jogon.</v>
      </c>
      <c r="O148" s="5" t="str">
        <f>'6-A. Proc. Sub-Annex'!Q127</f>
        <v xml:space="preserve">Recommended for approval for procurement of equipments for 9 new dental clinics to be established at CHC Baroh, PHC Geharwin, PHC Dharwas, PHC Purthi, PHC Kherian, PHC Lapiana, PHC Gadagusain, PHC Thachi and PHC Jogon.as per details below:1.  Rs 21.51 lakhs for 9 dental chairs @ Rs 2.39 lakh each. 2. Rs 18 lakhs for RvG, Ultrasonic scalers, Extractions forceps etc at the tentative cost of Rs. 2 lac for each clinic. </v>
      </c>
      <c r="P148" s="5">
        <f>'6-A. Proc. Sub-Annex'!R127</f>
        <v>39.510000000000005</v>
      </c>
    </row>
    <row r="149" spans="1:16" ht="25.5">
      <c r="A149" s="3" t="str">
        <f>'6-A. Proc. Sub-Annex'!A128</f>
        <v>6.1.1.12.2</v>
      </c>
      <c r="B149" s="3">
        <f>'6-A. Proc. Sub-Annex'!B128</f>
        <v>0</v>
      </c>
      <c r="C149" s="3" t="str">
        <f>'6-A. Proc. Sub-Annex'!C128</f>
        <v>Any other equipment (please specify)</v>
      </c>
      <c r="D149" s="5">
        <f>'6-A. Proc. Sub-Annex'!F128</f>
        <v>0</v>
      </c>
      <c r="E149" s="5">
        <f>'6-A. Proc. Sub-Annex'!G128</f>
        <v>0</v>
      </c>
      <c r="F149" s="5">
        <f>'6-A. Proc. Sub-Annex'!H128</f>
        <v>0</v>
      </c>
      <c r="G149" s="5">
        <f>'6-A. Proc. Sub-Annex'!I128</f>
        <v>0</v>
      </c>
      <c r="H149" s="5">
        <f>'6-A. Proc. Sub-Annex'!J128</f>
        <v>0</v>
      </c>
      <c r="I149" s="5">
        <f>'6-A. Proc. Sub-Annex'!K128</f>
        <v>0</v>
      </c>
      <c r="J149" s="5">
        <f>'6-A. Proc. Sub-Annex'!L128</f>
        <v>0</v>
      </c>
      <c r="K149" s="5">
        <f>'6-A. Proc. Sub-Annex'!M128</f>
        <v>0</v>
      </c>
      <c r="L149" s="5">
        <f>'6-A. Proc. Sub-Annex'!N128</f>
        <v>0</v>
      </c>
      <c r="M149" s="5">
        <f>'6-A. Proc. Sub-Annex'!O128</f>
        <v>0</v>
      </c>
      <c r="N149" s="5">
        <f>'6-A. Proc. Sub-Annex'!P128</f>
        <v>0</v>
      </c>
      <c r="O149" s="5">
        <f>'6-A. Proc. Sub-Annex'!Q128</f>
        <v>0</v>
      </c>
      <c r="P149" s="5">
        <f>'6-A. Proc. Sub-Annex'!R128</f>
        <v>0</v>
      </c>
    </row>
    <row r="150" spans="1:16" ht="25.5">
      <c r="A150" s="3" t="str">
        <f>'6-A. Proc. Sub-Annex'!A129</f>
        <v>6.1.1.13</v>
      </c>
      <c r="B150" s="3">
        <f>'6-A. Proc. Sub-Annex'!B129</f>
        <v>0</v>
      </c>
      <c r="C150" s="3" t="str">
        <f>'6-A. Proc. Sub-Annex'!C129</f>
        <v>Procurement of bio-medical and other Equipment: NPPC</v>
      </c>
      <c r="D150" s="5"/>
      <c r="E150" s="5"/>
      <c r="F150" s="5">
        <f>SUM(F151:F152)</f>
        <v>0</v>
      </c>
      <c r="G150" s="5">
        <f>SUM(G151:G152)</f>
        <v>0</v>
      </c>
      <c r="H150" s="5">
        <f>SUM(H151:H152)</f>
        <v>0</v>
      </c>
      <c r="I150" s="5"/>
      <c r="J150" s="5"/>
      <c r="K150" s="5"/>
      <c r="L150" s="5"/>
      <c r="M150" s="5">
        <f>SUM(M151:M152)</f>
        <v>0</v>
      </c>
      <c r="N150" s="5">
        <f>'6-A. Proc. Sub-Annex'!P129</f>
        <v>0</v>
      </c>
      <c r="O150" s="5">
        <f>'6-A. Proc. Sub-Annex'!Q129</f>
        <v>0</v>
      </c>
      <c r="P150" s="5">
        <f>SUM(P151:P152)</f>
        <v>0</v>
      </c>
    </row>
    <row r="151" spans="1:16" ht="25.5">
      <c r="A151" s="3" t="str">
        <f>'6-A. Proc. Sub-Annex'!A130</f>
        <v>6.1.1.13.1</v>
      </c>
      <c r="B151" s="3" t="str">
        <f>'6-A. Proc. Sub-Annex'!B130</f>
        <v>B.27.1.4</v>
      </c>
      <c r="C151" s="3" t="str">
        <f>'6-A. Proc. Sub-Annex'!C130</f>
        <v>Equipment</v>
      </c>
      <c r="D151" s="5">
        <f>'6-A. Proc. Sub-Annex'!F130</f>
        <v>0</v>
      </c>
      <c r="E151" s="5">
        <f>'6-A. Proc. Sub-Annex'!G130</f>
        <v>0</v>
      </c>
      <c r="F151" s="5">
        <f>'6-A. Proc. Sub-Annex'!H130</f>
        <v>0</v>
      </c>
      <c r="G151" s="5">
        <f>'6-A. Proc. Sub-Annex'!I130</f>
        <v>0</v>
      </c>
      <c r="H151" s="5">
        <f>'6-A. Proc. Sub-Annex'!J130</f>
        <v>0</v>
      </c>
      <c r="I151" s="5">
        <f>'6-A. Proc. Sub-Annex'!K130</f>
        <v>0</v>
      </c>
      <c r="J151" s="5">
        <f>'6-A. Proc. Sub-Annex'!L130</f>
        <v>0</v>
      </c>
      <c r="K151" s="5">
        <f>'6-A. Proc. Sub-Annex'!M130</f>
        <v>0</v>
      </c>
      <c r="L151" s="5">
        <f>'6-A. Proc. Sub-Annex'!N130</f>
        <v>0</v>
      </c>
      <c r="M151" s="5">
        <f>'6-A. Proc. Sub-Annex'!O130</f>
        <v>0</v>
      </c>
      <c r="N151" s="5">
        <f>'6-A. Proc. Sub-Annex'!P130</f>
        <v>0</v>
      </c>
      <c r="O151" s="5">
        <f>'6-A. Proc. Sub-Annex'!Q130</f>
        <v>0</v>
      </c>
      <c r="P151" s="5">
        <f>'6-A. Proc. Sub-Annex'!R130</f>
        <v>0</v>
      </c>
    </row>
    <row r="152" spans="1:16" ht="25.5">
      <c r="A152" s="3" t="str">
        <f>'6-A. Proc. Sub-Annex'!A131</f>
        <v>6.1.1.13.2</v>
      </c>
      <c r="B152" s="3">
        <f>'6-A. Proc. Sub-Annex'!B131</f>
        <v>0</v>
      </c>
      <c r="C152" s="3" t="str">
        <f>'6-A. Proc. Sub-Annex'!C131</f>
        <v>Any other equipment (please specify)</v>
      </c>
      <c r="D152" s="5">
        <f>'6-A. Proc. Sub-Annex'!F131</f>
        <v>0</v>
      </c>
      <c r="E152" s="5">
        <f>'6-A. Proc. Sub-Annex'!G131</f>
        <v>0</v>
      </c>
      <c r="F152" s="5">
        <f>'6-A. Proc. Sub-Annex'!H131</f>
        <v>0</v>
      </c>
      <c r="G152" s="5">
        <f>'6-A. Proc. Sub-Annex'!I131</f>
        <v>0</v>
      </c>
      <c r="H152" s="5">
        <f>'6-A. Proc. Sub-Annex'!J131</f>
        <v>0</v>
      </c>
      <c r="I152" s="5">
        <f>'6-A. Proc. Sub-Annex'!K131</f>
        <v>0</v>
      </c>
      <c r="J152" s="5">
        <f>'6-A. Proc. Sub-Annex'!L131</f>
        <v>0</v>
      </c>
      <c r="K152" s="5">
        <f>'6-A. Proc. Sub-Annex'!M131</f>
        <v>0</v>
      </c>
      <c r="L152" s="5">
        <f>'6-A. Proc. Sub-Annex'!N131</f>
        <v>0</v>
      </c>
      <c r="M152" s="5">
        <f>'6-A. Proc. Sub-Annex'!O131</f>
        <v>0</v>
      </c>
      <c r="N152" s="5">
        <f>'6-A. Proc. Sub-Annex'!P131</f>
        <v>0</v>
      </c>
      <c r="O152" s="5">
        <f>'6-A. Proc. Sub-Annex'!Q131</f>
        <v>0</v>
      </c>
      <c r="P152" s="5">
        <f>'6-A. Proc. Sub-Annex'!R131</f>
        <v>0</v>
      </c>
    </row>
    <row r="153" spans="1:16" ht="25.5">
      <c r="A153" s="3" t="str">
        <f>'6-A. Proc. Sub-Annex'!A132</f>
        <v>6.1.1.14</v>
      </c>
      <c r="B153" s="3">
        <f>'6-A. Proc. Sub-Annex'!B132</f>
        <v>0</v>
      </c>
      <c r="C153" s="3" t="str">
        <f>'6-A. Proc. Sub-Annex'!C132</f>
        <v>Procurement of bio-medical and other Equipment: Burns &amp; Injury</v>
      </c>
      <c r="D153" s="5"/>
      <c r="E153" s="5"/>
      <c r="F153" s="5">
        <f>SUM(F154:F155)</f>
        <v>0</v>
      </c>
      <c r="G153" s="5">
        <f>SUM(G154:G155)</f>
        <v>0</v>
      </c>
      <c r="H153" s="5">
        <f>SUM(H154:H155)</f>
        <v>0</v>
      </c>
      <c r="I153" s="5"/>
      <c r="J153" s="5"/>
      <c r="K153" s="5"/>
      <c r="L153" s="5"/>
      <c r="M153" s="5">
        <f>SUM(M154:M155)</f>
        <v>0</v>
      </c>
      <c r="N153" s="5">
        <f>'6-A. Proc. Sub-Annex'!P132</f>
        <v>0</v>
      </c>
      <c r="O153" s="5">
        <f>'6-A. Proc. Sub-Annex'!Q132</f>
        <v>0</v>
      </c>
      <c r="P153" s="5">
        <f>SUM(P154:P155)</f>
        <v>0</v>
      </c>
    </row>
    <row r="154" spans="1:16" ht="25.5">
      <c r="A154" s="3" t="str">
        <f>'6-A. Proc. Sub-Annex'!A133</f>
        <v>6.1.1.14.1</v>
      </c>
      <c r="B154" s="3" t="str">
        <f>'6-A. Proc. Sub-Annex'!B133</f>
        <v>B.28.2</v>
      </c>
      <c r="C154" s="3" t="str">
        <f>'6-A. Proc. Sub-Annex'!C133</f>
        <v>Procurement of Equipment</v>
      </c>
      <c r="D154" s="5">
        <f>'6-A. Proc. Sub-Annex'!F133</f>
        <v>0</v>
      </c>
      <c r="E154" s="5">
        <f>'6-A. Proc. Sub-Annex'!G133</f>
        <v>0</v>
      </c>
      <c r="F154" s="5">
        <f>'6-A. Proc. Sub-Annex'!H133</f>
        <v>0</v>
      </c>
      <c r="G154" s="5">
        <f>'6-A. Proc. Sub-Annex'!I133</f>
        <v>0</v>
      </c>
      <c r="H154" s="5">
        <f>'6-A. Proc. Sub-Annex'!J133</f>
        <v>0</v>
      </c>
      <c r="I154" s="5">
        <f>'6-A. Proc. Sub-Annex'!K133</f>
        <v>0</v>
      </c>
      <c r="J154" s="5">
        <f>'6-A. Proc. Sub-Annex'!L133</f>
        <v>0</v>
      </c>
      <c r="K154" s="5">
        <f>'6-A. Proc. Sub-Annex'!M133</f>
        <v>0</v>
      </c>
      <c r="L154" s="5">
        <f>'6-A. Proc. Sub-Annex'!N133</f>
        <v>0</v>
      </c>
      <c r="M154" s="5">
        <f>'6-A. Proc. Sub-Annex'!O133</f>
        <v>0</v>
      </c>
      <c r="N154" s="5">
        <f>'6-A. Proc. Sub-Annex'!P133</f>
        <v>0</v>
      </c>
      <c r="O154" s="5">
        <f>'6-A. Proc. Sub-Annex'!Q133</f>
        <v>0</v>
      </c>
      <c r="P154" s="5">
        <f>'6-A. Proc. Sub-Annex'!R133</f>
        <v>0</v>
      </c>
    </row>
    <row r="155" spans="1:16" ht="25.5">
      <c r="A155" s="3" t="str">
        <f>'6-A. Proc. Sub-Annex'!A134</f>
        <v>6.1.1.14.2</v>
      </c>
      <c r="B155" s="3">
        <f>'6-A. Proc. Sub-Annex'!B134</f>
        <v>0</v>
      </c>
      <c r="C155" s="3" t="str">
        <f>'6-A. Proc. Sub-Annex'!C134</f>
        <v>Any other equipment (please specify)</v>
      </c>
      <c r="D155" s="5">
        <f>'6-A. Proc. Sub-Annex'!F134</f>
        <v>0</v>
      </c>
      <c r="E155" s="5">
        <f>'6-A. Proc. Sub-Annex'!G134</f>
        <v>0</v>
      </c>
      <c r="F155" s="5">
        <f>'6-A. Proc. Sub-Annex'!H134</f>
        <v>0</v>
      </c>
      <c r="G155" s="5">
        <f>'6-A. Proc. Sub-Annex'!I134</f>
        <v>0</v>
      </c>
      <c r="H155" s="5">
        <f>'6-A. Proc. Sub-Annex'!J134</f>
        <v>0</v>
      </c>
      <c r="I155" s="5">
        <f>'6-A. Proc. Sub-Annex'!K134</f>
        <v>0</v>
      </c>
      <c r="J155" s="5">
        <f>'6-A. Proc. Sub-Annex'!L134</f>
        <v>0</v>
      </c>
      <c r="K155" s="5">
        <f>'6-A. Proc. Sub-Annex'!M134</f>
        <v>0</v>
      </c>
      <c r="L155" s="5">
        <f>'6-A. Proc. Sub-Annex'!N134</f>
        <v>0</v>
      </c>
      <c r="M155" s="5">
        <f>'6-A. Proc. Sub-Annex'!O134</f>
        <v>0</v>
      </c>
      <c r="N155" s="5">
        <f>'6-A. Proc. Sub-Annex'!P134</f>
        <v>0</v>
      </c>
      <c r="O155" s="5">
        <f>'6-A. Proc. Sub-Annex'!Q134</f>
        <v>0</v>
      </c>
      <c r="P155" s="5">
        <f>'6-A. Proc. Sub-Annex'!R134</f>
        <v>0</v>
      </c>
    </row>
    <row r="156" spans="1:16" ht="25.5">
      <c r="A156" s="3" t="str">
        <f>'6-A. Proc. Sub-Annex'!A73</f>
        <v>6.1.1.15</v>
      </c>
      <c r="B156" s="3">
        <f>'6-A. Proc. Sub-Annex'!B73</f>
        <v>0</v>
      </c>
      <c r="C156" s="3" t="str">
        <f>'6-A. Proc. Sub-Annex'!C73</f>
        <v>Procurement of bio-medical and other Equipment: IDSP</v>
      </c>
      <c r="D156" s="5"/>
      <c r="E156" s="5"/>
      <c r="F156" s="5">
        <f>SUM(F157:F158)</f>
        <v>17.899999999999999</v>
      </c>
      <c r="G156" s="5">
        <f>SUM(G157:G158)</f>
        <v>0.63</v>
      </c>
      <c r="H156" s="5">
        <f>SUM(H157:H158)</f>
        <v>17.27</v>
      </c>
      <c r="I156" s="5"/>
      <c r="J156" s="5"/>
      <c r="K156" s="5"/>
      <c r="L156" s="5"/>
      <c r="M156" s="5">
        <f>SUM(M157:M158)</f>
        <v>35.799999999999997</v>
      </c>
      <c r="N156" s="5">
        <f>'6-A. Proc. Sub-Annex'!P73</f>
        <v>0</v>
      </c>
      <c r="O156" s="5">
        <f>'6-A. Proc. Sub-Annex'!Q73</f>
        <v>0</v>
      </c>
      <c r="P156" s="5">
        <f>SUM(P157:P158)</f>
        <v>0</v>
      </c>
    </row>
    <row r="157" spans="1:16" ht="38.25">
      <c r="A157" s="3" t="str">
        <f>'6-A. Proc. Sub-Annex'!A74</f>
        <v>6.1.1.15.1</v>
      </c>
      <c r="B157" s="3" t="str">
        <f>'6-A. Proc. Sub-Annex'!B74</f>
        <v>E.3.1</v>
      </c>
      <c r="C157" s="3" t="str">
        <f>'6-A. Proc. Sub-Annex'!C74</f>
        <v xml:space="preserve">Non-recurring costs on account of equipment for District Public Health Labs requiring strengthening. </v>
      </c>
      <c r="D157" s="5">
        <f>'6-A. Proc. Sub-Annex'!F74</f>
        <v>2</v>
      </c>
      <c r="E157" s="5">
        <f>'6-A. Proc. Sub-Annex'!G74</f>
        <v>0</v>
      </c>
      <c r="F157" s="5">
        <f>'6-A. Proc. Sub-Annex'!H74</f>
        <v>17.899999999999999</v>
      </c>
      <c r="G157" s="5">
        <f>'6-A. Proc. Sub-Annex'!I74</f>
        <v>0.63</v>
      </c>
      <c r="H157" s="5">
        <f>'6-A. Proc. Sub-Annex'!J74</f>
        <v>17.27</v>
      </c>
      <c r="I157" s="5">
        <f>'6-A. Proc. Sub-Annex'!K74</f>
        <v>6</v>
      </c>
      <c r="J157" s="5">
        <f>'6-A. Proc. Sub-Annex'!L74</f>
        <v>1790000</v>
      </c>
      <c r="K157" s="5">
        <f>'6-A. Proc. Sub-Annex'!M74</f>
        <v>17.899999999999999</v>
      </c>
      <c r="L157" s="5">
        <f>'6-A. Proc. Sub-Annex'!N74</f>
        <v>2</v>
      </c>
      <c r="M157" s="5">
        <f>'6-A. Proc. Sub-Annex'!O74</f>
        <v>35.799999999999997</v>
      </c>
      <c r="N157" s="5" t="str">
        <f>'6-A. Proc. Sub-Annex'!P74</f>
        <v>For establishing DPHL at District Solan and Kullu</v>
      </c>
      <c r="O157" s="5" t="str">
        <f>'6-A. Proc. Sub-Annex'!Q74</f>
        <v xml:space="preserve">To be budgeted out of PM-ASBY funds for strengthening of IPHLs in all districts </v>
      </c>
      <c r="P157" s="5">
        <f>'6-A. Proc. Sub-Annex'!R74</f>
        <v>0</v>
      </c>
    </row>
    <row r="158" spans="1:16" ht="38.25">
      <c r="A158" s="3" t="str">
        <f>'6-A. Proc. Sub-Annex'!A75</f>
        <v>6.1.1.15.2</v>
      </c>
      <c r="B158" s="3">
        <f>'6-A. Proc. Sub-Annex'!B75</f>
        <v>0</v>
      </c>
      <c r="C158" s="3" t="str">
        <f>'6-A. Proc. Sub-Annex'!C75</f>
        <v>Any other equipment (please specify)</v>
      </c>
      <c r="D158" s="5">
        <f>'6-A. Proc. Sub-Annex'!F75</f>
        <v>0</v>
      </c>
      <c r="E158" s="5">
        <f>'6-A. Proc. Sub-Annex'!G75</f>
        <v>0</v>
      </c>
      <c r="F158" s="5">
        <f>'6-A. Proc. Sub-Annex'!H75</f>
        <v>0</v>
      </c>
      <c r="G158" s="5">
        <f>'6-A. Proc. Sub-Annex'!I75</f>
        <v>0</v>
      </c>
      <c r="H158" s="5">
        <f>'6-A. Proc. Sub-Annex'!J75</f>
        <v>0</v>
      </c>
      <c r="I158" s="5">
        <f>'6-A. Proc. Sub-Annex'!K75</f>
        <v>0</v>
      </c>
      <c r="J158" s="5">
        <f>'6-A. Proc. Sub-Annex'!L75</f>
        <v>0</v>
      </c>
      <c r="K158" s="5">
        <f>'6-A. Proc. Sub-Annex'!M75</f>
        <v>0</v>
      </c>
      <c r="L158" s="5">
        <f>'6-A. Proc. Sub-Annex'!N75</f>
        <v>0</v>
      </c>
      <c r="M158" s="5">
        <f>'6-A. Proc. Sub-Annex'!O75</f>
        <v>0</v>
      </c>
      <c r="N158" s="5" t="str">
        <f>'6-A. Proc. Sub-Annex'!P75</f>
        <v>1. All tests will be made available free of cost for all categories of patients.</v>
      </c>
      <c r="O158" s="5">
        <f>'6-A. Proc. Sub-Annex'!Q75</f>
        <v>0</v>
      </c>
      <c r="P158" s="5">
        <f>'6-A. Proc. Sub-Annex'!R75</f>
        <v>0</v>
      </c>
    </row>
    <row r="159" spans="1:16" ht="280.5">
      <c r="A159" s="3" t="str">
        <f>'6-A. Proc. Sub-Annex'!A76</f>
        <v>6.1.1.16</v>
      </c>
      <c r="B159" s="3">
        <f>'6-A. Proc. Sub-Annex'!B76</f>
        <v>0</v>
      </c>
      <c r="C159" s="3" t="str">
        <f>'6-A. Proc. Sub-Annex'!C76</f>
        <v>Procurement of bio-medical and other Equipment: NVBDCP</v>
      </c>
      <c r="D159" s="5"/>
      <c r="E159" s="5"/>
      <c r="F159" s="5">
        <f>SUM(F160:F160)</f>
        <v>0</v>
      </c>
      <c r="G159" s="5">
        <f>SUM(G160:G160)</f>
        <v>0</v>
      </c>
      <c r="H159" s="5">
        <f>SUM(H160:H160)</f>
        <v>0</v>
      </c>
      <c r="I159" s="5"/>
      <c r="J159" s="5"/>
      <c r="K159" s="5"/>
      <c r="L159" s="5"/>
      <c r="M159" s="5">
        <f>SUM(M160:M160)</f>
        <v>0</v>
      </c>
      <c r="N159" s="5" t="str">
        <f>'6-A. Proc. Sub-Annex'!P76</f>
        <v>2. At those DH and/or nearby CHCs where in-house hub laboratories become operational,  the laboratories operated by Service provider in the DH will be discontinued within 1 month of operationalisation of the in-house hub laboratories  to avoid duplication of huge budgets. If not done, the funds used for setting up and operationalisation of in-house hub and spoke will be significantly wasted and extra funds will be spent on payments to the service provider for the same services provided by newly set up in-house hub laboratories.</v>
      </c>
      <c r="O159" s="5">
        <f>'6-A. Proc. Sub-Annex'!Q76</f>
        <v>0</v>
      </c>
      <c r="P159" s="5">
        <f>SUM(P160:P160)</f>
        <v>0</v>
      </c>
    </row>
    <row r="160" spans="1:16" ht="25.5">
      <c r="A160" s="3" t="str">
        <f>'6-A. Proc. Sub-Annex'!A77</f>
        <v>6.1.1.16.1</v>
      </c>
      <c r="B160" s="3" t="str">
        <f>'6-A. Proc. Sub-Annex'!B77</f>
        <v>F.2.1.c</v>
      </c>
      <c r="C160" s="3" t="str">
        <f>'6-A. Proc. Sub-Annex'!C77</f>
        <v>Health Products- Equipment (HPE) - GFATM</v>
      </c>
      <c r="D160" s="5">
        <f>'6-A. Proc. Sub-Annex'!F77</f>
        <v>0</v>
      </c>
      <c r="E160" s="5">
        <f>'6-A. Proc. Sub-Annex'!G77</f>
        <v>0</v>
      </c>
      <c r="F160" s="5">
        <f>'6-A. Proc. Sub-Annex'!H77</f>
        <v>0</v>
      </c>
      <c r="G160" s="5">
        <f>'6-A. Proc. Sub-Annex'!I77</f>
        <v>0</v>
      </c>
      <c r="H160" s="5">
        <f>'6-A. Proc. Sub-Annex'!J77</f>
        <v>0</v>
      </c>
      <c r="I160" s="5">
        <f>'6-A. Proc. Sub-Annex'!K77</f>
        <v>0</v>
      </c>
      <c r="J160" s="5">
        <f>'6-A. Proc. Sub-Annex'!L77</f>
        <v>0</v>
      </c>
      <c r="K160" s="5">
        <f>'6-A. Proc. Sub-Annex'!M77</f>
        <v>0</v>
      </c>
      <c r="L160" s="5">
        <f>'6-A. Proc. Sub-Annex'!N77</f>
        <v>0</v>
      </c>
      <c r="M160" s="5">
        <f>'6-A. Proc. Sub-Annex'!O77</f>
        <v>0</v>
      </c>
      <c r="N160" s="5">
        <f>'6-A. Proc. Sub-Annex'!P77</f>
        <v>0</v>
      </c>
      <c r="O160" s="5">
        <f>'6-A. Proc. Sub-Annex'!Q77</f>
        <v>0</v>
      </c>
      <c r="P160" s="5">
        <f>'6-A. Proc. Sub-Annex'!R77</f>
        <v>0</v>
      </c>
    </row>
    <row r="161" spans="1:16" ht="25.5">
      <c r="A161" s="3" t="str">
        <f>'6-A. Proc. Sub-Annex'!A83</f>
        <v>6.1.1.17</v>
      </c>
      <c r="B161" s="3">
        <f>'6-A. Proc. Sub-Annex'!B83</f>
        <v>0</v>
      </c>
      <c r="C161" s="3" t="str">
        <f>'6-A. Proc. Sub-Annex'!C83</f>
        <v>Procurement of bio-medical and other Equipment: NLEP</v>
      </c>
      <c r="D161" s="5"/>
      <c r="E161" s="5"/>
      <c r="F161" s="5">
        <f>F162</f>
        <v>0</v>
      </c>
      <c r="G161" s="5">
        <f>G162</f>
        <v>0</v>
      </c>
      <c r="H161" s="5">
        <f>H162</f>
        <v>0</v>
      </c>
      <c r="I161" s="5"/>
      <c r="J161" s="5"/>
      <c r="K161" s="5"/>
      <c r="L161" s="5"/>
      <c r="M161" s="5">
        <f>M162</f>
        <v>0</v>
      </c>
      <c r="N161" s="5">
        <f>'6-A. Proc. Sub-Annex'!P83</f>
        <v>0</v>
      </c>
      <c r="O161" s="5">
        <f>'6-A. Proc. Sub-Annex'!Q83</f>
        <v>0</v>
      </c>
      <c r="P161" s="5">
        <f>P162</f>
        <v>0</v>
      </c>
    </row>
    <row r="162" spans="1:16" ht="25.5">
      <c r="A162" s="3" t="str">
        <f>'6-A. Proc. Sub-Annex'!A84</f>
        <v>6.1.1.17.1</v>
      </c>
      <c r="B162" s="3" t="str">
        <f>'6-A. Proc. Sub-Annex'!B84</f>
        <v>G.1.4</v>
      </c>
      <c r="C162" s="3" t="str">
        <f>'6-A. Proc. Sub-Annex'!C84</f>
        <v>Equipment</v>
      </c>
      <c r="D162" s="5">
        <f>'6-A. Proc. Sub-Annex'!F84</f>
        <v>13</v>
      </c>
      <c r="E162" s="5">
        <f>'6-A. Proc. Sub-Annex'!G84</f>
        <v>0</v>
      </c>
      <c r="F162" s="5">
        <f>'6-A. Proc. Sub-Annex'!H84</f>
        <v>0</v>
      </c>
      <c r="G162" s="5">
        <f>'6-A. Proc. Sub-Annex'!I84</f>
        <v>0</v>
      </c>
      <c r="H162" s="5">
        <f>'6-A. Proc. Sub-Annex'!J84</f>
        <v>0</v>
      </c>
      <c r="I162" s="5">
        <f>'6-A. Proc. Sub-Annex'!K84</f>
        <v>0</v>
      </c>
      <c r="J162" s="5">
        <f>'6-A. Proc. Sub-Annex'!L84</f>
        <v>0</v>
      </c>
      <c r="K162" s="5">
        <f>'6-A. Proc. Sub-Annex'!M84</f>
        <v>0</v>
      </c>
      <c r="L162" s="5">
        <f>'6-A. Proc. Sub-Annex'!N84</f>
        <v>0</v>
      </c>
      <c r="M162" s="5">
        <f>'6-A. Proc. Sub-Annex'!O84</f>
        <v>0</v>
      </c>
      <c r="N162" s="5">
        <f>'6-A. Proc. Sub-Annex'!P84</f>
        <v>0</v>
      </c>
      <c r="O162" s="5">
        <f>'6-A. Proc. Sub-Annex'!Q84</f>
        <v>0</v>
      </c>
      <c r="P162" s="5">
        <f>'6-A. Proc. Sub-Annex'!R84</f>
        <v>0</v>
      </c>
    </row>
    <row r="163" spans="1:16" ht="25.5">
      <c r="A163" s="3" t="str">
        <f>'6-A. Proc. Sub-Annex'!A88</f>
        <v>6.1.1.18</v>
      </c>
      <c r="B163" s="3">
        <f>'6-A. Proc. Sub-Annex'!B88</f>
        <v>0</v>
      </c>
      <c r="C163" s="3" t="str">
        <f>'6-A. Proc. Sub-Annex'!C88</f>
        <v>Procurement of bio-medical and other Equipment: NTEP</v>
      </c>
      <c r="D163" s="5"/>
      <c r="E163" s="5"/>
      <c r="F163" s="5">
        <f>F164</f>
        <v>58.8</v>
      </c>
      <c r="G163" s="5">
        <f>G164</f>
        <v>2.72</v>
      </c>
      <c r="H163" s="5">
        <f>H164</f>
        <v>35.770000000000003</v>
      </c>
      <c r="I163" s="5"/>
      <c r="J163" s="5"/>
      <c r="K163" s="5"/>
      <c r="L163" s="5"/>
      <c r="M163" s="5">
        <f>M164</f>
        <v>89.199600000000004</v>
      </c>
      <c r="N163" s="5">
        <f>'6-A. Proc. Sub-Annex'!P88</f>
        <v>0</v>
      </c>
      <c r="O163" s="5">
        <f>'6-A. Proc. Sub-Annex'!Q88</f>
        <v>0</v>
      </c>
      <c r="P163" s="5">
        <f>P164</f>
        <v>89.2</v>
      </c>
    </row>
    <row r="164" spans="1:16" ht="409.5">
      <c r="A164" s="3" t="str">
        <f>'6-A. Proc. Sub-Annex'!A89</f>
        <v>6.1.1.18.1</v>
      </c>
      <c r="B164" s="3" t="str">
        <f>'6-A. Proc. Sub-Annex'!B89</f>
        <v>H.17</v>
      </c>
      <c r="C164" s="3" t="str">
        <f>'6-A. Proc. Sub-Annex'!C89</f>
        <v>Procurement of Equipment</v>
      </c>
      <c r="D164" s="5">
        <f>'6-A. Proc. Sub-Annex'!F89</f>
        <v>34</v>
      </c>
      <c r="E164" s="5">
        <f>'6-A. Proc. Sub-Annex'!G89</f>
        <v>32</v>
      </c>
      <c r="F164" s="5">
        <f>'6-A. Proc. Sub-Annex'!H89</f>
        <v>58.8</v>
      </c>
      <c r="G164" s="5">
        <f>'6-A. Proc. Sub-Annex'!I89</f>
        <v>2.72</v>
      </c>
      <c r="H164" s="5">
        <f>'6-A. Proc. Sub-Annex'!J89</f>
        <v>35.770000000000003</v>
      </c>
      <c r="I164" s="5">
        <f>'6-A. Proc. Sub-Annex'!K89</f>
        <v>29</v>
      </c>
      <c r="J164" s="5">
        <f>'6-A. Proc. Sub-Annex'!L89</f>
        <v>120540</v>
      </c>
      <c r="K164" s="5">
        <f>'6-A. Proc. Sub-Annex'!M89</f>
        <v>1.2054</v>
      </c>
      <c r="L164" s="5">
        <f>'6-A. Proc. Sub-Annex'!N89</f>
        <v>74</v>
      </c>
      <c r="M164" s="5">
        <f>'6-A. Proc. Sub-Annex'!O89</f>
        <v>89.199600000000004</v>
      </c>
      <c r="N164" s="5" t="str">
        <f>'6-A. Proc. Sub-Annex'!O300</f>
        <v>NTEP-1 Procurement of equipments by STDC/IRL/SDS -1) State Drug Store Racking 2) Bed side monitors 3) Computer with printer and internetEstimated budget required:-1) State Drug Store Racking Rs 23,00,000/-       2) Bed side monitors 6 No. Rs 7,00,000/-   3) Computer with printer and internet for procurement, e tendering Rs 70,000/- Total =30.70 lacsDetail:-• The New building of the State drug Store is likely to be functional in the year 2021-22. This store will require racking to store drugs and other consumables for which heavy duty racks are required. As per the current layout, approximately 30 heavy duty racks will be required with an estimate of Rs. 23,00,000/-.  • Bed side monitors with basic parameters are required, one each for six wards, in order to monitor the sick patients• Computer with printer and internet is required for the procurement and e-tendering2. District Hamirpur Rs 1.50 lacs for water bath / electronic weighing machine for chemial ,&amp; Purchase of office equipments for  DTC  Office ( 20,000*4= 80,000/- for  DTO,Accountant , DPC &amp; DRTB-C ). 3. Rs.3.50 lacs proposed by District kullu for procurement of office equipments ,Photostate Machine Fax and Scanner and at DTC  Office.4) Rs. 47.20 lacs by all districts for procurement of 40(40*55,000). Microscopes as per rates found lowest  in the tender by the IRL Dharampur .5) Rs. 3.00 lacs proposed by DTO Sirmaur for procurement of two cardiac monitor, one projector for training hall.6) Rs. 1.50 lacs  by DTO Una for online UPS for CB-NAAT machine.7) Rs.1.00 lacs by District L&amp;S, for office equipments   for DTC  Office.8)Power backup at DRTB ward/ Site and DMC Tanda Rs. 60,000/-10) Power backup at DTC/ Site and CBNAAT Site DMC Dharamshala  @50,000/-11) Procurement of UPS for CB-NAAT site Jewalamukhi @ 80, 000/-12) Procurement of ECG Machine for Dalek Hospital Dharamshala @70,000/- Total=89.20.00 lacs proposed in PIP 2021-22</v>
      </c>
      <c r="O164" s="5" t="str">
        <f>'6-A. Proc. Sub-Annex'!Q89</f>
        <v>Recommended Rs 89.20 lakhs for the following proocurements:1) Rs 30.7 lakhs for State Drug Store Dharampur (30 heavy duty racks, bed side monitor for DRTB Centre Dharampur, computer)2) Rs 5.3 lakhs for Office equipments for 3 DTCs3) Rs 47 lakhs for new 40 microscopes @Rs 55000 4) Rs 3 lakhs for 2 cardiac monitors, and projector (Sirmaur)5) Rs 1.4 lakh for ECG machine, electronic weighing machine, water bath etc 6) Rs 2.3 lakhs for online UPS for 2 CBNAAT machines (Una- Rs 1.5 lakhs, Jwalamukhi – Rs 80000)7) Rs 1.1 lakh for power back up in DRTB ward/DMC/DTC/CBNAAT site</v>
      </c>
      <c r="P164" s="5">
        <f>'6-A. Proc. Sub-Annex'!R89</f>
        <v>89.2</v>
      </c>
    </row>
    <row r="165" spans="1:16" ht="25.5">
      <c r="A165" s="3" t="str">
        <f>'6-A. Proc. Sub-Annex'!A93</f>
        <v>6.1.1.19</v>
      </c>
      <c r="B165" s="3">
        <f>'6-A. Proc. Sub-Annex'!B93</f>
        <v>0</v>
      </c>
      <c r="C165" s="3" t="str">
        <f>'6-A. Proc. Sub-Annex'!C93</f>
        <v>Procurement of bio-medical and other Equipment: NPCB</v>
      </c>
      <c r="D165" s="5"/>
      <c r="E165" s="5"/>
      <c r="F165" s="5">
        <f>SUM(F166:F170)</f>
        <v>191.10000000000002</v>
      </c>
      <c r="G165" s="5">
        <f>SUM(G166:G170)</f>
        <v>6.47</v>
      </c>
      <c r="H165" s="5">
        <f>SUM(H166:H170)</f>
        <v>184.63</v>
      </c>
      <c r="I165" s="5"/>
      <c r="J165" s="5"/>
      <c r="K165" s="5"/>
      <c r="L165" s="5"/>
      <c r="M165" s="5">
        <f>SUM(M166:M170)</f>
        <v>0</v>
      </c>
      <c r="N165" s="5">
        <f>'6-A. Proc. Sub-Annex'!P93</f>
        <v>0</v>
      </c>
      <c r="O165" s="5">
        <f>'6-A. Proc. Sub-Annex'!Q93</f>
        <v>0</v>
      </c>
      <c r="P165" s="5">
        <f>SUM(P166:P170)</f>
        <v>0</v>
      </c>
    </row>
    <row r="166" spans="1:16" ht="25.5">
      <c r="A166" s="3" t="str">
        <f>'6-A. Proc. Sub-Annex'!A94</f>
        <v>6.1.1.19.1</v>
      </c>
      <c r="B166" s="3" t="str">
        <f>'6-A. Proc. Sub-Annex'!B94</f>
        <v>I.2.1.</v>
      </c>
      <c r="C166" s="3" t="str">
        <f>'6-A. Proc. Sub-Annex'!C94</f>
        <v>Grant-in-aid for District Hospitals</v>
      </c>
      <c r="D166" s="5">
        <f>'6-A. Proc. Sub-Annex'!F94</f>
        <v>5</v>
      </c>
      <c r="E166" s="5">
        <f>'6-A. Proc. Sub-Annex'!G94</f>
        <v>0</v>
      </c>
      <c r="F166" s="5">
        <f>'6-A. Proc. Sub-Annex'!H94</f>
        <v>70.2</v>
      </c>
      <c r="G166" s="5">
        <f>'6-A. Proc. Sub-Annex'!I94</f>
        <v>6.47</v>
      </c>
      <c r="H166" s="5">
        <f>'6-A. Proc. Sub-Annex'!J94</f>
        <v>63.73</v>
      </c>
      <c r="I166" s="5">
        <f>'6-A. Proc. Sub-Annex'!K94</f>
        <v>0</v>
      </c>
      <c r="J166" s="5">
        <f>'6-A. Proc. Sub-Annex'!L94</f>
        <v>0</v>
      </c>
      <c r="K166" s="5">
        <f>'6-A. Proc. Sub-Annex'!M94</f>
        <v>0</v>
      </c>
      <c r="L166" s="5">
        <f>'6-A. Proc. Sub-Annex'!N94</f>
        <v>0</v>
      </c>
      <c r="M166" s="5">
        <f>'6-A. Proc. Sub-Annex'!O94</f>
        <v>0</v>
      </c>
      <c r="N166" s="5">
        <f>'6-A. Proc. Sub-Annex'!P94</f>
        <v>0</v>
      </c>
      <c r="O166" s="5">
        <f>'6-A. Proc. Sub-Annex'!Q94</f>
        <v>0</v>
      </c>
      <c r="P166" s="5">
        <f>'6-A. Proc. Sub-Annex'!R94</f>
        <v>0</v>
      </c>
    </row>
    <row r="167" spans="1:16" ht="25.5">
      <c r="A167" s="3" t="str">
        <f>'6-A. Proc. Sub-Annex'!A95</f>
        <v>6.1.1.19.2</v>
      </c>
      <c r="B167" s="3" t="str">
        <f>'6-A. Proc. Sub-Annex'!B95</f>
        <v>I.2.2.</v>
      </c>
      <c r="C167" s="3" t="str">
        <f>'6-A. Proc. Sub-Annex'!C95</f>
        <v>Grant-in-aid for Sub Divisional Hospitals</v>
      </c>
      <c r="D167" s="5">
        <f>'6-A. Proc. Sub-Annex'!F95</f>
        <v>2</v>
      </c>
      <c r="E167" s="5">
        <f>'6-A. Proc. Sub-Annex'!G95</f>
        <v>0</v>
      </c>
      <c r="F167" s="5">
        <f>'6-A. Proc. Sub-Annex'!H95</f>
        <v>80.900000000000006</v>
      </c>
      <c r="G167" s="5">
        <f>'6-A. Proc. Sub-Annex'!I95</f>
        <v>0</v>
      </c>
      <c r="H167" s="5">
        <f>'6-A. Proc. Sub-Annex'!J95</f>
        <v>80.900000000000006</v>
      </c>
      <c r="I167" s="5">
        <f>'6-A. Proc. Sub-Annex'!K95</f>
        <v>0</v>
      </c>
      <c r="J167" s="5">
        <f>'6-A. Proc. Sub-Annex'!L95</f>
        <v>0</v>
      </c>
      <c r="K167" s="5">
        <f>'6-A. Proc. Sub-Annex'!M95</f>
        <v>0</v>
      </c>
      <c r="L167" s="5">
        <f>'6-A. Proc. Sub-Annex'!N95</f>
        <v>0</v>
      </c>
      <c r="M167" s="5">
        <f>'6-A. Proc. Sub-Annex'!O95</f>
        <v>0</v>
      </c>
      <c r="N167" s="5">
        <f>'6-A. Proc. Sub-Annex'!P95</f>
        <v>0</v>
      </c>
      <c r="O167" s="5">
        <f>'6-A. Proc. Sub-Annex'!Q95</f>
        <v>0</v>
      </c>
      <c r="P167" s="5">
        <f>'6-A. Proc. Sub-Annex'!R95</f>
        <v>0</v>
      </c>
    </row>
    <row r="168" spans="1:16" ht="25.5">
      <c r="A168" s="3" t="str">
        <f>'6-A. Proc. Sub-Annex'!A96</f>
        <v>6.1.1.19.3</v>
      </c>
      <c r="B168" s="3" t="str">
        <f>'6-A. Proc. Sub-Annex'!B96</f>
        <v>I.2.3</v>
      </c>
      <c r="C168" s="3" t="str">
        <f>'6-A. Proc. Sub-Annex'!C96</f>
        <v xml:space="preserve">Grant-in-aid for Vision Centre (PHC) (Govt.) </v>
      </c>
      <c r="D168" s="5">
        <f>'6-A. Proc. Sub-Annex'!F96</f>
        <v>0</v>
      </c>
      <c r="E168" s="5">
        <f>'6-A. Proc. Sub-Annex'!G96</f>
        <v>0</v>
      </c>
      <c r="F168" s="5">
        <f>'6-A. Proc. Sub-Annex'!H96</f>
        <v>0</v>
      </c>
      <c r="G168" s="5">
        <f>'6-A. Proc. Sub-Annex'!I96</f>
        <v>0</v>
      </c>
      <c r="H168" s="5">
        <f>'6-A. Proc. Sub-Annex'!J96</f>
        <v>0</v>
      </c>
      <c r="I168" s="5">
        <f>'6-A. Proc. Sub-Annex'!K96</f>
        <v>0</v>
      </c>
      <c r="J168" s="5">
        <f>'6-A. Proc. Sub-Annex'!L96</f>
        <v>0</v>
      </c>
      <c r="K168" s="5">
        <f>'6-A. Proc. Sub-Annex'!M96</f>
        <v>0</v>
      </c>
      <c r="L168" s="5">
        <f>'6-A. Proc. Sub-Annex'!N96</f>
        <v>0</v>
      </c>
      <c r="M168" s="5">
        <f>'6-A. Proc. Sub-Annex'!O96</f>
        <v>0</v>
      </c>
      <c r="N168" s="5">
        <f>'6-A. Proc. Sub-Annex'!P96</f>
        <v>0</v>
      </c>
      <c r="O168" s="5">
        <f>'6-A. Proc. Sub-Annex'!Q96</f>
        <v>0</v>
      </c>
      <c r="P168" s="5">
        <f>'6-A. Proc. Sub-Annex'!R96</f>
        <v>0</v>
      </c>
    </row>
    <row r="169" spans="1:16" ht="25.5">
      <c r="A169" s="3" t="str">
        <f>'6-A. Proc. Sub-Annex'!A97</f>
        <v>6.1.1.19.4</v>
      </c>
      <c r="B169" s="3" t="str">
        <f>'6-A. Proc. Sub-Annex'!B97</f>
        <v>I.2.4</v>
      </c>
      <c r="C169" s="3" t="str">
        <f>'6-A. Proc. Sub-Annex'!C97</f>
        <v>Grant-in-aid for Eye Bank (Govt.)</v>
      </c>
      <c r="D169" s="5">
        <f>'6-A. Proc. Sub-Annex'!F97</f>
        <v>1</v>
      </c>
      <c r="E169" s="5">
        <f>'6-A. Proc. Sub-Annex'!G97</f>
        <v>0</v>
      </c>
      <c r="F169" s="5">
        <f>'6-A. Proc. Sub-Annex'!H97</f>
        <v>40</v>
      </c>
      <c r="G169" s="5">
        <f>'6-A. Proc. Sub-Annex'!I97</f>
        <v>0</v>
      </c>
      <c r="H169" s="5">
        <f>'6-A. Proc. Sub-Annex'!J97</f>
        <v>40</v>
      </c>
      <c r="I169" s="5">
        <f>'6-A. Proc. Sub-Annex'!K97</f>
        <v>0</v>
      </c>
      <c r="J169" s="5">
        <f>'6-A. Proc. Sub-Annex'!L97</f>
        <v>0</v>
      </c>
      <c r="K169" s="5">
        <f>'6-A. Proc. Sub-Annex'!M97</f>
        <v>0</v>
      </c>
      <c r="L169" s="5">
        <f>'6-A. Proc. Sub-Annex'!N97</f>
        <v>0</v>
      </c>
      <c r="M169" s="5">
        <f>'6-A. Proc. Sub-Annex'!O97</f>
        <v>0</v>
      </c>
      <c r="N169" s="5">
        <f>'6-A. Proc. Sub-Annex'!P97</f>
        <v>0</v>
      </c>
      <c r="O169" s="5">
        <f>'6-A. Proc. Sub-Annex'!Q97</f>
        <v>0</v>
      </c>
      <c r="P169" s="5">
        <f>'6-A. Proc. Sub-Annex'!R97</f>
        <v>0</v>
      </c>
    </row>
    <row r="170" spans="1:16" ht="25.5">
      <c r="A170" s="3" t="str">
        <f>'6-A. Proc. Sub-Annex'!A98</f>
        <v>6.1.1.19.5</v>
      </c>
      <c r="B170" s="3" t="str">
        <f>'6-A. Proc. Sub-Annex'!B98</f>
        <v>I.2.5</v>
      </c>
      <c r="C170" s="3" t="str">
        <f>'6-A. Proc. Sub-Annex'!C98</f>
        <v>Grant-in-aid for Eye Donation Centre (Govt.)</v>
      </c>
      <c r="D170" s="5">
        <f>'6-A. Proc. Sub-Annex'!F98</f>
        <v>0</v>
      </c>
      <c r="E170" s="5">
        <f>'6-A. Proc. Sub-Annex'!G98</f>
        <v>0</v>
      </c>
      <c r="F170" s="5">
        <f>'6-A. Proc. Sub-Annex'!H98</f>
        <v>0</v>
      </c>
      <c r="G170" s="5">
        <f>'6-A. Proc. Sub-Annex'!I98</f>
        <v>0</v>
      </c>
      <c r="H170" s="5">
        <f>'6-A. Proc. Sub-Annex'!J98</f>
        <v>0</v>
      </c>
      <c r="I170" s="5">
        <f>'6-A. Proc. Sub-Annex'!K98</f>
        <v>0</v>
      </c>
      <c r="J170" s="5">
        <f>'6-A. Proc. Sub-Annex'!L98</f>
        <v>0</v>
      </c>
      <c r="K170" s="5">
        <f>'6-A. Proc. Sub-Annex'!M98</f>
        <v>0</v>
      </c>
      <c r="L170" s="5">
        <f>'6-A. Proc. Sub-Annex'!N98</f>
        <v>0</v>
      </c>
      <c r="M170" s="5">
        <f>'6-A. Proc. Sub-Annex'!O98</f>
        <v>0</v>
      </c>
      <c r="N170" s="5">
        <f>'6-A. Proc. Sub-Annex'!P98</f>
        <v>0</v>
      </c>
      <c r="O170" s="5">
        <f>'6-A. Proc. Sub-Annex'!Q98</f>
        <v>0</v>
      </c>
      <c r="P170" s="5">
        <f>'6-A. Proc. Sub-Annex'!R98</f>
        <v>0</v>
      </c>
    </row>
    <row r="171" spans="1:16" ht="25.5">
      <c r="A171" s="3" t="str">
        <f>'6-A. Proc. Sub-Annex'!A99</f>
        <v>6.1.1.20</v>
      </c>
      <c r="B171" s="3">
        <f>'6-A. Proc. Sub-Annex'!B99</f>
        <v>0</v>
      </c>
      <c r="C171" s="3" t="str">
        <f>'6-A. Proc. Sub-Annex'!C99</f>
        <v>Procurement of bio-medical and other Equipment: NMHP</v>
      </c>
      <c r="D171" s="5"/>
      <c r="E171" s="5"/>
      <c r="F171" s="5">
        <f>F172</f>
        <v>0</v>
      </c>
      <c r="G171" s="5">
        <f>G172</f>
        <v>0</v>
      </c>
      <c r="H171" s="5">
        <f>H172</f>
        <v>0</v>
      </c>
      <c r="I171" s="5"/>
      <c r="J171" s="5"/>
      <c r="K171" s="5"/>
      <c r="L171" s="5"/>
      <c r="M171" s="5">
        <f>M172</f>
        <v>0</v>
      </c>
      <c r="N171" s="5">
        <f>'6-A. Proc. Sub-Annex'!P99</f>
        <v>0</v>
      </c>
      <c r="O171" s="5">
        <f>'6-A. Proc. Sub-Annex'!Q99</f>
        <v>0</v>
      </c>
      <c r="P171" s="5">
        <f>P172</f>
        <v>0</v>
      </c>
    </row>
    <row r="172" spans="1:16" ht="25.5">
      <c r="A172" s="3" t="str">
        <f>'6-A. Proc. Sub-Annex'!A100</f>
        <v>6.1.1.20.1</v>
      </c>
      <c r="B172" s="3" t="str">
        <f>'6-A. Proc. Sub-Annex'!B100</f>
        <v>J.1.4</v>
      </c>
      <c r="C172" s="3" t="str">
        <f>'6-A. Proc. Sub-Annex'!C100</f>
        <v>Equipment</v>
      </c>
      <c r="D172" s="5">
        <f>'6-A. Proc. Sub-Annex'!F100</f>
        <v>0</v>
      </c>
      <c r="E172" s="5">
        <f>'6-A. Proc. Sub-Annex'!G100</f>
        <v>0</v>
      </c>
      <c r="F172" s="5">
        <f>'6-A. Proc. Sub-Annex'!H100</f>
        <v>0</v>
      </c>
      <c r="G172" s="5">
        <f>'6-A. Proc. Sub-Annex'!I100</f>
        <v>0</v>
      </c>
      <c r="H172" s="5">
        <f>'6-A. Proc. Sub-Annex'!J100</f>
        <v>0</v>
      </c>
      <c r="I172" s="5">
        <f>'6-A. Proc. Sub-Annex'!K100</f>
        <v>0</v>
      </c>
      <c r="J172" s="5">
        <f>'6-A. Proc. Sub-Annex'!L100</f>
        <v>0</v>
      </c>
      <c r="K172" s="5">
        <f>'6-A. Proc. Sub-Annex'!M100</f>
        <v>0</v>
      </c>
      <c r="L172" s="5">
        <f>'6-A. Proc. Sub-Annex'!N100</f>
        <v>0</v>
      </c>
      <c r="M172" s="5">
        <f>'6-A. Proc. Sub-Annex'!O100</f>
        <v>0</v>
      </c>
      <c r="N172" s="5">
        <f>'6-A. Proc. Sub-Annex'!P100</f>
        <v>0</v>
      </c>
      <c r="O172" s="5">
        <f>'6-A. Proc. Sub-Annex'!Q100</f>
        <v>0</v>
      </c>
      <c r="P172" s="5">
        <f>'6-A. Proc. Sub-Annex'!R100</f>
        <v>0</v>
      </c>
    </row>
    <row r="173" spans="1:16" ht="25.5">
      <c r="A173" s="3" t="str">
        <f>'6-A. Proc. Sub-Annex'!A101</f>
        <v>6.1.1.21</v>
      </c>
      <c r="B173" s="3" t="str">
        <f>'6-A. Proc. Sub-Annex'!B101</f>
        <v>B16.1.10</v>
      </c>
      <c r="C173" s="3" t="str">
        <f>'6-A. Proc. Sub-Annex'!C101</f>
        <v>Procurement of bio-medical and other Equipment: NPHCE</v>
      </c>
      <c r="D173" s="5"/>
      <c r="E173" s="5"/>
      <c r="F173" s="5">
        <f>SUM(F174:F178)</f>
        <v>0</v>
      </c>
      <c r="G173" s="5">
        <f>SUM(G174:G178)</f>
        <v>0</v>
      </c>
      <c r="H173" s="5">
        <f>SUM(H174:H178)</f>
        <v>0</v>
      </c>
      <c r="I173" s="5"/>
      <c r="J173" s="5"/>
      <c r="K173" s="5"/>
      <c r="L173" s="5"/>
      <c r="M173" s="5">
        <f>SUM(M174:M178)</f>
        <v>0</v>
      </c>
      <c r="N173" s="5">
        <f>'6-A. Proc. Sub-Annex'!P101</f>
        <v>0</v>
      </c>
      <c r="O173" s="5">
        <f>'6-A. Proc. Sub-Annex'!Q101</f>
        <v>0</v>
      </c>
      <c r="P173" s="5">
        <f>SUM(P174:P178)</f>
        <v>0</v>
      </c>
    </row>
    <row r="174" spans="1:16" ht="38.25">
      <c r="A174" s="3" t="str">
        <f>'6-A. Proc. Sub-Annex'!A102</f>
        <v>6.1.1.21.1</v>
      </c>
      <c r="B174" s="3" t="str">
        <f>'6-A. Proc. Sub-Annex'!B102</f>
        <v>K.1.1.1</v>
      </c>
      <c r="C174" s="3" t="str">
        <f>'6-A. Proc. Sub-Annex'!C102</f>
        <v>Recurring GIA: Machinery &amp; Equipment for DH @ 3 lakh/ CHC @ 0.50 lakh/ PHC @ 0.20 lakh</v>
      </c>
      <c r="D174" s="5">
        <f>'6-A. Proc. Sub-Annex'!F102</f>
        <v>0</v>
      </c>
      <c r="E174" s="5">
        <f>'6-A. Proc. Sub-Annex'!G102</f>
        <v>0</v>
      </c>
      <c r="F174" s="5">
        <f>'6-A. Proc. Sub-Annex'!H102</f>
        <v>0</v>
      </c>
      <c r="G174" s="5">
        <f>'6-A. Proc. Sub-Annex'!I102</f>
        <v>0</v>
      </c>
      <c r="H174" s="5">
        <f>'6-A. Proc. Sub-Annex'!J102</f>
        <v>0</v>
      </c>
      <c r="I174" s="5">
        <f>'6-A. Proc. Sub-Annex'!K102</f>
        <v>0</v>
      </c>
      <c r="J174" s="5">
        <f>'6-A. Proc. Sub-Annex'!L102</f>
        <v>0</v>
      </c>
      <c r="K174" s="5">
        <f>'6-A. Proc. Sub-Annex'!M102</f>
        <v>0</v>
      </c>
      <c r="L174" s="5">
        <f>'6-A. Proc. Sub-Annex'!N102</f>
        <v>0</v>
      </c>
      <c r="M174" s="5">
        <f>'6-A. Proc. Sub-Annex'!O102</f>
        <v>0</v>
      </c>
      <c r="N174" s="5">
        <f>'6-A. Proc. Sub-Annex'!P102</f>
        <v>0</v>
      </c>
      <c r="O174" s="5">
        <f>'6-A. Proc. Sub-Annex'!Q102</f>
        <v>0</v>
      </c>
      <c r="P174" s="5">
        <f>'6-A. Proc. Sub-Annex'!R102</f>
        <v>0</v>
      </c>
    </row>
    <row r="175" spans="1:16" ht="25.5">
      <c r="A175" s="3" t="str">
        <f>'6-A. Proc. Sub-Annex'!A103</f>
        <v>6.1.1.21.2</v>
      </c>
      <c r="B175" s="3" t="str">
        <f>'6-A. Proc. Sub-Annex'!B103</f>
        <v>K.1.4.1</v>
      </c>
      <c r="C175" s="3" t="str">
        <f>'6-A. Proc. Sub-Annex'!C103</f>
        <v>Aids and Appliances for Sub-Centre/HWC Sub Centre</v>
      </c>
      <c r="D175" s="5">
        <f>'6-A. Proc. Sub-Annex'!F103</f>
        <v>0</v>
      </c>
      <c r="E175" s="5">
        <f>'6-A. Proc. Sub-Annex'!G103</f>
        <v>0</v>
      </c>
      <c r="F175" s="5">
        <f>'6-A. Proc. Sub-Annex'!H103</f>
        <v>0</v>
      </c>
      <c r="G175" s="5">
        <f>'6-A. Proc. Sub-Annex'!I103</f>
        <v>0</v>
      </c>
      <c r="H175" s="5">
        <f>'6-A. Proc. Sub-Annex'!J103</f>
        <v>0</v>
      </c>
      <c r="I175" s="5">
        <f>'6-A. Proc. Sub-Annex'!K103</f>
        <v>0</v>
      </c>
      <c r="J175" s="5">
        <f>'6-A. Proc. Sub-Annex'!L103</f>
        <v>0</v>
      </c>
      <c r="K175" s="5">
        <f>'6-A. Proc. Sub-Annex'!M103</f>
        <v>0</v>
      </c>
      <c r="L175" s="5">
        <f>'6-A. Proc. Sub-Annex'!N103</f>
        <v>0</v>
      </c>
      <c r="M175" s="5">
        <f>'6-A. Proc. Sub-Annex'!O103</f>
        <v>0</v>
      </c>
      <c r="N175" s="5">
        <f>'6-A. Proc. Sub-Annex'!P103</f>
        <v>0</v>
      </c>
      <c r="O175" s="5">
        <f>'6-A. Proc. Sub-Annex'!Q103</f>
        <v>0</v>
      </c>
      <c r="P175" s="5">
        <f>'6-A. Proc. Sub-Annex'!R103</f>
        <v>0</v>
      </c>
    </row>
    <row r="176" spans="1:16" ht="25.5">
      <c r="A176" s="3" t="str">
        <f>'6-A. Proc. Sub-Annex'!A104</f>
        <v>6.1.1.21.3</v>
      </c>
      <c r="B176" s="3" t="str">
        <f>'6-A. Proc. Sub-Annex'!B104</f>
        <v>K.2.1.2</v>
      </c>
      <c r="C176" s="3" t="str">
        <f>'6-A. Proc. Sub-Annex'!C104</f>
        <v>Non-recurring GIA: Machinery &amp; Equipment for DH</v>
      </c>
      <c r="D176" s="5">
        <f>'6-A. Proc. Sub-Annex'!F104</f>
        <v>0</v>
      </c>
      <c r="E176" s="5">
        <f>'6-A. Proc. Sub-Annex'!G104</f>
        <v>0</v>
      </c>
      <c r="F176" s="5">
        <f>'6-A. Proc. Sub-Annex'!H104</f>
        <v>0</v>
      </c>
      <c r="G176" s="5">
        <f>'6-A. Proc. Sub-Annex'!I104</f>
        <v>0</v>
      </c>
      <c r="H176" s="5">
        <f>'6-A. Proc. Sub-Annex'!J104</f>
        <v>0</v>
      </c>
      <c r="I176" s="5">
        <f>'6-A. Proc. Sub-Annex'!K104</f>
        <v>0</v>
      </c>
      <c r="J176" s="5">
        <f>'6-A. Proc. Sub-Annex'!L104</f>
        <v>0</v>
      </c>
      <c r="K176" s="5">
        <f>'6-A. Proc. Sub-Annex'!M104</f>
        <v>0</v>
      </c>
      <c r="L176" s="5">
        <f>'6-A. Proc. Sub-Annex'!N104</f>
        <v>0</v>
      </c>
      <c r="M176" s="5">
        <f>'6-A. Proc. Sub-Annex'!O104</f>
        <v>0</v>
      </c>
      <c r="N176" s="5">
        <f>'6-A. Proc. Sub-Annex'!P104</f>
        <v>0</v>
      </c>
      <c r="O176" s="5">
        <f>'6-A. Proc. Sub-Annex'!Q104</f>
        <v>0</v>
      </c>
      <c r="P176" s="5">
        <f>'6-A. Proc. Sub-Annex'!R104</f>
        <v>0</v>
      </c>
    </row>
    <row r="177" spans="1:16" ht="25.5">
      <c r="A177" s="3" t="str">
        <f>'6-A. Proc. Sub-Annex'!A105</f>
        <v>6.1.1.21.4</v>
      </c>
      <c r="B177" s="3" t="str">
        <f>'6-A. Proc. Sub-Annex'!B105</f>
        <v>K.2.2</v>
      </c>
      <c r="C177" s="3" t="str">
        <f>'6-A. Proc. Sub-Annex'!C105</f>
        <v>Non-recurring GIA: Machinery &amp; Equipment for CHC</v>
      </c>
      <c r="D177" s="5">
        <f>'6-A. Proc. Sub-Annex'!F105</f>
        <v>0</v>
      </c>
      <c r="E177" s="5">
        <f>'6-A. Proc. Sub-Annex'!G105</f>
        <v>0</v>
      </c>
      <c r="F177" s="5">
        <f>'6-A. Proc. Sub-Annex'!H105</f>
        <v>0</v>
      </c>
      <c r="G177" s="5">
        <f>'6-A. Proc. Sub-Annex'!I105</f>
        <v>0</v>
      </c>
      <c r="H177" s="5">
        <f>'6-A. Proc. Sub-Annex'!J105</f>
        <v>0</v>
      </c>
      <c r="I177" s="5">
        <f>'6-A. Proc. Sub-Annex'!K105</f>
        <v>0</v>
      </c>
      <c r="J177" s="5">
        <f>'6-A. Proc. Sub-Annex'!L105</f>
        <v>0</v>
      </c>
      <c r="K177" s="5">
        <f>'6-A. Proc. Sub-Annex'!M105</f>
        <v>0</v>
      </c>
      <c r="L177" s="5">
        <f>'6-A. Proc. Sub-Annex'!N105</f>
        <v>0</v>
      </c>
      <c r="M177" s="5">
        <f>'6-A. Proc. Sub-Annex'!O105</f>
        <v>0</v>
      </c>
      <c r="N177" s="5">
        <f>'6-A. Proc. Sub-Annex'!P105</f>
        <v>0</v>
      </c>
      <c r="O177" s="5">
        <f>'6-A. Proc. Sub-Annex'!Q105</f>
        <v>0</v>
      </c>
      <c r="P177" s="5">
        <f>'6-A. Proc. Sub-Annex'!R105</f>
        <v>0</v>
      </c>
    </row>
    <row r="178" spans="1:16" ht="25.5">
      <c r="A178" s="3" t="str">
        <f>'6-A. Proc. Sub-Annex'!A106</f>
        <v>6.1.1.21.5</v>
      </c>
      <c r="B178" s="3" t="str">
        <f>'6-A. Proc. Sub-Annex'!B106</f>
        <v>K.2.3</v>
      </c>
      <c r="C178" s="3" t="str">
        <f>'6-A. Proc. Sub-Annex'!C106</f>
        <v>Non-recurring GIA: Machinery &amp; Equipment for PHC</v>
      </c>
      <c r="D178" s="5">
        <f>'6-A. Proc. Sub-Annex'!F106</f>
        <v>0</v>
      </c>
      <c r="E178" s="5">
        <f>'6-A. Proc. Sub-Annex'!G106</f>
        <v>0</v>
      </c>
      <c r="F178" s="5">
        <f>'6-A. Proc. Sub-Annex'!H106</f>
        <v>0</v>
      </c>
      <c r="G178" s="5">
        <f>'6-A. Proc. Sub-Annex'!I106</f>
        <v>0</v>
      </c>
      <c r="H178" s="5">
        <f>'6-A. Proc. Sub-Annex'!J106</f>
        <v>0</v>
      </c>
      <c r="I178" s="5">
        <f>'6-A. Proc. Sub-Annex'!K106</f>
        <v>0</v>
      </c>
      <c r="J178" s="5">
        <f>'6-A. Proc. Sub-Annex'!L106</f>
        <v>0</v>
      </c>
      <c r="K178" s="5">
        <f>'6-A. Proc. Sub-Annex'!M106</f>
        <v>0</v>
      </c>
      <c r="L178" s="5">
        <f>'6-A. Proc. Sub-Annex'!N106</f>
        <v>0</v>
      </c>
      <c r="M178" s="5">
        <f>'6-A. Proc. Sub-Annex'!O106</f>
        <v>0</v>
      </c>
      <c r="N178" s="5">
        <f>'6-A. Proc. Sub-Annex'!P106</f>
        <v>0</v>
      </c>
      <c r="O178" s="5">
        <f>'6-A. Proc. Sub-Annex'!Q106</f>
        <v>0</v>
      </c>
      <c r="P178" s="5">
        <f>'6-A. Proc. Sub-Annex'!R106</f>
        <v>0</v>
      </c>
    </row>
    <row r="179" spans="1:16" ht="25.5">
      <c r="A179" s="3" t="str">
        <f>'6-A. Proc. Sub-Annex'!A109</f>
        <v>6.1.1.22</v>
      </c>
      <c r="B179" s="3">
        <f>'6-A. Proc. Sub-Annex'!B109</f>
        <v>0</v>
      </c>
      <c r="C179" s="3" t="str">
        <f>'6-A. Proc. Sub-Annex'!C109</f>
        <v>Procurement of bio-medical and other equipment: NTCP</v>
      </c>
      <c r="D179" s="5"/>
      <c r="E179" s="5"/>
      <c r="F179" s="5">
        <f>SUM(F180:F182)</f>
        <v>0</v>
      </c>
      <c r="G179" s="5">
        <f>SUM(G180:G182)</f>
        <v>0</v>
      </c>
      <c r="H179" s="5">
        <f>SUM(H180:H182)</f>
        <v>0</v>
      </c>
      <c r="I179" s="5"/>
      <c r="J179" s="5"/>
      <c r="K179" s="5"/>
      <c r="L179" s="5"/>
      <c r="M179" s="5">
        <f>SUM(M180:M182)</f>
        <v>0</v>
      </c>
      <c r="N179" s="5">
        <f>'6-A. Proc. Sub-Annex'!P109</f>
        <v>0</v>
      </c>
      <c r="O179" s="5">
        <f>'6-A. Proc. Sub-Annex'!Q109</f>
        <v>0</v>
      </c>
      <c r="P179" s="5">
        <f>SUM(P180:P182)</f>
        <v>0</v>
      </c>
    </row>
    <row r="180" spans="1:16" ht="25.5">
      <c r="A180" s="3" t="str">
        <f>'6-A. Proc. Sub-Annex'!A110</f>
        <v>6.1.1.22.1</v>
      </c>
      <c r="B180" s="3" t="str">
        <f>'6-A. Proc. Sub-Annex'!B110</f>
        <v>M.1.5.1</v>
      </c>
      <c r="C180" s="3" t="str">
        <f>'6-A. Proc. Sub-Annex'!C110</f>
        <v>Non-recurring: Equipment for DTCC</v>
      </c>
      <c r="D180" s="5">
        <f>'6-A. Proc. Sub-Annex'!F110</f>
        <v>0</v>
      </c>
      <c r="E180" s="5">
        <f>'6-A. Proc. Sub-Annex'!G110</f>
        <v>0</v>
      </c>
      <c r="F180" s="5">
        <f>'6-A. Proc. Sub-Annex'!H110</f>
        <v>0</v>
      </c>
      <c r="G180" s="5">
        <f>'6-A. Proc. Sub-Annex'!I110</f>
        <v>0</v>
      </c>
      <c r="H180" s="5">
        <f>'6-A. Proc. Sub-Annex'!J110</f>
        <v>0</v>
      </c>
      <c r="I180" s="5">
        <f>'6-A. Proc. Sub-Annex'!K110</f>
        <v>0</v>
      </c>
      <c r="J180" s="5">
        <f>'6-A. Proc. Sub-Annex'!L110</f>
        <v>0</v>
      </c>
      <c r="K180" s="5">
        <f>'6-A. Proc. Sub-Annex'!M110</f>
        <v>0</v>
      </c>
      <c r="L180" s="5">
        <f>'6-A. Proc. Sub-Annex'!N110</f>
        <v>0</v>
      </c>
      <c r="M180" s="5">
        <f>'6-A. Proc. Sub-Annex'!O110</f>
        <v>0</v>
      </c>
      <c r="N180" s="5">
        <f>'6-A. Proc. Sub-Annex'!P110</f>
        <v>0</v>
      </c>
      <c r="O180" s="5">
        <f>'6-A. Proc. Sub-Annex'!Q110</f>
        <v>0</v>
      </c>
      <c r="P180" s="5">
        <f>'6-A. Proc. Sub-Annex'!R110</f>
        <v>0</v>
      </c>
    </row>
    <row r="181" spans="1:16" ht="25.5">
      <c r="A181" s="3" t="str">
        <f>'6-A. Proc. Sub-Annex'!A111</f>
        <v>6.1.1.22.2</v>
      </c>
      <c r="B181" s="3" t="str">
        <f>'6-A. Proc. Sub-Annex'!B111</f>
        <v>M.2.3.1</v>
      </c>
      <c r="C181" s="3" t="str">
        <f>'6-A. Proc. Sub-Annex'!C111</f>
        <v>Non-recurring: Equipment for TCC</v>
      </c>
      <c r="D181" s="5">
        <f>'6-A. Proc. Sub-Annex'!F111</f>
        <v>0</v>
      </c>
      <c r="E181" s="5">
        <f>'6-A. Proc. Sub-Annex'!G111</f>
        <v>0</v>
      </c>
      <c r="F181" s="5">
        <f>'6-A. Proc. Sub-Annex'!H111</f>
        <v>0</v>
      </c>
      <c r="G181" s="5">
        <f>'6-A. Proc. Sub-Annex'!I111</f>
        <v>0</v>
      </c>
      <c r="H181" s="5">
        <f>'6-A. Proc. Sub-Annex'!J111</f>
        <v>0</v>
      </c>
      <c r="I181" s="5">
        <f>'6-A. Proc. Sub-Annex'!K111</f>
        <v>0</v>
      </c>
      <c r="J181" s="5">
        <f>'6-A. Proc. Sub-Annex'!L111</f>
        <v>0</v>
      </c>
      <c r="K181" s="5">
        <f>'6-A. Proc. Sub-Annex'!M111</f>
        <v>0</v>
      </c>
      <c r="L181" s="5">
        <f>'6-A. Proc. Sub-Annex'!N111</f>
        <v>0</v>
      </c>
      <c r="M181" s="5">
        <f>'6-A. Proc. Sub-Annex'!O111</f>
        <v>0</v>
      </c>
      <c r="N181" s="5">
        <f>'6-A. Proc. Sub-Annex'!P111</f>
        <v>0</v>
      </c>
      <c r="O181" s="5">
        <f>'6-A. Proc. Sub-Annex'!Q111</f>
        <v>0</v>
      </c>
      <c r="P181" s="5">
        <f>'6-A. Proc. Sub-Annex'!R111</f>
        <v>0</v>
      </c>
    </row>
    <row r="182" spans="1:16" ht="25.5">
      <c r="A182" s="3" t="str">
        <f>'6-A. Proc. Sub-Annex'!A112</f>
        <v>6.1.1.22.3</v>
      </c>
      <c r="B182" s="3">
        <f>'6-A. Proc. Sub-Annex'!B112</f>
        <v>0</v>
      </c>
      <c r="C182" s="3" t="str">
        <f>'6-A. Proc. Sub-Annex'!C112</f>
        <v>Any other equipment (please specify)</v>
      </c>
      <c r="D182" s="5">
        <f>'6-A. Proc. Sub-Annex'!F112</f>
        <v>0</v>
      </c>
      <c r="E182" s="5">
        <f>'6-A. Proc. Sub-Annex'!G112</f>
        <v>0</v>
      </c>
      <c r="F182" s="5">
        <f>'6-A. Proc. Sub-Annex'!H112</f>
        <v>0</v>
      </c>
      <c r="G182" s="5">
        <f>'6-A. Proc. Sub-Annex'!I112</f>
        <v>0</v>
      </c>
      <c r="H182" s="5">
        <f>'6-A. Proc. Sub-Annex'!J112</f>
        <v>0</v>
      </c>
      <c r="I182" s="5">
        <f>'6-A. Proc. Sub-Annex'!K112</f>
        <v>0</v>
      </c>
      <c r="J182" s="5">
        <f>'6-A. Proc. Sub-Annex'!L112</f>
        <v>0</v>
      </c>
      <c r="K182" s="5">
        <f>'6-A. Proc. Sub-Annex'!M112</f>
        <v>0</v>
      </c>
      <c r="L182" s="5">
        <f>'6-A. Proc. Sub-Annex'!N112</f>
        <v>0</v>
      </c>
      <c r="M182" s="5">
        <f>'6-A. Proc. Sub-Annex'!O112</f>
        <v>0</v>
      </c>
      <c r="N182" s="5">
        <f>'6-A. Proc. Sub-Annex'!P112</f>
        <v>0</v>
      </c>
      <c r="O182" s="5">
        <f>'6-A. Proc. Sub-Annex'!Q112</f>
        <v>0</v>
      </c>
      <c r="P182" s="5">
        <f>'6-A. Proc. Sub-Annex'!R112</f>
        <v>0</v>
      </c>
    </row>
    <row r="183" spans="1:16" ht="25.5">
      <c r="A183" s="3" t="str">
        <f>'6-A. Proc. Sub-Annex'!A113</f>
        <v>6.1.1.23</v>
      </c>
      <c r="B183" s="3">
        <f>'6-A. Proc. Sub-Annex'!B113</f>
        <v>0</v>
      </c>
      <c r="C183" s="3" t="str">
        <f>'6-A. Proc. Sub-Annex'!C113</f>
        <v>Procurement of bio-medical and other equipment: NPCDCS</v>
      </c>
      <c r="D183" s="5"/>
      <c r="E183" s="5"/>
      <c r="F183" s="5">
        <f>SUM(F184:F188)</f>
        <v>0</v>
      </c>
      <c r="G183" s="5">
        <f>SUM(G184:G188)</f>
        <v>0</v>
      </c>
      <c r="H183" s="5">
        <f>SUM(H184:H188)</f>
        <v>0</v>
      </c>
      <c r="I183" s="5"/>
      <c r="J183" s="5"/>
      <c r="K183" s="5"/>
      <c r="L183" s="5"/>
      <c r="M183" s="5">
        <f>SUM(M184:M188)</f>
        <v>80</v>
      </c>
      <c r="N183" s="5">
        <f>'6-A. Proc. Sub-Annex'!P113</f>
        <v>0</v>
      </c>
      <c r="O183" s="5">
        <f>'6-A. Proc. Sub-Annex'!Q113</f>
        <v>0</v>
      </c>
      <c r="P183" s="5">
        <f>SUM(P184:P188)</f>
        <v>30</v>
      </c>
    </row>
    <row r="184" spans="1:16" ht="25.5">
      <c r="A184" s="3" t="str">
        <f>'6-A. Proc. Sub-Annex'!A114</f>
        <v>6.1.1.23.1</v>
      </c>
      <c r="B184" s="3" t="str">
        <f>'6-A. Proc. Sub-Annex'!B114</f>
        <v>O1.1.2.1</v>
      </c>
      <c r="C184" s="3" t="str">
        <f>'6-A. Proc. Sub-Annex'!C114</f>
        <v>Non-recurring: Equipping Cardiac Care Unit (CCU)/ICU</v>
      </c>
      <c r="D184" s="5">
        <f>'6-A. Proc. Sub-Annex'!F114</f>
        <v>0</v>
      </c>
      <c r="E184" s="5">
        <f>'6-A. Proc. Sub-Annex'!G114</f>
        <v>0</v>
      </c>
      <c r="F184" s="5">
        <f>'6-A. Proc. Sub-Annex'!H114</f>
        <v>0</v>
      </c>
      <c r="G184" s="5">
        <f>'6-A. Proc. Sub-Annex'!I114</f>
        <v>0</v>
      </c>
      <c r="H184" s="5">
        <f>'6-A. Proc. Sub-Annex'!J114</f>
        <v>0</v>
      </c>
      <c r="I184" s="5">
        <f>'6-A. Proc. Sub-Annex'!K114</f>
        <v>0</v>
      </c>
      <c r="J184" s="5">
        <f>'6-A. Proc. Sub-Annex'!L114</f>
        <v>0</v>
      </c>
      <c r="K184" s="5">
        <f>'6-A. Proc. Sub-Annex'!M114</f>
        <v>0</v>
      </c>
      <c r="L184" s="5">
        <f>'6-A. Proc. Sub-Annex'!N114</f>
        <v>0</v>
      </c>
      <c r="M184" s="5">
        <f>'6-A. Proc. Sub-Annex'!O114</f>
        <v>0</v>
      </c>
      <c r="N184" s="5">
        <f>'6-A. Proc. Sub-Annex'!P114</f>
        <v>0</v>
      </c>
      <c r="O184" s="5">
        <f>'6-A. Proc. Sub-Annex'!Q114</f>
        <v>0</v>
      </c>
      <c r="P184" s="5">
        <f>'6-A. Proc. Sub-Annex'!R114</f>
        <v>0</v>
      </c>
    </row>
    <row r="185" spans="1:16" ht="153">
      <c r="A185" s="3" t="str">
        <f>'6-A. Proc. Sub-Annex'!A115</f>
        <v>6.1.1.23.2</v>
      </c>
      <c r="B185" s="3" t="str">
        <f>'6-A. Proc. Sub-Annex'!B115</f>
        <v>O1.1.2.2</v>
      </c>
      <c r="C185" s="3" t="str">
        <f>'6-A. Proc. Sub-Annex'!C115</f>
        <v>Non recurring: Equipment for Cancer  Care</v>
      </c>
      <c r="D185" s="5">
        <f>'6-A. Proc. Sub-Annex'!F115</f>
        <v>0</v>
      </c>
      <c r="E185" s="5">
        <f>'6-A. Proc. Sub-Annex'!G115</f>
        <v>0</v>
      </c>
      <c r="F185" s="5">
        <f>'6-A. Proc. Sub-Annex'!H115</f>
        <v>0</v>
      </c>
      <c r="G185" s="5">
        <f>'6-A. Proc. Sub-Annex'!I115</f>
        <v>0</v>
      </c>
      <c r="H185" s="5">
        <f>'6-A. Proc. Sub-Annex'!J115</f>
        <v>0</v>
      </c>
      <c r="I185" s="5">
        <f>'6-A. Proc. Sub-Annex'!K115</f>
        <v>0</v>
      </c>
      <c r="J185" s="5">
        <f>'6-A. Proc. Sub-Annex'!L115</f>
        <v>50000</v>
      </c>
      <c r="K185" s="5">
        <f>'6-A. Proc. Sub-Annex'!M115</f>
        <v>0.5</v>
      </c>
      <c r="L185" s="5">
        <f>'6-A. Proc. Sub-Annex'!N115</f>
        <v>10</v>
      </c>
      <c r="M185" s="5">
        <f>'6-A. Proc. Sub-Annex'!O115</f>
        <v>5</v>
      </c>
      <c r="N185" s="5" t="str">
        <f>'6-A. Proc. Sub-Annex'!P115</f>
        <v>We are setting up 10 integrated  Nirog clinics in HP in high load facility to manage all common NCDs DM,HTN cancers/chemotherapy, palliative care,COPD etc. The funds under this head are proposed for the procurement of cryoset with cyllinder @ Rs 50000 x10 =500000.</v>
      </c>
      <c r="O185" s="5" t="str">
        <f>'6-A. Proc. Sub-Annex'!Q115</f>
        <v xml:space="preserve">Recommended for approval for procurement of cryoset with cyllinder. </v>
      </c>
      <c r="P185" s="5">
        <f>'6-A. Proc. Sub-Annex'!R115</f>
        <v>5</v>
      </c>
    </row>
    <row r="186" spans="1:16" ht="89.25">
      <c r="A186" s="3" t="str">
        <f>'6-A. Proc. Sub-Annex'!A116</f>
        <v>6.1.1.23.3</v>
      </c>
      <c r="B186" s="3" t="str">
        <f>'6-A. Proc. Sub-Annex'!B116</f>
        <v>O1.1.3.2</v>
      </c>
      <c r="C186" s="3" t="str">
        <f>'6-A. Proc. Sub-Annex'!C116</f>
        <v>Non-recurring: Equipment at District NCD clinic</v>
      </c>
      <c r="D186" s="5">
        <f>'6-A. Proc. Sub-Annex'!F116</f>
        <v>0</v>
      </c>
      <c r="E186" s="5">
        <f>'6-A. Proc. Sub-Annex'!G116</f>
        <v>0</v>
      </c>
      <c r="F186" s="5">
        <f>'6-A. Proc. Sub-Annex'!H116</f>
        <v>0</v>
      </c>
      <c r="G186" s="5">
        <f>'6-A. Proc. Sub-Annex'!I116</f>
        <v>0</v>
      </c>
      <c r="H186" s="5">
        <f>'6-A. Proc. Sub-Annex'!J116</f>
        <v>0</v>
      </c>
      <c r="I186" s="5">
        <f>'6-A. Proc. Sub-Annex'!K116</f>
        <v>1</v>
      </c>
      <c r="J186" s="5">
        <f>'6-A. Proc. Sub-Annex'!L116</f>
        <v>500000</v>
      </c>
      <c r="K186" s="5">
        <f>'6-A. Proc. Sub-Annex'!M116</f>
        <v>5</v>
      </c>
      <c r="L186" s="5">
        <f>'6-A. Proc. Sub-Annex'!N116</f>
        <v>10</v>
      </c>
      <c r="M186" s="5">
        <f>'6-A. Proc. Sub-Annex'!O116</f>
        <v>50</v>
      </c>
      <c r="N186" s="5">
        <f>'6-A. Proc. Sub-Annex'!P116</f>
        <v>0</v>
      </c>
      <c r="O186" s="5" t="str">
        <f>'6-A. Proc. Sub-Annex'!Q116</f>
        <v>As suggested in NPCC meeting, the State has distributed Rs. 50 L in the following FMR codes such as FMR 5.3.1.7/O1.1.2.1, FMR 6.1.5.5/O1.1.2.2 and FMR Any other equipment (please specify). It may not be recommended.</v>
      </c>
      <c r="P186" s="5">
        <f>'6-A. Proc. Sub-Annex'!R116</f>
        <v>0</v>
      </c>
    </row>
    <row r="187" spans="1:16" ht="25.5">
      <c r="A187" s="3" t="str">
        <f>'6-A. Proc. Sub-Annex'!A117</f>
        <v>6.1.1.23.4</v>
      </c>
      <c r="B187" s="3" t="str">
        <f>'6-A. Proc. Sub-Annex'!B117</f>
        <v>O1.1.4.1</v>
      </c>
      <c r="C187" s="3" t="str">
        <f>'6-A. Proc. Sub-Annex'!C117</f>
        <v>Non-recurring: Equipment at CHC NCD clinic</v>
      </c>
      <c r="D187" s="5">
        <f>'6-A. Proc. Sub-Annex'!F117</f>
        <v>0</v>
      </c>
      <c r="E187" s="5">
        <f>'6-A. Proc. Sub-Annex'!G117</f>
        <v>0</v>
      </c>
      <c r="F187" s="5">
        <f>'6-A. Proc. Sub-Annex'!H117</f>
        <v>0</v>
      </c>
      <c r="G187" s="5">
        <f>'6-A. Proc. Sub-Annex'!I117</f>
        <v>0</v>
      </c>
      <c r="H187" s="5">
        <f>'6-A. Proc. Sub-Annex'!J117</f>
        <v>0</v>
      </c>
      <c r="I187" s="5">
        <f>'6-A. Proc. Sub-Annex'!K117</f>
        <v>0</v>
      </c>
      <c r="J187" s="5">
        <f>'6-A. Proc. Sub-Annex'!L117</f>
        <v>0</v>
      </c>
      <c r="K187" s="5">
        <f>'6-A. Proc. Sub-Annex'!M117</f>
        <v>0</v>
      </c>
      <c r="L187" s="5">
        <f>'6-A. Proc. Sub-Annex'!N117</f>
        <v>0</v>
      </c>
      <c r="M187" s="5">
        <f>'6-A. Proc. Sub-Annex'!O117</f>
        <v>0</v>
      </c>
      <c r="N187" s="5">
        <f>'6-A. Proc. Sub-Annex'!P117</f>
        <v>0</v>
      </c>
      <c r="O187" s="5">
        <f>'6-A. Proc. Sub-Annex'!Q117</f>
        <v>0</v>
      </c>
      <c r="P187" s="5">
        <f>'6-A. Proc. Sub-Annex'!R117</f>
        <v>0</v>
      </c>
    </row>
    <row r="188" spans="1:16" ht="178.5">
      <c r="A188" s="3" t="str">
        <f>'6-A. Proc. Sub-Annex'!A119</f>
        <v>6.1.1.23.5</v>
      </c>
      <c r="B188" s="3">
        <f>'6-A. Proc. Sub-Annex'!B119</f>
        <v>0</v>
      </c>
      <c r="C188" s="3" t="str">
        <f>'6-A. Proc. Sub-Annex'!C119</f>
        <v>Any other equipment (please specify)</v>
      </c>
      <c r="D188" s="5">
        <f>'6-A. Proc. Sub-Annex'!F119</f>
        <v>0</v>
      </c>
      <c r="E188" s="5">
        <f>'6-A. Proc. Sub-Annex'!G119</f>
        <v>0</v>
      </c>
      <c r="F188" s="5">
        <f>'6-A. Proc. Sub-Annex'!H119</f>
        <v>0</v>
      </c>
      <c r="G188" s="5">
        <f>'6-A. Proc. Sub-Annex'!I119</f>
        <v>0</v>
      </c>
      <c r="H188" s="5">
        <f>'6-A. Proc. Sub-Annex'!J119</f>
        <v>0</v>
      </c>
      <c r="I188" s="5">
        <f>'6-A. Proc. Sub-Annex'!K119</f>
        <v>1</v>
      </c>
      <c r="J188" s="5">
        <f>'6-A. Proc. Sub-Annex'!L119</f>
        <v>250000</v>
      </c>
      <c r="K188" s="5">
        <f>'6-A. Proc. Sub-Annex'!M119</f>
        <v>2.5</v>
      </c>
      <c r="L188" s="5">
        <f>'6-A. Proc. Sub-Annex'!N119</f>
        <v>10</v>
      </c>
      <c r="M188" s="5">
        <f>'6-A. Proc. Sub-Annex'!O119</f>
        <v>25</v>
      </c>
      <c r="N188" s="5" t="str">
        <f>'6-A. Proc. Sub-Annex'!P119</f>
        <v xml:space="preserve">We are setting up 10 integrated  Nirog clinics in HP in high load facility to manage all common NCDs DM,HTN cancers/chemotherapy, palliative care,COPD etc. The funds under this head are proposed for the procurement of COPD euipments i.e Spirometer, nebuliser, peak flowmeter @ 2.5 lakh per unit x10 = 25 lakhs </v>
      </c>
      <c r="O188" s="5" t="str">
        <f>'6-A. Proc. Sub-Annex'!Q119</f>
        <v xml:space="preserve">Recommended for approval for procurement of COPD equipments (Spirometer, Nebuliser, Peak Flowmeter) for 10 Integrated Nirog clinics </v>
      </c>
      <c r="P188" s="5">
        <f>'6-A. Proc. Sub-Annex'!R119</f>
        <v>25</v>
      </c>
    </row>
    <row r="189" spans="1:16" ht="25.5">
      <c r="A189" s="3" t="str">
        <f>'6-A. Proc. Sub-Annex'!A120</f>
        <v>6.1.1.24</v>
      </c>
      <c r="B189" s="3" t="str">
        <f>'6-A. Proc. Sub-Annex'!B120</f>
        <v>B.13.4</v>
      </c>
      <c r="C189" s="3" t="str">
        <f>'6-A. Proc. Sub-Annex'!C120</f>
        <v>Procurement of bio-medical and other equipment: National Dialysis Programme</v>
      </c>
      <c r="D189" s="5"/>
      <c r="E189" s="5"/>
      <c r="F189" s="5">
        <f>SUM(F190:F191)</f>
        <v>0</v>
      </c>
      <c r="G189" s="5">
        <f>SUM(G190:G191)</f>
        <v>0</v>
      </c>
      <c r="H189" s="5">
        <f>SUM(H190:H191)</f>
        <v>0</v>
      </c>
      <c r="I189" s="5"/>
      <c r="J189" s="5"/>
      <c r="K189" s="5"/>
      <c r="L189" s="5"/>
      <c r="M189" s="5">
        <f>SUM(M190:M191)</f>
        <v>0</v>
      </c>
      <c r="N189" s="5">
        <f>'6-A. Proc. Sub-Annex'!P120</f>
        <v>0</v>
      </c>
      <c r="O189" s="5">
        <f>'6-A. Proc. Sub-Annex'!Q120</f>
        <v>0</v>
      </c>
      <c r="P189" s="5">
        <f>SUM(P190:P191)</f>
        <v>0</v>
      </c>
    </row>
    <row r="190" spans="1:16" ht="25.5">
      <c r="A190" s="3" t="str">
        <f>'6-A. Proc. Sub-Annex'!A121</f>
        <v>6.1.1.24.1</v>
      </c>
      <c r="B190" s="3">
        <f>'6-A. Proc. Sub-Annex'!B121</f>
        <v>0</v>
      </c>
      <c r="C190" s="3" t="str">
        <f>'6-A. Proc. Sub-Annex'!C121</f>
        <v xml:space="preserve">Medical devices as per National Dialysis Programme </v>
      </c>
      <c r="D190" s="5">
        <f>'6-A. Proc. Sub-Annex'!F121</f>
        <v>0</v>
      </c>
      <c r="E190" s="5">
        <f>'6-A. Proc. Sub-Annex'!G121</f>
        <v>0</v>
      </c>
      <c r="F190" s="5">
        <f>'6-A. Proc. Sub-Annex'!H121</f>
        <v>0</v>
      </c>
      <c r="G190" s="5">
        <f>'6-A. Proc. Sub-Annex'!I121</f>
        <v>0</v>
      </c>
      <c r="H190" s="5">
        <f>'6-A. Proc. Sub-Annex'!J121</f>
        <v>0</v>
      </c>
      <c r="I190" s="5">
        <f>'6-A. Proc. Sub-Annex'!K121</f>
        <v>0</v>
      </c>
      <c r="J190" s="5">
        <f>'6-A. Proc. Sub-Annex'!L121</f>
        <v>0</v>
      </c>
      <c r="K190" s="5">
        <f>'6-A. Proc. Sub-Annex'!M121</f>
        <v>0</v>
      </c>
      <c r="L190" s="5">
        <f>'6-A. Proc. Sub-Annex'!N121</f>
        <v>0</v>
      </c>
      <c r="M190" s="5">
        <f>'6-A. Proc. Sub-Annex'!O121</f>
        <v>0</v>
      </c>
      <c r="N190" s="5">
        <f>'6-A. Proc. Sub-Annex'!P121</f>
        <v>0</v>
      </c>
      <c r="O190" s="5">
        <f>'6-A. Proc. Sub-Annex'!Q121</f>
        <v>0</v>
      </c>
      <c r="P190" s="5">
        <f>'6-A. Proc. Sub-Annex'!R121</f>
        <v>0</v>
      </c>
    </row>
    <row r="191" spans="1:16" ht="25.5">
      <c r="A191" s="3" t="str">
        <f>'6-A. Proc. Sub-Annex'!A122</f>
        <v>6.1.1.24.2</v>
      </c>
      <c r="B191" s="3">
        <f>'6-A. Proc. Sub-Annex'!B122</f>
        <v>0</v>
      </c>
      <c r="C191" s="3" t="str">
        <f>'6-A. Proc. Sub-Annex'!C122</f>
        <v>Any other equipment (please specify)</v>
      </c>
      <c r="D191" s="5">
        <f>'6-A. Proc. Sub-Annex'!F122</f>
        <v>0</v>
      </c>
      <c r="E191" s="5">
        <f>'6-A. Proc. Sub-Annex'!G122</f>
        <v>0</v>
      </c>
      <c r="F191" s="5">
        <f>'6-A. Proc. Sub-Annex'!H122</f>
        <v>0</v>
      </c>
      <c r="G191" s="5">
        <f>'6-A. Proc. Sub-Annex'!I122</f>
        <v>0</v>
      </c>
      <c r="H191" s="5">
        <f>'6-A. Proc. Sub-Annex'!J122</f>
        <v>0</v>
      </c>
      <c r="I191" s="5">
        <f>'6-A. Proc. Sub-Annex'!K122</f>
        <v>0</v>
      </c>
      <c r="J191" s="5">
        <f>'6-A. Proc. Sub-Annex'!L122</f>
        <v>0</v>
      </c>
      <c r="K191" s="5">
        <f>'6-A. Proc. Sub-Annex'!M122</f>
        <v>0</v>
      </c>
      <c r="L191" s="5">
        <f>'6-A. Proc. Sub-Annex'!N122</f>
        <v>0</v>
      </c>
      <c r="M191" s="5">
        <f>'6-A. Proc. Sub-Annex'!O122</f>
        <v>0</v>
      </c>
      <c r="N191" s="5">
        <f>'6-A. Proc. Sub-Annex'!P122</f>
        <v>0</v>
      </c>
      <c r="O191" s="5">
        <f>'6-A. Proc. Sub-Annex'!Q122</f>
        <v>0</v>
      </c>
      <c r="P191" s="5">
        <f>'6-A. Proc. Sub-Annex'!R122</f>
        <v>0</v>
      </c>
    </row>
    <row r="192" spans="1:16">
      <c r="A192" s="3" t="str">
        <f>'6-A. Proc. Sub-Annex'!A55</f>
        <v>6.1.1.25</v>
      </c>
      <c r="B192" s="3">
        <f>'6-A. Proc. Sub-Annex'!B55</f>
        <v>0</v>
      </c>
      <c r="C192" s="3" t="str">
        <f>'6-A. Proc. Sub-Annex'!C55</f>
        <v>Procurement of any other equipment</v>
      </c>
      <c r="D192" s="5"/>
      <c r="E192" s="5"/>
      <c r="F192" s="5">
        <f>SUM(F193:F193)</f>
        <v>0</v>
      </c>
      <c r="G192" s="5">
        <f>SUM(G193:G193)</f>
        <v>0</v>
      </c>
      <c r="H192" s="5">
        <f>SUM(H193:H193)</f>
        <v>0</v>
      </c>
      <c r="I192" s="5"/>
      <c r="J192" s="5"/>
      <c r="K192" s="5"/>
      <c r="L192" s="5"/>
      <c r="M192" s="5">
        <f>SUM(M193:M193)</f>
        <v>0</v>
      </c>
      <c r="N192" s="5">
        <f>'6-A. Proc. Sub-Annex'!P55</f>
        <v>0</v>
      </c>
      <c r="O192" s="5">
        <f>'6-A. Proc. Sub-Annex'!Q55</f>
        <v>0</v>
      </c>
      <c r="P192" s="5">
        <f>SUM(P193:P193)</f>
        <v>0</v>
      </c>
    </row>
    <row r="193" spans="1:16" ht="38.25">
      <c r="A193" s="3" t="str">
        <f>'6-A. Proc. Sub-Annex'!A56</f>
        <v>6.1.1.25.1</v>
      </c>
      <c r="B193" s="3">
        <f>'6-A. Proc. Sub-Annex'!B56</f>
        <v>0</v>
      </c>
      <c r="C193" s="3" t="str">
        <f>'6-A. Proc. Sub-Annex'!C56</f>
        <v>Any other equipment for hospital strengthening as per IPHS (please specify)</v>
      </c>
      <c r="D193" s="5">
        <f>'6-A. Proc. Sub-Annex'!F56</f>
        <v>0</v>
      </c>
      <c r="E193" s="5">
        <f>'6-A. Proc. Sub-Annex'!G56</f>
        <v>0</v>
      </c>
      <c r="F193" s="5">
        <f>'6-A. Proc. Sub-Annex'!H56</f>
        <v>0</v>
      </c>
      <c r="G193" s="5">
        <f>'6-A. Proc. Sub-Annex'!I56</f>
        <v>0</v>
      </c>
      <c r="H193" s="5">
        <f>'6-A. Proc. Sub-Annex'!J56</f>
        <v>0</v>
      </c>
      <c r="I193" s="5">
        <f>'6-A. Proc. Sub-Annex'!K56</f>
        <v>0</v>
      </c>
      <c r="J193" s="5">
        <f>'6-A. Proc. Sub-Annex'!L56</f>
        <v>0</v>
      </c>
      <c r="K193" s="5">
        <f>'6-A. Proc. Sub-Annex'!M56</f>
        <v>0</v>
      </c>
      <c r="L193" s="5">
        <f>'6-A. Proc. Sub-Annex'!N56</f>
        <v>0</v>
      </c>
      <c r="M193" s="5">
        <f>'6-A. Proc. Sub-Annex'!O56</f>
        <v>0</v>
      </c>
      <c r="N193" s="5">
        <f>'6-A. Proc. Sub-Annex'!P56</f>
        <v>0</v>
      </c>
      <c r="O193" s="5">
        <f>'6-A. Proc. Sub-Annex'!Q56</f>
        <v>0</v>
      </c>
      <c r="P193" s="5">
        <f>'6-A. Proc. Sub-Annex'!R56</f>
        <v>0</v>
      </c>
    </row>
    <row r="194" spans="1:16" ht="102">
      <c r="A194" s="3" t="str">
        <f>'6-A. Proc. Sub-Annex'!A17</f>
        <v>6.1.2.1.1</v>
      </c>
      <c r="B194" s="3">
        <f>'6-A. Proc. Sub-Annex'!B17</f>
        <v>0</v>
      </c>
      <c r="C194" s="3" t="str">
        <f>'6-A. Proc. Sub-Annex'!C17</f>
        <v>Furniture for paediatric OPD and ward</v>
      </c>
      <c r="D194" s="5">
        <f>'6-A. Proc. Sub-Annex'!F17</f>
        <v>0</v>
      </c>
      <c r="E194" s="5">
        <f>'6-A. Proc. Sub-Annex'!G17</f>
        <v>0</v>
      </c>
      <c r="F194" s="5">
        <f>'6-A. Proc. Sub-Annex'!H17</f>
        <v>0</v>
      </c>
      <c r="G194" s="5">
        <f>'6-A. Proc. Sub-Annex'!I17</f>
        <v>0</v>
      </c>
      <c r="H194" s="5">
        <f>'6-A. Proc. Sub-Annex'!J17</f>
        <v>0</v>
      </c>
      <c r="I194" s="5">
        <f>'6-A. Proc. Sub-Annex'!K17</f>
        <v>1</v>
      </c>
      <c r="J194" s="5">
        <f>'6-A. Proc. Sub-Annex'!L17</f>
        <v>20000</v>
      </c>
      <c r="K194" s="5">
        <f>'6-A. Proc. Sub-Annex'!M17</f>
        <v>0.2</v>
      </c>
      <c r="L194" s="5">
        <f>'6-A. Proc. Sub-Annex'!N17</f>
        <v>15</v>
      </c>
      <c r="M194" s="5">
        <f>'6-A. Proc. Sub-Annex'!O17</f>
        <v>3</v>
      </c>
      <c r="N194" s="5" t="str">
        <f>'6-A. Proc. Sub-Annex'!P17</f>
        <v>Fund proposed for KMC chairs for the replacement of worn out KMC chairs in SNCUs</v>
      </c>
      <c r="O194" s="5" t="str">
        <f>'6-A. Proc. Sub-Annex'!Q17</f>
        <v>New Activity:Rs. 3 lakh is recommended for procurement of 15 KMC Chairs @ Rs. 20000 INR each chair for replacement of old chairs at SNCUs.The State to ensure procurement following due norms and book the expenditure as per actual.</v>
      </c>
      <c r="P194" s="5">
        <f>'6-A. Proc. Sub-Annex'!R17</f>
        <v>3</v>
      </c>
    </row>
    <row r="195" spans="1:16" ht="25.5">
      <c r="A195" s="3" t="str">
        <f>'6-A. Proc. Sub-Annex'!A32</f>
        <v>6.1.2.1.2</v>
      </c>
      <c r="B195" s="3" t="str">
        <f>'6-A. Proc. Sub-Annex'!B32</f>
        <v>B16.1.6.3.3</v>
      </c>
      <c r="C195" s="3" t="str">
        <f>'6-A. Proc. Sub-Annex'!C32</f>
        <v>Laptop for mobile health teams</v>
      </c>
      <c r="D195" s="5">
        <f>'6-A. Proc. Sub-Annex'!F32</f>
        <v>10</v>
      </c>
      <c r="E195" s="5">
        <f>'6-A. Proc. Sub-Annex'!G32</f>
        <v>0</v>
      </c>
      <c r="F195" s="5">
        <f>'6-A. Proc. Sub-Annex'!H32</f>
        <v>5</v>
      </c>
      <c r="G195" s="5">
        <f>'6-A. Proc. Sub-Annex'!I32</f>
        <v>0</v>
      </c>
      <c r="H195" s="5">
        <f>'6-A. Proc. Sub-Annex'!J32</f>
        <v>5</v>
      </c>
      <c r="I195" s="5">
        <f>'6-A. Proc. Sub-Annex'!K32</f>
        <v>0</v>
      </c>
      <c r="J195" s="5">
        <f>'6-A. Proc. Sub-Annex'!L32</f>
        <v>0</v>
      </c>
      <c r="K195" s="5">
        <f>'6-A. Proc. Sub-Annex'!M32</f>
        <v>0</v>
      </c>
      <c r="L195" s="5">
        <f>'6-A. Proc. Sub-Annex'!N32</f>
        <v>0</v>
      </c>
      <c r="M195" s="5">
        <f>'6-A. Proc. Sub-Annex'!O32</f>
        <v>0</v>
      </c>
      <c r="N195" s="5">
        <f>'6-A. Proc. Sub-Annex'!P32</f>
        <v>0</v>
      </c>
      <c r="O195" s="5" t="str">
        <f>'6-A. Proc. Sub-Annex'!Q32</f>
        <v>-</v>
      </c>
      <c r="P195" s="5">
        <f>'6-A. Proc. Sub-Annex'!R32</f>
        <v>0</v>
      </c>
    </row>
    <row r="196" spans="1:16" ht="25.5">
      <c r="A196" s="3" t="str">
        <f>'6-A. Proc. Sub-Annex'!A33</f>
        <v>6.1.2.1.3</v>
      </c>
      <c r="B196" s="3" t="str">
        <f>'6-A. Proc. Sub-Annex'!B33</f>
        <v>B16.1.6.3.4</v>
      </c>
      <c r="C196" s="3" t="str">
        <f>'6-A. Proc. Sub-Annex'!C33</f>
        <v>Desktop for DEIC</v>
      </c>
      <c r="D196" s="5">
        <f>'6-A. Proc. Sub-Annex'!F33</f>
        <v>5</v>
      </c>
      <c r="E196" s="5">
        <f>'6-A. Proc. Sub-Annex'!G33</f>
        <v>0</v>
      </c>
      <c r="F196" s="5">
        <f>'6-A. Proc. Sub-Annex'!H33</f>
        <v>2.5</v>
      </c>
      <c r="G196" s="5">
        <f>'6-A. Proc. Sub-Annex'!I33</f>
        <v>0</v>
      </c>
      <c r="H196" s="5">
        <f>'6-A. Proc. Sub-Annex'!J33</f>
        <v>2.5</v>
      </c>
      <c r="I196" s="5">
        <f>'6-A. Proc. Sub-Annex'!K33</f>
        <v>0</v>
      </c>
      <c r="J196" s="5">
        <f>'6-A. Proc. Sub-Annex'!L33</f>
        <v>0</v>
      </c>
      <c r="K196" s="5">
        <f>'6-A. Proc. Sub-Annex'!M33</f>
        <v>0</v>
      </c>
      <c r="L196" s="5">
        <f>'6-A. Proc. Sub-Annex'!N33</f>
        <v>0</v>
      </c>
      <c r="M196" s="5">
        <f>'6-A. Proc. Sub-Annex'!O33</f>
        <v>0</v>
      </c>
      <c r="N196" s="5">
        <f>'6-A. Proc. Sub-Annex'!P33</f>
        <v>0</v>
      </c>
      <c r="O196" s="5" t="str">
        <f>'6-A. Proc. Sub-Annex'!Q33</f>
        <v>-</v>
      </c>
      <c r="P196" s="5">
        <f>'6-A. Proc. Sub-Annex'!R33</f>
        <v>0</v>
      </c>
    </row>
    <row r="197" spans="1:16" ht="25.5">
      <c r="A197" s="3" t="str">
        <f>'6-A. Proc. Sub-Annex'!A78</f>
        <v>6.1.2.2.1</v>
      </c>
      <c r="B197" s="3" t="str">
        <f>'6-A. Proc. Sub-Annex'!B78</f>
        <v>F.1.3.f</v>
      </c>
      <c r="C197" s="3" t="str">
        <f>'6-A. Proc. Sub-Annex'!C78</f>
        <v>Fogging Machine</v>
      </c>
      <c r="D197" s="5">
        <f>'6-A. Proc. Sub-Annex'!F78</f>
        <v>0</v>
      </c>
      <c r="E197" s="5">
        <f>'6-A. Proc. Sub-Annex'!G78</f>
        <v>0</v>
      </c>
      <c r="F197" s="5">
        <f>'6-A. Proc. Sub-Annex'!H78</f>
        <v>0</v>
      </c>
      <c r="G197" s="5">
        <f>'6-A. Proc. Sub-Annex'!I78</f>
        <v>0</v>
      </c>
      <c r="H197" s="5">
        <f>'6-A. Proc. Sub-Annex'!J78</f>
        <v>0</v>
      </c>
      <c r="I197" s="5">
        <f>'6-A. Proc. Sub-Annex'!K78</f>
        <v>0</v>
      </c>
      <c r="J197" s="5">
        <f>'6-A. Proc. Sub-Annex'!L78</f>
        <v>0</v>
      </c>
      <c r="K197" s="5">
        <f>'6-A. Proc. Sub-Annex'!M78</f>
        <v>0</v>
      </c>
      <c r="L197" s="5">
        <f>'6-A. Proc. Sub-Annex'!N78</f>
        <v>0</v>
      </c>
      <c r="M197" s="5">
        <f>'6-A. Proc. Sub-Annex'!O78</f>
        <v>0</v>
      </c>
      <c r="N197" s="5">
        <f>'6-A. Proc. Sub-Annex'!P78</f>
        <v>0</v>
      </c>
      <c r="O197" s="5">
        <f>'6-A. Proc. Sub-Annex'!Q78</f>
        <v>0</v>
      </c>
      <c r="P197" s="5">
        <f>'6-A. Proc. Sub-Annex'!R78</f>
        <v>0</v>
      </c>
    </row>
    <row r="198" spans="1:16" ht="25.5">
      <c r="A198" s="3" t="str">
        <f>'6-A. Proc. Sub-Annex'!A79</f>
        <v>6.1.2.2.2</v>
      </c>
      <c r="B198" s="3" t="str">
        <f>'6-A. Proc. Sub-Annex'!B79</f>
        <v>F.1.5.a</v>
      </c>
      <c r="C198" s="3" t="str">
        <f>'6-A. Proc. Sub-Annex'!C79</f>
        <v>Spray Pumps &amp; accessories</v>
      </c>
      <c r="D198" s="5">
        <f>'6-A. Proc. Sub-Annex'!F79</f>
        <v>0</v>
      </c>
      <c r="E198" s="5">
        <f>'6-A. Proc. Sub-Annex'!G79</f>
        <v>0</v>
      </c>
      <c r="F198" s="5">
        <f>'6-A. Proc. Sub-Annex'!H79</f>
        <v>0</v>
      </c>
      <c r="G198" s="5">
        <f>'6-A. Proc. Sub-Annex'!I79</f>
        <v>0</v>
      </c>
      <c r="H198" s="5">
        <f>'6-A. Proc. Sub-Annex'!J79</f>
        <v>0</v>
      </c>
      <c r="I198" s="5">
        <f>'6-A. Proc. Sub-Annex'!K79</f>
        <v>0</v>
      </c>
      <c r="J198" s="5">
        <f>'6-A. Proc. Sub-Annex'!L79</f>
        <v>0</v>
      </c>
      <c r="K198" s="5">
        <f>'6-A. Proc. Sub-Annex'!M79</f>
        <v>0</v>
      </c>
      <c r="L198" s="5">
        <f>'6-A. Proc. Sub-Annex'!N79</f>
        <v>0</v>
      </c>
      <c r="M198" s="5">
        <f>'6-A. Proc. Sub-Annex'!O79</f>
        <v>0</v>
      </c>
      <c r="N198" s="5">
        <f>'6-A. Proc. Sub-Annex'!P79</f>
        <v>0</v>
      </c>
      <c r="O198" s="5">
        <f>'6-A. Proc. Sub-Annex'!Q79</f>
        <v>0</v>
      </c>
      <c r="P198" s="5">
        <f>'6-A. Proc. Sub-Annex'!R79</f>
        <v>0</v>
      </c>
    </row>
    <row r="199" spans="1:16" ht="25.5">
      <c r="A199" s="3" t="str">
        <f>'6-A. Proc. Sub-Annex'!A80</f>
        <v>6.1.2.2.3</v>
      </c>
      <c r="B199" s="3" t="str">
        <f>'6-A. Proc. Sub-Annex'!B80</f>
        <v>F.2.1.f</v>
      </c>
      <c r="C199" s="3" t="str">
        <f>'6-A. Proc. Sub-Annex'!C80</f>
        <v>Non-Health Equipment (NHP) - GFATM</v>
      </c>
      <c r="D199" s="5">
        <f>'6-A. Proc. Sub-Annex'!F80</f>
        <v>0</v>
      </c>
      <c r="E199" s="5">
        <f>'6-A. Proc. Sub-Annex'!G80</f>
        <v>0</v>
      </c>
      <c r="F199" s="5">
        <f>'6-A. Proc. Sub-Annex'!H80</f>
        <v>0</v>
      </c>
      <c r="G199" s="5">
        <f>'6-A. Proc. Sub-Annex'!I80</f>
        <v>0</v>
      </c>
      <c r="H199" s="5">
        <f>'6-A. Proc. Sub-Annex'!J80</f>
        <v>0</v>
      </c>
      <c r="I199" s="5">
        <f>'6-A. Proc. Sub-Annex'!K80</f>
        <v>0</v>
      </c>
      <c r="J199" s="5">
        <f>'6-A. Proc. Sub-Annex'!L80</f>
        <v>0</v>
      </c>
      <c r="K199" s="5">
        <f>'6-A. Proc. Sub-Annex'!M80</f>
        <v>0</v>
      </c>
      <c r="L199" s="5">
        <f>'6-A. Proc. Sub-Annex'!N80</f>
        <v>0</v>
      </c>
      <c r="M199" s="5">
        <f>'6-A. Proc. Sub-Annex'!O80</f>
        <v>0</v>
      </c>
      <c r="N199" s="5">
        <f>'6-A. Proc. Sub-Annex'!P80</f>
        <v>0</v>
      </c>
      <c r="O199" s="5">
        <f>'6-A. Proc. Sub-Annex'!Q80</f>
        <v>0</v>
      </c>
      <c r="P199" s="5">
        <f>'6-A. Proc. Sub-Annex'!R80</f>
        <v>0</v>
      </c>
    </row>
    <row r="200" spans="1:16" ht="25.5">
      <c r="A200" s="3" t="str">
        <f>'6-A. Proc. Sub-Annex'!A81</f>
        <v>6.1.2.2.4</v>
      </c>
      <c r="B200" s="3">
        <f>'6-A. Proc. Sub-Annex'!B81</f>
        <v>0</v>
      </c>
      <c r="C200" s="3" t="str">
        <f>'6-A. Proc. Sub-Annex'!C81</f>
        <v>Logistic for Entomological Lab Strengthening and others under MVCR</v>
      </c>
      <c r="D200" s="5">
        <f>'6-A. Proc. Sub-Annex'!F81</f>
        <v>0</v>
      </c>
      <c r="E200" s="5">
        <f>'6-A. Proc. Sub-Annex'!G81</f>
        <v>0</v>
      </c>
      <c r="F200" s="5">
        <f>'6-A. Proc. Sub-Annex'!H81</f>
        <v>0</v>
      </c>
      <c r="G200" s="5">
        <f>'6-A. Proc. Sub-Annex'!I81</f>
        <v>0</v>
      </c>
      <c r="H200" s="5">
        <f>'6-A. Proc. Sub-Annex'!J81</f>
        <v>0</v>
      </c>
      <c r="I200" s="5">
        <f>'6-A. Proc. Sub-Annex'!K81</f>
        <v>0</v>
      </c>
      <c r="J200" s="5">
        <f>'6-A. Proc. Sub-Annex'!L81</f>
        <v>0</v>
      </c>
      <c r="K200" s="5">
        <f>'6-A. Proc. Sub-Annex'!M81</f>
        <v>0</v>
      </c>
      <c r="L200" s="5">
        <f>'6-A. Proc. Sub-Annex'!N81</f>
        <v>0</v>
      </c>
      <c r="M200" s="5">
        <f>'6-A. Proc. Sub-Annex'!O81</f>
        <v>0</v>
      </c>
      <c r="N200" s="5">
        <f>'6-A. Proc. Sub-Annex'!P81</f>
        <v>0</v>
      </c>
      <c r="O200" s="5">
        <f>'6-A. Proc. Sub-Annex'!Q81</f>
        <v>0</v>
      </c>
      <c r="P200" s="5">
        <f>'6-A. Proc. Sub-Annex'!R81</f>
        <v>0</v>
      </c>
    </row>
    <row r="201" spans="1:16" ht="51">
      <c r="A201" s="3" t="str">
        <f>'6-A. Proc. Sub-Annex'!A82</f>
        <v>6.1.1.16.2/ 6.1.2.2.5</v>
      </c>
      <c r="B201" s="3">
        <f>'6-A. Proc. Sub-Annex'!B82</f>
        <v>0</v>
      </c>
      <c r="C201" s="3" t="str">
        <f>'6-A. Proc. Sub-Annex'!C82</f>
        <v>Any other equipment (please specify)</v>
      </c>
      <c r="D201" s="5">
        <f>'6-A. Proc. Sub-Annex'!F82</f>
        <v>0</v>
      </c>
      <c r="E201" s="5">
        <f>'6-A. Proc. Sub-Annex'!G82</f>
        <v>0</v>
      </c>
      <c r="F201" s="5">
        <f>'6-A. Proc. Sub-Annex'!H82</f>
        <v>0</v>
      </c>
      <c r="G201" s="5">
        <f>'6-A. Proc. Sub-Annex'!I82</f>
        <v>0</v>
      </c>
      <c r="H201" s="5">
        <f>'6-A. Proc. Sub-Annex'!J82</f>
        <v>0</v>
      </c>
      <c r="I201" s="5">
        <f>'6-A. Proc. Sub-Annex'!K82</f>
        <v>0</v>
      </c>
      <c r="J201" s="5">
        <f>'6-A. Proc. Sub-Annex'!L82</f>
        <v>0</v>
      </c>
      <c r="K201" s="5">
        <f>'6-A. Proc. Sub-Annex'!M82</f>
        <v>0</v>
      </c>
      <c r="L201" s="5">
        <f>'6-A. Proc. Sub-Annex'!N82</f>
        <v>0</v>
      </c>
      <c r="M201" s="5">
        <f>'6-A. Proc. Sub-Annex'!O82</f>
        <v>0</v>
      </c>
      <c r="N201" s="5">
        <f>'6-A. Proc. Sub-Annex'!P82</f>
        <v>0</v>
      </c>
      <c r="O201" s="5">
        <f>'6-A. Proc. Sub-Annex'!Q82</f>
        <v>0</v>
      </c>
      <c r="P201" s="5">
        <f>'6-A. Proc. Sub-Annex'!R82</f>
        <v>0</v>
      </c>
    </row>
    <row r="202" spans="1:16" ht="51">
      <c r="A202" s="3" t="str">
        <f>'6-A. Proc. Sub-Annex'!A85</f>
        <v>6.1.2.3.1</v>
      </c>
      <c r="B202" s="3" t="str">
        <f>'6-A. Proc. Sub-Annex'!B85</f>
        <v>G.2.1</v>
      </c>
      <c r="C202" s="3" t="str">
        <f>'6-A. Proc. Sub-Annex'!C85</f>
        <v>MCR</v>
      </c>
      <c r="D202" s="5">
        <f>'6-A. Proc. Sub-Annex'!F85</f>
        <v>300</v>
      </c>
      <c r="E202" s="5">
        <f>'6-A. Proc. Sub-Annex'!G85</f>
        <v>0</v>
      </c>
      <c r="F202" s="5">
        <f>'6-A. Proc. Sub-Annex'!H85</f>
        <v>1.2</v>
      </c>
      <c r="G202" s="5">
        <f>'6-A. Proc. Sub-Annex'!I85</f>
        <v>0</v>
      </c>
      <c r="H202" s="5">
        <f>'6-A. Proc. Sub-Annex'!J85</f>
        <v>0.9</v>
      </c>
      <c r="I202" s="5">
        <f>'6-A. Proc. Sub-Annex'!K85</f>
        <v>0</v>
      </c>
      <c r="J202" s="5">
        <f>'6-A. Proc. Sub-Annex'!L85</f>
        <v>300</v>
      </c>
      <c r="K202" s="5">
        <f>'6-A. Proc. Sub-Annex'!M85</f>
        <v>3.0000000000000001E-3</v>
      </c>
      <c r="L202" s="5">
        <f>'6-A. Proc. Sub-Annex'!N85</f>
        <v>300</v>
      </c>
      <c r="M202" s="5">
        <f>'6-A. Proc. Sub-Annex'!O85</f>
        <v>0.9</v>
      </c>
      <c r="N202" s="5" t="str">
        <f>'6-A. Proc. Sub-Annex'!P85</f>
        <v>MCR culler Rabber MCR for all patients twice a year as per approved rates of GOI.</v>
      </c>
      <c r="O202" s="5" t="str">
        <f>'6-A. Proc. Sub-Annex'!Q85</f>
        <v xml:space="preserve">Recommended. However, state has not conducted this activity since April, 2020. State should start this activity immediately. </v>
      </c>
      <c r="P202" s="5">
        <f>'6-A. Proc. Sub-Annex'!R85</f>
        <v>0.9</v>
      </c>
    </row>
    <row r="203" spans="1:16" ht="38.25">
      <c r="A203" s="3" t="str">
        <f>'6-A. Proc. Sub-Annex'!A86</f>
        <v>6.1.2.3.2</v>
      </c>
      <c r="B203" s="3" t="str">
        <f>'6-A. Proc. Sub-Annex'!B86</f>
        <v>G.2.2</v>
      </c>
      <c r="C203" s="3" t="str">
        <f>'6-A. Proc. Sub-Annex'!C86</f>
        <v>Aids/Appliance</v>
      </c>
      <c r="D203" s="5">
        <f>'6-A. Proc. Sub-Annex'!F86</f>
        <v>10</v>
      </c>
      <c r="E203" s="5">
        <f>'6-A. Proc. Sub-Annex'!G86</f>
        <v>0</v>
      </c>
      <c r="F203" s="5">
        <f>'6-A. Proc. Sub-Annex'!H86</f>
        <v>3</v>
      </c>
      <c r="G203" s="5">
        <f>'6-A. Proc. Sub-Annex'!I86</f>
        <v>0</v>
      </c>
      <c r="H203" s="5">
        <f>'6-A. Proc. Sub-Annex'!J86</f>
        <v>1</v>
      </c>
      <c r="I203" s="5">
        <f>'6-A. Proc. Sub-Annex'!K86</f>
        <v>0</v>
      </c>
      <c r="J203" s="5">
        <f>'6-A. Proc. Sub-Annex'!L86</f>
        <v>12500</v>
      </c>
      <c r="K203" s="5">
        <f>'6-A. Proc. Sub-Annex'!M86</f>
        <v>0.125</v>
      </c>
      <c r="L203" s="5">
        <f>'6-A. Proc. Sub-Annex'!N86</f>
        <v>12</v>
      </c>
      <c r="M203" s="5">
        <f>'6-A. Proc. Sub-Annex'!O86</f>
        <v>1.5</v>
      </c>
      <c r="N203" s="5" t="str">
        <f>'6-A. Proc. Sub-Annex'!P86</f>
        <v>Appliances like crutches, wheel chair, splints to NLEP Patients.</v>
      </c>
      <c r="O203" s="5" t="str">
        <f>'6-A. Proc. Sub-Annex'!Q86</f>
        <v xml:space="preserve"> Recommended </v>
      </c>
      <c r="P203" s="5">
        <f>'6-A. Proc. Sub-Annex'!R86</f>
        <v>1.5</v>
      </c>
    </row>
    <row r="204" spans="1:16" ht="25.5">
      <c r="A204" s="3" t="str">
        <f>'6-A. Proc. Sub-Annex'!A87</f>
        <v>6.1.2.3.3</v>
      </c>
      <c r="B204" s="3">
        <f>'6-A. Proc. Sub-Annex'!B87</f>
        <v>0</v>
      </c>
      <c r="C204" s="3" t="str">
        <f>'6-A. Proc. Sub-Annex'!C87</f>
        <v>Any other equipment (please specify)</v>
      </c>
      <c r="D204" s="5">
        <f>'6-A. Proc. Sub-Annex'!F87</f>
        <v>0</v>
      </c>
      <c r="E204" s="5">
        <f>'6-A. Proc. Sub-Annex'!G87</f>
        <v>0</v>
      </c>
      <c r="F204" s="5">
        <f>'6-A. Proc. Sub-Annex'!H87</f>
        <v>0</v>
      </c>
      <c r="G204" s="5">
        <f>'6-A. Proc. Sub-Annex'!I87</f>
        <v>0</v>
      </c>
      <c r="H204" s="5">
        <f>'6-A. Proc. Sub-Annex'!J87</f>
        <v>0</v>
      </c>
      <c r="I204" s="5">
        <f>'6-A. Proc. Sub-Annex'!K87</f>
        <v>0</v>
      </c>
      <c r="J204" s="5">
        <f>'6-A. Proc. Sub-Annex'!L87</f>
        <v>0</v>
      </c>
      <c r="K204" s="5">
        <f>'6-A. Proc. Sub-Annex'!M87</f>
        <v>0</v>
      </c>
      <c r="L204" s="5">
        <f>'6-A. Proc. Sub-Annex'!N87</f>
        <v>0</v>
      </c>
      <c r="M204" s="5">
        <f>'6-A. Proc. Sub-Annex'!O87</f>
        <v>0</v>
      </c>
      <c r="N204" s="5">
        <f>'6-A. Proc. Sub-Annex'!P87</f>
        <v>0</v>
      </c>
      <c r="O204" s="5">
        <f>'6-A. Proc. Sub-Annex'!Q87</f>
        <v>0</v>
      </c>
      <c r="P204" s="5">
        <f>'6-A. Proc. Sub-Annex'!R87</f>
        <v>0</v>
      </c>
    </row>
    <row r="205" spans="1:16" ht="38.25">
      <c r="A205" s="3" t="str">
        <f>'6-A. Proc. Sub-Annex'!A107</f>
        <v>6.1.2.4.1</v>
      </c>
      <c r="B205" s="3" t="str">
        <f>'6-A. Proc. Sub-Annex'!B107</f>
        <v>K.2.1.1</v>
      </c>
      <c r="C205" s="3" t="str">
        <f>'6-A. Proc. Sub-Annex'!C107</f>
        <v>Non-recurring GIA: Furniture of Geriatrics Unit with 10 beds and OPD facilities at DH</v>
      </c>
      <c r="D205" s="5">
        <f>'6-A. Proc. Sub-Annex'!F107</f>
        <v>0</v>
      </c>
      <c r="E205" s="5">
        <f>'6-A. Proc. Sub-Annex'!G107</f>
        <v>0</v>
      </c>
      <c r="F205" s="5">
        <f>'6-A. Proc. Sub-Annex'!H107</f>
        <v>0</v>
      </c>
      <c r="G205" s="5">
        <f>'6-A. Proc. Sub-Annex'!I107</f>
        <v>0</v>
      </c>
      <c r="H205" s="5">
        <f>'6-A. Proc. Sub-Annex'!J107</f>
        <v>0</v>
      </c>
      <c r="I205" s="5">
        <f>'6-A. Proc. Sub-Annex'!K107</f>
        <v>0</v>
      </c>
      <c r="J205" s="5">
        <f>'6-A. Proc. Sub-Annex'!L107</f>
        <v>0</v>
      </c>
      <c r="K205" s="5">
        <f>'6-A. Proc. Sub-Annex'!M107</f>
        <v>0</v>
      </c>
      <c r="L205" s="5">
        <f>'6-A. Proc. Sub-Annex'!N107</f>
        <v>0</v>
      </c>
      <c r="M205" s="5">
        <f>'6-A. Proc. Sub-Annex'!O107</f>
        <v>0</v>
      </c>
      <c r="N205" s="5">
        <f>'6-A. Proc. Sub-Annex'!P107</f>
        <v>0</v>
      </c>
      <c r="O205" s="5">
        <f>'6-A. Proc. Sub-Annex'!Q107</f>
        <v>0</v>
      </c>
      <c r="P205" s="5">
        <f>'6-A. Proc. Sub-Annex'!R107</f>
        <v>0</v>
      </c>
    </row>
    <row r="206" spans="1:16" ht="25.5">
      <c r="A206" s="3" t="str">
        <f>'6-A. Proc. Sub-Annex'!A108</f>
        <v>6.1.2.4.2</v>
      </c>
      <c r="B206" s="3">
        <f>'6-A. Proc. Sub-Annex'!B108</f>
        <v>0</v>
      </c>
      <c r="C206" s="3" t="str">
        <f>'6-A. Proc. Sub-Annex'!C108</f>
        <v>Any other equipment (please specify)</v>
      </c>
      <c r="D206" s="5">
        <f>'6-A. Proc. Sub-Annex'!F108</f>
        <v>0</v>
      </c>
      <c r="E206" s="5">
        <f>'6-A. Proc. Sub-Annex'!G108</f>
        <v>0</v>
      </c>
      <c r="F206" s="5">
        <f>'6-A. Proc. Sub-Annex'!H108</f>
        <v>0</v>
      </c>
      <c r="G206" s="5">
        <f>'6-A. Proc. Sub-Annex'!I108</f>
        <v>0</v>
      </c>
      <c r="H206" s="5">
        <f>'6-A. Proc. Sub-Annex'!J108</f>
        <v>0</v>
      </c>
      <c r="I206" s="5">
        <f>'6-A. Proc. Sub-Annex'!K108</f>
        <v>0</v>
      </c>
      <c r="J206" s="5">
        <f>'6-A. Proc. Sub-Annex'!L108</f>
        <v>0</v>
      </c>
      <c r="K206" s="5">
        <f>'6-A. Proc. Sub-Annex'!M108</f>
        <v>0</v>
      </c>
      <c r="L206" s="5">
        <f>'6-A. Proc. Sub-Annex'!N108</f>
        <v>0</v>
      </c>
      <c r="M206" s="5">
        <f>'6-A. Proc. Sub-Annex'!O108</f>
        <v>0</v>
      </c>
      <c r="N206" s="5">
        <f>'6-A. Proc. Sub-Annex'!P108</f>
        <v>0</v>
      </c>
      <c r="O206" s="5">
        <f>'6-A. Proc. Sub-Annex'!Q108</f>
        <v>0</v>
      </c>
      <c r="P206" s="5">
        <f>'6-A. Proc. Sub-Annex'!R108</f>
        <v>0</v>
      </c>
    </row>
    <row r="207" spans="1:16">
      <c r="A207" s="3" t="str">
        <f>'6-A. Proc. Sub-Annex'!A59</f>
        <v>6.1.2.5</v>
      </c>
      <c r="B207" s="3">
        <f>'6-A. Proc. Sub-Annex'!B59</f>
        <v>0</v>
      </c>
      <c r="C207" s="3" t="str">
        <f>'6-A. Proc. Sub-Annex'!C59</f>
        <v>IT Equipment for HWC</v>
      </c>
      <c r="D207" s="5"/>
      <c r="E207" s="5"/>
      <c r="F207" s="5">
        <f>SUM(F208:F209)</f>
        <v>329.4</v>
      </c>
      <c r="G207" s="5">
        <f>SUM(G208:G209)</f>
        <v>0.03</v>
      </c>
      <c r="H207" s="5">
        <f>SUM(H208:H209)</f>
        <v>329.37</v>
      </c>
      <c r="I207" s="5"/>
      <c r="J207" s="5"/>
      <c r="K207" s="5"/>
      <c r="L207" s="5"/>
      <c r="M207" s="5">
        <f>SUM(M208:M209)</f>
        <v>0</v>
      </c>
      <c r="N207" s="5">
        <f>'6-A. Proc. Sub-Annex'!P59</f>
        <v>0</v>
      </c>
      <c r="O207" s="5">
        <f>'6-A. Proc. Sub-Annex'!Q59</f>
        <v>0</v>
      </c>
      <c r="P207" s="5">
        <f>SUM(P208:P209)</f>
        <v>0</v>
      </c>
    </row>
    <row r="208" spans="1:16" ht="25.5">
      <c r="A208" s="3" t="str">
        <f>'6-A. Proc. Sub-Annex'!A60</f>
        <v>6.1.2.5.1</v>
      </c>
      <c r="B208" s="3">
        <f>'6-A. Proc. Sub-Annex'!B60</f>
        <v>0</v>
      </c>
      <c r="C208" s="3" t="str">
        <f>'6-A. Proc. Sub-Annex'!C60</f>
        <v xml:space="preserve">IT equipment for HWCs (PHC and SHCS) </v>
      </c>
      <c r="D208" s="5">
        <f>'6-A. Proc. Sub-Annex'!F60</f>
        <v>0</v>
      </c>
      <c r="E208" s="5">
        <f>'6-A. Proc. Sub-Annex'!G60</f>
        <v>0</v>
      </c>
      <c r="F208" s="5">
        <f>'6-A. Proc. Sub-Annex'!H60</f>
        <v>0</v>
      </c>
      <c r="G208" s="5">
        <f>'6-A. Proc. Sub-Annex'!I60</f>
        <v>0</v>
      </c>
      <c r="H208" s="5">
        <f>'6-A. Proc. Sub-Annex'!J60</f>
        <v>0</v>
      </c>
      <c r="I208" s="5">
        <f>'6-A. Proc. Sub-Annex'!K60</f>
        <v>0</v>
      </c>
      <c r="J208" s="5">
        <f>'6-A. Proc. Sub-Annex'!L60</f>
        <v>0</v>
      </c>
      <c r="K208" s="5">
        <f>'6-A. Proc. Sub-Annex'!M60</f>
        <v>0</v>
      </c>
      <c r="L208" s="5">
        <f>'6-A. Proc. Sub-Annex'!N60</f>
        <v>0</v>
      </c>
      <c r="M208" s="5">
        <f>'6-A. Proc. Sub-Annex'!O60</f>
        <v>0</v>
      </c>
      <c r="N208" s="5">
        <f>'6-A. Proc. Sub-Annex'!P60</f>
        <v>0</v>
      </c>
      <c r="O208" s="5">
        <f>'6-A. Proc. Sub-Annex'!Q60</f>
        <v>0</v>
      </c>
      <c r="P208" s="5">
        <f>'6-A. Proc. Sub-Annex'!R60</f>
        <v>0</v>
      </c>
    </row>
    <row r="209" spans="1:16" ht="25.5">
      <c r="A209" s="3" t="str">
        <f>'6-A. Proc. Sub-Annex'!A62</f>
        <v>6.1.2.5.2</v>
      </c>
      <c r="B209" s="3">
        <f>'6-A. Proc. Sub-Annex'!B62</f>
        <v>0</v>
      </c>
      <c r="C209" s="3" t="str">
        <f>'6-A. Proc. Sub-Annex'!C62</f>
        <v>Tablets; software for implementation of ANMOL</v>
      </c>
      <c r="D209" s="5">
        <f>'6-A. Proc. Sub-Annex'!F62</f>
        <v>3294</v>
      </c>
      <c r="E209" s="5">
        <f>'6-A. Proc. Sub-Annex'!G62</f>
        <v>0</v>
      </c>
      <c r="F209" s="5">
        <f>'6-A. Proc. Sub-Annex'!H62</f>
        <v>329.4</v>
      </c>
      <c r="G209" s="5">
        <f>'6-A. Proc. Sub-Annex'!I62</f>
        <v>0.03</v>
      </c>
      <c r="H209" s="5">
        <f>'6-A. Proc. Sub-Annex'!J62</f>
        <v>329.37</v>
      </c>
      <c r="I209" s="5">
        <f>'6-A. Proc. Sub-Annex'!K62</f>
        <v>0</v>
      </c>
      <c r="J209" s="5">
        <f>'6-A. Proc. Sub-Annex'!L62</f>
        <v>0</v>
      </c>
      <c r="K209" s="5">
        <f>'6-A. Proc. Sub-Annex'!M62</f>
        <v>0</v>
      </c>
      <c r="L209" s="5">
        <f>'6-A. Proc. Sub-Annex'!N62</f>
        <v>0</v>
      </c>
      <c r="M209" s="5">
        <f>'6-A. Proc. Sub-Annex'!O62</f>
        <v>0</v>
      </c>
      <c r="N209" s="5">
        <f>'6-A. Proc. Sub-Annex'!P62</f>
        <v>0</v>
      </c>
      <c r="O209" s="5">
        <f>'6-A. Proc. Sub-Annex'!Q62</f>
        <v>0</v>
      </c>
      <c r="P209" s="5">
        <f>'6-A. Proc. Sub-Annex'!R62</f>
        <v>0</v>
      </c>
    </row>
    <row r="210" spans="1:16" ht="25.5">
      <c r="A210" s="3" t="str">
        <f>'6-A. Proc. Sub-Annex'!A118</f>
        <v>6.1.2.6.1</v>
      </c>
      <c r="B210" s="3" t="str">
        <f>'6-A. Proc. Sub-Annex'!B118</f>
        <v>B.18.2</v>
      </c>
      <c r="C210" s="3" t="str">
        <f>'6-A. Proc. Sub-Annex'!C118</f>
        <v>Procurement for Universal Screening of NCDs</v>
      </c>
      <c r="D210" s="5">
        <f>'6-A. Proc. Sub-Annex'!F118</f>
        <v>0</v>
      </c>
      <c r="E210" s="5">
        <f>'6-A. Proc. Sub-Annex'!G118</f>
        <v>0</v>
      </c>
      <c r="F210" s="5">
        <f>'6-A. Proc. Sub-Annex'!H118</f>
        <v>0</v>
      </c>
      <c r="G210" s="5">
        <f>'6-A. Proc. Sub-Annex'!I118</f>
        <v>0</v>
      </c>
      <c r="H210" s="5">
        <f>'6-A. Proc. Sub-Annex'!J118</f>
        <v>0</v>
      </c>
      <c r="I210" s="5">
        <f>'6-A. Proc. Sub-Annex'!K118</f>
        <v>0</v>
      </c>
      <c r="J210" s="5">
        <f>'6-A. Proc. Sub-Annex'!L118</f>
        <v>0</v>
      </c>
      <c r="K210" s="5">
        <f>'6-A. Proc. Sub-Annex'!M118</f>
        <v>0</v>
      </c>
      <c r="L210" s="5">
        <f>'6-A. Proc. Sub-Annex'!N118</f>
        <v>0</v>
      </c>
      <c r="M210" s="5">
        <f>'6-A. Proc. Sub-Annex'!O118</f>
        <v>0</v>
      </c>
      <c r="N210" s="5">
        <f>'6-A. Proc. Sub-Annex'!P118</f>
        <v>0</v>
      </c>
      <c r="O210" s="5">
        <f>'6-A. Proc. Sub-Annex'!Q118</f>
        <v>0</v>
      </c>
      <c r="P210" s="5">
        <f>'6-A. Proc. Sub-Annex'!R118</f>
        <v>0</v>
      </c>
    </row>
    <row r="211" spans="1:16" ht="25.5">
      <c r="A211" s="3" t="str">
        <f>'6-A. Proc. Sub-Annex'!A63</f>
        <v>6.1.2.6.2</v>
      </c>
      <c r="B211" s="3">
        <f>'6-A. Proc. Sub-Annex'!B63</f>
        <v>0</v>
      </c>
      <c r="C211" s="3" t="str">
        <f>'6-A. Proc. Sub-Annex'!C63</f>
        <v>Any other (please specify)</v>
      </c>
      <c r="D211" s="5">
        <f>'6-A. Proc. Sub-Annex'!F63</f>
        <v>0</v>
      </c>
      <c r="E211" s="5">
        <f>'6-A. Proc. Sub-Annex'!G63</f>
        <v>0</v>
      </c>
      <c r="F211" s="5">
        <f>'6-A. Proc. Sub-Annex'!H63</f>
        <v>0</v>
      </c>
      <c r="G211" s="5">
        <f>'6-A. Proc. Sub-Annex'!I63</f>
        <v>0</v>
      </c>
      <c r="H211" s="5">
        <f>'6-A. Proc. Sub-Annex'!J63</f>
        <v>0</v>
      </c>
      <c r="I211" s="5">
        <f>'6-A. Proc. Sub-Annex'!K63</f>
        <v>0</v>
      </c>
      <c r="J211" s="5">
        <f>'6-A. Proc. Sub-Annex'!L63</f>
        <v>0</v>
      </c>
      <c r="K211" s="5">
        <f>'6-A. Proc. Sub-Annex'!M63</f>
        <v>0</v>
      </c>
      <c r="L211" s="5">
        <f>'6-A. Proc. Sub-Annex'!N63</f>
        <v>0</v>
      </c>
      <c r="M211" s="5">
        <f>'6-A. Proc. Sub-Annex'!O63</f>
        <v>0</v>
      </c>
      <c r="N211" s="5">
        <f>'6-A. Proc. Sub-Annex'!P63</f>
        <v>0</v>
      </c>
      <c r="O211" s="5">
        <f>'6-A. Proc. Sub-Annex'!Q63</f>
        <v>0</v>
      </c>
      <c r="P211" s="5">
        <f>'6-A. Proc. Sub-Annex'!R63</f>
        <v>0</v>
      </c>
    </row>
    <row r="212" spans="1:16">
      <c r="A212" s="20">
        <f>'6-A. Proc. Sub-Annex'!A277</f>
        <v>6.5</v>
      </c>
      <c r="B212" s="20">
        <f>'6-A. Proc. Sub-Annex'!B277</f>
        <v>0</v>
      </c>
      <c r="C212" s="20" t="str">
        <f>'6-A. Proc. Sub-Annex'!C277</f>
        <v>Procurement (Others)</v>
      </c>
      <c r="D212" s="27"/>
      <c r="E212" s="27"/>
      <c r="F212" s="27">
        <f>F213</f>
        <v>24.05</v>
      </c>
      <c r="G212" s="27">
        <f>G213</f>
        <v>41.76</v>
      </c>
      <c r="H212" s="27">
        <f>H213</f>
        <v>30</v>
      </c>
      <c r="I212" s="27"/>
      <c r="J212" s="27"/>
      <c r="K212" s="27"/>
      <c r="L212" s="27"/>
      <c r="M212" s="27">
        <f>M213</f>
        <v>0</v>
      </c>
      <c r="N212" s="27"/>
      <c r="O212" s="27"/>
      <c r="P212" s="27">
        <f>P213</f>
        <v>0</v>
      </c>
    </row>
    <row r="213" spans="1:16">
      <c r="A213" s="3" t="str">
        <f>'6-A. Proc. Sub-Annex'!A278</f>
        <v>6.5.1</v>
      </c>
      <c r="B213" s="3" t="str">
        <f>'6-A. Proc. Sub-Annex'!B278</f>
        <v>H.16</v>
      </c>
      <c r="C213" s="3" t="str">
        <f>'6-A. Proc. Sub-Annex'!C278</f>
        <v>Replacement of Vehicles under NTEP</v>
      </c>
      <c r="D213" s="5">
        <f>'6-A. Proc. Sub-Annex'!F278</f>
        <v>37</v>
      </c>
      <c r="E213" s="5">
        <f>'6-A. Proc. Sub-Annex'!G278</f>
        <v>37</v>
      </c>
      <c r="F213" s="5">
        <f>'6-A. Proc. Sub-Annex'!H278</f>
        <v>24.05</v>
      </c>
      <c r="G213" s="5">
        <f>'6-A. Proc. Sub-Annex'!I278</f>
        <v>41.76</v>
      </c>
      <c r="H213" s="5">
        <f>'6-A. Proc. Sub-Annex'!J278</f>
        <v>30</v>
      </c>
      <c r="I213" s="5">
        <f>'6-A. Proc. Sub-Annex'!K278</f>
        <v>3</v>
      </c>
      <c r="J213" s="5">
        <f>'6-A. Proc. Sub-Annex'!L278</f>
        <v>0</v>
      </c>
      <c r="K213" s="5">
        <f>'6-A. Proc. Sub-Annex'!M278</f>
        <v>0</v>
      </c>
      <c r="L213" s="5">
        <f>'6-A. Proc. Sub-Annex'!N278</f>
        <v>0</v>
      </c>
      <c r="M213" s="5">
        <f>'6-A. Proc. Sub-Annex'!O278</f>
        <v>0</v>
      </c>
      <c r="N213" s="5">
        <f>'6-A. Proc. Sub-Annex'!P278</f>
        <v>0</v>
      </c>
      <c r="O213" s="5">
        <f>'6-A. Proc. Sub-Annex'!Q278</f>
        <v>0</v>
      </c>
      <c r="P213" s="5">
        <f>'6-A. Proc. Sub-Annex'!R278</f>
        <v>0</v>
      </c>
    </row>
    <row r="214" spans="1:16">
      <c r="A214" s="19">
        <f>'7.Referral Transport Annex'!A7</f>
        <v>7</v>
      </c>
      <c r="B214" s="19">
        <f>'7.Referral Transport Annex'!B7</f>
        <v>0</v>
      </c>
      <c r="C214" s="19" t="str">
        <f>'7.Referral Transport Annex'!C7</f>
        <v>Referral Transport</v>
      </c>
      <c r="D214" s="26"/>
      <c r="E214" s="26"/>
      <c r="F214" s="26">
        <f>F215</f>
        <v>0</v>
      </c>
      <c r="G214" s="26">
        <f>G215</f>
        <v>0</v>
      </c>
      <c r="H214" s="26">
        <f>H215</f>
        <v>0</v>
      </c>
      <c r="I214" s="26"/>
      <c r="J214" s="26"/>
      <c r="K214" s="26"/>
      <c r="L214" s="26"/>
      <c r="M214" s="26">
        <f>M215</f>
        <v>0</v>
      </c>
      <c r="N214" s="26"/>
      <c r="O214" s="26"/>
      <c r="P214" s="26">
        <f>P215</f>
        <v>0</v>
      </c>
    </row>
    <row r="215" spans="1:16">
      <c r="A215" s="20">
        <f>'7.Referral Transport Annex'!A11</f>
        <v>7.4</v>
      </c>
      <c r="B215" s="20" t="str">
        <f>'7.Referral Transport Annex'!B11</f>
        <v>B12</v>
      </c>
      <c r="C215" s="20" t="str">
        <f>'7.Referral Transport Annex'!C11</f>
        <v>National Ambulance Service</v>
      </c>
      <c r="D215" s="27"/>
      <c r="E215" s="27"/>
      <c r="F215" s="27">
        <f>SUM(F216:F216)</f>
        <v>0</v>
      </c>
      <c r="G215" s="27">
        <f>SUM(G216:G216)</f>
        <v>0</v>
      </c>
      <c r="H215" s="27">
        <f>SUM(H216:H216)</f>
        <v>0</v>
      </c>
      <c r="I215" s="27"/>
      <c r="J215" s="27"/>
      <c r="K215" s="27"/>
      <c r="L215" s="27"/>
      <c r="M215" s="27">
        <f>SUM(M216:M216)</f>
        <v>0</v>
      </c>
      <c r="N215" s="27"/>
      <c r="O215" s="27"/>
      <c r="P215" s="27">
        <f>SUM(P216:P216)</f>
        <v>0</v>
      </c>
    </row>
    <row r="216" spans="1:16" ht="51">
      <c r="A216" s="3" t="str">
        <f>'7.Referral Transport Annex'!A21</f>
        <v>7.4.3</v>
      </c>
      <c r="B216" s="3">
        <f>'7.Referral Transport Annex'!B21</f>
        <v>0</v>
      </c>
      <c r="C216" s="3" t="str">
        <f>'7.Referral Transport Annex'!C21</f>
        <v>Support for replacement of equipments (for meeting obligations of existing contract- signed before FY 2020-21, till tenancy of the same)</v>
      </c>
      <c r="D216" s="7">
        <f>'7.Referral Transport Annex'!F21</f>
        <v>0</v>
      </c>
      <c r="E216" s="7">
        <f>'7.Referral Transport Annex'!G21</f>
        <v>0</v>
      </c>
      <c r="F216" s="7">
        <f>'7.Referral Transport Annex'!H21</f>
        <v>0</v>
      </c>
      <c r="G216" s="7">
        <f>'7.Referral Transport Annex'!I21</f>
        <v>0</v>
      </c>
      <c r="H216" s="7">
        <f>'7.Referral Transport Annex'!J21</f>
        <v>0</v>
      </c>
      <c r="I216" s="7">
        <f>'7.Referral Transport Annex'!K21</f>
        <v>0</v>
      </c>
      <c r="J216" s="7">
        <f>'7.Referral Transport Annex'!L21</f>
        <v>0</v>
      </c>
      <c r="K216" s="7">
        <f>'7.Referral Transport Annex'!M21</f>
        <v>0</v>
      </c>
      <c r="L216" s="7">
        <f>'7.Referral Transport Annex'!N21</f>
        <v>0</v>
      </c>
      <c r="M216" s="7">
        <f>'7.Referral Transport Annex'!O21</f>
        <v>0</v>
      </c>
      <c r="N216" s="7">
        <f>'7.Referral Transport Annex'!P21</f>
        <v>0</v>
      </c>
      <c r="O216" s="7">
        <f>'7.Referral Transport Annex'!Q21</f>
        <v>0</v>
      </c>
      <c r="P216" s="7">
        <f>'7.Referral Transport Annex'!R21</f>
        <v>0</v>
      </c>
    </row>
    <row r="217" spans="1:16" ht="63.75">
      <c r="A217" s="20">
        <f>'9-A.Training Sub-Annex'!A5</f>
        <v>9.1</v>
      </c>
      <c r="B217" s="20">
        <f>'9-A.Training Sub-Annex'!B5</f>
        <v>0</v>
      </c>
      <c r="C217" s="20" t="str">
        <f>'9-A.Training Sub-Annex'!C5</f>
        <v>Setting Up &amp; Strengthening of Skill Lab/ Other Training Centres or institutes including medical (DNB/CPS)/paramedical/nursing courses</v>
      </c>
      <c r="D217" s="27"/>
      <c r="E217" s="27"/>
      <c r="F217" s="27">
        <f>SUM(F218:F222)</f>
        <v>10.25</v>
      </c>
      <c r="G217" s="27">
        <f>SUM(G218:G222)</f>
        <v>0</v>
      </c>
      <c r="H217" s="27">
        <f>SUM(H218:H222)</f>
        <v>10.25</v>
      </c>
      <c r="I217" s="27"/>
      <c r="J217" s="27"/>
      <c r="K217" s="27"/>
      <c r="L217" s="27"/>
      <c r="M217" s="27">
        <f>SUM(M218:M222)</f>
        <v>0</v>
      </c>
      <c r="N217" s="27"/>
      <c r="O217" s="27"/>
      <c r="P217" s="27">
        <f>SUM(P218:P222)</f>
        <v>0</v>
      </c>
    </row>
    <row r="218" spans="1:16">
      <c r="A218" s="3" t="str">
        <f>'9-A.Training Sub-Annex'!A7</f>
        <v>9.1.1</v>
      </c>
      <c r="B218" s="3" t="str">
        <f>'9-A.Training Sub-Annex'!B7</f>
        <v>A.9.1.2.2</v>
      </c>
      <c r="C218" s="3" t="str">
        <f>'9-A.Training Sub-Annex'!C7</f>
        <v>Setting up of Skill Lab</v>
      </c>
      <c r="D218" s="5">
        <f>'9-A.Training Sub-Annex'!F7</f>
        <v>0</v>
      </c>
      <c r="E218" s="5">
        <f>'9-A.Training Sub-Annex'!G7</f>
        <v>0</v>
      </c>
      <c r="F218" s="5">
        <f>'9-A.Training Sub-Annex'!H7</f>
        <v>0</v>
      </c>
      <c r="G218" s="5">
        <f>'9-A.Training Sub-Annex'!I7</f>
        <v>0</v>
      </c>
      <c r="H218" s="5">
        <f>'9-A.Training Sub-Annex'!J7</f>
        <v>0</v>
      </c>
      <c r="I218" s="5">
        <f>'9-A.Training Sub-Annex'!K7</f>
        <v>0</v>
      </c>
      <c r="J218" s="5">
        <f>'9-A.Training Sub-Annex'!L7</f>
        <v>0</v>
      </c>
      <c r="K218" s="5">
        <f>'9-A.Training Sub-Annex'!M7</f>
        <v>0</v>
      </c>
      <c r="L218" s="5">
        <f>'9-A.Training Sub-Annex'!N7</f>
        <v>0</v>
      </c>
      <c r="M218" s="5">
        <f>'9-A.Training Sub-Annex'!O7</f>
        <v>0</v>
      </c>
      <c r="N218" s="5">
        <f>'9-A.Training Sub-Annex'!P7</f>
        <v>0</v>
      </c>
      <c r="O218" s="5" t="str">
        <f>'9-A.Training Sub-Annex'!Q7</f>
        <v>-</v>
      </c>
      <c r="P218" s="5">
        <f>'9-A.Training Sub-Annex'!R7</f>
        <v>0</v>
      </c>
    </row>
    <row r="219" spans="1:16">
      <c r="A219" s="3" t="str">
        <f>'9-A.Training Sub-Annex'!A8</f>
        <v>9.1.2</v>
      </c>
      <c r="B219" s="3" t="str">
        <f>'9-A.Training Sub-Annex'!B8</f>
        <v>A.9.3.1.1</v>
      </c>
      <c r="C219" s="3" t="str">
        <f>'9-A.Training Sub-Annex'!C8</f>
        <v>Setting up of SBA Training Centres</v>
      </c>
      <c r="D219" s="5">
        <f>'9-A.Training Sub-Annex'!F8</f>
        <v>0</v>
      </c>
      <c r="E219" s="5">
        <f>'9-A.Training Sub-Annex'!G8</f>
        <v>0</v>
      </c>
      <c r="F219" s="5">
        <f>'9-A.Training Sub-Annex'!H8</f>
        <v>0</v>
      </c>
      <c r="G219" s="5">
        <f>'9-A.Training Sub-Annex'!I8</f>
        <v>0</v>
      </c>
      <c r="H219" s="5">
        <f>'9-A.Training Sub-Annex'!J8</f>
        <v>0</v>
      </c>
      <c r="I219" s="5">
        <f>'9-A.Training Sub-Annex'!K8</f>
        <v>0</v>
      </c>
      <c r="J219" s="5">
        <f>'9-A.Training Sub-Annex'!L8</f>
        <v>0</v>
      </c>
      <c r="K219" s="5">
        <f>'9-A.Training Sub-Annex'!M8</f>
        <v>0</v>
      </c>
      <c r="L219" s="5">
        <f>'9-A.Training Sub-Annex'!N8</f>
        <v>0</v>
      </c>
      <c r="M219" s="5">
        <f>'9-A.Training Sub-Annex'!O8</f>
        <v>0</v>
      </c>
      <c r="N219" s="5">
        <f>'9-A.Training Sub-Annex'!P8</f>
        <v>0</v>
      </c>
      <c r="O219" s="5" t="str">
        <f>'9-A.Training Sub-Annex'!Q8</f>
        <v>-</v>
      </c>
      <c r="P219" s="5">
        <f>'9-A.Training Sub-Annex'!R8</f>
        <v>0</v>
      </c>
    </row>
    <row r="220" spans="1:16">
      <c r="A220" s="3" t="str">
        <f>'9-A.Training Sub-Annex'!A9</f>
        <v>9.1.3</v>
      </c>
      <c r="B220" s="3" t="str">
        <f>'9-A.Training Sub-Annex'!B9</f>
        <v>A.9.3.2.1</v>
      </c>
      <c r="C220" s="3" t="str">
        <f>'9-A.Training Sub-Annex'!C9</f>
        <v>Setting up of EmOC Training Centres</v>
      </c>
      <c r="D220" s="5">
        <f>'9-A.Training Sub-Annex'!F9</f>
        <v>0</v>
      </c>
      <c r="E220" s="5">
        <f>'9-A.Training Sub-Annex'!G9</f>
        <v>0</v>
      </c>
      <c r="F220" s="5">
        <f>'9-A.Training Sub-Annex'!H9</f>
        <v>0</v>
      </c>
      <c r="G220" s="5">
        <f>'9-A.Training Sub-Annex'!I9</f>
        <v>0</v>
      </c>
      <c r="H220" s="5">
        <f>'9-A.Training Sub-Annex'!J9</f>
        <v>0</v>
      </c>
      <c r="I220" s="5">
        <f>'9-A.Training Sub-Annex'!K9</f>
        <v>0</v>
      </c>
      <c r="J220" s="5">
        <f>'9-A.Training Sub-Annex'!L9</f>
        <v>0</v>
      </c>
      <c r="K220" s="5">
        <f>'9-A.Training Sub-Annex'!M9</f>
        <v>0</v>
      </c>
      <c r="L220" s="5">
        <f>'9-A.Training Sub-Annex'!N9</f>
        <v>0</v>
      </c>
      <c r="M220" s="5">
        <f>'9-A.Training Sub-Annex'!O9</f>
        <v>0</v>
      </c>
      <c r="N220" s="5">
        <f>'9-A.Training Sub-Annex'!P9</f>
        <v>0</v>
      </c>
      <c r="O220" s="5" t="str">
        <f>'9-A.Training Sub-Annex'!Q9</f>
        <v>-</v>
      </c>
      <c r="P220" s="5">
        <f>'9-A.Training Sub-Annex'!R9</f>
        <v>0</v>
      </c>
    </row>
    <row r="221" spans="1:16" ht="25.5">
      <c r="A221" s="3" t="str">
        <f>'9-A.Training Sub-Annex'!A10</f>
        <v>9.1.4</v>
      </c>
      <c r="B221" s="3" t="str">
        <f>'9-A.Training Sub-Annex'!B10</f>
        <v>A.9.3.3.1</v>
      </c>
      <c r="C221" s="3" t="str">
        <f>'9-A.Training Sub-Annex'!C10</f>
        <v>Setting up of Life saving Anaesthesia skills Training Centres</v>
      </c>
      <c r="D221" s="5">
        <f>'9-A.Training Sub-Annex'!F10</f>
        <v>0</v>
      </c>
      <c r="E221" s="5">
        <f>'9-A.Training Sub-Annex'!G10</f>
        <v>0</v>
      </c>
      <c r="F221" s="5">
        <f>'9-A.Training Sub-Annex'!H10</f>
        <v>0</v>
      </c>
      <c r="G221" s="5">
        <f>'9-A.Training Sub-Annex'!I10</f>
        <v>0</v>
      </c>
      <c r="H221" s="5">
        <f>'9-A.Training Sub-Annex'!J10</f>
        <v>0</v>
      </c>
      <c r="I221" s="5">
        <f>'9-A.Training Sub-Annex'!K10</f>
        <v>0</v>
      </c>
      <c r="J221" s="5">
        <f>'9-A.Training Sub-Annex'!L10</f>
        <v>0</v>
      </c>
      <c r="K221" s="5">
        <f>'9-A.Training Sub-Annex'!M10</f>
        <v>0</v>
      </c>
      <c r="L221" s="5">
        <f>'9-A.Training Sub-Annex'!N10</f>
        <v>0</v>
      </c>
      <c r="M221" s="5">
        <f>'9-A.Training Sub-Annex'!O10</f>
        <v>0</v>
      </c>
      <c r="N221" s="5">
        <f>'9-A.Training Sub-Annex'!P10</f>
        <v>0</v>
      </c>
      <c r="O221" s="5" t="str">
        <f>'9-A.Training Sub-Annex'!Q10</f>
        <v>-</v>
      </c>
      <c r="P221" s="5">
        <f>'9-A.Training Sub-Annex'!R10</f>
        <v>0</v>
      </c>
    </row>
    <row r="222" spans="1:16" ht="38.25">
      <c r="A222" s="3" t="str">
        <f>'9-A.Training Sub-Annex'!A11</f>
        <v>9.1.5</v>
      </c>
      <c r="B222" s="3" t="str">
        <f>'9-A.Training Sub-Annex'!B11</f>
        <v>A.9.10.1</v>
      </c>
      <c r="C222" s="3" t="str">
        <f>'9-A.Training Sub-Annex'!C11</f>
        <v>Strengthening of Existing Training Institutions/Nursing School (excluding infrastructure and HR)</v>
      </c>
      <c r="D222" s="5">
        <f>'9-A.Training Sub-Annex'!F11</f>
        <v>1</v>
      </c>
      <c r="E222" s="5">
        <f>'9-A.Training Sub-Annex'!G11</f>
        <v>0</v>
      </c>
      <c r="F222" s="5">
        <f>'9-A.Training Sub-Annex'!H11</f>
        <v>10.25</v>
      </c>
      <c r="G222" s="5">
        <f>'9-A.Training Sub-Annex'!I11</f>
        <v>0</v>
      </c>
      <c r="H222" s="5">
        <f>'9-A.Training Sub-Annex'!J11</f>
        <v>10.25</v>
      </c>
      <c r="I222" s="5">
        <f>'9-A.Training Sub-Annex'!K11</f>
        <v>0</v>
      </c>
      <c r="J222" s="5">
        <f>'9-A.Training Sub-Annex'!L11</f>
        <v>0</v>
      </c>
      <c r="K222" s="5">
        <f>'9-A.Training Sub-Annex'!M11</f>
        <v>0</v>
      </c>
      <c r="L222" s="5">
        <f>'9-A.Training Sub-Annex'!N11</f>
        <v>0</v>
      </c>
      <c r="M222" s="5">
        <f>'9-A.Training Sub-Annex'!O11</f>
        <v>0</v>
      </c>
      <c r="N222" s="5">
        <f>'9-A.Training Sub-Annex'!P11</f>
        <v>0</v>
      </c>
      <c r="O222" s="5">
        <f>'9-A.Training Sub-Annex'!Q11</f>
        <v>0</v>
      </c>
      <c r="P222" s="5">
        <f>'9-A.Training Sub-Annex'!R11</f>
        <v>0</v>
      </c>
    </row>
    <row r="223" spans="1:16">
      <c r="A223" s="19">
        <f>'16.PM Annex'!A7</f>
        <v>16</v>
      </c>
      <c r="B223" s="19">
        <f>'16.PM Annex'!B7</f>
        <v>0</v>
      </c>
      <c r="C223" s="19" t="str">
        <f>'16.PM Annex'!C7</f>
        <v>Programme Management</v>
      </c>
      <c r="D223" s="26"/>
      <c r="E223" s="26"/>
      <c r="F223" s="26">
        <f t="shared" ref="F223:H224" si="0">F224</f>
        <v>0</v>
      </c>
      <c r="G223" s="26">
        <f t="shared" si="0"/>
        <v>0</v>
      </c>
      <c r="H223" s="26">
        <f t="shared" si="0"/>
        <v>0</v>
      </c>
      <c r="I223" s="26"/>
      <c r="J223" s="26"/>
      <c r="K223" s="26"/>
      <c r="L223" s="26"/>
      <c r="M223" s="26">
        <f>M224</f>
        <v>0</v>
      </c>
      <c r="N223" s="26"/>
      <c r="O223" s="26"/>
      <c r="P223" s="26">
        <f>P224</f>
        <v>0</v>
      </c>
    </row>
    <row r="224" spans="1:16">
      <c r="A224" s="20">
        <f>'16.PM Annex'!A17</f>
        <v>16.3</v>
      </c>
      <c r="B224" s="20">
        <f>'16.PM Annex'!B17</f>
        <v>0</v>
      </c>
      <c r="C224" s="20" t="str">
        <f>'16.PM Annex'!C17</f>
        <v>HMIS &amp; MCTS</v>
      </c>
      <c r="D224" s="27"/>
      <c r="E224" s="27"/>
      <c r="F224" s="27">
        <f t="shared" si="0"/>
        <v>0</v>
      </c>
      <c r="G224" s="27">
        <f t="shared" si="0"/>
        <v>0</v>
      </c>
      <c r="H224" s="27">
        <f t="shared" si="0"/>
        <v>0</v>
      </c>
      <c r="I224" s="27"/>
      <c r="J224" s="27"/>
      <c r="K224" s="27"/>
      <c r="L224" s="27"/>
      <c r="M224" s="27">
        <f>M225</f>
        <v>0</v>
      </c>
      <c r="N224" s="27"/>
      <c r="O224" s="27"/>
      <c r="P224" s="27">
        <f>P225</f>
        <v>0</v>
      </c>
    </row>
    <row r="225" spans="1:16" ht="51">
      <c r="A225" s="3" t="str">
        <f>'16.PM Annex'!A21</f>
        <v>16.3.4</v>
      </c>
      <c r="B225" s="3" t="str">
        <f>'16.PM Annex'!B21</f>
        <v>B15.3.2.3/ B15.3.2.4/ B15.3.2.7/ B15.3.2.8</v>
      </c>
      <c r="C225" s="3" t="str">
        <f>'16.PM Annex'!C21</f>
        <v>Procurement of Computer/Printer/UPS/ Laptop/ VSAT</v>
      </c>
      <c r="D225" s="5">
        <f>'16.PM Annex'!F21</f>
        <v>0</v>
      </c>
      <c r="E225" s="5">
        <f>'16.PM Annex'!G21</f>
        <v>0</v>
      </c>
      <c r="F225" s="5">
        <f>'16.PM Annex'!H21</f>
        <v>0</v>
      </c>
      <c r="G225" s="5">
        <f>'16.PM Annex'!I21</f>
        <v>0</v>
      </c>
      <c r="H225" s="5">
        <f>'16.PM Annex'!J21</f>
        <v>0</v>
      </c>
      <c r="I225" s="5">
        <f>'16.PM Annex'!K21</f>
        <v>0</v>
      </c>
      <c r="J225" s="5">
        <f>'16.PM Annex'!L21</f>
        <v>0</v>
      </c>
      <c r="K225" s="5">
        <f>'16.PM Annex'!M21</f>
        <v>0</v>
      </c>
      <c r="L225" s="5">
        <f>'16.PM Annex'!N21</f>
        <v>0</v>
      </c>
      <c r="M225" s="5">
        <f>'16.PM Annex'!O21</f>
        <v>0</v>
      </c>
      <c r="N225" s="5">
        <f>'16.PM Annex'!P21</f>
        <v>0</v>
      </c>
      <c r="O225" s="5">
        <f>'16.PM Annex'!Q21</f>
        <v>0</v>
      </c>
      <c r="P225" s="5">
        <f>'16.PM Annex'!R21</f>
        <v>0</v>
      </c>
    </row>
    <row r="226" spans="1:16" ht="25.5">
      <c r="A226" s="19">
        <f>'17.IT Initiatives_SD'!A7</f>
        <v>17</v>
      </c>
      <c r="B226" s="19">
        <f>'17.IT Initiatives_SD'!B7</f>
        <v>0</v>
      </c>
      <c r="C226" s="19" t="str">
        <f>'17.IT Initiatives_SD'!C7</f>
        <v>IT Initiatives for strengthening Service Delivery</v>
      </c>
      <c r="D226" s="26"/>
      <c r="E226" s="26"/>
      <c r="F226" s="26">
        <f>F227+F228+F231+F232+F233+F234+F235+F236</f>
        <v>646.52</v>
      </c>
      <c r="G226" s="26">
        <f>G227+G228+G231+G232+G233+G234+G235+G236</f>
        <v>166.14</v>
      </c>
      <c r="H226" s="26">
        <f>H227+H228+H231+H232+H233+H234+H235+H236</f>
        <v>480.38</v>
      </c>
      <c r="I226" s="26"/>
      <c r="J226" s="26"/>
      <c r="K226" s="26"/>
      <c r="L226" s="26"/>
      <c r="M226" s="26">
        <f>M227+M228+M231+M232+M233+M234+M235+M236</f>
        <v>527.59799999999996</v>
      </c>
      <c r="N226" s="26"/>
      <c r="O226" s="26"/>
      <c r="P226" s="26">
        <f>P227+P228+P231+P232+P233+P234+P235+P236</f>
        <v>527.6</v>
      </c>
    </row>
    <row r="227" spans="1:16" ht="38.25">
      <c r="A227" s="3">
        <f>'17.IT Initiatives_SD'!A8</f>
        <v>17.100000000000001</v>
      </c>
      <c r="B227" s="3" t="str">
        <f>'17.IT Initiatives_SD'!B8</f>
        <v>I.2.9</v>
      </c>
      <c r="C227" s="3" t="str">
        <f>'17.IT Initiatives_SD'!C8</f>
        <v>Fixed tele- ophthalmic network unit in Got. Set up/ internet based ophthalmic consultation unit)</v>
      </c>
      <c r="D227" s="5">
        <f>'17.IT Initiatives_SD'!F8</f>
        <v>0</v>
      </c>
      <c r="E227" s="5">
        <f>'17.IT Initiatives_SD'!G8</f>
        <v>0</v>
      </c>
      <c r="F227" s="5">
        <f>'17.IT Initiatives_SD'!H8</f>
        <v>0</v>
      </c>
      <c r="G227" s="5">
        <f>'17.IT Initiatives_SD'!I8</f>
        <v>0</v>
      </c>
      <c r="H227" s="5">
        <f>'17.IT Initiatives_SD'!J8</f>
        <v>0</v>
      </c>
      <c r="I227" s="5">
        <f>'17.IT Initiatives_SD'!K8</f>
        <v>0</v>
      </c>
      <c r="J227" s="5">
        <f>'17.IT Initiatives_SD'!L8</f>
        <v>0</v>
      </c>
      <c r="K227" s="5">
        <f>'17.IT Initiatives_SD'!M8</f>
        <v>0</v>
      </c>
      <c r="L227" s="5">
        <f>'17.IT Initiatives_SD'!N8</f>
        <v>0</v>
      </c>
      <c r="M227" s="5">
        <f>'17.IT Initiatives_SD'!O8</f>
        <v>0</v>
      </c>
      <c r="N227" s="5">
        <f>'17.IT Initiatives_SD'!P8</f>
        <v>0</v>
      </c>
      <c r="O227" s="5">
        <f>'17.IT Initiatives_SD'!Q8</f>
        <v>0</v>
      </c>
      <c r="P227" s="5">
        <f>'17.IT Initiatives_SD'!R8</f>
        <v>0</v>
      </c>
    </row>
    <row r="228" spans="1:16" ht="25.5">
      <c r="A228" s="3">
        <f>'17.IT Initiatives_SD'!A9</f>
        <v>17.2</v>
      </c>
      <c r="B228" s="3" t="str">
        <f>'17.IT Initiatives_SD'!B9</f>
        <v>B18.3</v>
      </c>
      <c r="C228" s="3" t="str">
        <f>'17.IT Initiatives_SD'!C9</f>
        <v>IT Initiatives under Ayushman Bharat H&amp;WC</v>
      </c>
      <c r="D228" s="5"/>
      <c r="E228" s="5"/>
      <c r="F228" s="5">
        <f>SUM(F229:F230)</f>
        <v>575.37</v>
      </c>
      <c r="G228" s="5">
        <f>SUM(G229:G230)</f>
        <v>140.69</v>
      </c>
      <c r="H228" s="5">
        <f>SUM(H229:H230)</f>
        <v>434.68</v>
      </c>
      <c r="I228" s="5"/>
      <c r="J228" s="5"/>
      <c r="K228" s="5"/>
      <c r="L228" s="5"/>
      <c r="M228" s="5">
        <f>SUM(M229:M230)</f>
        <v>310.77000000000004</v>
      </c>
      <c r="N228" s="5"/>
      <c r="O228" s="5"/>
      <c r="P228" s="5">
        <f>SUM(P229:P230)</f>
        <v>310.77000000000004</v>
      </c>
    </row>
    <row r="229" spans="1:16" ht="178.5">
      <c r="A229" s="3" t="str">
        <f>'17.IT Initiatives_SD'!A10</f>
        <v>17.2.1</v>
      </c>
      <c r="B229" s="3">
        <f>'17.IT Initiatives_SD'!B10</f>
        <v>0</v>
      </c>
      <c r="C229" s="3" t="str">
        <f>'17.IT Initiatives_SD'!C10</f>
        <v>Telemedicine/ teleconsultation facility under Ayushman Bharat H&amp;WC</v>
      </c>
      <c r="D229" s="5">
        <f>'17.IT Initiatives_SD'!F10</f>
        <v>3</v>
      </c>
      <c r="E229" s="5">
        <f>'17.IT Initiatives_SD'!G10</f>
        <v>0</v>
      </c>
      <c r="F229" s="5">
        <f>'17.IT Initiatives_SD'!H10</f>
        <v>275.39999999999998</v>
      </c>
      <c r="G229" s="5">
        <f>'17.IT Initiatives_SD'!I10</f>
        <v>75.53</v>
      </c>
      <c r="H229" s="5">
        <f>'17.IT Initiatives_SD'!J10</f>
        <v>199.87</v>
      </c>
      <c r="I229" s="5">
        <f>'17.IT Initiatives_SD'!K10</f>
        <v>1</v>
      </c>
      <c r="J229" s="5">
        <f>'17.IT Initiatives_SD'!L10</f>
        <v>360000</v>
      </c>
      <c r="K229" s="5">
        <f>'17.IT Initiatives_SD'!M10</f>
        <v>3.6</v>
      </c>
      <c r="L229" s="5">
        <f>'17.IT Initiatives_SD'!N10</f>
        <v>3</v>
      </c>
      <c r="M229" s="5">
        <f>'17.IT Initiatives_SD'!O10</f>
        <v>10.8</v>
      </c>
      <c r="N229" s="5" t="str">
        <f>'17.IT Initiatives_SD'!P10</f>
        <v xml:space="preserve"> GoHP has notified guidelines for guidelines for tele-consultation hubs. The NHM would not be paying for honorarium for doctors imparting tele consultation, however a provision has been made for Rs. 30,000 per month per hub. There are 3 tele-consultation hubs in the state 30,000 X per month X per hub (3)= 30000 X 12 X 3= 10,80,000. </v>
      </c>
      <c r="O229" s="5" t="str">
        <f>'17.IT Initiatives_SD'!Q10</f>
        <v>Recommended for approvalRs. 10.80 L as advance @ Rs. 30000 per month per hub as per State guidelines (State shall not pay honorarium for Doctors)</v>
      </c>
      <c r="P229" s="5">
        <f>'17.IT Initiatives_SD'!R10</f>
        <v>10.8</v>
      </c>
    </row>
    <row r="230" spans="1:16" ht="344.25">
      <c r="A230" s="3" t="str">
        <f>'17.IT Initiatives_SD'!A11</f>
        <v>17.2.2</v>
      </c>
      <c r="B230" s="3">
        <f>'17.IT Initiatives_SD'!B11</f>
        <v>0</v>
      </c>
      <c r="C230" s="3" t="str">
        <f>'17.IT Initiatives_SD'!C11</f>
        <v>Other IT Initiatives (please specify)</v>
      </c>
      <c r="D230" s="5">
        <f>'17.IT Initiatives_SD'!F11</f>
        <v>75</v>
      </c>
      <c r="E230" s="5">
        <f>'17.IT Initiatives_SD'!G11</f>
        <v>0</v>
      </c>
      <c r="F230" s="5">
        <f>'17.IT Initiatives_SD'!H11</f>
        <v>299.97000000000003</v>
      </c>
      <c r="G230" s="5">
        <f>'17.IT Initiatives_SD'!I11</f>
        <v>65.16</v>
      </c>
      <c r="H230" s="5">
        <f>'17.IT Initiatives_SD'!J11</f>
        <v>234.81</v>
      </c>
      <c r="I230" s="5" t="str">
        <f>'17.IT Initiatives_SD'!K11</f>
        <v>Per telemedicine centre (OPEX)</v>
      </c>
      <c r="J230" s="5">
        <f>'17.IT Initiatives_SD'!L11</f>
        <v>399960</v>
      </c>
      <c r="K230" s="5">
        <f>'17.IT Initiatives_SD'!M11</f>
        <v>3.9996</v>
      </c>
      <c r="L230" s="5">
        <f>'17.IT Initiatives_SD'!N11</f>
        <v>75</v>
      </c>
      <c r="M230" s="5">
        <f>'17.IT Initiatives_SD'!O11</f>
        <v>299.97000000000003</v>
      </c>
      <c r="N230" s="5" t="str">
        <f>'17.IT Initiatives_SD'!P11</f>
        <v xml:space="preserve">                                                                                                                                                                                                                                                                     Ongoing Activity: Telemedicine facility has been started in 25 health facilities (in Remote CHC, PHC &amp; CH ) through M/S Piramal Swasthya. The operational cost has been reduced to Rs 33330 /per Month. Teleconsultations using  E-Sanjeevni Application  (developed by CDAC Mohali)  will be started  in these telemedicine centres  after the completion of the period of existing MOU  in April 2022 (Total= 33330 x 25 x 12 = Rs.99,99,000-00)                                                                                                                                                                   Ongoing Activity: Telemedicine facility has been started in 50 Rural Health Sub-Centres in 2019-20  through M/S Piramal Swasthya. The operational cost  @ Rs 33330 /per Month per Sub-Centre has been finalized  through tendering process. Teleconsultations using  E-Sanjeevni Application  (developed by CDAC Mohali)  will be started  in these telemedicine centres  after the completion of the period of existing MOU  in April 2022 (Total= 33330 x 50  x 12= Rs. 1.99,98,000-00 )</v>
      </c>
      <c r="O230" s="5" t="str">
        <f>'17.IT Initiatives_SD'!Q11</f>
        <v xml:space="preserve">Recommended for approvalRs. 299.97 L as operational cost of hubs for Teleconsultation.1- Rs. 99.99 lakh @Rs.3.99 lakh/PA/Telemedicine Centre for 25 existing facilities at PHC, CHC &amp; CH level through Piramal Swasthya2- Rs. 199.98 lakh @Rs.3.99 lakh/PA/Telemedicine centre for 50 HSCs through Piramal SwasthyaState to revisit the proposal as and when the contract period is over. State to integrate the existing Piramal model with E -Sanjeevani application. </v>
      </c>
      <c r="P230" s="5">
        <f>'17.IT Initiatives_SD'!R11</f>
        <v>299.97000000000003</v>
      </c>
    </row>
    <row r="231" spans="1:16" ht="165.75">
      <c r="A231" s="3">
        <f>'17.IT Initiatives_SD'!A12</f>
        <v>17.3</v>
      </c>
      <c r="B231" s="3">
        <f>'17.IT Initiatives_SD'!B12</f>
        <v>0</v>
      </c>
      <c r="C231" s="3" t="str">
        <f>'17.IT Initiatives_SD'!C12</f>
        <v>Implementation of ANMOL (Excel Procurement)</v>
      </c>
      <c r="D231" s="5">
        <f>'17.IT Initiatives_SD'!F12</f>
        <v>1986</v>
      </c>
      <c r="E231" s="5">
        <f>'17.IT Initiatives_SD'!G12</f>
        <v>0</v>
      </c>
      <c r="F231" s="5">
        <f>'17.IT Initiatives_SD'!H12</f>
        <v>35.75</v>
      </c>
      <c r="G231" s="5">
        <f>'17.IT Initiatives_SD'!I12</f>
        <v>0.12</v>
      </c>
      <c r="H231" s="5">
        <f>'17.IT Initiatives_SD'!J12</f>
        <v>35.630000000000003</v>
      </c>
      <c r="I231" s="5" t="str">
        <f>'17.IT Initiatives_SD'!K12</f>
        <v xml:space="preserve">per Sub-centre </v>
      </c>
      <c r="J231" s="5">
        <f>'17.IT Initiatives_SD'!L12</f>
        <v>1800</v>
      </c>
      <c r="K231" s="5">
        <f>'17.IT Initiatives_SD'!M12</f>
        <v>1.7999999999999999E-2</v>
      </c>
      <c r="L231" s="5">
        <f>'17.IT Initiatives_SD'!N12</f>
        <v>1990</v>
      </c>
      <c r="M231" s="5">
        <f>'17.IT Initiatives_SD'!O12</f>
        <v>35.82</v>
      </c>
      <c r="N231" s="5" t="str">
        <f>'17.IT Initiatives_SD'!P12</f>
        <v xml:space="preserve">Recurring cost on account of internet connection ( @ Rs. 150 /- per month  )  provided on   1990 Tablets  provided to ANMs / HWs at Sub-Centre / facility lvel  for the data entry of RCH Portral records using ANMOL application </v>
      </c>
      <c r="O231" s="5" t="str">
        <f>'17.IT Initiatives_SD'!Q12</f>
        <v xml:space="preserve">Recommended Rs 35.82 lakhs for Internet connection for 1990 Tablets@Rs 150 per month per unit for implementation of ANMOL. These are indicative rates, final rates are to be arrived at as per GeM rate contract or after competitive bidding following Government protocols.This is subject to 100% reporting on RCH Portal and improvement in data quality thereof. </v>
      </c>
      <c r="P231" s="5">
        <f>'17.IT Initiatives_SD'!R12</f>
        <v>35.82</v>
      </c>
    </row>
    <row r="232" spans="1:16" ht="38.25">
      <c r="A232" s="3">
        <f>'17.IT Initiatives_SD'!A13</f>
        <v>17.399999999999999</v>
      </c>
      <c r="B232" s="3" t="str">
        <f>'17.IT Initiatives_SD'!B13</f>
        <v>B14.2</v>
      </c>
      <c r="C232" s="3" t="str">
        <f>'17.IT Initiatives_SD'!C13</f>
        <v xml:space="preserve">E-rakt kosh- refer to strengthening of blood services guidelines &amp; Software for hemoglobinopathies &amp; Haemophilia </v>
      </c>
      <c r="D232" s="5">
        <f>'17.IT Initiatives_SD'!F13</f>
        <v>0</v>
      </c>
      <c r="E232" s="5">
        <f>'17.IT Initiatives_SD'!G13</f>
        <v>0</v>
      </c>
      <c r="F232" s="5">
        <f>'17.IT Initiatives_SD'!H13</f>
        <v>0</v>
      </c>
      <c r="G232" s="5">
        <f>'17.IT Initiatives_SD'!I13</f>
        <v>0</v>
      </c>
      <c r="H232" s="5">
        <f>'17.IT Initiatives_SD'!J13</f>
        <v>0</v>
      </c>
      <c r="I232" s="5">
        <f>'17.IT Initiatives_SD'!K13</f>
        <v>0</v>
      </c>
      <c r="J232" s="5">
        <f>'17.IT Initiatives_SD'!L13</f>
        <v>0</v>
      </c>
      <c r="K232" s="5">
        <f>'17.IT Initiatives_SD'!M13</f>
        <v>0</v>
      </c>
      <c r="L232" s="5">
        <f>'17.IT Initiatives_SD'!N13</f>
        <v>0</v>
      </c>
      <c r="M232" s="5">
        <f>'17.IT Initiatives_SD'!O13</f>
        <v>0</v>
      </c>
      <c r="N232" s="5">
        <f>'17.IT Initiatives_SD'!P13</f>
        <v>0</v>
      </c>
      <c r="O232" s="5">
        <f>'17.IT Initiatives_SD'!Q13</f>
        <v>0</v>
      </c>
      <c r="P232" s="5">
        <f>'17.IT Initiatives_SD'!R13</f>
        <v>0</v>
      </c>
    </row>
    <row r="233" spans="1:16">
      <c r="A233" s="3">
        <f>'17.IT Initiatives_SD'!A14</f>
        <v>17.5</v>
      </c>
      <c r="B233" s="3" t="str">
        <f>'17.IT Initiatives_SD'!B14</f>
        <v>B15.2.6</v>
      </c>
      <c r="C233" s="3" t="str">
        <f>'17.IT Initiatives_SD'!C14</f>
        <v>QAC Misc. (IT Based application  etc.)</v>
      </c>
      <c r="D233" s="5">
        <f>'17.IT Initiatives_SD'!F14</f>
        <v>0</v>
      </c>
      <c r="E233" s="5">
        <f>'17.IT Initiatives_SD'!G14</f>
        <v>0</v>
      </c>
      <c r="F233" s="5">
        <f>'17.IT Initiatives_SD'!H14</f>
        <v>0</v>
      </c>
      <c r="G233" s="5">
        <f>'17.IT Initiatives_SD'!I14</f>
        <v>0</v>
      </c>
      <c r="H233" s="5">
        <f>'17.IT Initiatives_SD'!J14</f>
        <v>0</v>
      </c>
      <c r="I233" s="5">
        <f>'17.IT Initiatives_SD'!K14</f>
        <v>0</v>
      </c>
      <c r="J233" s="5">
        <f>'17.IT Initiatives_SD'!L14</f>
        <v>0</v>
      </c>
      <c r="K233" s="5">
        <f>'17.IT Initiatives_SD'!M14</f>
        <v>0</v>
      </c>
      <c r="L233" s="5">
        <f>'17.IT Initiatives_SD'!N14</f>
        <v>0</v>
      </c>
      <c r="M233" s="5">
        <f>'17.IT Initiatives_SD'!O14</f>
        <v>0</v>
      </c>
      <c r="N233" s="5">
        <f>'17.IT Initiatives_SD'!P14</f>
        <v>0</v>
      </c>
      <c r="O233" s="5">
        <f>'17.IT Initiatives_SD'!Q14</f>
        <v>0</v>
      </c>
      <c r="P233" s="5">
        <f>'17.IT Initiatives_SD'!R14</f>
        <v>0</v>
      </c>
    </row>
    <row r="234" spans="1:16" ht="165.75">
      <c r="A234" s="3">
        <f>'17.IT Initiatives_SD'!A15</f>
        <v>17.600000000000001</v>
      </c>
      <c r="B234" s="3" t="str">
        <f>'17.IT Initiatives_SD'!B15</f>
        <v>B15.3.4.1</v>
      </c>
      <c r="C234" s="3" t="str">
        <f>'17.IT Initiatives_SD'!C15</f>
        <v xml:space="preserve">Implementation of Hospital Management System </v>
      </c>
      <c r="D234" s="5">
        <f>'17.IT Initiatives_SD'!F15</f>
        <v>1</v>
      </c>
      <c r="E234" s="5">
        <f>'17.IT Initiatives_SD'!G15</f>
        <v>0</v>
      </c>
      <c r="F234" s="5">
        <f>'17.IT Initiatives_SD'!H15</f>
        <v>35.4</v>
      </c>
      <c r="G234" s="5">
        <f>'17.IT Initiatives_SD'!I15</f>
        <v>25.33</v>
      </c>
      <c r="H234" s="5">
        <f>'17.IT Initiatives_SD'!J15</f>
        <v>10.07</v>
      </c>
      <c r="I234" s="5">
        <f>'17.IT Initiatives_SD'!K15</f>
        <v>1</v>
      </c>
      <c r="J234" s="5">
        <f>'17.IT Initiatives_SD'!L15</f>
        <v>3582000</v>
      </c>
      <c r="K234" s="5">
        <f>'17.IT Initiatives_SD'!M15</f>
        <v>35.82</v>
      </c>
      <c r="L234" s="5">
        <f>'17.IT Initiatives_SD'!N15</f>
        <v>1</v>
      </c>
      <c r="M234" s="5">
        <f>'17.IT Initiatives_SD'!O15</f>
        <v>35.82</v>
      </c>
      <c r="N234" s="5" t="str">
        <f>'17.IT Initiatives_SD'!P15</f>
        <v>ONGOING ACTIVITY: to be paid to implementating agency for bearing recurring cost</v>
      </c>
      <c r="O234" s="5" t="str">
        <f>'17.IT Initiatives_SD'!Q15</f>
        <v xml:space="preserve">Recommended Rs 35.82 lakhs for Internet connection for 1990 Tablets@Rs 150 per month per unit for implementation of ANMOL. These are indicative rates, final rates are to be arrived at as per GeM rate contract or after competitive bidding following Government protocols.This is subject to 100% reporting on RCH Portal and improvement in data quality thereof. </v>
      </c>
      <c r="P234" s="5">
        <f>'17.IT Initiatives_SD'!R15</f>
        <v>35.82</v>
      </c>
    </row>
    <row r="235" spans="1:16" ht="25.5">
      <c r="A235" s="3">
        <f>'17.IT Initiatives_SD'!A16</f>
        <v>17.7</v>
      </c>
      <c r="B235" s="3">
        <f>'17.IT Initiatives_SD'!B16</f>
        <v>0</v>
      </c>
      <c r="C235" s="3" t="str">
        <f>'17.IT Initiatives_SD'!C16</f>
        <v>Implementation of Human Resource Information System (HRIS)</v>
      </c>
      <c r="D235" s="5">
        <f>'17.IT Initiatives_SD'!F16</f>
        <v>7964</v>
      </c>
      <c r="E235" s="5">
        <f>'17.IT Initiatives_SD'!G16</f>
        <v>0</v>
      </c>
      <c r="F235" s="5">
        <f>'17.IT Initiatives_SD'!H16</f>
        <v>0</v>
      </c>
      <c r="G235" s="5">
        <f>'17.IT Initiatives_SD'!I16</f>
        <v>0</v>
      </c>
      <c r="H235" s="5">
        <f>'17.IT Initiatives_SD'!J16</f>
        <v>0</v>
      </c>
      <c r="I235" s="5">
        <f>'17.IT Initiatives_SD'!K16</f>
        <v>0</v>
      </c>
      <c r="J235" s="5">
        <f>'17.IT Initiatives_SD'!L16</f>
        <v>0</v>
      </c>
      <c r="K235" s="5">
        <f>'17.IT Initiatives_SD'!M16</f>
        <v>0</v>
      </c>
      <c r="L235" s="5">
        <f>'17.IT Initiatives_SD'!N16</f>
        <v>0</v>
      </c>
      <c r="M235" s="5">
        <f>'17.IT Initiatives_SD'!O16</f>
        <v>0</v>
      </c>
      <c r="N235" s="5">
        <f>'17.IT Initiatives_SD'!P16</f>
        <v>0</v>
      </c>
      <c r="O235" s="5">
        <f>'17.IT Initiatives_SD'!Q16</f>
        <v>0</v>
      </c>
      <c r="P235" s="5">
        <f>'17.IT Initiatives_SD'!R16</f>
        <v>0</v>
      </c>
    </row>
    <row r="236" spans="1:16" ht="38.25">
      <c r="A236" s="3">
        <f>'17.IT Initiatives_SD'!A17</f>
        <v>17.8</v>
      </c>
      <c r="B236" s="3">
        <f>'17.IT Initiatives_SD'!B17</f>
        <v>0</v>
      </c>
      <c r="C236" s="3" t="str">
        <f>'17.IT Initiatives_SD'!C17</f>
        <v>Other IT Initiatives for Service Delivery (please specify)</v>
      </c>
      <c r="D236" s="5">
        <f>'17.IT Initiatives_SD'!F17</f>
        <v>0</v>
      </c>
      <c r="E236" s="5">
        <f>'17.IT Initiatives_SD'!G17</f>
        <v>0</v>
      </c>
      <c r="F236" s="5">
        <f>'17.IT Initiatives_SD'!H17</f>
        <v>0</v>
      </c>
      <c r="G236" s="5">
        <f>'17.IT Initiatives_SD'!I17</f>
        <v>0</v>
      </c>
      <c r="H236" s="5">
        <f>'17.IT Initiatives_SD'!J17</f>
        <v>0</v>
      </c>
      <c r="I236" s="5">
        <f>'17.IT Initiatives_SD'!K17</f>
        <v>1</v>
      </c>
      <c r="J236" s="5">
        <f>'17.IT Initiatives_SD'!L17</f>
        <v>1800</v>
      </c>
      <c r="K236" s="5">
        <f>'17.IT Initiatives_SD'!M17</f>
        <v>1.7999999999999999E-2</v>
      </c>
      <c r="L236" s="5">
        <f>'17.IT Initiatives_SD'!N17</f>
        <v>8066</v>
      </c>
      <c r="M236" s="5">
        <f>'17.IT Initiatives_SD'!O17</f>
        <v>145.18799999999999</v>
      </c>
      <c r="N236" s="5" t="str">
        <f>'17.IT Initiatives_SD'!P17</f>
        <v xml:space="preserve">It is proposed that the ASHA Mobile Allowance @ Rs. 150/- for 12 month . </v>
      </c>
      <c r="O236" s="5" t="str">
        <f>'17.IT Initiatives_SD'!Q17</f>
        <v xml:space="preserve">Recommended for approvalRs. 145.19L @ Rs. 150 per month as mobile allowance to 8066 ASHAs. </v>
      </c>
      <c r="P236" s="5">
        <f>'17.IT Initiatives_SD'!R17</f>
        <v>145.19</v>
      </c>
    </row>
    <row r="237" spans="1:16">
      <c r="A237" s="21"/>
      <c r="B237" s="21"/>
      <c r="C237" s="21" t="str">
        <f>'NUHM-Non Metro Abst'!C7</f>
        <v>Non-Metro Sub Total</v>
      </c>
      <c r="D237" s="29"/>
      <c r="E237" s="29"/>
      <c r="F237" s="29">
        <f>F238+F252+F260</f>
        <v>0</v>
      </c>
      <c r="G237" s="29">
        <f>G238+G252+G260</f>
        <v>0</v>
      </c>
      <c r="H237" s="29">
        <f>H238+H252+H260</f>
        <v>0</v>
      </c>
      <c r="I237" s="29"/>
      <c r="J237" s="29"/>
      <c r="K237" s="29"/>
      <c r="L237" s="29"/>
      <c r="M237" s="29">
        <f>M238+M252+M260</f>
        <v>104</v>
      </c>
      <c r="N237" s="29"/>
      <c r="O237" s="29"/>
      <c r="P237" s="29">
        <f>P238+P252+P260</f>
        <v>104</v>
      </c>
    </row>
    <row r="238" spans="1:16">
      <c r="A238" s="19" t="str">
        <f>'NUHM-Non Metro Abst'!A77</f>
        <v>U.5</v>
      </c>
      <c r="B238" s="19">
        <f>'NUHM-Non Metro Abst'!B77</f>
        <v>0</v>
      </c>
      <c r="C238" s="19" t="str">
        <f>'NUHM-Non Metro Abst'!C77</f>
        <v>Infrastructure</v>
      </c>
      <c r="D238" s="26"/>
      <c r="E238" s="26"/>
      <c r="F238" s="26">
        <f>F239+F245+F249</f>
        <v>0</v>
      </c>
      <c r="G238" s="26">
        <f>G239+G245+G249</f>
        <v>0</v>
      </c>
      <c r="H238" s="26">
        <f>H239+H245+H249</f>
        <v>0</v>
      </c>
      <c r="I238" s="26"/>
      <c r="J238" s="26"/>
      <c r="K238" s="26"/>
      <c r="L238" s="26"/>
      <c r="M238" s="26">
        <f>M239+M245+M249</f>
        <v>0</v>
      </c>
      <c r="N238" s="26"/>
      <c r="O238" s="26"/>
      <c r="P238" s="26">
        <f>P239+P245+P249</f>
        <v>0</v>
      </c>
    </row>
    <row r="239" spans="1:16">
      <c r="A239" s="20" t="str">
        <f>'NUHM-Non Metro Abst'!A78</f>
        <v>U.5.1</v>
      </c>
      <c r="B239" s="20">
        <f>'NUHM-Non Metro Abst'!B78</f>
        <v>0</v>
      </c>
      <c r="C239" s="20" t="str">
        <f>'NUHM-Non Metro Abst'!C78</f>
        <v>Upgradation of existing facilities</v>
      </c>
      <c r="D239" s="27"/>
      <c r="E239" s="27"/>
      <c r="F239" s="27">
        <f>SUM(F240:F242)</f>
        <v>0</v>
      </c>
      <c r="G239" s="27">
        <f>SUM(G240:G242)</f>
        <v>0</v>
      </c>
      <c r="H239" s="27">
        <f>SUM(H240:H242)</f>
        <v>0</v>
      </c>
      <c r="I239" s="27"/>
      <c r="J239" s="27"/>
      <c r="K239" s="27"/>
      <c r="L239" s="27"/>
      <c r="M239" s="27">
        <f>SUM(M240:M242)</f>
        <v>0</v>
      </c>
      <c r="N239" s="27"/>
      <c r="O239" s="27"/>
      <c r="P239" s="27">
        <f>SUM(P240:P242)</f>
        <v>0</v>
      </c>
    </row>
    <row r="240" spans="1:16">
      <c r="A240" s="3" t="str">
        <f>'NUHM-Non Metro Abst'!A79</f>
        <v>U.5.1.1</v>
      </c>
      <c r="B240" s="3" t="str">
        <f>'NUHM-Non Metro Abst'!B79</f>
        <v>P.4.2.2.1</v>
      </c>
      <c r="C240" s="3" t="str">
        <f>'NUHM-Non Metro Abst'!C79</f>
        <v>UPHC</v>
      </c>
      <c r="D240" s="5">
        <f>'NUHM-Non Metro Abst'!G79</f>
        <v>0</v>
      </c>
      <c r="E240" s="5">
        <f>'NUHM-Non Metro Abst'!H79</f>
        <v>0</v>
      </c>
      <c r="F240" s="5">
        <f>'NUHM-Non Metro Abst'!I79</f>
        <v>0</v>
      </c>
      <c r="G240" s="5">
        <f>'NUHM-Non Metro Abst'!J79</f>
        <v>0</v>
      </c>
      <c r="H240" s="5">
        <f>'NUHM-Non Metro Abst'!K79</f>
        <v>0</v>
      </c>
      <c r="I240" s="5">
        <f>'NUHM-Non Metro Abst'!L79</f>
        <v>0</v>
      </c>
      <c r="J240" s="5">
        <f>'NUHM-Non Metro Abst'!M79</f>
        <v>0</v>
      </c>
      <c r="K240" s="5">
        <f>'NUHM-Non Metro Abst'!N79</f>
        <v>0</v>
      </c>
      <c r="L240" s="5">
        <f>'NUHM-Non Metro Abst'!O79</f>
        <v>0</v>
      </c>
      <c r="M240" s="5">
        <f>'NUHM-Non Metro Abst'!P79</f>
        <v>0</v>
      </c>
      <c r="N240" s="5">
        <f>'NUHM-Non Metro Abst'!Q79</f>
        <v>0</v>
      </c>
      <c r="O240" s="5">
        <f>'NUHM-Non Metro Abst'!R79</f>
        <v>0</v>
      </c>
      <c r="P240" s="5">
        <f>'NUHM-Non Metro Abst'!S79</f>
        <v>0</v>
      </c>
    </row>
    <row r="241" spans="1:16">
      <c r="A241" s="3" t="str">
        <f>'NUHM-Non Metro Abst'!A80</f>
        <v>U.5.1.2</v>
      </c>
      <c r="B241" s="3" t="str">
        <f>'NUHM-Non Metro Abst'!B80</f>
        <v>P.4.2.2.2</v>
      </c>
      <c r="C241" s="3" t="str">
        <f>'NUHM-Non Metro Abst'!C80</f>
        <v>UCHC</v>
      </c>
      <c r="D241" s="5">
        <f>'NUHM-Non Metro Abst'!G80</f>
        <v>0</v>
      </c>
      <c r="E241" s="5">
        <f>'NUHM-Non Metro Abst'!H80</f>
        <v>0</v>
      </c>
      <c r="F241" s="5">
        <f>'NUHM-Non Metro Abst'!I80</f>
        <v>0</v>
      </c>
      <c r="G241" s="5">
        <f>'NUHM-Non Metro Abst'!J80</f>
        <v>0</v>
      </c>
      <c r="H241" s="5">
        <f>'NUHM-Non Metro Abst'!K80</f>
        <v>0</v>
      </c>
      <c r="I241" s="5">
        <f>'NUHM-Non Metro Abst'!L80</f>
        <v>0</v>
      </c>
      <c r="J241" s="5">
        <f>'NUHM-Non Metro Abst'!M80</f>
        <v>0</v>
      </c>
      <c r="K241" s="5">
        <f>'NUHM-Non Metro Abst'!N80</f>
        <v>0</v>
      </c>
      <c r="L241" s="5">
        <f>'NUHM-Non Metro Abst'!O80</f>
        <v>0</v>
      </c>
      <c r="M241" s="5">
        <f>'NUHM-Non Metro Abst'!P80</f>
        <v>0</v>
      </c>
      <c r="N241" s="5">
        <f>'NUHM-Non Metro Abst'!Q80</f>
        <v>0</v>
      </c>
      <c r="O241" s="5">
        <f>'NUHM-Non Metro Abst'!R80</f>
        <v>0</v>
      </c>
      <c r="P241" s="5">
        <f>'NUHM-Non Metro Abst'!S80</f>
        <v>0</v>
      </c>
    </row>
    <row r="242" spans="1:16">
      <c r="A242" s="3" t="str">
        <f>'NUHM-Non Metro Abst'!A81</f>
        <v>U.5.1.3</v>
      </c>
      <c r="B242" s="3" t="str">
        <f>'NUHM-Non Metro Abst'!B81</f>
        <v>P.4.2.2.2</v>
      </c>
      <c r="C242" s="3" t="str">
        <f>'NUHM-Non Metro Abst'!C81</f>
        <v>Maternity Homes</v>
      </c>
      <c r="D242" s="5">
        <f>'NUHM-Non Metro Abst'!G81</f>
        <v>0</v>
      </c>
      <c r="E242" s="5">
        <f>'NUHM-Non Metro Abst'!H81</f>
        <v>0</v>
      </c>
      <c r="F242" s="5">
        <f>'NUHM-Non Metro Abst'!I81</f>
        <v>0</v>
      </c>
      <c r="G242" s="5">
        <f>'NUHM-Non Metro Abst'!J81</f>
        <v>0</v>
      </c>
      <c r="H242" s="5">
        <f>'NUHM-Non Metro Abst'!K81</f>
        <v>0</v>
      </c>
      <c r="I242" s="5">
        <f>'NUHM-Non Metro Abst'!L81</f>
        <v>0</v>
      </c>
      <c r="J242" s="5">
        <f>'NUHM-Non Metro Abst'!M81</f>
        <v>0</v>
      </c>
      <c r="K242" s="5">
        <f>'NUHM-Non Metro Abst'!N81</f>
        <v>0</v>
      </c>
      <c r="L242" s="5">
        <f>'NUHM-Non Metro Abst'!O81</f>
        <v>0</v>
      </c>
      <c r="M242" s="5">
        <f>'NUHM-Non Metro Abst'!P81</f>
        <v>0</v>
      </c>
      <c r="N242" s="5">
        <f>'NUHM-Non Metro Abst'!Q81</f>
        <v>0</v>
      </c>
      <c r="O242" s="5">
        <f>'NUHM-Non Metro Abst'!R81</f>
        <v>0</v>
      </c>
      <c r="P242" s="5">
        <f>'NUHM-Non Metro Abst'!S81</f>
        <v>0</v>
      </c>
    </row>
    <row r="243" spans="1:16">
      <c r="A243" s="3" t="str">
        <f>'NUHM-Non Metro Abst'!A82</f>
        <v>U.5.1.4</v>
      </c>
      <c r="B243" s="3" t="str">
        <f>'NUHM-Non Metro Abst'!B82</f>
        <v>P.4.2.3.1</v>
      </c>
      <c r="C243" s="3" t="str">
        <f>'NUHM-Non Metro Abst'!C82</f>
        <v>Rent for UPHC</v>
      </c>
      <c r="D243" s="5">
        <f>'NUHM-Non Metro Abst'!G82</f>
        <v>0</v>
      </c>
      <c r="E243" s="5">
        <f>'NUHM-Non Metro Abst'!H82</f>
        <v>0</v>
      </c>
      <c r="F243" s="5">
        <f>'NUHM-Non Metro Abst'!I82</f>
        <v>0</v>
      </c>
      <c r="G243" s="5">
        <f>'NUHM-Non Metro Abst'!J82</f>
        <v>0</v>
      </c>
      <c r="H243" s="5">
        <f>'NUHM-Non Metro Abst'!K82</f>
        <v>0</v>
      </c>
      <c r="I243" s="5">
        <f>'NUHM-Non Metro Abst'!L82</f>
        <v>0</v>
      </c>
      <c r="J243" s="5">
        <f>'NUHM-Non Metro Abst'!M82</f>
        <v>0</v>
      </c>
      <c r="K243" s="5">
        <f>'NUHM-Non Metro Abst'!N82</f>
        <v>0</v>
      </c>
      <c r="L243" s="5">
        <f>'NUHM-Non Metro Abst'!O82</f>
        <v>0</v>
      </c>
      <c r="M243" s="5">
        <f>'NUHM-Non Metro Abst'!P82</f>
        <v>0</v>
      </c>
      <c r="N243" s="5">
        <f>'NUHM-Non Metro Abst'!Q82</f>
        <v>0</v>
      </c>
      <c r="O243" s="5">
        <f>'NUHM-Non Metro Abst'!R82</f>
        <v>0</v>
      </c>
      <c r="P243" s="5">
        <f>'NUHM-Non Metro Abst'!S82</f>
        <v>0</v>
      </c>
    </row>
    <row r="244" spans="1:16">
      <c r="A244" s="3" t="str">
        <f>'NUHM-Non Metro Abst'!A83</f>
        <v>U.5.1.5</v>
      </c>
      <c r="B244" s="3">
        <f>'NUHM-Non Metro Abst'!B83</f>
        <v>0</v>
      </c>
      <c r="C244" s="3" t="str">
        <f>'NUHM-Non Metro Abst'!C83</f>
        <v>Any other (please specify)</v>
      </c>
      <c r="D244" s="5">
        <f>'NUHM-Non Metro Abst'!G83</f>
        <v>0</v>
      </c>
      <c r="E244" s="5">
        <f>'NUHM-Non Metro Abst'!H83</f>
        <v>0</v>
      </c>
      <c r="F244" s="5">
        <f>'NUHM-Non Metro Abst'!I83</f>
        <v>0</v>
      </c>
      <c r="G244" s="5">
        <f>'NUHM-Non Metro Abst'!J83</f>
        <v>0</v>
      </c>
      <c r="H244" s="5">
        <f>'NUHM-Non Metro Abst'!K83</f>
        <v>0</v>
      </c>
      <c r="I244" s="5">
        <f>'NUHM-Non Metro Abst'!L83</f>
        <v>0</v>
      </c>
      <c r="J244" s="5">
        <f>'NUHM-Non Metro Abst'!M83</f>
        <v>0</v>
      </c>
      <c r="K244" s="5">
        <f>'NUHM-Non Metro Abst'!N83</f>
        <v>0</v>
      </c>
      <c r="L244" s="5">
        <f>'NUHM-Non Metro Abst'!O83</f>
        <v>0</v>
      </c>
      <c r="M244" s="5">
        <f>'NUHM-Non Metro Abst'!P83</f>
        <v>0</v>
      </c>
      <c r="N244" s="5">
        <f>'NUHM-Non Metro Abst'!Q83</f>
        <v>0</v>
      </c>
      <c r="O244" s="5">
        <f>'NUHM-Non Metro Abst'!R83</f>
        <v>0</v>
      </c>
      <c r="P244" s="5">
        <f>'NUHM-Non Metro Abst'!S83</f>
        <v>0</v>
      </c>
    </row>
    <row r="245" spans="1:16">
      <c r="A245" s="20" t="str">
        <f>'NUHM-Non Metro Abst'!A84</f>
        <v>U.5.2</v>
      </c>
      <c r="B245" s="20">
        <f>'NUHM-Non Metro Abst'!B84</f>
        <v>0</v>
      </c>
      <c r="C245" s="20" t="str">
        <f>'NUHM-Non Metro Abst'!C84</f>
        <v xml:space="preserve">New Constructions </v>
      </c>
      <c r="D245" s="27"/>
      <c r="E245" s="27"/>
      <c r="F245" s="27">
        <f>SUM(F246:F248)</f>
        <v>0</v>
      </c>
      <c r="G245" s="27">
        <f>SUM(G246:G248)</f>
        <v>0</v>
      </c>
      <c r="H245" s="27">
        <f>SUM(H246:H248)</f>
        <v>0</v>
      </c>
      <c r="I245" s="27"/>
      <c r="J245" s="27"/>
      <c r="K245" s="27"/>
      <c r="L245" s="27"/>
      <c r="M245" s="27">
        <f>SUM(M246:M248)</f>
        <v>0</v>
      </c>
      <c r="N245" s="27"/>
      <c r="O245" s="27"/>
      <c r="P245" s="27">
        <f>SUM(P246:P248)</f>
        <v>0</v>
      </c>
    </row>
    <row r="246" spans="1:16">
      <c r="A246" s="3" t="str">
        <f>'NUHM-Non Metro Abst'!A85</f>
        <v>U.5.2.1</v>
      </c>
      <c r="B246" s="3" t="str">
        <f>'NUHM-Non Metro Abst'!B85</f>
        <v>P.4.2.1.1</v>
      </c>
      <c r="C246" s="3" t="str">
        <f>'NUHM-Non Metro Abst'!C85</f>
        <v>UPHC</v>
      </c>
      <c r="D246" s="7">
        <f>'NUHM-Non Metro Abst'!E85</f>
        <v>0</v>
      </c>
      <c r="E246" s="7">
        <f>'NUHM-Non Metro Abst'!F85</f>
        <v>0</v>
      </c>
      <c r="F246" s="7">
        <f>'NUHM-Non Metro Abst'!G85</f>
        <v>0</v>
      </c>
      <c r="G246" s="7">
        <f>'NUHM-Non Metro Abst'!H85</f>
        <v>0</v>
      </c>
      <c r="H246" s="7">
        <f>'NUHM-Non Metro Abst'!I85</f>
        <v>0</v>
      </c>
      <c r="I246" s="7">
        <f>'NUHM-Non Metro Abst'!J85</f>
        <v>0</v>
      </c>
      <c r="J246" s="7">
        <f>'NUHM-Non Metro Abst'!K85</f>
        <v>0</v>
      </c>
      <c r="K246" s="6">
        <f>'NUHM-Non Metro Abst'!L85</f>
        <v>0</v>
      </c>
      <c r="L246" s="7">
        <f>'NUHM-Non Metro Abst'!M85</f>
        <v>0</v>
      </c>
      <c r="M246" s="6">
        <f>'NUHM-Non Metro Abst'!N85</f>
        <v>0</v>
      </c>
      <c r="N246" s="7">
        <f>'NUHM-Non Metro Abst'!O85</f>
        <v>0</v>
      </c>
      <c r="O246" s="7">
        <f>'NUHM-Non Metro Abst'!P85</f>
        <v>0</v>
      </c>
      <c r="P246" s="7">
        <f>'NUHM-Non Metro Abst'!Q85</f>
        <v>0</v>
      </c>
    </row>
    <row r="247" spans="1:16">
      <c r="A247" s="3" t="str">
        <f>'NUHM-Non Metro Abst'!A86</f>
        <v>U.5.2.2</v>
      </c>
      <c r="B247" s="3" t="str">
        <f>'NUHM-Non Metro Abst'!B86</f>
        <v>P.4.2.1.2</v>
      </c>
      <c r="C247" s="3" t="str">
        <f>'NUHM-Non Metro Abst'!C86</f>
        <v>UCHC</v>
      </c>
      <c r="D247" s="7">
        <f>'NUHM-Non Metro Abst'!E86</f>
        <v>0</v>
      </c>
      <c r="E247" s="7">
        <f>'NUHM-Non Metro Abst'!F86</f>
        <v>0</v>
      </c>
      <c r="F247" s="7">
        <f>'NUHM-Non Metro Abst'!G86</f>
        <v>0</v>
      </c>
      <c r="G247" s="7">
        <f>'NUHM-Non Metro Abst'!H86</f>
        <v>0</v>
      </c>
      <c r="H247" s="7">
        <f>'NUHM-Non Metro Abst'!I86</f>
        <v>0</v>
      </c>
      <c r="I247" s="7">
        <f>'NUHM-Non Metro Abst'!J86</f>
        <v>0</v>
      </c>
      <c r="J247" s="7">
        <f>'NUHM-Non Metro Abst'!K86</f>
        <v>0</v>
      </c>
      <c r="K247" s="6">
        <f>'NUHM-Non Metro Abst'!L86</f>
        <v>0</v>
      </c>
      <c r="L247" s="7">
        <f>'NUHM-Non Metro Abst'!M86</f>
        <v>0</v>
      </c>
      <c r="M247" s="6">
        <f>'NUHM-Non Metro Abst'!N86</f>
        <v>0</v>
      </c>
      <c r="N247" s="7">
        <f>'NUHM-Non Metro Abst'!O86</f>
        <v>0</v>
      </c>
      <c r="O247" s="7">
        <f>'NUHM-Non Metro Abst'!P86</f>
        <v>0</v>
      </c>
      <c r="P247" s="7">
        <f>'NUHM-Non Metro Abst'!Q86</f>
        <v>0</v>
      </c>
    </row>
    <row r="248" spans="1:16">
      <c r="A248" s="3" t="str">
        <f>'NUHM-Non Metro Abst'!A87</f>
        <v>U.5.2.3</v>
      </c>
      <c r="B248" s="3" t="str">
        <f>'NUHM-Non Metro Abst'!B87</f>
        <v>P.4.2.1.3</v>
      </c>
      <c r="C248" s="3" t="str">
        <f>'NUHM-Non Metro Abst'!C87</f>
        <v>Health Kiosk (for establishment)</v>
      </c>
      <c r="D248" s="7">
        <f>'NUHM-Non Metro Abst'!E87</f>
        <v>0</v>
      </c>
      <c r="E248" s="7">
        <f>'NUHM-Non Metro Abst'!F87</f>
        <v>0</v>
      </c>
      <c r="F248" s="7">
        <f>'NUHM-Non Metro Abst'!G87</f>
        <v>0</v>
      </c>
      <c r="G248" s="7">
        <f>'NUHM-Non Metro Abst'!H87</f>
        <v>0</v>
      </c>
      <c r="H248" s="7">
        <f>'NUHM-Non Metro Abst'!I87</f>
        <v>0</v>
      </c>
      <c r="I248" s="7">
        <f>'NUHM-Non Metro Abst'!J87</f>
        <v>0</v>
      </c>
      <c r="J248" s="7">
        <f>'NUHM-Non Metro Abst'!K87</f>
        <v>0</v>
      </c>
      <c r="K248" s="6">
        <f>'NUHM-Non Metro Abst'!L87</f>
        <v>0</v>
      </c>
      <c r="L248" s="7">
        <f>'NUHM-Non Metro Abst'!M87</f>
        <v>0</v>
      </c>
      <c r="M248" s="6">
        <f>'NUHM-Non Metro Abst'!N87</f>
        <v>0</v>
      </c>
      <c r="N248" s="7">
        <f>'NUHM-Non Metro Abst'!O87</f>
        <v>0</v>
      </c>
      <c r="O248" s="7">
        <f>'NUHM-Non Metro Abst'!P87</f>
        <v>0</v>
      </c>
      <c r="P248" s="7">
        <f>'NUHM-Non Metro Abst'!Q87</f>
        <v>0</v>
      </c>
    </row>
    <row r="249" spans="1:16">
      <c r="A249" s="20" t="str">
        <f>'NUHM-Non Metro Abst'!A88</f>
        <v>U.5.3</v>
      </c>
      <c r="B249" s="20">
        <f>'NUHM-Non Metro Abst'!B88</f>
        <v>0</v>
      </c>
      <c r="C249" s="20" t="str">
        <f>'NUHM-Non Metro Abst'!C88</f>
        <v>Other construction/ Civil works</v>
      </c>
      <c r="D249" s="27"/>
      <c r="E249" s="27"/>
      <c r="F249" s="27">
        <f>SUM(F250:F251)</f>
        <v>0</v>
      </c>
      <c r="G249" s="27">
        <f>SUM(G250:G251)</f>
        <v>0</v>
      </c>
      <c r="H249" s="27">
        <f>SUM(H250:H251)</f>
        <v>0</v>
      </c>
      <c r="I249" s="27"/>
      <c r="J249" s="27"/>
      <c r="K249" s="36"/>
      <c r="L249" s="27"/>
      <c r="M249" s="36">
        <f>SUM(M250:M251)</f>
        <v>0</v>
      </c>
      <c r="N249" s="27"/>
      <c r="O249" s="27"/>
      <c r="P249" s="27">
        <f>SUM(P250:P251)</f>
        <v>0</v>
      </c>
    </row>
    <row r="250" spans="1:16" ht="25.5">
      <c r="A250" s="3" t="str">
        <f>'NUHM-Non Metro Abst'!A89</f>
        <v>U.5.3.1</v>
      </c>
      <c r="B250" s="3">
        <f>'NUHM-Non Metro Abst'!B89</f>
        <v>0</v>
      </c>
      <c r="C250" s="3" t="str">
        <f>'NUHM-Non Metro Abst'!C89</f>
        <v>Infrastructure strengthening of UPHC to H&amp;WC</v>
      </c>
      <c r="D250" s="3">
        <f>'NUHM-Non Metro Abst'!E89</f>
        <v>0</v>
      </c>
      <c r="E250" s="3">
        <f>'NUHM-Non Metro Abst'!F89</f>
        <v>0</v>
      </c>
      <c r="F250" s="3">
        <f>'NUHM-Non Metro Abst'!G89</f>
        <v>0</v>
      </c>
      <c r="G250" s="3">
        <f>'NUHM-Non Metro Abst'!H89</f>
        <v>0</v>
      </c>
      <c r="H250" s="3">
        <f>'NUHM-Non Metro Abst'!I89</f>
        <v>0</v>
      </c>
      <c r="I250" s="3">
        <f>'NUHM-Non Metro Abst'!J89</f>
        <v>0</v>
      </c>
      <c r="J250" s="3">
        <f>'NUHM-Non Metro Abst'!K89</f>
        <v>0</v>
      </c>
      <c r="K250" s="6">
        <f>'NUHM-Non Metro Abst'!L89</f>
        <v>0</v>
      </c>
      <c r="L250" s="3">
        <f>'NUHM-Non Metro Abst'!M89</f>
        <v>0</v>
      </c>
      <c r="M250" s="6">
        <f>'NUHM-Non Metro Abst'!N89</f>
        <v>0</v>
      </c>
      <c r="N250" s="3">
        <f>'NUHM-Non Metro Abst'!O89</f>
        <v>0</v>
      </c>
      <c r="O250" s="5">
        <f>'NUHM-Non Metro Abst'!R89</f>
        <v>0</v>
      </c>
      <c r="P250" s="5">
        <f>'NUHM-Non Metro Abst'!S89</f>
        <v>0</v>
      </c>
    </row>
    <row r="251" spans="1:16">
      <c r="A251" s="3" t="str">
        <f>'NUHM-Non Metro Abst'!A90</f>
        <v>U.5.3.2</v>
      </c>
      <c r="B251" s="3">
        <f>'NUHM-Non Metro Abst'!B90</f>
        <v>0</v>
      </c>
      <c r="C251" s="3" t="str">
        <f>'NUHM-Non Metro Abst'!C90</f>
        <v>Any Other (please specify)</v>
      </c>
      <c r="D251" s="3">
        <f>'NUHM-Non Metro Abst'!E90</f>
        <v>0</v>
      </c>
      <c r="E251" s="3">
        <f>'NUHM-Non Metro Abst'!F90</f>
        <v>0</v>
      </c>
      <c r="F251" s="3">
        <f>'NUHM-Non Metro Abst'!G90</f>
        <v>0</v>
      </c>
      <c r="G251" s="3">
        <f>'NUHM-Non Metro Abst'!H90</f>
        <v>0</v>
      </c>
      <c r="H251" s="3">
        <f>'NUHM-Non Metro Abst'!I90</f>
        <v>0</v>
      </c>
      <c r="I251" s="3">
        <f>'NUHM-Non Metro Abst'!J90</f>
        <v>0</v>
      </c>
      <c r="J251" s="3">
        <f>'NUHM-Non Metro Abst'!K90</f>
        <v>0</v>
      </c>
      <c r="K251" s="6">
        <f>'NUHM-Non Metro Abst'!L90</f>
        <v>0</v>
      </c>
      <c r="L251" s="3">
        <f>'NUHM-Non Metro Abst'!M90</f>
        <v>0</v>
      </c>
      <c r="M251" s="6">
        <f>'NUHM-Non Metro Abst'!N90</f>
        <v>0</v>
      </c>
      <c r="N251" s="3">
        <f>'NUHM-Non Metro Abst'!O90</f>
        <v>0</v>
      </c>
      <c r="O251" s="5">
        <f>'NUHM-Non Metro Abst'!R90</f>
        <v>0</v>
      </c>
      <c r="P251" s="5">
        <f>'NUHM-Non Metro Abst'!S90</f>
        <v>0</v>
      </c>
    </row>
    <row r="252" spans="1:16">
      <c r="A252" s="19" t="str">
        <f>'NUHM-Non Metro Abst'!A91</f>
        <v>U.6</v>
      </c>
      <c r="B252" s="19">
        <f>'NUHM-Non Metro Abst'!B91</f>
        <v>0</v>
      </c>
      <c r="C252" s="19" t="str">
        <f>'NUHM-Non Metro Abst'!C91</f>
        <v>Procurement</v>
      </c>
      <c r="D252" s="26"/>
      <c r="E252" s="26"/>
      <c r="F252" s="26">
        <f>F253+F258</f>
        <v>0</v>
      </c>
      <c r="G252" s="26">
        <f>G253+G258</f>
        <v>0</v>
      </c>
      <c r="H252" s="26">
        <f>H253+H258</f>
        <v>0</v>
      </c>
      <c r="I252" s="26"/>
      <c r="J252" s="26"/>
      <c r="K252" s="26"/>
      <c r="L252" s="26"/>
      <c r="M252" s="26">
        <f>M253+M258</f>
        <v>104</v>
      </c>
      <c r="N252" s="26"/>
      <c r="O252" s="26"/>
      <c r="P252" s="26">
        <f>P253+P258</f>
        <v>104</v>
      </c>
    </row>
    <row r="253" spans="1:16">
      <c r="A253" s="22" t="str">
        <f>'NUHM-Non Metro Abst'!A92</f>
        <v>U.6.1</v>
      </c>
      <c r="B253" s="22">
        <f>'NUHM-Non Metro Abst'!B92</f>
        <v>0</v>
      </c>
      <c r="C253" s="22" t="str">
        <f>'NUHM-Non Metro Abst'!C92</f>
        <v>Procurement of Equipment</v>
      </c>
      <c r="D253" s="30">
        <f>SUM(D254:D257)</f>
        <v>0</v>
      </c>
      <c r="E253" s="30">
        <f t="shared" ref="E253:M253" si="1">SUM(E254:E257)</f>
        <v>0</v>
      </c>
      <c r="F253" s="30">
        <f t="shared" si="1"/>
        <v>0</v>
      </c>
      <c r="G253" s="30">
        <f t="shared" si="1"/>
        <v>0</v>
      </c>
      <c r="H253" s="30">
        <f t="shared" si="1"/>
        <v>0</v>
      </c>
      <c r="I253" s="30">
        <f t="shared" si="1"/>
        <v>1</v>
      </c>
      <c r="J253" s="30">
        <f t="shared" si="1"/>
        <v>400000</v>
      </c>
      <c r="K253" s="30">
        <f t="shared" si="1"/>
        <v>4</v>
      </c>
      <c r="L253" s="30">
        <f t="shared" si="1"/>
        <v>13</v>
      </c>
      <c r="M253" s="30">
        <f t="shared" si="1"/>
        <v>104</v>
      </c>
      <c r="N253" s="30">
        <f>'NUHM-Non Metro Abst'!Q92</f>
        <v>16.25</v>
      </c>
      <c r="O253" s="30">
        <f>'NUHM-Non Metro Abst'!R92</f>
        <v>0</v>
      </c>
      <c r="P253" s="30">
        <f>SUM(P254:P257)</f>
        <v>104</v>
      </c>
    </row>
    <row r="254" spans="1:16">
      <c r="A254" s="3" t="str">
        <f>'NUHM-Non Metro Abst'!A93</f>
        <v>U.6.1.1</v>
      </c>
      <c r="B254" s="3">
        <f>'NUHM-Non Metro Abst'!B93</f>
        <v>0</v>
      </c>
      <c r="C254" s="3" t="str">
        <f>'NUHM-Non Metro Abst'!C93</f>
        <v>Equipment for AB-HWCs</v>
      </c>
      <c r="D254" s="3">
        <f>'NUHM-Non Metro Abst'!E93</f>
        <v>0</v>
      </c>
      <c r="E254" s="3">
        <f>'NUHM-Non Metro Abst'!F93</f>
        <v>0</v>
      </c>
      <c r="F254" s="3">
        <f>'NUHM-Non Metro Abst'!G93</f>
        <v>0</v>
      </c>
      <c r="G254" s="3">
        <f>'NUHM-Non Metro Abst'!H93</f>
        <v>0</v>
      </c>
      <c r="H254" s="3">
        <f>'NUHM-Non Metro Abst'!I93</f>
        <v>0</v>
      </c>
      <c r="I254" s="3">
        <f>'NUHM-Non Metro Abst'!J104</f>
        <v>0</v>
      </c>
      <c r="J254" s="3">
        <f>'NUHM-Non Metro Abst'!K104</f>
        <v>0</v>
      </c>
      <c r="K254" s="3">
        <f>'NUHM-Non Metro Abst'!L104</f>
        <v>0</v>
      </c>
      <c r="L254" s="3">
        <f>'NUHM-Non Metro Abst'!M104</f>
        <v>0</v>
      </c>
      <c r="M254" s="3">
        <f>'NUHM-Non Metro Abst'!N104</f>
        <v>52</v>
      </c>
      <c r="N254" s="3">
        <f>'NUHM-Non Metro Abst'!O104</f>
        <v>0</v>
      </c>
      <c r="O254" s="3">
        <f>'NUHM-Non Metro Abst'!P104</f>
        <v>0</v>
      </c>
      <c r="P254" s="3">
        <f>'NUHM-Non Metro Abst'!Q104</f>
        <v>52</v>
      </c>
    </row>
    <row r="255" spans="1:16" ht="89.25">
      <c r="A255" s="3" t="str">
        <f>'NUHM-Non Metro Abst'!A94</f>
        <v>U.6.1.2</v>
      </c>
      <c r="B255" s="3" t="str">
        <f>'NUHM-Non Metro Abst'!B94</f>
        <v>P.4.4.2.1</v>
      </c>
      <c r="C255" s="3" t="str">
        <f>'NUHM-Non Metro Abst'!C94</f>
        <v>Equipment for UPHC</v>
      </c>
      <c r="D255" s="3">
        <f>'NUHM-Non Metro Abst'!E94</f>
        <v>0</v>
      </c>
      <c r="E255" s="3">
        <f>'NUHM-Non Metro Abst'!F94</f>
        <v>0</v>
      </c>
      <c r="F255" s="3">
        <f>'NUHM-Non Metro Abst'!G94</f>
        <v>0</v>
      </c>
      <c r="G255" s="3">
        <f>'NUHM-Non Metro Abst'!H94</f>
        <v>0</v>
      </c>
      <c r="H255" s="3">
        <f>'NUHM-Non Metro Abst'!I94</f>
        <v>0</v>
      </c>
      <c r="I255" s="3">
        <f>'NUHM-Non Metro Abst'!J105</f>
        <v>1</v>
      </c>
      <c r="J255" s="3">
        <f>'NUHM-Non Metro Abst'!K105</f>
        <v>400000</v>
      </c>
      <c r="K255" s="3">
        <f>'NUHM-Non Metro Abst'!L105</f>
        <v>4</v>
      </c>
      <c r="L255" s="3">
        <f>'NUHM-Non Metro Abst'!M105</f>
        <v>13</v>
      </c>
      <c r="M255" s="3">
        <f>'NUHM-Non Metro Abst'!N105</f>
        <v>52</v>
      </c>
      <c r="N255" s="3" t="e">
        <f>'NUHM-Non Metro Abst'!#REF!</f>
        <v>#REF!</v>
      </c>
      <c r="O255" s="3" t="str">
        <f>'NUHM-Non Metro Abst'!P105</f>
        <v>Ongoing Activity: May be Recommended for approval for Rs. 16.00 lakhs  @4.00 lakh for 4 HWC-UPHCs   The rest of the amount approved under FMR 6.2.1.2 State to integrate with free drugs initiative under NHM.</v>
      </c>
      <c r="P255" s="3">
        <f>'NUHM-Non Metro Abst'!Q105</f>
        <v>16</v>
      </c>
    </row>
    <row r="256" spans="1:16" ht="204">
      <c r="A256" s="3" t="str">
        <f>'NUHM-Non Metro Abst'!A95</f>
        <v>U.6.1.3</v>
      </c>
      <c r="B256" s="3" t="str">
        <f>'NUHM-Non Metro Abst'!B95</f>
        <v>P.4.4.2.2</v>
      </c>
      <c r="C256" s="3" t="str">
        <f>'NUHM-Non Metro Abst'!C95</f>
        <v>Equipment for UCHC</v>
      </c>
      <c r="D256" s="3">
        <f>'NUHM-Non Metro Abst'!E95</f>
        <v>0</v>
      </c>
      <c r="E256" s="3">
        <f>'NUHM-Non Metro Abst'!F95</f>
        <v>0</v>
      </c>
      <c r="F256" s="3">
        <f>'NUHM-Non Metro Abst'!G95</f>
        <v>0</v>
      </c>
      <c r="G256" s="3">
        <f>'NUHM-Non Metro Abst'!H95</f>
        <v>0</v>
      </c>
      <c r="H256" s="3">
        <f>'NUHM-Non Metro Abst'!I95</f>
        <v>0</v>
      </c>
      <c r="I256" s="3">
        <f>'NUHM-Non Metro Abst'!J106</f>
        <v>0</v>
      </c>
      <c r="J256" s="3">
        <f>'NUHM-Non Metro Abst'!K106</f>
        <v>0</v>
      </c>
      <c r="K256" s="3">
        <f>'NUHM-Non Metro Abst'!L106</f>
        <v>0</v>
      </c>
      <c r="L256" s="3">
        <f>'NUHM-Non Metro Abst'!M106</f>
        <v>0</v>
      </c>
      <c r="M256" s="3">
        <f>'NUHM-Non Metro Abst'!N106</f>
        <v>0</v>
      </c>
      <c r="N256" s="3" t="str">
        <f>'NUHM-Non Metro Abst'!O105</f>
        <v xml:space="preserve">The Funds are required  for providing Free Drugs to the Urban Population of the State of HP through UPHCs/Urban Heatlh Centres under Free Drug initiatives currently we have 402 drugs and 77 consumables approved under EDL/FDI out of which 163 medicines and 53 consumbale has to be provided at PHCs and 52 medicines has to be provided at Sub Center level.  </v>
      </c>
      <c r="O256" s="3" t="str">
        <f>'NUHM-Non Metro Abst'!P106</f>
        <v>Ongoing Activity: May be Recommended for approval for Rs. 36.00 lakhs  @4.00 lakh for 9 UPHCs State to integrate with free drugs initiative under NHM .</v>
      </c>
      <c r="P256" s="3">
        <f>'NUHM-Non Metro Abst'!Q106</f>
        <v>36</v>
      </c>
    </row>
    <row r="257" spans="1:16">
      <c r="A257" s="3" t="str">
        <f>'NUHM-Non Metro Abst'!A96</f>
        <v>U.6.1.4</v>
      </c>
      <c r="B257" s="3" t="str">
        <f>'NUHM-Non Metro Abst'!B96</f>
        <v>P.4.4.2.3</v>
      </c>
      <c r="C257" s="3" t="str">
        <f>'NUHM-Non Metro Abst'!C96</f>
        <v>Equipment for Maternity Homes</v>
      </c>
      <c r="D257" s="3">
        <f>'NUHM-Non Metro Abst'!E96</f>
        <v>0</v>
      </c>
      <c r="E257" s="3">
        <f>'NUHM-Non Metro Abst'!F96</f>
        <v>0</v>
      </c>
      <c r="F257" s="3">
        <f>'NUHM-Non Metro Abst'!G96</f>
        <v>0</v>
      </c>
      <c r="G257" s="3">
        <f>'NUHM-Non Metro Abst'!H96</f>
        <v>0</v>
      </c>
      <c r="H257" s="3">
        <f>'NUHM-Non Metro Abst'!I96</f>
        <v>0</v>
      </c>
      <c r="I257" s="3">
        <f>'NUHM-Non Metro Abst'!J108</f>
        <v>0</v>
      </c>
      <c r="J257" s="3">
        <f>'NUHM-Non Metro Abst'!K108</f>
        <v>0</v>
      </c>
      <c r="K257" s="3">
        <f>'NUHM-Non Metro Abst'!L108</f>
        <v>0</v>
      </c>
      <c r="L257" s="3">
        <f>'NUHM-Non Metro Abst'!M108</f>
        <v>0</v>
      </c>
      <c r="M257" s="3">
        <f>'NUHM-Non Metro Abst'!N108</f>
        <v>0</v>
      </c>
      <c r="N257" s="3">
        <f>'NUHM-Non Metro Abst'!O108</f>
        <v>0</v>
      </c>
      <c r="O257" s="3">
        <f>'NUHM-Non Metro Abst'!P108</f>
        <v>0</v>
      </c>
      <c r="P257" s="3">
        <f>'NUHM-Non Metro Abst'!Q108</f>
        <v>0</v>
      </c>
    </row>
    <row r="258" spans="1:16">
      <c r="A258" s="20" t="str">
        <f>'NUHM-Non Metro Abst'!A115</f>
        <v>U.6.3</v>
      </c>
      <c r="B258" s="20" t="str">
        <f>'NUHM-Non Metro Abst'!B115</f>
        <v>U.6.5</v>
      </c>
      <c r="C258" s="20" t="str">
        <f>'NUHM-Non Metro Abst'!C115</f>
        <v>Other Procurement</v>
      </c>
      <c r="D258" s="20">
        <f>'NUHM-Non Metro Abst'!E115</f>
        <v>0</v>
      </c>
      <c r="E258" s="20">
        <f>'NUHM-Non Metro Abst'!F115</f>
        <v>0</v>
      </c>
      <c r="F258" s="20">
        <f>'NUHM-Non Metro Abst'!G115</f>
        <v>0</v>
      </c>
      <c r="G258" s="20">
        <f>'NUHM-Non Metro Abst'!H115</f>
        <v>0</v>
      </c>
      <c r="H258" s="20">
        <f>'NUHM-Non Metro Abst'!I115</f>
        <v>0</v>
      </c>
      <c r="I258" s="20">
        <f>'NUHM-Non Metro Abst'!J115</f>
        <v>0</v>
      </c>
      <c r="J258" s="20">
        <f>'NUHM-Non Metro Abst'!K115</f>
        <v>0</v>
      </c>
      <c r="K258" s="20">
        <f>'NUHM-Non Metro Abst'!L115</f>
        <v>0</v>
      </c>
      <c r="L258" s="20">
        <f>'NUHM-Non Metro Abst'!M115</f>
        <v>0</v>
      </c>
      <c r="M258" s="20">
        <f>'NUHM-Non Metro Abst'!N115</f>
        <v>0</v>
      </c>
      <c r="N258" s="27">
        <f>'NUHM-Non Metro Abst'!Q115</f>
        <v>0</v>
      </c>
      <c r="O258" s="27">
        <f>'NUHM-Non Metro Abst'!R115</f>
        <v>0</v>
      </c>
      <c r="P258" s="27">
        <f>P259</f>
        <v>0</v>
      </c>
    </row>
    <row r="259" spans="1:16" ht="25.5">
      <c r="A259" s="3" t="str">
        <f>'NUHM-Non Metro Abst'!A116</f>
        <v>U.6.3.1</v>
      </c>
      <c r="B259" s="3" t="str">
        <f>'NUHM-Non Metro Abst'!B116</f>
        <v>U.6.5.1</v>
      </c>
      <c r="C259" s="3" t="str">
        <f>'NUHM-Non Metro Abst'!C116</f>
        <v>Tablets/ software for IT support of Ayushman Bharat H&amp;WC</v>
      </c>
      <c r="D259" s="5">
        <f>'NUHM-Non Metro Abst'!G116</f>
        <v>0</v>
      </c>
      <c r="E259" s="5">
        <f>'NUHM-Non Metro Abst'!H116</f>
        <v>0</v>
      </c>
      <c r="F259" s="5">
        <f>'NUHM-Non Metro Abst'!I116</f>
        <v>0</v>
      </c>
      <c r="G259" s="5">
        <f>'NUHM-Non Metro Abst'!J116</f>
        <v>0</v>
      </c>
      <c r="H259" s="5">
        <f>'NUHM-Non Metro Abst'!K116</f>
        <v>0</v>
      </c>
      <c r="I259" s="5">
        <f>'NUHM-Non Metro Abst'!L116</f>
        <v>0</v>
      </c>
      <c r="J259" s="5">
        <f>'NUHM-Non Metro Abst'!M116</f>
        <v>0</v>
      </c>
      <c r="K259" s="5">
        <f>'NUHM-Non Metro Abst'!N116</f>
        <v>0</v>
      </c>
      <c r="L259" s="5">
        <f>'NUHM-Non Metro Abst'!O116</f>
        <v>0</v>
      </c>
      <c r="M259" s="5">
        <f>'NUHM-Non Metro Abst'!P116</f>
        <v>0</v>
      </c>
      <c r="N259" s="9">
        <f>'NUHM-Non Metro Abst'!Q116</f>
        <v>0</v>
      </c>
      <c r="O259" s="5">
        <f>'NUHM-Non Metro Abst'!R116</f>
        <v>0</v>
      </c>
      <c r="P259" s="5">
        <f>'NUHM-Non Metro Abst'!S116</f>
        <v>0</v>
      </c>
    </row>
    <row r="260" spans="1:16" s="32" customFormat="1">
      <c r="A260" s="19" t="str">
        <f>'NUHM-Non Metro Abst'!A230</f>
        <v>U.16</v>
      </c>
      <c r="B260" s="19">
        <f>'NUHM-Non Metro Abst'!B230</f>
        <v>0</v>
      </c>
      <c r="C260" s="19" t="str">
        <f>'NUHM-Non Metro Abst'!C230</f>
        <v>Programme Management</v>
      </c>
      <c r="D260" s="26"/>
      <c r="E260" s="26"/>
      <c r="F260" s="26">
        <f t="shared" ref="F260:H262" si="2">F261</f>
        <v>0</v>
      </c>
      <c r="G260" s="26">
        <f t="shared" si="2"/>
        <v>0</v>
      </c>
      <c r="H260" s="26">
        <f t="shared" si="2"/>
        <v>0</v>
      </c>
      <c r="I260" s="26"/>
      <c r="J260" s="26"/>
      <c r="K260" s="26"/>
      <c r="L260" s="26"/>
      <c r="M260" s="26">
        <f>M261</f>
        <v>0</v>
      </c>
      <c r="N260" s="26"/>
      <c r="O260" s="26"/>
      <c r="P260" s="26">
        <f>P261</f>
        <v>0</v>
      </c>
    </row>
    <row r="261" spans="1:16">
      <c r="A261" s="20" t="str">
        <f>'NUHM-Non Metro Abst'!A231</f>
        <v>U.16.1</v>
      </c>
      <c r="B261" s="20">
        <f>'NUHM-Non Metro Abst'!B231</f>
        <v>0</v>
      </c>
      <c r="C261" s="20" t="str">
        <f>'NUHM-Non Metro Abst'!C231</f>
        <v>Programme Management Activities</v>
      </c>
      <c r="D261" s="27"/>
      <c r="E261" s="27"/>
      <c r="F261" s="27">
        <f t="shared" si="2"/>
        <v>0</v>
      </c>
      <c r="G261" s="27">
        <f t="shared" si="2"/>
        <v>0</v>
      </c>
      <c r="H261" s="27">
        <f t="shared" si="2"/>
        <v>0</v>
      </c>
      <c r="I261" s="27"/>
      <c r="J261" s="27"/>
      <c r="K261" s="27"/>
      <c r="L261" s="27"/>
      <c r="M261" s="27">
        <f>M262</f>
        <v>0</v>
      </c>
      <c r="N261" s="27"/>
      <c r="O261" s="27"/>
      <c r="P261" s="27">
        <f>P262</f>
        <v>0</v>
      </c>
    </row>
    <row r="262" spans="1:16" ht="25.5">
      <c r="A262" s="23" t="str">
        <f>'NUHM-Non Metro Abst'!A250</f>
        <v>U.16.1.5</v>
      </c>
      <c r="B262" s="23">
        <f>'NUHM-Non Metro Abst'!B250</f>
        <v>0</v>
      </c>
      <c r="C262" s="23" t="str">
        <f>'NUHM-Non Metro Abst'!C250</f>
        <v>Any Other Programme Management Cost</v>
      </c>
      <c r="D262" s="31"/>
      <c r="E262" s="31"/>
      <c r="F262" s="31">
        <f t="shared" si="2"/>
        <v>0</v>
      </c>
      <c r="G262" s="31">
        <f t="shared" si="2"/>
        <v>0</v>
      </c>
      <c r="H262" s="31">
        <f t="shared" si="2"/>
        <v>0</v>
      </c>
      <c r="I262" s="31"/>
      <c r="J262" s="31"/>
      <c r="K262" s="31"/>
      <c r="L262" s="31"/>
      <c r="M262" s="31">
        <f>M263</f>
        <v>0</v>
      </c>
      <c r="N262" s="31"/>
      <c r="O262" s="31"/>
      <c r="P262" s="31">
        <f>P263</f>
        <v>0</v>
      </c>
    </row>
    <row r="263" spans="1:16" ht="25.5">
      <c r="A263" s="3" t="str">
        <f>'NUHM-Non Metro Abst'!A252</f>
        <v>U.16.1.5.1.1</v>
      </c>
      <c r="B263" s="3" t="str">
        <f>'NUHM-Non Metro Abst'!B252</f>
        <v>P.8.3.1</v>
      </c>
      <c r="C263" s="3" t="str">
        <f>'NUHM-Non Metro Abst'!C252</f>
        <v>Hardware &amp; Connectivity</v>
      </c>
      <c r="D263" s="3">
        <f>'NUHM-Non Metro Abst'!E252</f>
        <v>0</v>
      </c>
      <c r="E263" s="3">
        <f>'NUHM-Non Metro Abst'!F252</f>
        <v>0</v>
      </c>
      <c r="F263" s="3">
        <f>'NUHM-Non Metro Abst'!G252</f>
        <v>0</v>
      </c>
      <c r="G263" s="3">
        <f>'NUHM-Non Metro Abst'!H252</f>
        <v>0</v>
      </c>
      <c r="H263" s="3">
        <f>'NUHM-Non Metro Abst'!I252</f>
        <v>0</v>
      </c>
      <c r="I263" s="3">
        <f>'NUHM-Non Metro Abst'!J252</f>
        <v>0</v>
      </c>
      <c r="J263" s="3">
        <f>'NUHM-Non Metro Abst'!K252</f>
        <v>0</v>
      </c>
      <c r="K263" s="3">
        <f>'NUHM-Non Metro Abst'!L252</f>
        <v>0</v>
      </c>
      <c r="L263" s="3">
        <f>'NUHM-Non Metro Abst'!M252</f>
        <v>0</v>
      </c>
      <c r="M263" s="3">
        <f>'NUHM-Non Metro Abst'!N252</f>
        <v>0</v>
      </c>
      <c r="N263" s="5">
        <f>'NUHM-Non Metro Abst'!Q252</f>
        <v>0</v>
      </c>
      <c r="O263" s="5">
        <f>'NUHM-Non Metro Abst'!R252</f>
        <v>0</v>
      </c>
      <c r="P263" s="5">
        <f>'NUHM-Non Metro Abst'!S252</f>
        <v>0</v>
      </c>
    </row>
    <row r="264" spans="1:16">
      <c r="A264" s="21"/>
      <c r="B264" s="21"/>
      <c r="C264" s="21" t="str">
        <f>'NUHM Metro Abst'!C7</f>
        <v>Non-Metro Sub Total</v>
      </c>
      <c r="D264" s="29"/>
      <c r="E264" s="29"/>
      <c r="F264" s="29">
        <f>F265+F280+F288</f>
        <v>0</v>
      </c>
      <c r="G264" s="29">
        <f>G265+G280+G288</f>
        <v>0</v>
      </c>
      <c r="H264" s="29">
        <f>H265+H280+H288</f>
        <v>0</v>
      </c>
      <c r="I264" s="29"/>
      <c r="J264" s="29"/>
      <c r="K264" s="29"/>
      <c r="L264" s="29"/>
      <c r="M264" s="29">
        <f>M265+M280+M288</f>
        <v>0</v>
      </c>
      <c r="N264" s="29"/>
      <c r="O264" s="29"/>
      <c r="P264" s="29">
        <f>P265+P280+P288</f>
        <v>0</v>
      </c>
    </row>
    <row r="265" spans="1:16">
      <c r="A265" s="19" t="str">
        <f>'NUHM Metro Abst'!A70</f>
        <v>U.4</v>
      </c>
      <c r="B265" s="19">
        <f>'NUHM Metro Abst'!B70</f>
        <v>0</v>
      </c>
      <c r="C265" s="19" t="str">
        <f>'NUHM Metro Abst'!C70</f>
        <v>Untied grants</v>
      </c>
      <c r="D265" s="26"/>
      <c r="E265" s="26"/>
      <c r="F265" s="26">
        <f>F266+F273+F277</f>
        <v>0</v>
      </c>
      <c r="G265" s="26">
        <f>G266+G273+G277</f>
        <v>0</v>
      </c>
      <c r="H265" s="26">
        <f>H266+H273+H277</f>
        <v>0</v>
      </c>
      <c r="I265" s="26"/>
      <c r="J265" s="26"/>
      <c r="K265" s="26"/>
      <c r="L265" s="26"/>
      <c r="M265" s="26">
        <f>M266+M273+M277</f>
        <v>0</v>
      </c>
      <c r="N265" s="26"/>
      <c r="O265" s="26"/>
      <c r="P265" s="26">
        <f>P266+P273+P277</f>
        <v>0</v>
      </c>
    </row>
    <row r="266" spans="1:16">
      <c r="A266" s="20" t="str">
        <f>'NUHM Metro Abst'!A71</f>
        <v>U.4.1.1</v>
      </c>
      <c r="B266" s="20" t="str">
        <f>'NUHM Metro Abst'!B71</f>
        <v>P.4.3.1</v>
      </c>
      <c r="C266" s="20" t="str">
        <f>'NUHM Metro Abst'!C71</f>
        <v xml:space="preserve">Untied grants to UPHCs </v>
      </c>
      <c r="D266" s="27"/>
      <c r="E266" s="27"/>
      <c r="F266" s="27">
        <f>SUM(F267:F270)</f>
        <v>0</v>
      </c>
      <c r="G266" s="27">
        <f>SUM(G267:G270)</f>
        <v>0</v>
      </c>
      <c r="H266" s="27">
        <f>SUM(H267:H270)</f>
        <v>0</v>
      </c>
      <c r="I266" s="27"/>
      <c r="J266" s="27"/>
      <c r="K266" s="27"/>
      <c r="L266" s="27"/>
      <c r="M266" s="27">
        <f>SUM(M267:M270)</f>
        <v>0</v>
      </c>
      <c r="N266" s="27"/>
      <c r="O266" s="27"/>
      <c r="P266" s="27">
        <f>SUM(P267:P270)</f>
        <v>0</v>
      </c>
    </row>
    <row r="267" spans="1:16" ht="25.5">
      <c r="A267" s="7" t="str">
        <f>'NUHM Metro Abst'!A72</f>
        <v>U.4.1.1.1</v>
      </c>
      <c r="B267" s="7" t="str">
        <f>'NUHM Metro Abst'!B72</f>
        <v>P.4.3.1.a</v>
      </c>
      <c r="C267" s="3" t="str">
        <f>'NUHM Metro Abst'!C72</f>
        <v>Government Building</v>
      </c>
      <c r="D267" s="7">
        <f>'NUHM Metro Abst'!E72</f>
        <v>0</v>
      </c>
      <c r="E267" s="7">
        <f>'NUHM Metro Abst'!F72</f>
        <v>0</v>
      </c>
      <c r="F267" s="7">
        <f>'NUHM Metro Abst'!G72</f>
        <v>0</v>
      </c>
      <c r="G267" s="7">
        <f>'NUHM Metro Abst'!H72</f>
        <v>0</v>
      </c>
      <c r="H267" s="7">
        <f>'NUHM Metro Abst'!I72</f>
        <v>0</v>
      </c>
      <c r="I267" s="7">
        <f>'NUHM Metro Abst'!J72</f>
        <v>0</v>
      </c>
      <c r="J267" s="7">
        <f>'NUHM Metro Abst'!K72</f>
        <v>0</v>
      </c>
      <c r="K267" s="7">
        <f>'NUHM Metro Abst'!L72</f>
        <v>0</v>
      </c>
      <c r="L267" s="7">
        <f>'NUHM Metro Abst'!M72</f>
        <v>0</v>
      </c>
      <c r="M267" s="7">
        <f>'NUHM Metro Abst'!N72</f>
        <v>0</v>
      </c>
      <c r="N267" s="5">
        <f>'NUHM Metro Abst'!Q72</f>
        <v>0</v>
      </c>
      <c r="O267" s="5">
        <f>'NUHM Metro Abst'!R72</f>
        <v>0</v>
      </c>
      <c r="P267" s="5">
        <f>'NUHM Metro Abst'!S72</f>
        <v>0</v>
      </c>
    </row>
    <row r="268" spans="1:16" ht="25.5">
      <c r="A268" s="7" t="str">
        <f>'NUHM Metro Abst'!A73</f>
        <v>U.4.1.1.2</v>
      </c>
      <c r="B268" s="7" t="str">
        <f>'NUHM Metro Abst'!B73</f>
        <v>P.4.3.1.b</v>
      </c>
      <c r="C268" s="3" t="str">
        <f>'NUHM Metro Abst'!C73</f>
        <v>Rented Building</v>
      </c>
      <c r="D268" s="7">
        <f>'NUHM Metro Abst'!E73</f>
        <v>0</v>
      </c>
      <c r="E268" s="7">
        <f>'NUHM Metro Abst'!F73</f>
        <v>0</v>
      </c>
      <c r="F268" s="7">
        <f>'NUHM Metro Abst'!G73</f>
        <v>0</v>
      </c>
      <c r="G268" s="7">
        <f>'NUHM Metro Abst'!H73</f>
        <v>0</v>
      </c>
      <c r="H268" s="7">
        <f>'NUHM Metro Abst'!I73</f>
        <v>0</v>
      </c>
      <c r="I268" s="7">
        <f>'NUHM Metro Abst'!J73</f>
        <v>0</v>
      </c>
      <c r="J268" s="7">
        <f>'NUHM Metro Abst'!K73</f>
        <v>0</v>
      </c>
      <c r="K268" s="7">
        <f>'NUHM Metro Abst'!L73</f>
        <v>0</v>
      </c>
      <c r="L268" s="7">
        <f>'NUHM Metro Abst'!M73</f>
        <v>0</v>
      </c>
      <c r="M268" s="7">
        <f>'NUHM Metro Abst'!N73</f>
        <v>0</v>
      </c>
      <c r="N268" s="5">
        <f>'NUHM Metro Abst'!Q73</f>
        <v>0</v>
      </c>
      <c r="O268" s="5">
        <f>'NUHM Metro Abst'!R73</f>
        <v>0</v>
      </c>
      <c r="P268" s="5">
        <f>'NUHM Metro Abst'!S73</f>
        <v>0</v>
      </c>
    </row>
    <row r="269" spans="1:16">
      <c r="A269" s="7" t="str">
        <f>'NUHM Metro Abst'!A74</f>
        <v>U.4.1.2</v>
      </c>
      <c r="B269" s="7" t="str">
        <f>'NUHM Metro Abst'!B74</f>
        <v>P.4.3.2</v>
      </c>
      <c r="C269" s="3" t="str">
        <f>'NUHM Metro Abst'!C74</f>
        <v>Untied grants to UCHCs</v>
      </c>
      <c r="D269" s="7">
        <f>'NUHM Metro Abst'!E74</f>
        <v>0</v>
      </c>
      <c r="E269" s="7">
        <f>'NUHM Metro Abst'!F74</f>
        <v>0</v>
      </c>
      <c r="F269" s="7">
        <f>'NUHM Metro Abst'!G74</f>
        <v>0</v>
      </c>
      <c r="G269" s="7">
        <f>'NUHM Metro Abst'!H74</f>
        <v>0</v>
      </c>
      <c r="H269" s="7">
        <f>'NUHM Metro Abst'!I74</f>
        <v>0</v>
      </c>
      <c r="I269" s="7">
        <f>'NUHM Metro Abst'!J74</f>
        <v>0</v>
      </c>
      <c r="J269" s="7">
        <f>'NUHM Metro Abst'!K74</f>
        <v>0</v>
      </c>
      <c r="K269" s="7">
        <f>'NUHM Metro Abst'!L74</f>
        <v>0</v>
      </c>
      <c r="L269" s="7">
        <f>'NUHM Metro Abst'!M74</f>
        <v>0</v>
      </c>
      <c r="M269" s="7">
        <f>'NUHM Metro Abst'!N74</f>
        <v>0</v>
      </c>
      <c r="N269" s="5">
        <f>'NUHM Metro Abst'!Q74</f>
        <v>0</v>
      </c>
      <c r="O269" s="5">
        <f>'NUHM Metro Abst'!R74</f>
        <v>0</v>
      </c>
      <c r="P269" s="5">
        <f>'NUHM Metro Abst'!S74</f>
        <v>0</v>
      </c>
    </row>
    <row r="270" spans="1:16">
      <c r="A270" s="7" t="str">
        <f>'NUHM Metro Abst'!A75</f>
        <v>U.4.1.3</v>
      </c>
      <c r="B270" s="7" t="str">
        <f>'NUHM Metro Abst'!B75</f>
        <v>P.4.3.3</v>
      </c>
      <c r="C270" s="3" t="str">
        <f>'NUHM Metro Abst'!C75</f>
        <v>Untied grants to Maternity Homes</v>
      </c>
      <c r="D270" s="7">
        <f>'NUHM Metro Abst'!E75</f>
        <v>0</v>
      </c>
      <c r="E270" s="7">
        <f>'NUHM Metro Abst'!F75</f>
        <v>0</v>
      </c>
      <c r="F270" s="7">
        <f>'NUHM Metro Abst'!G75</f>
        <v>0</v>
      </c>
      <c r="G270" s="7">
        <f>'NUHM Metro Abst'!H75</f>
        <v>0</v>
      </c>
      <c r="H270" s="7">
        <f>'NUHM Metro Abst'!I75</f>
        <v>0</v>
      </c>
      <c r="I270" s="7">
        <f>'NUHM Metro Abst'!J75</f>
        <v>0</v>
      </c>
      <c r="J270" s="7">
        <f>'NUHM Metro Abst'!K75</f>
        <v>0</v>
      </c>
      <c r="K270" s="7">
        <f>'NUHM Metro Abst'!L75</f>
        <v>0</v>
      </c>
      <c r="L270" s="7">
        <f>'NUHM Metro Abst'!M75</f>
        <v>0</v>
      </c>
      <c r="M270" s="7">
        <f>'NUHM Metro Abst'!N75</f>
        <v>0</v>
      </c>
      <c r="N270" s="5"/>
      <c r="O270" s="5"/>
      <c r="P270" s="5">
        <f>SUM(P271:P272)</f>
        <v>0</v>
      </c>
    </row>
    <row r="271" spans="1:16">
      <c r="A271" s="7" t="str">
        <f>'NUHM Metro Abst'!A76</f>
        <v>U.4.1.4</v>
      </c>
      <c r="B271" s="7" t="str">
        <f>'NUHM Metro Abst'!B76</f>
        <v>P.6.2.1</v>
      </c>
      <c r="C271" s="3" t="str">
        <f>'NUHM Metro Abst'!C76</f>
        <v>Untied grants to MAS</v>
      </c>
      <c r="D271" s="7">
        <f>'NUHM Metro Abst'!E76</f>
        <v>0</v>
      </c>
      <c r="E271" s="7">
        <f>'NUHM Metro Abst'!F76</f>
        <v>0</v>
      </c>
      <c r="F271" s="7">
        <f>'NUHM Metro Abst'!G76</f>
        <v>0</v>
      </c>
      <c r="G271" s="7">
        <f>'NUHM Metro Abst'!H76</f>
        <v>0</v>
      </c>
      <c r="H271" s="7">
        <f>'NUHM Metro Abst'!I76</f>
        <v>0</v>
      </c>
      <c r="I271" s="7">
        <f>'NUHM Metro Abst'!J76</f>
        <v>0</v>
      </c>
      <c r="J271" s="7">
        <f>'NUHM Metro Abst'!K76</f>
        <v>0</v>
      </c>
      <c r="K271" s="7">
        <f>'NUHM Metro Abst'!L76</f>
        <v>0</v>
      </c>
      <c r="L271" s="7">
        <f>'NUHM Metro Abst'!M76</f>
        <v>0</v>
      </c>
      <c r="M271" s="7">
        <f>'NUHM Metro Abst'!N76</f>
        <v>0</v>
      </c>
      <c r="N271" s="5">
        <f>'NUHM Metro Abst'!Q76</f>
        <v>0</v>
      </c>
      <c r="O271" s="5">
        <f>'NUHM Metro Abst'!R76</f>
        <v>0</v>
      </c>
      <c r="P271" s="5">
        <f>'NUHM Metro Abst'!S76</f>
        <v>0</v>
      </c>
    </row>
    <row r="272" spans="1:16">
      <c r="A272" s="7" t="str">
        <f>'NUHM Metro Abst'!A77</f>
        <v>U.5</v>
      </c>
      <c r="B272" s="7">
        <f>'NUHM Metro Abst'!B77</f>
        <v>0</v>
      </c>
      <c r="C272" s="3" t="str">
        <f>'NUHM Metro Abst'!C77</f>
        <v>Infrastructure</v>
      </c>
      <c r="D272" s="7">
        <f>'NUHM Metro Abst'!E77</f>
        <v>0</v>
      </c>
      <c r="E272" s="7">
        <f>'NUHM Metro Abst'!F77</f>
        <v>0</v>
      </c>
      <c r="F272" s="7">
        <f>'NUHM Metro Abst'!G77</f>
        <v>0</v>
      </c>
      <c r="G272" s="7">
        <f>'NUHM Metro Abst'!H77</f>
        <v>0</v>
      </c>
      <c r="H272" s="7">
        <f>'NUHM Metro Abst'!I77</f>
        <v>0</v>
      </c>
      <c r="I272" s="7">
        <f>'NUHM Metro Abst'!J77</f>
        <v>0</v>
      </c>
      <c r="J272" s="7">
        <f>'NUHM Metro Abst'!K77</f>
        <v>0</v>
      </c>
      <c r="K272" s="7">
        <f>'NUHM Metro Abst'!L77</f>
        <v>0</v>
      </c>
      <c r="L272" s="7">
        <f>'NUHM Metro Abst'!M77</f>
        <v>0</v>
      </c>
      <c r="M272" s="7">
        <f>'NUHM Metro Abst'!N77</f>
        <v>0</v>
      </c>
      <c r="N272" s="5">
        <f>'NUHM Metro Abst'!Q77</f>
        <v>0</v>
      </c>
      <c r="O272" s="5">
        <f>'NUHM Metro Abst'!R77</f>
        <v>0</v>
      </c>
      <c r="P272" s="5">
        <f>'NUHM Metro Abst'!S77</f>
        <v>0</v>
      </c>
    </row>
    <row r="273" spans="1:16">
      <c r="A273" s="20" t="str">
        <f>'NUHM Metro Abst'!A78</f>
        <v>U.5.1</v>
      </c>
      <c r="B273" s="20">
        <f>'NUHM Metro Abst'!B78</f>
        <v>0</v>
      </c>
      <c r="C273" s="20" t="str">
        <f>'NUHM Metro Abst'!C78</f>
        <v>Upgradation of existing facilities</v>
      </c>
      <c r="D273" s="27"/>
      <c r="E273" s="27"/>
      <c r="F273" s="27">
        <f>SUM(F274:F276)</f>
        <v>0</v>
      </c>
      <c r="G273" s="27">
        <f>SUM(G274:G276)</f>
        <v>0</v>
      </c>
      <c r="H273" s="27">
        <f>SUM(H274:H276)</f>
        <v>0</v>
      </c>
      <c r="I273" s="27"/>
      <c r="J273" s="27"/>
      <c r="K273" s="27"/>
      <c r="L273" s="27"/>
      <c r="M273" s="27">
        <f>SUM(M274:M276)</f>
        <v>0</v>
      </c>
      <c r="N273" s="27"/>
      <c r="O273" s="27"/>
      <c r="P273" s="27">
        <f>SUM(P274:P276)</f>
        <v>0</v>
      </c>
    </row>
    <row r="274" spans="1:16">
      <c r="A274" s="3" t="str">
        <f>'NUHM Metro Abst'!A79</f>
        <v>U.5.1.1</v>
      </c>
      <c r="B274" s="3" t="str">
        <f>'NUHM Metro Abst'!B79</f>
        <v>P.4.2.2.1</v>
      </c>
      <c r="C274" s="3" t="str">
        <f>'NUHM Metro Abst'!C79</f>
        <v>UPHC</v>
      </c>
      <c r="D274" s="3">
        <f>'NUHM Metro Abst'!E79</f>
        <v>0</v>
      </c>
      <c r="E274" s="3">
        <f>'NUHM Metro Abst'!F79</f>
        <v>0</v>
      </c>
      <c r="F274" s="3">
        <f>'NUHM Metro Abst'!G79</f>
        <v>0</v>
      </c>
      <c r="G274" s="3">
        <f>'NUHM Metro Abst'!H79</f>
        <v>0</v>
      </c>
      <c r="H274" s="3">
        <f>'NUHM Metro Abst'!I79</f>
        <v>0</v>
      </c>
      <c r="I274" s="3">
        <f>'NUHM Metro Abst'!J79</f>
        <v>0</v>
      </c>
      <c r="J274" s="3">
        <f>'NUHM Metro Abst'!K79</f>
        <v>0</v>
      </c>
      <c r="K274" s="3">
        <f>'NUHM Metro Abst'!L79</f>
        <v>0</v>
      </c>
      <c r="L274" s="3">
        <f>'NUHM Metro Abst'!M79</f>
        <v>0</v>
      </c>
      <c r="M274" s="3">
        <f>'NUHM Metro Abst'!N79</f>
        <v>0</v>
      </c>
      <c r="N274" s="3">
        <f>'NUHM Metro Abst'!O79</f>
        <v>0</v>
      </c>
      <c r="O274" s="3">
        <f>'NUHM Metro Abst'!P79</f>
        <v>0</v>
      </c>
      <c r="P274" s="3">
        <f>'NUHM Metro Abst'!Q79</f>
        <v>0</v>
      </c>
    </row>
    <row r="275" spans="1:16">
      <c r="A275" s="3" t="str">
        <f>'NUHM Metro Abst'!A80</f>
        <v>U.5.1.2</v>
      </c>
      <c r="B275" s="3" t="str">
        <f>'NUHM Metro Abst'!B80</f>
        <v>P.4.2.2.2</v>
      </c>
      <c r="C275" s="3" t="str">
        <f>'NUHM Metro Abst'!C80</f>
        <v>UCHC</v>
      </c>
      <c r="D275" s="3">
        <f>'NUHM Metro Abst'!E80</f>
        <v>0</v>
      </c>
      <c r="E275" s="3">
        <f>'NUHM Metro Abst'!F80</f>
        <v>0</v>
      </c>
      <c r="F275" s="3">
        <f>'NUHM Metro Abst'!G80</f>
        <v>0</v>
      </c>
      <c r="G275" s="3">
        <f>'NUHM Metro Abst'!H80</f>
        <v>0</v>
      </c>
      <c r="H275" s="3">
        <f>'NUHM Metro Abst'!I80</f>
        <v>0</v>
      </c>
      <c r="I275" s="3">
        <f>'NUHM Metro Abst'!J80</f>
        <v>0</v>
      </c>
      <c r="J275" s="3">
        <f>'NUHM Metro Abst'!K80</f>
        <v>0</v>
      </c>
      <c r="K275" s="3">
        <f>'NUHM Metro Abst'!L80</f>
        <v>0</v>
      </c>
      <c r="L275" s="3">
        <f>'NUHM Metro Abst'!M80</f>
        <v>0</v>
      </c>
      <c r="M275" s="3">
        <f>'NUHM Metro Abst'!N80</f>
        <v>0</v>
      </c>
      <c r="N275" s="3">
        <f>'NUHM Metro Abst'!O80</f>
        <v>0</v>
      </c>
      <c r="O275" s="3">
        <f>'NUHM Metro Abst'!P80</f>
        <v>0</v>
      </c>
      <c r="P275" s="3">
        <f>'NUHM Metro Abst'!Q80</f>
        <v>0</v>
      </c>
    </row>
    <row r="276" spans="1:16">
      <c r="A276" s="3" t="str">
        <f>'NUHM Metro Abst'!A81</f>
        <v>U.5.1.3</v>
      </c>
      <c r="B276" s="3" t="str">
        <f>'NUHM Metro Abst'!B81</f>
        <v>P.4.2.2.2</v>
      </c>
      <c r="C276" s="3" t="str">
        <f>'NUHM Metro Abst'!C81</f>
        <v>Maternity Homes</v>
      </c>
      <c r="D276" s="3">
        <f>'NUHM Metro Abst'!E81</f>
        <v>0</v>
      </c>
      <c r="E276" s="3">
        <f>'NUHM Metro Abst'!F81</f>
        <v>0</v>
      </c>
      <c r="F276" s="3">
        <f>'NUHM Metro Abst'!G81</f>
        <v>0</v>
      </c>
      <c r="G276" s="3">
        <f>'NUHM Metro Abst'!H81</f>
        <v>0</v>
      </c>
      <c r="H276" s="3">
        <f>'NUHM Metro Abst'!I81</f>
        <v>0</v>
      </c>
      <c r="I276" s="3">
        <f>'NUHM Metro Abst'!J81</f>
        <v>0</v>
      </c>
      <c r="J276" s="3">
        <f>'NUHM Metro Abst'!K81</f>
        <v>0</v>
      </c>
      <c r="K276" s="3">
        <f>'NUHM Metro Abst'!L81</f>
        <v>0</v>
      </c>
      <c r="L276" s="3">
        <f>'NUHM Metro Abst'!M81</f>
        <v>0</v>
      </c>
      <c r="M276" s="3">
        <f>'NUHM Metro Abst'!N81</f>
        <v>0</v>
      </c>
      <c r="N276" s="3">
        <f>'NUHM Metro Abst'!O81</f>
        <v>0</v>
      </c>
      <c r="O276" s="3">
        <f>'NUHM Metro Abst'!P81</f>
        <v>0</v>
      </c>
      <c r="P276" s="3">
        <f>'NUHM Metro Abst'!Q81</f>
        <v>0</v>
      </c>
    </row>
    <row r="277" spans="1:16">
      <c r="A277" s="20" t="str">
        <f>'NUHM Metro Abst'!A82</f>
        <v>U.5.1.4</v>
      </c>
      <c r="B277" s="20" t="str">
        <f>'NUHM Metro Abst'!B82</f>
        <v>P.4.2.3.1</v>
      </c>
      <c r="C277" s="20" t="str">
        <f>'NUHM Metro Abst'!C82</f>
        <v>Rent for UPHC</v>
      </c>
      <c r="D277" s="27"/>
      <c r="E277" s="27"/>
      <c r="F277" s="27">
        <f>SUM(F278:F279)</f>
        <v>0</v>
      </c>
      <c r="G277" s="27">
        <f>SUM(G278:G279)</f>
        <v>0</v>
      </c>
      <c r="H277" s="27">
        <f>SUM(H278:H279)</f>
        <v>0</v>
      </c>
      <c r="I277" s="27"/>
      <c r="J277" s="27"/>
      <c r="K277" s="27"/>
      <c r="L277" s="27"/>
      <c r="M277" s="27">
        <f>SUM(M278:M279)</f>
        <v>0</v>
      </c>
      <c r="N277" s="27"/>
      <c r="O277" s="27"/>
      <c r="P277" s="27">
        <f>SUM(P278:P279)</f>
        <v>0</v>
      </c>
    </row>
    <row r="278" spans="1:16">
      <c r="A278" s="3" t="str">
        <f>'NUHM Metro Abst'!A83</f>
        <v>U.5.1.5</v>
      </c>
      <c r="B278" s="3">
        <f>'NUHM Metro Abst'!B83</f>
        <v>0</v>
      </c>
      <c r="C278" s="3" t="str">
        <f>'NUHM Metro Abst'!C83</f>
        <v>Any other (please specify)</v>
      </c>
      <c r="D278" s="3">
        <f>'NUHM Metro Abst'!E83</f>
        <v>0</v>
      </c>
      <c r="E278" s="3">
        <f>'NUHM Metro Abst'!F83</f>
        <v>0</v>
      </c>
      <c r="F278" s="3">
        <f>'NUHM Metro Abst'!G83</f>
        <v>0</v>
      </c>
      <c r="G278" s="3">
        <f>'NUHM Metro Abst'!H83</f>
        <v>0</v>
      </c>
      <c r="H278" s="3">
        <f>'NUHM Metro Abst'!I83</f>
        <v>0</v>
      </c>
      <c r="I278" s="3">
        <f>'NUHM Metro Abst'!J83</f>
        <v>0</v>
      </c>
      <c r="J278" s="3">
        <f>'NUHM Metro Abst'!K83</f>
        <v>0</v>
      </c>
      <c r="K278" s="3">
        <f>'NUHM Metro Abst'!L83</f>
        <v>0</v>
      </c>
      <c r="L278" s="3">
        <f>'NUHM Metro Abst'!M83</f>
        <v>0</v>
      </c>
      <c r="M278" s="3">
        <f>'NUHM Metro Abst'!N83</f>
        <v>0</v>
      </c>
      <c r="N278" s="3">
        <f>'NUHM Metro Abst'!O83</f>
        <v>0</v>
      </c>
      <c r="O278" s="3">
        <f>'NUHM Metro Abst'!P83</f>
        <v>0</v>
      </c>
      <c r="P278" s="3">
        <f>'NUHM Metro Abst'!Q83</f>
        <v>0</v>
      </c>
    </row>
    <row r="279" spans="1:16">
      <c r="A279" s="3" t="str">
        <f>'NUHM Metro Abst'!A84</f>
        <v>U.5.2</v>
      </c>
      <c r="B279" s="3">
        <f>'NUHM Metro Abst'!B84</f>
        <v>0</v>
      </c>
      <c r="C279" s="3" t="str">
        <f>'NUHM Metro Abst'!C84</f>
        <v xml:space="preserve">New Constructions </v>
      </c>
      <c r="D279" s="3">
        <f>'NUHM Metro Abst'!E84</f>
        <v>0</v>
      </c>
      <c r="E279" s="3">
        <f>'NUHM Metro Abst'!F84</f>
        <v>0</v>
      </c>
      <c r="F279" s="3">
        <f>'NUHM Metro Abst'!G84</f>
        <v>0</v>
      </c>
      <c r="G279" s="3">
        <f>'NUHM Metro Abst'!H84</f>
        <v>0</v>
      </c>
      <c r="H279" s="3">
        <f>'NUHM Metro Abst'!I84</f>
        <v>0</v>
      </c>
      <c r="I279" s="3">
        <f>'NUHM Metro Abst'!J84</f>
        <v>0</v>
      </c>
      <c r="J279" s="3">
        <f>'NUHM Metro Abst'!K84</f>
        <v>0</v>
      </c>
      <c r="K279" s="3">
        <f>'NUHM Metro Abst'!L84</f>
        <v>0</v>
      </c>
      <c r="L279" s="3">
        <f>'NUHM Metro Abst'!M84</f>
        <v>0</v>
      </c>
      <c r="M279" s="3">
        <f>'NUHM Metro Abst'!N84</f>
        <v>0</v>
      </c>
      <c r="N279" s="3">
        <f>'NUHM Metro Abst'!O84</f>
        <v>0</v>
      </c>
      <c r="O279" s="3">
        <f>'NUHM Metro Abst'!P84</f>
        <v>0</v>
      </c>
      <c r="P279" s="3">
        <f>'NUHM Metro Abst'!Q84</f>
        <v>0</v>
      </c>
    </row>
    <row r="280" spans="1:16">
      <c r="A280" s="19" t="str">
        <f>'NUHM Metro Abst'!A85</f>
        <v>U.5.2.1</v>
      </c>
      <c r="B280" s="19" t="str">
        <f>'NUHM Metro Abst'!B85</f>
        <v>P.4.2.1.1</v>
      </c>
      <c r="C280" s="19" t="str">
        <f>'NUHM Metro Abst'!C85</f>
        <v>UPHC</v>
      </c>
      <c r="D280" s="26"/>
      <c r="E280" s="26"/>
      <c r="F280" s="26">
        <f>F281+F286</f>
        <v>0</v>
      </c>
      <c r="G280" s="26">
        <f>G281+G286</f>
        <v>0</v>
      </c>
      <c r="H280" s="26">
        <f>H281+H286</f>
        <v>0</v>
      </c>
      <c r="I280" s="26"/>
      <c r="J280" s="26"/>
      <c r="K280" s="26"/>
      <c r="L280" s="26"/>
      <c r="M280" s="26">
        <f>M281+M286</f>
        <v>0</v>
      </c>
      <c r="N280" s="26"/>
      <c r="O280" s="26"/>
      <c r="P280" s="26">
        <f>P281+P286</f>
        <v>0</v>
      </c>
    </row>
    <row r="281" spans="1:16">
      <c r="A281" s="20" t="str">
        <f>'NUHM Metro Abst'!A86</f>
        <v>U.5.2.2</v>
      </c>
      <c r="B281" s="20" t="str">
        <f>'NUHM Metro Abst'!B86</f>
        <v>P.4.2.1.2</v>
      </c>
      <c r="C281" s="20" t="str">
        <f>'NUHM Metro Abst'!C86</f>
        <v>UCHC</v>
      </c>
      <c r="D281" s="27"/>
      <c r="E281" s="27"/>
      <c r="F281" s="27">
        <f>SUM(F282:F285)</f>
        <v>0</v>
      </c>
      <c r="G281" s="27">
        <f>SUM(G282:G285)</f>
        <v>0</v>
      </c>
      <c r="H281" s="27">
        <f>SUM(H282:H285)</f>
        <v>0</v>
      </c>
      <c r="I281" s="27"/>
      <c r="J281" s="27"/>
      <c r="K281" s="27"/>
      <c r="L281" s="27"/>
      <c r="M281" s="27">
        <f>SUM(M282:M285)</f>
        <v>0</v>
      </c>
      <c r="N281" s="27"/>
      <c r="O281" s="27"/>
      <c r="P281" s="27">
        <f>SUM(P282:P285)</f>
        <v>0</v>
      </c>
    </row>
    <row r="282" spans="1:16">
      <c r="A282" s="34" t="str">
        <f>'NUHM Metro Abst'!A87</f>
        <v>U.5.2.3</v>
      </c>
      <c r="B282" s="34" t="str">
        <f>'NUHM Metro Abst'!B87</f>
        <v>P.4.2.1.3</v>
      </c>
      <c r="C282" s="34" t="str">
        <f>'NUHM Metro Abst'!C87</f>
        <v>Health Kiosk (for establishment)</v>
      </c>
      <c r="D282" s="34">
        <f>'NUHM Metro Abst'!E87</f>
        <v>0</v>
      </c>
      <c r="E282" s="34">
        <f>'NUHM Metro Abst'!F87</f>
        <v>0</v>
      </c>
      <c r="F282" s="34">
        <f>'NUHM Metro Abst'!G87</f>
        <v>0</v>
      </c>
      <c r="G282" s="34">
        <f>'NUHM Metro Abst'!H87</f>
        <v>0</v>
      </c>
      <c r="H282" s="34">
        <f>'NUHM Metro Abst'!I87</f>
        <v>0</v>
      </c>
      <c r="I282" s="34">
        <f>'NUHM Metro Abst'!J87</f>
        <v>0</v>
      </c>
      <c r="J282" s="34">
        <f>'NUHM Metro Abst'!K87</f>
        <v>0</v>
      </c>
      <c r="K282" s="34">
        <f>'NUHM Metro Abst'!L87</f>
        <v>0</v>
      </c>
      <c r="L282" s="34">
        <f>'NUHM Metro Abst'!M87</f>
        <v>0</v>
      </c>
      <c r="M282" s="34">
        <f>'NUHM Metro Abst'!N87</f>
        <v>0</v>
      </c>
      <c r="N282" s="34">
        <f>'NUHM Metro Abst'!O87</f>
        <v>0</v>
      </c>
      <c r="O282" s="34">
        <f>'NUHM Metro Abst'!P87</f>
        <v>0</v>
      </c>
      <c r="P282" s="34">
        <f>'NUHM Metro Abst'!Q87</f>
        <v>0</v>
      </c>
    </row>
    <row r="283" spans="1:16">
      <c r="A283" s="34" t="str">
        <f>'NUHM Metro Abst'!A88</f>
        <v>U.5.3</v>
      </c>
      <c r="B283" s="34">
        <f>'NUHM Metro Abst'!B88</f>
        <v>0</v>
      </c>
      <c r="C283" s="34" t="str">
        <f>'NUHM Metro Abst'!C88</f>
        <v>Other construction/ Civil works</v>
      </c>
      <c r="D283" s="34">
        <f>'NUHM Metro Abst'!E88</f>
        <v>0</v>
      </c>
      <c r="E283" s="34">
        <f>'NUHM Metro Abst'!F88</f>
        <v>0</v>
      </c>
      <c r="F283" s="34">
        <f>'NUHM Metro Abst'!G88</f>
        <v>0</v>
      </c>
      <c r="G283" s="34">
        <f>'NUHM Metro Abst'!H88</f>
        <v>0</v>
      </c>
      <c r="H283" s="34">
        <f>'NUHM Metro Abst'!I88</f>
        <v>0</v>
      </c>
      <c r="I283" s="34">
        <f>'NUHM Metro Abst'!J88</f>
        <v>0</v>
      </c>
      <c r="J283" s="34">
        <f>'NUHM Metro Abst'!K88</f>
        <v>0</v>
      </c>
      <c r="K283" s="34">
        <f>'NUHM Metro Abst'!L88</f>
        <v>0</v>
      </c>
      <c r="L283" s="34">
        <f>'NUHM Metro Abst'!M88</f>
        <v>0</v>
      </c>
      <c r="M283" s="34">
        <f>'NUHM Metro Abst'!N88</f>
        <v>0</v>
      </c>
      <c r="N283" s="34">
        <f>'NUHM Metro Abst'!O88</f>
        <v>0</v>
      </c>
      <c r="O283" s="34">
        <f>'NUHM Metro Abst'!P88</f>
        <v>0</v>
      </c>
      <c r="P283" s="34">
        <f>'NUHM Metro Abst'!Q88</f>
        <v>0</v>
      </c>
    </row>
    <row r="284" spans="1:16" ht="25.5">
      <c r="A284" s="34" t="str">
        <f>'NUHM Metro Abst'!A89</f>
        <v>U.5.3.1</v>
      </c>
      <c r="B284" s="34">
        <f>'NUHM Metro Abst'!B89</f>
        <v>0</v>
      </c>
      <c r="C284" s="34" t="str">
        <f>'NUHM Metro Abst'!C89</f>
        <v>Infrastructure strengthening of UPHC to H&amp;WC</v>
      </c>
      <c r="D284" s="34">
        <f>'NUHM Metro Abst'!E89</f>
        <v>0</v>
      </c>
      <c r="E284" s="34">
        <f>'NUHM Metro Abst'!F89</f>
        <v>0</v>
      </c>
      <c r="F284" s="34">
        <f>'NUHM Metro Abst'!G89</f>
        <v>0</v>
      </c>
      <c r="G284" s="34">
        <f>'NUHM Metro Abst'!H89</f>
        <v>0</v>
      </c>
      <c r="H284" s="34">
        <f>'NUHM Metro Abst'!I89</f>
        <v>0</v>
      </c>
      <c r="I284" s="34">
        <f>'NUHM Metro Abst'!J89</f>
        <v>0</v>
      </c>
      <c r="J284" s="34">
        <f>'NUHM Metro Abst'!K89</f>
        <v>0</v>
      </c>
      <c r="K284" s="34">
        <f>'NUHM Metro Abst'!L89</f>
        <v>0</v>
      </c>
      <c r="L284" s="34">
        <f>'NUHM Metro Abst'!M89</f>
        <v>0</v>
      </c>
      <c r="M284" s="34">
        <f>'NUHM Metro Abst'!N89</f>
        <v>0</v>
      </c>
      <c r="N284" s="34">
        <f>'NUHM Metro Abst'!O89</f>
        <v>0</v>
      </c>
      <c r="O284" s="34">
        <f>'NUHM Metro Abst'!P89</f>
        <v>0</v>
      </c>
      <c r="P284" s="34">
        <f>'NUHM Metro Abst'!Q89</f>
        <v>0</v>
      </c>
    </row>
    <row r="285" spans="1:16">
      <c r="A285" s="34" t="str">
        <f>'NUHM Metro Abst'!A90</f>
        <v>U.5.3.2</v>
      </c>
      <c r="B285" s="34">
        <f>'NUHM Metro Abst'!B90</f>
        <v>0</v>
      </c>
      <c r="C285" s="34" t="str">
        <f>'NUHM Metro Abst'!C90</f>
        <v>Any Other (please specify)</v>
      </c>
      <c r="D285" s="34">
        <f>'NUHM Metro Abst'!E90</f>
        <v>0</v>
      </c>
      <c r="E285" s="34">
        <f>'NUHM Metro Abst'!F90</f>
        <v>0</v>
      </c>
      <c r="F285" s="34">
        <f>'NUHM Metro Abst'!G90</f>
        <v>0</v>
      </c>
      <c r="G285" s="34">
        <f>'NUHM Metro Abst'!H90</f>
        <v>0</v>
      </c>
      <c r="H285" s="34">
        <f>'NUHM Metro Abst'!I90</f>
        <v>0</v>
      </c>
      <c r="I285" s="34">
        <f>'NUHM Metro Abst'!J90</f>
        <v>0</v>
      </c>
      <c r="J285" s="34">
        <f>'NUHM Metro Abst'!K90</f>
        <v>0</v>
      </c>
      <c r="K285" s="34">
        <f>'NUHM Metro Abst'!L90</f>
        <v>0</v>
      </c>
      <c r="L285" s="34">
        <f>'NUHM Metro Abst'!M90</f>
        <v>0</v>
      </c>
      <c r="M285" s="34">
        <f>'NUHM Metro Abst'!N90</f>
        <v>0</v>
      </c>
      <c r="N285" s="34">
        <f>'NUHM Metro Abst'!O90</f>
        <v>0</v>
      </c>
      <c r="O285" s="34">
        <f>'NUHM Metro Abst'!P90</f>
        <v>0</v>
      </c>
      <c r="P285" s="34">
        <f>'NUHM Metro Abst'!Q90</f>
        <v>0</v>
      </c>
    </row>
    <row r="286" spans="1:16" ht="25.5">
      <c r="A286" s="20" t="str">
        <f>'NUHM Metro Abst'!A110</f>
        <v>U.6.2.2.2</v>
      </c>
      <c r="B286" s="20" t="str">
        <f>'NUHM Metro Abst'!B110</f>
        <v>P.6.1.4</v>
      </c>
      <c r="C286" s="20" t="str">
        <f>'NUHM Metro Abst'!C110</f>
        <v>HBNC Kits and HBYC-ECD kit</v>
      </c>
      <c r="D286" s="27"/>
      <c r="E286" s="27"/>
      <c r="F286" s="27">
        <f>F287</f>
        <v>0</v>
      </c>
      <c r="G286" s="27">
        <f>G287</f>
        <v>0</v>
      </c>
      <c r="H286" s="27">
        <f>H287</f>
        <v>0</v>
      </c>
      <c r="I286" s="27"/>
      <c r="J286" s="27"/>
      <c r="K286" s="27"/>
      <c r="L286" s="27"/>
      <c r="M286" s="27">
        <f>M287</f>
        <v>0</v>
      </c>
      <c r="N286" s="27"/>
      <c r="O286" s="27"/>
      <c r="P286" s="27">
        <f>P287</f>
        <v>0</v>
      </c>
    </row>
    <row r="287" spans="1:16" ht="25.5">
      <c r="A287" s="3" t="str">
        <f>'NUHM Metro Abst'!A111</f>
        <v>U.6.2.3</v>
      </c>
      <c r="B287" s="3" t="str">
        <f>'NUHM Metro Abst'!B111</f>
        <v>P.4.4.1.4</v>
      </c>
      <c r="C287" s="3" t="str">
        <f>'NUHM Metro Abst'!C111</f>
        <v>Any other drugs &amp; supplies (please specify)</v>
      </c>
      <c r="D287" s="3">
        <f>'NUHM Metro Abst'!E111</f>
        <v>0</v>
      </c>
      <c r="E287" s="3">
        <f>'NUHM Metro Abst'!F111</f>
        <v>0</v>
      </c>
      <c r="F287" s="3">
        <f>'NUHM Metro Abst'!G111</f>
        <v>0</v>
      </c>
      <c r="G287" s="3">
        <f>'NUHM Metro Abst'!H111</f>
        <v>0</v>
      </c>
      <c r="H287" s="3">
        <f>'NUHM Metro Abst'!I111</f>
        <v>0</v>
      </c>
      <c r="I287" s="3">
        <f>'NUHM Metro Abst'!J111</f>
        <v>0</v>
      </c>
      <c r="J287" s="3">
        <f>'NUHM Metro Abst'!K111</f>
        <v>0</v>
      </c>
      <c r="K287" s="3">
        <f>'NUHM Metro Abst'!L111</f>
        <v>0</v>
      </c>
      <c r="L287" s="3">
        <f>'NUHM Metro Abst'!M111</f>
        <v>0</v>
      </c>
      <c r="M287" s="3">
        <f>'NUHM Metro Abst'!N111</f>
        <v>0</v>
      </c>
      <c r="N287" s="3">
        <f>'NUHM Metro Abst'!O111</f>
        <v>0</v>
      </c>
      <c r="O287" s="3">
        <f>'NUHM Metro Abst'!P111</f>
        <v>0</v>
      </c>
      <c r="P287" s="3">
        <f>'NUHM Metro Abst'!Q111</f>
        <v>0</v>
      </c>
    </row>
    <row r="288" spans="1:16" ht="25.5">
      <c r="A288" s="19" t="str">
        <f>'NUHM Metro Abst'!A236</f>
        <v>U.16.1.2.2.1</v>
      </c>
      <c r="B288" s="19">
        <f>'NUHM Metro Abst'!B236</f>
        <v>0</v>
      </c>
      <c r="C288" s="19" t="str">
        <f>'NUHM Metro Abst'!C236</f>
        <v>Review meetings</v>
      </c>
      <c r="D288" s="26"/>
      <c r="E288" s="26"/>
      <c r="F288" s="26">
        <f>F289</f>
        <v>0</v>
      </c>
      <c r="G288" s="26">
        <f>G289</f>
        <v>0</v>
      </c>
      <c r="H288" s="26">
        <f>H289</f>
        <v>0</v>
      </c>
      <c r="I288" s="26"/>
      <c r="J288" s="26"/>
      <c r="K288" s="26"/>
      <c r="L288" s="26"/>
      <c r="M288" s="26">
        <f>M289</f>
        <v>0</v>
      </c>
      <c r="N288" s="26"/>
      <c r="O288" s="26"/>
      <c r="P288" s="26">
        <f>P289</f>
        <v>0</v>
      </c>
    </row>
    <row r="289" spans="1:16">
      <c r="A289" s="35" t="str">
        <f>'NUHM Metro Abst'!A256</f>
        <v>U.16.3</v>
      </c>
      <c r="B289" s="34">
        <f>'NUHM Metro Abst'!B256</f>
        <v>0</v>
      </c>
      <c r="C289" s="34" t="str">
        <f>'NUHM Metro Abst'!C256</f>
        <v>HMIS &amp; MCTS</v>
      </c>
      <c r="D289" s="35">
        <f>'NUHM Metro Abst'!E256</f>
        <v>0</v>
      </c>
      <c r="E289" s="35">
        <f>'NUHM Metro Abst'!F256</f>
        <v>0</v>
      </c>
      <c r="F289" s="35">
        <f>'NUHM Metro Abst'!G256</f>
        <v>0</v>
      </c>
      <c r="G289" s="35">
        <f>'NUHM Metro Abst'!H256</f>
        <v>0</v>
      </c>
      <c r="H289" s="35">
        <f>'NUHM Metro Abst'!I256</f>
        <v>0</v>
      </c>
      <c r="I289" s="35">
        <f>'NUHM Metro Abst'!J256</f>
        <v>0</v>
      </c>
      <c r="J289" s="35">
        <f>'NUHM Metro Abst'!K256</f>
        <v>0</v>
      </c>
      <c r="K289" s="35">
        <f>'NUHM Metro Abst'!L256</f>
        <v>0</v>
      </c>
      <c r="L289" s="35">
        <f>'NUHM Metro Abst'!M256</f>
        <v>0</v>
      </c>
      <c r="M289" s="35">
        <f>'NUHM Metro Abst'!N256</f>
        <v>0</v>
      </c>
      <c r="N289" s="35">
        <f>'NUHM Metro Abst'!O256</f>
        <v>0</v>
      </c>
      <c r="O289" s="35" t="str">
        <f>'NUHM Metro Abst'!P256</f>
        <v>Not Applicable</v>
      </c>
      <c r="P289" s="35">
        <f>'NUHM Metro Abst'!Q256</f>
        <v>0</v>
      </c>
    </row>
    <row r="290" spans="1:16">
      <c r="A290" s="35" t="str">
        <f>'NUHM Metro Abst'!A257</f>
        <v>U.16.4</v>
      </c>
      <c r="B290" s="34">
        <f>'NUHM Metro Abst'!B257</f>
        <v>0</v>
      </c>
      <c r="C290" s="34" t="str">
        <f>'NUHM Metro Abst'!C257</f>
        <v>Human Resources</v>
      </c>
      <c r="D290" s="35">
        <f>'NUHM Metro Abst'!E257</f>
        <v>0</v>
      </c>
      <c r="E290" s="35">
        <f>'NUHM Metro Abst'!F257</f>
        <v>0</v>
      </c>
      <c r="F290" s="35">
        <f>'NUHM Metro Abst'!G257</f>
        <v>0</v>
      </c>
      <c r="G290" s="35">
        <f>'NUHM Metro Abst'!H257</f>
        <v>0</v>
      </c>
      <c r="H290" s="35">
        <f>'NUHM Metro Abst'!I257</f>
        <v>0</v>
      </c>
      <c r="I290" s="35">
        <f>'NUHM Metro Abst'!J257</f>
        <v>0</v>
      </c>
      <c r="J290" s="35">
        <f>'NUHM Metro Abst'!K257</f>
        <v>0</v>
      </c>
      <c r="K290" s="35">
        <f>'NUHM Metro Abst'!L257</f>
        <v>0</v>
      </c>
      <c r="L290" s="35">
        <f>'NUHM Metro Abst'!M257</f>
        <v>0</v>
      </c>
      <c r="M290" s="35">
        <f>'NUHM Metro Abst'!N257</f>
        <v>0</v>
      </c>
      <c r="N290" s="35">
        <f>'NUHM Metro Abst'!O257</f>
        <v>0</v>
      </c>
      <c r="O290" s="35">
        <f>'NUHM Metro Abst'!P257</f>
        <v>0</v>
      </c>
      <c r="P290" s="35">
        <f>'NUHM Metro Abst'!Q257</f>
        <v>0</v>
      </c>
    </row>
    <row r="291" spans="1:16" ht="25.5">
      <c r="A291" s="35" t="str">
        <f>'NUHM Metro Abst'!A258</f>
        <v>U.16.4.1</v>
      </c>
      <c r="B291" s="34" t="str">
        <f>'NUHM Metro Abst'!B258</f>
        <v>P.2.1</v>
      </c>
      <c r="C291" s="34" t="str">
        <f>'NUHM Metro Abst'!C258</f>
        <v>State PMU</v>
      </c>
      <c r="D291" s="35">
        <f>'NUHM Metro Abst'!E258</f>
        <v>0</v>
      </c>
      <c r="E291" s="35">
        <f>'NUHM Metro Abst'!F258</f>
        <v>0</v>
      </c>
      <c r="F291" s="35">
        <f>'NUHM Metro Abst'!G258</f>
        <v>0</v>
      </c>
      <c r="G291" s="35">
        <f>'NUHM Metro Abst'!H258</f>
        <v>0</v>
      </c>
      <c r="H291" s="35">
        <f>'NUHM Metro Abst'!I258</f>
        <v>0</v>
      </c>
      <c r="I291" s="35">
        <f>'NUHM Metro Abst'!J258</f>
        <v>0</v>
      </c>
      <c r="J291" s="35">
        <f>'NUHM Metro Abst'!K258</f>
        <v>0</v>
      </c>
      <c r="K291" s="35">
        <f>'NUHM Metro Abst'!L258</f>
        <v>0</v>
      </c>
      <c r="L291" s="35">
        <f>'NUHM Metro Abst'!M258</f>
        <v>0</v>
      </c>
      <c r="M291" s="35">
        <f>'NUHM Metro Abst'!N258</f>
        <v>0</v>
      </c>
      <c r="N291" s="35">
        <f>'NUHM Metro Abst'!O258</f>
        <v>0</v>
      </c>
      <c r="O291" s="35" t="str">
        <f>'NUHM Metro Abst'!P258</f>
        <v>Not Applicable</v>
      </c>
      <c r="P291" s="35">
        <f>'NUHM Metro Abst'!Q258</f>
        <v>0</v>
      </c>
    </row>
    <row r="292" spans="1:16">
      <c r="A292" s="4"/>
    </row>
    <row r="293" spans="1:16">
      <c r="A293" s="4"/>
    </row>
    <row r="294" spans="1:16">
      <c r="A294" s="4"/>
    </row>
    <row r="295" spans="1:16">
      <c r="A295" s="4"/>
    </row>
    <row r="296" spans="1:16">
      <c r="A296" s="4"/>
    </row>
    <row r="297" spans="1:16">
      <c r="A297" s="4"/>
    </row>
    <row r="298" spans="1:16">
      <c r="A298" s="4"/>
    </row>
    <row r="299" spans="1:16">
      <c r="A299" s="4"/>
    </row>
    <row r="300" spans="1:16">
      <c r="A300" s="4"/>
    </row>
    <row r="301" spans="1:16">
      <c r="A301" s="4"/>
    </row>
    <row r="302" spans="1:16">
      <c r="A302" s="4"/>
    </row>
    <row r="303" spans="1:16">
      <c r="A303" s="4"/>
    </row>
    <row r="304" spans="1:16">
      <c r="A304" s="4"/>
    </row>
    <row r="305" spans="1:1">
      <c r="A305" s="4"/>
    </row>
    <row r="306" spans="1:1">
      <c r="A306" s="4"/>
    </row>
    <row r="307" spans="1:1">
      <c r="A307" s="4"/>
    </row>
    <row r="308" spans="1:1">
      <c r="A308" s="4"/>
    </row>
    <row r="309" spans="1:1">
      <c r="A309" s="4"/>
    </row>
    <row r="310" spans="1:1">
      <c r="A310" s="4"/>
    </row>
    <row r="311" spans="1:1">
      <c r="A311" s="4"/>
    </row>
    <row r="312" spans="1:1">
      <c r="A312" s="4"/>
    </row>
    <row r="313" spans="1:1">
      <c r="A313" s="4"/>
    </row>
    <row r="314" spans="1:1">
      <c r="A314" s="4"/>
    </row>
    <row r="315" spans="1:1">
      <c r="A315" s="4"/>
    </row>
    <row r="316" spans="1:1">
      <c r="A316" s="4"/>
    </row>
    <row r="317" spans="1:1">
      <c r="A317" s="4"/>
    </row>
    <row r="318" spans="1:1">
      <c r="A318" s="4"/>
    </row>
    <row r="319" spans="1:1">
      <c r="A319" s="4"/>
    </row>
    <row r="320" spans="1:1">
      <c r="A320" s="4"/>
    </row>
    <row r="321" spans="1:1">
      <c r="A321" s="4"/>
    </row>
    <row r="322" spans="1:1">
      <c r="A322" s="4"/>
    </row>
    <row r="323" spans="1:1">
      <c r="A323" s="4"/>
    </row>
    <row r="324" spans="1:1">
      <c r="A324" s="4"/>
    </row>
    <row r="325" spans="1:1">
      <c r="A325" s="4"/>
    </row>
    <row r="326" spans="1:1">
      <c r="A326" s="4"/>
    </row>
    <row r="327" spans="1:1">
      <c r="A327" s="4"/>
    </row>
    <row r="328" spans="1:1">
      <c r="A328" s="4"/>
    </row>
    <row r="329" spans="1:1">
      <c r="A329" s="4"/>
    </row>
    <row r="330" spans="1:1">
      <c r="A330" s="4"/>
    </row>
    <row r="331" spans="1:1">
      <c r="A331" s="4"/>
    </row>
    <row r="332" spans="1:1">
      <c r="A332" s="4"/>
    </row>
    <row r="333" spans="1:1">
      <c r="A333" s="4"/>
    </row>
    <row r="334" spans="1:1">
      <c r="A334" s="4"/>
    </row>
    <row r="335" spans="1:1">
      <c r="A335" s="4"/>
    </row>
    <row r="336" spans="1:1">
      <c r="A336" s="4"/>
    </row>
    <row r="337" spans="1:1">
      <c r="A337" s="4"/>
    </row>
    <row r="338" spans="1:1">
      <c r="A338" s="4"/>
    </row>
    <row r="339" spans="1:1">
      <c r="A339" s="4"/>
    </row>
    <row r="340" spans="1:1">
      <c r="A340" s="4"/>
    </row>
    <row r="341" spans="1:1">
      <c r="A341" s="4"/>
    </row>
    <row r="342" spans="1:1">
      <c r="A342" s="4"/>
    </row>
    <row r="343" spans="1:1">
      <c r="A343" s="4"/>
    </row>
    <row r="344" spans="1:1">
      <c r="A344" s="4"/>
    </row>
    <row r="345" spans="1:1">
      <c r="A345" s="4"/>
    </row>
    <row r="346" spans="1:1">
      <c r="A346" s="4"/>
    </row>
    <row r="347" spans="1:1">
      <c r="A347" s="4"/>
    </row>
    <row r="348" spans="1:1">
      <c r="A348" s="4"/>
    </row>
    <row r="349" spans="1:1">
      <c r="A349" s="4"/>
    </row>
    <row r="350" spans="1:1">
      <c r="A350" s="4"/>
    </row>
    <row r="351" spans="1:1">
      <c r="A351" s="4"/>
    </row>
    <row r="352" spans="1:1">
      <c r="A352" s="4"/>
    </row>
    <row r="353" spans="1:1">
      <c r="A353" s="4"/>
    </row>
    <row r="354" spans="1:1">
      <c r="A354" s="4"/>
    </row>
    <row r="355" spans="1:1">
      <c r="A355" s="4"/>
    </row>
    <row r="356" spans="1:1">
      <c r="A356" s="4"/>
    </row>
    <row r="357" spans="1:1">
      <c r="A357" s="4"/>
    </row>
    <row r="358" spans="1:1">
      <c r="A358" s="4"/>
    </row>
    <row r="359" spans="1:1">
      <c r="A359" s="4"/>
    </row>
    <row r="360" spans="1:1">
      <c r="A360" s="4"/>
    </row>
    <row r="361" spans="1:1">
      <c r="A361" s="4"/>
    </row>
    <row r="362" spans="1:1">
      <c r="A362" s="4"/>
    </row>
    <row r="363" spans="1:1">
      <c r="A363" s="4"/>
    </row>
    <row r="364" spans="1:1">
      <c r="A364" s="4"/>
    </row>
    <row r="365" spans="1:1">
      <c r="A365" s="4"/>
    </row>
    <row r="366" spans="1:1">
      <c r="A366" s="4"/>
    </row>
    <row r="367" spans="1:1">
      <c r="A367" s="4"/>
    </row>
    <row r="368" spans="1:1">
      <c r="A368" s="4"/>
    </row>
    <row r="369" spans="1:1">
      <c r="A369" s="4"/>
    </row>
    <row r="370" spans="1:1">
      <c r="A370" s="4"/>
    </row>
    <row r="371" spans="1:1">
      <c r="A371" s="4"/>
    </row>
    <row r="372" spans="1:1">
      <c r="A372" s="4"/>
    </row>
    <row r="373" spans="1:1">
      <c r="A373" s="4"/>
    </row>
    <row r="374" spans="1:1">
      <c r="A374" s="4"/>
    </row>
    <row r="375" spans="1:1">
      <c r="A375" s="4"/>
    </row>
    <row r="376" spans="1:1">
      <c r="A376" s="4"/>
    </row>
    <row r="377" spans="1:1">
      <c r="A377" s="4"/>
    </row>
    <row r="378" spans="1:1">
      <c r="A378" s="4"/>
    </row>
    <row r="379" spans="1:1">
      <c r="A379" s="4"/>
    </row>
    <row r="380" spans="1:1">
      <c r="A380" s="4"/>
    </row>
    <row r="381" spans="1:1">
      <c r="A381" s="4"/>
    </row>
    <row r="382" spans="1:1">
      <c r="A382" s="4"/>
    </row>
    <row r="383" spans="1:1">
      <c r="A383" s="4"/>
    </row>
    <row r="384" spans="1:1">
      <c r="A384" s="4"/>
    </row>
    <row r="385" spans="1:1">
      <c r="A385" s="4"/>
    </row>
    <row r="386" spans="1:1">
      <c r="A386" s="4"/>
    </row>
    <row r="387" spans="1:1">
      <c r="A387" s="4"/>
    </row>
    <row r="388" spans="1:1">
      <c r="A388" s="4"/>
    </row>
    <row r="389" spans="1:1">
      <c r="A389" s="4"/>
    </row>
    <row r="390" spans="1:1">
      <c r="A390" s="4"/>
    </row>
    <row r="391" spans="1:1">
      <c r="A391" s="4"/>
    </row>
    <row r="392" spans="1:1">
      <c r="A392" s="4"/>
    </row>
    <row r="393" spans="1:1">
      <c r="A393" s="4"/>
    </row>
    <row r="394" spans="1:1">
      <c r="A394" s="4"/>
    </row>
    <row r="395" spans="1:1">
      <c r="A395" s="4"/>
    </row>
    <row r="396" spans="1:1">
      <c r="A396" s="4"/>
    </row>
    <row r="397" spans="1:1">
      <c r="A397" s="4"/>
    </row>
    <row r="398" spans="1:1">
      <c r="A398" s="4"/>
    </row>
    <row r="399" spans="1:1">
      <c r="A399" s="4"/>
    </row>
    <row r="400" spans="1:1">
      <c r="A400" s="4"/>
    </row>
    <row r="401" spans="1:1">
      <c r="A401" s="4"/>
    </row>
    <row r="402" spans="1:1">
      <c r="A402" s="4"/>
    </row>
    <row r="403" spans="1:1">
      <c r="A403" s="4"/>
    </row>
    <row r="404" spans="1:1">
      <c r="A404" s="4"/>
    </row>
    <row r="405" spans="1:1">
      <c r="A405" s="4"/>
    </row>
    <row r="406" spans="1:1">
      <c r="A406" s="4"/>
    </row>
    <row r="407" spans="1:1">
      <c r="A407" s="4"/>
    </row>
    <row r="408" spans="1:1">
      <c r="A408" s="4"/>
    </row>
    <row r="409" spans="1:1">
      <c r="A409" s="4"/>
    </row>
    <row r="410" spans="1:1">
      <c r="A410" s="4"/>
    </row>
    <row r="411" spans="1:1">
      <c r="A411" s="4"/>
    </row>
    <row r="412" spans="1:1">
      <c r="A412" s="4"/>
    </row>
    <row r="413" spans="1:1">
      <c r="A413" s="4"/>
    </row>
    <row r="414" spans="1:1">
      <c r="A414" s="4"/>
    </row>
    <row r="415" spans="1:1">
      <c r="A415" s="4"/>
    </row>
    <row r="416" spans="1:1">
      <c r="A416" s="4"/>
    </row>
    <row r="417" spans="1:1">
      <c r="A417" s="4"/>
    </row>
    <row r="418" spans="1:1">
      <c r="A418" s="4"/>
    </row>
    <row r="419" spans="1:1">
      <c r="A419" s="4"/>
    </row>
    <row r="420" spans="1:1">
      <c r="A420" s="4"/>
    </row>
    <row r="421" spans="1:1">
      <c r="A421" s="4"/>
    </row>
    <row r="422" spans="1:1">
      <c r="A422" s="4"/>
    </row>
    <row r="423" spans="1:1">
      <c r="A423" s="4"/>
    </row>
    <row r="424" spans="1:1">
      <c r="A424" s="4"/>
    </row>
    <row r="425" spans="1:1">
      <c r="A425" s="4"/>
    </row>
    <row r="426" spans="1:1">
      <c r="A426" s="4"/>
    </row>
    <row r="427" spans="1:1">
      <c r="A427" s="4"/>
    </row>
    <row r="428" spans="1:1">
      <c r="A428" s="4"/>
    </row>
    <row r="429" spans="1:1">
      <c r="A429" s="4"/>
    </row>
    <row r="430" spans="1:1">
      <c r="A430" s="4"/>
    </row>
    <row r="431" spans="1:1">
      <c r="A431" s="4"/>
    </row>
    <row r="432" spans="1:1">
      <c r="A432" s="4"/>
    </row>
    <row r="433" spans="1:1">
      <c r="A433" s="4"/>
    </row>
    <row r="434" spans="1:1">
      <c r="A434" s="4"/>
    </row>
    <row r="435" spans="1:1">
      <c r="A435" s="4"/>
    </row>
    <row r="436" spans="1:1">
      <c r="A436" s="4"/>
    </row>
    <row r="437" spans="1:1">
      <c r="A437" s="4"/>
    </row>
    <row r="438" spans="1:1">
      <c r="A438" s="4"/>
    </row>
    <row r="439" spans="1:1">
      <c r="A439" s="4"/>
    </row>
    <row r="440" spans="1:1">
      <c r="A440" s="4"/>
    </row>
    <row r="441" spans="1:1">
      <c r="A441" s="4"/>
    </row>
    <row r="442" spans="1:1">
      <c r="A442" s="4"/>
    </row>
    <row r="443" spans="1:1">
      <c r="A443" s="4"/>
    </row>
    <row r="444" spans="1:1">
      <c r="A444" s="4"/>
    </row>
    <row r="445" spans="1:1">
      <c r="A445" s="4"/>
    </row>
    <row r="446" spans="1:1">
      <c r="A446" s="4"/>
    </row>
    <row r="447" spans="1:1">
      <c r="A447" s="4"/>
    </row>
    <row r="448" spans="1:1">
      <c r="A448" s="4"/>
    </row>
    <row r="449" spans="1:1">
      <c r="A449" s="4"/>
    </row>
    <row r="450" spans="1:1">
      <c r="A450" s="4"/>
    </row>
    <row r="451" spans="1:1">
      <c r="A451" s="4"/>
    </row>
    <row r="452" spans="1:1">
      <c r="A452" s="4"/>
    </row>
    <row r="453" spans="1:1">
      <c r="A453" s="4"/>
    </row>
    <row r="454" spans="1:1">
      <c r="A454" s="4"/>
    </row>
    <row r="455" spans="1:1">
      <c r="A455" s="4"/>
    </row>
    <row r="456" spans="1:1">
      <c r="A456" s="4"/>
    </row>
    <row r="457" spans="1:1">
      <c r="A457" s="4"/>
    </row>
    <row r="458" spans="1:1">
      <c r="A458" s="4"/>
    </row>
    <row r="459" spans="1:1">
      <c r="A459" s="4"/>
    </row>
    <row r="460" spans="1:1">
      <c r="A460" s="4"/>
    </row>
    <row r="461" spans="1:1">
      <c r="A461" s="4"/>
    </row>
    <row r="462" spans="1:1">
      <c r="A462" s="4"/>
    </row>
    <row r="463" spans="1:1">
      <c r="A463" s="4"/>
    </row>
    <row r="464" spans="1:1">
      <c r="A464" s="4"/>
    </row>
    <row r="465" spans="1:1">
      <c r="A465" s="4"/>
    </row>
    <row r="466" spans="1:1">
      <c r="A466" s="4"/>
    </row>
    <row r="467" spans="1:1">
      <c r="A467" s="4"/>
    </row>
    <row r="468" spans="1:1">
      <c r="A468" s="4"/>
    </row>
    <row r="469" spans="1:1">
      <c r="A469" s="4"/>
    </row>
    <row r="470" spans="1:1">
      <c r="A470" s="4"/>
    </row>
    <row r="471" spans="1:1">
      <c r="A471" s="4"/>
    </row>
    <row r="472" spans="1:1">
      <c r="A472" s="4"/>
    </row>
  </sheetData>
  <sheetProtection sheet="1" formatCells="0" formatColumns="0" autoFilter="0"/>
  <autoFilter ref="A4:R291"/>
  <mergeCells count="7">
    <mergeCell ref="A1:P1"/>
    <mergeCell ref="D3:H3"/>
    <mergeCell ref="A3:A4"/>
    <mergeCell ref="B3:B4"/>
    <mergeCell ref="C3:C4"/>
    <mergeCell ref="I3:N3"/>
    <mergeCell ref="O3:P3"/>
  </mergeCells>
  <pageMargins left="0.7" right="0.7" top="0.75" bottom="0.75" header="0.3" footer="0.3"/>
  <pageSetup paperSize="9" orientation="portrait" r:id="rId1"/>
</worksheet>
</file>

<file path=xl/worksheets/sheet55.xml><?xml version="1.0" encoding="utf-8"?>
<worksheet xmlns="http://schemas.openxmlformats.org/spreadsheetml/2006/main" xmlns:r="http://schemas.openxmlformats.org/officeDocument/2006/relationships">
  <dimension ref="A1"/>
  <sheetViews>
    <sheetView workbookViewId="0"/>
  </sheetViews>
  <sheetFormatPr defaultRowHeight="12.75"/>
  <sheetData/>
  <pageMargins left="0.7" right="0.7" top="0.75" bottom="0.75" header="0.3" footer="0.3"/>
</worksheet>
</file>

<file path=xl/worksheets/sheet6.xml><?xml version="1.0" encoding="utf-8"?>
<worksheet xmlns="http://schemas.openxmlformats.org/spreadsheetml/2006/main" xmlns:r="http://schemas.openxmlformats.org/officeDocument/2006/relationships">
  <sheetPr codeName="Sheet14">
    <tabColor rgb="FF00B050"/>
  </sheetPr>
  <dimension ref="A1:CI16"/>
  <sheetViews>
    <sheetView zoomScale="91" zoomScaleNormal="91" workbookViewId="0">
      <pane xSplit="3" ySplit="7" topLeftCell="D8" activePane="bottomRight" state="frozen"/>
      <selection activeCell="A2" sqref="A2:A4"/>
      <selection pane="topRight" activeCell="A2" sqref="A2:A4"/>
      <selection pane="bottomLeft" activeCell="A2" sqref="A2:A4"/>
      <selection pane="bottomRight" activeCell="CJ1" sqref="CJ1:CK1048576"/>
    </sheetView>
  </sheetViews>
  <sheetFormatPr defaultColWidth="8.7109375" defaultRowHeight="15"/>
  <cols>
    <col min="1" max="1" width="7.85546875" style="1223" customWidth="1"/>
    <col min="2" max="2" width="8.5703125" style="1223" customWidth="1"/>
    <col min="3" max="3" width="20.5703125" style="1223" customWidth="1"/>
    <col min="4" max="4" width="8.7109375" style="1223"/>
    <col min="5" max="5" width="9.7109375" style="1223" bestFit="1" customWidth="1"/>
    <col min="6" max="6" width="13.85546875" style="1223" hidden="1" customWidth="1"/>
    <col min="7" max="7" width="21.7109375" style="1223" hidden="1" customWidth="1"/>
    <col min="8" max="8" width="12.140625" style="1223" hidden="1" customWidth="1"/>
    <col min="9" max="9" width="10" style="1223" hidden="1" customWidth="1"/>
    <col min="10" max="10" width="11.140625" style="1223" hidden="1" customWidth="1"/>
    <col min="11" max="11" width="12" style="1223" hidden="1" customWidth="1"/>
    <col min="12" max="12" width="0" style="1223" hidden="1" customWidth="1"/>
    <col min="13" max="13" width="8.85546875" style="1238" hidden="1" customWidth="1"/>
    <col min="14" max="14" width="0" style="1223" hidden="1" customWidth="1"/>
    <col min="15" max="15" width="13.140625" style="1238" hidden="1" customWidth="1"/>
    <col min="16" max="16" width="13.7109375" style="1223" customWidth="1"/>
    <col min="17" max="17" width="27.85546875" style="2046" customWidth="1"/>
    <col min="18" max="18" width="8.85546875" style="1238" customWidth="1"/>
    <col min="19" max="53" width="0" style="1223" hidden="1" customWidth="1"/>
    <col min="54" max="54" width="8.7109375" style="1223"/>
    <col min="55" max="56" width="10.85546875" style="1223" customWidth="1"/>
    <col min="57" max="57" width="12.140625" style="1223" customWidth="1"/>
    <col min="58" max="58" width="8.7109375" style="1223"/>
    <col min="59" max="59" width="9.140625" style="1223" bestFit="1" customWidth="1"/>
    <col min="60" max="63" width="8.7109375" style="1223"/>
    <col min="64" max="64" width="9.140625" style="1223" bestFit="1" customWidth="1"/>
    <col min="65" max="67" width="8.7109375" style="1223"/>
    <col min="68" max="68" width="7.7109375" style="1223" bestFit="1" customWidth="1"/>
    <col min="69" max="69" width="9.28515625" style="1223" bestFit="1" customWidth="1"/>
    <col min="70" max="70" width="14.5703125" style="1223" customWidth="1"/>
    <col min="71" max="71" width="10.5703125" style="1223" customWidth="1"/>
    <col min="72" max="72" width="11" style="1223" customWidth="1"/>
    <col min="73" max="75" width="8.7109375" style="1223"/>
    <col min="76" max="76" width="11.28515625" style="1223" customWidth="1"/>
    <col min="77" max="77" width="8.7109375" style="1223"/>
    <col min="78" max="78" width="10.28515625" style="1223" customWidth="1"/>
    <col min="79" max="79" width="8.28515625" style="1223" bestFit="1" customWidth="1"/>
    <col min="80" max="80" width="13.28515625" style="1223" customWidth="1"/>
    <col min="81" max="81" width="13" style="1223" customWidth="1"/>
    <col min="82" max="82" width="12.5703125" style="1223" customWidth="1"/>
    <col min="83" max="83" width="12.85546875" style="1223" customWidth="1"/>
    <col min="84" max="84" width="8.7109375" style="1223"/>
    <col min="85" max="85" width="10.140625" style="1223" customWidth="1"/>
    <col min="86" max="16384" width="8.7109375" style="1223"/>
  </cols>
  <sheetData>
    <row r="1" spans="1:87" ht="16.5" customHeight="1">
      <c r="A1" s="3907" t="s">
        <v>2782</v>
      </c>
      <c r="B1" s="3908"/>
      <c r="C1" s="3908"/>
      <c r="D1" s="1222"/>
      <c r="E1" s="3858" t="s">
        <v>4534</v>
      </c>
      <c r="F1" s="3909" t="s">
        <v>4532</v>
      </c>
      <c r="G1" s="3910"/>
      <c r="H1" s="3910"/>
      <c r="I1" s="3910"/>
      <c r="J1" s="3910"/>
      <c r="K1" s="3910"/>
      <c r="L1" s="3910"/>
      <c r="M1" s="3910"/>
      <c r="N1" s="3911"/>
      <c r="O1" s="3793" t="s">
        <v>65</v>
      </c>
      <c r="P1" s="3794"/>
      <c r="Q1" s="3794"/>
      <c r="R1" s="3794"/>
      <c r="S1" s="3794"/>
      <c r="T1" s="3794"/>
      <c r="U1" s="3794"/>
      <c r="V1" s="3794"/>
      <c r="W1" s="3794"/>
      <c r="X1" s="3794"/>
      <c r="Y1" s="3794"/>
      <c r="Z1" s="3794"/>
      <c r="AA1" s="3794"/>
      <c r="AB1" s="3794"/>
      <c r="AC1" s="3794"/>
      <c r="AD1" s="3794"/>
      <c r="AE1" s="3794"/>
      <c r="AF1" s="3794"/>
      <c r="AG1" s="3794"/>
      <c r="AH1" s="3794"/>
      <c r="AI1" s="3900" t="s">
        <v>4219</v>
      </c>
      <c r="AJ1" s="3901"/>
      <c r="AK1" s="3901"/>
      <c r="AL1" s="3901"/>
      <c r="AM1" s="3901"/>
      <c r="AN1" s="3901"/>
      <c r="AO1" s="3902"/>
      <c r="AP1" s="3889" t="s">
        <v>80</v>
      </c>
      <c r="AQ1" s="3890"/>
      <c r="AR1" s="3890"/>
      <c r="AS1" s="3890"/>
      <c r="AT1" s="3890"/>
      <c r="AU1" s="3890"/>
      <c r="AV1" s="3890"/>
      <c r="AW1" s="3890"/>
      <c r="AX1" s="3890"/>
      <c r="AY1" s="3890"/>
      <c r="AZ1" s="3890"/>
      <c r="BA1" s="3891"/>
    </row>
    <row r="2" spans="1:87" ht="60">
      <c r="A2" s="3855" t="str">
        <f>HYPERLINK("#Index!A4", "Index Pg")</f>
        <v>Index Pg</v>
      </c>
      <c r="B2" s="982"/>
      <c r="C2" s="982"/>
      <c r="D2" s="1224"/>
      <c r="E2" s="3858"/>
      <c r="F2" s="906" t="s">
        <v>113</v>
      </c>
      <c r="G2" s="906" t="s">
        <v>126</v>
      </c>
      <c r="H2" s="906" t="s">
        <v>86</v>
      </c>
      <c r="I2" s="906" t="s">
        <v>4530</v>
      </c>
      <c r="J2" s="906" t="s">
        <v>91</v>
      </c>
      <c r="K2" s="1225" t="s">
        <v>3933</v>
      </c>
      <c r="L2" s="907" t="s">
        <v>4531</v>
      </c>
      <c r="M2" s="906" t="s">
        <v>4535</v>
      </c>
      <c r="N2" s="907" t="s">
        <v>203</v>
      </c>
      <c r="O2" s="908" t="s">
        <v>4218</v>
      </c>
      <c r="P2" s="909" t="s">
        <v>3751</v>
      </c>
      <c r="Q2" s="909" t="s">
        <v>4543</v>
      </c>
      <c r="R2" s="909" t="s">
        <v>4540</v>
      </c>
      <c r="S2" s="909" t="s">
        <v>4541</v>
      </c>
      <c r="T2" s="909" t="s">
        <v>4542</v>
      </c>
      <c r="U2" s="909" t="s">
        <v>4544</v>
      </c>
      <c r="V2" s="909" t="s">
        <v>4528</v>
      </c>
      <c r="W2" s="909" t="s">
        <v>4545</v>
      </c>
      <c r="X2" s="909" t="s">
        <v>29</v>
      </c>
      <c r="Y2" s="909" t="s">
        <v>4546</v>
      </c>
      <c r="Z2" s="909" t="s">
        <v>4547</v>
      </c>
      <c r="AA2" s="909" t="s">
        <v>4537</v>
      </c>
      <c r="AB2" s="909" t="s">
        <v>737</v>
      </c>
      <c r="AC2" s="909" t="s">
        <v>4538</v>
      </c>
      <c r="AD2" s="909" t="s">
        <v>4539</v>
      </c>
      <c r="AE2" s="909" t="s">
        <v>2293</v>
      </c>
      <c r="AF2" s="909" t="s">
        <v>4548</v>
      </c>
      <c r="AG2" s="909" t="s">
        <v>3750</v>
      </c>
      <c r="AH2" s="909" t="s">
        <v>302</v>
      </c>
      <c r="AI2" s="910" t="s">
        <v>288</v>
      </c>
      <c r="AJ2" s="910" t="s">
        <v>109</v>
      </c>
      <c r="AK2" s="910" t="s">
        <v>141</v>
      </c>
      <c r="AL2" s="910" t="s">
        <v>4525</v>
      </c>
      <c r="AM2" s="910" t="s">
        <v>3223</v>
      </c>
      <c r="AN2" s="910" t="s">
        <v>3855</v>
      </c>
      <c r="AO2" s="910" t="s">
        <v>4405</v>
      </c>
      <c r="AP2" s="911" t="s">
        <v>81</v>
      </c>
      <c r="AQ2" s="911" t="s">
        <v>145</v>
      </c>
      <c r="AR2" s="911" t="s">
        <v>394</v>
      </c>
      <c r="AS2" s="911" t="s">
        <v>147</v>
      </c>
      <c r="AT2" s="911" t="s">
        <v>410</v>
      </c>
      <c r="AU2" s="911" t="s">
        <v>4459</v>
      </c>
      <c r="AV2" s="911" t="s">
        <v>3989</v>
      </c>
      <c r="AW2" s="911" t="s">
        <v>307</v>
      </c>
      <c r="AX2" s="911" t="s">
        <v>309</v>
      </c>
      <c r="AY2" s="911" t="s">
        <v>1028</v>
      </c>
      <c r="AZ2" s="911" t="s">
        <v>1014</v>
      </c>
      <c r="BA2" s="911" t="s">
        <v>4533</v>
      </c>
    </row>
    <row r="3" spans="1:87">
      <c r="A3" s="3856"/>
      <c r="B3" s="914" t="str">
        <f>HYPERLINK("#'Budget Summary I'!A1:AL1", "Budget Summary I")</f>
        <v>Budget Summary I</v>
      </c>
      <c r="C3" s="865" t="s">
        <v>4460</v>
      </c>
      <c r="D3" s="1224"/>
      <c r="E3" s="1226">
        <f>R7</f>
        <v>1943.175</v>
      </c>
      <c r="F3" s="161"/>
      <c r="G3" s="161"/>
      <c r="H3" s="161"/>
      <c r="I3" s="161"/>
      <c r="J3" s="161"/>
      <c r="K3" s="985"/>
      <c r="L3" s="161"/>
      <c r="M3" s="161"/>
      <c r="N3" s="985"/>
      <c r="O3" s="985"/>
      <c r="P3" s="985"/>
      <c r="Q3" s="985"/>
      <c r="R3" s="985"/>
      <c r="S3" s="985"/>
      <c r="T3" s="985"/>
      <c r="U3" s="985"/>
      <c r="V3" s="985"/>
      <c r="W3" s="985">
        <f>R9+R10+R11+R12+R13+R14+R15</f>
        <v>1943.175</v>
      </c>
      <c r="X3" s="985"/>
      <c r="Y3" s="985"/>
      <c r="Z3" s="985"/>
      <c r="AA3" s="985"/>
      <c r="AB3" s="985"/>
      <c r="AC3" s="985"/>
      <c r="AD3" s="985"/>
      <c r="AE3" s="985"/>
      <c r="AF3" s="985"/>
      <c r="AG3" s="985"/>
      <c r="AH3" s="985"/>
      <c r="AI3" s="985"/>
      <c r="AJ3" s="985"/>
      <c r="AK3" s="985"/>
      <c r="AL3" s="985"/>
      <c r="AM3" s="985"/>
      <c r="AN3" s="985"/>
      <c r="AO3" s="985"/>
      <c r="AP3" s="985"/>
      <c r="AQ3" s="985"/>
      <c r="AR3" s="985"/>
      <c r="AS3" s="985"/>
      <c r="AT3" s="985"/>
      <c r="AU3" s="985"/>
      <c r="AV3" s="985"/>
      <c r="AW3" s="985"/>
      <c r="AX3" s="985"/>
      <c r="AY3" s="985"/>
      <c r="AZ3" s="985"/>
      <c r="BA3" s="985"/>
    </row>
    <row r="4" spans="1:87">
      <c r="A4" s="3857"/>
      <c r="B4" s="864" t="str">
        <f>HYPERLINK("#'Budget Summary II'!A3:B5", "Budget Summary II")</f>
        <v>Budget Summary II</v>
      </c>
      <c r="C4" s="865" t="s">
        <v>4461</v>
      </c>
      <c r="D4" s="1224"/>
      <c r="E4" s="1226">
        <f>O7</f>
        <v>1943.175</v>
      </c>
      <c r="F4" s="161"/>
      <c r="G4" s="161"/>
      <c r="H4" s="161"/>
      <c r="I4" s="161"/>
      <c r="J4" s="161"/>
      <c r="K4" s="985"/>
      <c r="L4" s="161"/>
      <c r="M4" s="161"/>
      <c r="N4" s="985"/>
      <c r="O4" s="985"/>
      <c r="P4" s="985"/>
      <c r="Q4" s="985"/>
      <c r="R4" s="985"/>
      <c r="S4" s="985"/>
      <c r="T4" s="985"/>
      <c r="U4" s="985"/>
      <c r="V4" s="985"/>
      <c r="W4" s="985">
        <f>O9+O10+O11+O12+O13+O14+O15</f>
        <v>1943.175</v>
      </c>
      <c r="X4" s="985"/>
      <c r="Y4" s="985"/>
      <c r="Z4" s="985"/>
      <c r="AA4" s="985"/>
      <c r="AB4" s="985"/>
      <c r="AC4" s="985"/>
      <c r="AD4" s="985"/>
      <c r="AE4" s="985"/>
      <c r="AF4" s="985"/>
      <c r="AG4" s="985"/>
      <c r="AH4" s="985"/>
      <c r="AI4" s="985"/>
      <c r="AJ4" s="985"/>
      <c r="AK4" s="985"/>
      <c r="AL4" s="985"/>
      <c r="AM4" s="985"/>
      <c r="AN4" s="985"/>
      <c r="AO4" s="985"/>
      <c r="AP4" s="985"/>
      <c r="AQ4" s="985"/>
      <c r="AR4" s="985"/>
      <c r="AS4" s="985"/>
      <c r="AT4" s="985"/>
      <c r="AU4" s="985"/>
      <c r="AV4" s="985"/>
      <c r="AW4" s="985"/>
      <c r="AX4" s="985"/>
      <c r="AY4" s="985"/>
      <c r="AZ4" s="985"/>
      <c r="BA4" s="985"/>
    </row>
    <row r="5" spans="1:87" s="1227" customFormat="1" ht="12.75" customHeight="1">
      <c r="A5" s="3801" t="s">
        <v>48</v>
      </c>
      <c r="B5" s="3801" t="s">
        <v>49</v>
      </c>
      <c r="C5" s="3801" t="s">
        <v>50</v>
      </c>
      <c r="D5" s="3801" t="s">
        <v>51</v>
      </c>
      <c r="E5" s="3801" t="s">
        <v>52</v>
      </c>
      <c r="F5" s="3866" t="s">
        <v>4478</v>
      </c>
      <c r="G5" s="3866"/>
      <c r="H5" s="3866"/>
      <c r="I5" s="3866"/>
      <c r="J5" s="3866"/>
      <c r="K5" s="3894" t="s">
        <v>4484</v>
      </c>
      <c r="L5" s="3903"/>
      <c r="M5" s="3903"/>
      <c r="N5" s="3903"/>
      <c r="O5" s="3903"/>
      <c r="P5" s="3904"/>
      <c r="Q5" s="3905" t="s">
        <v>4514</v>
      </c>
      <c r="R5" s="3906"/>
    </row>
    <row r="6" spans="1:87" s="1227" customFormat="1" ht="60">
      <c r="A6" s="3801"/>
      <c r="B6" s="3801"/>
      <c r="C6" s="3801"/>
      <c r="D6" s="3801"/>
      <c r="E6" s="3801"/>
      <c r="F6" s="918" t="s">
        <v>4479</v>
      </c>
      <c r="G6" s="918" t="s">
        <v>4482</v>
      </c>
      <c r="H6" s="918" t="s">
        <v>4480</v>
      </c>
      <c r="I6" s="918" t="s">
        <v>4483</v>
      </c>
      <c r="J6" s="918" t="s">
        <v>2448</v>
      </c>
      <c r="K6" s="919" t="s">
        <v>53</v>
      </c>
      <c r="L6" s="919" t="s">
        <v>54</v>
      </c>
      <c r="M6" s="1228" t="s">
        <v>55</v>
      </c>
      <c r="N6" s="919" t="s">
        <v>56</v>
      </c>
      <c r="O6" s="1228" t="s">
        <v>57</v>
      </c>
      <c r="P6" s="919" t="s">
        <v>5069</v>
      </c>
      <c r="Q6" s="921" t="s">
        <v>2450</v>
      </c>
      <c r="R6" s="1229" t="s">
        <v>4515</v>
      </c>
      <c r="S6" s="1227" t="s">
        <v>4538</v>
      </c>
      <c r="BB6" s="3153" t="s">
        <v>5973</v>
      </c>
      <c r="BC6" s="3153" t="s">
        <v>5432</v>
      </c>
      <c r="BD6" s="3153" t="s">
        <v>5433</v>
      </c>
      <c r="BE6" s="3153" t="s">
        <v>5434</v>
      </c>
      <c r="BF6" s="3153" t="s">
        <v>5435</v>
      </c>
      <c r="BG6" s="3153" t="s">
        <v>5436</v>
      </c>
      <c r="BH6" s="3153" t="s">
        <v>5437</v>
      </c>
      <c r="BI6" s="3153" t="s">
        <v>5959</v>
      </c>
      <c r="BJ6" s="3153" t="s">
        <v>5438</v>
      </c>
      <c r="BK6" s="3153" t="s">
        <v>5439</v>
      </c>
      <c r="BL6" s="3153" t="s">
        <v>5960</v>
      </c>
      <c r="BM6" s="3153" t="s">
        <v>5440</v>
      </c>
      <c r="BN6" s="3153" t="s">
        <v>5441</v>
      </c>
      <c r="BO6" s="3153" t="s">
        <v>5961</v>
      </c>
      <c r="BP6" s="3153" t="s">
        <v>5974</v>
      </c>
      <c r="BQ6" s="3153" t="s">
        <v>5975</v>
      </c>
      <c r="BR6" s="3153" t="s">
        <v>5976</v>
      </c>
      <c r="BS6" s="3153" t="s">
        <v>5977</v>
      </c>
      <c r="BT6" s="3153" t="s">
        <v>5978</v>
      </c>
      <c r="BU6" s="3153" t="s">
        <v>5979</v>
      </c>
      <c r="BV6" s="3153" t="s">
        <v>5962</v>
      </c>
      <c r="BW6" s="3153" t="s">
        <v>5963</v>
      </c>
      <c r="BX6" s="3153" t="s">
        <v>5964</v>
      </c>
      <c r="BY6" s="3153" t="s">
        <v>5965</v>
      </c>
      <c r="BZ6" s="3153" t="s">
        <v>5966</v>
      </c>
      <c r="CA6" s="3153" t="s">
        <v>5967</v>
      </c>
      <c r="CB6" s="3153" t="s">
        <v>5968</v>
      </c>
      <c r="CC6" s="3153" t="s">
        <v>5969</v>
      </c>
      <c r="CD6" s="3153" t="s">
        <v>5970</v>
      </c>
      <c r="CE6" s="3153" t="s">
        <v>5980</v>
      </c>
      <c r="CF6" s="3153" t="s">
        <v>5971</v>
      </c>
      <c r="CG6" s="886" t="s">
        <v>5981</v>
      </c>
      <c r="CH6" s="886" t="s">
        <v>5982</v>
      </c>
      <c r="CI6" s="3153" t="s">
        <v>5972</v>
      </c>
    </row>
    <row r="7" spans="1:87">
      <c r="A7" s="217">
        <v>4</v>
      </c>
      <c r="B7" s="990"/>
      <c r="C7" s="217" t="s">
        <v>2636</v>
      </c>
      <c r="D7" s="217"/>
      <c r="E7" s="217"/>
      <c r="F7" s="217"/>
      <c r="G7" s="217"/>
      <c r="H7" s="217"/>
      <c r="I7" s="217"/>
      <c r="J7" s="217"/>
      <c r="K7" s="217"/>
      <c r="L7" s="217"/>
      <c r="M7" s="1230"/>
      <c r="N7" s="217"/>
      <c r="O7" s="429">
        <f>O8</f>
        <v>1943.175</v>
      </c>
      <c r="P7" s="1231"/>
      <c r="Q7" s="1231"/>
      <c r="R7" s="429">
        <f>R8</f>
        <v>1943.175</v>
      </c>
      <c r="S7" s="1223">
        <v>0</v>
      </c>
      <c r="BB7" s="3243"/>
      <c r="BC7" s="3243"/>
      <c r="BD7" s="3243"/>
      <c r="BE7" s="3243"/>
      <c r="BF7" s="3243"/>
      <c r="BG7" s="3243"/>
      <c r="BH7" s="3243"/>
      <c r="BI7" s="3243"/>
      <c r="BJ7" s="3243"/>
      <c r="BK7" s="3243"/>
      <c r="BL7" s="3243"/>
      <c r="BM7" s="3243"/>
      <c r="BN7" s="3243"/>
      <c r="BO7" s="3243"/>
      <c r="BP7" s="3243"/>
      <c r="BQ7" s="3243"/>
      <c r="BR7" s="3243"/>
      <c r="BS7" s="3243"/>
      <c r="BT7" s="3243"/>
      <c r="BU7" s="3243"/>
      <c r="BV7" s="3243"/>
      <c r="BW7" s="3243"/>
      <c r="BX7" s="3243"/>
      <c r="BY7" s="3243"/>
      <c r="BZ7" s="3243"/>
      <c r="CA7" s="3243"/>
      <c r="CB7" s="3243"/>
      <c r="CC7" s="3243"/>
      <c r="CD7" s="3243"/>
      <c r="CE7" s="3243"/>
      <c r="CF7" s="3243"/>
      <c r="CG7" s="3243"/>
      <c r="CH7" s="3243"/>
      <c r="CI7" s="3243">
        <f>SUM(BB7:CH7)</f>
        <v>0</v>
      </c>
    </row>
    <row r="8" spans="1:87" ht="75">
      <c r="A8" s="84">
        <v>4.0999999999999996</v>
      </c>
      <c r="B8" s="84" t="s">
        <v>1567</v>
      </c>
      <c r="C8" s="84" t="s">
        <v>5092</v>
      </c>
      <c r="D8" s="84"/>
      <c r="E8" s="84"/>
      <c r="F8" s="84"/>
      <c r="G8" s="84"/>
      <c r="H8" s="84"/>
      <c r="I8" s="84"/>
      <c r="J8" s="84"/>
      <c r="K8" s="84"/>
      <c r="L8" s="84"/>
      <c r="M8" s="1232"/>
      <c r="N8" s="1233"/>
      <c r="O8" s="1149">
        <f>SUM(O9:O15)</f>
        <v>1943.175</v>
      </c>
      <c r="P8" s="1234"/>
      <c r="Q8" s="1234"/>
      <c r="R8" s="1149">
        <f>SUM(R9:R15)</f>
        <v>1943.175</v>
      </c>
      <c r="BB8" s="3243"/>
      <c r="BC8" s="3243"/>
      <c r="BD8" s="3243"/>
      <c r="BE8" s="3243"/>
      <c r="BF8" s="3243"/>
      <c r="BG8" s="3243"/>
      <c r="BH8" s="3243"/>
      <c r="BI8" s="3243"/>
      <c r="BJ8" s="3243"/>
      <c r="BK8" s="3243"/>
      <c r="BL8" s="3243"/>
      <c r="BM8" s="3243"/>
      <c r="BN8" s="3243"/>
      <c r="BO8" s="3243"/>
      <c r="BP8" s="3243"/>
      <c r="BQ8" s="3243"/>
      <c r="BR8" s="3243"/>
      <c r="BS8" s="3243"/>
      <c r="BT8" s="3243"/>
      <c r="BU8" s="3243"/>
      <c r="BV8" s="3243"/>
      <c r="BW8" s="3243"/>
      <c r="BX8" s="3243"/>
      <c r="BY8" s="3243"/>
      <c r="BZ8" s="3243"/>
      <c r="CA8" s="3243"/>
      <c r="CB8" s="3243"/>
      <c r="CC8" s="3243"/>
      <c r="CD8" s="3243"/>
      <c r="CE8" s="3243"/>
      <c r="CF8" s="3243"/>
      <c r="CG8" s="3243"/>
      <c r="CH8" s="3243"/>
      <c r="CI8" s="3243">
        <f t="shared" ref="CI8:CI15" si="0">SUM(BB8:CH8)</f>
        <v>0</v>
      </c>
    </row>
    <row r="9" spans="1:87" ht="27" customHeight="1">
      <c r="A9" s="1235" t="s">
        <v>2637</v>
      </c>
      <c r="B9" s="509" t="s">
        <v>1568</v>
      </c>
      <c r="C9" s="509" t="s">
        <v>1569</v>
      </c>
      <c r="D9" s="908" t="s">
        <v>65</v>
      </c>
      <c r="E9" s="1236" t="s">
        <v>65</v>
      </c>
      <c r="F9" s="336">
        <v>13</v>
      </c>
      <c r="G9" s="336">
        <v>13</v>
      </c>
      <c r="H9" s="336">
        <v>65</v>
      </c>
      <c r="I9" s="336">
        <v>1.25</v>
      </c>
      <c r="J9" s="336">
        <v>63.75</v>
      </c>
      <c r="K9" s="248"/>
      <c r="L9" s="277">
        <v>1000000</v>
      </c>
      <c r="M9" s="281">
        <f t="shared" ref="M9:M15" si="1">L9/100000</f>
        <v>10</v>
      </c>
      <c r="N9" s="277">
        <v>13</v>
      </c>
      <c r="O9" s="1237">
        <f t="shared" ref="O9:O15" si="2">M9*N9</f>
        <v>130</v>
      </c>
      <c r="P9" s="3259" t="s">
        <v>5396</v>
      </c>
      <c r="Q9" s="2836" t="s">
        <v>5858</v>
      </c>
      <c r="R9" s="2298">
        <v>130</v>
      </c>
      <c r="BB9" s="3243"/>
      <c r="BC9" s="3243"/>
      <c r="BD9" s="3243"/>
      <c r="BE9" s="3243"/>
      <c r="BF9" s="3243"/>
      <c r="BG9" s="3243">
        <v>10</v>
      </c>
      <c r="BH9" s="3243"/>
      <c r="BI9" s="3243">
        <v>10</v>
      </c>
      <c r="BJ9" s="3243"/>
      <c r="BK9" s="3243"/>
      <c r="BL9" s="3243"/>
      <c r="BM9" s="3243"/>
      <c r="BN9" s="3243"/>
      <c r="BO9" s="3243"/>
      <c r="BP9" s="3243"/>
      <c r="BQ9" s="3243"/>
      <c r="BR9" s="3243"/>
      <c r="BS9" s="3243"/>
      <c r="BT9" s="3243"/>
      <c r="BU9" s="3243"/>
      <c r="BV9" s="3243">
        <v>10</v>
      </c>
      <c r="BW9" s="3243">
        <v>10</v>
      </c>
      <c r="BX9" s="3243">
        <v>10</v>
      </c>
      <c r="BY9" s="3243">
        <v>10</v>
      </c>
      <c r="BZ9" s="3243">
        <v>10</v>
      </c>
      <c r="CA9" s="3243">
        <v>10</v>
      </c>
      <c r="CB9" s="3243">
        <v>10</v>
      </c>
      <c r="CC9" s="3243">
        <v>10</v>
      </c>
      <c r="CD9" s="3243">
        <v>10</v>
      </c>
      <c r="CE9" s="3243">
        <v>10</v>
      </c>
      <c r="CF9" s="3243">
        <v>10</v>
      </c>
      <c r="CG9" s="3243"/>
      <c r="CH9" s="3243"/>
      <c r="CI9" s="3243">
        <f t="shared" si="0"/>
        <v>130</v>
      </c>
    </row>
    <row r="10" spans="1:87">
      <c r="A10" s="1235" t="s">
        <v>2638</v>
      </c>
      <c r="B10" s="509" t="s">
        <v>1570</v>
      </c>
      <c r="C10" s="509" t="s">
        <v>300</v>
      </c>
      <c r="D10" s="908" t="s">
        <v>65</v>
      </c>
      <c r="E10" s="1236" t="s">
        <v>65</v>
      </c>
      <c r="F10" s="336"/>
      <c r="G10" s="336"/>
      <c r="H10" s="336">
        <v>0</v>
      </c>
      <c r="I10" s="336"/>
      <c r="J10" s="336"/>
      <c r="K10" s="248"/>
      <c r="L10" s="277"/>
      <c r="M10" s="281">
        <f t="shared" si="1"/>
        <v>0</v>
      </c>
      <c r="N10" s="277"/>
      <c r="O10" s="1237">
        <f t="shared" si="2"/>
        <v>0</v>
      </c>
      <c r="P10" s="337"/>
      <c r="Q10" s="2836"/>
      <c r="R10" s="2298"/>
      <c r="BB10" s="3243"/>
      <c r="BC10" s="3243"/>
      <c r="BD10" s="3243"/>
      <c r="BE10" s="3243"/>
      <c r="BF10" s="3243"/>
      <c r="BG10" s="3243"/>
      <c r="BH10" s="3243"/>
      <c r="BI10" s="3243"/>
      <c r="BJ10" s="3243"/>
      <c r="BK10" s="3243"/>
      <c r="BL10" s="3243"/>
      <c r="BM10" s="3243"/>
      <c r="BN10" s="3243"/>
      <c r="BO10" s="3243"/>
      <c r="BP10" s="3243"/>
      <c r="BQ10" s="3243"/>
      <c r="BR10" s="3243"/>
      <c r="BS10" s="3243"/>
      <c r="BT10" s="3243"/>
      <c r="BU10" s="3243"/>
      <c r="BV10" s="3243"/>
      <c r="BW10" s="3243"/>
      <c r="BX10" s="3243"/>
      <c r="BY10" s="3243"/>
      <c r="BZ10" s="3243"/>
      <c r="CA10" s="3243"/>
      <c r="CB10" s="3243"/>
      <c r="CC10" s="3243"/>
      <c r="CD10" s="3243"/>
      <c r="CE10" s="3243"/>
      <c r="CF10" s="3243"/>
      <c r="CG10" s="3243"/>
      <c r="CH10" s="3243"/>
      <c r="CI10" s="3243">
        <f t="shared" si="0"/>
        <v>0</v>
      </c>
    </row>
    <row r="11" spans="1:87" ht="45">
      <c r="A11" s="1235" t="s">
        <v>2639</v>
      </c>
      <c r="B11" s="509" t="s">
        <v>1571</v>
      </c>
      <c r="C11" s="509" t="s">
        <v>297</v>
      </c>
      <c r="D11" s="908" t="s">
        <v>65</v>
      </c>
      <c r="E11" s="1236" t="s">
        <v>65</v>
      </c>
      <c r="F11" s="336">
        <v>171</v>
      </c>
      <c r="G11" s="336"/>
      <c r="H11" s="336">
        <v>427.5</v>
      </c>
      <c r="I11" s="336">
        <v>175.77</v>
      </c>
      <c r="J11" s="336">
        <v>251.73</v>
      </c>
      <c r="K11" s="248"/>
      <c r="L11" s="277">
        <v>250000</v>
      </c>
      <c r="M11" s="281">
        <f t="shared" si="1"/>
        <v>2.5</v>
      </c>
      <c r="N11" s="277">
        <v>171</v>
      </c>
      <c r="O11" s="1237">
        <f t="shared" si="2"/>
        <v>427.5</v>
      </c>
      <c r="P11" s="337"/>
      <c r="Q11" s="2836" t="s">
        <v>5859</v>
      </c>
      <c r="R11" s="2298">
        <f>2.5*171</f>
        <v>427.5</v>
      </c>
      <c r="BB11" s="3243"/>
      <c r="BC11" s="3243">
        <f>2.5*10</f>
        <v>25</v>
      </c>
      <c r="BD11" s="3243">
        <f>2.5*11</f>
        <v>27.5</v>
      </c>
      <c r="BE11" s="3243">
        <f>2.5*7</f>
        <v>17.5</v>
      </c>
      <c r="BF11" s="3243">
        <f>2.5*36</f>
        <v>90</v>
      </c>
      <c r="BG11" s="3243">
        <f>2.5*5</f>
        <v>12.5</v>
      </c>
      <c r="BH11" s="3243">
        <f>2.5*9</f>
        <v>22.5</v>
      </c>
      <c r="BI11" s="3243">
        <f>2.5*3</f>
        <v>7.5</v>
      </c>
      <c r="BJ11" s="3243">
        <f>2.5*26</f>
        <v>65</v>
      </c>
      <c r="BK11" s="3243">
        <f>2.5*27</f>
        <v>67.5</v>
      </c>
      <c r="BL11" s="3243">
        <f>2.5*11</f>
        <v>27.5</v>
      </c>
      <c r="BM11" s="3243">
        <f>2.5*12</f>
        <v>30</v>
      </c>
      <c r="BN11" s="3243">
        <f>2.5*14</f>
        <v>35</v>
      </c>
      <c r="BO11" s="3243"/>
      <c r="BP11" s="3243"/>
      <c r="BQ11" s="3243"/>
      <c r="BR11" s="3243"/>
      <c r="BS11" s="3243"/>
      <c r="BT11" s="3243"/>
      <c r="BU11" s="3243"/>
      <c r="BV11" s="3243"/>
      <c r="BW11" s="3243"/>
      <c r="BX11" s="3243"/>
      <c r="BY11" s="3243"/>
      <c r="BZ11" s="3243"/>
      <c r="CA11" s="3243"/>
      <c r="CB11" s="3243"/>
      <c r="CC11" s="3243"/>
      <c r="CD11" s="3243"/>
      <c r="CE11" s="3243"/>
      <c r="CF11" s="3243"/>
      <c r="CG11" s="3243"/>
      <c r="CH11" s="3243"/>
      <c r="CI11" s="3243">
        <f t="shared" si="0"/>
        <v>427.5</v>
      </c>
    </row>
    <row r="12" spans="1:87" s="1779" customFormat="1" ht="34.5" customHeight="1">
      <c r="A12" s="2293" t="s">
        <v>2640</v>
      </c>
      <c r="B12" s="521" t="s">
        <v>1572</v>
      </c>
      <c r="C12" s="521" t="s">
        <v>298</v>
      </c>
      <c r="D12" s="982" t="s">
        <v>65</v>
      </c>
      <c r="E12" s="2294" t="s">
        <v>65</v>
      </c>
      <c r="F12" s="2295">
        <v>587</v>
      </c>
      <c r="G12" s="2295"/>
      <c r="H12" s="2295">
        <v>512.75</v>
      </c>
      <c r="I12" s="2295">
        <v>202.25</v>
      </c>
      <c r="J12" s="2295">
        <v>310.5</v>
      </c>
      <c r="K12" s="2340"/>
      <c r="L12" s="283">
        <v>87500</v>
      </c>
      <c r="M12" s="2261">
        <f t="shared" si="1"/>
        <v>0.875</v>
      </c>
      <c r="N12" s="283">
        <v>577</v>
      </c>
      <c r="O12" s="2296">
        <f t="shared" si="2"/>
        <v>504.875</v>
      </c>
      <c r="P12" s="2297"/>
      <c r="Q12" s="2836" t="s">
        <v>5860</v>
      </c>
      <c r="R12" s="2298">
        <f>577*0.875</f>
        <v>504.875</v>
      </c>
      <c r="BB12" s="3244"/>
      <c r="BC12" s="3244">
        <f>0.875*37</f>
        <v>32.375</v>
      </c>
      <c r="BD12" s="3244">
        <f>0.875*44</f>
        <v>38.5</v>
      </c>
      <c r="BE12" s="3244">
        <f>0.875*32</f>
        <v>28</v>
      </c>
      <c r="BF12" s="3244">
        <f>0.875*86</f>
        <v>75.25</v>
      </c>
      <c r="BG12" s="3244">
        <f>0.875*23</f>
        <v>20.125</v>
      </c>
      <c r="BH12" s="3244">
        <f>0.875*26</f>
        <v>22.75</v>
      </c>
      <c r="BI12" s="3244">
        <f>0.875*16</f>
        <v>14</v>
      </c>
      <c r="BJ12" s="3244">
        <f>0.875*86</f>
        <v>75.25</v>
      </c>
      <c r="BK12" s="3244">
        <f>0.875*121</f>
        <v>105.875</v>
      </c>
      <c r="BL12" s="3244">
        <f>0.875*43</f>
        <v>37.625</v>
      </c>
      <c r="BM12" s="3244">
        <f>0.875*40</f>
        <v>35</v>
      </c>
      <c r="BN12" s="3244">
        <f>0.875*23</f>
        <v>20.125</v>
      </c>
      <c r="BO12" s="3244"/>
      <c r="BP12" s="3244"/>
      <c r="BQ12" s="3244"/>
      <c r="BR12" s="3244"/>
      <c r="BS12" s="3244"/>
      <c r="BT12" s="3244"/>
      <c r="BU12" s="3244"/>
      <c r="BV12" s="3244"/>
      <c r="BW12" s="3244"/>
      <c r="BX12" s="3244"/>
      <c r="BY12" s="3244"/>
      <c r="BZ12" s="3244"/>
      <c r="CA12" s="3244"/>
      <c r="CB12" s="3244"/>
      <c r="CC12" s="3244"/>
      <c r="CD12" s="3244"/>
      <c r="CE12" s="3244"/>
      <c r="CF12" s="3244"/>
      <c r="CG12" s="3244"/>
      <c r="CH12" s="3244"/>
      <c r="CI12" s="3243">
        <f t="shared" si="0"/>
        <v>504.875</v>
      </c>
    </row>
    <row r="13" spans="1:87" s="1779" customFormat="1" ht="33" customHeight="1">
      <c r="A13" s="2293" t="s">
        <v>2641</v>
      </c>
      <c r="B13" s="521" t="s">
        <v>1573</v>
      </c>
      <c r="C13" s="521" t="s">
        <v>299</v>
      </c>
      <c r="D13" s="982" t="s">
        <v>65</v>
      </c>
      <c r="E13" s="2294" t="s">
        <v>65</v>
      </c>
      <c r="F13" s="2295">
        <v>2096</v>
      </c>
      <c r="G13" s="2295"/>
      <c r="H13" s="2295">
        <v>208.9</v>
      </c>
      <c r="I13" s="2295">
        <v>56.54</v>
      </c>
      <c r="J13" s="2295">
        <v>152.36000000000001</v>
      </c>
      <c r="K13" s="2340"/>
      <c r="L13" s="283">
        <v>20000</v>
      </c>
      <c r="M13" s="2261">
        <f t="shared" si="1"/>
        <v>0.2</v>
      </c>
      <c r="N13" s="283">
        <v>2104</v>
      </c>
      <c r="O13" s="2296">
        <f t="shared" si="2"/>
        <v>420.8</v>
      </c>
      <c r="P13" s="2297"/>
      <c r="Q13" s="2836" t="s">
        <v>5861</v>
      </c>
      <c r="R13" s="2298">
        <f>0.2*2104</f>
        <v>420.8</v>
      </c>
      <c r="BB13" s="3244"/>
      <c r="BC13" s="3244">
        <f>0.2*120</f>
        <v>24</v>
      </c>
      <c r="BD13" s="3244">
        <f>0.2*177</f>
        <v>35.4</v>
      </c>
      <c r="BE13" s="3244">
        <f>0.2*150</f>
        <v>30</v>
      </c>
      <c r="BF13" s="3244">
        <f>0.2*441</f>
        <v>88.2</v>
      </c>
      <c r="BG13" s="3244">
        <f>0.2*34</f>
        <v>6.8000000000000007</v>
      </c>
      <c r="BH13" s="3244">
        <f>0.2*103</f>
        <v>20.6</v>
      </c>
      <c r="BI13" s="3244">
        <f>0.2*36</f>
        <v>7.2</v>
      </c>
      <c r="BJ13" s="3244">
        <f>0.2*331</f>
        <v>66.2</v>
      </c>
      <c r="BK13" s="3244">
        <f>0.2*252</f>
        <v>50.400000000000006</v>
      </c>
      <c r="BL13" s="3244">
        <f>0.2*149</f>
        <v>29.8</v>
      </c>
      <c r="BM13" s="3244">
        <f>0.2*175</f>
        <v>35</v>
      </c>
      <c r="BN13" s="3244">
        <f>0.2*136</f>
        <v>27.200000000000003</v>
      </c>
      <c r="BO13" s="3244"/>
      <c r="BP13" s="3244"/>
      <c r="BQ13" s="3244"/>
      <c r="BR13" s="3244"/>
      <c r="BS13" s="3244"/>
      <c r="BT13" s="3244"/>
      <c r="BU13" s="3244"/>
      <c r="BV13" s="3244"/>
      <c r="BW13" s="3244"/>
      <c r="BX13" s="3244"/>
      <c r="BY13" s="3244"/>
      <c r="BZ13" s="3244"/>
      <c r="CA13" s="3244"/>
      <c r="CB13" s="3244"/>
      <c r="CC13" s="3244"/>
      <c r="CD13" s="3244"/>
      <c r="CE13" s="3244"/>
      <c r="CF13" s="3244"/>
      <c r="CG13" s="3244"/>
      <c r="CH13" s="3244"/>
      <c r="CI13" s="3243">
        <f t="shared" si="0"/>
        <v>420.80000000000007</v>
      </c>
    </row>
    <row r="14" spans="1:87" s="1779" customFormat="1" ht="51.75">
      <c r="A14" s="2293" t="s">
        <v>2642</v>
      </c>
      <c r="B14" s="521" t="s">
        <v>1574</v>
      </c>
      <c r="C14" s="521" t="s">
        <v>1575</v>
      </c>
      <c r="D14" s="982" t="s">
        <v>65</v>
      </c>
      <c r="E14" s="2294" t="s">
        <v>65</v>
      </c>
      <c r="F14" s="2295">
        <v>8000</v>
      </c>
      <c r="G14" s="2337"/>
      <c r="H14" s="2338">
        <v>40</v>
      </c>
      <c r="I14" s="2338">
        <v>27.85</v>
      </c>
      <c r="J14" s="2339">
        <v>12.15</v>
      </c>
      <c r="K14" s="2340">
        <v>1</v>
      </c>
      <c r="L14" s="2318">
        <v>2000</v>
      </c>
      <c r="M14" s="2261">
        <f t="shared" si="1"/>
        <v>0.02</v>
      </c>
      <c r="N14" s="2318">
        <v>8000</v>
      </c>
      <c r="O14" s="2296">
        <f t="shared" si="2"/>
        <v>160</v>
      </c>
      <c r="P14" s="2341" t="s">
        <v>5397</v>
      </c>
      <c r="Q14" s="2836" t="s">
        <v>5862</v>
      </c>
      <c r="R14" s="2298">
        <v>160</v>
      </c>
      <c r="BB14" s="3244">
        <v>2.4</v>
      </c>
      <c r="BC14" s="3244">
        <f>0.02*499</f>
        <v>9.98</v>
      </c>
      <c r="BD14" s="3244">
        <f>0.02*600</f>
        <v>12</v>
      </c>
      <c r="BE14" s="3244">
        <f>0.02*533</f>
        <v>10.66</v>
      </c>
      <c r="BF14" s="3244">
        <f>0.02*1761</f>
        <v>35.22</v>
      </c>
      <c r="BG14" s="3244">
        <f>0.02*106</f>
        <v>2.12</v>
      </c>
      <c r="BH14" s="3244">
        <f>0.02*495</f>
        <v>9.9</v>
      </c>
      <c r="BI14" s="3244">
        <f>0.02*48</f>
        <v>0.96</v>
      </c>
      <c r="BJ14" s="3244">
        <f>0.02*1250</f>
        <v>25</v>
      </c>
      <c r="BK14" s="3244">
        <f>0.02*757</f>
        <v>15.14</v>
      </c>
      <c r="BL14" s="3244">
        <f>0.02*612</f>
        <v>12.24</v>
      </c>
      <c r="BM14" s="3244">
        <f>0.02*613</f>
        <v>12.26</v>
      </c>
      <c r="BN14" s="3244">
        <f>0.02*606</f>
        <v>12.120000000000001</v>
      </c>
      <c r="BO14" s="3244"/>
      <c r="BP14" s="3244"/>
      <c r="BQ14" s="3244"/>
      <c r="BR14" s="3244"/>
      <c r="BS14" s="3244"/>
      <c r="BT14" s="3244"/>
      <c r="BU14" s="3244"/>
      <c r="BV14" s="3244"/>
      <c r="BW14" s="3244"/>
      <c r="BX14" s="3244"/>
      <c r="BY14" s="3244"/>
      <c r="BZ14" s="3244"/>
      <c r="CA14" s="3244"/>
      <c r="CB14" s="3244"/>
      <c r="CC14" s="3244"/>
      <c r="CD14" s="3244"/>
      <c r="CE14" s="3244"/>
      <c r="CF14" s="3244"/>
      <c r="CG14" s="3244"/>
      <c r="CH14" s="3244"/>
      <c r="CI14" s="3243">
        <f t="shared" si="0"/>
        <v>160</v>
      </c>
    </row>
    <row r="15" spans="1:87" s="1779" customFormat="1" ht="108.75" customHeight="1">
      <c r="A15" s="3282" t="s">
        <v>2643</v>
      </c>
      <c r="B15" s="3283" t="s">
        <v>1576</v>
      </c>
      <c r="C15" s="3283" t="s">
        <v>1760</v>
      </c>
      <c r="D15" s="3284" t="s">
        <v>65</v>
      </c>
      <c r="E15" s="3285" t="s">
        <v>65</v>
      </c>
      <c r="F15" s="3286">
        <v>800</v>
      </c>
      <c r="G15" s="3286"/>
      <c r="H15" s="3286">
        <v>127.5</v>
      </c>
      <c r="I15" s="3286">
        <v>0</v>
      </c>
      <c r="J15" s="3286">
        <v>127.5</v>
      </c>
      <c r="K15" s="3286"/>
      <c r="L15" s="3279">
        <v>30000</v>
      </c>
      <c r="M15" s="3287">
        <f t="shared" si="1"/>
        <v>0.3</v>
      </c>
      <c r="N15" s="3279">
        <v>1000</v>
      </c>
      <c r="O15" s="3288">
        <f t="shared" si="2"/>
        <v>300</v>
      </c>
      <c r="P15" s="3289" t="s">
        <v>5468</v>
      </c>
      <c r="Q15" s="3290" t="s">
        <v>5863</v>
      </c>
      <c r="R15" s="3291">
        <f>0.3*1000</f>
        <v>300</v>
      </c>
      <c r="BB15" s="3292">
        <v>300</v>
      </c>
      <c r="BC15" s="3293"/>
      <c r="BD15" s="3293"/>
      <c r="BE15" s="3293"/>
      <c r="BF15" s="3293"/>
      <c r="BG15" s="3293"/>
      <c r="BH15" s="3293"/>
      <c r="BI15" s="3293"/>
      <c r="BJ15" s="3293"/>
      <c r="BK15" s="3293"/>
      <c r="BL15" s="3293"/>
      <c r="BM15" s="3293"/>
      <c r="BN15" s="3293"/>
      <c r="BO15" s="3293"/>
      <c r="BP15" s="3293"/>
      <c r="BQ15" s="3293"/>
      <c r="BR15" s="3293"/>
      <c r="BS15" s="3293"/>
      <c r="BT15" s="3293"/>
      <c r="BU15" s="3293"/>
      <c r="BV15" s="3293"/>
      <c r="BW15" s="3293"/>
      <c r="BX15" s="3293"/>
      <c r="BY15" s="3293"/>
      <c r="BZ15" s="3293"/>
      <c r="CA15" s="3293"/>
      <c r="CB15" s="3293"/>
      <c r="CC15" s="3293"/>
      <c r="CD15" s="3293"/>
      <c r="CE15" s="3293"/>
      <c r="CF15" s="3293"/>
      <c r="CG15" s="3293"/>
      <c r="CH15" s="3293"/>
      <c r="CI15" s="3294">
        <f t="shared" si="0"/>
        <v>300</v>
      </c>
    </row>
    <row r="16" spans="1:87" s="1266" customFormat="1">
      <c r="M16" s="3243"/>
      <c r="O16" s="3243"/>
      <c r="Q16" s="1523"/>
      <c r="R16" s="3243">
        <f>+E3</f>
        <v>1943.175</v>
      </c>
      <c r="BB16" s="3243">
        <f>SUM(BB9:BB15)</f>
        <v>302.39999999999998</v>
      </c>
      <c r="BC16" s="3243">
        <f t="shared" ref="BC16:CI16" si="3">SUM(BC9:BC15)</f>
        <v>91.355000000000004</v>
      </c>
      <c r="BD16" s="3243">
        <f t="shared" si="3"/>
        <v>113.4</v>
      </c>
      <c r="BE16" s="3243">
        <f t="shared" si="3"/>
        <v>86.16</v>
      </c>
      <c r="BF16" s="3243">
        <f t="shared" si="3"/>
        <v>288.66999999999996</v>
      </c>
      <c r="BG16" s="3243">
        <f t="shared" si="3"/>
        <v>51.544999999999995</v>
      </c>
      <c r="BH16" s="3243">
        <f t="shared" si="3"/>
        <v>75.75</v>
      </c>
      <c r="BI16" s="3243">
        <f t="shared" si="3"/>
        <v>39.660000000000004</v>
      </c>
      <c r="BJ16" s="3243">
        <f t="shared" si="3"/>
        <v>231.45</v>
      </c>
      <c r="BK16" s="3243">
        <f t="shared" si="3"/>
        <v>238.91500000000002</v>
      </c>
      <c r="BL16" s="3243">
        <f t="shared" si="3"/>
        <v>107.16499999999999</v>
      </c>
      <c r="BM16" s="3243">
        <f t="shared" si="3"/>
        <v>112.26</v>
      </c>
      <c r="BN16" s="3243">
        <f t="shared" si="3"/>
        <v>94.445000000000007</v>
      </c>
      <c r="BO16" s="3243">
        <f t="shared" si="3"/>
        <v>0</v>
      </c>
      <c r="BP16" s="3243">
        <f t="shared" si="3"/>
        <v>0</v>
      </c>
      <c r="BQ16" s="3243">
        <f t="shared" si="3"/>
        <v>0</v>
      </c>
      <c r="BR16" s="3243">
        <f t="shared" si="3"/>
        <v>0</v>
      </c>
      <c r="BS16" s="3243">
        <f t="shared" si="3"/>
        <v>0</v>
      </c>
      <c r="BT16" s="3243">
        <f t="shared" si="3"/>
        <v>0</v>
      </c>
      <c r="BU16" s="3243">
        <f t="shared" si="3"/>
        <v>0</v>
      </c>
      <c r="BV16" s="3243">
        <f t="shared" si="3"/>
        <v>10</v>
      </c>
      <c r="BW16" s="3243">
        <f t="shared" si="3"/>
        <v>10</v>
      </c>
      <c r="BX16" s="3243">
        <f t="shared" si="3"/>
        <v>10</v>
      </c>
      <c r="BY16" s="3243">
        <f t="shared" si="3"/>
        <v>10</v>
      </c>
      <c r="BZ16" s="3243">
        <f t="shared" si="3"/>
        <v>10</v>
      </c>
      <c r="CA16" s="3243">
        <f t="shared" si="3"/>
        <v>10</v>
      </c>
      <c r="CB16" s="3243">
        <f t="shared" si="3"/>
        <v>10</v>
      </c>
      <c r="CC16" s="3243">
        <f t="shared" si="3"/>
        <v>10</v>
      </c>
      <c r="CD16" s="3243">
        <f t="shared" si="3"/>
        <v>10</v>
      </c>
      <c r="CE16" s="3243">
        <f t="shared" si="3"/>
        <v>10</v>
      </c>
      <c r="CF16" s="3243">
        <f t="shared" si="3"/>
        <v>10</v>
      </c>
      <c r="CG16" s="3243">
        <f t="shared" si="3"/>
        <v>0</v>
      </c>
      <c r="CH16" s="3243">
        <f t="shared" si="3"/>
        <v>0</v>
      </c>
      <c r="CI16" s="3243">
        <f t="shared" si="3"/>
        <v>1943.1750000000002</v>
      </c>
    </row>
  </sheetData>
  <sheetProtection password="CC49" sheet="1" objects="1" scenarios="1" autoFilter="0"/>
  <autoFilter ref="A6:R15"/>
  <mergeCells count="15">
    <mergeCell ref="AI1:AO1"/>
    <mergeCell ref="AP1:BA1"/>
    <mergeCell ref="K5:P5"/>
    <mergeCell ref="Q5:R5"/>
    <mergeCell ref="A1:C1"/>
    <mergeCell ref="F5:J5"/>
    <mergeCell ref="A5:A6"/>
    <mergeCell ref="B5:B6"/>
    <mergeCell ref="C5:C6"/>
    <mergeCell ref="D5:D6"/>
    <mergeCell ref="E5:E6"/>
    <mergeCell ref="A2:A4"/>
    <mergeCell ref="E1:E2"/>
    <mergeCell ref="F1:N1"/>
    <mergeCell ref="O1:AH1"/>
  </mergeCells>
  <pageMargins left="0.7" right="0.7" top="0.75" bottom="0.75" header="0.3" footer="0.3"/>
</worksheet>
</file>

<file path=xl/worksheets/sheet7.xml><?xml version="1.0" encoding="utf-8"?>
<worksheet xmlns="http://schemas.openxmlformats.org/spreadsheetml/2006/main" xmlns:r="http://schemas.openxmlformats.org/officeDocument/2006/relationships">
  <sheetPr codeName="Sheet4">
    <tabColor rgb="FF00B050"/>
  </sheetPr>
  <dimension ref="A1:CI100"/>
  <sheetViews>
    <sheetView zoomScale="80" zoomScaleNormal="80" workbookViewId="0">
      <pane xSplit="5" ySplit="7" topLeftCell="P85" activePane="bottomRight" state="frozen"/>
      <selection activeCell="A2" sqref="A2:A4"/>
      <selection pane="topRight" activeCell="A2" sqref="A2:A4"/>
      <selection pane="bottomLeft" activeCell="A2" sqref="A2:A4"/>
      <selection pane="bottomRight" activeCell="CJ1" sqref="CJ1:CK1048576"/>
    </sheetView>
  </sheetViews>
  <sheetFormatPr defaultColWidth="9.140625" defaultRowHeight="15"/>
  <cols>
    <col min="1" max="1" width="13.7109375" style="1129" customWidth="1"/>
    <col min="2" max="2" width="17.42578125" style="1169" customWidth="1"/>
    <col min="3" max="3" width="48.5703125" style="1129" customWidth="1"/>
    <col min="4" max="4" width="7.85546875" style="1147" customWidth="1"/>
    <col min="5" max="5" width="9.140625" style="1147" customWidth="1"/>
    <col min="6" max="6" width="30.140625" style="1129" hidden="1" customWidth="1"/>
    <col min="7" max="7" width="31.140625" style="1129" hidden="1" customWidth="1"/>
    <col min="8" max="8" width="13.85546875" style="1129" hidden="1" customWidth="1"/>
    <col min="9" max="9" width="16.5703125" style="1129" hidden="1" customWidth="1"/>
    <col min="10" max="10" width="16.140625" style="1129" hidden="1" customWidth="1"/>
    <col min="11" max="11" width="11.5703125" style="1129" hidden="1" customWidth="1"/>
    <col min="12" max="12" width="9.85546875" style="1129" hidden="1" customWidth="1"/>
    <col min="13" max="13" width="11.85546875" style="979" hidden="1" customWidth="1"/>
    <col min="14" max="14" width="11.140625" style="1129" hidden="1" customWidth="1"/>
    <col min="15" max="15" width="13" style="2997" hidden="1" customWidth="1"/>
    <col min="16" max="16" width="42.140625" style="1210" customWidth="1"/>
    <col min="17" max="17" width="37.85546875" style="1210" customWidth="1"/>
    <col min="18" max="18" width="13.140625" style="2997" customWidth="1"/>
    <col min="19" max="19" width="6.140625" style="1169" hidden="1" customWidth="1"/>
    <col min="20" max="20" width="3.7109375" style="1169" hidden="1" customWidth="1"/>
    <col min="21" max="22" width="4.140625" style="1169" hidden="1" customWidth="1"/>
    <col min="23" max="23" width="3.85546875" style="1169" hidden="1" customWidth="1"/>
    <col min="24" max="24" width="4.5703125" style="1169" hidden="1" customWidth="1"/>
    <col min="25" max="25" width="6.140625" style="1169" hidden="1" customWidth="1"/>
    <col min="26" max="26" width="7.5703125" style="1169" hidden="1" customWidth="1"/>
    <col min="27" max="27" width="4.140625" style="1169" hidden="1" customWidth="1"/>
    <col min="28" max="28" width="8.140625" style="1169" hidden="1" customWidth="1"/>
    <col min="29" max="30" width="4.140625" style="1169" hidden="1" customWidth="1"/>
    <col min="31" max="31" width="7.42578125" style="1169" hidden="1" customWidth="1"/>
    <col min="32" max="32" width="5.7109375" style="1169" hidden="1" customWidth="1"/>
    <col min="33" max="33" width="7.42578125" style="1169" hidden="1" customWidth="1"/>
    <col min="34" max="34" width="7" style="1169" hidden="1" customWidth="1"/>
    <col min="35" max="35" width="4.85546875" style="1169" hidden="1" customWidth="1"/>
    <col min="36" max="36" width="8.140625" style="1169" hidden="1" customWidth="1"/>
    <col min="37" max="37" width="5.140625" style="1169" hidden="1" customWidth="1"/>
    <col min="38" max="38" width="8.140625" style="1169" hidden="1" customWidth="1"/>
    <col min="39" max="39" width="6.85546875" style="1169" hidden="1" customWidth="1"/>
    <col min="40" max="40" width="5.5703125" style="1169" hidden="1" customWidth="1"/>
    <col min="41" max="41" width="4.85546875" style="1169" hidden="1" customWidth="1"/>
    <col min="42" max="42" width="5.7109375" style="1169" hidden="1" customWidth="1"/>
    <col min="43" max="43" width="6.5703125" style="1169" hidden="1" customWidth="1"/>
    <col min="44" max="44" width="6.85546875" style="1169" hidden="1" customWidth="1"/>
    <col min="45" max="45" width="5.42578125" style="1169" hidden="1" customWidth="1"/>
    <col min="46" max="46" width="7.85546875" style="1169" hidden="1" customWidth="1"/>
    <col min="47" max="47" width="7.42578125" style="1169" hidden="1" customWidth="1"/>
    <col min="48" max="48" width="8.140625" style="1169" hidden="1" customWidth="1"/>
    <col min="49" max="49" width="6.140625" style="1169" hidden="1" customWidth="1"/>
    <col min="50" max="50" width="7.140625" style="1169" hidden="1" customWidth="1"/>
    <col min="51" max="51" width="6.42578125" style="1169" hidden="1" customWidth="1"/>
    <col min="52" max="52" width="6.7109375" style="1169" hidden="1" customWidth="1"/>
    <col min="53" max="53" width="7.85546875" style="1169" hidden="1" customWidth="1"/>
    <col min="54" max="54" width="9.140625" style="1169"/>
    <col min="55" max="55" width="15.140625" style="1169" bestFit="1" customWidth="1"/>
    <col min="56" max="56" width="14" style="1169" bestFit="1" customWidth="1"/>
    <col min="57" max="57" width="16.5703125" style="1169" bestFit="1" customWidth="1"/>
    <col min="58" max="58" width="13.28515625" style="1169" bestFit="1" customWidth="1"/>
    <col min="59" max="59" width="13.7109375" style="1169" bestFit="1" customWidth="1"/>
    <col min="60" max="60" width="9.85546875" style="1169" bestFit="1" customWidth="1"/>
    <col min="61" max="61" width="12.5703125" style="1169" bestFit="1" customWidth="1"/>
    <col min="62" max="62" width="10.85546875" style="1169" bestFit="1" customWidth="1"/>
    <col min="63" max="63" width="12" style="1169" bestFit="1" customWidth="1"/>
    <col min="64" max="64" width="14.140625" style="1169" bestFit="1" customWidth="1"/>
    <col min="65" max="65" width="10.85546875" style="1169" bestFit="1" customWidth="1"/>
    <col min="66" max="66" width="9.140625" style="1169"/>
    <col min="67" max="67" width="13.7109375" style="1169" bestFit="1" customWidth="1"/>
    <col min="68" max="68" width="12" style="1169" bestFit="1" customWidth="1"/>
    <col min="69" max="69" width="11.5703125" style="1169" customWidth="1"/>
    <col min="70" max="70" width="16.42578125" style="1169" customWidth="1"/>
    <col min="71" max="71" width="16.85546875" style="1169" customWidth="1"/>
    <col min="72" max="72" width="13.42578125" style="1169" bestFit="1" customWidth="1"/>
    <col min="73" max="73" width="12.28515625" style="1169" bestFit="1" customWidth="1"/>
    <col min="74" max="75" width="13.28515625" style="1169" bestFit="1" customWidth="1"/>
    <col min="76" max="76" width="22.28515625" style="1169" bestFit="1" customWidth="1"/>
    <col min="77" max="77" width="14.7109375" style="1169" bestFit="1" customWidth="1"/>
    <col min="78" max="78" width="10.85546875" style="1169" bestFit="1" customWidth="1"/>
    <col min="79" max="79" width="12.28515625" style="1169" bestFit="1" customWidth="1"/>
    <col min="80" max="80" width="13.7109375" style="1169" bestFit="1" customWidth="1"/>
    <col min="81" max="81" width="11.28515625" style="1169" customWidth="1"/>
    <col min="82" max="82" width="10.85546875" style="1169" bestFit="1" customWidth="1"/>
    <col min="83" max="83" width="14" style="1169" bestFit="1" customWidth="1"/>
    <col min="84" max="84" width="9.140625" style="1169"/>
    <col min="85" max="85" width="13" style="1169" bestFit="1" customWidth="1"/>
    <col min="86" max="86" width="13.28515625" style="1169" bestFit="1" customWidth="1"/>
    <col min="87" max="87" width="10.5703125" style="1169" bestFit="1" customWidth="1"/>
    <col min="88" max="16384" width="9.140625" style="1169"/>
  </cols>
  <sheetData>
    <row r="1" spans="1:87">
      <c r="A1" s="3914" t="s">
        <v>292</v>
      </c>
      <c r="B1" s="3914"/>
      <c r="C1" s="3914"/>
      <c r="D1" s="1222"/>
      <c r="E1" s="3858" t="s">
        <v>4534</v>
      </c>
      <c r="F1" s="3909" t="s">
        <v>4532</v>
      </c>
      <c r="G1" s="3910"/>
      <c r="H1" s="3910"/>
      <c r="I1" s="3910"/>
      <c r="J1" s="3910"/>
      <c r="K1" s="3910"/>
      <c r="L1" s="3910"/>
      <c r="M1" s="3910"/>
      <c r="N1" s="3911"/>
      <c r="O1" s="3793" t="s">
        <v>65</v>
      </c>
      <c r="P1" s="3794"/>
      <c r="Q1" s="3794"/>
      <c r="R1" s="3794"/>
      <c r="S1" s="3794"/>
      <c r="T1" s="3794"/>
      <c r="U1" s="3794"/>
      <c r="V1" s="3794"/>
      <c r="W1" s="3794"/>
      <c r="X1" s="3794"/>
      <c r="Y1" s="3794"/>
      <c r="Z1" s="3794"/>
      <c r="AA1" s="3794"/>
      <c r="AB1" s="3794"/>
      <c r="AC1" s="3794"/>
      <c r="AD1" s="3794"/>
      <c r="AE1" s="3794"/>
      <c r="AF1" s="3794"/>
      <c r="AG1" s="3794"/>
      <c r="AH1" s="3794"/>
      <c r="AI1" s="3900" t="s">
        <v>4219</v>
      </c>
      <c r="AJ1" s="3901"/>
      <c r="AK1" s="3901"/>
      <c r="AL1" s="3901"/>
      <c r="AM1" s="3901"/>
      <c r="AN1" s="3901"/>
      <c r="AO1" s="3902"/>
      <c r="AP1" s="3889" t="s">
        <v>80</v>
      </c>
      <c r="AQ1" s="3890"/>
      <c r="AR1" s="3890"/>
      <c r="AS1" s="3890"/>
      <c r="AT1" s="3890"/>
      <c r="AU1" s="3890"/>
      <c r="AV1" s="3890"/>
      <c r="AW1" s="3890"/>
      <c r="AX1" s="3890"/>
      <c r="AY1" s="3890"/>
      <c r="AZ1" s="3890"/>
      <c r="BA1" s="3891"/>
    </row>
    <row r="2" spans="1:87" ht="30">
      <c r="A2" s="3855" t="str">
        <f>HYPERLINK("#Index!A4", "Index Pg")</f>
        <v>Index Pg</v>
      </c>
      <c r="B2" s="982"/>
      <c r="C2" s="982"/>
      <c r="D2" s="1224"/>
      <c r="E2" s="3858"/>
      <c r="F2" s="906" t="s">
        <v>113</v>
      </c>
      <c r="G2" s="906" t="s">
        <v>126</v>
      </c>
      <c r="H2" s="906" t="s">
        <v>86</v>
      </c>
      <c r="I2" s="906" t="s">
        <v>4530</v>
      </c>
      <c r="J2" s="906" t="s">
        <v>91</v>
      </c>
      <c r="K2" s="1225" t="s">
        <v>3933</v>
      </c>
      <c r="L2" s="907" t="s">
        <v>4531</v>
      </c>
      <c r="M2" s="907" t="s">
        <v>4535</v>
      </c>
      <c r="N2" s="907" t="s">
        <v>203</v>
      </c>
      <c r="O2" s="2985" t="s">
        <v>4218</v>
      </c>
      <c r="P2" s="909" t="s">
        <v>3751</v>
      </c>
      <c r="Q2" s="909" t="s">
        <v>4543</v>
      </c>
      <c r="R2" s="2985" t="s">
        <v>4540</v>
      </c>
      <c r="S2" s="909" t="s">
        <v>4541</v>
      </c>
      <c r="T2" s="909" t="s">
        <v>4542</v>
      </c>
      <c r="U2" s="909" t="s">
        <v>4544</v>
      </c>
      <c r="V2" s="909" t="s">
        <v>4528</v>
      </c>
      <c r="W2" s="909" t="s">
        <v>4545</v>
      </c>
      <c r="X2" s="909" t="s">
        <v>29</v>
      </c>
      <c r="Y2" s="909" t="s">
        <v>4546</v>
      </c>
      <c r="Z2" s="909" t="s">
        <v>4547</v>
      </c>
      <c r="AA2" s="909" t="s">
        <v>4537</v>
      </c>
      <c r="AB2" s="909" t="s">
        <v>737</v>
      </c>
      <c r="AC2" s="909" t="s">
        <v>4538</v>
      </c>
      <c r="AD2" s="909" t="s">
        <v>4539</v>
      </c>
      <c r="AE2" s="909" t="s">
        <v>2293</v>
      </c>
      <c r="AF2" s="909" t="s">
        <v>4548</v>
      </c>
      <c r="AG2" s="909" t="s">
        <v>3750</v>
      </c>
      <c r="AH2" s="909" t="s">
        <v>302</v>
      </c>
      <c r="AI2" s="910" t="s">
        <v>288</v>
      </c>
      <c r="AJ2" s="910" t="s">
        <v>109</v>
      </c>
      <c r="AK2" s="910" t="s">
        <v>141</v>
      </c>
      <c r="AL2" s="910" t="s">
        <v>4525</v>
      </c>
      <c r="AM2" s="910" t="s">
        <v>3223</v>
      </c>
      <c r="AN2" s="910" t="s">
        <v>3855</v>
      </c>
      <c r="AO2" s="910" t="s">
        <v>4405</v>
      </c>
      <c r="AP2" s="911" t="s">
        <v>81</v>
      </c>
      <c r="AQ2" s="911" t="s">
        <v>145</v>
      </c>
      <c r="AR2" s="911" t="s">
        <v>394</v>
      </c>
      <c r="AS2" s="911" t="s">
        <v>147</v>
      </c>
      <c r="AT2" s="911" t="s">
        <v>410</v>
      </c>
      <c r="AU2" s="911" t="s">
        <v>4459</v>
      </c>
      <c r="AV2" s="911" t="s">
        <v>3989</v>
      </c>
      <c r="AW2" s="911" t="s">
        <v>307</v>
      </c>
      <c r="AX2" s="911" t="s">
        <v>309</v>
      </c>
      <c r="AY2" s="911" t="s">
        <v>1028</v>
      </c>
      <c r="AZ2" s="911" t="s">
        <v>1014</v>
      </c>
      <c r="BA2" s="911" t="s">
        <v>4533</v>
      </c>
    </row>
    <row r="3" spans="1:87">
      <c r="A3" s="3856"/>
      <c r="B3" s="914" t="str">
        <f>HYPERLINK("#'Budget Summary I'!A1:AL1", "Budget Summary I")</f>
        <v>Budget Summary I</v>
      </c>
      <c r="C3" s="865" t="s">
        <v>4460</v>
      </c>
      <c r="D3" s="1224"/>
      <c r="E3" s="1226">
        <f>R7</f>
        <v>3621.48</v>
      </c>
      <c r="F3" s="161"/>
      <c r="G3" s="161">
        <f>R66</f>
        <v>8</v>
      </c>
      <c r="H3" s="161"/>
      <c r="I3" s="161">
        <f>R65</f>
        <v>10.4</v>
      </c>
      <c r="J3" s="161"/>
      <c r="K3" s="985"/>
      <c r="L3" s="161">
        <f>R89</f>
        <v>0</v>
      </c>
      <c r="M3" s="161"/>
      <c r="N3" s="985">
        <f>R90</f>
        <v>0</v>
      </c>
      <c r="O3" s="2981">
        <f>R28+R29+R30+R41</f>
        <v>352</v>
      </c>
      <c r="P3" s="985"/>
      <c r="Q3" s="1239">
        <f>R11+R12+R13+R14+R15+R16+R17+R19+R20+R22+R25+R26+R27+R31+R32+R33+R37+R38+R40+R42+R43+R44+R45+R47+R48+R49+R50+R51+R52+R53+R57+R58+R59+R60+R61+R62+R63+R64+R67+R68+R69+R72+R73+R74+R75+R76+R77+R78+R79+R80+R81+R83+R86+R87+R35+R70+R98+R54+R39+R85</f>
        <v>3095.39</v>
      </c>
      <c r="R3" s="2981"/>
      <c r="S3" s="985"/>
      <c r="T3" s="985"/>
      <c r="U3" s="985"/>
      <c r="V3" s="985"/>
      <c r="W3" s="985"/>
      <c r="X3" s="985"/>
      <c r="Y3" s="985"/>
      <c r="Z3" s="985"/>
      <c r="AA3" s="985"/>
      <c r="AB3" s="985"/>
      <c r="AC3" s="985"/>
      <c r="AD3" s="985"/>
      <c r="AE3" s="985"/>
      <c r="AF3" s="985">
        <f>R84</f>
        <v>0</v>
      </c>
      <c r="AG3" s="985"/>
      <c r="AH3" s="985"/>
      <c r="AI3" s="985"/>
      <c r="AJ3" s="985">
        <f>R91+R92+R93</f>
        <v>0</v>
      </c>
      <c r="AK3" s="985"/>
      <c r="AL3" s="985">
        <f>R94</f>
        <v>125.69</v>
      </c>
      <c r="AM3" s="985"/>
      <c r="AN3" s="985"/>
      <c r="AO3" s="985"/>
      <c r="AP3" s="985">
        <f>R18</f>
        <v>0</v>
      </c>
      <c r="AQ3" s="985">
        <f>R95</f>
        <v>0</v>
      </c>
      <c r="AR3" s="985">
        <f>R96</f>
        <v>0</v>
      </c>
      <c r="AS3" s="985"/>
      <c r="AT3" s="985">
        <f>R97</f>
        <v>20</v>
      </c>
      <c r="AU3" s="985"/>
      <c r="AV3" s="985">
        <f>R34</f>
        <v>0</v>
      </c>
      <c r="AW3" s="985">
        <f>R23</f>
        <v>0</v>
      </c>
      <c r="AX3" s="985">
        <f>R24</f>
        <v>10</v>
      </c>
      <c r="AY3" s="985"/>
      <c r="AZ3" s="985"/>
      <c r="BA3" s="985">
        <f>R88</f>
        <v>0</v>
      </c>
    </row>
    <row r="4" spans="1:87">
      <c r="A4" s="3857"/>
      <c r="B4" s="864" t="str">
        <f>HYPERLINK("#'Budget Summary II'!A3:B5", "Budget Summary II")</f>
        <v>Budget Summary II</v>
      </c>
      <c r="C4" s="865" t="s">
        <v>4461</v>
      </c>
      <c r="D4" s="1224"/>
      <c r="E4" s="1226">
        <f>O7</f>
        <v>3731.4802999999997</v>
      </c>
      <c r="F4" s="161"/>
      <c r="G4" s="161">
        <f>O66</f>
        <v>8</v>
      </c>
      <c r="H4" s="161"/>
      <c r="I4" s="161">
        <f>O65</f>
        <v>10.4</v>
      </c>
      <c r="J4" s="161"/>
      <c r="K4" s="985"/>
      <c r="L4" s="161">
        <f>O89</f>
        <v>0</v>
      </c>
      <c r="M4" s="161"/>
      <c r="N4" s="985">
        <f>O90</f>
        <v>0</v>
      </c>
      <c r="O4" s="2981">
        <f>O28+O29+O30+O41</f>
        <v>352</v>
      </c>
      <c r="P4" s="985"/>
      <c r="Q4" s="1239">
        <f>O11+O12+O13+O14+O15+O16+O17+O19+O20+O22+O25+O26+O27+O31+O32+O33+O37+O38+O40+O42+O43+O44+O45+O47+O48+O49+O50+O51+O52+O53+O57+O58+O59+O60+O61+O62+O63+O64+O67+O68+O69+O72+O73+O74+O75+O76+O77+O78+O79+O80+O81+O83+O86+O87+O98+O70+O35+O39+O54+O85</f>
        <v>3200.3925999999997</v>
      </c>
      <c r="R4" s="2981"/>
      <c r="S4" s="985"/>
      <c r="T4" s="985"/>
      <c r="U4" s="985"/>
      <c r="V4" s="985"/>
      <c r="W4" s="985"/>
      <c r="X4" s="985"/>
      <c r="Y4" s="985"/>
      <c r="Z4" s="985"/>
      <c r="AA4" s="985"/>
      <c r="AB4" s="985"/>
      <c r="AC4" s="985"/>
      <c r="AD4" s="985"/>
      <c r="AE4" s="985"/>
      <c r="AF4" s="985">
        <f>O84</f>
        <v>0</v>
      </c>
      <c r="AG4" s="985"/>
      <c r="AH4" s="985"/>
      <c r="AI4" s="985"/>
      <c r="AJ4" s="985">
        <f>O91+O92+O93</f>
        <v>0</v>
      </c>
      <c r="AK4" s="985"/>
      <c r="AL4" s="985">
        <f>O94</f>
        <v>125.68770000000001</v>
      </c>
      <c r="AM4" s="985"/>
      <c r="AN4" s="985"/>
      <c r="AO4" s="985"/>
      <c r="AP4" s="985">
        <f>O18</f>
        <v>0</v>
      </c>
      <c r="AQ4" s="985">
        <f>O95</f>
        <v>0</v>
      </c>
      <c r="AR4" s="985">
        <f>O96</f>
        <v>0</v>
      </c>
      <c r="AS4" s="985"/>
      <c r="AT4" s="985">
        <f>O97</f>
        <v>20</v>
      </c>
      <c r="AU4" s="985"/>
      <c r="AV4" s="985">
        <f>O34</f>
        <v>5</v>
      </c>
      <c r="AW4" s="985">
        <f>O23</f>
        <v>0</v>
      </c>
      <c r="AX4" s="985">
        <f>O24</f>
        <v>10</v>
      </c>
      <c r="AY4" s="985"/>
      <c r="AZ4" s="985"/>
      <c r="BA4" s="985">
        <f>O88</f>
        <v>0</v>
      </c>
    </row>
    <row r="5" spans="1:87" s="1158" customFormat="1">
      <c r="A5" s="3801" t="s">
        <v>48</v>
      </c>
      <c r="B5" s="3801" t="s">
        <v>49</v>
      </c>
      <c r="C5" s="3801" t="s">
        <v>50</v>
      </c>
      <c r="D5" s="3801" t="s">
        <v>51</v>
      </c>
      <c r="E5" s="3801" t="s">
        <v>52</v>
      </c>
      <c r="F5" s="3866" t="s">
        <v>4478</v>
      </c>
      <c r="G5" s="3866"/>
      <c r="H5" s="3866"/>
      <c r="I5" s="3866"/>
      <c r="J5" s="3866"/>
      <c r="K5" s="3894" t="s">
        <v>4484</v>
      </c>
      <c r="L5" s="3903"/>
      <c r="M5" s="3903"/>
      <c r="N5" s="3903"/>
      <c r="O5" s="3903"/>
      <c r="P5" s="3904"/>
      <c r="Q5" s="3912" t="s">
        <v>4514</v>
      </c>
      <c r="R5" s="3913"/>
    </row>
    <row r="6" spans="1:87" s="1158" customFormat="1" ht="45">
      <c r="A6" s="3801"/>
      <c r="B6" s="3801"/>
      <c r="C6" s="3801"/>
      <c r="D6" s="3801"/>
      <c r="E6" s="3801"/>
      <c r="F6" s="918" t="s">
        <v>4479</v>
      </c>
      <c r="G6" s="918" t="s">
        <v>4482</v>
      </c>
      <c r="H6" s="918" t="s">
        <v>4480</v>
      </c>
      <c r="I6" s="918" t="s">
        <v>4483</v>
      </c>
      <c r="J6" s="918" t="s">
        <v>2448</v>
      </c>
      <c r="K6" s="919" t="s">
        <v>53</v>
      </c>
      <c r="L6" s="919" t="s">
        <v>54</v>
      </c>
      <c r="M6" s="920" t="s">
        <v>55</v>
      </c>
      <c r="N6" s="919" t="s">
        <v>56</v>
      </c>
      <c r="O6" s="2821" t="s">
        <v>57</v>
      </c>
      <c r="P6" s="988" t="s">
        <v>5069</v>
      </c>
      <c r="Q6" s="1240" t="s">
        <v>2450</v>
      </c>
      <c r="R6" s="2918" t="s">
        <v>4515</v>
      </c>
      <c r="S6" s="1158" t="s">
        <v>4538</v>
      </c>
      <c r="BB6" s="3153" t="s">
        <v>5973</v>
      </c>
      <c r="BC6" s="3153" t="s">
        <v>5432</v>
      </c>
      <c r="BD6" s="3153" t="s">
        <v>5433</v>
      </c>
      <c r="BE6" s="3153" t="s">
        <v>5434</v>
      </c>
      <c r="BF6" s="3153" t="s">
        <v>5435</v>
      </c>
      <c r="BG6" s="3153" t="s">
        <v>5436</v>
      </c>
      <c r="BH6" s="3153" t="s">
        <v>5437</v>
      </c>
      <c r="BI6" s="3153" t="s">
        <v>5959</v>
      </c>
      <c r="BJ6" s="3153" t="s">
        <v>5438</v>
      </c>
      <c r="BK6" s="3153" t="s">
        <v>5439</v>
      </c>
      <c r="BL6" s="3153" t="s">
        <v>5960</v>
      </c>
      <c r="BM6" s="3153" t="s">
        <v>5440</v>
      </c>
      <c r="BN6" s="3153" t="s">
        <v>5441</v>
      </c>
      <c r="BO6" s="3153" t="s">
        <v>5961</v>
      </c>
      <c r="BP6" s="3153" t="s">
        <v>5974</v>
      </c>
      <c r="BQ6" s="3153" t="s">
        <v>5975</v>
      </c>
      <c r="BR6" s="3153" t="s">
        <v>5976</v>
      </c>
      <c r="BS6" s="3153" t="s">
        <v>5977</v>
      </c>
      <c r="BT6" s="3153" t="s">
        <v>5978</v>
      </c>
      <c r="BU6" s="3153" t="s">
        <v>5979</v>
      </c>
      <c r="BV6" s="3153" t="s">
        <v>5962</v>
      </c>
      <c r="BW6" s="3153" t="s">
        <v>5963</v>
      </c>
      <c r="BX6" s="3153" t="s">
        <v>5964</v>
      </c>
      <c r="BY6" s="3153" t="s">
        <v>5965</v>
      </c>
      <c r="BZ6" s="3153" t="s">
        <v>5966</v>
      </c>
      <c r="CA6" s="3153" t="s">
        <v>5967</v>
      </c>
      <c r="CB6" s="3153" t="s">
        <v>5968</v>
      </c>
      <c r="CC6" s="3153" t="s">
        <v>5969</v>
      </c>
      <c r="CD6" s="3153" t="s">
        <v>5970</v>
      </c>
      <c r="CE6" s="3153" t="s">
        <v>5980</v>
      </c>
      <c r="CF6" s="3153" t="s">
        <v>5971</v>
      </c>
      <c r="CG6" s="886" t="s">
        <v>5981</v>
      </c>
      <c r="CH6" s="886" t="s">
        <v>5982</v>
      </c>
      <c r="CI6" s="3153" t="s">
        <v>5972</v>
      </c>
    </row>
    <row r="7" spans="1:87">
      <c r="A7" s="217">
        <v>5</v>
      </c>
      <c r="B7" s="1241"/>
      <c r="C7" s="217" t="s">
        <v>10</v>
      </c>
      <c r="D7" s="991"/>
      <c r="E7" s="991"/>
      <c r="F7" s="991"/>
      <c r="G7" s="991"/>
      <c r="H7" s="991"/>
      <c r="I7" s="991"/>
      <c r="J7" s="991"/>
      <c r="K7" s="991"/>
      <c r="L7" s="991"/>
      <c r="M7" s="1242"/>
      <c r="N7" s="1243"/>
      <c r="O7" s="3003">
        <f>O8+O55+O82</f>
        <v>3731.4802999999997</v>
      </c>
      <c r="P7" s="992"/>
      <c r="Q7" s="1244"/>
      <c r="R7" s="3011">
        <f>R8+R55+R82</f>
        <v>3621.48</v>
      </c>
      <c r="S7" s="1169">
        <v>0</v>
      </c>
      <c r="BB7" s="3185"/>
      <c r="BC7" s="3185"/>
      <c r="BD7" s="3185"/>
      <c r="BE7" s="3185"/>
      <c r="BF7" s="3185"/>
      <c r="BG7" s="3185"/>
      <c r="BH7" s="3185"/>
      <c r="BI7" s="3185"/>
      <c r="BJ7" s="3185"/>
      <c r="BK7" s="3185"/>
      <c r="BL7" s="3185"/>
      <c r="BM7" s="3185"/>
      <c r="BN7" s="3185"/>
      <c r="BO7" s="3185"/>
      <c r="BP7" s="3185"/>
      <c r="BQ7" s="3185"/>
      <c r="BR7" s="3185"/>
      <c r="BS7" s="3185"/>
      <c r="BT7" s="3185"/>
      <c r="BU7" s="3185"/>
      <c r="BV7" s="3185"/>
      <c r="BW7" s="3185"/>
      <c r="BX7" s="3185"/>
      <c r="BY7" s="3185"/>
      <c r="BZ7" s="3185"/>
      <c r="CA7" s="3185"/>
      <c r="CB7" s="3185"/>
      <c r="CC7" s="3185"/>
      <c r="CD7" s="3185"/>
      <c r="CE7" s="3185"/>
      <c r="CF7" s="3185"/>
      <c r="CG7" s="3185"/>
      <c r="CH7" s="3185"/>
      <c r="CI7" s="3185">
        <f>SUM(BB7:CH7)</f>
        <v>0</v>
      </c>
    </row>
    <row r="8" spans="1:87" ht="30">
      <c r="A8" s="331">
        <v>5.0999999999999996</v>
      </c>
      <c r="B8" s="1199"/>
      <c r="C8" s="1053" t="s">
        <v>4209</v>
      </c>
      <c r="D8" s="1245"/>
      <c r="E8" s="1245"/>
      <c r="F8" s="1246"/>
      <c r="G8" s="1246"/>
      <c r="H8" s="1246"/>
      <c r="I8" s="1246"/>
      <c r="J8" s="1246"/>
      <c r="K8" s="1246"/>
      <c r="L8" s="1246"/>
      <c r="M8" s="1247"/>
      <c r="N8" s="1248"/>
      <c r="O8" s="3004">
        <f>O9+O54</f>
        <v>3390.0185999999999</v>
      </c>
      <c r="P8" s="1249"/>
      <c r="Q8" s="1250"/>
      <c r="R8" s="2926">
        <f>R9+R54</f>
        <v>3280.02</v>
      </c>
      <c r="BB8" s="3185"/>
      <c r="BC8" s="3185"/>
      <c r="BD8" s="3185"/>
      <c r="BE8" s="3185"/>
      <c r="BF8" s="3185"/>
      <c r="BG8" s="3185"/>
      <c r="BH8" s="3185"/>
      <c r="BI8" s="3185"/>
      <c r="BJ8" s="3185"/>
      <c r="BK8" s="3185"/>
      <c r="BL8" s="3185"/>
      <c r="BM8" s="3185"/>
      <c r="BN8" s="3185"/>
      <c r="BO8" s="3185"/>
      <c r="BP8" s="3185"/>
      <c r="BQ8" s="3185"/>
      <c r="BR8" s="3185"/>
      <c r="BS8" s="3185"/>
      <c r="BT8" s="3185"/>
      <c r="BU8" s="3185"/>
      <c r="BV8" s="3185"/>
      <c r="BW8" s="3185"/>
      <c r="BX8" s="3185"/>
      <c r="BY8" s="3185"/>
      <c r="BZ8" s="3185"/>
      <c r="CA8" s="3185"/>
      <c r="CB8" s="3185"/>
      <c r="CC8" s="3185"/>
      <c r="CD8" s="3185"/>
      <c r="CE8" s="3185"/>
      <c r="CF8" s="3185"/>
      <c r="CG8" s="3185"/>
      <c r="CH8" s="3185"/>
      <c r="CI8" s="3185">
        <f t="shared" ref="CI8:CI71" si="0">SUM(BB8:CH8)</f>
        <v>0</v>
      </c>
    </row>
    <row r="9" spans="1:87">
      <c r="A9" s="1251" t="s">
        <v>293</v>
      </c>
      <c r="B9" s="1194" t="s">
        <v>294</v>
      </c>
      <c r="C9" s="1061" t="s">
        <v>4568</v>
      </c>
      <c r="D9" s="997"/>
      <c r="E9" s="997"/>
      <c r="F9" s="1151"/>
      <c r="G9" s="1151"/>
      <c r="H9" s="1151"/>
      <c r="I9" s="1151"/>
      <c r="J9" s="1151"/>
      <c r="K9" s="1151"/>
      <c r="L9" s="1151"/>
      <c r="M9" s="1252"/>
      <c r="N9" s="1253"/>
      <c r="O9" s="3005">
        <f>O10+O21+O36+O46</f>
        <v>3390.0185999999999</v>
      </c>
      <c r="P9" s="1195"/>
      <c r="Q9" s="1254"/>
      <c r="R9" s="2929">
        <f>R10+R21+R36+R46</f>
        <v>3280.02</v>
      </c>
      <c r="BB9" s="3185"/>
      <c r="BC9" s="3185"/>
      <c r="BD9" s="3185"/>
      <c r="BE9" s="3185"/>
      <c r="BF9" s="3185"/>
      <c r="BG9" s="3185"/>
      <c r="BH9" s="3185"/>
      <c r="BI9" s="3185"/>
      <c r="BJ9" s="3185"/>
      <c r="BK9" s="3185"/>
      <c r="BL9" s="3185"/>
      <c r="BM9" s="3185"/>
      <c r="BN9" s="3185"/>
      <c r="BO9" s="3185"/>
      <c r="BP9" s="3185"/>
      <c r="BQ9" s="3185"/>
      <c r="BR9" s="3185"/>
      <c r="BS9" s="3185"/>
      <c r="BT9" s="3185"/>
      <c r="BU9" s="3185"/>
      <c r="BV9" s="3185"/>
      <c r="BW9" s="3185"/>
      <c r="BX9" s="3185"/>
      <c r="BY9" s="3185"/>
      <c r="BZ9" s="3185"/>
      <c r="CA9" s="3185"/>
      <c r="CB9" s="3185"/>
      <c r="CC9" s="3185"/>
      <c r="CD9" s="3185"/>
      <c r="CE9" s="3185"/>
      <c r="CF9" s="3185"/>
      <c r="CG9" s="3185"/>
      <c r="CH9" s="3185"/>
      <c r="CI9" s="3185">
        <f t="shared" si="0"/>
        <v>0</v>
      </c>
    </row>
    <row r="10" spans="1:87" ht="45">
      <c r="A10" s="1255" t="s">
        <v>295</v>
      </c>
      <c r="B10" s="1256" t="s">
        <v>4629</v>
      </c>
      <c r="C10" s="1257" t="s">
        <v>4631</v>
      </c>
      <c r="D10" s="1258"/>
      <c r="E10" s="1258"/>
      <c r="F10" s="1259"/>
      <c r="G10" s="1259"/>
      <c r="H10" s="1259"/>
      <c r="I10" s="1259"/>
      <c r="J10" s="1259"/>
      <c r="K10" s="1259"/>
      <c r="L10" s="1259"/>
      <c r="M10" s="1260"/>
      <c r="N10" s="1261"/>
      <c r="O10" s="3006">
        <f>SUM(O11:O20)</f>
        <v>499.99859999999995</v>
      </c>
      <c r="P10" s="1263"/>
      <c r="Q10" s="1264"/>
      <c r="R10" s="2932">
        <f>SUM(R11:R20)</f>
        <v>500</v>
      </c>
      <c r="BB10" s="3185"/>
      <c r="BC10" s="3185"/>
      <c r="BD10" s="3185"/>
      <c r="BE10" s="3185"/>
      <c r="BF10" s="3185"/>
      <c r="BG10" s="3185"/>
      <c r="BH10" s="3185"/>
      <c r="BI10" s="3185"/>
      <c r="BJ10" s="3185"/>
      <c r="BK10" s="3185"/>
      <c r="BL10" s="3185"/>
      <c r="BM10" s="3185"/>
      <c r="BN10" s="3185"/>
      <c r="BO10" s="3185"/>
      <c r="BP10" s="3185"/>
      <c r="BQ10" s="3185"/>
      <c r="BR10" s="3185"/>
      <c r="BS10" s="3185"/>
      <c r="BT10" s="3185"/>
      <c r="BU10" s="3185"/>
      <c r="BV10" s="3185"/>
      <c r="BW10" s="3185"/>
      <c r="BX10" s="3185"/>
      <c r="BY10" s="3185"/>
      <c r="BZ10" s="3185"/>
      <c r="CA10" s="3185"/>
      <c r="CB10" s="3185"/>
      <c r="CC10" s="3185"/>
      <c r="CD10" s="3185"/>
      <c r="CE10" s="3185"/>
      <c r="CF10" s="3185"/>
      <c r="CG10" s="3185"/>
      <c r="CH10" s="3185"/>
      <c r="CI10" s="3185">
        <f t="shared" si="0"/>
        <v>0</v>
      </c>
    </row>
    <row r="11" spans="1:87" s="1129" customFormat="1" ht="30">
      <c r="A11" s="1179" t="s">
        <v>4026</v>
      </c>
      <c r="B11" s="882" t="s">
        <v>2698</v>
      </c>
      <c r="C11" s="896" t="s">
        <v>296</v>
      </c>
      <c r="D11" s="908" t="s">
        <v>65</v>
      </c>
      <c r="E11" s="945" t="s">
        <v>65</v>
      </c>
      <c r="F11" s="252">
        <v>0</v>
      </c>
      <c r="G11" s="321"/>
      <c r="H11" s="254"/>
      <c r="I11" s="254"/>
      <c r="J11" s="322"/>
      <c r="K11" s="252"/>
      <c r="L11" s="277"/>
      <c r="M11" s="297">
        <f t="shared" ref="M11:M20" si="1">L11/100000</f>
        <v>0</v>
      </c>
      <c r="N11" s="277"/>
      <c r="O11" s="3007">
        <f t="shared" ref="O11:O17" si="2">M11*N11</f>
        <v>0</v>
      </c>
      <c r="P11" s="724"/>
      <c r="Q11" s="1278"/>
      <c r="R11" s="2921"/>
      <c r="BB11" s="897"/>
      <c r="BC11" s="897"/>
      <c r="BD11" s="897"/>
      <c r="BE11" s="897"/>
      <c r="BF11" s="897"/>
      <c r="BG11" s="897"/>
      <c r="BH11" s="897"/>
      <c r="BI11" s="897"/>
      <c r="BJ11" s="897"/>
      <c r="BK11" s="897"/>
      <c r="BL11" s="897"/>
      <c r="BM11" s="897"/>
      <c r="BN11" s="897"/>
      <c r="BO11" s="897"/>
      <c r="BP11" s="897"/>
      <c r="BQ11" s="897"/>
      <c r="BR11" s="897"/>
      <c r="BS11" s="897"/>
      <c r="BT11" s="897"/>
      <c r="BU11" s="897"/>
      <c r="BV11" s="897"/>
      <c r="BW11" s="897"/>
      <c r="BX11" s="897"/>
      <c r="BY11" s="897"/>
      <c r="BZ11" s="897"/>
      <c r="CA11" s="897"/>
      <c r="CB11" s="897"/>
      <c r="CC11" s="897"/>
      <c r="CD11" s="897"/>
      <c r="CE11" s="897"/>
      <c r="CF11" s="897"/>
      <c r="CG11" s="897"/>
      <c r="CH11" s="897"/>
      <c r="CI11" s="3185">
        <f t="shared" si="0"/>
        <v>0</v>
      </c>
    </row>
    <row r="12" spans="1:87" s="1129" customFormat="1">
      <c r="A12" s="1179" t="s">
        <v>4027</v>
      </c>
      <c r="B12" s="882" t="s">
        <v>2703</v>
      </c>
      <c r="C12" s="882" t="s">
        <v>300</v>
      </c>
      <c r="D12" s="908" t="s">
        <v>65</v>
      </c>
      <c r="E12" s="945" t="s">
        <v>65</v>
      </c>
      <c r="F12" s="252">
        <v>0</v>
      </c>
      <c r="G12" s="321"/>
      <c r="H12" s="254"/>
      <c r="I12" s="254"/>
      <c r="J12" s="323"/>
      <c r="K12" s="252"/>
      <c r="L12" s="277"/>
      <c r="M12" s="297">
        <f t="shared" si="1"/>
        <v>0</v>
      </c>
      <c r="N12" s="277"/>
      <c r="O12" s="3007">
        <f t="shared" si="2"/>
        <v>0</v>
      </c>
      <c r="P12" s="724"/>
      <c r="Q12" s="1278"/>
      <c r="R12" s="2921"/>
      <c r="BB12" s="897"/>
      <c r="BC12" s="897"/>
      <c r="BD12" s="897"/>
      <c r="BE12" s="897"/>
      <c r="BF12" s="897"/>
      <c r="BG12" s="897"/>
      <c r="BH12" s="897"/>
      <c r="BI12" s="897"/>
      <c r="BJ12" s="897"/>
      <c r="BK12" s="897"/>
      <c r="BL12" s="897"/>
      <c r="BM12" s="897"/>
      <c r="BN12" s="897"/>
      <c r="BO12" s="897"/>
      <c r="BP12" s="897"/>
      <c r="BQ12" s="897"/>
      <c r="BR12" s="897"/>
      <c r="BS12" s="897"/>
      <c r="BT12" s="897"/>
      <c r="BU12" s="897"/>
      <c r="BV12" s="897"/>
      <c r="BW12" s="897"/>
      <c r="BX12" s="897"/>
      <c r="BY12" s="897"/>
      <c r="BZ12" s="897"/>
      <c r="CA12" s="897"/>
      <c r="CB12" s="897"/>
      <c r="CC12" s="897"/>
      <c r="CD12" s="897"/>
      <c r="CE12" s="897"/>
      <c r="CF12" s="897"/>
      <c r="CG12" s="897"/>
      <c r="CH12" s="897"/>
      <c r="CI12" s="3185">
        <f t="shared" si="0"/>
        <v>0</v>
      </c>
    </row>
    <row r="13" spans="1:87" s="1129" customFormat="1">
      <c r="A13" s="1179" t="s">
        <v>4028</v>
      </c>
      <c r="B13" s="882" t="s">
        <v>2699</v>
      </c>
      <c r="C13" s="882" t="s">
        <v>297</v>
      </c>
      <c r="D13" s="908" t="s">
        <v>65</v>
      </c>
      <c r="E13" s="945" t="s">
        <v>65</v>
      </c>
      <c r="F13" s="252">
        <v>0</v>
      </c>
      <c r="G13" s="321"/>
      <c r="H13" s="254"/>
      <c r="I13" s="254"/>
      <c r="J13" s="323"/>
      <c r="K13" s="252"/>
      <c r="L13" s="277"/>
      <c r="M13" s="297">
        <f t="shared" si="1"/>
        <v>0</v>
      </c>
      <c r="N13" s="277"/>
      <c r="O13" s="3007">
        <f t="shared" si="2"/>
        <v>0</v>
      </c>
      <c r="P13" s="724"/>
      <c r="Q13" s="1278"/>
      <c r="R13" s="2921"/>
      <c r="BB13" s="897"/>
      <c r="BC13" s="897"/>
      <c r="BD13" s="897"/>
      <c r="BE13" s="897"/>
      <c r="BF13" s="897"/>
      <c r="BG13" s="897"/>
      <c r="BH13" s="897"/>
      <c r="BI13" s="897"/>
      <c r="BJ13" s="897"/>
      <c r="BK13" s="897"/>
      <c r="BL13" s="897"/>
      <c r="BM13" s="897"/>
      <c r="BN13" s="897"/>
      <c r="BO13" s="897"/>
      <c r="BP13" s="897"/>
      <c r="BQ13" s="897"/>
      <c r="BR13" s="897"/>
      <c r="BS13" s="897"/>
      <c r="BT13" s="897"/>
      <c r="BU13" s="897"/>
      <c r="BV13" s="897"/>
      <c r="BW13" s="897"/>
      <c r="BX13" s="897"/>
      <c r="BY13" s="897"/>
      <c r="BZ13" s="897"/>
      <c r="CA13" s="897"/>
      <c r="CB13" s="897"/>
      <c r="CC13" s="897"/>
      <c r="CD13" s="897"/>
      <c r="CE13" s="897"/>
      <c r="CF13" s="897"/>
      <c r="CG13" s="897"/>
      <c r="CH13" s="897"/>
      <c r="CI13" s="3185">
        <f t="shared" si="0"/>
        <v>0</v>
      </c>
    </row>
    <row r="14" spans="1:87" s="1129" customFormat="1">
      <c r="A14" s="1179" t="s">
        <v>4029</v>
      </c>
      <c r="B14" s="882" t="s">
        <v>2700</v>
      </c>
      <c r="C14" s="882" t="s">
        <v>298</v>
      </c>
      <c r="D14" s="908" t="s">
        <v>65</v>
      </c>
      <c r="E14" s="945" t="s">
        <v>65</v>
      </c>
      <c r="F14" s="252">
        <v>0</v>
      </c>
      <c r="G14" s="321"/>
      <c r="H14" s="254"/>
      <c r="I14" s="254"/>
      <c r="J14" s="323"/>
      <c r="K14" s="252"/>
      <c r="L14" s="277"/>
      <c r="M14" s="297">
        <f t="shared" si="1"/>
        <v>0</v>
      </c>
      <c r="N14" s="277"/>
      <c r="O14" s="3007">
        <f t="shared" si="2"/>
        <v>0</v>
      </c>
      <c r="P14" s="724"/>
      <c r="Q14" s="1278"/>
      <c r="R14" s="2921"/>
      <c r="BB14" s="897"/>
      <c r="BC14" s="897"/>
      <c r="BD14" s="897"/>
      <c r="BE14" s="897"/>
      <c r="BF14" s="897"/>
      <c r="BG14" s="897"/>
      <c r="BH14" s="897"/>
      <c r="BI14" s="897"/>
      <c r="BJ14" s="897"/>
      <c r="BK14" s="897"/>
      <c r="BL14" s="897"/>
      <c r="BM14" s="897"/>
      <c r="BN14" s="897"/>
      <c r="BO14" s="897"/>
      <c r="BP14" s="897"/>
      <c r="BQ14" s="897"/>
      <c r="BR14" s="897"/>
      <c r="BS14" s="897"/>
      <c r="BT14" s="897"/>
      <c r="BU14" s="897"/>
      <c r="BV14" s="897"/>
      <c r="BW14" s="897"/>
      <c r="BX14" s="897"/>
      <c r="BY14" s="897"/>
      <c r="BZ14" s="897"/>
      <c r="CA14" s="897"/>
      <c r="CB14" s="897"/>
      <c r="CC14" s="897"/>
      <c r="CD14" s="897"/>
      <c r="CE14" s="897"/>
      <c r="CF14" s="897"/>
      <c r="CG14" s="897"/>
      <c r="CH14" s="897"/>
      <c r="CI14" s="3185">
        <f t="shared" si="0"/>
        <v>0</v>
      </c>
    </row>
    <row r="15" spans="1:87" s="1129" customFormat="1">
      <c r="A15" s="1179" t="s">
        <v>4030</v>
      </c>
      <c r="B15" s="882" t="s">
        <v>2701</v>
      </c>
      <c r="C15" s="882" t="s">
        <v>4210</v>
      </c>
      <c r="D15" s="908" t="s">
        <v>65</v>
      </c>
      <c r="E15" s="945" t="s">
        <v>65</v>
      </c>
      <c r="F15" s="252">
        <v>0</v>
      </c>
      <c r="G15" s="321"/>
      <c r="H15" s="254"/>
      <c r="I15" s="254"/>
      <c r="J15" s="323"/>
      <c r="K15" s="252"/>
      <c r="L15" s="277"/>
      <c r="M15" s="297">
        <f t="shared" si="1"/>
        <v>0</v>
      </c>
      <c r="N15" s="277"/>
      <c r="O15" s="3007">
        <f t="shared" si="2"/>
        <v>0</v>
      </c>
      <c r="P15" s="724"/>
      <c r="Q15" s="1278"/>
      <c r="R15" s="2921"/>
      <c r="BB15" s="897"/>
      <c r="BC15" s="897"/>
      <c r="BD15" s="897"/>
      <c r="BE15" s="897"/>
      <c r="BF15" s="897"/>
      <c r="BG15" s="897"/>
      <c r="BH15" s="897"/>
      <c r="BI15" s="897"/>
      <c r="BJ15" s="897"/>
      <c r="BK15" s="897"/>
      <c r="BL15" s="897"/>
      <c r="BM15" s="897"/>
      <c r="BN15" s="897"/>
      <c r="BO15" s="897"/>
      <c r="BP15" s="897"/>
      <c r="BQ15" s="897"/>
      <c r="BR15" s="897"/>
      <c r="BS15" s="897"/>
      <c r="BT15" s="897"/>
      <c r="BU15" s="897"/>
      <c r="BV15" s="897"/>
      <c r="BW15" s="897"/>
      <c r="BX15" s="897"/>
      <c r="BY15" s="897"/>
      <c r="BZ15" s="897"/>
      <c r="CA15" s="897"/>
      <c r="CB15" s="897"/>
      <c r="CC15" s="897"/>
      <c r="CD15" s="897"/>
      <c r="CE15" s="897"/>
      <c r="CF15" s="897"/>
      <c r="CG15" s="897"/>
      <c r="CH15" s="897"/>
      <c r="CI15" s="3185">
        <f t="shared" si="0"/>
        <v>0</v>
      </c>
    </row>
    <row r="16" spans="1:87" s="1129" customFormat="1" ht="30">
      <c r="A16" s="1179" t="s">
        <v>4031</v>
      </c>
      <c r="B16" s="882" t="s">
        <v>2702</v>
      </c>
      <c r="C16" s="882" t="s">
        <v>5113</v>
      </c>
      <c r="D16" s="908" t="s">
        <v>65</v>
      </c>
      <c r="E16" s="945" t="s">
        <v>65</v>
      </c>
      <c r="F16" s="252">
        <v>0</v>
      </c>
      <c r="G16" s="253"/>
      <c r="H16" s="254">
        <v>0</v>
      </c>
      <c r="I16" s="254"/>
      <c r="J16" s="323"/>
      <c r="K16" s="252"/>
      <c r="L16" s="277"/>
      <c r="M16" s="297">
        <f t="shared" si="1"/>
        <v>0</v>
      </c>
      <c r="N16" s="277"/>
      <c r="O16" s="3007">
        <f t="shared" si="2"/>
        <v>0</v>
      </c>
      <c r="P16" s="724"/>
      <c r="Q16" s="1278"/>
      <c r="R16" s="2921"/>
      <c r="BB16" s="897"/>
      <c r="BC16" s="897"/>
      <c r="BD16" s="897"/>
      <c r="BE16" s="897"/>
      <c r="BF16" s="897"/>
      <c r="BG16" s="897"/>
      <c r="BH16" s="897"/>
      <c r="BI16" s="897"/>
      <c r="BJ16" s="897"/>
      <c r="BK16" s="897"/>
      <c r="BL16" s="897"/>
      <c r="BM16" s="897"/>
      <c r="BN16" s="897"/>
      <c r="BO16" s="897"/>
      <c r="BP16" s="897"/>
      <c r="BQ16" s="897"/>
      <c r="BR16" s="897"/>
      <c r="BS16" s="897"/>
      <c r="BT16" s="897"/>
      <c r="BU16" s="897"/>
      <c r="BV16" s="897"/>
      <c r="BW16" s="897"/>
      <c r="BX16" s="897"/>
      <c r="BY16" s="897"/>
      <c r="BZ16" s="897"/>
      <c r="CA16" s="897"/>
      <c r="CB16" s="897"/>
      <c r="CC16" s="897"/>
      <c r="CD16" s="897"/>
      <c r="CE16" s="897"/>
      <c r="CF16" s="897"/>
      <c r="CG16" s="897"/>
      <c r="CH16" s="897"/>
      <c r="CI16" s="3185">
        <f t="shared" si="0"/>
        <v>0</v>
      </c>
    </row>
    <row r="17" spans="1:87" s="1129" customFormat="1" ht="45">
      <c r="A17" s="1179" t="s">
        <v>4032</v>
      </c>
      <c r="B17" s="882" t="s">
        <v>2704</v>
      </c>
      <c r="C17" s="882" t="s">
        <v>5114</v>
      </c>
      <c r="D17" s="908" t="s">
        <v>65</v>
      </c>
      <c r="E17" s="945" t="s">
        <v>65</v>
      </c>
      <c r="F17" s="249">
        <v>0</v>
      </c>
      <c r="G17" s="249"/>
      <c r="H17" s="249">
        <v>0</v>
      </c>
      <c r="I17" s="249"/>
      <c r="J17" s="249"/>
      <c r="K17" s="252"/>
      <c r="L17" s="277"/>
      <c r="M17" s="297">
        <f t="shared" si="1"/>
        <v>0</v>
      </c>
      <c r="N17" s="277"/>
      <c r="O17" s="3007">
        <f t="shared" si="2"/>
        <v>0</v>
      </c>
      <c r="P17" s="724"/>
      <c r="Q17" s="1278"/>
      <c r="R17" s="2921"/>
      <c r="BB17" s="897"/>
      <c r="BC17" s="897"/>
      <c r="BD17" s="897"/>
      <c r="BE17" s="897"/>
      <c r="BF17" s="897"/>
      <c r="BG17" s="897"/>
      <c r="BH17" s="897"/>
      <c r="BI17" s="897"/>
      <c r="BJ17" s="897"/>
      <c r="BK17" s="897"/>
      <c r="BL17" s="897"/>
      <c r="BM17" s="897"/>
      <c r="BN17" s="897"/>
      <c r="BO17" s="897"/>
      <c r="BP17" s="897"/>
      <c r="BQ17" s="897"/>
      <c r="BR17" s="897"/>
      <c r="BS17" s="897"/>
      <c r="BT17" s="897"/>
      <c r="BU17" s="897"/>
      <c r="BV17" s="897"/>
      <c r="BW17" s="897"/>
      <c r="BX17" s="897"/>
      <c r="BY17" s="897"/>
      <c r="BZ17" s="897"/>
      <c r="CA17" s="897"/>
      <c r="CB17" s="897"/>
      <c r="CC17" s="897"/>
      <c r="CD17" s="897"/>
      <c r="CE17" s="897"/>
      <c r="CF17" s="897"/>
      <c r="CG17" s="897"/>
      <c r="CH17" s="897"/>
      <c r="CI17" s="3185">
        <f t="shared" si="0"/>
        <v>0</v>
      </c>
    </row>
    <row r="18" spans="1:87" s="1129" customFormat="1" ht="30">
      <c r="A18" s="1179" t="s">
        <v>4033</v>
      </c>
      <c r="B18" s="225" t="s">
        <v>321</v>
      </c>
      <c r="C18" s="225" t="s">
        <v>322</v>
      </c>
      <c r="D18" s="911" t="s">
        <v>80</v>
      </c>
      <c r="E18" s="945" t="s">
        <v>81</v>
      </c>
      <c r="F18" s="249">
        <v>0</v>
      </c>
      <c r="G18" s="249"/>
      <c r="H18" s="249">
        <v>0</v>
      </c>
      <c r="I18" s="249"/>
      <c r="J18" s="249"/>
      <c r="K18" s="249"/>
      <c r="L18" s="277"/>
      <c r="M18" s="297">
        <f t="shared" si="1"/>
        <v>0</v>
      </c>
      <c r="N18" s="277"/>
      <c r="O18" s="3007">
        <f>M18*N18</f>
        <v>0</v>
      </c>
      <c r="P18" s="717"/>
      <c r="Q18" s="1265">
        <f>'Abs15. NPCB'!Q12</f>
        <v>0</v>
      </c>
      <c r="R18" s="3012">
        <f>'Abs15. NPCB'!R12</f>
        <v>0</v>
      </c>
      <c r="BB18" s="897"/>
      <c r="BC18" s="897"/>
      <c r="BD18" s="897"/>
      <c r="BE18" s="897"/>
      <c r="BF18" s="897"/>
      <c r="BG18" s="897"/>
      <c r="BH18" s="897"/>
      <c r="BI18" s="897"/>
      <c r="BJ18" s="897"/>
      <c r="BK18" s="897"/>
      <c r="BL18" s="897"/>
      <c r="BM18" s="897"/>
      <c r="BN18" s="897"/>
      <c r="BO18" s="897"/>
      <c r="BP18" s="897"/>
      <c r="BQ18" s="897"/>
      <c r="BR18" s="897"/>
      <c r="BS18" s="897"/>
      <c r="BT18" s="897"/>
      <c r="BU18" s="897"/>
      <c r="BV18" s="897"/>
      <c r="BW18" s="897"/>
      <c r="BX18" s="897"/>
      <c r="BY18" s="897"/>
      <c r="BZ18" s="897"/>
      <c r="CA18" s="897"/>
      <c r="CB18" s="897"/>
      <c r="CC18" s="897"/>
      <c r="CD18" s="897"/>
      <c r="CE18" s="897"/>
      <c r="CF18" s="897"/>
      <c r="CG18" s="897"/>
      <c r="CH18" s="897"/>
      <c r="CI18" s="3185">
        <f t="shared" si="0"/>
        <v>0</v>
      </c>
    </row>
    <row r="19" spans="1:87" s="1129" customFormat="1">
      <c r="A19" s="1179" t="s">
        <v>4034</v>
      </c>
      <c r="B19" s="882" t="s">
        <v>2712</v>
      </c>
      <c r="C19" s="882" t="s">
        <v>301</v>
      </c>
      <c r="D19" s="908" t="s">
        <v>65</v>
      </c>
      <c r="E19" s="945" t="s">
        <v>65</v>
      </c>
      <c r="F19" s="249">
        <v>0</v>
      </c>
      <c r="G19" s="249"/>
      <c r="H19" s="249"/>
      <c r="I19" s="249"/>
      <c r="J19" s="249"/>
      <c r="K19" s="249"/>
      <c r="L19" s="277"/>
      <c r="M19" s="297">
        <f t="shared" si="1"/>
        <v>0</v>
      </c>
      <c r="N19" s="277"/>
      <c r="O19" s="3007">
        <f>M19*N19</f>
        <v>0</v>
      </c>
      <c r="P19" s="717"/>
      <c r="Q19" s="1278"/>
      <c r="R19" s="2921"/>
      <c r="BB19" s="897"/>
      <c r="BC19" s="897"/>
      <c r="BD19" s="897"/>
      <c r="BE19" s="897"/>
      <c r="BF19" s="897"/>
      <c r="BG19" s="897"/>
      <c r="BH19" s="897"/>
      <c r="BI19" s="897"/>
      <c r="BJ19" s="897"/>
      <c r="BK19" s="897"/>
      <c r="BL19" s="897"/>
      <c r="BM19" s="897"/>
      <c r="BN19" s="897"/>
      <c r="BO19" s="897"/>
      <c r="BP19" s="897"/>
      <c r="BQ19" s="897"/>
      <c r="BR19" s="897"/>
      <c r="BS19" s="897"/>
      <c r="BT19" s="897"/>
      <c r="BU19" s="897"/>
      <c r="BV19" s="897"/>
      <c r="BW19" s="897"/>
      <c r="BX19" s="897"/>
      <c r="BY19" s="897"/>
      <c r="BZ19" s="897"/>
      <c r="CA19" s="897"/>
      <c r="CB19" s="897"/>
      <c r="CC19" s="897"/>
      <c r="CD19" s="897"/>
      <c r="CE19" s="897"/>
      <c r="CF19" s="897"/>
      <c r="CG19" s="897"/>
      <c r="CH19" s="897"/>
      <c r="CI19" s="3185">
        <f t="shared" si="0"/>
        <v>0</v>
      </c>
    </row>
    <row r="20" spans="1:87" s="3343" customFormat="1" ht="260.25" customHeight="1">
      <c r="A20" s="3344" t="s">
        <v>4035</v>
      </c>
      <c r="B20" s="3340"/>
      <c r="C20" s="3340" t="s">
        <v>2883</v>
      </c>
      <c r="D20" s="2685" t="s">
        <v>65</v>
      </c>
      <c r="E20" s="3338" t="s">
        <v>65</v>
      </c>
      <c r="F20" s="3346">
        <v>0</v>
      </c>
      <c r="G20" s="3346"/>
      <c r="H20" s="3346"/>
      <c r="I20" s="3346"/>
      <c r="J20" s="3346"/>
      <c r="K20" s="3346"/>
      <c r="L20" s="2697">
        <v>277777</v>
      </c>
      <c r="M20" s="3342">
        <f t="shared" si="1"/>
        <v>2.7777699999999999</v>
      </c>
      <c r="N20" s="2697">
        <v>180</v>
      </c>
      <c r="O20" s="3347">
        <f>M20*N20</f>
        <v>499.99859999999995</v>
      </c>
      <c r="P20" s="3348" t="s">
        <v>5495</v>
      </c>
      <c r="Q20" s="3349" t="s">
        <v>5864</v>
      </c>
      <c r="R20" s="3018">
        <v>500</v>
      </c>
      <c r="BB20" s="3345">
        <v>500</v>
      </c>
      <c r="BC20" s="3345"/>
      <c r="BD20" s="3345"/>
      <c r="BE20" s="3345"/>
      <c r="BF20" s="3345"/>
      <c r="BG20" s="3345"/>
      <c r="BH20" s="3345"/>
      <c r="BI20" s="3345"/>
      <c r="BJ20" s="3345"/>
      <c r="BK20" s="3345"/>
      <c r="BL20" s="3345"/>
      <c r="BM20" s="3345"/>
      <c r="BN20" s="3345"/>
      <c r="BO20" s="3345"/>
      <c r="BP20" s="3345"/>
      <c r="BQ20" s="3345"/>
      <c r="BR20" s="3345"/>
      <c r="BS20" s="3345"/>
      <c r="BT20" s="3345"/>
      <c r="BU20" s="3345"/>
      <c r="BV20" s="3345"/>
      <c r="BW20" s="3345"/>
      <c r="BX20" s="3345"/>
      <c r="BY20" s="3345"/>
      <c r="BZ20" s="3345"/>
      <c r="CA20" s="3345"/>
      <c r="CB20" s="3345"/>
      <c r="CC20" s="3345"/>
      <c r="CD20" s="3345"/>
      <c r="CE20" s="3345"/>
      <c r="CF20" s="3345"/>
      <c r="CG20" s="3345"/>
      <c r="CH20" s="3345"/>
      <c r="CI20" s="3345">
        <f t="shared" si="0"/>
        <v>500</v>
      </c>
    </row>
    <row r="21" spans="1:87" ht="30">
      <c r="A21" s="1255" t="s">
        <v>303</v>
      </c>
      <c r="B21" s="1256" t="s">
        <v>4630</v>
      </c>
      <c r="C21" s="1257" t="s">
        <v>304</v>
      </c>
      <c r="D21" s="1258"/>
      <c r="E21" s="1258"/>
      <c r="F21" s="292"/>
      <c r="G21" s="292"/>
      <c r="H21" s="292"/>
      <c r="I21" s="292"/>
      <c r="J21" s="292"/>
      <c r="K21" s="292"/>
      <c r="L21" s="292"/>
      <c r="M21" s="1262"/>
      <c r="N21" s="320"/>
      <c r="O21" s="3008">
        <f>SUM(O22:O35)</f>
        <v>532</v>
      </c>
      <c r="P21" s="723"/>
      <c r="Q21" s="1264"/>
      <c r="R21" s="2932">
        <f>SUM(R22:R35)</f>
        <v>527</v>
      </c>
      <c r="BB21" s="3185"/>
      <c r="BC21" s="3185"/>
      <c r="BD21" s="3185"/>
      <c r="BE21" s="3185"/>
      <c r="BF21" s="3185"/>
      <c r="BG21" s="3185"/>
      <c r="BH21" s="3185"/>
      <c r="BI21" s="3185"/>
      <c r="BJ21" s="3185"/>
      <c r="BK21" s="3185"/>
      <c r="BL21" s="3185"/>
      <c r="BM21" s="3185"/>
      <c r="BN21" s="3185"/>
      <c r="BO21" s="3185"/>
      <c r="BP21" s="3185"/>
      <c r="BQ21" s="3185"/>
      <c r="BR21" s="3185"/>
      <c r="BS21" s="3185"/>
      <c r="BT21" s="3185"/>
      <c r="BU21" s="3185"/>
      <c r="BV21" s="3185"/>
      <c r="BW21" s="3185"/>
      <c r="BX21" s="3185"/>
      <c r="BY21" s="3185"/>
      <c r="BZ21" s="3185"/>
      <c r="CA21" s="3185"/>
      <c r="CB21" s="3185"/>
      <c r="CC21" s="3185"/>
      <c r="CD21" s="3185"/>
      <c r="CE21" s="3185"/>
      <c r="CF21" s="3185"/>
      <c r="CG21" s="3185"/>
      <c r="CH21" s="3185"/>
      <c r="CI21" s="3185">
        <f t="shared" si="0"/>
        <v>0</v>
      </c>
    </row>
    <row r="22" spans="1:87" s="1129" customFormat="1" ht="30">
      <c r="A22" s="1179" t="s">
        <v>4036</v>
      </c>
      <c r="B22" s="882" t="s">
        <v>2705</v>
      </c>
      <c r="C22" s="896" t="s">
        <v>296</v>
      </c>
      <c r="D22" s="908" t="s">
        <v>65</v>
      </c>
      <c r="E22" s="945" t="s">
        <v>65</v>
      </c>
      <c r="F22" s="249">
        <v>0</v>
      </c>
      <c r="G22" s="321"/>
      <c r="H22" s="249"/>
      <c r="I22" s="249"/>
      <c r="J22" s="249"/>
      <c r="K22" s="324"/>
      <c r="L22" s="277"/>
      <c r="M22" s="297">
        <f t="shared" ref="M22:M35" si="3">L22/100000</f>
        <v>0</v>
      </c>
      <c r="N22" s="277"/>
      <c r="O22" s="3007">
        <f t="shared" ref="O22:O35" si="4">M22*N22</f>
        <v>0</v>
      </c>
      <c r="P22" s="719"/>
      <c r="Q22" s="1279"/>
      <c r="R22" s="3013"/>
      <c r="BB22" s="897"/>
      <c r="BC22" s="897"/>
      <c r="BD22" s="897"/>
      <c r="BE22" s="897"/>
      <c r="BF22" s="897"/>
      <c r="BG22" s="897"/>
      <c r="BH22" s="897"/>
      <c r="BI22" s="897"/>
      <c r="BJ22" s="897"/>
      <c r="BK22" s="897"/>
      <c r="BL22" s="897"/>
      <c r="BM22" s="897"/>
      <c r="BN22" s="897"/>
      <c r="BO22" s="897"/>
      <c r="BP22" s="897"/>
      <c r="BQ22" s="897"/>
      <c r="BR22" s="897"/>
      <c r="BS22" s="897"/>
      <c r="BT22" s="897"/>
      <c r="BU22" s="897"/>
      <c r="BV22" s="897"/>
      <c r="BW22" s="897"/>
      <c r="BX22" s="897"/>
      <c r="BY22" s="897"/>
      <c r="BZ22" s="897"/>
      <c r="CA22" s="897"/>
      <c r="CB22" s="897"/>
      <c r="CC22" s="897"/>
      <c r="CD22" s="897"/>
      <c r="CE22" s="897"/>
      <c r="CF22" s="897"/>
      <c r="CG22" s="897"/>
      <c r="CH22" s="897"/>
      <c r="CI22" s="3185">
        <f t="shared" si="0"/>
        <v>0</v>
      </c>
    </row>
    <row r="23" spans="1:87" s="1129" customFormat="1" ht="29.1" customHeight="1">
      <c r="A23" s="1179" t="s">
        <v>4037</v>
      </c>
      <c r="B23" s="882" t="s">
        <v>305</v>
      </c>
      <c r="C23" s="882" t="s">
        <v>306</v>
      </c>
      <c r="D23" s="913" t="s">
        <v>80</v>
      </c>
      <c r="E23" s="945" t="s">
        <v>307</v>
      </c>
      <c r="F23" s="249">
        <v>0</v>
      </c>
      <c r="G23" s="249"/>
      <c r="H23" s="249">
        <v>0</v>
      </c>
      <c r="I23" s="249"/>
      <c r="J23" s="249"/>
      <c r="K23" s="324"/>
      <c r="L23" s="277"/>
      <c r="M23" s="297">
        <f t="shared" si="3"/>
        <v>0</v>
      </c>
      <c r="N23" s="277"/>
      <c r="O23" s="3007">
        <f t="shared" si="4"/>
        <v>0</v>
      </c>
      <c r="P23" s="719"/>
      <c r="Q23" s="1265">
        <f>'Abs24. NOHP'!Q7</f>
        <v>0</v>
      </c>
      <c r="R23" s="3012">
        <f>'Abs24. NOHP'!R7</f>
        <v>0</v>
      </c>
      <c r="BB23" s="897"/>
      <c r="BC23" s="897"/>
      <c r="BD23" s="897"/>
      <c r="BE23" s="897"/>
      <c r="BF23" s="897"/>
      <c r="BG23" s="897"/>
      <c r="BH23" s="897"/>
      <c r="BI23" s="897"/>
      <c r="BJ23" s="897"/>
      <c r="BK23" s="897"/>
      <c r="BL23" s="897"/>
      <c r="BM23" s="897"/>
      <c r="BN23" s="897"/>
      <c r="BO23" s="897"/>
      <c r="BP23" s="897"/>
      <c r="BQ23" s="897"/>
      <c r="BR23" s="897"/>
      <c r="BS23" s="897"/>
      <c r="BT23" s="897"/>
      <c r="BU23" s="897"/>
      <c r="BV23" s="897"/>
      <c r="BW23" s="897"/>
      <c r="BX23" s="897"/>
      <c r="BY23" s="897"/>
      <c r="BZ23" s="897"/>
      <c r="CA23" s="897"/>
      <c r="CB23" s="897"/>
      <c r="CC23" s="897"/>
      <c r="CD23" s="897"/>
      <c r="CE23" s="897"/>
      <c r="CF23" s="897"/>
      <c r="CG23" s="897"/>
      <c r="CH23" s="897"/>
      <c r="CI23" s="3185">
        <f t="shared" si="0"/>
        <v>0</v>
      </c>
    </row>
    <row r="24" spans="1:87" ht="40.5" customHeight="1">
      <c r="A24" s="1179" t="s">
        <v>4038</v>
      </c>
      <c r="B24" s="1080" t="s">
        <v>308</v>
      </c>
      <c r="C24" s="1080" t="s">
        <v>4633</v>
      </c>
      <c r="D24" s="982" t="s">
        <v>80</v>
      </c>
      <c r="E24" s="2512" t="s">
        <v>309</v>
      </c>
      <c r="F24" s="324">
        <v>0</v>
      </c>
      <c r="G24" s="324"/>
      <c r="H24" s="324">
        <v>0</v>
      </c>
      <c r="I24" s="324"/>
      <c r="J24" s="324"/>
      <c r="K24" s="324"/>
      <c r="L24" s="2519">
        <v>100000</v>
      </c>
      <c r="M24" s="298">
        <f t="shared" si="3"/>
        <v>1</v>
      </c>
      <c r="N24" s="2519">
        <v>10</v>
      </c>
      <c r="O24" s="3009">
        <f t="shared" si="4"/>
        <v>10</v>
      </c>
      <c r="P24" s="719" t="s">
        <v>5298</v>
      </c>
      <c r="Q24" s="2300" t="str">
        <f>'Abs25. NPPC'!Q9</f>
        <v xml:space="preserve">Recommended for approval for 10 Integrated Nirog clinics for renovation of units such as uer frienly toilets, faller beds, appliances like walkers and sticks etc.  </v>
      </c>
      <c r="R24" s="3014">
        <f>'Abs25. NPPC'!R9</f>
        <v>10</v>
      </c>
      <c r="BB24" s="3185">
        <v>0</v>
      </c>
      <c r="BC24" s="3185"/>
      <c r="BD24" s="3185"/>
      <c r="BE24" s="3185"/>
      <c r="BF24" s="3185"/>
      <c r="BG24" s="3185">
        <v>1</v>
      </c>
      <c r="BH24" s="3185"/>
      <c r="BI24" s="3185"/>
      <c r="BJ24" s="3185"/>
      <c r="BK24" s="3185"/>
      <c r="BL24" s="3185">
        <v>1</v>
      </c>
      <c r="BM24" s="3185"/>
      <c r="BN24" s="3185"/>
      <c r="BO24" s="3185"/>
      <c r="BP24" s="3185"/>
      <c r="BQ24" s="3185"/>
      <c r="BR24" s="3185"/>
      <c r="BS24" s="3185"/>
      <c r="BT24" s="3185"/>
      <c r="BU24" s="3185"/>
      <c r="BV24" s="3185">
        <v>1</v>
      </c>
      <c r="BW24" s="3185">
        <v>1</v>
      </c>
      <c r="BX24" s="3185">
        <v>1</v>
      </c>
      <c r="BY24" s="3185">
        <v>1</v>
      </c>
      <c r="BZ24" s="3185">
        <v>1</v>
      </c>
      <c r="CA24" s="3185"/>
      <c r="CB24" s="3185">
        <v>1</v>
      </c>
      <c r="CC24" s="3185"/>
      <c r="CD24" s="3185">
        <v>1</v>
      </c>
      <c r="CE24" s="3185"/>
      <c r="CF24" s="3185">
        <v>1</v>
      </c>
      <c r="CG24" s="3185"/>
      <c r="CH24" s="3185"/>
      <c r="CI24" s="3185">
        <f t="shared" si="0"/>
        <v>10</v>
      </c>
    </row>
    <row r="25" spans="1:87" s="1129" customFormat="1">
      <c r="A25" s="1179" t="s">
        <v>4039</v>
      </c>
      <c r="B25" s="882" t="s">
        <v>2709</v>
      </c>
      <c r="C25" s="882" t="s">
        <v>300</v>
      </c>
      <c r="D25" s="908" t="s">
        <v>65</v>
      </c>
      <c r="E25" s="945" t="s">
        <v>65</v>
      </c>
      <c r="F25" s="249">
        <v>0</v>
      </c>
      <c r="G25" s="321"/>
      <c r="H25" s="249"/>
      <c r="I25" s="249"/>
      <c r="J25" s="249"/>
      <c r="K25" s="324"/>
      <c r="L25" s="277"/>
      <c r="M25" s="297">
        <f t="shared" si="3"/>
        <v>0</v>
      </c>
      <c r="N25" s="277"/>
      <c r="O25" s="3007">
        <f t="shared" si="4"/>
        <v>0</v>
      </c>
      <c r="P25" s="719"/>
      <c r="Q25" s="1265"/>
      <c r="R25" s="3012"/>
      <c r="BB25" s="897"/>
      <c r="BC25" s="897"/>
      <c r="BD25" s="897"/>
      <c r="BE25" s="897"/>
      <c r="BF25" s="897"/>
      <c r="BG25" s="897"/>
      <c r="BH25" s="897"/>
      <c r="BI25" s="897"/>
      <c r="BJ25" s="897"/>
      <c r="BK25" s="897"/>
      <c r="BL25" s="897"/>
      <c r="BM25" s="897"/>
      <c r="BN25" s="897"/>
      <c r="BO25" s="897"/>
      <c r="BP25" s="897"/>
      <c r="BQ25" s="897"/>
      <c r="BR25" s="897"/>
      <c r="BS25" s="897"/>
      <c r="BT25" s="897"/>
      <c r="BU25" s="897"/>
      <c r="BV25" s="897"/>
      <c r="BW25" s="897"/>
      <c r="BX25" s="897"/>
      <c r="BY25" s="897"/>
      <c r="BZ25" s="897"/>
      <c r="CA25" s="897"/>
      <c r="CB25" s="897"/>
      <c r="CC25" s="897"/>
      <c r="CD25" s="897"/>
      <c r="CE25" s="897"/>
      <c r="CF25" s="897"/>
      <c r="CG25" s="897"/>
      <c r="CH25" s="897"/>
      <c r="CI25" s="3185">
        <f t="shared" si="0"/>
        <v>0</v>
      </c>
    </row>
    <row r="26" spans="1:87" s="1129" customFormat="1">
      <c r="A26" s="1179" t="s">
        <v>4040</v>
      </c>
      <c r="B26" s="882" t="s">
        <v>2706</v>
      </c>
      <c r="C26" s="882" t="s">
        <v>297</v>
      </c>
      <c r="D26" s="908" t="s">
        <v>65</v>
      </c>
      <c r="E26" s="945" t="s">
        <v>65</v>
      </c>
      <c r="F26" s="249">
        <v>0</v>
      </c>
      <c r="G26" s="249"/>
      <c r="H26" s="249"/>
      <c r="I26" s="249"/>
      <c r="J26" s="249"/>
      <c r="K26" s="324"/>
      <c r="L26" s="277"/>
      <c r="M26" s="297">
        <f t="shared" si="3"/>
        <v>0</v>
      </c>
      <c r="N26" s="277"/>
      <c r="O26" s="3007">
        <f t="shared" si="4"/>
        <v>0</v>
      </c>
      <c r="P26" s="719"/>
      <c r="Q26" s="1265"/>
      <c r="R26" s="3012"/>
      <c r="BB26" s="897"/>
      <c r="BC26" s="897"/>
      <c r="BD26" s="897"/>
      <c r="BE26" s="897"/>
      <c r="BF26" s="897"/>
      <c r="BG26" s="897"/>
      <c r="BH26" s="897"/>
      <c r="BI26" s="897"/>
      <c r="BJ26" s="897"/>
      <c r="BK26" s="897"/>
      <c r="BL26" s="897"/>
      <c r="BM26" s="897"/>
      <c r="BN26" s="897"/>
      <c r="BO26" s="897"/>
      <c r="BP26" s="897"/>
      <c r="BQ26" s="897"/>
      <c r="BR26" s="897"/>
      <c r="BS26" s="897"/>
      <c r="BT26" s="897"/>
      <c r="BU26" s="897"/>
      <c r="BV26" s="897"/>
      <c r="BW26" s="897"/>
      <c r="BX26" s="897"/>
      <c r="BY26" s="897"/>
      <c r="BZ26" s="897"/>
      <c r="CA26" s="897"/>
      <c r="CB26" s="897"/>
      <c r="CC26" s="897"/>
      <c r="CD26" s="897"/>
      <c r="CE26" s="897"/>
      <c r="CF26" s="897"/>
      <c r="CG26" s="897"/>
      <c r="CH26" s="897"/>
      <c r="CI26" s="3185">
        <f t="shared" si="0"/>
        <v>0</v>
      </c>
    </row>
    <row r="27" spans="1:87" s="1129" customFormat="1">
      <c r="A27" s="1179" t="s">
        <v>4041</v>
      </c>
      <c r="B27" s="882" t="s">
        <v>2707</v>
      </c>
      <c r="C27" s="882" t="s">
        <v>298</v>
      </c>
      <c r="D27" s="908" t="s">
        <v>65</v>
      </c>
      <c r="E27" s="945" t="s">
        <v>65</v>
      </c>
      <c r="F27" s="249">
        <v>0</v>
      </c>
      <c r="G27" s="321"/>
      <c r="H27" s="249"/>
      <c r="I27" s="249"/>
      <c r="J27" s="249"/>
      <c r="K27" s="324"/>
      <c r="L27" s="277"/>
      <c r="M27" s="297">
        <f t="shared" si="3"/>
        <v>0</v>
      </c>
      <c r="N27" s="277"/>
      <c r="O27" s="3007">
        <f t="shared" si="4"/>
        <v>0</v>
      </c>
      <c r="P27" s="719"/>
      <c r="Q27" s="1265"/>
      <c r="R27" s="3012"/>
      <c r="BB27" s="897"/>
      <c r="BC27" s="897"/>
      <c r="BD27" s="897"/>
      <c r="BE27" s="897"/>
      <c r="BF27" s="897"/>
      <c r="BG27" s="897"/>
      <c r="BH27" s="897"/>
      <c r="BI27" s="897"/>
      <c r="BJ27" s="897"/>
      <c r="BK27" s="897"/>
      <c r="BL27" s="897"/>
      <c r="BM27" s="897"/>
      <c r="BN27" s="897"/>
      <c r="BO27" s="897"/>
      <c r="BP27" s="897"/>
      <c r="BQ27" s="897"/>
      <c r="BR27" s="897"/>
      <c r="BS27" s="897"/>
      <c r="BT27" s="897"/>
      <c r="BU27" s="897"/>
      <c r="BV27" s="897"/>
      <c r="BW27" s="897"/>
      <c r="BX27" s="897"/>
      <c r="BY27" s="897"/>
      <c r="BZ27" s="897"/>
      <c r="CA27" s="897"/>
      <c r="CB27" s="897"/>
      <c r="CC27" s="897"/>
      <c r="CD27" s="897"/>
      <c r="CE27" s="897"/>
      <c r="CF27" s="897"/>
      <c r="CG27" s="897"/>
      <c r="CH27" s="897"/>
      <c r="CI27" s="3185">
        <f t="shared" si="0"/>
        <v>0</v>
      </c>
    </row>
    <row r="28" spans="1:87" s="1129" customFormat="1">
      <c r="A28" s="1179" t="s">
        <v>4042</v>
      </c>
      <c r="B28" s="882" t="s">
        <v>2708</v>
      </c>
      <c r="C28" s="1266" t="s">
        <v>5097</v>
      </c>
      <c r="D28" s="908" t="s">
        <v>65</v>
      </c>
      <c r="E28" s="945" t="s">
        <v>4218</v>
      </c>
      <c r="F28" s="249">
        <v>0</v>
      </c>
      <c r="G28" s="321"/>
      <c r="H28" s="249"/>
      <c r="I28" s="249"/>
      <c r="J28" s="249"/>
      <c r="K28" s="324"/>
      <c r="L28" s="277"/>
      <c r="M28" s="297">
        <f t="shared" si="3"/>
        <v>0</v>
      </c>
      <c r="N28" s="277"/>
      <c r="O28" s="3007">
        <f t="shared" si="4"/>
        <v>0</v>
      </c>
      <c r="P28" s="719"/>
      <c r="Q28" s="1265">
        <f>'Abs6. CPHC'!Q9</f>
        <v>0</v>
      </c>
      <c r="R28" s="2936">
        <f>'Abs6. CPHC'!R9</f>
        <v>0</v>
      </c>
      <c r="BB28" s="897"/>
      <c r="BC28" s="897"/>
      <c r="BD28" s="897"/>
      <c r="BE28" s="897"/>
      <c r="BF28" s="897"/>
      <c r="BG28" s="897"/>
      <c r="BH28" s="897"/>
      <c r="BI28" s="897"/>
      <c r="BJ28" s="897"/>
      <c r="BK28" s="897"/>
      <c r="BL28" s="897"/>
      <c r="BM28" s="897"/>
      <c r="BN28" s="897"/>
      <c r="BO28" s="897"/>
      <c r="BP28" s="897"/>
      <c r="BQ28" s="897"/>
      <c r="BR28" s="897"/>
      <c r="BS28" s="897"/>
      <c r="BT28" s="897"/>
      <c r="BU28" s="897"/>
      <c r="BV28" s="897"/>
      <c r="BW28" s="897"/>
      <c r="BX28" s="897"/>
      <c r="BY28" s="897"/>
      <c r="BZ28" s="897"/>
      <c r="CA28" s="897"/>
      <c r="CB28" s="897"/>
      <c r="CC28" s="897"/>
      <c r="CD28" s="897"/>
      <c r="CE28" s="897"/>
      <c r="CF28" s="897"/>
      <c r="CG28" s="897"/>
      <c r="CH28" s="897"/>
      <c r="CI28" s="3185">
        <f t="shared" si="0"/>
        <v>0</v>
      </c>
    </row>
    <row r="29" spans="1:87" ht="85.5" customHeight="1">
      <c r="A29" s="1179" t="s">
        <v>4043</v>
      </c>
      <c r="B29" s="1179" t="s">
        <v>2031</v>
      </c>
      <c r="C29" s="1179" t="s">
        <v>4463</v>
      </c>
      <c r="D29" s="982" t="s">
        <v>65</v>
      </c>
      <c r="E29" s="2898" t="s">
        <v>4218</v>
      </c>
      <c r="F29" s="324">
        <v>800</v>
      </c>
      <c r="G29" s="324"/>
      <c r="H29" s="324">
        <v>5600</v>
      </c>
      <c r="I29" s="324">
        <v>182.39</v>
      </c>
      <c r="J29" s="324">
        <v>5417.61</v>
      </c>
      <c r="K29" s="324">
        <v>1</v>
      </c>
      <c r="L29" s="283">
        <v>100000</v>
      </c>
      <c r="M29" s="298">
        <f t="shared" si="3"/>
        <v>1</v>
      </c>
      <c r="N29" s="283">
        <v>193</v>
      </c>
      <c r="O29" s="3009">
        <f t="shared" si="4"/>
        <v>193</v>
      </c>
      <c r="P29" s="2299" t="s">
        <v>5505</v>
      </c>
      <c r="Q29" s="2300" t="str">
        <f>'Abs6. CPHC'!Q10</f>
        <v>Recommended for approvalRs. 193 lakh @Rs1 lakh/SHC-HWC for infrastructure strengthening of 193 SHCs-HWCs</v>
      </c>
      <c r="R29" s="2935">
        <f>'Abs6. CPHC'!R10</f>
        <v>193</v>
      </c>
      <c r="BB29" s="3185">
        <v>193</v>
      </c>
      <c r="BC29" s="3185"/>
      <c r="BD29" s="3185"/>
      <c r="BE29" s="3185"/>
      <c r="BF29" s="3185"/>
      <c r="BG29" s="3185"/>
      <c r="BH29" s="3185"/>
      <c r="BI29" s="3185"/>
      <c r="BJ29" s="3185"/>
      <c r="BK29" s="3185"/>
      <c r="BL29" s="3185"/>
      <c r="BM29" s="3185"/>
      <c r="BN29" s="3185"/>
      <c r="BO29" s="3185"/>
      <c r="BP29" s="3185"/>
      <c r="BQ29" s="3185"/>
      <c r="BR29" s="3185"/>
      <c r="BS29" s="3185"/>
      <c r="BT29" s="3185"/>
      <c r="BU29" s="3185"/>
      <c r="BV29" s="3185"/>
      <c r="BW29" s="3185"/>
      <c r="BX29" s="3185"/>
      <c r="BY29" s="3185"/>
      <c r="BZ29" s="3185"/>
      <c r="CA29" s="3185"/>
      <c r="CB29" s="3185"/>
      <c r="CC29" s="3185"/>
      <c r="CD29" s="3185"/>
      <c r="CE29" s="3185"/>
      <c r="CF29" s="3185"/>
      <c r="CG29" s="3185"/>
      <c r="CH29" s="3185"/>
      <c r="CI29" s="3185">
        <f t="shared" si="0"/>
        <v>193</v>
      </c>
    </row>
    <row r="30" spans="1:87" ht="63" customHeight="1">
      <c r="A30" s="1179" t="s">
        <v>4044</v>
      </c>
      <c r="B30" s="1179"/>
      <c r="C30" s="1179" t="s">
        <v>4464</v>
      </c>
      <c r="D30" s="982" t="s">
        <v>65</v>
      </c>
      <c r="E30" s="2898" t="s">
        <v>4218</v>
      </c>
      <c r="F30" s="324">
        <v>0</v>
      </c>
      <c r="G30" s="324"/>
      <c r="H30" s="324">
        <v>0</v>
      </c>
      <c r="I30" s="324"/>
      <c r="J30" s="324"/>
      <c r="K30" s="324">
        <v>1</v>
      </c>
      <c r="L30" s="283">
        <v>100000</v>
      </c>
      <c r="M30" s="298">
        <f t="shared" si="3"/>
        <v>1</v>
      </c>
      <c r="N30" s="283">
        <v>159</v>
      </c>
      <c r="O30" s="3009">
        <f t="shared" si="4"/>
        <v>159</v>
      </c>
      <c r="P30" s="2299" t="s">
        <v>5506</v>
      </c>
      <c r="Q30" s="2300" t="str">
        <f>'Abs6. CPHC'!Q11</f>
        <v>Recommended for approvalState has proposed Rs. 159 lakh @Rs.1 lakh/PHC-HWC for infrastructure strengthening of 159 PHC-HWCs</v>
      </c>
      <c r="R30" s="2935">
        <f>'Abs6. CPHC'!R11</f>
        <v>159</v>
      </c>
      <c r="BB30" s="3185">
        <v>159</v>
      </c>
      <c r="BC30" s="3185"/>
      <c r="BD30" s="3185"/>
      <c r="BE30" s="3185"/>
      <c r="BF30" s="3185"/>
      <c r="BG30" s="3185"/>
      <c r="BH30" s="3185"/>
      <c r="BI30" s="3185"/>
      <c r="BJ30" s="3185"/>
      <c r="BK30" s="3185"/>
      <c r="BL30" s="3185"/>
      <c r="BM30" s="3185"/>
      <c r="BN30" s="3185"/>
      <c r="BO30" s="3185"/>
      <c r="BP30" s="3185"/>
      <c r="BQ30" s="3185"/>
      <c r="BR30" s="3185"/>
      <c r="BS30" s="3185"/>
      <c r="BT30" s="3185"/>
      <c r="BU30" s="3185"/>
      <c r="BV30" s="3185"/>
      <c r="BW30" s="3185"/>
      <c r="BX30" s="3185"/>
      <c r="BY30" s="3185"/>
      <c r="BZ30" s="3185"/>
      <c r="CA30" s="3185"/>
      <c r="CB30" s="3185"/>
      <c r="CC30" s="3185"/>
      <c r="CD30" s="3185"/>
      <c r="CE30" s="3185"/>
      <c r="CF30" s="3185"/>
      <c r="CG30" s="3185"/>
      <c r="CH30" s="3185"/>
      <c r="CI30" s="3185">
        <f t="shared" si="0"/>
        <v>159</v>
      </c>
    </row>
    <row r="31" spans="1:87" s="1129" customFormat="1">
      <c r="A31" s="1179" t="s">
        <v>4045</v>
      </c>
      <c r="B31" s="882" t="s">
        <v>2710</v>
      </c>
      <c r="C31" s="882" t="s">
        <v>301</v>
      </c>
      <c r="D31" s="908" t="s">
        <v>65</v>
      </c>
      <c r="E31" s="945" t="s">
        <v>65</v>
      </c>
      <c r="F31" s="249">
        <v>0</v>
      </c>
      <c r="G31" s="249"/>
      <c r="H31" s="249"/>
      <c r="I31" s="249"/>
      <c r="J31" s="249"/>
      <c r="K31" s="324"/>
      <c r="L31" s="277"/>
      <c r="M31" s="297">
        <f t="shared" si="3"/>
        <v>0</v>
      </c>
      <c r="N31" s="277"/>
      <c r="O31" s="3007">
        <f t="shared" si="4"/>
        <v>0</v>
      </c>
      <c r="P31" s="719"/>
      <c r="Q31" s="1265"/>
      <c r="R31" s="3012"/>
      <c r="BB31" s="897"/>
      <c r="BC31" s="897"/>
      <c r="BD31" s="897"/>
      <c r="BE31" s="897"/>
      <c r="BF31" s="897"/>
      <c r="BG31" s="897"/>
      <c r="BH31" s="897"/>
      <c r="BI31" s="897"/>
      <c r="BJ31" s="897"/>
      <c r="BK31" s="897"/>
      <c r="BL31" s="897"/>
      <c r="BM31" s="897"/>
      <c r="BN31" s="897"/>
      <c r="BO31" s="897"/>
      <c r="BP31" s="897"/>
      <c r="BQ31" s="897"/>
      <c r="BR31" s="897"/>
      <c r="BS31" s="897"/>
      <c r="BT31" s="897"/>
      <c r="BU31" s="897"/>
      <c r="BV31" s="897"/>
      <c r="BW31" s="897"/>
      <c r="BX31" s="897"/>
      <c r="BY31" s="897"/>
      <c r="BZ31" s="897"/>
      <c r="CA31" s="897"/>
      <c r="CB31" s="897"/>
      <c r="CC31" s="897"/>
      <c r="CD31" s="897"/>
      <c r="CE31" s="897"/>
      <c r="CF31" s="897"/>
      <c r="CG31" s="897"/>
      <c r="CH31" s="897"/>
      <c r="CI31" s="3185">
        <f t="shared" si="0"/>
        <v>0</v>
      </c>
    </row>
    <row r="32" spans="1:87" s="1129" customFormat="1">
      <c r="A32" s="1179" t="s">
        <v>4046</v>
      </c>
      <c r="B32" s="1080"/>
      <c r="C32" s="882" t="s">
        <v>2309</v>
      </c>
      <c r="D32" s="908" t="s">
        <v>65</v>
      </c>
      <c r="E32" s="945" t="s">
        <v>65</v>
      </c>
      <c r="F32" s="249">
        <v>0</v>
      </c>
      <c r="G32" s="249"/>
      <c r="H32" s="249"/>
      <c r="I32" s="249"/>
      <c r="J32" s="249"/>
      <c r="K32" s="324"/>
      <c r="L32" s="277"/>
      <c r="M32" s="297">
        <f t="shared" si="3"/>
        <v>0</v>
      </c>
      <c r="N32" s="277"/>
      <c r="O32" s="3007">
        <f t="shared" si="4"/>
        <v>0</v>
      </c>
      <c r="P32" s="719"/>
      <c r="Q32" s="1265"/>
      <c r="R32" s="3012"/>
      <c r="BB32" s="897"/>
      <c r="BC32" s="897"/>
      <c r="BD32" s="897"/>
      <c r="BE32" s="897"/>
      <c r="BF32" s="897"/>
      <c r="BG32" s="897"/>
      <c r="BH32" s="897"/>
      <c r="BI32" s="897"/>
      <c r="BJ32" s="897"/>
      <c r="BK32" s="897"/>
      <c r="BL32" s="897"/>
      <c r="BM32" s="897"/>
      <c r="BN32" s="897"/>
      <c r="BO32" s="897"/>
      <c r="BP32" s="897"/>
      <c r="BQ32" s="897"/>
      <c r="BR32" s="897"/>
      <c r="BS32" s="897"/>
      <c r="BT32" s="897"/>
      <c r="BU32" s="897"/>
      <c r="BV32" s="897"/>
      <c r="BW32" s="897"/>
      <c r="BX32" s="897"/>
      <c r="BY32" s="897"/>
      <c r="BZ32" s="897"/>
      <c r="CA32" s="897"/>
      <c r="CB32" s="897"/>
      <c r="CC32" s="897"/>
      <c r="CD32" s="897"/>
      <c r="CE32" s="897"/>
      <c r="CF32" s="897"/>
      <c r="CG32" s="897"/>
      <c r="CH32" s="897"/>
      <c r="CI32" s="3185">
        <f t="shared" si="0"/>
        <v>0</v>
      </c>
    </row>
    <row r="33" spans="1:87" s="1129" customFormat="1" ht="409.5">
      <c r="A33" s="1179" t="s">
        <v>4047</v>
      </c>
      <c r="B33" s="1080"/>
      <c r="C33" s="3310" t="s">
        <v>2313</v>
      </c>
      <c r="D33" s="3311" t="s">
        <v>65</v>
      </c>
      <c r="E33" s="3312" t="s">
        <v>2312</v>
      </c>
      <c r="F33" s="3313">
        <v>2</v>
      </c>
      <c r="G33" s="3314"/>
      <c r="H33" s="3315">
        <v>0</v>
      </c>
      <c r="I33" s="3315"/>
      <c r="J33" s="3316"/>
      <c r="K33" s="3317"/>
      <c r="L33" s="3318">
        <v>1375000</v>
      </c>
      <c r="M33" s="3319">
        <f t="shared" si="3"/>
        <v>13.75</v>
      </c>
      <c r="N33" s="3318">
        <v>12</v>
      </c>
      <c r="O33" s="3320">
        <f t="shared" si="4"/>
        <v>165</v>
      </c>
      <c r="P33" s="3321" t="s">
        <v>5481</v>
      </c>
      <c r="Q33" s="1268" t="str">
        <f>'Ab1. RMNCH+A'!Q32</f>
        <v xml:space="preserve">Recommended for approval Obstetric HDUs/ICUs: 1. K.N. Hospital for Mother &amp; Child (8 bedded HDU + 4 bedded ICU)2. Dr. RPGMC Tanda (8 bedded HDU + 4 bedded ICU)3. Regional Hospital, Chamba (6+2 Hybrid HDU)4. regional Hospital, Nahan (6+2 Hybrid HDU)5. Regional Hospital, Mandi (6+2 Hybrid HDU)6. Regional Hospital, Una (8 bedded HDU)7. Regional Hospital, Hamirpur (8 bedded HDU)8. Regional Hospital, Solan (8 bedded HDU)9. Regional Hospital, Kullu (8 bedded HDU)10. Regional Hospital, Kinnaur (8 bedded HDU)11. Shri Lal Bahadur Shastri Govt. Medical College, Nerchowk, Mandi (6+2 Hybrid HDU)12. Mahatma Gandhi Medical Services Complex, Khaneri, Shimla (4 bedded HDU).                                                 State to ensure functionalization of all Obstetric HDU/ICUs by April 2022.Conditionality:1. They must be set up in already existing facilities, preferably DH.2. This fund should be utilized for civil construction, beds, ductless AHU and other infrastructure components.3. Simultaneously, requirement for equipment &amp; HR should be planned, while HR need to be supported by State. </v>
      </c>
      <c r="R33" s="2924">
        <f>'Ab1. RMNCH+A'!R32</f>
        <v>165</v>
      </c>
      <c r="BB33" s="897">
        <v>165</v>
      </c>
      <c r="BC33" s="897"/>
      <c r="BD33" s="897"/>
      <c r="BE33" s="897"/>
      <c r="BF33" s="897"/>
      <c r="BG33" s="897"/>
      <c r="BH33" s="897"/>
      <c r="BI33" s="897"/>
      <c r="BJ33" s="897"/>
      <c r="BK33" s="897"/>
      <c r="BL33" s="897"/>
      <c r="BM33" s="897"/>
      <c r="BN33" s="897"/>
      <c r="BO33" s="897"/>
      <c r="BP33" s="897"/>
      <c r="BQ33" s="897"/>
      <c r="BR33" s="897"/>
      <c r="BS33" s="897"/>
      <c r="BT33" s="897"/>
      <c r="BU33" s="897"/>
      <c r="BV33" s="897"/>
      <c r="BW33" s="897"/>
      <c r="BX33" s="897"/>
      <c r="BY33" s="897"/>
      <c r="BZ33" s="897"/>
      <c r="CA33" s="897"/>
      <c r="CB33" s="897"/>
      <c r="CC33" s="897"/>
      <c r="CD33" s="897"/>
      <c r="CE33" s="897"/>
      <c r="CF33" s="897"/>
      <c r="CG33" s="897"/>
      <c r="CH33" s="897"/>
      <c r="CI33" s="3185">
        <f t="shared" si="0"/>
        <v>165</v>
      </c>
    </row>
    <row r="34" spans="1:87" ht="45">
      <c r="A34" s="1179" t="s">
        <v>4048</v>
      </c>
      <c r="B34" s="1080"/>
      <c r="C34" s="1080" t="s">
        <v>3992</v>
      </c>
      <c r="D34" s="1699" t="s">
        <v>80</v>
      </c>
      <c r="E34" s="2623" t="s">
        <v>3989</v>
      </c>
      <c r="F34" s="2625">
        <v>0</v>
      </c>
      <c r="G34" s="286"/>
      <c r="H34" s="287">
        <v>0</v>
      </c>
      <c r="I34" s="287"/>
      <c r="J34" s="642"/>
      <c r="K34" s="325"/>
      <c r="L34" s="283">
        <v>500000</v>
      </c>
      <c r="M34" s="298">
        <f t="shared" si="3"/>
        <v>5</v>
      </c>
      <c r="N34" s="283">
        <v>1</v>
      </c>
      <c r="O34" s="3009">
        <f t="shared" si="4"/>
        <v>5</v>
      </c>
      <c r="P34" s="725" t="s">
        <v>5494</v>
      </c>
      <c r="Q34" s="2300" t="str">
        <f>'Abs21. NPCCHH'!Q9</f>
        <v xml:space="preserve">Not recommended for approval </v>
      </c>
      <c r="R34" s="3014">
        <f>'Abs21. NPCCHH'!R9</f>
        <v>0</v>
      </c>
      <c r="BB34" s="3185"/>
      <c r="BC34" s="3185"/>
      <c r="BD34" s="3185"/>
      <c r="BE34" s="3185"/>
      <c r="BF34" s="3185"/>
      <c r="BG34" s="3185"/>
      <c r="BH34" s="3185"/>
      <c r="BI34" s="3185"/>
      <c r="BJ34" s="3185"/>
      <c r="BK34" s="3185"/>
      <c r="BL34" s="3185"/>
      <c r="BM34" s="3185"/>
      <c r="BN34" s="3185"/>
      <c r="BO34" s="3185"/>
      <c r="BP34" s="3185"/>
      <c r="BQ34" s="3185"/>
      <c r="BR34" s="3185"/>
      <c r="BS34" s="3185"/>
      <c r="BT34" s="3185"/>
      <c r="BU34" s="3185"/>
      <c r="BV34" s="3185"/>
      <c r="BW34" s="3185"/>
      <c r="BX34" s="3185"/>
      <c r="BY34" s="3185"/>
      <c r="BZ34" s="3185"/>
      <c r="CA34" s="3185"/>
      <c r="CB34" s="3185"/>
      <c r="CC34" s="3185"/>
      <c r="CD34" s="3185"/>
      <c r="CE34" s="3185"/>
      <c r="CF34" s="3185"/>
      <c r="CG34" s="3185"/>
      <c r="CH34" s="3185"/>
      <c r="CI34" s="3185">
        <f t="shared" si="0"/>
        <v>0</v>
      </c>
    </row>
    <row r="35" spans="1:87" s="1129" customFormat="1">
      <c r="A35" s="1179" t="s">
        <v>4048</v>
      </c>
      <c r="B35" s="1179"/>
      <c r="C35" s="896" t="s">
        <v>4485</v>
      </c>
      <c r="D35" s="908" t="s">
        <v>65</v>
      </c>
      <c r="E35" s="945" t="s">
        <v>65</v>
      </c>
      <c r="F35" s="249">
        <v>0</v>
      </c>
      <c r="G35" s="249"/>
      <c r="H35" s="249">
        <v>0</v>
      </c>
      <c r="I35" s="249"/>
      <c r="J35" s="249"/>
      <c r="K35" s="324"/>
      <c r="L35" s="277"/>
      <c r="M35" s="297">
        <f t="shared" si="3"/>
        <v>0</v>
      </c>
      <c r="N35" s="277"/>
      <c r="O35" s="3007">
        <f t="shared" si="4"/>
        <v>0</v>
      </c>
      <c r="P35" s="719" t="s">
        <v>4472</v>
      </c>
      <c r="Q35" s="1265"/>
      <c r="R35" s="3012"/>
      <c r="BB35" s="897"/>
      <c r="BC35" s="897"/>
      <c r="BD35" s="897"/>
      <c r="BE35" s="897"/>
      <c r="BF35" s="897"/>
      <c r="BG35" s="897"/>
      <c r="BH35" s="897"/>
      <c r="BI35" s="897"/>
      <c r="BJ35" s="897"/>
      <c r="BK35" s="897"/>
      <c r="BL35" s="897"/>
      <c r="BM35" s="897"/>
      <c r="BN35" s="897"/>
      <c r="BO35" s="897"/>
      <c r="BP35" s="897"/>
      <c r="BQ35" s="897"/>
      <c r="BR35" s="897"/>
      <c r="BS35" s="897"/>
      <c r="BT35" s="897"/>
      <c r="BU35" s="897"/>
      <c r="BV35" s="897"/>
      <c r="BW35" s="897"/>
      <c r="BX35" s="897"/>
      <c r="BY35" s="897"/>
      <c r="BZ35" s="897"/>
      <c r="CA35" s="897"/>
      <c r="CB35" s="897"/>
      <c r="CC35" s="897"/>
      <c r="CD35" s="897"/>
      <c r="CE35" s="897"/>
      <c r="CF35" s="897"/>
      <c r="CG35" s="897"/>
      <c r="CH35" s="897"/>
      <c r="CI35" s="3185">
        <f t="shared" si="0"/>
        <v>0</v>
      </c>
    </row>
    <row r="36" spans="1:87" ht="60">
      <c r="A36" s="1257" t="s">
        <v>310</v>
      </c>
      <c r="B36" s="1256" t="s">
        <v>2720</v>
      </c>
      <c r="C36" s="1257" t="s">
        <v>4406</v>
      </c>
      <c r="D36" s="1258"/>
      <c r="E36" s="1258"/>
      <c r="F36" s="292"/>
      <c r="G36" s="292"/>
      <c r="H36" s="292"/>
      <c r="I36" s="292"/>
      <c r="J36" s="292"/>
      <c r="K36" s="292"/>
      <c r="L36" s="292"/>
      <c r="M36" s="1260"/>
      <c r="N36" s="320"/>
      <c r="O36" s="3006">
        <f>SUM(O37:O45)</f>
        <v>2358.02</v>
      </c>
      <c r="P36" s="723"/>
      <c r="Q36" s="1264"/>
      <c r="R36" s="2932">
        <f>SUM(R37:R45)</f>
        <v>2253.02</v>
      </c>
      <c r="BB36" s="3185"/>
      <c r="BC36" s="3185"/>
      <c r="BD36" s="3185"/>
      <c r="BE36" s="3185"/>
      <c r="BF36" s="3185"/>
      <c r="BG36" s="3185"/>
      <c r="BH36" s="3185"/>
      <c r="BI36" s="3185"/>
      <c r="BJ36" s="3185"/>
      <c r="BK36" s="3185"/>
      <c r="BL36" s="3185"/>
      <c r="BM36" s="3185"/>
      <c r="BN36" s="3185"/>
      <c r="BO36" s="3185"/>
      <c r="BP36" s="3185"/>
      <c r="BQ36" s="3185"/>
      <c r="BR36" s="3185"/>
      <c r="BS36" s="3185"/>
      <c r="BT36" s="3185"/>
      <c r="BU36" s="3185"/>
      <c r="BV36" s="3185"/>
      <c r="BW36" s="3185"/>
      <c r="BX36" s="3185"/>
      <c r="BY36" s="3185"/>
      <c r="BZ36" s="3185"/>
      <c r="CA36" s="3185"/>
      <c r="CB36" s="3185"/>
      <c r="CC36" s="3185"/>
      <c r="CD36" s="3185"/>
      <c r="CE36" s="3185"/>
      <c r="CF36" s="3185"/>
      <c r="CG36" s="3185"/>
      <c r="CH36" s="3185"/>
      <c r="CI36" s="3185">
        <f t="shared" si="0"/>
        <v>0</v>
      </c>
    </row>
    <row r="37" spans="1:87" s="1129" customFormat="1" ht="30">
      <c r="A37" s="1080" t="s">
        <v>4049</v>
      </c>
      <c r="B37" s="882" t="s">
        <v>2713</v>
      </c>
      <c r="C37" s="896" t="s">
        <v>296</v>
      </c>
      <c r="D37" s="908" t="s">
        <v>65</v>
      </c>
      <c r="E37" s="945" t="s">
        <v>65</v>
      </c>
      <c r="F37" s="2637">
        <v>0</v>
      </c>
      <c r="G37" s="253"/>
      <c r="H37" s="254"/>
      <c r="I37" s="254"/>
      <c r="J37" s="252"/>
      <c r="K37" s="252"/>
      <c r="L37" s="277"/>
      <c r="M37" s="297">
        <f t="shared" ref="M37:M45" si="5">L37/100000</f>
        <v>0</v>
      </c>
      <c r="N37" s="277"/>
      <c r="O37" s="3007">
        <f t="shared" ref="O37:O42" si="6">M37*N37</f>
        <v>0</v>
      </c>
      <c r="P37" s="717"/>
      <c r="Q37" s="1278"/>
      <c r="R37" s="2921"/>
      <c r="BB37" s="897"/>
      <c r="BC37" s="897"/>
      <c r="BD37" s="897"/>
      <c r="BE37" s="897"/>
      <c r="BF37" s="897"/>
      <c r="BG37" s="897"/>
      <c r="BH37" s="897"/>
      <c r="BI37" s="897"/>
      <c r="BJ37" s="897"/>
      <c r="BK37" s="897"/>
      <c r="BL37" s="897"/>
      <c r="BM37" s="897"/>
      <c r="BN37" s="897"/>
      <c r="BO37" s="897"/>
      <c r="BP37" s="897"/>
      <c r="BQ37" s="897"/>
      <c r="BR37" s="897"/>
      <c r="BS37" s="897"/>
      <c r="BT37" s="897"/>
      <c r="BU37" s="897"/>
      <c r="BV37" s="897"/>
      <c r="BW37" s="897"/>
      <c r="BX37" s="897"/>
      <c r="BY37" s="897"/>
      <c r="BZ37" s="897"/>
      <c r="CA37" s="897"/>
      <c r="CB37" s="897"/>
      <c r="CC37" s="897"/>
      <c r="CD37" s="897"/>
      <c r="CE37" s="897"/>
      <c r="CF37" s="897"/>
      <c r="CG37" s="897"/>
      <c r="CH37" s="897"/>
      <c r="CI37" s="3185">
        <f t="shared" si="0"/>
        <v>0</v>
      </c>
    </row>
    <row r="38" spans="1:87" s="1129" customFormat="1">
      <c r="A38" s="1080" t="s">
        <v>4050</v>
      </c>
      <c r="B38" s="882" t="s">
        <v>2718</v>
      </c>
      <c r="C38" s="882" t="s">
        <v>300</v>
      </c>
      <c r="D38" s="908" t="s">
        <v>65</v>
      </c>
      <c r="E38" s="945" t="s">
        <v>65</v>
      </c>
      <c r="F38" s="2637">
        <v>0</v>
      </c>
      <c r="G38" s="253"/>
      <c r="H38" s="254"/>
      <c r="I38" s="254"/>
      <c r="J38" s="252"/>
      <c r="K38" s="252"/>
      <c r="L38" s="277"/>
      <c r="M38" s="297">
        <f t="shared" si="5"/>
        <v>0</v>
      </c>
      <c r="N38" s="277"/>
      <c r="O38" s="3007">
        <f t="shared" si="6"/>
        <v>0</v>
      </c>
      <c r="P38" s="726"/>
      <c r="Q38" s="1278"/>
      <c r="R38" s="2921"/>
      <c r="BB38" s="897"/>
      <c r="BC38" s="897"/>
      <c r="BD38" s="897"/>
      <c r="BE38" s="897"/>
      <c r="BF38" s="897"/>
      <c r="BG38" s="897"/>
      <c r="BH38" s="897"/>
      <c r="BI38" s="897"/>
      <c r="BJ38" s="897"/>
      <c r="BK38" s="897"/>
      <c r="BL38" s="897"/>
      <c r="BM38" s="897"/>
      <c r="BN38" s="897"/>
      <c r="BO38" s="897"/>
      <c r="BP38" s="897"/>
      <c r="BQ38" s="897"/>
      <c r="BR38" s="897"/>
      <c r="BS38" s="897"/>
      <c r="BT38" s="897"/>
      <c r="BU38" s="897"/>
      <c r="BV38" s="897"/>
      <c r="BW38" s="897"/>
      <c r="BX38" s="897"/>
      <c r="BY38" s="897"/>
      <c r="BZ38" s="897"/>
      <c r="CA38" s="897"/>
      <c r="CB38" s="897"/>
      <c r="CC38" s="897"/>
      <c r="CD38" s="897"/>
      <c r="CE38" s="897"/>
      <c r="CF38" s="897"/>
      <c r="CG38" s="897"/>
      <c r="CH38" s="897"/>
      <c r="CI38" s="3185">
        <f t="shared" si="0"/>
        <v>0</v>
      </c>
    </row>
    <row r="39" spans="1:87" s="1129" customFormat="1">
      <c r="A39" s="1080" t="s">
        <v>4051</v>
      </c>
      <c r="B39" s="882" t="s">
        <v>2714</v>
      </c>
      <c r="C39" s="882" t="s">
        <v>297</v>
      </c>
      <c r="D39" s="908" t="s">
        <v>65</v>
      </c>
      <c r="E39" s="945" t="s">
        <v>65</v>
      </c>
      <c r="F39" s="2637">
        <v>0</v>
      </c>
      <c r="G39" s="253"/>
      <c r="H39" s="254"/>
      <c r="I39" s="254"/>
      <c r="J39" s="252"/>
      <c r="K39" s="252"/>
      <c r="L39" s="277"/>
      <c r="M39" s="297">
        <f t="shared" si="5"/>
        <v>0</v>
      </c>
      <c r="N39" s="277"/>
      <c r="O39" s="3007">
        <f t="shared" si="6"/>
        <v>0</v>
      </c>
      <c r="P39" s="717"/>
      <c r="Q39" s="1278"/>
      <c r="R39" s="2921"/>
      <c r="BB39" s="897"/>
      <c r="BC39" s="897"/>
      <c r="BD39" s="897"/>
      <c r="BE39" s="897"/>
      <c r="BF39" s="897"/>
      <c r="BG39" s="897"/>
      <c r="BH39" s="897"/>
      <c r="BI39" s="897"/>
      <c r="BJ39" s="897"/>
      <c r="BK39" s="897"/>
      <c r="BL39" s="897"/>
      <c r="BM39" s="897"/>
      <c r="BN39" s="897"/>
      <c r="BO39" s="897"/>
      <c r="BP39" s="897"/>
      <c r="BQ39" s="897"/>
      <c r="BR39" s="897"/>
      <c r="BS39" s="897"/>
      <c r="BT39" s="897"/>
      <c r="BU39" s="897"/>
      <c r="BV39" s="897"/>
      <c r="BW39" s="897"/>
      <c r="BX39" s="897"/>
      <c r="BY39" s="897"/>
      <c r="BZ39" s="897"/>
      <c r="CA39" s="897"/>
      <c r="CB39" s="897"/>
      <c r="CC39" s="897"/>
      <c r="CD39" s="897"/>
      <c r="CE39" s="897"/>
      <c r="CF39" s="897"/>
      <c r="CG39" s="897"/>
      <c r="CH39" s="897"/>
      <c r="CI39" s="3185">
        <f t="shared" si="0"/>
        <v>0</v>
      </c>
    </row>
    <row r="40" spans="1:87" s="1129" customFormat="1">
      <c r="A40" s="1080" t="s">
        <v>4052</v>
      </c>
      <c r="B40" s="882" t="s">
        <v>2715</v>
      </c>
      <c r="C40" s="882" t="s">
        <v>298</v>
      </c>
      <c r="D40" s="908" t="s">
        <v>65</v>
      </c>
      <c r="E40" s="945" t="s">
        <v>65</v>
      </c>
      <c r="F40" s="2637">
        <v>0</v>
      </c>
      <c r="G40" s="253"/>
      <c r="H40" s="254"/>
      <c r="I40" s="254"/>
      <c r="J40" s="252"/>
      <c r="K40" s="252"/>
      <c r="L40" s="277"/>
      <c r="M40" s="297">
        <f t="shared" si="5"/>
        <v>0</v>
      </c>
      <c r="N40" s="277"/>
      <c r="O40" s="3007">
        <f t="shared" si="6"/>
        <v>0</v>
      </c>
      <c r="P40" s="717"/>
      <c r="Q40" s="1278"/>
      <c r="R40" s="2921"/>
      <c r="BB40" s="897"/>
      <c r="BC40" s="897"/>
      <c r="BD40" s="897"/>
      <c r="BE40" s="897"/>
      <c r="BF40" s="897"/>
      <c r="BG40" s="897"/>
      <c r="BH40" s="897"/>
      <c r="BI40" s="897"/>
      <c r="BJ40" s="897"/>
      <c r="BK40" s="897"/>
      <c r="BL40" s="897"/>
      <c r="BM40" s="897"/>
      <c r="BN40" s="897"/>
      <c r="BO40" s="897"/>
      <c r="BP40" s="897"/>
      <c r="BQ40" s="897"/>
      <c r="BR40" s="897"/>
      <c r="BS40" s="897"/>
      <c r="BT40" s="897"/>
      <c r="BU40" s="897"/>
      <c r="BV40" s="897"/>
      <c r="BW40" s="897"/>
      <c r="BX40" s="897"/>
      <c r="BY40" s="897"/>
      <c r="BZ40" s="897"/>
      <c r="CA40" s="897"/>
      <c r="CB40" s="897"/>
      <c r="CC40" s="897"/>
      <c r="CD40" s="897"/>
      <c r="CE40" s="897"/>
      <c r="CF40" s="897"/>
      <c r="CG40" s="897"/>
      <c r="CH40" s="897"/>
      <c r="CI40" s="3185">
        <f t="shared" si="0"/>
        <v>0</v>
      </c>
    </row>
    <row r="41" spans="1:87" s="1129" customFormat="1">
      <c r="A41" s="1080" t="s">
        <v>4053</v>
      </c>
      <c r="B41" s="882" t="s">
        <v>2716</v>
      </c>
      <c r="C41" s="1269" t="s">
        <v>5098</v>
      </c>
      <c r="D41" s="908" t="s">
        <v>65</v>
      </c>
      <c r="E41" s="945" t="s">
        <v>4218</v>
      </c>
      <c r="F41" s="2637">
        <v>0</v>
      </c>
      <c r="G41" s="253"/>
      <c r="H41" s="254"/>
      <c r="I41" s="254"/>
      <c r="J41" s="252"/>
      <c r="K41" s="252"/>
      <c r="L41" s="277"/>
      <c r="M41" s="297">
        <f t="shared" si="5"/>
        <v>0</v>
      </c>
      <c r="N41" s="277"/>
      <c r="O41" s="3007">
        <f t="shared" si="6"/>
        <v>0</v>
      </c>
      <c r="P41" s="726"/>
      <c r="Q41" s="1265">
        <f>'Abs6. CPHC'!Q12</f>
        <v>0</v>
      </c>
      <c r="R41" s="2936">
        <f>'Abs6. CPHC'!R12</f>
        <v>0</v>
      </c>
      <c r="BB41" s="897"/>
      <c r="BC41" s="897"/>
      <c r="BD41" s="897"/>
      <c r="BE41" s="897"/>
      <c r="BF41" s="897"/>
      <c r="BG41" s="897"/>
      <c r="BH41" s="897"/>
      <c r="BI41" s="897"/>
      <c r="BJ41" s="897"/>
      <c r="BK41" s="897"/>
      <c r="BL41" s="897"/>
      <c r="BM41" s="897"/>
      <c r="BN41" s="897"/>
      <c r="BO41" s="897"/>
      <c r="BP41" s="897"/>
      <c r="BQ41" s="897"/>
      <c r="BR41" s="897"/>
      <c r="BS41" s="897"/>
      <c r="BT41" s="897"/>
      <c r="BU41" s="897"/>
      <c r="BV41" s="897"/>
      <c r="BW41" s="897"/>
      <c r="BX41" s="897"/>
      <c r="BY41" s="897"/>
      <c r="BZ41" s="897"/>
      <c r="CA41" s="897"/>
      <c r="CB41" s="897"/>
      <c r="CC41" s="897"/>
      <c r="CD41" s="897"/>
      <c r="CE41" s="897"/>
      <c r="CF41" s="897"/>
      <c r="CG41" s="897"/>
      <c r="CH41" s="897"/>
      <c r="CI41" s="3185">
        <f t="shared" si="0"/>
        <v>0</v>
      </c>
    </row>
    <row r="42" spans="1:87" ht="113.25" customHeight="1">
      <c r="A42" s="1080" t="s">
        <v>4054</v>
      </c>
      <c r="B42" s="1080" t="s">
        <v>2717</v>
      </c>
      <c r="C42" s="1080" t="s">
        <v>5106</v>
      </c>
      <c r="D42" s="2095" t="s">
        <v>65</v>
      </c>
      <c r="E42" s="3476" t="s">
        <v>2312</v>
      </c>
      <c r="F42" s="324">
        <v>7</v>
      </c>
      <c r="G42" s="3477">
        <v>4</v>
      </c>
      <c r="H42" s="3478">
        <v>952</v>
      </c>
      <c r="I42" s="3479" t="s">
        <v>5266</v>
      </c>
      <c r="J42" s="3477">
        <v>476</v>
      </c>
      <c r="K42" s="324"/>
      <c r="L42" s="3477">
        <v>33686000</v>
      </c>
      <c r="M42" s="212">
        <f t="shared" si="5"/>
        <v>336.86</v>
      </c>
      <c r="N42" s="3477">
        <v>7</v>
      </c>
      <c r="O42" s="2995">
        <f t="shared" si="6"/>
        <v>2358.02</v>
      </c>
      <c r="P42" s="3480" t="s">
        <v>5267</v>
      </c>
      <c r="Q42" s="2300" t="str">
        <f>'Ab1. RMNCH+A'!Q33</f>
        <v xml:space="preserve">Ongoing activity; Recommended for approval Rs 2353.02 lakh with the conditionality that utilisation certificate will be shared for each of the facility.Rs 1209.00 Lakhs have been recommended for approval in SPIP 2020-2021. </v>
      </c>
      <c r="R42" s="3481">
        <f>'Ab1. RMNCH+A'!R33</f>
        <v>2253.02</v>
      </c>
      <c r="BB42" s="3185">
        <v>2253.02</v>
      </c>
      <c r="BC42" s="3185"/>
      <c r="BD42" s="3185"/>
      <c r="BE42" s="3185"/>
      <c r="BF42" s="3185"/>
      <c r="BG42" s="3185"/>
      <c r="BH42" s="3185"/>
      <c r="BI42" s="3185"/>
      <c r="BJ42" s="3185"/>
      <c r="BK42" s="3185"/>
      <c r="BL42" s="3185"/>
      <c r="BM42" s="3185"/>
      <c r="BN42" s="3185"/>
      <c r="BO42" s="3185"/>
      <c r="BP42" s="3185"/>
      <c r="BQ42" s="3185"/>
      <c r="BR42" s="3185"/>
      <c r="BS42" s="3185"/>
      <c r="BT42" s="3185"/>
      <c r="BU42" s="3185"/>
      <c r="BV42" s="3185"/>
      <c r="BW42" s="3185"/>
      <c r="BX42" s="3185"/>
      <c r="BY42" s="3185"/>
      <c r="BZ42" s="3185"/>
      <c r="CA42" s="3185"/>
      <c r="CB42" s="3185"/>
      <c r="CC42" s="3185"/>
      <c r="CD42" s="3185"/>
      <c r="CE42" s="3185"/>
      <c r="CF42" s="3185"/>
      <c r="CG42" s="3185"/>
      <c r="CH42" s="3185"/>
      <c r="CI42" s="3185">
        <f t="shared" si="0"/>
        <v>2253.02</v>
      </c>
    </row>
    <row r="43" spans="1:87" s="1129" customFormat="1" ht="60">
      <c r="A43" s="1080" t="s">
        <v>4055</v>
      </c>
      <c r="B43" s="1080"/>
      <c r="C43" s="1270" t="s">
        <v>5107</v>
      </c>
      <c r="D43" s="908" t="s">
        <v>65</v>
      </c>
      <c r="E43" s="945" t="s">
        <v>4632</v>
      </c>
      <c r="F43" s="252">
        <v>0</v>
      </c>
      <c r="G43" s="253"/>
      <c r="H43" s="254">
        <v>0</v>
      </c>
      <c r="I43" s="254"/>
      <c r="J43" s="252"/>
      <c r="K43" s="252"/>
      <c r="L43" s="277"/>
      <c r="M43" s="297">
        <f t="shared" si="5"/>
        <v>0</v>
      </c>
      <c r="N43" s="277"/>
      <c r="O43" s="3007">
        <f>M43*N43</f>
        <v>0</v>
      </c>
      <c r="P43" s="717"/>
      <c r="Q43" s="1268" t="str">
        <f>'Ab1. RMNCH+A'!Q122</f>
        <v>-</v>
      </c>
      <c r="R43" s="2924">
        <f>'Ab1. RMNCH+A'!R122</f>
        <v>0</v>
      </c>
      <c r="BB43" s="897"/>
      <c r="BC43" s="897"/>
      <c r="BD43" s="897"/>
      <c r="BE43" s="897"/>
      <c r="BF43" s="897"/>
      <c r="BG43" s="897"/>
      <c r="BH43" s="897"/>
      <c r="BI43" s="897"/>
      <c r="BJ43" s="897"/>
      <c r="BK43" s="897"/>
      <c r="BL43" s="897"/>
      <c r="BM43" s="897"/>
      <c r="BN43" s="897"/>
      <c r="BO43" s="897"/>
      <c r="BP43" s="897"/>
      <c r="BQ43" s="897"/>
      <c r="BR43" s="897"/>
      <c r="BS43" s="897"/>
      <c r="BT43" s="897"/>
      <c r="BU43" s="897"/>
      <c r="BV43" s="897"/>
      <c r="BW43" s="897"/>
      <c r="BX43" s="897"/>
      <c r="BY43" s="897"/>
      <c r="BZ43" s="897"/>
      <c r="CA43" s="897"/>
      <c r="CB43" s="897"/>
      <c r="CC43" s="897"/>
      <c r="CD43" s="897"/>
      <c r="CE43" s="897"/>
      <c r="CF43" s="897"/>
      <c r="CG43" s="897"/>
      <c r="CH43" s="897"/>
      <c r="CI43" s="3185">
        <f t="shared" si="0"/>
        <v>0</v>
      </c>
    </row>
    <row r="44" spans="1:87" s="1129" customFormat="1">
      <c r="A44" s="1080" t="s">
        <v>4056</v>
      </c>
      <c r="B44" s="882" t="s">
        <v>2719</v>
      </c>
      <c r="C44" s="882" t="s">
        <v>301</v>
      </c>
      <c r="D44" s="908" t="s">
        <v>65</v>
      </c>
      <c r="E44" s="945" t="s">
        <v>65</v>
      </c>
      <c r="F44" s="252">
        <v>0</v>
      </c>
      <c r="G44" s="253"/>
      <c r="H44" s="254"/>
      <c r="I44" s="254"/>
      <c r="J44" s="252"/>
      <c r="K44" s="252"/>
      <c r="L44" s="277"/>
      <c r="M44" s="297">
        <f t="shared" si="5"/>
        <v>0</v>
      </c>
      <c r="N44" s="277"/>
      <c r="O44" s="3007">
        <f>M44*N44</f>
        <v>0</v>
      </c>
      <c r="P44" s="726"/>
      <c r="Q44" s="1278"/>
      <c r="R44" s="2921"/>
      <c r="BB44" s="897"/>
      <c r="BC44" s="897"/>
      <c r="BD44" s="897"/>
      <c r="BE44" s="897"/>
      <c r="BF44" s="897"/>
      <c r="BG44" s="897"/>
      <c r="BH44" s="897"/>
      <c r="BI44" s="897"/>
      <c r="BJ44" s="897"/>
      <c r="BK44" s="897"/>
      <c r="BL44" s="897"/>
      <c r="BM44" s="897"/>
      <c r="BN44" s="897"/>
      <c r="BO44" s="897"/>
      <c r="BP44" s="897"/>
      <c r="BQ44" s="897"/>
      <c r="BR44" s="897"/>
      <c r="BS44" s="897"/>
      <c r="BT44" s="897"/>
      <c r="BU44" s="897"/>
      <c r="BV44" s="897"/>
      <c r="BW44" s="897"/>
      <c r="BX44" s="897"/>
      <c r="BY44" s="897"/>
      <c r="BZ44" s="897"/>
      <c r="CA44" s="897"/>
      <c r="CB44" s="897"/>
      <c r="CC44" s="897"/>
      <c r="CD44" s="897"/>
      <c r="CE44" s="897"/>
      <c r="CF44" s="897"/>
      <c r="CG44" s="897"/>
      <c r="CH44" s="897"/>
      <c r="CI44" s="3185">
        <f t="shared" si="0"/>
        <v>0</v>
      </c>
    </row>
    <row r="45" spans="1:87" s="1129" customFormat="1">
      <c r="A45" s="1080" t="s">
        <v>4057</v>
      </c>
      <c r="B45" s="1080"/>
      <c r="C45" s="882" t="s">
        <v>4485</v>
      </c>
      <c r="D45" s="908" t="s">
        <v>65</v>
      </c>
      <c r="E45" s="945" t="s">
        <v>65</v>
      </c>
      <c r="F45" s="252">
        <v>0</v>
      </c>
      <c r="G45" s="253"/>
      <c r="H45" s="254"/>
      <c r="I45" s="254"/>
      <c r="J45" s="252"/>
      <c r="K45" s="252"/>
      <c r="L45" s="277"/>
      <c r="M45" s="297">
        <f t="shared" si="5"/>
        <v>0</v>
      </c>
      <c r="N45" s="277"/>
      <c r="O45" s="3007">
        <f t="shared" ref="O45:O52" si="7">M45*N45</f>
        <v>0</v>
      </c>
      <c r="P45" s="717"/>
      <c r="Q45" s="1278"/>
      <c r="R45" s="2921"/>
      <c r="BB45" s="897"/>
      <c r="BC45" s="897"/>
      <c r="BD45" s="897"/>
      <c r="BE45" s="897"/>
      <c r="BF45" s="897"/>
      <c r="BG45" s="897"/>
      <c r="BH45" s="897"/>
      <c r="BI45" s="897"/>
      <c r="BJ45" s="897"/>
      <c r="BK45" s="897"/>
      <c r="BL45" s="897"/>
      <c r="BM45" s="897"/>
      <c r="BN45" s="897"/>
      <c r="BO45" s="897"/>
      <c r="BP45" s="897"/>
      <c r="BQ45" s="897"/>
      <c r="BR45" s="897"/>
      <c r="BS45" s="897"/>
      <c r="BT45" s="897"/>
      <c r="BU45" s="897"/>
      <c r="BV45" s="897"/>
      <c r="BW45" s="897"/>
      <c r="BX45" s="897"/>
      <c r="BY45" s="897"/>
      <c r="BZ45" s="897"/>
      <c r="CA45" s="897"/>
      <c r="CB45" s="897"/>
      <c r="CC45" s="897"/>
      <c r="CD45" s="897"/>
      <c r="CE45" s="897"/>
      <c r="CF45" s="897"/>
      <c r="CG45" s="897"/>
      <c r="CH45" s="897"/>
      <c r="CI45" s="3185">
        <f t="shared" si="0"/>
        <v>0</v>
      </c>
    </row>
    <row r="46" spans="1:87" ht="45">
      <c r="A46" s="1255" t="s">
        <v>311</v>
      </c>
      <c r="B46" s="1256" t="s">
        <v>2711</v>
      </c>
      <c r="C46" s="1257" t="s">
        <v>312</v>
      </c>
      <c r="D46" s="1258"/>
      <c r="E46" s="1258"/>
      <c r="F46" s="292"/>
      <c r="G46" s="292"/>
      <c r="H46" s="292"/>
      <c r="I46" s="292"/>
      <c r="J46" s="292"/>
      <c r="K46" s="292"/>
      <c r="L46" s="292"/>
      <c r="M46" s="1260"/>
      <c r="N46" s="320"/>
      <c r="O46" s="3006">
        <f>SUM(O47:O53)</f>
        <v>0</v>
      </c>
      <c r="P46" s="723"/>
      <c r="Q46" s="1264"/>
      <c r="R46" s="2932">
        <f>SUM(R47:R53)</f>
        <v>0</v>
      </c>
      <c r="BB46" s="3185"/>
      <c r="BC46" s="3185"/>
      <c r="BD46" s="3185"/>
      <c r="BE46" s="3185"/>
      <c r="BF46" s="3185"/>
      <c r="BG46" s="3185"/>
      <c r="BH46" s="3185"/>
      <c r="BI46" s="3185"/>
      <c r="BJ46" s="3185"/>
      <c r="BK46" s="3185"/>
      <c r="BL46" s="3185"/>
      <c r="BM46" s="3185"/>
      <c r="BN46" s="3185"/>
      <c r="BO46" s="3185"/>
      <c r="BP46" s="3185"/>
      <c r="BQ46" s="3185"/>
      <c r="BR46" s="3185"/>
      <c r="BS46" s="3185"/>
      <c r="BT46" s="3185"/>
      <c r="BU46" s="3185"/>
      <c r="BV46" s="3185"/>
      <c r="BW46" s="3185"/>
      <c r="BX46" s="3185"/>
      <c r="BY46" s="3185"/>
      <c r="BZ46" s="3185"/>
      <c r="CA46" s="3185"/>
      <c r="CB46" s="3185"/>
      <c r="CC46" s="3185"/>
      <c r="CD46" s="3185"/>
      <c r="CE46" s="3185"/>
      <c r="CF46" s="3185"/>
      <c r="CG46" s="3185"/>
      <c r="CH46" s="3185"/>
      <c r="CI46" s="3185">
        <f t="shared" si="0"/>
        <v>0</v>
      </c>
    </row>
    <row r="47" spans="1:87" s="1129" customFormat="1" ht="30">
      <c r="A47" s="1179" t="s">
        <v>4058</v>
      </c>
      <c r="B47" s="882" t="s">
        <v>2721</v>
      </c>
      <c r="C47" s="896" t="s">
        <v>296</v>
      </c>
      <c r="D47" s="908" t="s">
        <v>65</v>
      </c>
      <c r="E47" s="945" t="s">
        <v>65</v>
      </c>
      <c r="F47" s="249">
        <v>0</v>
      </c>
      <c r="G47" s="249"/>
      <c r="H47" s="249"/>
      <c r="I47" s="249"/>
      <c r="J47" s="249"/>
      <c r="K47" s="249"/>
      <c r="L47" s="277"/>
      <c r="M47" s="297">
        <f t="shared" ref="M47:M53" si="8">L47/100000</f>
        <v>0</v>
      </c>
      <c r="N47" s="277"/>
      <c r="O47" s="3007">
        <f t="shared" si="7"/>
        <v>0</v>
      </c>
      <c r="P47" s="727"/>
      <c r="Q47" s="1278"/>
      <c r="R47" s="2921"/>
      <c r="BB47" s="897"/>
      <c r="BC47" s="897"/>
      <c r="BD47" s="897"/>
      <c r="BE47" s="897"/>
      <c r="BF47" s="897"/>
      <c r="BG47" s="897"/>
      <c r="BH47" s="897"/>
      <c r="BI47" s="897"/>
      <c r="BJ47" s="897"/>
      <c r="BK47" s="897"/>
      <c r="BL47" s="897"/>
      <c r="BM47" s="897"/>
      <c r="BN47" s="897"/>
      <c r="BO47" s="897"/>
      <c r="BP47" s="897"/>
      <c r="BQ47" s="897"/>
      <c r="BR47" s="897"/>
      <c r="BS47" s="897"/>
      <c r="BT47" s="897"/>
      <c r="BU47" s="897"/>
      <c r="BV47" s="897"/>
      <c r="BW47" s="897"/>
      <c r="BX47" s="897"/>
      <c r="BY47" s="897"/>
      <c r="BZ47" s="897"/>
      <c r="CA47" s="897"/>
      <c r="CB47" s="897"/>
      <c r="CC47" s="897"/>
      <c r="CD47" s="897"/>
      <c r="CE47" s="897"/>
      <c r="CF47" s="897"/>
      <c r="CG47" s="897"/>
      <c r="CH47" s="897"/>
      <c r="CI47" s="3185">
        <f t="shared" si="0"/>
        <v>0</v>
      </c>
    </row>
    <row r="48" spans="1:87" s="1129" customFormat="1">
      <c r="A48" s="1179" t="s">
        <v>4059</v>
      </c>
      <c r="B48" s="882" t="s">
        <v>2725</v>
      </c>
      <c r="C48" s="882" t="s">
        <v>300</v>
      </c>
      <c r="D48" s="908" t="s">
        <v>65</v>
      </c>
      <c r="E48" s="945" t="s">
        <v>65</v>
      </c>
      <c r="F48" s="252">
        <v>0</v>
      </c>
      <c r="G48" s="253"/>
      <c r="H48" s="254"/>
      <c r="I48" s="254"/>
      <c r="J48" s="252"/>
      <c r="K48" s="252"/>
      <c r="L48" s="277"/>
      <c r="M48" s="297">
        <f t="shared" si="8"/>
        <v>0</v>
      </c>
      <c r="N48" s="277"/>
      <c r="O48" s="3007">
        <f t="shared" si="7"/>
        <v>0</v>
      </c>
      <c r="P48" s="727"/>
      <c r="Q48" s="1278"/>
      <c r="R48" s="2921"/>
      <c r="BB48" s="897"/>
      <c r="BC48" s="897"/>
      <c r="BD48" s="897"/>
      <c r="BE48" s="897"/>
      <c r="BF48" s="897"/>
      <c r="BG48" s="897"/>
      <c r="BH48" s="897"/>
      <c r="BI48" s="897"/>
      <c r="BJ48" s="897"/>
      <c r="BK48" s="897"/>
      <c r="BL48" s="897"/>
      <c r="BM48" s="897"/>
      <c r="BN48" s="897"/>
      <c r="BO48" s="897"/>
      <c r="BP48" s="897"/>
      <c r="BQ48" s="897"/>
      <c r="BR48" s="897"/>
      <c r="BS48" s="897"/>
      <c r="BT48" s="897"/>
      <c r="BU48" s="897"/>
      <c r="BV48" s="897"/>
      <c r="BW48" s="897"/>
      <c r="BX48" s="897"/>
      <c r="BY48" s="897"/>
      <c r="BZ48" s="897"/>
      <c r="CA48" s="897"/>
      <c r="CB48" s="897"/>
      <c r="CC48" s="897"/>
      <c r="CD48" s="897"/>
      <c r="CE48" s="897"/>
      <c r="CF48" s="897"/>
      <c r="CG48" s="897"/>
      <c r="CH48" s="897"/>
      <c r="CI48" s="3185">
        <f t="shared" si="0"/>
        <v>0</v>
      </c>
    </row>
    <row r="49" spans="1:87" s="1129" customFormat="1">
      <c r="A49" s="1179" t="s">
        <v>4060</v>
      </c>
      <c r="B49" s="882" t="s">
        <v>2722</v>
      </c>
      <c r="C49" s="882" t="s">
        <v>297</v>
      </c>
      <c r="D49" s="908" t="s">
        <v>65</v>
      </c>
      <c r="E49" s="945" t="s">
        <v>65</v>
      </c>
      <c r="F49" s="252">
        <v>0</v>
      </c>
      <c r="G49" s="253"/>
      <c r="H49" s="254"/>
      <c r="I49" s="254"/>
      <c r="J49" s="252"/>
      <c r="K49" s="252"/>
      <c r="L49" s="277"/>
      <c r="M49" s="297">
        <f t="shared" si="8"/>
        <v>0</v>
      </c>
      <c r="N49" s="277"/>
      <c r="O49" s="3007">
        <f t="shared" si="7"/>
        <v>0</v>
      </c>
      <c r="P49" s="727"/>
      <c r="Q49" s="1278"/>
      <c r="R49" s="2921"/>
      <c r="BB49" s="897"/>
      <c r="BC49" s="897"/>
      <c r="BD49" s="897"/>
      <c r="BE49" s="897"/>
      <c r="BF49" s="897"/>
      <c r="BG49" s="897"/>
      <c r="BH49" s="897"/>
      <c r="BI49" s="897"/>
      <c r="BJ49" s="897"/>
      <c r="BK49" s="897"/>
      <c r="BL49" s="897"/>
      <c r="BM49" s="897"/>
      <c r="BN49" s="897"/>
      <c r="BO49" s="897"/>
      <c r="BP49" s="897"/>
      <c r="BQ49" s="897"/>
      <c r="BR49" s="897"/>
      <c r="BS49" s="897"/>
      <c r="BT49" s="897"/>
      <c r="BU49" s="897"/>
      <c r="BV49" s="897"/>
      <c r="BW49" s="897"/>
      <c r="BX49" s="897"/>
      <c r="BY49" s="897"/>
      <c r="BZ49" s="897"/>
      <c r="CA49" s="897"/>
      <c r="CB49" s="897"/>
      <c r="CC49" s="897"/>
      <c r="CD49" s="897"/>
      <c r="CE49" s="897"/>
      <c r="CF49" s="897"/>
      <c r="CG49" s="897"/>
      <c r="CH49" s="897"/>
      <c r="CI49" s="3185">
        <f t="shared" si="0"/>
        <v>0</v>
      </c>
    </row>
    <row r="50" spans="1:87" s="1129" customFormat="1">
      <c r="A50" s="1179" t="s">
        <v>4061</v>
      </c>
      <c r="B50" s="882" t="s">
        <v>2723</v>
      </c>
      <c r="C50" s="882" t="s">
        <v>298</v>
      </c>
      <c r="D50" s="908" t="s">
        <v>65</v>
      </c>
      <c r="E50" s="945" t="s">
        <v>65</v>
      </c>
      <c r="F50" s="252">
        <v>0</v>
      </c>
      <c r="G50" s="253"/>
      <c r="H50" s="254"/>
      <c r="I50" s="254"/>
      <c r="J50" s="252"/>
      <c r="K50" s="252"/>
      <c r="L50" s="277"/>
      <c r="M50" s="297">
        <f t="shared" si="8"/>
        <v>0</v>
      </c>
      <c r="N50" s="277"/>
      <c r="O50" s="3007">
        <f t="shared" si="7"/>
        <v>0</v>
      </c>
      <c r="P50" s="727"/>
      <c r="Q50" s="1278"/>
      <c r="R50" s="2921"/>
      <c r="BB50" s="897"/>
      <c r="BC50" s="897"/>
      <c r="BD50" s="897"/>
      <c r="BE50" s="897"/>
      <c r="BF50" s="897"/>
      <c r="BG50" s="897"/>
      <c r="BH50" s="897"/>
      <c r="BI50" s="897"/>
      <c r="BJ50" s="897"/>
      <c r="BK50" s="897"/>
      <c r="BL50" s="897"/>
      <c r="BM50" s="897"/>
      <c r="BN50" s="897"/>
      <c r="BO50" s="897"/>
      <c r="BP50" s="897"/>
      <c r="BQ50" s="897"/>
      <c r="BR50" s="897"/>
      <c r="BS50" s="897"/>
      <c r="BT50" s="897"/>
      <c r="BU50" s="897"/>
      <c r="BV50" s="897"/>
      <c r="BW50" s="897"/>
      <c r="BX50" s="897"/>
      <c r="BY50" s="897"/>
      <c r="BZ50" s="897"/>
      <c r="CA50" s="897"/>
      <c r="CB50" s="897"/>
      <c r="CC50" s="897"/>
      <c r="CD50" s="897"/>
      <c r="CE50" s="897"/>
      <c r="CF50" s="897"/>
      <c r="CG50" s="897"/>
      <c r="CH50" s="897"/>
      <c r="CI50" s="3185">
        <f t="shared" si="0"/>
        <v>0</v>
      </c>
    </row>
    <row r="51" spans="1:87" s="1129" customFormat="1">
      <c r="A51" s="1179" t="s">
        <v>4062</v>
      </c>
      <c r="B51" s="882" t="s">
        <v>2724</v>
      </c>
      <c r="C51" s="882" t="s">
        <v>299</v>
      </c>
      <c r="D51" s="908" t="s">
        <v>65</v>
      </c>
      <c r="E51" s="945" t="s">
        <v>65</v>
      </c>
      <c r="F51" s="252">
        <v>0</v>
      </c>
      <c r="G51" s="253"/>
      <c r="H51" s="254"/>
      <c r="I51" s="254"/>
      <c r="J51" s="252"/>
      <c r="K51" s="252"/>
      <c r="L51" s="277"/>
      <c r="M51" s="297">
        <f t="shared" si="8"/>
        <v>0</v>
      </c>
      <c r="N51" s="277"/>
      <c r="O51" s="3007">
        <f t="shared" si="7"/>
        <v>0</v>
      </c>
      <c r="P51" s="717"/>
      <c r="Q51" s="1278"/>
      <c r="R51" s="2921"/>
      <c r="BB51" s="897"/>
      <c r="BC51" s="897"/>
      <c r="BD51" s="897"/>
      <c r="BE51" s="897"/>
      <c r="BF51" s="897"/>
      <c r="BG51" s="897"/>
      <c r="BH51" s="897"/>
      <c r="BI51" s="897"/>
      <c r="BJ51" s="897"/>
      <c r="BK51" s="897"/>
      <c r="BL51" s="897"/>
      <c r="BM51" s="897"/>
      <c r="BN51" s="897"/>
      <c r="BO51" s="897"/>
      <c r="BP51" s="897"/>
      <c r="BQ51" s="897"/>
      <c r="BR51" s="897"/>
      <c r="BS51" s="897"/>
      <c r="BT51" s="897"/>
      <c r="BU51" s="897"/>
      <c r="BV51" s="897"/>
      <c r="BW51" s="897"/>
      <c r="BX51" s="897"/>
      <c r="BY51" s="897"/>
      <c r="BZ51" s="897"/>
      <c r="CA51" s="897"/>
      <c r="CB51" s="897"/>
      <c r="CC51" s="897"/>
      <c r="CD51" s="897"/>
      <c r="CE51" s="897"/>
      <c r="CF51" s="897"/>
      <c r="CG51" s="897"/>
      <c r="CH51" s="897"/>
      <c r="CI51" s="3185">
        <f t="shared" si="0"/>
        <v>0</v>
      </c>
    </row>
    <row r="52" spans="1:87" s="1129" customFormat="1" ht="30">
      <c r="A52" s="1179" t="s">
        <v>4063</v>
      </c>
      <c r="B52" s="882" t="s">
        <v>2726</v>
      </c>
      <c r="C52" s="882" t="s">
        <v>2727</v>
      </c>
      <c r="D52" s="908" t="s">
        <v>65</v>
      </c>
      <c r="E52" s="945" t="s">
        <v>65</v>
      </c>
      <c r="F52" s="327">
        <v>0</v>
      </c>
      <c r="G52" s="328"/>
      <c r="H52" s="254"/>
      <c r="I52" s="254"/>
      <c r="J52" s="327"/>
      <c r="K52" s="252"/>
      <c r="L52" s="277"/>
      <c r="M52" s="297">
        <f t="shared" si="8"/>
        <v>0</v>
      </c>
      <c r="N52" s="277"/>
      <c r="O52" s="3007">
        <f t="shared" si="7"/>
        <v>0</v>
      </c>
      <c r="P52" s="727"/>
      <c r="Q52" s="1278"/>
      <c r="R52" s="2921"/>
      <c r="BB52" s="897"/>
      <c r="BC52" s="897"/>
      <c r="BD52" s="897"/>
      <c r="BE52" s="897"/>
      <c r="BF52" s="897"/>
      <c r="BG52" s="897"/>
      <c r="BH52" s="897"/>
      <c r="BI52" s="897"/>
      <c r="BJ52" s="897"/>
      <c r="BK52" s="897"/>
      <c r="BL52" s="897"/>
      <c r="BM52" s="897"/>
      <c r="BN52" s="897"/>
      <c r="BO52" s="897"/>
      <c r="BP52" s="897"/>
      <c r="BQ52" s="897"/>
      <c r="BR52" s="897"/>
      <c r="BS52" s="897"/>
      <c r="BT52" s="897"/>
      <c r="BU52" s="897"/>
      <c r="BV52" s="897"/>
      <c r="BW52" s="897"/>
      <c r="BX52" s="897"/>
      <c r="BY52" s="897"/>
      <c r="BZ52" s="897"/>
      <c r="CA52" s="897"/>
      <c r="CB52" s="897"/>
      <c r="CC52" s="897"/>
      <c r="CD52" s="897"/>
      <c r="CE52" s="897"/>
      <c r="CF52" s="897"/>
      <c r="CG52" s="897"/>
      <c r="CH52" s="897"/>
      <c r="CI52" s="3185">
        <f t="shared" si="0"/>
        <v>0</v>
      </c>
    </row>
    <row r="53" spans="1:87" s="1129" customFormat="1">
      <c r="A53" s="1179" t="s">
        <v>4064</v>
      </c>
      <c r="B53" s="1080"/>
      <c r="C53" s="882" t="s">
        <v>4485</v>
      </c>
      <c r="D53" s="908" t="s">
        <v>65</v>
      </c>
      <c r="E53" s="945" t="s">
        <v>65</v>
      </c>
      <c r="F53" s="180">
        <v>0</v>
      </c>
      <c r="G53" s="180"/>
      <c r="H53" s="180"/>
      <c r="I53" s="180"/>
      <c r="J53" s="180"/>
      <c r="K53" s="180"/>
      <c r="L53" s="277"/>
      <c r="M53" s="297">
        <f t="shared" si="8"/>
        <v>0</v>
      </c>
      <c r="N53" s="277"/>
      <c r="O53" s="3007">
        <f>M53*N53</f>
        <v>0</v>
      </c>
      <c r="P53" s="728"/>
      <c r="Q53" s="1278"/>
      <c r="R53" s="2921"/>
      <c r="BB53" s="897"/>
      <c r="BC53" s="897"/>
      <c r="BD53" s="897"/>
      <c r="BE53" s="897"/>
      <c r="BF53" s="897"/>
      <c r="BG53" s="897"/>
      <c r="BH53" s="897"/>
      <c r="BI53" s="897"/>
      <c r="BJ53" s="897"/>
      <c r="BK53" s="897"/>
      <c r="BL53" s="897"/>
      <c r="BM53" s="897"/>
      <c r="BN53" s="897"/>
      <c r="BO53" s="897"/>
      <c r="BP53" s="897"/>
      <c r="BQ53" s="897"/>
      <c r="BR53" s="897"/>
      <c r="BS53" s="897"/>
      <c r="BT53" s="897"/>
      <c r="BU53" s="897"/>
      <c r="BV53" s="897"/>
      <c r="BW53" s="897"/>
      <c r="BX53" s="897"/>
      <c r="BY53" s="897"/>
      <c r="BZ53" s="897"/>
      <c r="CA53" s="897"/>
      <c r="CB53" s="897"/>
      <c r="CC53" s="897"/>
      <c r="CD53" s="897"/>
      <c r="CE53" s="897"/>
      <c r="CF53" s="897"/>
      <c r="CG53" s="897"/>
      <c r="CH53" s="897"/>
      <c r="CI53" s="3185">
        <f t="shared" si="0"/>
        <v>0</v>
      </c>
    </row>
    <row r="54" spans="1:87" s="1129" customFormat="1">
      <c r="A54" s="1251" t="s">
        <v>313</v>
      </c>
      <c r="B54" s="1194" t="s">
        <v>323</v>
      </c>
      <c r="C54" s="1061" t="s">
        <v>324</v>
      </c>
      <c r="D54" s="908" t="s">
        <v>65</v>
      </c>
      <c r="E54" s="997" t="s">
        <v>65</v>
      </c>
      <c r="F54" s="257"/>
      <c r="G54" s="257"/>
      <c r="H54" s="257"/>
      <c r="I54" s="257"/>
      <c r="J54" s="257"/>
      <c r="K54" s="257"/>
      <c r="L54" s="330"/>
      <c r="M54" s="216">
        <f>L54/100000</f>
        <v>0</v>
      </c>
      <c r="N54" s="51"/>
      <c r="O54" s="3005">
        <f>M54*N54</f>
        <v>0</v>
      </c>
      <c r="P54" s="718"/>
      <c r="Q54" s="1254"/>
      <c r="R54" s="3015"/>
      <c r="BB54" s="897"/>
      <c r="BC54" s="897"/>
      <c r="BD54" s="897"/>
      <c r="BE54" s="897"/>
      <c r="BF54" s="897"/>
      <c r="BG54" s="897"/>
      <c r="BH54" s="897"/>
      <c r="BI54" s="897"/>
      <c r="BJ54" s="897"/>
      <c r="BK54" s="897"/>
      <c r="BL54" s="897"/>
      <c r="BM54" s="897"/>
      <c r="BN54" s="897"/>
      <c r="BO54" s="897"/>
      <c r="BP54" s="897"/>
      <c r="BQ54" s="897"/>
      <c r="BR54" s="897"/>
      <c r="BS54" s="897"/>
      <c r="BT54" s="897"/>
      <c r="BU54" s="897"/>
      <c r="BV54" s="897"/>
      <c r="BW54" s="897"/>
      <c r="BX54" s="897"/>
      <c r="BY54" s="897"/>
      <c r="BZ54" s="897"/>
      <c r="CA54" s="897"/>
      <c r="CB54" s="897"/>
      <c r="CC54" s="897"/>
      <c r="CD54" s="897"/>
      <c r="CE54" s="897"/>
      <c r="CF54" s="897"/>
      <c r="CG54" s="897"/>
      <c r="CH54" s="897"/>
      <c r="CI54" s="3185">
        <f t="shared" si="0"/>
        <v>0</v>
      </c>
    </row>
    <row r="55" spans="1:87">
      <c r="A55" s="331">
        <v>5.2</v>
      </c>
      <c r="B55" s="331"/>
      <c r="C55" s="1053" t="s">
        <v>12</v>
      </c>
      <c r="D55" s="1245"/>
      <c r="E55" s="1245"/>
      <c r="F55" s="318"/>
      <c r="G55" s="318"/>
      <c r="H55" s="318"/>
      <c r="I55" s="318"/>
      <c r="J55" s="318"/>
      <c r="K55" s="318"/>
      <c r="L55" s="318"/>
      <c r="M55" s="1247"/>
      <c r="N55" s="319"/>
      <c r="O55" s="3004">
        <f>O56+O71</f>
        <v>195.774</v>
      </c>
      <c r="P55" s="722"/>
      <c r="Q55" s="1250"/>
      <c r="R55" s="2926">
        <f>R56+R71</f>
        <v>195.77</v>
      </c>
      <c r="BB55" s="3185"/>
      <c r="BC55" s="3185"/>
      <c r="BD55" s="3185"/>
      <c r="BE55" s="3185"/>
      <c r="BF55" s="3185"/>
      <c r="BG55" s="3185"/>
      <c r="BH55" s="3185"/>
      <c r="BI55" s="3185"/>
      <c r="BJ55" s="3185"/>
      <c r="BK55" s="3185"/>
      <c r="BL55" s="3185"/>
      <c r="BM55" s="3185"/>
      <c r="BN55" s="3185"/>
      <c r="BO55" s="3185"/>
      <c r="BP55" s="3185"/>
      <c r="BQ55" s="3185"/>
      <c r="BR55" s="3185"/>
      <c r="BS55" s="3185"/>
      <c r="BT55" s="3185"/>
      <c r="BU55" s="3185"/>
      <c r="BV55" s="3185"/>
      <c r="BW55" s="3185"/>
      <c r="BX55" s="3185"/>
      <c r="BY55" s="3185"/>
      <c r="BZ55" s="3185"/>
      <c r="CA55" s="3185"/>
      <c r="CB55" s="3185"/>
      <c r="CC55" s="3185"/>
      <c r="CD55" s="3185"/>
      <c r="CE55" s="3185"/>
      <c r="CF55" s="3185"/>
      <c r="CG55" s="3185"/>
      <c r="CH55" s="3185"/>
      <c r="CI55" s="3185">
        <f t="shared" si="0"/>
        <v>0</v>
      </c>
    </row>
    <row r="56" spans="1:87" ht="90">
      <c r="A56" s="1255" t="s">
        <v>325</v>
      </c>
      <c r="B56" s="1256" t="s">
        <v>2728</v>
      </c>
      <c r="C56" s="1257" t="s">
        <v>4211</v>
      </c>
      <c r="D56" s="1258"/>
      <c r="E56" s="1258"/>
      <c r="F56" s="292"/>
      <c r="G56" s="292"/>
      <c r="H56" s="292"/>
      <c r="I56" s="292"/>
      <c r="J56" s="292"/>
      <c r="K56" s="292"/>
      <c r="L56" s="292"/>
      <c r="M56" s="1260"/>
      <c r="N56" s="320"/>
      <c r="O56" s="3006">
        <f>SUM(O57:O70)</f>
        <v>195.774</v>
      </c>
      <c r="P56" s="2505" t="s">
        <v>5317</v>
      </c>
      <c r="Q56" s="1264"/>
      <c r="R56" s="2932">
        <f>SUM(R57:R70)</f>
        <v>195.77</v>
      </c>
      <c r="BB56" s="3185"/>
      <c r="BC56" s="3185"/>
      <c r="BD56" s="3185"/>
      <c r="BE56" s="3185"/>
      <c r="BF56" s="3185"/>
      <c r="BG56" s="3185"/>
      <c r="BH56" s="3185"/>
      <c r="BI56" s="3185"/>
      <c r="BJ56" s="3185"/>
      <c r="BK56" s="3185"/>
      <c r="BL56" s="3185"/>
      <c r="BM56" s="3185"/>
      <c r="BN56" s="3185"/>
      <c r="BO56" s="3185"/>
      <c r="BP56" s="3185"/>
      <c r="BQ56" s="3185"/>
      <c r="BR56" s="3185"/>
      <c r="BS56" s="3185"/>
      <c r="BT56" s="3185"/>
      <c r="BU56" s="3185"/>
      <c r="BV56" s="3185"/>
      <c r="BW56" s="3185"/>
      <c r="BX56" s="3185"/>
      <c r="BY56" s="3185"/>
      <c r="BZ56" s="3185"/>
      <c r="CA56" s="3185"/>
      <c r="CB56" s="3185"/>
      <c r="CC56" s="3185"/>
      <c r="CD56" s="3185"/>
      <c r="CE56" s="3185"/>
      <c r="CF56" s="3185"/>
      <c r="CG56" s="3185"/>
      <c r="CH56" s="3185"/>
      <c r="CI56" s="3185">
        <f t="shared" si="0"/>
        <v>0</v>
      </c>
    </row>
    <row r="57" spans="1:87" s="1129" customFormat="1">
      <c r="A57" s="1179" t="s">
        <v>326</v>
      </c>
      <c r="B57" s="882" t="s">
        <v>2734</v>
      </c>
      <c r="C57" s="882" t="s">
        <v>337</v>
      </c>
      <c r="D57" s="908" t="s">
        <v>65</v>
      </c>
      <c r="E57" s="945" t="s">
        <v>65</v>
      </c>
      <c r="F57" s="249">
        <v>0</v>
      </c>
      <c r="G57" s="249"/>
      <c r="H57" s="249"/>
      <c r="I57" s="249"/>
      <c r="J57" s="249"/>
      <c r="K57" s="249"/>
      <c r="L57" s="277"/>
      <c r="M57" s="297">
        <f t="shared" ref="M57:M70" si="9">L57/100000</f>
        <v>0</v>
      </c>
      <c r="N57" s="277"/>
      <c r="O57" s="3007">
        <f t="shared" ref="O57:O62" si="10">M57*N57</f>
        <v>0</v>
      </c>
      <c r="P57" s="717"/>
      <c r="Q57" s="1278"/>
      <c r="R57" s="2921"/>
      <c r="BB57" s="897"/>
      <c r="BC57" s="897"/>
      <c r="BD57" s="897"/>
      <c r="BE57" s="897"/>
      <c r="BF57" s="897"/>
      <c r="BG57" s="897"/>
      <c r="BH57" s="897"/>
      <c r="BI57" s="897"/>
      <c r="BJ57" s="897"/>
      <c r="BK57" s="897"/>
      <c r="BL57" s="897"/>
      <c r="BM57" s="897"/>
      <c r="BN57" s="897"/>
      <c r="BO57" s="897"/>
      <c r="BP57" s="897"/>
      <c r="BQ57" s="897"/>
      <c r="BR57" s="897"/>
      <c r="BS57" s="897"/>
      <c r="BT57" s="897"/>
      <c r="BU57" s="897"/>
      <c r="BV57" s="897"/>
      <c r="BW57" s="897"/>
      <c r="BX57" s="897"/>
      <c r="BY57" s="897"/>
      <c r="BZ57" s="897"/>
      <c r="CA57" s="897"/>
      <c r="CB57" s="897"/>
      <c r="CC57" s="897"/>
      <c r="CD57" s="897"/>
      <c r="CE57" s="897"/>
      <c r="CF57" s="897"/>
      <c r="CG57" s="897"/>
      <c r="CH57" s="897"/>
      <c r="CI57" s="3185">
        <f t="shared" si="0"/>
        <v>0</v>
      </c>
    </row>
    <row r="58" spans="1:87" s="1129" customFormat="1">
      <c r="A58" s="1179" t="s">
        <v>327</v>
      </c>
      <c r="B58" s="882" t="s">
        <v>2733</v>
      </c>
      <c r="C58" s="882" t="s">
        <v>300</v>
      </c>
      <c r="D58" s="908" t="s">
        <v>65</v>
      </c>
      <c r="E58" s="945" t="s">
        <v>65</v>
      </c>
      <c r="F58" s="249">
        <v>0</v>
      </c>
      <c r="G58" s="249"/>
      <c r="H58" s="249"/>
      <c r="I58" s="249"/>
      <c r="J58" s="249"/>
      <c r="K58" s="249"/>
      <c r="L58" s="277"/>
      <c r="M58" s="297">
        <f t="shared" si="9"/>
        <v>0</v>
      </c>
      <c r="N58" s="277"/>
      <c r="O58" s="3007">
        <f t="shared" si="10"/>
        <v>0</v>
      </c>
      <c r="P58" s="717"/>
      <c r="Q58" s="1278"/>
      <c r="R58" s="2921"/>
      <c r="BB58" s="897"/>
      <c r="BC58" s="897"/>
      <c r="BD58" s="897"/>
      <c r="BE58" s="897"/>
      <c r="BF58" s="897"/>
      <c r="BG58" s="897"/>
      <c r="BH58" s="897"/>
      <c r="BI58" s="897"/>
      <c r="BJ58" s="897"/>
      <c r="BK58" s="897"/>
      <c r="BL58" s="897"/>
      <c r="BM58" s="897"/>
      <c r="BN58" s="897"/>
      <c r="BO58" s="897"/>
      <c r="BP58" s="897"/>
      <c r="BQ58" s="897"/>
      <c r="BR58" s="897"/>
      <c r="BS58" s="897"/>
      <c r="BT58" s="897"/>
      <c r="BU58" s="897"/>
      <c r="BV58" s="897"/>
      <c r="BW58" s="897"/>
      <c r="BX58" s="897"/>
      <c r="BY58" s="897"/>
      <c r="BZ58" s="897"/>
      <c r="CA58" s="897"/>
      <c r="CB58" s="897"/>
      <c r="CC58" s="897"/>
      <c r="CD58" s="897"/>
      <c r="CE58" s="897"/>
      <c r="CF58" s="897"/>
      <c r="CG58" s="897"/>
      <c r="CH58" s="897"/>
      <c r="CI58" s="3185">
        <f t="shared" si="0"/>
        <v>0</v>
      </c>
    </row>
    <row r="59" spans="1:87" s="1129" customFormat="1">
      <c r="A59" s="1179" t="s">
        <v>328</v>
      </c>
      <c r="B59" s="882" t="s">
        <v>2729</v>
      </c>
      <c r="C59" s="882" t="s">
        <v>297</v>
      </c>
      <c r="D59" s="908" t="s">
        <v>65</v>
      </c>
      <c r="E59" s="945" t="s">
        <v>65</v>
      </c>
      <c r="F59" s="252">
        <v>0</v>
      </c>
      <c r="G59" s="253"/>
      <c r="H59" s="254"/>
      <c r="I59" s="254"/>
      <c r="J59" s="322"/>
      <c r="K59" s="252"/>
      <c r="L59" s="277"/>
      <c r="M59" s="297">
        <f t="shared" si="9"/>
        <v>0</v>
      </c>
      <c r="N59" s="277"/>
      <c r="O59" s="3007">
        <f t="shared" si="10"/>
        <v>0</v>
      </c>
      <c r="P59" s="727"/>
      <c r="Q59" s="1278"/>
      <c r="R59" s="2921"/>
      <c r="BB59" s="897"/>
      <c r="BC59" s="897"/>
      <c r="BD59" s="897"/>
      <c r="BE59" s="897"/>
      <c r="BF59" s="897"/>
      <c r="BG59" s="897"/>
      <c r="BH59" s="897"/>
      <c r="BI59" s="897"/>
      <c r="BJ59" s="897"/>
      <c r="BK59" s="897"/>
      <c r="BL59" s="897"/>
      <c r="BM59" s="897"/>
      <c r="BN59" s="897"/>
      <c r="BO59" s="897"/>
      <c r="BP59" s="897"/>
      <c r="BQ59" s="897"/>
      <c r="BR59" s="897"/>
      <c r="BS59" s="897"/>
      <c r="BT59" s="897"/>
      <c r="BU59" s="897"/>
      <c r="BV59" s="897"/>
      <c r="BW59" s="897"/>
      <c r="BX59" s="897"/>
      <c r="BY59" s="897"/>
      <c r="BZ59" s="897"/>
      <c r="CA59" s="897"/>
      <c r="CB59" s="897"/>
      <c r="CC59" s="897"/>
      <c r="CD59" s="897"/>
      <c r="CE59" s="897"/>
      <c r="CF59" s="897"/>
      <c r="CG59" s="897"/>
      <c r="CH59" s="897"/>
      <c r="CI59" s="3185">
        <f t="shared" si="0"/>
        <v>0</v>
      </c>
    </row>
    <row r="60" spans="1:87" s="1129" customFormat="1">
      <c r="A60" s="1179" t="s">
        <v>330</v>
      </c>
      <c r="B60" s="882" t="s">
        <v>2730</v>
      </c>
      <c r="C60" s="882" t="s">
        <v>298</v>
      </c>
      <c r="D60" s="908" t="s">
        <v>65</v>
      </c>
      <c r="E60" s="945" t="s">
        <v>65</v>
      </c>
      <c r="F60" s="252">
        <v>0</v>
      </c>
      <c r="G60" s="321"/>
      <c r="H60" s="254"/>
      <c r="I60" s="254"/>
      <c r="J60" s="322"/>
      <c r="K60" s="252"/>
      <c r="L60" s="277"/>
      <c r="M60" s="297">
        <f t="shared" si="9"/>
        <v>0</v>
      </c>
      <c r="N60" s="277"/>
      <c r="O60" s="3007">
        <f t="shared" si="10"/>
        <v>0</v>
      </c>
      <c r="P60" s="727"/>
      <c r="Q60" s="1278"/>
      <c r="R60" s="2921"/>
      <c r="BB60" s="897"/>
      <c r="BC60" s="897"/>
      <c r="BD60" s="897"/>
      <c r="BE60" s="897"/>
      <c r="BF60" s="897"/>
      <c r="BG60" s="897"/>
      <c r="BH60" s="897"/>
      <c r="BI60" s="897"/>
      <c r="BJ60" s="897"/>
      <c r="BK60" s="897"/>
      <c r="BL60" s="897"/>
      <c r="BM60" s="897"/>
      <c r="BN60" s="897"/>
      <c r="BO60" s="897"/>
      <c r="BP60" s="897"/>
      <c r="BQ60" s="897"/>
      <c r="BR60" s="897"/>
      <c r="BS60" s="897"/>
      <c r="BT60" s="897"/>
      <c r="BU60" s="897"/>
      <c r="BV60" s="897"/>
      <c r="BW60" s="897"/>
      <c r="BX60" s="897"/>
      <c r="BY60" s="897"/>
      <c r="BZ60" s="897"/>
      <c r="CA60" s="897"/>
      <c r="CB60" s="897"/>
      <c r="CC60" s="897"/>
      <c r="CD60" s="897"/>
      <c r="CE60" s="897"/>
      <c r="CF60" s="897"/>
      <c r="CG60" s="897"/>
      <c r="CH60" s="897"/>
      <c r="CI60" s="3185">
        <f t="shared" si="0"/>
        <v>0</v>
      </c>
    </row>
    <row r="61" spans="1:87" s="1129" customFormat="1">
      <c r="A61" s="1179" t="s">
        <v>331</v>
      </c>
      <c r="B61" s="882" t="s">
        <v>2731</v>
      </c>
      <c r="C61" s="882" t="s">
        <v>329</v>
      </c>
      <c r="D61" s="908" t="s">
        <v>65</v>
      </c>
      <c r="E61" s="945" t="s">
        <v>65</v>
      </c>
      <c r="F61" s="252">
        <v>80</v>
      </c>
      <c r="G61" s="321"/>
      <c r="H61" s="254">
        <v>840</v>
      </c>
      <c r="I61" s="254"/>
      <c r="J61" s="2657">
        <v>840</v>
      </c>
      <c r="K61" s="252"/>
      <c r="L61" s="277"/>
      <c r="M61" s="297">
        <f t="shared" si="9"/>
        <v>0</v>
      </c>
      <c r="N61" s="277"/>
      <c r="O61" s="3007">
        <f t="shared" si="10"/>
        <v>0</v>
      </c>
      <c r="P61" s="727"/>
      <c r="Q61" s="1278"/>
      <c r="R61" s="2921"/>
      <c r="BB61" s="897"/>
      <c r="BC61" s="897"/>
      <c r="BD61" s="897"/>
      <c r="BE61" s="897"/>
      <c r="BF61" s="897"/>
      <c r="BG61" s="897"/>
      <c r="BH61" s="897"/>
      <c r="BI61" s="897"/>
      <c r="BJ61" s="897"/>
      <c r="BK61" s="897"/>
      <c r="BL61" s="897"/>
      <c r="BM61" s="897"/>
      <c r="BN61" s="897"/>
      <c r="BO61" s="897"/>
      <c r="BP61" s="897"/>
      <c r="BQ61" s="897"/>
      <c r="BR61" s="897"/>
      <c r="BS61" s="897"/>
      <c r="BT61" s="897"/>
      <c r="BU61" s="897"/>
      <c r="BV61" s="897"/>
      <c r="BW61" s="897"/>
      <c r="BX61" s="897"/>
      <c r="BY61" s="897"/>
      <c r="BZ61" s="897"/>
      <c r="CA61" s="897"/>
      <c r="CB61" s="897"/>
      <c r="CC61" s="897"/>
      <c r="CD61" s="897"/>
      <c r="CE61" s="897"/>
      <c r="CF61" s="897"/>
      <c r="CG61" s="897"/>
      <c r="CH61" s="897"/>
      <c r="CI61" s="3185">
        <f t="shared" si="0"/>
        <v>0</v>
      </c>
    </row>
    <row r="62" spans="1:87" s="1129" customFormat="1">
      <c r="A62" s="1179" t="s">
        <v>334</v>
      </c>
      <c r="B62" s="882" t="s">
        <v>2736</v>
      </c>
      <c r="C62" s="882" t="s">
        <v>5108</v>
      </c>
      <c r="D62" s="908" t="s">
        <v>65</v>
      </c>
      <c r="E62" s="945" t="s">
        <v>2312</v>
      </c>
      <c r="F62" s="249">
        <v>0</v>
      </c>
      <c r="G62" s="249"/>
      <c r="H62" s="249"/>
      <c r="I62" s="249"/>
      <c r="J62" s="249"/>
      <c r="K62" s="249"/>
      <c r="L62" s="277"/>
      <c r="M62" s="297">
        <f t="shared" si="9"/>
        <v>0</v>
      </c>
      <c r="N62" s="277"/>
      <c r="O62" s="3007">
        <f t="shared" si="10"/>
        <v>0</v>
      </c>
      <c r="P62" s="717"/>
      <c r="Q62" s="1268" t="str">
        <f>'Ab1. RMNCH+A'!Q34</f>
        <v>-</v>
      </c>
      <c r="R62" s="2924">
        <f>'Ab1. RMNCH+A'!R34</f>
        <v>0</v>
      </c>
      <c r="BB62" s="897"/>
      <c r="BC62" s="897"/>
      <c r="BD62" s="897"/>
      <c r="BE62" s="897"/>
      <c r="BF62" s="897"/>
      <c r="BG62" s="897"/>
      <c r="BH62" s="897"/>
      <c r="BI62" s="897"/>
      <c r="BJ62" s="897"/>
      <c r="BK62" s="897"/>
      <c r="BL62" s="897"/>
      <c r="BM62" s="897"/>
      <c r="BN62" s="897"/>
      <c r="BO62" s="897"/>
      <c r="BP62" s="897"/>
      <c r="BQ62" s="897"/>
      <c r="BR62" s="897"/>
      <c r="BS62" s="897"/>
      <c r="BT62" s="897"/>
      <c r="BU62" s="897"/>
      <c r="BV62" s="897"/>
      <c r="BW62" s="897"/>
      <c r="BX62" s="897"/>
      <c r="BY62" s="897"/>
      <c r="BZ62" s="897"/>
      <c r="CA62" s="897"/>
      <c r="CB62" s="897"/>
      <c r="CC62" s="897"/>
      <c r="CD62" s="897"/>
      <c r="CE62" s="897"/>
      <c r="CF62" s="897"/>
      <c r="CG62" s="897"/>
      <c r="CH62" s="897"/>
      <c r="CI62" s="3185">
        <f t="shared" si="0"/>
        <v>0</v>
      </c>
    </row>
    <row r="63" spans="1:87" ht="30">
      <c r="A63" s="1179" t="s">
        <v>335</v>
      </c>
      <c r="B63" s="1179" t="s">
        <v>2732</v>
      </c>
      <c r="C63" s="1080" t="s">
        <v>5109</v>
      </c>
      <c r="D63" s="982" t="s">
        <v>65</v>
      </c>
      <c r="E63" s="2512" t="s">
        <v>4632</v>
      </c>
      <c r="F63" s="289">
        <v>7</v>
      </c>
      <c r="G63" s="289"/>
      <c r="H63" s="289">
        <v>50</v>
      </c>
      <c r="I63" s="289">
        <v>0</v>
      </c>
      <c r="J63" s="289">
        <v>50</v>
      </c>
      <c r="K63" s="324"/>
      <c r="L63" s="283"/>
      <c r="M63" s="298">
        <f t="shared" si="9"/>
        <v>0</v>
      </c>
      <c r="N63" s="283"/>
      <c r="O63" s="3009">
        <f t="shared" ref="O63:O70" si="11">M63*N63</f>
        <v>0</v>
      </c>
      <c r="P63" s="719"/>
      <c r="Q63" s="1268" t="str">
        <f>'Ab1. RMNCH+A'!Q123</f>
        <v>-</v>
      </c>
      <c r="R63" s="2924">
        <f>'Ab1. RMNCH+A'!R123</f>
        <v>0</v>
      </c>
      <c r="BB63" s="3185"/>
      <c r="BC63" s="3185"/>
      <c r="BD63" s="3185"/>
      <c r="BE63" s="3185"/>
      <c r="BF63" s="3185"/>
      <c r="BG63" s="3185"/>
      <c r="BH63" s="3185"/>
      <c r="BI63" s="3185"/>
      <c r="BJ63" s="3185"/>
      <c r="BK63" s="3185"/>
      <c r="BL63" s="3185"/>
      <c r="BM63" s="3185"/>
      <c r="BN63" s="3185"/>
      <c r="BO63" s="3185"/>
      <c r="BP63" s="3185"/>
      <c r="BQ63" s="3185"/>
      <c r="BR63" s="3185"/>
      <c r="BS63" s="3185"/>
      <c r="BT63" s="3185"/>
      <c r="BU63" s="3185"/>
      <c r="BV63" s="3185"/>
      <c r="BW63" s="3185"/>
      <c r="BX63" s="3185"/>
      <c r="BY63" s="3185"/>
      <c r="BZ63" s="3185"/>
      <c r="CA63" s="3185"/>
      <c r="CB63" s="3185"/>
      <c r="CC63" s="3185"/>
      <c r="CD63" s="3185"/>
      <c r="CE63" s="3185"/>
      <c r="CF63" s="3185"/>
      <c r="CG63" s="3185"/>
      <c r="CH63" s="3185"/>
      <c r="CI63" s="3185">
        <f t="shared" si="0"/>
        <v>0</v>
      </c>
    </row>
    <row r="64" spans="1:87" ht="119.25" customHeight="1">
      <c r="A64" s="1179" t="s">
        <v>336</v>
      </c>
      <c r="B64" s="1080" t="s">
        <v>2735</v>
      </c>
      <c r="C64" s="1080" t="s">
        <v>5110</v>
      </c>
      <c r="D64" s="982" t="s">
        <v>65</v>
      </c>
      <c r="E64" s="2898" t="s">
        <v>91</v>
      </c>
      <c r="F64" s="324">
        <v>8</v>
      </c>
      <c r="G64" s="324"/>
      <c r="H64" s="324">
        <v>80</v>
      </c>
      <c r="I64" s="324">
        <v>0.39</v>
      </c>
      <c r="J64" s="324">
        <v>79.61</v>
      </c>
      <c r="K64" s="324"/>
      <c r="L64" s="283">
        <v>2500000</v>
      </c>
      <c r="M64" s="298">
        <f t="shared" si="9"/>
        <v>25</v>
      </c>
      <c r="N64" s="283">
        <v>1</v>
      </c>
      <c r="O64" s="3009">
        <f t="shared" si="11"/>
        <v>25</v>
      </c>
      <c r="P64" s="719" t="s">
        <v>5509</v>
      </c>
      <c r="Q64" s="1268" t="str">
        <f>'Ab1. RMNCH+A'!Q352</f>
        <v xml:space="preserve">Recommended for approval Rs.25 lakhs as proposed by the State to develop DEIC, Kullu measuring 2500 Sq. ft. @ Rs 1000 per Sq. ft. State may seek technical support from programme division, MoHFW/ National Advisor, RBSK in developing the DEIC. Expenditure to be as per actuals and according to RBSK DEIC OGs. State to ensure physical and functional linkages with Maternal Ward/MCH Wing and SNCU. </v>
      </c>
      <c r="R64" s="2924">
        <f>'Ab1. RMNCH+A'!R352</f>
        <v>25</v>
      </c>
      <c r="BB64" s="3185">
        <v>25</v>
      </c>
      <c r="BC64" s="3185"/>
      <c r="BD64" s="3185"/>
      <c r="BE64" s="3185"/>
      <c r="BF64" s="3185"/>
      <c r="BG64" s="3185"/>
      <c r="BH64" s="3185"/>
      <c r="BI64" s="3185"/>
      <c r="BJ64" s="3185"/>
      <c r="BK64" s="3185"/>
      <c r="BL64" s="3185"/>
      <c r="BM64" s="3185"/>
      <c r="BN64" s="3185"/>
      <c r="BO64" s="3185"/>
      <c r="BP64" s="3185"/>
      <c r="BQ64" s="3185"/>
      <c r="BR64" s="3185"/>
      <c r="BS64" s="3185"/>
      <c r="BT64" s="3185"/>
      <c r="BU64" s="3185"/>
      <c r="BV64" s="3185"/>
      <c r="BW64" s="3185"/>
      <c r="BX64" s="3185"/>
      <c r="BY64" s="3185"/>
      <c r="BZ64" s="3185"/>
      <c r="CA64" s="3185"/>
      <c r="CB64" s="3185"/>
      <c r="CC64" s="3185"/>
      <c r="CD64" s="3185"/>
      <c r="CE64" s="3185"/>
      <c r="CF64" s="3185"/>
      <c r="CG64" s="3185"/>
      <c r="CH64" s="3185"/>
      <c r="CI64" s="3185">
        <f t="shared" si="0"/>
        <v>25</v>
      </c>
    </row>
    <row r="65" spans="1:87" ht="105">
      <c r="A65" s="1179" t="s">
        <v>338</v>
      </c>
      <c r="B65" s="1080" t="s">
        <v>341</v>
      </c>
      <c r="C65" s="1080" t="s">
        <v>342</v>
      </c>
      <c r="D65" s="2254" t="s">
        <v>85</v>
      </c>
      <c r="E65" s="2439" t="s">
        <v>188</v>
      </c>
      <c r="F65" s="324">
        <v>49</v>
      </c>
      <c r="G65" s="324"/>
      <c r="H65" s="324">
        <v>24.5</v>
      </c>
      <c r="I65" s="324">
        <v>0.68</v>
      </c>
      <c r="J65" s="324">
        <v>23.82</v>
      </c>
      <c r="K65" s="324"/>
      <c r="L65" s="2448">
        <f>(10000*99)+(50000*1)</f>
        <v>1040000</v>
      </c>
      <c r="M65" s="298">
        <f t="shared" si="9"/>
        <v>10.4</v>
      </c>
      <c r="N65" s="283">
        <v>1</v>
      </c>
      <c r="O65" s="3009">
        <f t="shared" si="11"/>
        <v>10.4</v>
      </c>
      <c r="P65" s="719" t="s">
        <v>5231</v>
      </c>
      <c r="Q65" s="2300" t="str">
        <f>'Ab1. RMNCH+A'!Q303</f>
        <v>Continued activityRecommended for approval of Rs 10.40 lakhs as follows:1. For operational expenses for existing 99 AFHCs @ Rs.10000/clinic per year.2. For establishment of new AFHC at PHC Sanjauli, Shimla @ Rs.50000/-.</v>
      </c>
      <c r="R65" s="2935">
        <f>'Ab1. RMNCH+A'!R303</f>
        <v>10.4</v>
      </c>
      <c r="BB65" s="3185">
        <v>0.6</v>
      </c>
      <c r="BC65" s="3185">
        <v>0.4</v>
      </c>
      <c r="BD65" s="3185">
        <v>0.7</v>
      </c>
      <c r="BE65" s="3185">
        <v>0.5</v>
      </c>
      <c r="BF65" s="3185">
        <f>1.6+0.1</f>
        <v>1.7000000000000002</v>
      </c>
      <c r="BG65" s="3185">
        <f>0.2+0.1</f>
        <v>0.30000000000000004</v>
      </c>
      <c r="BH65" s="3185">
        <v>0.5</v>
      </c>
      <c r="BI65" s="3185">
        <v>0.1</v>
      </c>
      <c r="BJ65" s="3185">
        <v>1.6</v>
      </c>
      <c r="BK65" s="3185">
        <v>1.1000000000000001</v>
      </c>
      <c r="BL65" s="3185">
        <f>0.4+0.1</f>
        <v>0.5</v>
      </c>
      <c r="BM65" s="3185">
        <v>0.5</v>
      </c>
      <c r="BN65" s="3185">
        <v>0.6</v>
      </c>
      <c r="BO65" s="3185">
        <v>0</v>
      </c>
      <c r="BP65" s="3185"/>
      <c r="BQ65" s="3185">
        <v>0.1</v>
      </c>
      <c r="BR65" s="3185">
        <v>0.1</v>
      </c>
      <c r="BS65" s="3185"/>
      <c r="BT65" s="3185">
        <v>0.1</v>
      </c>
      <c r="BU65" s="3185">
        <v>0</v>
      </c>
      <c r="BV65" s="3185">
        <v>0.1</v>
      </c>
      <c r="BW65" s="3185">
        <v>0.1</v>
      </c>
      <c r="BX65" s="3185">
        <v>0.1</v>
      </c>
      <c r="BY65" s="3185">
        <v>0.1</v>
      </c>
      <c r="BZ65" s="3185">
        <v>0.1</v>
      </c>
      <c r="CA65" s="3185">
        <v>0.1</v>
      </c>
      <c r="CB65" s="3185">
        <v>0.1</v>
      </c>
      <c r="CC65" s="3185">
        <v>0.1</v>
      </c>
      <c r="CD65" s="3185">
        <v>0.1</v>
      </c>
      <c r="CE65" s="3185"/>
      <c r="CF65" s="3185">
        <v>0.1</v>
      </c>
      <c r="CG65" s="3185"/>
      <c r="CH65" s="3185"/>
      <c r="CI65" s="3185">
        <f t="shared" si="0"/>
        <v>10.399999999999995</v>
      </c>
    </row>
    <row r="66" spans="1:87" ht="82.5" customHeight="1">
      <c r="A66" s="1179" t="s">
        <v>339</v>
      </c>
      <c r="B66" s="1080" t="s">
        <v>344</v>
      </c>
      <c r="C66" s="1080" t="s">
        <v>345</v>
      </c>
      <c r="D66" s="2254" t="s">
        <v>85</v>
      </c>
      <c r="E66" s="3503" t="s">
        <v>126</v>
      </c>
      <c r="F66" s="324">
        <v>0</v>
      </c>
      <c r="G66" s="324"/>
      <c r="H66" s="324"/>
      <c r="I66" s="324"/>
      <c r="J66" s="324"/>
      <c r="K66" s="324">
        <v>1</v>
      </c>
      <c r="L66" s="243">
        <v>200000</v>
      </c>
      <c r="M66" s="212">
        <f t="shared" si="9"/>
        <v>2</v>
      </c>
      <c r="N66" s="243">
        <v>4</v>
      </c>
      <c r="O66" s="2995">
        <f t="shared" si="11"/>
        <v>8</v>
      </c>
      <c r="P66" s="719" t="s">
        <v>5356</v>
      </c>
      <c r="Q66" s="2300" t="str">
        <f>'Ab1. RMNCH+A'!Q124</f>
        <v>Rs. 8 lakh is recommended for approval for establishing four new NRCs at medical college Sirmaur, Mandi, Chamba &amp; Hamirpur @ Rs. 2 lakh per NRC. The State to share the establishment completion status.</v>
      </c>
      <c r="R66" s="2935">
        <f>'Ab1. RMNCH+A'!R124</f>
        <v>8</v>
      </c>
      <c r="BB66" s="3185"/>
      <c r="BC66" s="3185"/>
      <c r="BD66" s="3185"/>
      <c r="BE66" s="3185"/>
      <c r="BF66" s="3185"/>
      <c r="BG66" s="3185"/>
      <c r="BH66" s="3185"/>
      <c r="BI66" s="3185"/>
      <c r="BJ66" s="3185"/>
      <c r="BK66" s="3185"/>
      <c r="BL66" s="3185"/>
      <c r="BM66" s="3185"/>
      <c r="BN66" s="3185"/>
      <c r="BO66" s="3185"/>
      <c r="BP66" s="3185"/>
      <c r="BQ66" s="3185">
        <v>2</v>
      </c>
      <c r="BR66" s="3185">
        <v>2</v>
      </c>
      <c r="BS66" s="3185">
        <v>2</v>
      </c>
      <c r="BT66" s="3185">
        <v>2</v>
      </c>
      <c r="BU66" s="3185"/>
      <c r="BV66" s="3185"/>
      <c r="BW66" s="3185"/>
      <c r="BX66" s="3185"/>
      <c r="BY66" s="3185"/>
      <c r="BZ66" s="3185"/>
      <c r="CA66" s="3185"/>
      <c r="CB66" s="3185"/>
      <c r="CC66" s="3185"/>
      <c r="CD66" s="3185"/>
      <c r="CE66" s="3185"/>
      <c r="CF66" s="3185"/>
      <c r="CG66" s="3185"/>
      <c r="CH66" s="3185"/>
      <c r="CI66" s="3185">
        <f t="shared" si="0"/>
        <v>8</v>
      </c>
    </row>
    <row r="67" spans="1:87" s="3343" customFormat="1" ht="75">
      <c r="A67" s="3344" t="s">
        <v>340</v>
      </c>
      <c r="B67" s="3340"/>
      <c r="C67" s="3340" t="s">
        <v>2309</v>
      </c>
      <c r="D67" s="2685" t="s">
        <v>65</v>
      </c>
      <c r="E67" s="3338" t="s">
        <v>65</v>
      </c>
      <c r="F67" s="3346">
        <v>0</v>
      </c>
      <c r="G67" s="3346"/>
      <c r="H67" s="3346"/>
      <c r="I67" s="3346"/>
      <c r="J67" s="3346"/>
      <c r="K67" s="3346">
        <v>1</v>
      </c>
      <c r="L67" s="2697">
        <v>15237400</v>
      </c>
      <c r="M67" s="3342">
        <f>L67/100000</f>
        <v>152.374</v>
      </c>
      <c r="N67" s="2697">
        <v>1</v>
      </c>
      <c r="O67" s="3347">
        <f t="shared" si="11"/>
        <v>152.374</v>
      </c>
      <c r="P67" s="3348" t="s">
        <v>5510</v>
      </c>
      <c r="Q67" s="3030" t="s">
        <v>5867</v>
      </c>
      <c r="R67" s="3018">
        <v>152.37</v>
      </c>
      <c r="BB67" s="3345">
        <v>152.37</v>
      </c>
      <c r="BC67" s="3345"/>
      <c r="BD67" s="3345"/>
      <c r="BE67" s="3345"/>
      <c r="BF67" s="3345"/>
      <c r="BG67" s="3345"/>
      <c r="BH67" s="3345"/>
      <c r="BI67" s="3345"/>
      <c r="BJ67" s="3345"/>
      <c r="BK67" s="3345"/>
      <c r="BL67" s="3345"/>
      <c r="BM67" s="3345"/>
      <c r="BN67" s="3345"/>
      <c r="BO67" s="3345"/>
      <c r="BP67" s="3345"/>
      <c r="BQ67" s="3345"/>
      <c r="BR67" s="3345"/>
      <c r="BS67" s="3345"/>
      <c r="BT67" s="3345"/>
      <c r="BU67" s="3345"/>
      <c r="BV67" s="3345"/>
      <c r="BW67" s="3345"/>
      <c r="BX67" s="3345"/>
      <c r="BY67" s="3345"/>
      <c r="BZ67" s="3345"/>
      <c r="CA67" s="3345"/>
      <c r="CB67" s="3345"/>
      <c r="CC67" s="3345"/>
      <c r="CD67" s="3345"/>
      <c r="CE67" s="3345"/>
      <c r="CF67" s="3345"/>
      <c r="CG67" s="3345"/>
      <c r="CH67" s="3345"/>
      <c r="CI67" s="3345">
        <f t="shared" si="0"/>
        <v>152.37</v>
      </c>
    </row>
    <row r="68" spans="1:87" s="1129" customFormat="1">
      <c r="A68" s="1179" t="s">
        <v>343</v>
      </c>
      <c r="B68" s="882" t="s">
        <v>332</v>
      </c>
      <c r="C68" s="882" t="s">
        <v>333</v>
      </c>
      <c r="D68" s="908" t="s">
        <v>65</v>
      </c>
      <c r="E68" s="945" t="s">
        <v>65</v>
      </c>
      <c r="F68" s="249">
        <v>0</v>
      </c>
      <c r="G68" s="249"/>
      <c r="H68" s="249"/>
      <c r="I68" s="249"/>
      <c r="J68" s="249"/>
      <c r="K68" s="249"/>
      <c r="L68" s="277"/>
      <c r="M68" s="297">
        <f t="shared" si="9"/>
        <v>0</v>
      </c>
      <c r="N68" s="277"/>
      <c r="O68" s="3007">
        <f t="shared" si="11"/>
        <v>0</v>
      </c>
      <c r="P68" s="717"/>
      <c r="Q68" s="1278"/>
      <c r="R68" s="2921"/>
      <c r="BB68" s="897"/>
      <c r="BC68" s="897"/>
      <c r="BD68" s="897"/>
      <c r="BE68" s="897"/>
      <c r="BF68" s="897"/>
      <c r="BG68" s="897"/>
      <c r="BH68" s="897"/>
      <c r="BI68" s="897"/>
      <c r="BJ68" s="897"/>
      <c r="BK68" s="897"/>
      <c r="BL68" s="897"/>
      <c r="BM68" s="897"/>
      <c r="BN68" s="897"/>
      <c r="BO68" s="897"/>
      <c r="BP68" s="897"/>
      <c r="BQ68" s="897"/>
      <c r="BR68" s="897"/>
      <c r="BS68" s="897"/>
      <c r="BT68" s="897"/>
      <c r="BU68" s="897"/>
      <c r="BV68" s="897"/>
      <c r="BW68" s="897"/>
      <c r="BX68" s="897"/>
      <c r="BY68" s="897"/>
      <c r="BZ68" s="897"/>
      <c r="CA68" s="897"/>
      <c r="CB68" s="897"/>
      <c r="CC68" s="897"/>
      <c r="CD68" s="897"/>
      <c r="CE68" s="897"/>
      <c r="CF68" s="897"/>
      <c r="CG68" s="897"/>
      <c r="CH68" s="897"/>
      <c r="CI68" s="3185">
        <f t="shared" si="0"/>
        <v>0</v>
      </c>
    </row>
    <row r="69" spans="1:87" s="1129" customFormat="1">
      <c r="A69" s="1179" t="s">
        <v>346</v>
      </c>
      <c r="B69" s="882" t="s">
        <v>2737</v>
      </c>
      <c r="C69" s="882" t="s">
        <v>301</v>
      </c>
      <c r="D69" s="908" t="s">
        <v>65</v>
      </c>
      <c r="E69" s="945" t="s">
        <v>65</v>
      </c>
      <c r="F69" s="249">
        <v>0</v>
      </c>
      <c r="G69" s="249"/>
      <c r="H69" s="249"/>
      <c r="I69" s="249"/>
      <c r="J69" s="249"/>
      <c r="K69" s="249"/>
      <c r="L69" s="277"/>
      <c r="M69" s="297">
        <f t="shared" si="9"/>
        <v>0</v>
      </c>
      <c r="N69" s="277"/>
      <c r="O69" s="3007">
        <f t="shared" si="11"/>
        <v>0</v>
      </c>
      <c r="P69" s="717"/>
      <c r="Q69" s="1278"/>
      <c r="R69" s="2921"/>
      <c r="BB69" s="897"/>
      <c r="BC69" s="897"/>
      <c r="BD69" s="897"/>
      <c r="BE69" s="897"/>
      <c r="BF69" s="897"/>
      <c r="BG69" s="897"/>
      <c r="BH69" s="897"/>
      <c r="BI69" s="897"/>
      <c r="BJ69" s="897"/>
      <c r="BK69" s="897"/>
      <c r="BL69" s="897"/>
      <c r="BM69" s="897"/>
      <c r="BN69" s="897"/>
      <c r="BO69" s="897"/>
      <c r="BP69" s="897"/>
      <c r="BQ69" s="897"/>
      <c r="BR69" s="897"/>
      <c r="BS69" s="897"/>
      <c r="BT69" s="897"/>
      <c r="BU69" s="897"/>
      <c r="BV69" s="897"/>
      <c r="BW69" s="897"/>
      <c r="BX69" s="897"/>
      <c r="BY69" s="897"/>
      <c r="BZ69" s="897"/>
      <c r="CA69" s="897"/>
      <c r="CB69" s="897"/>
      <c r="CC69" s="897"/>
      <c r="CD69" s="897"/>
      <c r="CE69" s="897"/>
      <c r="CF69" s="897"/>
      <c r="CG69" s="897"/>
      <c r="CH69" s="897"/>
      <c r="CI69" s="3185">
        <f t="shared" si="0"/>
        <v>0</v>
      </c>
    </row>
    <row r="70" spans="1:87" s="1129" customFormat="1">
      <c r="A70" s="1179" t="s">
        <v>2310</v>
      </c>
      <c r="B70" s="1080"/>
      <c r="C70" s="882" t="s">
        <v>302</v>
      </c>
      <c r="D70" s="908" t="s">
        <v>65</v>
      </c>
      <c r="E70" s="945" t="s">
        <v>65</v>
      </c>
      <c r="F70" s="252">
        <v>0</v>
      </c>
      <c r="G70" s="253"/>
      <c r="H70" s="254"/>
      <c r="I70" s="254"/>
      <c r="J70" s="252"/>
      <c r="K70" s="252"/>
      <c r="L70" s="277"/>
      <c r="M70" s="297">
        <f t="shared" si="9"/>
        <v>0</v>
      </c>
      <c r="N70" s="277"/>
      <c r="O70" s="3007">
        <f t="shared" si="11"/>
        <v>0</v>
      </c>
      <c r="P70" s="729"/>
      <c r="Q70" s="1278"/>
      <c r="R70" s="2921"/>
      <c r="BB70" s="897"/>
      <c r="BC70" s="897"/>
      <c r="BD70" s="897"/>
      <c r="BE70" s="897"/>
      <c r="BF70" s="897"/>
      <c r="BG70" s="897"/>
      <c r="BH70" s="897"/>
      <c r="BI70" s="897"/>
      <c r="BJ70" s="897"/>
      <c r="BK70" s="897"/>
      <c r="BL70" s="897"/>
      <c r="BM70" s="897"/>
      <c r="BN70" s="897"/>
      <c r="BO70" s="897"/>
      <c r="BP70" s="897"/>
      <c r="BQ70" s="897"/>
      <c r="BR70" s="897"/>
      <c r="BS70" s="897"/>
      <c r="BT70" s="897"/>
      <c r="BU70" s="897"/>
      <c r="BV70" s="897"/>
      <c r="BW70" s="897"/>
      <c r="BX70" s="897"/>
      <c r="BY70" s="897"/>
      <c r="BZ70" s="897"/>
      <c r="CA70" s="897"/>
      <c r="CB70" s="897"/>
      <c r="CC70" s="897"/>
      <c r="CD70" s="897"/>
      <c r="CE70" s="897"/>
      <c r="CF70" s="897"/>
      <c r="CG70" s="897"/>
      <c r="CH70" s="897"/>
      <c r="CI70" s="3185">
        <f t="shared" si="0"/>
        <v>0</v>
      </c>
    </row>
    <row r="71" spans="1:87" ht="60">
      <c r="A71" s="1255" t="s">
        <v>347</v>
      </c>
      <c r="B71" s="1272" t="s">
        <v>2738</v>
      </c>
      <c r="C71" s="1273" t="s">
        <v>348</v>
      </c>
      <c r="D71" s="1258"/>
      <c r="E71" s="1258"/>
      <c r="F71" s="292"/>
      <c r="G71" s="292"/>
      <c r="H71" s="292"/>
      <c r="I71" s="292"/>
      <c r="J71" s="292"/>
      <c r="K71" s="292"/>
      <c r="L71" s="292"/>
      <c r="M71" s="1260"/>
      <c r="N71" s="320"/>
      <c r="O71" s="3006">
        <f>SUM(O72:O81)</f>
        <v>0</v>
      </c>
      <c r="P71" s="723"/>
      <c r="Q71" s="1264"/>
      <c r="R71" s="2932">
        <f>SUM(R72:R81)</f>
        <v>0</v>
      </c>
      <c r="BB71" s="3185"/>
      <c r="BC71" s="3185"/>
      <c r="BD71" s="3185"/>
      <c r="BE71" s="3185"/>
      <c r="BF71" s="3185"/>
      <c r="BG71" s="3185"/>
      <c r="BH71" s="3185"/>
      <c r="BI71" s="3185"/>
      <c r="BJ71" s="3185"/>
      <c r="BK71" s="3185"/>
      <c r="BL71" s="3185"/>
      <c r="BM71" s="3185"/>
      <c r="BN71" s="3185"/>
      <c r="BO71" s="3185"/>
      <c r="BP71" s="3185"/>
      <c r="BQ71" s="3185"/>
      <c r="BR71" s="3185"/>
      <c r="BS71" s="3185"/>
      <c r="BT71" s="3185"/>
      <c r="BU71" s="3185"/>
      <c r="BV71" s="3185"/>
      <c r="BW71" s="3185"/>
      <c r="BX71" s="3185"/>
      <c r="BY71" s="3185"/>
      <c r="BZ71" s="3185"/>
      <c r="CA71" s="3185"/>
      <c r="CB71" s="3185"/>
      <c r="CC71" s="3185"/>
      <c r="CD71" s="3185"/>
      <c r="CE71" s="3185"/>
      <c r="CF71" s="3185"/>
      <c r="CG71" s="3185"/>
      <c r="CH71" s="3185"/>
      <c r="CI71" s="3185">
        <f t="shared" si="0"/>
        <v>0</v>
      </c>
    </row>
    <row r="72" spans="1:87" s="1129" customFormat="1">
      <c r="A72" s="1179" t="s">
        <v>349</v>
      </c>
      <c r="B72" s="882" t="s">
        <v>2745</v>
      </c>
      <c r="C72" s="882" t="s">
        <v>337</v>
      </c>
      <c r="D72" s="908" t="s">
        <v>65</v>
      </c>
      <c r="E72" s="945" t="s">
        <v>65</v>
      </c>
      <c r="F72" s="252">
        <v>0</v>
      </c>
      <c r="G72" s="253"/>
      <c r="H72" s="254"/>
      <c r="I72" s="254"/>
      <c r="J72" s="252"/>
      <c r="K72" s="252"/>
      <c r="L72" s="277"/>
      <c r="M72" s="297">
        <f t="shared" ref="M72:M81" si="12">L72/100000</f>
        <v>0</v>
      </c>
      <c r="N72" s="277"/>
      <c r="O72" s="3007">
        <f>M72*N72</f>
        <v>0</v>
      </c>
      <c r="P72" s="717"/>
      <c r="Q72" s="1278"/>
      <c r="R72" s="2921"/>
      <c r="BB72" s="897"/>
      <c r="BC72" s="897"/>
      <c r="BD72" s="897"/>
      <c r="BE72" s="897"/>
      <c r="BF72" s="897"/>
      <c r="BG72" s="897"/>
      <c r="BH72" s="897"/>
      <c r="BI72" s="897"/>
      <c r="BJ72" s="897"/>
      <c r="BK72" s="897"/>
      <c r="BL72" s="897"/>
      <c r="BM72" s="897"/>
      <c r="BN72" s="897"/>
      <c r="BO72" s="897"/>
      <c r="BP72" s="897"/>
      <c r="BQ72" s="897"/>
      <c r="BR72" s="897"/>
      <c r="BS72" s="897"/>
      <c r="BT72" s="897"/>
      <c r="BU72" s="897"/>
      <c r="BV72" s="897"/>
      <c r="BW72" s="897"/>
      <c r="BX72" s="897"/>
      <c r="BY72" s="897"/>
      <c r="BZ72" s="897"/>
      <c r="CA72" s="897"/>
      <c r="CB72" s="897"/>
      <c r="CC72" s="897"/>
      <c r="CD72" s="897"/>
      <c r="CE72" s="897"/>
      <c r="CF72" s="897"/>
      <c r="CG72" s="897"/>
      <c r="CH72" s="897"/>
      <c r="CI72" s="3185">
        <f t="shared" ref="CI72:CI98" si="13">SUM(BB72:CH72)</f>
        <v>0</v>
      </c>
    </row>
    <row r="73" spans="1:87" s="1129" customFormat="1">
      <c r="A73" s="1179" t="s">
        <v>350</v>
      </c>
      <c r="B73" s="882" t="s">
        <v>2744</v>
      </c>
      <c r="C73" s="882" t="s">
        <v>300</v>
      </c>
      <c r="D73" s="908" t="s">
        <v>65</v>
      </c>
      <c r="E73" s="945" t="s">
        <v>65</v>
      </c>
      <c r="F73" s="252">
        <v>0</v>
      </c>
      <c r="G73" s="253"/>
      <c r="H73" s="254"/>
      <c r="I73" s="254"/>
      <c r="J73" s="252"/>
      <c r="K73" s="252"/>
      <c r="L73" s="277"/>
      <c r="M73" s="297">
        <f t="shared" si="12"/>
        <v>0</v>
      </c>
      <c r="N73" s="277"/>
      <c r="O73" s="3007">
        <f>M73*N73</f>
        <v>0</v>
      </c>
      <c r="P73" s="717"/>
      <c r="Q73" s="1278"/>
      <c r="R73" s="2921"/>
      <c r="BB73" s="897"/>
      <c r="BC73" s="897"/>
      <c r="BD73" s="897"/>
      <c r="BE73" s="897"/>
      <c r="BF73" s="897"/>
      <c r="BG73" s="897"/>
      <c r="BH73" s="897"/>
      <c r="BI73" s="897"/>
      <c r="BJ73" s="897"/>
      <c r="BK73" s="897"/>
      <c r="BL73" s="897"/>
      <c r="BM73" s="897"/>
      <c r="BN73" s="897"/>
      <c r="BO73" s="897"/>
      <c r="BP73" s="897"/>
      <c r="BQ73" s="897"/>
      <c r="BR73" s="897"/>
      <c r="BS73" s="897"/>
      <c r="BT73" s="897"/>
      <c r="BU73" s="897"/>
      <c r="BV73" s="897"/>
      <c r="BW73" s="897"/>
      <c r="BX73" s="897"/>
      <c r="BY73" s="897"/>
      <c r="BZ73" s="897"/>
      <c r="CA73" s="897"/>
      <c r="CB73" s="897"/>
      <c r="CC73" s="897"/>
      <c r="CD73" s="897"/>
      <c r="CE73" s="897"/>
      <c r="CF73" s="897"/>
      <c r="CG73" s="897"/>
      <c r="CH73" s="897"/>
      <c r="CI73" s="3185">
        <f t="shared" si="13"/>
        <v>0</v>
      </c>
    </row>
    <row r="74" spans="1:87" s="1129" customFormat="1">
      <c r="A74" s="1179" t="s">
        <v>351</v>
      </c>
      <c r="B74" s="882" t="s">
        <v>2739</v>
      </c>
      <c r="C74" s="882" t="s">
        <v>297</v>
      </c>
      <c r="D74" s="908" t="s">
        <v>65</v>
      </c>
      <c r="E74" s="945" t="s">
        <v>65</v>
      </c>
      <c r="F74" s="252">
        <v>0</v>
      </c>
      <c r="G74" s="253"/>
      <c r="H74" s="254"/>
      <c r="I74" s="254"/>
      <c r="J74" s="252"/>
      <c r="K74" s="252"/>
      <c r="L74" s="277"/>
      <c r="M74" s="297">
        <f t="shared" si="12"/>
        <v>0</v>
      </c>
      <c r="N74" s="277"/>
      <c r="O74" s="3007">
        <f>M74*N74</f>
        <v>0</v>
      </c>
      <c r="P74" s="717"/>
      <c r="Q74" s="1278"/>
      <c r="R74" s="2921"/>
      <c r="BB74" s="897"/>
      <c r="BC74" s="897"/>
      <c r="BD74" s="897"/>
      <c r="BE74" s="897"/>
      <c r="BF74" s="897"/>
      <c r="BG74" s="897"/>
      <c r="BH74" s="897"/>
      <c r="BI74" s="897"/>
      <c r="BJ74" s="897"/>
      <c r="BK74" s="897"/>
      <c r="BL74" s="897"/>
      <c r="BM74" s="897"/>
      <c r="BN74" s="897"/>
      <c r="BO74" s="897"/>
      <c r="BP74" s="897"/>
      <c r="BQ74" s="897"/>
      <c r="BR74" s="897"/>
      <c r="BS74" s="897"/>
      <c r="BT74" s="897"/>
      <c r="BU74" s="897"/>
      <c r="BV74" s="897"/>
      <c r="BW74" s="897"/>
      <c r="BX74" s="897"/>
      <c r="BY74" s="897"/>
      <c r="BZ74" s="897"/>
      <c r="CA74" s="897"/>
      <c r="CB74" s="897"/>
      <c r="CC74" s="897"/>
      <c r="CD74" s="897"/>
      <c r="CE74" s="897"/>
      <c r="CF74" s="897"/>
      <c r="CG74" s="897"/>
      <c r="CH74" s="897"/>
      <c r="CI74" s="3185">
        <f t="shared" si="13"/>
        <v>0</v>
      </c>
    </row>
    <row r="75" spans="1:87" s="1129" customFormat="1">
      <c r="A75" s="1179" t="s">
        <v>352</v>
      </c>
      <c r="B75" s="882" t="s">
        <v>2740</v>
      </c>
      <c r="C75" s="882" t="s">
        <v>298</v>
      </c>
      <c r="D75" s="908" t="s">
        <v>65</v>
      </c>
      <c r="E75" s="945" t="s">
        <v>65</v>
      </c>
      <c r="F75" s="252">
        <v>0</v>
      </c>
      <c r="G75" s="253"/>
      <c r="H75" s="254"/>
      <c r="I75" s="254"/>
      <c r="J75" s="252"/>
      <c r="K75" s="252"/>
      <c r="L75" s="277"/>
      <c r="M75" s="297">
        <f t="shared" si="12"/>
        <v>0</v>
      </c>
      <c r="N75" s="277"/>
      <c r="O75" s="3007">
        <f>M75*N75</f>
        <v>0</v>
      </c>
      <c r="P75" s="717"/>
      <c r="Q75" s="1278"/>
      <c r="R75" s="2921"/>
      <c r="BB75" s="897"/>
      <c r="BC75" s="897"/>
      <c r="BD75" s="897"/>
      <c r="BE75" s="897"/>
      <c r="BF75" s="897"/>
      <c r="BG75" s="897"/>
      <c r="BH75" s="897"/>
      <c r="BI75" s="897"/>
      <c r="BJ75" s="897"/>
      <c r="BK75" s="897"/>
      <c r="BL75" s="897"/>
      <c r="BM75" s="897"/>
      <c r="BN75" s="897"/>
      <c r="BO75" s="897"/>
      <c r="BP75" s="897"/>
      <c r="BQ75" s="897"/>
      <c r="BR75" s="897"/>
      <c r="BS75" s="897"/>
      <c r="BT75" s="897"/>
      <c r="BU75" s="897"/>
      <c r="BV75" s="897"/>
      <c r="BW75" s="897"/>
      <c r="BX75" s="897"/>
      <c r="BY75" s="897"/>
      <c r="BZ75" s="897"/>
      <c r="CA75" s="897"/>
      <c r="CB75" s="897"/>
      <c r="CC75" s="897"/>
      <c r="CD75" s="897"/>
      <c r="CE75" s="897"/>
      <c r="CF75" s="897"/>
      <c r="CG75" s="897"/>
      <c r="CH75" s="897"/>
      <c r="CI75" s="3185">
        <f t="shared" si="13"/>
        <v>0</v>
      </c>
    </row>
    <row r="76" spans="1:87" s="1129" customFormat="1">
      <c r="A76" s="1179" t="s">
        <v>353</v>
      </c>
      <c r="B76" s="882" t="s">
        <v>2741</v>
      </c>
      <c r="C76" s="882" t="s">
        <v>329</v>
      </c>
      <c r="D76" s="908" t="s">
        <v>65</v>
      </c>
      <c r="E76" s="945" t="s">
        <v>65</v>
      </c>
      <c r="F76" s="252">
        <v>0</v>
      </c>
      <c r="G76" s="253"/>
      <c r="H76" s="252"/>
      <c r="I76" s="252"/>
      <c r="J76" s="252"/>
      <c r="K76" s="252"/>
      <c r="L76" s="277"/>
      <c r="M76" s="297">
        <f t="shared" si="12"/>
        <v>0</v>
      </c>
      <c r="N76" s="277"/>
      <c r="O76" s="3007">
        <f t="shared" ref="O76:O81" si="14">M76*N76</f>
        <v>0</v>
      </c>
      <c r="P76" s="717"/>
      <c r="Q76" s="1278"/>
      <c r="R76" s="2921"/>
      <c r="BB76" s="897"/>
      <c r="BC76" s="897"/>
      <c r="BD76" s="897"/>
      <c r="BE76" s="897"/>
      <c r="BF76" s="897"/>
      <c r="BG76" s="897"/>
      <c r="BH76" s="897"/>
      <c r="BI76" s="897"/>
      <c r="BJ76" s="897"/>
      <c r="BK76" s="897"/>
      <c r="BL76" s="897"/>
      <c r="BM76" s="897"/>
      <c r="BN76" s="897"/>
      <c r="BO76" s="897"/>
      <c r="BP76" s="897"/>
      <c r="BQ76" s="897"/>
      <c r="BR76" s="897"/>
      <c r="BS76" s="897"/>
      <c r="BT76" s="897"/>
      <c r="BU76" s="897"/>
      <c r="BV76" s="897"/>
      <c r="BW76" s="897"/>
      <c r="BX76" s="897"/>
      <c r="BY76" s="897"/>
      <c r="BZ76" s="897"/>
      <c r="CA76" s="897"/>
      <c r="CB76" s="897"/>
      <c r="CC76" s="897"/>
      <c r="CD76" s="897"/>
      <c r="CE76" s="897"/>
      <c r="CF76" s="897"/>
      <c r="CG76" s="897"/>
      <c r="CH76" s="897"/>
      <c r="CI76" s="3185">
        <f t="shared" si="13"/>
        <v>0</v>
      </c>
    </row>
    <row r="77" spans="1:87" s="1129" customFormat="1" ht="45">
      <c r="A77" s="1179" t="s">
        <v>354</v>
      </c>
      <c r="B77" s="882" t="s">
        <v>2742</v>
      </c>
      <c r="C77" s="884" t="s">
        <v>5112</v>
      </c>
      <c r="D77" s="908" t="s">
        <v>65</v>
      </c>
      <c r="E77" s="945" t="s">
        <v>4632</v>
      </c>
      <c r="F77" s="249">
        <v>0</v>
      </c>
      <c r="G77" s="249"/>
      <c r="H77" s="252">
        <v>0</v>
      </c>
      <c r="I77" s="252"/>
      <c r="J77" s="249"/>
      <c r="K77" s="249"/>
      <c r="L77" s="277"/>
      <c r="M77" s="297">
        <f t="shared" si="12"/>
        <v>0</v>
      </c>
      <c r="N77" s="277"/>
      <c r="O77" s="3007">
        <f t="shared" si="14"/>
        <v>0</v>
      </c>
      <c r="P77" s="717"/>
      <c r="Q77" s="1268" t="str">
        <f>'Ab1. RMNCH+A'!Q125</f>
        <v>-</v>
      </c>
      <c r="R77" s="2924">
        <f>'Ab1. RMNCH+A'!R125</f>
        <v>0</v>
      </c>
      <c r="BB77" s="897"/>
      <c r="BC77" s="897"/>
      <c r="BD77" s="897"/>
      <c r="BE77" s="897"/>
      <c r="BF77" s="897"/>
      <c r="BG77" s="897"/>
      <c r="BH77" s="897"/>
      <c r="BI77" s="897"/>
      <c r="BJ77" s="897"/>
      <c r="BK77" s="897"/>
      <c r="BL77" s="897"/>
      <c r="BM77" s="897"/>
      <c r="BN77" s="897"/>
      <c r="BO77" s="897"/>
      <c r="BP77" s="897"/>
      <c r="BQ77" s="897"/>
      <c r="BR77" s="897"/>
      <c r="BS77" s="897"/>
      <c r="BT77" s="897"/>
      <c r="BU77" s="897"/>
      <c r="BV77" s="897"/>
      <c r="BW77" s="897"/>
      <c r="BX77" s="897"/>
      <c r="BY77" s="897"/>
      <c r="BZ77" s="897"/>
      <c r="CA77" s="897"/>
      <c r="CB77" s="897"/>
      <c r="CC77" s="897"/>
      <c r="CD77" s="897"/>
      <c r="CE77" s="897"/>
      <c r="CF77" s="897"/>
      <c r="CG77" s="897"/>
      <c r="CH77" s="897"/>
      <c r="CI77" s="3185">
        <f t="shared" si="13"/>
        <v>0</v>
      </c>
    </row>
    <row r="78" spans="1:87" s="1129" customFormat="1">
      <c r="A78" s="1179" t="s">
        <v>355</v>
      </c>
      <c r="B78" s="882" t="s">
        <v>2746</v>
      </c>
      <c r="C78" s="882" t="s">
        <v>5111</v>
      </c>
      <c r="D78" s="908" t="s">
        <v>65</v>
      </c>
      <c r="E78" s="945" t="s">
        <v>91</v>
      </c>
      <c r="F78" s="249">
        <v>0</v>
      </c>
      <c r="G78" s="249"/>
      <c r="H78" s="252">
        <v>0</v>
      </c>
      <c r="I78" s="252"/>
      <c r="J78" s="249"/>
      <c r="K78" s="249"/>
      <c r="L78" s="277"/>
      <c r="M78" s="297">
        <f t="shared" si="12"/>
        <v>0</v>
      </c>
      <c r="N78" s="277"/>
      <c r="O78" s="3007">
        <f t="shared" si="14"/>
        <v>0</v>
      </c>
      <c r="P78" s="726"/>
      <c r="Q78" s="1268" t="str">
        <f>'Ab1. RMNCH+A'!Q353</f>
        <v>--</v>
      </c>
      <c r="R78" s="2924">
        <f>'Ab1. RMNCH+A'!R353</f>
        <v>0</v>
      </c>
      <c r="BB78" s="897"/>
      <c r="BC78" s="897"/>
      <c r="BD78" s="897"/>
      <c r="BE78" s="897"/>
      <c r="BF78" s="897"/>
      <c r="BG78" s="897"/>
      <c r="BH78" s="897"/>
      <c r="BI78" s="897"/>
      <c r="BJ78" s="897"/>
      <c r="BK78" s="897"/>
      <c r="BL78" s="897"/>
      <c r="BM78" s="897"/>
      <c r="BN78" s="897"/>
      <c r="BO78" s="897"/>
      <c r="BP78" s="897"/>
      <c r="BQ78" s="897"/>
      <c r="BR78" s="897"/>
      <c r="BS78" s="897"/>
      <c r="BT78" s="897"/>
      <c r="BU78" s="897"/>
      <c r="BV78" s="897"/>
      <c r="BW78" s="897"/>
      <c r="BX78" s="897"/>
      <c r="BY78" s="897"/>
      <c r="BZ78" s="897"/>
      <c r="CA78" s="897"/>
      <c r="CB78" s="897"/>
      <c r="CC78" s="897"/>
      <c r="CD78" s="897"/>
      <c r="CE78" s="897"/>
      <c r="CF78" s="897"/>
      <c r="CG78" s="897"/>
      <c r="CH78" s="897"/>
      <c r="CI78" s="3185">
        <f t="shared" si="13"/>
        <v>0</v>
      </c>
    </row>
    <row r="79" spans="1:87" s="1129" customFormat="1">
      <c r="A79" s="1179" t="s">
        <v>356</v>
      </c>
      <c r="B79" s="882" t="s">
        <v>332</v>
      </c>
      <c r="C79" s="882" t="s">
        <v>333</v>
      </c>
      <c r="D79" s="908" t="s">
        <v>65</v>
      </c>
      <c r="E79" s="945" t="s">
        <v>65</v>
      </c>
      <c r="F79" s="249">
        <v>0</v>
      </c>
      <c r="G79" s="249"/>
      <c r="H79" s="252"/>
      <c r="I79" s="252"/>
      <c r="J79" s="249"/>
      <c r="K79" s="249"/>
      <c r="L79" s="277"/>
      <c r="M79" s="297">
        <f t="shared" si="12"/>
        <v>0</v>
      </c>
      <c r="N79" s="277"/>
      <c r="O79" s="3007">
        <f>M79*N79</f>
        <v>0</v>
      </c>
      <c r="P79" s="717"/>
      <c r="Q79" s="1278"/>
      <c r="R79" s="2921"/>
      <c r="BB79" s="897"/>
      <c r="BC79" s="897"/>
      <c r="BD79" s="897"/>
      <c r="BE79" s="897"/>
      <c r="BF79" s="897"/>
      <c r="BG79" s="897"/>
      <c r="BH79" s="897"/>
      <c r="BI79" s="897"/>
      <c r="BJ79" s="897"/>
      <c r="BK79" s="897"/>
      <c r="BL79" s="897"/>
      <c r="BM79" s="897"/>
      <c r="BN79" s="897"/>
      <c r="BO79" s="897"/>
      <c r="BP79" s="897"/>
      <c r="BQ79" s="897"/>
      <c r="BR79" s="897"/>
      <c r="BS79" s="897"/>
      <c r="BT79" s="897"/>
      <c r="BU79" s="897"/>
      <c r="BV79" s="897"/>
      <c r="BW79" s="897"/>
      <c r="BX79" s="897"/>
      <c r="BY79" s="897"/>
      <c r="BZ79" s="897"/>
      <c r="CA79" s="897"/>
      <c r="CB79" s="897"/>
      <c r="CC79" s="897"/>
      <c r="CD79" s="897"/>
      <c r="CE79" s="897"/>
      <c r="CF79" s="897"/>
      <c r="CG79" s="897"/>
      <c r="CH79" s="897"/>
      <c r="CI79" s="3185">
        <f t="shared" si="13"/>
        <v>0</v>
      </c>
    </row>
    <row r="80" spans="1:87" s="1129" customFormat="1">
      <c r="A80" s="1179" t="s">
        <v>357</v>
      </c>
      <c r="B80" s="882" t="s">
        <v>2743</v>
      </c>
      <c r="C80" s="882" t="s">
        <v>301</v>
      </c>
      <c r="D80" s="908" t="s">
        <v>65</v>
      </c>
      <c r="E80" s="945" t="s">
        <v>65</v>
      </c>
      <c r="F80" s="252">
        <v>0</v>
      </c>
      <c r="G80" s="253"/>
      <c r="H80" s="252"/>
      <c r="I80" s="252"/>
      <c r="J80" s="252"/>
      <c r="K80" s="252"/>
      <c r="L80" s="277"/>
      <c r="M80" s="297">
        <f t="shared" si="12"/>
        <v>0</v>
      </c>
      <c r="N80" s="277"/>
      <c r="O80" s="3007">
        <f t="shared" si="14"/>
        <v>0</v>
      </c>
      <c r="P80" s="726"/>
      <c r="Q80" s="1278"/>
      <c r="R80" s="2921"/>
      <c r="BB80" s="897"/>
      <c r="BC80" s="897"/>
      <c r="BD80" s="897"/>
      <c r="BE80" s="897"/>
      <c r="BF80" s="897"/>
      <c r="BG80" s="897"/>
      <c r="BH80" s="897"/>
      <c r="BI80" s="897"/>
      <c r="BJ80" s="897"/>
      <c r="BK80" s="897"/>
      <c r="BL80" s="897"/>
      <c r="BM80" s="897"/>
      <c r="BN80" s="897"/>
      <c r="BO80" s="897"/>
      <c r="BP80" s="897"/>
      <c r="BQ80" s="897"/>
      <c r="BR80" s="897"/>
      <c r="BS80" s="897"/>
      <c r="BT80" s="897"/>
      <c r="BU80" s="897"/>
      <c r="BV80" s="897"/>
      <c r="BW80" s="897"/>
      <c r="BX80" s="897"/>
      <c r="BY80" s="897"/>
      <c r="BZ80" s="897"/>
      <c r="CA80" s="897"/>
      <c r="CB80" s="897"/>
      <c r="CC80" s="897"/>
      <c r="CD80" s="897"/>
      <c r="CE80" s="897"/>
      <c r="CF80" s="897"/>
      <c r="CG80" s="897"/>
      <c r="CH80" s="897"/>
      <c r="CI80" s="3185">
        <f t="shared" si="13"/>
        <v>0</v>
      </c>
    </row>
    <row r="81" spans="1:87" s="1129" customFormat="1">
      <c r="A81" s="1179" t="s">
        <v>358</v>
      </c>
      <c r="B81" s="1080"/>
      <c r="C81" s="882" t="s">
        <v>302</v>
      </c>
      <c r="D81" s="908" t="s">
        <v>65</v>
      </c>
      <c r="E81" s="945" t="s">
        <v>65</v>
      </c>
      <c r="F81" s="252">
        <v>0</v>
      </c>
      <c r="G81" s="253"/>
      <c r="H81" s="252"/>
      <c r="I81" s="252"/>
      <c r="J81" s="252"/>
      <c r="K81" s="252"/>
      <c r="L81" s="277"/>
      <c r="M81" s="297">
        <f t="shared" si="12"/>
        <v>0</v>
      </c>
      <c r="N81" s="277"/>
      <c r="O81" s="3007">
        <f t="shared" si="14"/>
        <v>0</v>
      </c>
      <c r="P81" s="717"/>
      <c r="Q81" s="1278"/>
      <c r="R81" s="2921"/>
      <c r="BB81" s="897"/>
      <c r="BC81" s="897"/>
      <c r="BD81" s="897"/>
      <c r="BE81" s="897"/>
      <c r="BF81" s="897"/>
      <c r="BG81" s="897"/>
      <c r="BH81" s="897"/>
      <c r="BI81" s="897"/>
      <c r="BJ81" s="897"/>
      <c r="BK81" s="897"/>
      <c r="BL81" s="897"/>
      <c r="BM81" s="897"/>
      <c r="BN81" s="897"/>
      <c r="BO81" s="897"/>
      <c r="BP81" s="897"/>
      <c r="BQ81" s="897"/>
      <c r="BR81" s="897"/>
      <c r="BS81" s="897"/>
      <c r="BT81" s="897"/>
      <c r="BU81" s="897"/>
      <c r="BV81" s="897"/>
      <c r="BW81" s="897"/>
      <c r="BX81" s="897"/>
      <c r="BY81" s="897"/>
      <c r="BZ81" s="897"/>
      <c r="CA81" s="897"/>
      <c r="CB81" s="897"/>
      <c r="CC81" s="897"/>
      <c r="CD81" s="897"/>
      <c r="CE81" s="897"/>
      <c r="CF81" s="897"/>
      <c r="CG81" s="897"/>
      <c r="CH81" s="897"/>
      <c r="CI81" s="3185">
        <f t="shared" si="13"/>
        <v>0</v>
      </c>
    </row>
    <row r="82" spans="1:87" ht="30">
      <c r="A82" s="331">
        <v>5.3</v>
      </c>
      <c r="B82" s="1199"/>
      <c r="C82" s="1053" t="s">
        <v>4325</v>
      </c>
      <c r="D82" s="1245"/>
      <c r="E82" s="1245"/>
      <c r="F82" s="318"/>
      <c r="G82" s="318"/>
      <c r="H82" s="318"/>
      <c r="I82" s="318"/>
      <c r="J82" s="318"/>
      <c r="K82" s="318"/>
      <c r="L82" s="318"/>
      <c r="M82" s="1247"/>
      <c r="N82" s="319"/>
      <c r="O82" s="3004">
        <f>SUM(O83:O98)</f>
        <v>145.68770000000001</v>
      </c>
      <c r="P82" s="722"/>
      <c r="Q82" s="1250"/>
      <c r="R82" s="2926">
        <f>SUM(R83:R98)</f>
        <v>145.69</v>
      </c>
      <c r="BB82" s="3185"/>
      <c r="BC82" s="3185"/>
      <c r="BD82" s="3185"/>
      <c r="BE82" s="3185"/>
      <c r="BF82" s="3185"/>
      <c r="BG82" s="3185"/>
      <c r="BH82" s="3185"/>
      <c r="BI82" s="3185"/>
      <c r="BJ82" s="3185"/>
      <c r="BK82" s="3185"/>
      <c r="BL82" s="3185"/>
      <c r="BM82" s="3185"/>
      <c r="BN82" s="3185"/>
      <c r="BO82" s="3185"/>
      <c r="BP82" s="3185"/>
      <c r="BQ82" s="3185"/>
      <c r="BR82" s="3185"/>
      <c r="BS82" s="3185"/>
      <c r="BT82" s="3185"/>
      <c r="BU82" s="3185"/>
      <c r="BV82" s="3185"/>
      <c r="BW82" s="3185"/>
      <c r="BX82" s="3185"/>
      <c r="BY82" s="3185"/>
      <c r="BZ82" s="3185"/>
      <c r="CA82" s="3185"/>
      <c r="CB82" s="3185"/>
      <c r="CC82" s="3185"/>
      <c r="CD82" s="3185"/>
      <c r="CE82" s="3185"/>
      <c r="CF82" s="3185"/>
      <c r="CG82" s="3185"/>
      <c r="CH82" s="3185"/>
      <c r="CI82" s="3185">
        <f t="shared" si="13"/>
        <v>0</v>
      </c>
    </row>
    <row r="83" spans="1:87" s="1129" customFormat="1">
      <c r="A83" s="1179" t="s">
        <v>359</v>
      </c>
      <c r="B83" s="882" t="s">
        <v>360</v>
      </c>
      <c r="C83" s="882" t="s">
        <v>361</v>
      </c>
      <c r="D83" s="908" t="s">
        <v>65</v>
      </c>
      <c r="E83" s="945" t="s">
        <v>65</v>
      </c>
      <c r="F83" s="252">
        <v>0</v>
      </c>
      <c r="G83" s="253"/>
      <c r="H83" s="254"/>
      <c r="I83" s="254"/>
      <c r="J83" s="252"/>
      <c r="K83" s="252"/>
      <c r="L83" s="277"/>
      <c r="M83" s="297">
        <f t="shared" ref="M83:M98" si="15">L83/100000</f>
        <v>0</v>
      </c>
      <c r="N83" s="277"/>
      <c r="O83" s="3007">
        <f>M83*N83</f>
        <v>0</v>
      </c>
      <c r="P83" s="727"/>
      <c r="Q83" s="1278"/>
      <c r="R83" s="2921"/>
      <c r="BB83" s="897"/>
      <c r="BC83" s="897"/>
      <c r="BD83" s="897"/>
      <c r="BE83" s="897"/>
      <c r="BF83" s="897"/>
      <c r="BG83" s="897"/>
      <c r="BH83" s="897"/>
      <c r="BI83" s="897"/>
      <c r="BJ83" s="897"/>
      <c r="BK83" s="897"/>
      <c r="BL83" s="897"/>
      <c r="BM83" s="897"/>
      <c r="BN83" s="897"/>
      <c r="BO83" s="897"/>
      <c r="BP83" s="897"/>
      <c r="BQ83" s="897"/>
      <c r="BR83" s="897"/>
      <c r="BS83" s="897"/>
      <c r="BT83" s="897"/>
      <c r="BU83" s="897"/>
      <c r="BV83" s="897"/>
      <c r="BW83" s="897"/>
      <c r="BX83" s="897"/>
      <c r="BY83" s="897"/>
      <c r="BZ83" s="897"/>
      <c r="CA83" s="897"/>
      <c r="CB83" s="897"/>
      <c r="CC83" s="897"/>
      <c r="CD83" s="897"/>
      <c r="CE83" s="897"/>
      <c r="CF83" s="897"/>
      <c r="CG83" s="897"/>
      <c r="CH83" s="897"/>
      <c r="CI83" s="3185">
        <f t="shared" si="13"/>
        <v>0</v>
      </c>
    </row>
    <row r="84" spans="1:87" s="1129" customFormat="1" ht="30">
      <c r="A84" s="1179" t="s">
        <v>363</v>
      </c>
      <c r="B84" s="882" t="s">
        <v>364</v>
      </c>
      <c r="C84" s="896" t="s">
        <v>3759</v>
      </c>
      <c r="D84" s="908" t="s">
        <v>65</v>
      </c>
      <c r="E84" s="945" t="s">
        <v>2849</v>
      </c>
      <c r="F84" s="252">
        <v>0</v>
      </c>
      <c r="G84" s="253"/>
      <c r="H84" s="254">
        <v>0</v>
      </c>
      <c r="I84" s="254"/>
      <c r="J84" s="252"/>
      <c r="K84" s="252"/>
      <c r="L84" s="277"/>
      <c r="M84" s="297">
        <f t="shared" si="15"/>
        <v>0</v>
      </c>
      <c r="N84" s="277"/>
      <c r="O84" s="3007">
        <f>M84*N84</f>
        <v>0</v>
      </c>
      <c r="P84" s="729"/>
      <c r="Q84" s="1265">
        <f>'Abs5. Blood services &amp; Disorder'!Q13</f>
        <v>0</v>
      </c>
      <c r="R84" s="2936">
        <f>'Abs5. Blood services &amp; Disorder'!R13</f>
        <v>0</v>
      </c>
      <c r="BB84" s="897"/>
      <c r="BC84" s="897"/>
      <c r="BD84" s="897"/>
      <c r="BE84" s="897"/>
      <c r="BF84" s="897"/>
      <c r="BG84" s="897"/>
      <c r="BH84" s="897"/>
      <c r="BI84" s="897"/>
      <c r="BJ84" s="897"/>
      <c r="BK84" s="897"/>
      <c r="BL84" s="897"/>
      <c r="BM84" s="897"/>
      <c r="BN84" s="897"/>
      <c r="BO84" s="897"/>
      <c r="BP84" s="897"/>
      <c r="BQ84" s="897"/>
      <c r="BR84" s="897"/>
      <c r="BS84" s="897"/>
      <c r="BT84" s="897"/>
      <c r="BU84" s="897"/>
      <c r="BV84" s="897"/>
      <c r="BW84" s="897"/>
      <c r="BX84" s="897"/>
      <c r="BY84" s="897"/>
      <c r="BZ84" s="897"/>
      <c r="CA84" s="897"/>
      <c r="CB84" s="897"/>
      <c r="CC84" s="897"/>
      <c r="CD84" s="897"/>
      <c r="CE84" s="897"/>
      <c r="CF84" s="897"/>
      <c r="CG84" s="897"/>
      <c r="CH84" s="897"/>
      <c r="CI84" s="3185">
        <f t="shared" si="13"/>
        <v>0</v>
      </c>
    </row>
    <row r="85" spans="1:87" s="1129" customFormat="1">
      <c r="A85" s="1179" t="s">
        <v>365</v>
      </c>
      <c r="B85" s="882" t="s">
        <v>366</v>
      </c>
      <c r="C85" s="882" t="s">
        <v>367</v>
      </c>
      <c r="D85" s="908" t="s">
        <v>65</v>
      </c>
      <c r="E85" s="945" t="s">
        <v>65</v>
      </c>
      <c r="F85" s="249">
        <v>0</v>
      </c>
      <c r="G85" s="249"/>
      <c r="H85" s="249"/>
      <c r="I85" s="249"/>
      <c r="J85" s="249"/>
      <c r="K85" s="249"/>
      <c r="L85" s="277"/>
      <c r="M85" s="297">
        <f t="shared" si="15"/>
        <v>0</v>
      </c>
      <c r="N85" s="277"/>
      <c r="O85" s="3007">
        <f>M85*N85</f>
        <v>0</v>
      </c>
      <c r="P85" s="717"/>
      <c r="Q85" s="1278"/>
      <c r="R85" s="2921"/>
      <c r="BB85" s="897"/>
      <c r="BC85" s="897"/>
      <c r="BD85" s="897"/>
      <c r="BE85" s="897"/>
      <c r="BF85" s="897"/>
      <c r="BG85" s="897"/>
      <c r="BH85" s="897"/>
      <c r="BI85" s="897"/>
      <c r="BJ85" s="897"/>
      <c r="BK85" s="897"/>
      <c r="BL85" s="897"/>
      <c r="BM85" s="897"/>
      <c r="BN85" s="897"/>
      <c r="BO85" s="897"/>
      <c r="BP85" s="897"/>
      <c r="BQ85" s="897"/>
      <c r="BR85" s="897"/>
      <c r="BS85" s="897"/>
      <c r="BT85" s="897"/>
      <c r="BU85" s="897"/>
      <c r="BV85" s="897"/>
      <c r="BW85" s="897"/>
      <c r="BX85" s="897"/>
      <c r="BY85" s="897"/>
      <c r="BZ85" s="897"/>
      <c r="CA85" s="897"/>
      <c r="CB85" s="897"/>
      <c r="CC85" s="897"/>
      <c r="CD85" s="897"/>
      <c r="CE85" s="897"/>
      <c r="CF85" s="897"/>
      <c r="CG85" s="897"/>
      <c r="CH85" s="897"/>
      <c r="CI85" s="3185">
        <f t="shared" si="13"/>
        <v>0</v>
      </c>
    </row>
    <row r="86" spans="1:87" s="1129" customFormat="1">
      <c r="A86" s="1179" t="s">
        <v>368</v>
      </c>
      <c r="B86" s="882" t="s">
        <v>369</v>
      </c>
      <c r="C86" s="882" t="s">
        <v>370</v>
      </c>
      <c r="D86" s="908" t="s">
        <v>65</v>
      </c>
      <c r="E86" s="945" t="s">
        <v>65</v>
      </c>
      <c r="F86" s="249">
        <v>0</v>
      </c>
      <c r="G86" s="249"/>
      <c r="H86" s="249"/>
      <c r="I86" s="249"/>
      <c r="J86" s="249"/>
      <c r="K86" s="249"/>
      <c r="L86" s="277"/>
      <c r="M86" s="297">
        <f t="shared" si="15"/>
        <v>0</v>
      </c>
      <c r="N86" s="277"/>
      <c r="O86" s="3007">
        <f>M86*N86</f>
        <v>0</v>
      </c>
      <c r="P86" s="717"/>
      <c r="Q86" s="1278"/>
      <c r="R86" s="2921"/>
      <c r="BB86" s="897"/>
      <c r="BC86" s="897"/>
      <c r="BD86" s="897"/>
      <c r="BE86" s="897"/>
      <c r="BF86" s="897"/>
      <c r="BG86" s="897"/>
      <c r="BH86" s="897"/>
      <c r="BI86" s="897"/>
      <c r="BJ86" s="897"/>
      <c r="BK86" s="897"/>
      <c r="BL86" s="897"/>
      <c r="BM86" s="897"/>
      <c r="BN86" s="897"/>
      <c r="BO86" s="897"/>
      <c r="BP86" s="897"/>
      <c r="BQ86" s="897"/>
      <c r="BR86" s="897"/>
      <c r="BS86" s="897"/>
      <c r="BT86" s="897"/>
      <c r="BU86" s="897"/>
      <c r="BV86" s="897"/>
      <c r="BW86" s="897"/>
      <c r="BX86" s="897"/>
      <c r="BY86" s="897"/>
      <c r="BZ86" s="897"/>
      <c r="CA86" s="897"/>
      <c r="CB86" s="897"/>
      <c r="CC86" s="897"/>
      <c r="CD86" s="897"/>
      <c r="CE86" s="897"/>
      <c r="CF86" s="897"/>
      <c r="CG86" s="897"/>
      <c r="CH86" s="897"/>
      <c r="CI86" s="3185">
        <f t="shared" si="13"/>
        <v>0</v>
      </c>
    </row>
    <row r="87" spans="1:87" s="1129" customFormat="1" ht="30">
      <c r="A87" s="1179" t="s">
        <v>371</v>
      </c>
      <c r="B87" s="882" t="s">
        <v>372</v>
      </c>
      <c r="C87" s="882" t="s">
        <v>373</v>
      </c>
      <c r="D87" s="908" t="s">
        <v>65</v>
      </c>
      <c r="E87" s="945" t="s">
        <v>65</v>
      </c>
      <c r="F87" s="249">
        <v>0</v>
      </c>
      <c r="G87" s="249"/>
      <c r="H87" s="249"/>
      <c r="I87" s="249"/>
      <c r="J87" s="249"/>
      <c r="K87" s="249"/>
      <c r="L87" s="277"/>
      <c r="M87" s="297">
        <f t="shared" si="15"/>
        <v>0</v>
      </c>
      <c r="N87" s="277"/>
      <c r="O87" s="3007">
        <f>M87*N87</f>
        <v>0</v>
      </c>
      <c r="P87" s="717"/>
      <c r="Q87" s="1278"/>
      <c r="R87" s="2921"/>
      <c r="BB87" s="897"/>
      <c r="BC87" s="897"/>
      <c r="BD87" s="897"/>
      <c r="BE87" s="897"/>
      <c r="BF87" s="897"/>
      <c r="BG87" s="897"/>
      <c r="BH87" s="897"/>
      <c r="BI87" s="897"/>
      <c r="BJ87" s="897"/>
      <c r="BK87" s="897"/>
      <c r="BL87" s="897"/>
      <c r="BM87" s="897"/>
      <c r="BN87" s="897"/>
      <c r="BO87" s="897"/>
      <c r="BP87" s="897"/>
      <c r="BQ87" s="897"/>
      <c r="BR87" s="897"/>
      <c r="BS87" s="897"/>
      <c r="BT87" s="897"/>
      <c r="BU87" s="897"/>
      <c r="BV87" s="897"/>
      <c r="BW87" s="897"/>
      <c r="BX87" s="897"/>
      <c r="BY87" s="897"/>
      <c r="BZ87" s="897"/>
      <c r="CA87" s="897"/>
      <c r="CB87" s="897"/>
      <c r="CC87" s="897"/>
      <c r="CD87" s="897"/>
      <c r="CE87" s="897"/>
      <c r="CF87" s="897"/>
      <c r="CG87" s="897"/>
      <c r="CH87" s="897"/>
      <c r="CI87" s="3185">
        <f t="shared" si="13"/>
        <v>0</v>
      </c>
    </row>
    <row r="88" spans="1:87" s="1129" customFormat="1" ht="30">
      <c r="A88" s="1179" t="s">
        <v>375</v>
      </c>
      <c r="B88" s="882" t="s">
        <v>374</v>
      </c>
      <c r="C88" s="882" t="s">
        <v>2747</v>
      </c>
      <c r="D88" s="913" t="s">
        <v>80</v>
      </c>
      <c r="E88" s="1170" t="s">
        <v>4533</v>
      </c>
      <c r="F88" s="249">
        <v>0</v>
      </c>
      <c r="G88" s="249"/>
      <c r="H88" s="249">
        <v>0</v>
      </c>
      <c r="I88" s="249"/>
      <c r="J88" s="249"/>
      <c r="K88" s="249"/>
      <c r="L88" s="277"/>
      <c r="M88" s="297">
        <f t="shared" si="15"/>
        <v>0</v>
      </c>
      <c r="N88" s="277"/>
      <c r="O88" s="3007">
        <f t="shared" ref="O88:O95" si="16">M88*N88</f>
        <v>0</v>
      </c>
      <c r="P88" s="717"/>
      <c r="Q88" s="1265">
        <f>'Abs26. Burns &amp; Injury'!Q7</f>
        <v>0</v>
      </c>
      <c r="R88" s="3012">
        <f>'Abs26. Burns &amp; Injury'!R7</f>
        <v>0</v>
      </c>
      <c r="BB88" s="897"/>
      <c r="BC88" s="897"/>
      <c r="BD88" s="897"/>
      <c r="BE88" s="897"/>
      <c r="BF88" s="897"/>
      <c r="BG88" s="897"/>
      <c r="BH88" s="897"/>
      <c r="BI88" s="897"/>
      <c r="BJ88" s="897"/>
      <c r="BK88" s="897"/>
      <c r="BL88" s="897"/>
      <c r="BM88" s="897"/>
      <c r="BN88" s="897"/>
      <c r="BO88" s="897"/>
      <c r="BP88" s="897"/>
      <c r="BQ88" s="897"/>
      <c r="BR88" s="897"/>
      <c r="BS88" s="897"/>
      <c r="BT88" s="897"/>
      <c r="BU88" s="897"/>
      <c r="BV88" s="897"/>
      <c r="BW88" s="897"/>
      <c r="BX88" s="897"/>
      <c r="BY88" s="897"/>
      <c r="BZ88" s="897"/>
      <c r="CA88" s="897"/>
      <c r="CB88" s="897"/>
      <c r="CC88" s="897"/>
      <c r="CD88" s="897"/>
      <c r="CE88" s="897"/>
      <c r="CF88" s="897"/>
      <c r="CG88" s="897"/>
      <c r="CH88" s="897"/>
      <c r="CI88" s="3185">
        <f t="shared" si="13"/>
        <v>0</v>
      </c>
    </row>
    <row r="89" spans="1:87" ht="30">
      <c r="A89" s="1179" t="s">
        <v>378</v>
      </c>
      <c r="B89" s="1179" t="s">
        <v>376</v>
      </c>
      <c r="C89" s="1179" t="s">
        <v>377</v>
      </c>
      <c r="D89" s="2254" t="s">
        <v>85</v>
      </c>
      <c r="E89" s="2512" t="s">
        <v>200</v>
      </c>
      <c r="F89" s="324">
        <v>0</v>
      </c>
      <c r="G89" s="324"/>
      <c r="H89" s="324">
        <v>0</v>
      </c>
      <c r="I89" s="324"/>
      <c r="J89" s="324"/>
      <c r="K89" s="324"/>
      <c r="L89" s="283"/>
      <c r="M89" s="298">
        <f t="shared" si="15"/>
        <v>0</v>
      </c>
      <c r="N89" s="283"/>
      <c r="O89" s="3009">
        <f t="shared" si="16"/>
        <v>0</v>
      </c>
      <c r="P89" s="719" t="s">
        <v>5403</v>
      </c>
      <c r="Q89" s="2300" t="str">
        <f>'Ab1. RMNCH+A'!Q408</f>
        <v>Fund will be utilized from sanctioned BMWM.</v>
      </c>
      <c r="R89" s="2935">
        <f>'Ab1. RMNCH+A'!R408</f>
        <v>0</v>
      </c>
      <c r="BB89" s="3185"/>
      <c r="BC89" s="3185"/>
      <c r="BD89" s="3185"/>
      <c r="BE89" s="3185"/>
      <c r="BF89" s="3185"/>
      <c r="BG89" s="3185"/>
      <c r="BH89" s="3185"/>
      <c r="BI89" s="3185"/>
      <c r="BJ89" s="3185"/>
      <c r="BK89" s="3185"/>
      <c r="BL89" s="3185"/>
      <c r="BM89" s="3185"/>
      <c r="BN89" s="3185"/>
      <c r="BO89" s="3185"/>
      <c r="BP89" s="3185"/>
      <c r="BQ89" s="3185"/>
      <c r="BR89" s="3185"/>
      <c r="BS89" s="3185"/>
      <c r="BT89" s="3185"/>
      <c r="BU89" s="3185"/>
      <c r="BV89" s="3185"/>
      <c r="BW89" s="3185"/>
      <c r="BX89" s="3185"/>
      <c r="BY89" s="3185"/>
      <c r="BZ89" s="3185"/>
      <c r="CA89" s="3185"/>
      <c r="CB89" s="3185"/>
      <c r="CC89" s="3185"/>
      <c r="CD89" s="3185"/>
      <c r="CE89" s="3185"/>
      <c r="CF89" s="3185"/>
      <c r="CG89" s="3185"/>
      <c r="CH89" s="3185"/>
      <c r="CI89" s="3185">
        <f t="shared" si="13"/>
        <v>0</v>
      </c>
    </row>
    <row r="90" spans="1:87" s="1129" customFormat="1">
      <c r="A90" s="1179" t="s">
        <v>381</v>
      </c>
      <c r="B90" s="896" t="s">
        <v>379</v>
      </c>
      <c r="C90" s="896" t="s">
        <v>380</v>
      </c>
      <c r="D90" s="1005" t="s">
        <v>85</v>
      </c>
      <c r="E90" s="945" t="s">
        <v>203</v>
      </c>
      <c r="F90" s="249">
        <v>0</v>
      </c>
      <c r="G90" s="249"/>
      <c r="H90" s="249">
        <v>0</v>
      </c>
      <c r="I90" s="249"/>
      <c r="J90" s="249"/>
      <c r="K90" s="249"/>
      <c r="L90" s="277"/>
      <c r="M90" s="297">
        <f t="shared" si="15"/>
        <v>0</v>
      </c>
      <c r="N90" s="277"/>
      <c r="O90" s="3007">
        <f t="shared" si="16"/>
        <v>0</v>
      </c>
      <c r="P90" s="717"/>
      <c r="Q90" s="1265">
        <f>'Ab2. NIDDCP'!Q9</f>
        <v>0</v>
      </c>
      <c r="R90" s="2936">
        <f>'Ab2. NIDDCP'!R9</f>
        <v>0</v>
      </c>
      <c r="BB90" s="897"/>
      <c r="BC90" s="897"/>
      <c r="BD90" s="897"/>
      <c r="BE90" s="897"/>
      <c r="BF90" s="897"/>
      <c r="BG90" s="897"/>
      <c r="BH90" s="897"/>
      <c r="BI90" s="897"/>
      <c r="BJ90" s="897"/>
      <c r="BK90" s="897"/>
      <c r="BL90" s="897"/>
      <c r="BM90" s="897"/>
      <c r="BN90" s="897"/>
      <c r="BO90" s="897"/>
      <c r="BP90" s="897"/>
      <c r="BQ90" s="897"/>
      <c r="BR90" s="897"/>
      <c r="BS90" s="897"/>
      <c r="BT90" s="897"/>
      <c r="BU90" s="897"/>
      <c r="BV90" s="897"/>
      <c r="BW90" s="897"/>
      <c r="BX90" s="897"/>
      <c r="BY90" s="897"/>
      <c r="BZ90" s="897"/>
      <c r="CA90" s="897"/>
      <c r="CB90" s="897"/>
      <c r="CC90" s="897"/>
      <c r="CD90" s="897"/>
      <c r="CE90" s="897"/>
      <c r="CF90" s="897"/>
      <c r="CG90" s="897"/>
      <c r="CH90" s="897"/>
      <c r="CI90" s="3185">
        <f t="shared" si="13"/>
        <v>0</v>
      </c>
    </row>
    <row r="91" spans="1:87" s="1129" customFormat="1" ht="30">
      <c r="A91" s="1179" t="s">
        <v>384</v>
      </c>
      <c r="B91" s="225" t="s">
        <v>382</v>
      </c>
      <c r="C91" s="225" t="s">
        <v>383</v>
      </c>
      <c r="D91" s="1007" t="s">
        <v>4219</v>
      </c>
      <c r="E91" s="945" t="s">
        <v>4581</v>
      </c>
      <c r="F91" s="252">
        <v>0</v>
      </c>
      <c r="G91" s="253"/>
      <c r="H91" s="254">
        <v>0</v>
      </c>
      <c r="I91" s="254"/>
      <c r="J91" s="252"/>
      <c r="K91" s="252"/>
      <c r="L91" s="277"/>
      <c r="M91" s="297">
        <f t="shared" si="15"/>
        <v>0</v>
      </c>
      <c r="N91" s="277"/>
      <c r="O91" s="3007">
        <f t="shared" si="16"/>
        <v>0</v>
      </c>
      <c r="P91" s="729"/>
      <c r="Q91" s="1265">
        <f>'Abs9. NVBDCP'!Q33</f>
        <v>0</v>
      </c>
      <c r="R91" s="3012">
        <f>'Abs9. NVBDCP'!R33</f>
        <v>0</v>
      </c>
      <c r="BB91" s="897"/>
      <c r="BC91" s="897"/>
      <c r="BD91" s="897"/>
      <c r="BE91" s="897"/>
      <c r="BF91" s="897"/>
      <c r="BG91" s="897"/>
      <c r="BH91" s="897"/>
      <c r="BI91" s="897"/>
      <c r="BJ91" s="897"/>
      <c r="BK91" s="897"/>
      <c r="BL91" s="897"/>
      <c r="BM91" s="897"/>
      <c r="BN91" s="897"/>
      <c r="BO91" s="897"/>
      <c r="BP91" s="897"/>
      <c r="BQ91" s="897"/>
      <c r="BR91" s="897"/>
      <c r="BS91" s="897"/>
      <c r="BT91" s="897"/>
      <c r="BU91" s="897"/>
      <c r="BV91" s="897"/>
      <c r="BW91" s="897"/>
      <c r="BX91" s="897"/>
      <c r="BY91" s="897"/>
      <c r="BZ91" s="897"/>
      <c r="CA91" s="897"/>
      <c r="CB91" s="897"/>
      <c r="CC91" s="897"/>
      <c r="CD91" s="897"/>
      <c r="CE91" s="897"/>
      <c r="CF91" s="897"/>
      <c r="CG91" s="897"/>
      <c r="CH91" s="897"/>
      <c r="CI91" s="3185">
        <f t="shared" si="13"/>
        <v>0</v>
      </c>
    </row>
    <row r="92" spans="1:87" s="1129" customFormat="1" ht="21" customHeight="1">
      <c r="A92" s="1179" t="s">
        <v>387</v>
      </c>
      <c r="B92" s="225" t="s">
        <v>385</v>
      </c>
      <c r="C92" s="225" t="s">
        <v>386</v>
      </c>
      <c r="D92" s="1007" t="s">
        <v>4219</v>
      </c>
      <c r="E92" s="945" t="s">
        <v>1542</v>
      </c>
      <c r="F92" s="249">
        <v>0</v>
      </c>
      <c r="G92" s="249"/>
      <c r="H92" s="249">
        <v>0</v>
      </c>
      <c r="I92" s="249"/>
      <c r="J92" s="249"/>
      <c r="K92" s="249"/>
      <c r="L92" s="277"/>
      <c r="M92" s="297">
        <f t="shared" si="15"/>
        <v>0</v>
      </c>
      <c r="N92" s="277"/>
      <c r="O92" s="3007">
        <f t="shared" si="16"/>
        <v>0</v>
      </c>
      <c r="P92" s="717"/>
      <c r="Q92" s="1265">
        <f>'Abs9. NVBDCP'!Q34</f>
        <v>0</v>
      </c>
      <c r="R92" s="3012">
        <f>'Abs9. NVBDCP'!R34</f>
        <v>0</v>
      </c>
      <c r="BB92" s="897"/>
      <c r="BC92" s="897"/>
      <c r="BD92" s="897"/>
      <c r="BE92" s="897"/>
      <c r="BF92" s="897"/>
      <c r="BG92" s="897"/>
      <c r="BH92" s="897"/>
      <c r="BI92" s="897"/>
      <c r="BJ92" s="897"/>
      <c r="BK92" s="897"/>
      <c r="BL92" s="897"/>
      <c r="BM92" s="897"/>
      <c r="BN92" s="897"/>
      <c r="BO92" s="897"/>
      <c r="BP92" s="897"/>
      <c r="BQ92" s="897"/>
      <c r="BR92" s="897"/>
      <c r="BS92" s="897"/>
      <c r="BT92" s="897"/>
      <c r="BU92" s="897"/>
      <c r="BV92" s="897"/>
      <c r="BW92" s="897"/>
      <c r="BX92" s="897"/>
      <c r="BY92" s="897"/>
      <c r="BZ92" s="897"/>
      <c r="CA92" s="897"/>
      <c r="CB92" s="897"/>
      <c r="CC92" s="897"/>
      <c r="CD92" s="897"/>
      <c r="CE92" s="897"/>
      <c r="CF92" s="897"/>
      <c r="CG92" s="897"/>
      <c r="CH92" s="897"/>
      <c r="CI92" s="3185">
        <f t="shared" si="13"/>
        <v>0</v>
      </c>
    </row>
    <row r="93" spans="1:87" s="1129" customFormat="1" ht="18" customHeight="1">
      <c r="A93" s="1179" t="s">
        <v>388</v>
      </c>
      <c r="B93" s="225" t="s">
        <v>2097</v>
      </c>
      <c r="C93" s="225" t="s">
        <v>2098</v>
      </c>
      <c r="D93" s="1007" t="s">
        <v>4219</v>
      </c>
      <c r="E93" s="945" t="s">
        <v>4710</v>
      </c>
      <c r="F93" s="249">
        <v>0</v>
      </c>
      <c r="G93" s="249"/>
      <c r="H93" s="249">
        <v>0</v>
      </c>
      <c r="I93" s="249"/>
      <c r="J93" s="249"/>
      <c r="K93" s="249"/>
      <c r="L93" s="277"/>
      <c r="M93" s="297">
        <f t="shared" si="15"/>
        <v>0</v>
      </c>
      <c r="N93" s="277"/>
      <c r="O93" s="3007">
        <f t="shared" si="16"/>
        <v>0</v>
      </c>
      <c r="P93" s="717"/>
      <c r="Q93" s="1265">
        <f>'Abs9. NVBDCP'!Q35</f>
        <v>0</v>
      </c>
      <c r="R93" s="3012">
        <f>'Abs9. NVBDCP'!R35</f>
        <v>0</v>
      </c>
      <c r="BB93" s="897"/>
      <c r="BC93" s="897"/>
      <c r="BD93" s="897"/>
      <c r="BE93" s="897"/>
      <c r="BF93" s="897"/>
      <c r="BG93" s="897"/>
      <c r="BH93" s="897"/>
      <c r="BI93" s="897"/>
      <c r="BJ93" s="897"/>
      <c r="BK93" s="897"/>
      <c r="BL93" s="897"/>
      <c r="BM93" s="897"/>
      <c r="BN93" s="897"/>
      <c r="BO93" s="897"/>
      <c r="BP93" s="897"/>
      <c r="BQ93" s="897"/>
      <c r="BR93" s="897"/>
      <c r="BS93" s="897"/>
      <c r="BT93" s="897"/>
      <c r="BU93" s="897"/>
      <c r="BV93" s="897"/>
      <c r="BW93" s="897"/>
      <c r="BX93" s="897"/>
      <c r="BY93" s="897"/>
      <c r="BZ93" s="897"/>
      <c r="CA93" s="897"/>
      <c r="CB93" s="897"/>
      <c r="CC93" s="897"/>
      <c r="CD93" s="897"/>
      <c r="CE93" s="897"/>
      <c r="CF93" s="897"/>
      <c r="CG93" s="897"/>
      <c r="CH93" s="897"/>
      <c r="CI93" s="3185">
        <f t="shared" si="13"/>
        <v>0</v>
      </c>
    </row>
    <row r="94" spans="1:87" ht="40.5" customHeight="1">
      <c r="A94" s="1179" t="s">
        <v>390</v>
      </c>
      <c r="B94" s="233" t="s">
        <v>389</v>
      </c>
      <c r="C94" s="233" t="s">
        <v>4634</v>
      </c>
      <c r="D94" s="2254" t="s">
        <v>4219</v>
      </c>
      <c r="E94" s="2623" t="s">
        <v>4525</v>
      </c>
      <c r="F94" s="285">
        <v>15</v>
      </c>
      <c r="G94" s="286">
        <v>6</v>
      </c>
      <c r="H94" s="2624">
        <v>124.97</v>
      </c>
      <c r="I94" s="2624">
        <v>10.25</v>
      </c>
      <c r="J94" s="397">
        <v>114</v>
      </c>
      <c r="K94" s="2625">
        <v>26</v>
      </c>
      <c r="L94" s="2626">
        <v>213030</v>
      </c>
      <c r="M94" s="298">
        <f t="shared" si="15"/>
        <v>2.1303000000000001</v>
      </c>
      <c r="N94" s="283">
        <v>59</v>
      </c>
      <c r="O94" s="3009">
        <f t="shared" si="16"/>
        <v>125.68770000000001</v>
      </c>
      <c r="P94" s="3186" t="s">
        <v>5466</v>
      </c>
      <c r="Q94" s="3187" t="str">
        <f>'Abs11. NTEP'!Q19</f>
        <v>Recommended the following civil works: 1.  Rs 42.93 lakhs for minor works and maintenance	Rs 5.7 lakhs for 8 DMCs and for installation of 1CBNAAT machine	Rs 2.18 lakhs for 3 TUs	Rs 23.52 lakhs for 4 DTCs	Rs 5.5 lakhs for 1 DDS	Rs 6.02 lakhs for 2 DRTB Centres2. Rs 25 lakhs for BSL III lab which is about to start functioning3. Rs 77.63 lakhs for Nodal DRTB Centre (Lift and Ramp) as discussed in the NPCC meeting. 4. Rs 2.5 lakhs for 25 new DMCs (as the proposal is for high case load facilities and hard to reach areas, and is coupled with proposal for LT and microscope). Funds recommended as proposed by the State</v>
      </c>
      <c r="R94" s="3014">
        <f>'Abs11. NTEP'!R19</f>
        <v>125.69</v>
      </c>
      <c r="BB94" s="3185"/>
      <c r="BC94" s="3185">
        <v>0.7</v>
      </c>
      <c r="BD94" s="3185">
        <v>0.1</v>
      </c>
      <c r="BE94" s="3185">
        <v>2.5</v>
      </c>
      <c r="BF94" s="3185">
        <v>9.1999999999999993</v>
      </c>
      <c r="BG94" s="3185">
        <v>0.1</v>
      </c>
      <c r="BH94" s="3185">
        <v>3.89</v>
      </c>
      <c r="BI94" s="3185">
        <v>1.1000000000000001</v>
      </c>
      <c r="BJ94" s="3185">
        <v>13.34</v>
      </c>
      <c r="BK94" s="3185">
        <v>8.5</v>
      </c>
      <c r="BL94" s="3185">
        <v>5.8</v>
      </c>
      <c r="BM94" s="3185">
        <v>0</v>
      </c>
      <c r="BN94" s="3185">
        <v>0.2</v>
      </c>
      <c r="BO94" s="3185"/>
      <c r="BP94" s="3185">
        <v>55.26</v>
      </c>
      <c r="BQ94" s="3185"/>
      <c r="BR94" s="3185"/>
      <c r="BS94" s="3185"/>
      <c r="BT94" s="3185"/>
      <c r="BU94" s="3185"/>
      <c r="BV94" s="3185"/>
      <c r="BW94" s="3185"/>
      <c r="BX94" s="3185"/>
      <c r="BY94" s="3185"/>
      <c r="BZ94" s="3185"/>
      <c r="CA94" s="3185"/>
      <c r="CB94" s="3185"/>
      <c r="CC94" s="3185"/>
      <c r="CD94" s="3185"/>
      <c r="CE94" s="3185">
        <v>25</v>
      </c>
      <c r="CF94" s="3185"/>
      <c r="CG94" s="3185"/>
      <c r="CH94" s="3185"/>
      <c r="CI94" s="3185">
        <f t="shared" si="13"/>
        <v>125.69</v>
      </c>
    </row>
    <row r="95" spans="1:87" s="1129" customFormat="1" ht="45">
      <c r="A95" s="1179" t="s">
        <v>392</v>
      </c>
      <c r="B95" s="896" t="s">
        <v>391</v>
      </c>
      <c r="C95" s="896" t="s">
        <v>3949</v>
      </c>
      <c r="D95" s="911" t="s">
        <v>80</v>
      </c>
      <c r="E95" s="945" t="s">
        <v>145</v>
      </c>
      <c r="F95" s="249">
        <v>0</v>
      </c>
      <c r="G95" s="249"/>
      <c r="H95" s="249">
        <v>7.0000000000000007E-2</v>
      </c>
      <c r="I95" s="249">
        <v>7.0000000000000007E-2</v>
      </c>
      <c r="J95" s="249"/>
      <c r="K95" s="249"/>
      <c r="L95" s="277"/>
      <c r="M95" s="297">
        <f t="shared" si="15"/>
        <v>0</v>
      </c>
      <c r="N95" s="277"/>
      <c r="O95" s="3007">
        <f t="shared" si="16"/>
        <v>0</v>
      </c>
      <c r="P95" s="717"/>
      <c r="Q95" s="1265">
        <f>'Abs16. NMHP'!Q11</f>
        <v>0</v>
      </c>
      <c r="R95" s="3012">
        <f>'Abs16. NMHP'!R11</f>
        <v>0</v>
      </c>
      <c r="BB95" s="897"/>
      <c r="BC95" s="897"/>
      <c r="BD95" s="897"/>
      <c r="BE95" s="897"/>
      <c r="BF95" s="897"/>
      <c r="BG95" s="897"/>
      <c r="BH95" s="897"/>
      <c r="BI95" s="897"/>
      <c r="BJ95" s="897"/>
      <c r="BK95" s="897"/>
      <c r="BL95" s="897"/>
      <c r="BM95" s="897"/>
      <c r="BN95" s="897"/>
      <c r="BO95" s="897"/>
      <c r="BP95" s="897"/>
      <c r="BQ95" s="897"/>
      <c r="BR95" s="897"/>
      <c r="BS95" s="897"/>
      <c r="BT95" s="897"/>
      <c r="BU95" s="897"/>
      <c r="BV95" s="897"/>
      <c r="BW95" s="897"/>
      <c r="BX95" s="897"/>
      <c r="BY95" s="897"/>
      <c r="BZ95" s="897"/>
      <c r="CA95" s="897"/>
      <c r="CB95" s="897"/>
      <c r="CC95" s="897"/>
      <c r="CD95" s="897"/>
      <c r="CE95" s="897"/>
      <c r="CF95" s="897"/>
      <c r="CG95" s="897"/>
      <c r="CH95" s="897"/>
      <c r="CI95" s="3185">
        <f t="shared" si="13"/>
        <v>0</v>
      </c>
    </row>
    <row r="96" spans="1:87" s="1129" customFormat="1" ht="60">
      <c r="A96" s="1179" t="s">
        <v>2099</v>
      </c>
      <c r="B96" s="1274" t="s">
        <v>393</v>
      </c>
      <c r="C96" s="1275" t="s">
        <v>4274</v>
      </c>
      <c r="D96" s="911" t="s">
        <v>80</v>
      </c>
      <c r="E96" s="1276" t="s">
        <v>394</v>
      </c>
      <c r="F96" s="333">
        <v>0</v>
      </c>
      <c r="G96" s="333"/>
      <c r="H96" s="333">
        <v>0</v>
      </c>
      <c r="I96" s="333"/>
      <c r="J96" s="333"/>
      <c r="K96" s="334"/>
      <c r="L96" s="277"/>
      <c r="M96" s="297">
        <f t="shared" si="15"/>
        <v>0</v>
      </c>
      <c r="N96" s="277"/>
      <c r="O96" s="3010">
        <f>N96*M96</f>
        <v>0</v>
      </c>
      <c r="P96" s="730"/>
      <c r="Q96" s="1277">
        <f>'Abs17. NPHCE'!Q9</f>
        <v>0</v>
      </c>
      <c r="R96" s="2962">
        <f>'Abs17. NPHCE'!R9</f>
        <v>0</v>
      </c>
      <c r="BB96" s="897"/>
      <c r="BC96" s="897"/>
      <c r="BD96" s="897"/>
      <c r="BE96" s="897"/>
      <c r="BF96" s="897"/>
      <c r="BG96" s="897"/>
      <c r="BH96" s="897"/>
      <c r="BI96" s="897"/>
      <c r="BJ96" s="897"/>
      <c r="BK96" s="897"/>
      <c r="BL96" s="897"/>
      <c r="BM96" s="897"/>
      <c r="BN96" s="897"/>
      <c r="BO96" s="897"/>
      <c r="BP96" s="897"/>
      <c r="BQ96" s="897"/>
      <c r="BR96" s="897"/>
      <c r="BS96" s="897"/>
      <c r="BT96" s="897"/>
      <c r="BU96" s="897"/>
      <c r="BV96" s="897"/>
      <c r="BW96" s="897"/>
      <c r="BX96" s="897"/>
      <c r="BY96" s="897"/>
      <c r="BZ96" s="897"/>
      <c r="CA96" s="897"/>
      <c r="CB96" s="897"/>
      <c r="CC96" s="897"/>
      <c r="CD96" s="897"/>
      <c r="CE96" s="897"/>
      <c r="CF96" s="897"/>
      <c r="CG96" s="897"/>
      <c r="CH96" s="897"/>
      <c r="CI96" s="3185">
        <f t="shared" si="13"/>
        <v>0</v>
      </c>
    </row>
    <row r="97" spans="1:87" ht="23.25" customHeight="1">
      <c r="A97" s="1179" t="s">
        <v>2384</v>
      </c>
      <c r="B97" s="233" t="s">
        <v>1662</v>
      </c>
      <c r="C97" s="233" t="s">
        <v>2100</v>
      </c>
      <c r="D97" s="1699" t="s">
        <v>80</v>
      </c>
      <c r="E97" s="2623" t="s">
        <v>410</v>
      </c>
      <c r="F97" s="324">
        <v>0</v>
      </c>
      <c r="G97" s="324"/>
      <c r="H97" s="324">
        <v>0</v>
      </c>
      <c r="I97" s="324"/>
      <c r="J97" s="324"/>
      <c r="K97" s="324"/>
      <c r="L97" s="283">
        <v>200000</v>
      </c>
      <c r="M97" s="298">
        <f t="shared" si="15"/>
        <v>2</v>
      </c>
      <c r="N97" s="283">
        <v>10</v>
      </c>
      <c r="O97" s="3009">
        <f>M97*N97</f>
        <v>20</v>
      </c>
      <c r="P97" s="2648" t="s">
        <v>5463</v>
      </c>
      <c r="Q97" s="2300" t="str">
        <f>'Abs19. NPCDCS'!Q16</f>
        <v>Recommended for approval for setting up of 10 Integrated Nirog Clinics in high case load facilities @ Rs 2 lakh per unit</v>
      </c>
      <c r="R97" s="3014">
        <f>'Abs19. NPCDCS'!R16</f>
        <v>20</v>
      </c>
      <c r="BB97" s="3185">
        <v>20</v>
      </c>
      <c r="BC97" s="3185"/>
      <c r="BD97" s="3185"/>
      <c r="BE97" s="3185"/>
      <c r="BF97" s="3185"/>
      <c r="BG97" s="3185"/>
      <c r="BH97" s="3185"/>
      <c r="BI97" s="3185"/>
      <c r="BJ97" s="3185"/>
      <c r="BK97" s="3185"/>
      <c r="BL97" s="3185"/>
      <c r="BM97" s="3185"/>
      <c r="BN97" s="3185"/>
      <c r="BO97" s="3185"/>
      <c r="BP97" s="3185"/>
      <c r="BQ97" s="3185"/>
      <c r="BR97" s="3185"/>
      <c r="BS97" s="3185"/>
      <c r="BT97" s="3185"/>
      <c r="BU97" s="3185"/>
      <c r="BV97" s="3185"/>
      <c r="BW97" s="3185"/>
      <c r="BX97" s="3185"/>
      <c r="BY97" s="3185"/>
      <c r="BZ97" s="3185"/>
      <c r="CA97" s="3185"/>
      <c r="CB97" s="3185"/>
      <c r="CC97" s="3185"/>
      <c r="CD97" s="3185"/>
      <c r="CE97" s="3185"/>
      <c r="CF97" s="3185"/>
      <c r="CG97" s="3185"/>
      <c r="CH97" s="3185"/>
      <c r="CI97" s="3185">
        <f t="shared" si="13"/>
        <v>20</v>
      </c>
    </row>
    <row r="98" spans="1:87" s="1129" customFormat="1">
      <c r="A98" s="1179" t="s">
        <v>2385</v>
      </c>
      <c r="B98" s="1179"/>
      <c r="C98" s="896" t="s">
        <v>1304</v>
      </c>
      <c r="D98" s="908" t="s">
        <v>65</v>
      </c>
      <c r="E98" s="945" t="s">
        <v>65</v>
      </c>
      <c r="F98" s="249">
        <v>0</v>
      </c>
      <c r="G98" s="249"/>
      <c r="H98" s="249">
        <v>0</v>
      </c>
      <c r="I98" s="249"/>
      <c r="J98" s="249"/>
      <c r="K98" s="249"/>
      <c r="L98" s="277"/>
      <c r="M98" s="297">
        <f t="shared" si="15"/>
        <v>0</v>
      </c>
      <c r="N98" s="277"/>
      <c r="O98" s="3007">
        <f>M98*N98</f>
        <v>0</v>
      </c>
      <c r="P98" s="717"/>
      <c r="Q98" s="1280"/>
      <c r="R98" s="2934"/>
      <c r="BB98" s="897"/>
      <c r="BC98" s="897"/>
      <c r="BD98" s="897"/>
      <c r="BE98" s="897"/>
      <c r="BF98" s="897"/>
      <c r="BG98" s="897"/>
      <c r="BH98" s="897"/>
      <c r="BI98" s="897"/>
      <c r="BJ98" s="897"/>
      <c r="BK98" s="897"/>
      <c r="BL98" s="897"/>
      <c r="BM98" s="897"/>
      <c r="BN98" s="897"/>
      <c r="BO98" s="897"/>
      <c r="BP98" s="897"/>
      <c r="BQ98" s="897"/>
      <c r="BR98" s="897"/>
      <c r="BS98" s="897"/>
      <c r="BT98" s="897"/>
      <c r="BU98" s="897"/>
      <c r="BV98" s="897"/>
      <c r="BW98" s="897"/>
      <c r="BX98" s="897"/>
      <c r="BY98" s="897"/>
      <c r="BZ98" s="897"/>
      <c r="CA98" s="897"/>
      <c r="CB98" s="897"/>
      <c r="CC98" s="897"/>
      <c r="CD98" s="897"/>
      <c r="CE98" s="897"/>
      <c r="CF98" s="897"/>
      <c r="CG98" s="897"/>
      <c r="CH98" s="897"/>
      <c r="CI98" s="3185">
        <f t="shared" si="13"/>
        <v>0</v>
      </c>
    </row>
    <row r="99" spans="1:87">
      <c r="R99" s="2997">
        <f>+E3</f>
        <v>3621.48</v>
      </c>
      <c r="BB99" s="3185">
        <f>SUM(BB7:BB98)</f>
        <v>3467.99</v>
      </c>
      <c r="BC99" s="3185">
        <f t="shared" ref="BC99:CI99" si="17">SUM(BC7:BC98)</f>
        <v>1.1000000000000001</v>
      </c>
      <c r="BD99" s="3185">
        <f t="shared" si="17"/>
        <v>0.79999999999999993</v>
      </c>
      <c r="BE99" s="3185">
        <f t="shared" si="17"/>
        <v>3</v>
      </c>
      <c r="BF99" s="3185">
        <f t="shared" si="17"/>
        <v>10.899999999999999</v>
      </c>
      <c r="BG99" s="3185">
        <f t="shared" si="17"/>
        <v>1.4000000000000001</v>
      </c>
      <c r="BH99" s="3185">
        <f t="shared" si="17"/>
        <v>4.3900000000000006</v>
      </c>
      <c r="BI99" s="3185">
        <f t="shared" si="17"/>
        <v>1.2000000000000002</v>
      </c>
      <c r="BJ99" s="3185">
        <f t="shared" si="17"/>
        <v>14.94</v>
      </c>
      <c r="BK99" s="3185">
        <f t="shared" si="17"/>
        <v>9.6</v>
      </c>
      <c r="BL99" s="3185">
        <f t="shared" si="17"/>
        <v>7.3</v>
      </c>
      <c r="BM99" s="3185">
        <f t="shared" si="17"/>
        <v>0.5</v>
      </c>
      <c r="BN99" s="3185">
        <f t="shared" si="17"/>
        <v>0.8</v>
      </c>
      <c r="BO99" s="3185">
        <f t="shared" si="17"/>
        <v>0</v>
      </c>
      <c r="BP99" s="3185">
        <f t="shared" si="17"/>
        <v>55.26</v>
      </c>
      <c r="BQ99" s="3185">
        <f t="shared" si="17"/>
        <v>2.1</v>
      </c>
      <c r="BR99" s="3185">
        <f t="shared" si="17"/>
        <v>2.1</v>
      </c>
      <c r="BS99" s="3185">
        <f t="shared" si="17"/>
        <v>2</v>
      </c>
      <c r="BT99" s="3185">
        <f t="shared" si="17"/>
        <v>2.1</v>
      </c>
      <c r="BU99" s="3185">
        <f t="shared" si="17"/>
        <v>0</v>
      </c>
      <c r="BV99" s="3185">
        <f t="shared" si="17"/>
        <v>1.1000000000000001</v>
      </c>
      <c r="BW99" s="3185">
        <f t="shared" si="17"/>
        <v>1.1000000000000001</v>
      </c>
      <c r="BX99" s="3185">
        <f t="shared" si="17"/>
        <v>1.1000000000000001</v>
      </c>
      <c r="BY99" s="3185">
        <f t="shared" si="17"/>
        <v>1.1000000000000001</v>
      </c>
      <c r="BZ99" s="3185">
        <f t="shared" si="17"/>
        <v>1.1000000000000001</v>
      </c>
      <c r="CA99" s="3185">
        <f t="shared" si="17"/>
        <v>0.1</v>
      </c>
      <c r="CB99" s="3185">
        <f t="shared" si="17"/>
        <v>1.1000000000000001</v>
      </c>
      <c r="CC99" s="3185">
        <f t="shared" si="17"/>
        <v>0.1</v>
      </c>
      <c r="CD99" s="3185">
        <f t="shared" si="17"/>
        <v>1.1000000000000001</v>
      </c>
      <c r="CE99" s="3185">
        <f t="shared" si="17"/>
        <v>25</v>
      </c>
      <c r="CF99" s="3185">
        <f t="shared" si="17"/>
        <v>1.1000000000000001</v>
      </c>
      <c r="CG99" s="3185">
        <f t="shared" si="17"/>
        <v>0</v>
      </c>
      <c r="CH99" s="3185">
        <f t="shared" si="17"/>
        <v>0</v>
      </c>
      <c r="CI99" s="3185">
        <f t="shared" si="17"/>
        <v>3621.48</v>
      </c>
    </row>
    <row r="100" spans="1:87">
      <c r="BB100" s="1179"/>
      <c r="BC100" s="1179"/>
      <c r="BD100" s="1179"/>
      <c r="BE100" s="1179"/>
      <c r="BF100" s="1179"/>
      <c r="BG100" s="1179"/>
      <c r="BH100" s="1179"/>
      <c r="BI100" s="1179"/>
      <c r="BJ100" s="1179"/>
      <c r="BK100" s="1179"/>
      <c r="BL100" s="1179"/>
      <c r="BM100" s="1179"/>
      <c r="BN100" s="1179"/>
      <c r="BO100" s="1179"/>
      <c r="BP100" s="1179"/>
      <c r="BQ100" s="1179"/>
      <c r="BR100" s="1179"/>
      <c r="BS100" s="1179"/>
      <c r="BT100" s="1179"/>
      <c r="BU100" s="1179"/>
      <c r="BV100" s="1179"/>
      <c r="BW100" s="1179"/>
      <c r="BX100" s="1179"/>
      <c r="BY100" s="1179"/>
      <c r="BZ100" s="1179"/>
      <c r="CA100" s="1179"/>
      <c r="CB100" s="1179"/>
      <c r="CC100" s="1179"/>
      <c r="CD100" s="1179"/>
      <c r="CE100" s="1179"/>
      <c r="CF100" s="1179"/>
      <c r="CG100" s="1179"/>
      <c r="CH100" s="1179"/>
      <c r="CI100" s="1179"/>
    </row>
  </sheetData>
  <sheetProtection password="CC49" sheet="1" objects="1" scenarios="1"/>
  <autoFilter ref="A6:R98"/>
  <mergeCells count="15">
    <mergeCell ref="AI1:AO1"/>
    <mergeCell ref="AP1:BA1"/>
    <mergeCell ref="K5:P5"/>
    <mergeCell ref="Q5:R5"/>
    <mergeCell ref="A1:C1"/>
    <mergeCell ref="F5:J5"/>
    <mergeCell ref="A5:A6"/>
    <mergeCell ref="B5:B6"/>
    <mergeCell ref="C5:C6"/>
    <mergeCell ref="D5:D6"/>
    <mergeCell ref="E5:E6"/>
    <mergeCell ref="A2:A4"/>
    <mergeCell ref="E1:E2"/>
    <mergeCell ref="F1:N1"/>
    <mergeCell ref="O1:AH1"/>
  </mergeCells>
  <phoneticPr fontId="68" type="noConversion"/>
  <pageMargins left="0.7" right="0.7" top="0.75" bottom="0.75" header="0.3" footer="0.3"/>
  <pageSetup paperSize="9" orientation="portrait" horizontalDpi="4294967295" verticalDpi="4294967295" r:id="rId1"/>
</worksheet>
</file>

<file path=xl/worksheets/sheet8.xml><?xml version="1.0" encoding="utf-8"?>
<worksheet xmlns="http://schemas.openxmlformats.org/spreadsheetml/2006/main" xmlns:r="http://schemas.openxmlformats.org/officeDocument/2006/relationships">
  <sheetPr>
    <tabColor rgb="FF00B050"/>
  </sheetPr>
  <dimension ref="A1:CI89"/>
  <sheetViews>
    <sheetView zoomScale="80" zoomScaleNormal="80" workbookViewId="0">
      <pane xSplit="5" ySplit="7" topLeftCell="P8" activePane="bottomRight" state="frozen"/>
      <selection activeCell="A2" sqref="A2:A4"/>
      <selection pane="topRight" activeCell="A2" sqref="A2:A4"/>
      <selection pane="bottomLeft" activeCell="A2" sqref="A2:A4"/>
      <selection pane="bottomRight" activeCell="BF11" sqref="BF11"/>
    </sheetView>
  </sheetViews>
  <sheetFormatPr defaultColWidth="66.85546875" defaultRowHeight="15"/>
  <cols>
    <col min="1" max="1" width="12.140625" style="1303" customWidth="1"/>
    <col min="2" max="2" width="12.28515625" style="1302" customWidth="1"/>
    <col min="3" max="3" width="68.28515625" style="1303" customWidth="1"/>
    <col min="4" max="4" width="8.85546875" style="1322" customWidth="1"/>
    <col min="5" max="5" width="20.140625" style="1323" customWidth="1"/>
    <col min="6" max="6" width="17.85546875" style="1300" hidden="1" customWidth="1"/>
    <col min="7" max="7" width="21.5703125" style="1300" hidden="1" customWidth="1"/>
    <col min="8" max="10" width="17.85546875" style="1300" hidden="1" customWidth="1"/>
    <col min="11" max="11" width="9.140625" style="1322" hidden="1" customWidth="1"/>
    <col min="12" max="12" width="9.85546875" style="1322" hidden="1" customWidth="1"/>
    <col min="13" max="13" width="12.140625" style="1324" hidden="1" customWidth="1"/>
    <col min="14" max="14" width="10.5703125" style="1322" hidden="1" customWidth="1"/>
    <col min="15" max="15" width="17.7109375" style="2937" hidden="1" customWidth="1"/>
    <col min="16" max="16" width="39.28515625" style="1325" customWidth="1"/>
    <col min="17" max="17" width="35.28515625" style="1325" customWidth="1"/>
    <col min="18" max="18" width="20" style="2937" customWidth="1"/>
    <col min="19" max="19" width="6" style="1303" hidden="1" customWidth="1"/>
    <col min="20" max="20" width="3.7109375" style="1303" hidden="1" customWidth="1"/>
    <col min="21" max="21" width="4" style="1303" hidden="1" customWidth="1"/>
    <col min="22" max="22" width="3.85546875" style="1303" hidden="1" customWidth="1"/>
    <col min="23" max="23" width="3.5703125" style="1303" hidden="1" customWidth="1"/>
    <col min="24" max="24" width="4.5703125" style="1303" hidden="1" customWidth="1"/>
    <col min="25" max="25" width="9.42578125" style="1303" hidden="1" customWidth="1"/>
    <col min="26" max="26" width="10.7109375" style="1303" hidden="1" customWidth="1"/>
    <col min="27" max="27" width="3.7109375" style="1303" hidden="1" customWidth="1"/>
    <col min="28" max="28" width="8" style="1303" hidden="1" customWidth="1"/>
    <col min="29" max="29" width="4.140625" style="1303" hidden="1" customWidth="1"/>
    <col min="30" max="30" width="3.85546875" style="1303" hidden="1" customWidth="1"/>
    <col min="31" max="31" width="11.85546875" style="1303" hidden="1" customWidth="1"/>
    <col min="32" max="32" width="5.7109375" style="1303" hidden="1" customWidth="1"/>
    <col min="33" max="33" width="7.28515625" style="1303" hidden="1" customWidth="1"/>
    <col min="34" max="34" width="9.140625" style="1303" hidden="1" customWidth="1"/>
    <col min="35" max="35" width="7.7109375" style="1303" hidden="1" customWidth="1"/>
    <col min="36" max="36" width="8.140625" style="1303" hidden="1" customWidth="1"/>
    <col min="37" max="37" width="7.5703125" style="1303" hidden="1" customWidth="1"/>
    <col min="38" max="38" width="7.85546875" style="1303" hidden="1" customWidth="1"/>
    <col min="39" max="39" width="7.140625" style="1303" hidden="1" customWidth="1"/>
    <col min="40" max="40" width="5.7109375" style="1303" hidden="1" customWidth="1"/>
    <col min="41" max="41" width="7.5703125" style="1303" hidden="1" customWidth="1"/>
    <col min="42" max="42" width="8.85546875" style="1303" hidden="1" customWidth="1"/>
    <col min="43" max="43" width="7.7109375" style="1303" hidden="1" customWidth="1"/>
    <col min="44" max="44" width="8.5703125" style="1303" hidden="1" customWidth="1"/>
    <col min="45" max="45" width="5.5703125" style="1303" hidden="1" customWidth="1"/>
    <col min="46" max="46" width="10.28515625" style="1303" hidden="1" customWidth="1"/>
    <col min="47" max="47" width="7.5703125" style="1303" hidden="1" customWidth="1"/>
    <col min="48" max="48" width="8" style="1303" hidden="1" customWidth="1"/>
    <col min="49" max="49" width="8.5703125" style="1303" hidden="1" customWidth="1"/>
    <col min="50" max="50" width="5.7109375" style="1303" hidden="1" customWidth="1"/>
    <col min="51" max="51" width="6.42578125" style="1303" hidden="1" customWidth="1"/>
    <col min="52" max="52" width="7.140625" style="1303" hidden="1" customWidth="1"/>
    <col min="53" max="53" width="7.7109375" style="1303" hidden="1" customWidth="1"/>
    <col min="54" max="54" width="10.28515625" style="1303" customWidth="1"/>
    <col min="55" max="55" width="19.140625" style="1303" customWidth="1"/>
    <col min="56" max="56" width="15.7109375" style="1303" customWidth="1"/>
    <col min="57" max="57" width="12.140625" style="1303" customWidth="1"/>
    <col min="58" max="58" width="13.42578125" style="1303" customWidth="1"/>
    <col min="59" max="59" width="14.5703125" style="1303" customWidth="1"/>
    <col min="60" max="60" width="13" style="1303" customWidth="1"/>
    <col min="61" max="61" width="11.85546875" style="1303" customWidth="1"/>
    <col min="62" max="62" width="13.42578125" style="1303" customWidth="1"/>
    <col min="63" max="63" width="14.5703125" style="1303" customWidth="1"/>
    <col min="64" max="64" width="12.140625" style="1303" customWidth="1"/>
    <col min="65" max="66" width="14" style="1303" customWidth="1"/>
    <col min="67" max="67" width="9.42578125" style="1303" bestFit="1" customWidth="1"/>
    <col min="68" max="68" width="22.5703125" style="1303" customWidth="1"/>
    <col min="69" max="69" width="18.85546875" style="1303" customWidth="1"/>
    <col min="70" max="70" width="16.7109375" style="1303" customWidth="1"/>
    <col min="71" max="71" width="16.85546875" style="1303" customWidth="1"/>
    <col min="72" max="72" width="21.5703125" style="1303" customWidth="1"/>
    <col min="73" max="73" width="20.28515625" style="1303" customWidth="1"/>
    <col min="74" max="74" width="18.140625" style="1303" customWidth="1"/>
    <col min="75" max="75" width="22.42578125" style="1303" customWidth="1"/>
    <col min="76" max="76" width="19.85546875" style="1303" customWidth="1"/>
    <col min="77" max="77" width="17.28515625" style="1303" customWidth="1"/>
    <col min="78" max="78" width="10.7109375" style="1303" customWidth="1"/>
    <col min="79" max="79" width="17.140625" style="1303" customWidth="1"/>
    <col min="80" max="80" width="27.5703125" style="1303" customWidth="1"/>
    <col min="81" max="81" width="18.85546875" style="1303" customWidth="1"/>
    <col min="82" max="82" width="25" style="1303" customWidth="1"/>
    <col min="83" max="83" width="19.5703125" style="1303" customWidth="1"/>
    <col min="84" max="84" width="14.28515625" style="1303" customWidth="1"/>
    <col min="85" max="86" width="20.7109375" style="1303" customWidth="1"/>
    <col min="87" max="87" width="17.42578125" style="1303" customWidth="1"/>
    <col min="88" max="16384" width="66.85546875" style="1303"/>
  </cols>
  <sheetData>
    <row r="1" spans="1:87" s="1281" customFormat="1" ht="13.5" customHeight="1">
      <c r="A1" s="3915" t="s">
        <v>1577</v>
      </c>
      <c r="B1" s="3916"/>
      <c r="C1" s="3917"/>
      <c r="D1" s="1222"/>
      <c r="E1" s="3858" t="s">
        <v>4534</v>
      </c>
      <c r="F1" s="3909" t="s">
        <v>4532</v>
      </c>
      <c r="G1" s="3910"/>
      <c r="H1" s="3910"/>
      <c r="I1" s="3910"/>
      <c r="J1" s="3910"/>
      <c r="K1" s="3910"/>
      <c r="L1" s="3910"/>
      <c r="M1" s="3910"/>
      <c r="N1" s="3911"/>
      <c r="O1" s="3793" t="s">
        <v>65</v>
      </c>
      <c r="P1" s="3794"/>
      <c r="Q1" s="3794"/>
      <c r="R1" s="3794"/>
      <c r="S1" s="3794"/>
      <c r="T1" s="3794"/>
      <c r="U1" s="3794"/>
      <c r="V1" s="3794"/>
      <c r="W1" s="3794"/>
      <c r="X1" s="3794"/>
      <c r="Y1" s="3794"/>
      <c r="Z1" s="3794"/>
      <c r="AA1" s="3794"/>
      <c r="AB1" s="3794"/>
      <c r="AC1" s="3794"/>
      <c r="AD1" s="3794"/>
      <c r="AE1" s="3794"/>
      <c r="AF1" s="3794"/>
      <c r="AG1" s="3794"/>
      <c r="AH1" s="3794"/>
      <c r="AI1" s="3900" t="s">
        <v>4219</v>
      </c>
      <c r="AJ1" s="3901"/>
      <c r="AK1" s="3901"/>
      <c r="AL1" s="3901"/>
      <c r="AM1" s="3901"/>
      <c r="AN1" s="3901"/>
      <c r="AO1" s="3902"/>
      <c r="AP1" s="3889" t="s">
        <v>80</v>
      </c>
      <c r="AQ1" s="3890"/>
      <c r="AR1" s="3890"/>
      <c r="AS1" s="3890"/>
      <c r="AT1" s="3890"/>
      <c r="AU1" s="3890"/>
      <c r="AV1" s="3890"/>
      <c r="AW1" s="3890"/>
      <c r="AX1" s="3890"/>
      <c r="AY1" s="3890"/>
      <c r="AZ1" s="3890"/>
      <c r="BA1" s="3891"/>
    </row>
    <row r="2" spans="1:87" s="1282" customFormat="1" ht="45">
      <c r="A2" s="3855" t="str">
        <f>HYPERLINK("#Index!A4", "Index Pg")</f>
        <v>Index Pg</v>
      </c>
      <c r="B2" s="982"/>
      <c r="C2" s="982"/>
      <c r="D2" s="1224"/>
      <c r="E2" s="3858"/>
      <c r="F2" s="906" t="s">
        <v>113</v>
      </c>
      <c r="G2" s="906" t="s">
        <v>126</v>
      </c>
      <c r="H2" s="906" t="s">
        <v>86</v>
      </c>
      <c r="I2" s="906" t="s">
        <v>4530</v>
      </c>
      <c r="J2" s="906" t="s">
        <v>91</v>
      </c>
      <c r="K2" s="1225" t="s">
        <v>3933</v>
      </c>
      <c r="L2" s="907" t="s">
        <v>4531</v>
      </c>
      <c r="M2" s="907" t="s">
        <v>4535</v>
      </c>
      <c r="N2" s="907" t="s">
        <v>203</v>
      </c>
      <c r="O2" s="2985" t="s">
        <v>4218</v>
      </c>
      <c r="P2" s="909" t="s">
        <v>3751</v>
      </c>
      <c r="Q2" s="909" t="s">
        <v>4543</v>
      </c>
      <c r="R2" s="2985" t="s">
        <v>4540</v>
      </c>
      <c r="S2" s="909" t="s">
        <v>4541</v>
      </c>
      <c r="T2" s="909" t="s">
        <v>4542</v>
      </c>
      <c r="U2" s="909" t="s">
        <v>4544</v>
      </c>
      <c r="V2" s="909" t="s">
        <v>4528</v>
      </c>
      <c r="W2" s="909" t="s">
        <v>4545</v>
      </c>
      <c r="X2" s="909" t="s">
        <v>29</v>
      </c>
      <c r="Y2" s="909" t="s">
        <v>4546</v>
      </c>
      <c r="Z2" s="909" t="s">
        <v>4547</v>
      </c>
      <c r="AA2" s="909" t="s">
        <v>4537</v>
      </c>
      <c r="AB2" s="909" t="s">
        <v>737</v>
      </c>
      <c r="AC2" s="909" t="s">
        <v>4538</v>
      </c>
      <c r="AD2" s="909" t="s">
        <v>4539</v>
      </c>
      <c r="AE2" s="909" t="s">
        <v>2293</v>
      </c>
      <c r="AF2" s="909" t="s">
        <v>4548</v>
      </c>
      <c r="AG2" s="909" t="s">
        <v>3750</v>
      </c>
      <c r="AH2" s="909" t="s">
        <v>302</v>
      </c>
      <c r="AI2" s="910" t="s">
        <v>288</v>
      </c>
      <c r="AJ2" s="910" t="s">
        <v>109</v>
      </c>
      <c r="AK2" s="910" t="s">
        <v>141</v>
      </c>
      <c r="AL2" s="910" t="s">
        <v>4525</v>
      </c>
      <c r="AM2" s="910" t="s">
        <v>3223</v>
      </c>
      <c r="AN2" s="910" t="s">
        <v>3855</v>
      </c>
      <c r="AO2" s="910" t="s">
        <v>4405</v>
      </c>
      <c r="AP2" s="911" t="s">
        <v>81</v>
      </c>
      <c r="AQ2" s="911" t="s">
        <v>145</v>
      </c>
      <c r="AR2" s="911" t="s">
        <v>394</v>
      </c>
      <c r="AS2" s="911" t="s">
        <v>147</v>
      </c>
      <c r="AT2" s="911" t="s">
        <v>410</v>
      </c>
      <c r="AU2" s="911" t="s">
        <v>4459</v>
      </c>
      <c r="AV2" s="911" t="s">
        <v>3989</v>
      </c>
      <c r="AW2" s="911" t="s">
        <v>307</v>
      </c>
      <c r="AX2" s="911" t="s">
        <v>309</v>
      </c>
      <c r="AY2" s="911" t="s">
        <v>1028</v>
      </c>
      <c r="AZ2" s="911" t="s">
        <v>1014</v>
      </c>
      <c r="BA2" s="911" t="s">
        <v>4533</v>
      </c>
    </row>
    <row r="3" spans="1:87" s="1282" customFormat="1">
      <c r="A3" s="3856"/>
      <c r="B3" s="914" t="str">
        <f>HYPERLINK("#'Budget Summary I'!A1:AL1", "Budget Summary I")</f>
        <v>Budget Summary I</v>
      </c>
      <c r="C3" s="865" t="s">
        <v>4460</v>
      </c>
      <c r="D3" s="1224"/>
      <c r="E3" s="1226">
        <f>R7</f>
        <v>13979.477824000001</v>
      </c>
      <c r="F3" s="161">
        <f>R10+R27+R56</f>
        <v>3392.7700000000004</v>
      </c>
      <c r="G3" s="161">
        <f>R11+R57+R28</f>
        <v>432.06</v>
      </c>
      <c r="H3" s="161">
        <f>R12+R47+R58</f>
        <v>48</v>
      </c>
      <c r="I3" s="161">
        <f>R13+R59</f>
        <v>99.447823999999997</v>
      </c>
      <c r="J3" s="161">
        <f>R14+R60</f>
        <v>39.5</v>
      </c>
      <c r="K3" s="161"/>
      <c r="L3" s="161">
        <f>R15+R61</f>
        <v>0</v>
      </c>
      <c r="M3" s="161"/>
      <c r="N3" s="161">
        <f>R16+R62</f>
        <v>19.350000000000001</v>
      </c>
      <c r="O3" s="2949">
        <f>R23+R69</f>
        <v>0</v>
      </c>
      <c r="P3" s="161">
        <f>R64</f>
        <v>23</v>
      </c>
      <c r="Q3" s="161"/>
      <c r="R3" s="2949"/>
      <c r="S3" s="985"/>
      <c r="T3" s="985"/>
      <c r="U3" s="985"/>
      <c r="V3" s="985"/>
      <c r="W3" s="985"/>
      <c r="X3" s="985"/>
      <c r="Y3" s="985">
        <f>R68</f>
        <v>6500</v>
      </c>
      <c r="Z3" s="985">
        <f>R26</f>
        <v>2516.35</v>
      </c>
      <c r="AA3" s="985"/>
      <c r="AB3" s="985"/>
      <c r="AC3" s="985"/>
      <c r="AD3" s="985"/>
      <c r="AE3" s="985">
        <f>R24</f>
        <v>0</v>
      </c>
      <c r="AF3" s="985">
        <f>R20+R65</f>
        <v>0</v>
      </c>
      <c r="AG3" s="985">
        <f>R19+R67</f>
        <v>0</v>
      </c>
      <c r="AH3" s="985">
        <f>R18+R21+R22+R52+R53+R66+R70</f>
        <v>300</v>
      </c>
      <c r="AI3" s="985">
        <f>R30+R48</f>
        <v>0</v>
      </c>
      <c r="AJ3" s="985">
        <f>R31+R50+R72</f>
        <v>4.41</v>
      </c>
      <c r="AK3" s="985">
        <f>R32+R73</f>
        <v>2.4</v>
      </c>
      <c r="AL3" s="985">
        <f>R33+R49+R74+R87</f>
        <v>241.73</v>
      </c>
      <c r="AM3" s="985">
        <f>R75</f>
        <v>44.180000000000007</v>
      </c>
      <c r="AN3" s="985">
        <f>R34+R76</f>
        <v>0</v>
      </c>
      <c r="AO3" s="985">
        <f>R77</f>
        <v>0</v>
      </c>
      <c r="AP3" s="985">
        <f>R36+R51+R79</f>
        <v>30</v>
      </c>
      <c r="AQ3" s="985">
        <f>R37+R80</f>
        <v>25</v>
      </c>
      <c r="AR3" s="985">
        <f>R38+R81</f>
        <v>0</v>
      </c>
      <c r="AS3" s="985">
        <f>R39+R82</f>
        <v>0</v>
      </c>
      <c r="AT3" s="985">
        <f>R40+R83</f>
        <v>174.27</v>
      </c>
      <c r="AU3" s="985">
        <f>R41+R84</f>
        <v>0</v>
      </c>
      <c r="AV3" s="985"/>
      <c r="AW3" s="985">
        <f>R43+R85</f>
        <v>87.01</v>
      </c>
      <c r="AX3" s="985">
        <f>R44</f>
        <v>0</v>
      </c>
      <c r="AY3" s="985"/>
      <c r="AZ3" s="985">
        <f>R42</f>
        <v>0</v>
      </c>
      <c r="BA3" s="985">
        <f>R45</f>
        <v>0</v>
      </c>
    </row>
    <row r="4" spans="1:87" s="1282" customFormat="1">
      <c r="A4" s="3857"/>
      <c r="B4" s="864" t="str">
        <f>HYPERLINK("#'Budget Summary II'!A3:B5", "Budget Summary II")</f>
        <v>Budget Summary II</v>
      </c>
      <c r="C4" s="865" t="s">
        <v>4461</v>
      </c>
      <c r="D4" s="1224"/>
      <c r="E4" s="1226">
        <f>O7</f>
        <v>15891.350072000001</v>
      </c>
      <c r="F4" s="161">
        <f>O10+O27+O56</f>
        <v>5075.7685000000001</v>
      </c>
      <c r="G4" s="161">
        <f>O11+O57+O28</f>
        <v>432.06</v>
      </c>
      <c r="H4" s="161">
        <f>O12+O47+O58</f>
        <v>48</v>
      </c>
      <c r="I4" s="161">
        <f>O13+O59</f>
        <v>100</v>
      </c>
      <c r="J4" s="161">
        <f>O14+O60</f>
        <v>39.5</v>
      </c>
      <c r="K4" s="161"/>
      <c r="L4" s="161">
        <f>O15+O61</f>
        <v>0</v>
      </c>
      <c r="M4" s="161"/>
      <c r="N4" s="161">
        <f>O16+O62</f>
        <v>20.65</v>
      </c>
      <c r="O4" s="2949">
        <f>O23+O69</f>
        <v>0</v>
      </c>
      <c r="P4" s="161">
        <f>O64</f>
        <v>62.82</v>
      </c>
      <c r="Q4" s="161"/>
      <c r="R4" s="2949"/>
      <c r="S4" s="985"/>
      <c r="T4" s="985"/>
      <c r="U4" s="985"/>
      <c r="V4" s="985"/>
      <c r="W4" s="985"/>
      <c r="X4" s="985"/>
      <c r="Y4" s="985">
        <f>O68</f>
        <v>6500</v>
      </c>
      <c r="Z4" s="985">
        <f>O26</f>
        <v>2516.347632</v>
      </c>
      <c r="AA4" s="985"/>
      <c r="AB4" s="985"/>
      <c r="AC4" s="985"/>
      <c r="AD4" s="985"/>
      <c r="AE4" s="985">
        <f>O24</f>
        <v>0</v>
      </c>
      <c r="AF4" s="985">
        <f>O20+O65</f>
        <v>0</v>
      </c>
      <c r="AG4" s="985">
        <f>O19+O67</f>
        <v>0</v>
      </c>
      <c r="AH4" s="985">
        <f>O18+O21+O22+O52+O53+O66+O70</f>
        <v>310</v>
      </c>
      <c r="AI4" s="985">
        <f>O30+O48</f>
        <v>35.799999999999997</v>
      </c>
      <c r="AJ4" s="985">
        <f>O31+O50+O72</f>
        <v>4.41</v>
      </c>
      <c r="AK4" s="985">
        <f>O32+O73</f>
        <v>2.4</v>
      </c>
      <c r="AL4" s="985">
        <f>O33+O49+O74+O87</f>
        <v>241.7345</v>
      </c>
      <c r="AM4" s="985">
        <f>O75</f>
        <v>49.180000000000007</v>
      </c>
      <c r="AN4" s="985">
        <f>O34+O76</f>
        <v>0</v>
      </c>
      <c r="AO4" s="985">
        <f>O77</f>
        <v>50</v>
      </c>
      <c r="AP4" s="985">
        <f>O36+O51+O79</f>
        <v>30</v>
      </c>
      <c r="AQ4" s="985">
        <f>O37+O80</f>
        <v>25</v>
      </c>
      <c r="AR4" s="985">
        <f>O38+O81</f>
        <v>26.400000000000002</v>
      </c>
      <c r="AS4" s="985">
        <f>O39+O82</f>
        <v>0</v>
      </c>
      <c r="AT4" s="985">
        <f>O40+O83</f>
        <v>224.27</v>
      </c>
      <c r="AU4" s="985">
        <f>O41+O84</f>
        <v>0</v>
      </c>
      <c r="AV4" s="985"/>
      <c r="AW4" s="985">
        <f>O43+O85</f>
        <v>87.009439999999998</v>
      </c>
      <c r="AX4" s="985">
        <f>O44</f>
        <v>0</v>
      </c>
      <c r="AY4" s="985"/>
      <c r="AZ4" s="985">
        <f>O42</f>
        <v>10</v>
      </c>
      <c r="BA4" s="985">
        <f>O45</f>
        <v>0</v>
      </c>
    </row>
    <row r="5" spans="1:87" s="1283" customFormat="1" ht="12.75" customHeight="1">
      <c r="A5" s="3801" t="s">
        <v>48</v>
      </c>
      <c r="B5" s="3801" t="s">
        <v>49</v>
      </c>
      <c r="C5" s="3801" t="s">
        <v>50</v>
      </c>
      <c r="D5" s="3801" t="s">
        <v>51</v>
      </c>
      <c r="E5" s="3801" t="s">
        <v>52</v>
      </c>
      <c r="F5" s="3866" t="s">
        <v>4478</v>
      </c>
      <c r="G5" s="3866"/>
      <c r="H5" s="3866"/>
      <c r="I5" s="3866"/>
      <c r="J5" s="3866"/>
      <c r="K5" s="3866" t="s">
        <v>4484</v>
      </c>
      <c r="L5" s="3866"/>
      <c r="M5" s="3866"/>
      <c r="N5" s="3866"/>
      <c r="O5" s="3866"/>
      <c r="P5" s="3866"/>
      <c r="Q5" s="3801" t="s">
        <v>4514</v>
      </c>
      <c r="R5" s="3801"/>
    </row>
    <row r="6" spans="1:87" s="1284" customFormat="1" ht="45">
      <c r="A6" s="3801"/>
      <c r="B6" s="3801"/>
      <c r="C6" s="3801"/>
      <c r="D6" s="3801"/>
      <c r="E6" s="3801"/>
      <c r="F6" s="918" t="s">
        <v>4479</v>
      </c>
      <c r="G6" s="918" t="s">
        <v>4482</v>
      </c>
      <c r="H6" s="918" t="s">
        <v>4480</v>
      </c>
      <c r="I6" s="918" t="s">
        <v>4483</v>
      </c>
      <c r="J6" s="918" t="s">
        <v>2448</v>
      </c>
      <c r="K6" s="919" t="s">
        <v>53</v>
      </c>
      <c r="L6" s="919" t="s">
        <v>54</v>
      </c>
      <c r="M6" s="920" t="s">
        <v>55</v>
      </c>
      <c r="N6" s="919" t="s">
        <v>56</v>
      </c>
      <c r="O6" s="2821" t="s">
        <v>57</v>
      </c>
      <c r="P6" s="919" t="s">
        <v>5069</v>
      </c>
      <c r="Q6" s="921" t="s">
        <v>2450</v>
      </c>
      <c r="R6" s="2824" t="s">
        <v>4515</v>
      </c>
      <c r="BB6" s="3153" t="s">
        <v>5973</v>
      </c>
      <c r="BC6" s="3153" t="s">
        <v>5432</v>
      </c>
      <c r="BD6" s="3153" t="s">
        <v>5433</v>
      </c>
      <c r="BE6" s="3153" t="s">
        <v>5434</v>
      </c>
      <c r="BF6" s="3153" t="s">
        <v>5435</v>
      </c>
      <c r="BG6" s="3153" t="s">
        <v>5436</v>
      </c>
      <c r="BH6" s="3153" t="s">
        <v>5437</v>
      </c>
      <c r="BI6" s="3153" t="s">
        <v>5959</v>
      </c>
      <c r="BJ6" s="3153" t="s">
        <v>5438</v>
      </c>
      <c r="BK6" s="3153" t="s">
        <v>5439</v>
      </c>
      <c r="BL6" s="3153" t="s">
        <v>5960</v>
      </c>
      <c r="BM6" s="3153" t="s">
        <v>5440</v>
      </c>
      <c r="BN6" s="3153" t="s">
        <v>5441</v>
      </c>
      <c r="BO6" s="3153" t="s">
        <v>5961</v>
      </c>
      <c r="BP6" s="3153" t="s">
        <v>5974</v>
      </c>
      <c r="BQ6" s="3153" t="s">
        <v>5975</v>
      </c>
      <c r="BR6" s="3153" t="s">
        <v>5976</v>
      </c>
      <c r="BS6" s="3153" t="s">
        <v>5977</v>
      </c>
      <c r="BT6" s="3153" t="s">
        <v>5978</v>
      </c>
      <c r="BU6" s="3153" t="s">
        <v>5979</v>
      </c>
      <c r="BV6" s="3153" t="s">
        <v>5962</v>
      </c>
      <c r="BW6" s="3153" t="s">
        <v>5963</v>
      </c>
      <c r="BX6" s="3153" t="s">
        <v>5964</v>
      </c>
      <c r="BY6" s="3153" t="s">
        <v>5965</v>
      </c>
      <c r="BZ6" s="3153" t="s">
        <v>5966</v>
      </c>
      <c r="CA6" s="3153" t="s">
        <v>5967</v>
      </c>
      <c r="CB6" s="3153" t="s">
        <v>5968</v>
      </c>
      <c r="CC6" s="3153" t="s">
        <v>5969</v>
      </c>
      <c r="CD6" s="3153" t="s">
        <v>5970</v>
      </c>
      <c r="CE6" s="3153" t="s">
        <v>5980</v>
      </c>
      <c r="CF6" s="3153" t="s">
        <v>5971</v>
      </c>
      <c r="CG6" s="886" t="s">
        <v>5981</v>
      </c>
      <c r="CH6" s="886" t="s">
        <v>5982</v>
      </c>
      <c r="CI6" s="3153" t="s">
        <v>5972</v>
      </c>
    </row>
    <row r="7" spans="1:87" s="1289" customFormat="1">
      <c r="A7" s="485">
        <v>6</v>
      </c>
      <c r="B7" s="485"/>
      <c r="C7" s="485" t="s">
        <v>14</v>
      </c>
      <c r="D7" s="1285"/>
      <c r="E7" s="1285"/>
      <c r="F7" s="1286"/>
      <c r="G7" s="1286"/>
      <c r="H7" s="1286"/>
      <c r="I7" s="1286"/>
      <c r="J7" s="1286"/>
      <c r="K7" s="1287"/>
      <c r="L7" s="1287"/>
      <c r="M7" s="1288"/>
      <c r="N7" s="1287"/>
      <c r="O7" s="3098">
        <f>O8+O54+O86</f>
        <v>15891.350072000001</v>
      </c>
      <c r="P7" s="1286"/>
      <c r="Q7" s="1286"/>
      <c r="R7" s="3098">
        <f>R8+R54+R86</f>
        <v>13979.477824000001</v>
      </c>
      <c r="BB7" s="3154"/>
      <c r="BC7" s="3154"/>
      <c r="BD7" s="3154"/>
      <c r="BE7" s="3154"/>
      <c r="BF7" s="3154"/>
      <c r="BG7" s="3154"/>
      <c r="BH7" s="3154"/>
      <c r="BI7" s="3154"/>
      <c r="BJ7" s="3154"/>
      <c r="BK7" s="3154"/>
      <c r="BL7" s="3154"/>
      <c r="BM7" s="3154"/>
      <c r="BN7" s="3154"/>
      <c r="BO7" s="3154"/>
      <c r="BP7" s="3154"/>
      <c r="BQ7" s="3154"/>
      <c r="BR7" s="3154"/>
      <c r="BS7" s="3154"/>
      <c r="BT7" s="3154"/>
      <c r="BU7" s="3154"/>
      <c r="BV7" s="3154"/>
      <c r="BW7" s="3154"/>
      <c r="BX7" s="3154"/>
      <c r="BY7" s="3154"/>
      <c r="BZ7" s="3154"/>
      <c r="CA7" s="3154"/>
      <c r="CB7" s="3154"/>
      <c r="CC7" s="3154"/>
      <c r="CD7" s="3154"/>
      <c r="CE7" s="3154"/>
      <c r="CF7" s="3154"/>
      <c r="CG7" s="3154"/>
      <c r="CH7" s="3154"/>
      <c r="CI7" s="3154"/>
    </row>
    <row r="8" spans="1:87" s="1281" customFormat="1">
      <c r="A8" s="1290">
        <v>6.1</v>
      </c>
      <c r="B8" s="1291" t="s">
        <v>1578</v>
      </c>
      <c r="C8" s="1290" t="s">
        <v>1579</v>
      </c>
      <c r="D8" s="930"/>
      <c r="E8" s="930"/>
      <c r="F8" s="84"/>
      <c r="G8" s="84"/>
      <c r="H8" s="84"/>
      <c r="I8" s="84"/>
      <c r="J8" s="84"/>
      <c r="K8" s="929"/>
      <c r="L8" s="929"/>
      <c r="M8" s="808"/>
      <c r="N8" s="929"/>
      <c r="O8" s="3099">
        <f>O9+O17+O25+O29+O35+O46</f>
        <v>6432.6674920000005</v>
      </c>
      <c r="P8" s="84"/>
      <c r="Q8" s="84"/>
      <c r="R8" s="3099">
        <f>R9+R17+R25+R29+R35+R46</f>
        <v>6291.8700000000008</v>
      </c>
      <c r="BB8" s="3155"/>
      <c r="BC8" s="3155"/>
      <c r="BD8" s="3155"/>
      <c r="BE8" s="3155"/>
      <c r="BF8" s="3155"/>
      <c r="BG8" s="3155"/>
      <c r="BH8" s="3155"/>
      <c r="BI8" s="3155"/>
      <c r="BJ8" s="3155"/>
      <c r="BK8" s="3155"/>
      <c r="BL8" s="3155"/>
      <c r="BM8" s="3155"/>
      <c r="BN8" s="3155"/>
      <c r="BO8" s="3155"/>
      <c r="BP8" s="3155"/>
      <c r="BQ8" s="3155"/>
      <c r="BR8" s="3155"/>
      <c r="BS8" s="3155"/>
      <c r="BT8" s="3155"/>
      <c r="BU8" s="3155"/>
      <c r="BV8" s="3155"/>
      <c r="BW8" s="3155"/>
      <c r="BX8" s="3155"/>
      <c r="BY8" s="3155"/>
      <c r="BZ8" s="3155"/>
      <c r="CA8" s="3155"/>
      <c r="CB8" s="3155"/>
      <c r="CC8" s="3155"/>
      <c r="CD8" s="3155"/>
      <c r="CE8" s="3155"/>
      <c r="CF8" s="3155"/>
      <c r="CG8" s="3155"/>
      <c r="CH8" s="3155"/>
      <c r="CI8" s="3155"/>
    </row>
    <row r="9" spans="1:87" s="1300" customFormat="1">
      <c r="A9" s="1292" t="s">
        <v>1580</v>
      </c>
      <c r="B9" s="1293"/>
      <c r="C9" s="1294" t="s">
        <v>4673</v>
      </c>
      <c r="D9" s="1295"/>
      <c r="E9" s="1295"/>
      <c r="F9" s="1296"/>
      <c r="G9" s="1296"/>
      <c r="H9" s="1296"/>
      <c r="I9" s="1296"/>
      <c r="J9" s="1296"/>
      <c r="K9" s="1297"/>
      <c r="L9" s="1297"/>
      <c r="M9" s="1298"/>
      <c r="N9" s="1297"/>
      <c r="O9" s="3100">
        <f>SUM(O10:O16)</f>
        <v>2470.6084999999998</v>
      </c>
      <c r="P9" s="1299"/>
      <c r="Q9" s="1299"/>
      <c r="R9" s="3100">
        <f>SUM(R10:R16)</f>
        <v>2425.61</v>
      </c>
      <c r="BB9" s="1319"/>
      <c r="BC9" s="1319"/>
      <c r="BD9" s="1319"/>
      <c r="BE9" s="1319"/>
      <c r="BF9" s="1319"/>
      <c r="BG9" s="1319"/>
      <c r="BH9" s="1319"/>
      <c r="BI9" s="1319"/>
      <c r="BJ9" s="1319"/>
      <c r="BK9" s="1319"/>
      <c r="BL9" s="1319"/>
      <c r="BM9" s="1319"/>
      <c r="BN9" s="1319"/>
      <c r="BO9" s="1319"/>
      <c r="BP9" s="1319"/>
      <c r="BQ9" s="1319"/>
      <c r="BR9" s="1319"/>
      <c r="BS9" s="1319"/>
      <c r="BT9" s="1319"/>
      <c r="BU9" s="1319"/>
      <c r="BV9" s="1319"/>
      <c r="BW9" s="1319"/>
      <c r="BX9" s="1319"/>
      <c r="BY9" s="1319"/>
      <c r="BZ9" s="1319"/>
      <c r="CA9" s="1319"/>
      <c r="CB9" s="1319"/>
      <c r="CC9" s="1319"/>
      <c r="CD9" s="1319"/>
      <c r="CE9" s="1319"/>
      <c r="CF9" s="1319"/>
      <c r="CG9" s="1319"/>
      <c r="CH9" s="1319"/>
      <c r="CI9" s="1319"/>
    </row>
    <row r="10" spans="1:87">
      <c r="A10" s="521" t="s">
        <v>1581</v>
      </c>
      <c r="B10" s="521" t="s">
        <v>1582</v>
      </c>
      <c r="C10" s="521" t="s">
        <v>4670</v>
      </c>
      <c r="D10" s="1301" t="s">
        <v>85</v>
      </c>
      <c r="E10" s="1170" t="s">
        <v>113</v>
      </c>
      <c r="F10" s="293"/>
      <c r="G10" s="293"/>
      <c r="H10" s="293"/>
      <c r="I10" s="293"/>
      <c r="J10" s="293"/>
      <c r="K10" s="294"/>
      <c r="L10" s="294"/>
      <c r="M10" s="1326"/>
      <c r="N10" s="294"/>
      <c r="O10" s="2995">
        <f>'6-A. Proc. Sub-Annex'!O7</f>
        <v>2200.0484999999999</v>
      </c>
      <c r="P10" s="145"/>
      <c r="Q10" s="1004"/>
      <c r="R10" s="2995">
        <f>'6-A. Proc. Sub-Annex'!R7</f>
        <v>2155.0500000000002</v>
      </c>
      <c r="S10" s="1302"/>
      <c r="BB10" s="1318"/>
      <c r="BC10" s="1318"/>
      <c r="BD10" s="1318"/>
      <c r="BE10" s="1318"/>
      <c r="BF10" s="1318"/>
      <c r="BG10" s="1318"/>
      <c r="BH10" s="1318"/>
      <c r="BI10" s="1318"/>
      <c r="BJ10" s="1318"/>
      <c r="BK10" s="1318"/>
      <c r="BL10" s="1318"/>
      <c r="BM10" s="1318"/>
      <c r="BN10" s="1318"/>
      <c r="BO10" s="1318"/>
      <c r="BP10" s="1318"/>
      <c r="BQ10" s="1318"/>
      <c r="BR10" s="1318"/>
      <c r="BS10" s="1318"/>
      <c r="BT10" s="1318"/>
      <c r="BU10" s="1318"/>
      <c r="BV10" s="1318"/>
      <c r="BW10" s="1318"/>
      <c r="BX10" s="1318"/>
      <c r="BY10" s="1318"/>
      <c r="BZ10" s="1318"/>
      <c r="CA10" s="1318"/>
      <c r="CB10" s="1318"/>
      <c r="CC10" s="1318"/>
      <c r="CD10" s="1318"/>
      <c r="CE10" s="1318"/>
      <c r="CF10" s="1318"/>
      <c r="CG10" s="1318"/>
      <c r="CH10" s="1318"/>
      <c r="CI10" s="1318"/>
    </row>
    <row r="11" spans="1:87">
      <c r="A11" s="521" t="s">
        <v>1586</v>
      </c>
      <c r="B11" s="521" t="s">
        <v>1587</v>
      </c>
      <c r="C11" s="521" t="s">
        <v>4676</v>
      </c>
      <c r="D11" s="1301" t="s">
        <v>85</v>
      </c>
      <c r="E11" s="1170" t="s">
        <v>126</v>
      </c>
      <c r="F11" s="293"/>
      <c r="G11" s="293"/>
      <c r="H11" s="293"/>
      <c r="I11" s="293"/>
      <c r="J11" s="293"/>
      <c r="K11" s="294"/>
      <c r="L11" s="294"/>
      <c r="M11" s="1326"/>
      <c r="N11" s="294"/>
      <c r="O11" s="2995">
        <f>'6-A. Proc. Sub-Annex'!O13</f>
        <v>183.06</v>
      </c>
      <c r="P11" s="145"/>
      <c r="Q11" s="1004"/>
      <c r="R11" s="2995">
        <f>'6-A. Proc. Sub-Annex'!R13</f>
        <v>183.06</v>
      </c>
      <c r="S11" s="1302"/>
      <c r="BB11" s="1318"/>
      <c r="BC11" s="1318"/>
      <c r="BD11" s="1318"/>
      <c r="BE11" s="1318"/>
      <c r="BF11" s="1318"/>
      <c r="BG11" s="1318"/>
      <c r="BH11" s="1318"/>
      <c r="BI11" s="1318"/>
      <c r="BJ11" s="1318"/>
      <c r="BK11" s="1318"/>
      <c r="BL11" s="1318"/>
      <c r="BM11" s="1318"/>
      <c r="BN11" s="1318"/>
      <c r="BO11" s="1318"/>
      <c r="BP11" s="1318"/>
      <c r="BQ11" s="1318"/>
      <c r="BR11" s="1318"/>
      <c r="BS11" s="1318"/>
      <c r="BT11" s="1318"/>
      <c r="BU11" s="1318"/>
      <c r="BV11" s="1318"/>
      <c r="BW11" s="1318"/>
      <c r="BX11" s="1318"/>
      <c r="BY11" s="1318"/>
      <c r="BZ11" s="1318"/>
      <c r="CA11" s="1318"/>
      <c r="CB11" s="1318"/>
      <c r="CC11" s="1318"/>
      <c r="CD11" s="1318"/>
      <c r="CE11" s="1318"/>
      <c r="CF11" s="1318"/>
      <c r="CG11" s="1318"/>
      <c r="CH11" s="1318"/>
      <c r="CI11" s="1318"/>
    </row>
    <row r="12" spans="1:87">
      <c r="A12" s="521" t="s">
        <v>1590</v>
      </c>
      <c r="B12" s="521" t="s">
        <v>1591</v>
      </c>
      <c r="C12" s="521" t="s">
        <v>4677</v>
      </c>
      <c r="D12" s="1301" t="s">
        <v>85</v>
      </c>
      <c r="E12" s="1170" t="s">
        <v>86</v>
      </c>
      <c r="F12" s="293"/>
      <c r="G12" s="293"/>
      <c r="H12" s="293"/>
      <c r="I12" s="293"/>
      <c r="J12" s="293"/>
      <c r="K12" s="294"/>
      <c r="L12" s="294"/>
      <c r="M12" s="1326"/>
      <c r="N12" s="294"/>
      <c r="O12" s="2995">
        <f>'6-A. Proc. Sub-Annex'!O19</f>
        <v>48</v>
      </c>
      <c r="P12" s="145"/>
      <c r="Q12" s="1004"/>
      <c r="R12" s="2995">
        <f>'6-A. Proc. Sub-Annex'!R19</f>
        <v>48</v>
      </c>
      <c r="S12" s="1302"/>
      <c r="BB12" s="1318"/>
      <c r="BC12" s="1318"/>
      <c r="BD12" s="1318"/>
      <c r="BE12" s="1318"/>
      <c r="BF12" s="1318"/>
      <c r="BG12" s="1318"/>
      <c r="BH12" s="1318"/>
      <c r="BI12" s="1318"/>
      <c r="BJ12" s="1318"/>
      <c r="BK12" s="1318"/>
      <c r="BL12" s="1318"/>
      <c r="BM12" s="1318"/>
      <c r="BN12" s="1318"/>
      <c r="BO12" s="1318"/>
      <c r="BP12" s="1318"/>
      <c r="BQ12" s="1318"/>
      <c r="BR12" s="1318"/>
      <c r="BS12" s="1318"/>
      <c r="BT12" s="1318"/>
      <c r="BU12" s="1318"/>
      <c r="BV12" s="1318"/>
      <c r="BW12" s="1318"/>
      <c r="BX12" s="1318"/>
      <c r="BY12" s="1318"/>
      <c r="BZ12" s="1318"/>
      <c r="CA12" s="1318"/>
      <c r="CB12" s="1318"/>
      <c r="CC12" s="1318"/>
      <c r="CD12" s="1318"/>
      <c r="CE12" s="1318"/>
      <c r="CF12" s="1318"/>
      <c r="CG12" s="1318"/>
      <c r="CH12" s="1318"/>
      <c r="CI12" s="1318"/>
    </row>
    <row r="13" spans="1:87">
      <c r="A13" s="521" t="s">
        <v>1604</v>
      </c>
      <c r="B13" s="521" t="s">
        <v>1605</v>
      </c>
      <c r="C13" s="521" t="s">
        <v>4678</v>
      </c>
      <c r="D13" s="1301" t="s">
        <v>85</v>
      </c>
      <c r="E13" s="1304" t="s">
        <v>188</v>
      </c>
      <c r="F13" s="293"/>
      <c r="G13" s="293"/>
      <c r="H13" s="293"/>
      <c r="I13" s="293"/>
      <c r="J13" s="293"/>
      <c r="K13" s="294"/>
      <c r="L13" s="294"/>
      <c r="M13" s="1326"/>
      <c r="N13" s="294"/>
      <c r="O13" s="2995">
        <f>'6-A. Proc. Sub-Annex'!O26</f>
        <v>0</v>
      </c>
      <c r="P13" s="145"/>
      <c r="Q13" s="1004"/>
      <c r="R13" s="2995">
        <f>'6-A. Proc. Sub-Annex'!R26</f>
        <v>0</v>
      </c>
      <c r="S13" s="1302"/>
      <c r="BB13" s="1318"/>
      <c r="BC13" s="1318"/>
      <c r="BD13" s="1318"/>
      <c r="BE13" s="1318"/>
      <c r="BF13" s="1318"/>
      <c r="BG13" s="1318"/>
      <c r="BH13" s="1318"/>
      <c r="BI13" s="1318"/>
      <c r="BJ13" s="1318"/>
      <c r="BK13" s="1318"/>
      <c r="BL13" s="1318"/>
      <c r="BM13" s="1318"/>
      <c r="BN13" s="1318"/>
      <c r="BO13" s="1318"/>
      <c r="BP13" s="1318"/>
      <c r="BQ13" s="1318"/>
      <c r="BR13" s="1318"/>
      <c r="BS13" s="1318"/>
      <c r="BT13" s="1318"/>
      <c r="BU13" s="1318"/>
      <c r="BV13" s="1318"/>
      <c r="BW13" s="1318"/>
      <c r="BX13" s="1318"/>
      <c r="BY13" s="1318"/>
      <c r="BZ13" s="1318"/>
      <c r="CA13" s="1318"/>
      <c r="CB13" s="1318"/>
      <c r="CC13" s="1318"/>
      <c r="CD13" s="1318"/>
      <c r="CE13" s="1318"/>
      <c r="CF13" s="1318"/>
      <c r="CG13" s="1318"/>
      <c r="CH13" s="1318"/>
      <c r="CI13" s="1318"/>
    </row>
    <row r="14" spans="1:87">
      <c r="A14" s="521" t="s">
        <v>1608</v>
      </c>
      <c r="B14" s="521" t="s">
        <v>1609</v>
      </c>
      <c r="C14" s="521" t="s">
        <v>4679</v>
      </c>
      <c r="D14" s="1301" t="s">
        <v>85</v>
      </c>
      <c r="E14" s="1170" t="s">
        <v>91</v>
      </c>
      <c r="F14" s="293"/>
      <c r="G14" s="293"/>
      <c r="H14" s="293"/>
      <c r="I14" s="293"/>
      <c r="J14" s="293"/>
      <c r="K14" s="294"/>
      <c r="L14" s="294"/>
      <c r="M14" s="1326"/>
      <c r="N14" s="294"/>
      <c r="O14" s="2995">
        <f>'6-A. Proc. Sub-Annex'!O29</f>
        <v>39.5</v>
      </c>
      <c r="P14" s="145"/>
      <c r="Q14" s="1004"/>
      <c r="R14" s="2995">
        <f>'6-A. Proc. Sub-Annex'!R29</f>
        <v>39.5</v>
      </c>
      <c r="S14" s="1302"/>
      <c r="BB14" s="1318"/>
      <c r="BC14" s="1318"/>
      <c r="BD14" s="1318"/>
      <c r="BE14" s="1318"/>
      <c r="BF14" s="1318"/>
      <c r="BG14" s="1318"/>
      <c r="BH14" s="1318"/>
      <c r="BI14" s="1318"/>
      <c r="BJ14" s="1318"/>
      <c r="BK14" s="1318"/>
      <c r="BL14" s="1318"/>
      <c r="BM14" s="1318"/>
      <c r="BN14" s="1318"/>
      <c r="BO14" s="1318"/>
      <c r="BP14" s="1318"/>
      <c r="BQ14" s="1318"/>
      <c r="BR14" s="1318"/>
      <c r="BS14" s="1318"/>
      <c r="BT14" s="1318"/>
      <c r="BU14" s="1318"/>
      <c r="BV14" s="1318"/>
      <c r="BW14" s="1318"/>
      <c r="BX14" s="1318"/>
      <c r="BY14" s="1318"/>
      <c r="BZ14" s="1318"/>
      <c r="CA14" s="1318"/>
      <c r="CB14" s="1318"/>
      <c r="CC14" s="1318"/>
      <c r="CD14" s="1318"/>
      <c r="CE14" s="1318"/>
      <c r="CF14" s="1318"/>
      <c r="CG14" s="1318"/>
      <c r="CH14" s="1318"/>
      <c r="CI14" s="1318"/>
    </row>
    <row r="15" spans="1:87">
      <c r="A15" s="521" t="s">
        <v>1618</v>
      </c>
      <c r="B15" s="521"/>
      <c r="C15" s="521" t="s">
        <v>4648</v>
      </c>
      <c r="D15" s="1301" t="s">
        <v>85</v>
      </c>
      <c r="E15" s="1170" t="s">
        <v>200</v>
      </c>
      <c r="F15" s="293"/>
      <c r="G15" s="293"/>
      <c r="H15" s="293"/>
      <c r="I15" s="293"/>
      <c r="J15" s="293"/>
      <c r="K15" s="294"/>
      <c r="L15" s="294"/>
      <c r="M15" s="1326"/>
      <c r="N15" s="294"/>
      <c r="O15" s="2995">
        <f>'6-A. Proc. Sub-Annex'!O35</f>
        <v>0</v>
      </c>
      <c r="P15" s="145"/>
      <c r="Q15" s="1004"/>
      <c r="R15" s="2995">
        <f>'6-A. Proc. Sub-Annex'!R35</f>
        <v>0</v>
      </c>
      <c r="S15" s="1302"/>
      <c r="BB15" s="1318"/>
      <c r="BC15" s="1318"/>
      <c r="BD15" s="1318"/>
      <c r="BE15" s="1318"/>
      <c r="BF15" s="1318"/>
      <c r="BG15" s="1318"/>
      <c r="BH15" s="1318"/>
      <c r="BI15" s="1318"/>
      <c r="BJ15" s="1318"/>
      <c r="BK15" s="1318"/>
      <c r="BL15" s="1318"/>
      <c r="BM15" s="1318"/>
      <c r="BN15" s="1318"/>
      <c r="BO15" s="1318"/>
      <c r="BP15" s="1318"/>
      <c r="BQ15" s="1318"/>
      <c r="BR15" s="1318"/>
      <c r="BS15" s="1318"/>
      <c r="BT15" s="1318"/>
      <c r="BU15" s="1318"/>
      <c r="BV15" s="1318"/>
      <c r="BW15" s="1318"/>
      <c r="BX15" s="1318"/>
      <c r="BY15" s="1318"/>
      <c r="BZ15" s="1318"/>
      <c r="CA15" s="1318"/>
      <c r="CB15" s="1318"/>
      <c r="CC15" s="1318"/>
      <c r="CD15" s="1318"/>
      <c r="CE15" s="1318"/>
      <c r="CF15" s="1318"/>
      <c r="CG15" s="1318"/>
      <c r="CH15" s="1318"/>
      <c r="CI15" s="1318"/>
    </row>
    <row r="16" spans="1:87">
      <c r="A16" s="521" t="s">
        <v>1622</v>
      </c>
      <c r="B16" s="536"/>
      <c r="C16" s="521" t="s">
        <v>4649</v>
      </c>
      <c r="D16" s="1301" t="s">
        <v>85</v>
      </c>
      <c r="E16" s="1304" t="s">
        <v>203</v>
      </c>
      <c r="F16" s="293"/>
      <c r="G16" s="293"/>
      <c r="H16" s="293"/>
      <c r="I16" s="293"/>
      <c r="J16" s="293"/>
      <c r="K16" s="294"/>
      <c r="L16" s="294"/>
      <c r="M16" s="1326"/>
      <c r="N16" s="294"/>
      <c r="O16" s="2995">
        <f>'6-A. Proc. Sub-Annex'!O38</f>
        <v>0</v>
      </c>
      <c r="P16" s="145"/>
      <c r="Q16" s="1004"/>
      <c r="R16" s="2995">
        <f>'6-A. Proc. Sub-Annex'!R38</f>
        <v>0</v>
      </c>
      <c r="S16" s="1302"/>
      <c r="BB16" s="1318"/>
      <c r="BC16" s="1318"/>
      <c r="BD16" s="1318"/>
      <c r="BE16" s="1318"/>
      <c r="BF16" s="1318"/>
      <c r="BG16" s="1318"/>
      <c r="BH16" s="1318"/>
      <c r="BI16" s="1318"/>
      <c r="BJ16" s="1318"/>
      <c r="BK16" s="1318"/>
      <c r="BL16" s="1318"/>
      <c r="BM16" s="1318"/>
      <c r="BN16" s="1318"/>
      <c r="BO16" s="1318"/>
      <c r="BP16" s="1318"/>
      <c r="BQ16" s="1318"/>
      <c r="BR16" s="1318"/>
      <c r="BS16" s="1318"/>
      <c r="BT16" s="1318"/>
      <c r="BU16" s="1318"/>
      <c r="BV16" s="1318"/>
      <c r="BW16" s="1318"/>
      <c r="BX16" s="1318"/>
      <c r="BY16" s="1318"/>
      <c r="BZ16" s="1318"/>
      <c r="CA16" s="1318"/>
      <c r="CB16" s="1318"/>
      <c r="CC16" s="1318"/>
      <c r="CD16" s="1318"/>
      <c r="CE16" s="1318"/>
      <c r="CF16" s="1318"/>
      <c r="CG16" s="1318"/>
      <c r="CH16" s="1318"/>
      <c r="CI16" s="1318"/>
    </row>
    <row r="17" spans="1:87" s="1300" customFormat="1">
      <c r="A17" s="1292" t="s">
        <v>1670</v>
      </c>
      <c r="B17" s="1293"/>
      <c r="C17" s="1294" t="s">
        <v>4674</v>
      </c>
      <c r="D17" s="1295"/>
      <c r="E17" s="1295"/>
      <c r="F17" s="605"/>
      <c r="G17" s="605"/>
      <c r="H17" s="605"/>
      <c r="I17" s="605"/>
      <c r="J17" s="605"/>
      <c r="K17" s="610"/>
      <c r="L17" s="610"/>
      <c r="M17" s="1327"/>
      <c r="N17" s="610"/>
      <c r="O17" s="3100">
        <f>SUM(O18:O24)</f>
        <v>0</v>
      </c>
      <c r="P17" s="606"/>
      <c r="Q17" s="1299"/>
      <c r="R17" s="3100">
        <f>SUM(R18:R24)</f>
        <v>0</v>
      </c>
      <c r="BB17" s="1319"/>
      <c r="BC17" s="1319"/>
      <c r="BD17" s="1319"/>
      <c r="BE17" s="1319"/>
      <c r="BF17" s="1319"/>
      <c r="BG17" s="1319"/>
      <c r="BH17" s="1319"/>
      <c r="BI17" s="1319"/>
      <c r="BJ17" s="1319"/>
      <c r="BK17" s="1319"/>
      <c r="BL17" s="1319"/>
      <c r="BM17" s="1319"/>
      <c r="BN17" s="1319"/>
      <c r="BO17" s="1319"/>
      <c r="BP17" s="1319"/>
      <c r="BQ17" s="1319"/>
      <c r="BR17" s="1319"/>
      <c r="BS17" s="1319"/>
      <c r="BT17" s="1319"/>
      <c r="BU17" s="1319"/>
      <c r="BV17" s="1319"/>
      <c r="BW17" s="1319"/>
      <c r="BX17" s="1319"/>
      <c r="BY17" s="1319"/>
      <c r="BZ17" s="1319"/>
      <c r="CA17" s="1319"/>
      <c r="CB17" s="1319"/>
      <c r="CC17" s="1319"/>
      <c r="CD17" s="1319"/>
      <c r="CE17" s="1319"/>
      <c r="CF17" s="1319"/>
      <c r="CG17" s="1319"/>
      <c r="CH17" s="1319"/>
      <c r="CI17" s="1319"/>
    </row>
    <row r="18" spans="1:87" ht="30">
      <c r="A18" s="521" t="s">
        <v>1671</v>
      </c>
      <c r="B18" s="521" t="s">
        <v>1619</v>
      </c>
      <c r="C18" s="521" t="s">
        <v>4650</v>
      </c>
      <c r="D18" s="908" t="s">
        <v>65</v>
      </c>
      <c r="E18" s="1170" t="s">
        <v>4689</v>
      </c>
      <c r="F18" s="293"/>
      <c r="G18" s="293"/>
      <c r="H18" s="293"/>
      <c r="I18" s="293"/>
      <c r="J18" s="293"/>
      <c r="K18" s="294"/>
      <c r="L18" s="294"/>
      <c r="M18" s="1326"/>
      <c r="N18" s="294"/>
      <c r="O18" s="2995">
        <f>'6-A. Proc. Sub-Annex'!O42</f>
        <v>0</v>
      </c>
      <c r="P18" s="157"/>
      <c r="Q18" s="1176"/>
      <c r="R18" s="2995">
        <f>'6-A. Proc. Sub-Annex'!R42</f>
        <v>0</v>
      </c>
      <c r="BB18" s="1318"/>
      <c r="BC18" s="1318"/>
      <c r="BD18" s="1318"/>
      <c r="BE18" s="1318"/>
      <c r="BF18" s="1318"/>
      <c r="BG18" s="1318"/>
      <c r="BH18" s="1318"/>
      <c r="BI18" s="1318"/>
      <c r="BJ18" s="1318"/>
      <c r="BK18" s="1318"/>
      <c r="BL18" s="1318"/>
      <c r="BM18" s="1318"/>
      <c r="BN18" s="1318"/>
      <c r="BO18" s="1318"/>
      <c r="BP18" s="1318"/>
      <c r="BQ18" s="1318"/>
      <c r="BR18" s="1318"/>
      <c r="BS18" s="1318"/>
      <c r="BT18" s="1318"/>
      <c r="BU18" s="1318"/>
      <c r="BV18" s="1318"/>
      <c r="BW18" s="1318"/>
      <c r="BX18" s="1318"/>
      <c r="BY18" s="1318"/>
      <c r="BZ18" s="1318"/>
      <c r="CA18" s="1318"/>
      <c r="CB18" s="1318"/>
      <c r="CC18" s="1318"/>
      <c r="CD18" s="1318"/>
      <c r="CE18" s="1318"/>
      <c r="CF18" s="1318"/>
      <c r="CG18" s="1318"/>
      <c r="CH18" s="1318"/>
      <c r="CI18" s="1318"/>
    </row>
    <row r="19" spans="1:87">
      <c r="A19" s="521" t="s">
        <v>1672</v>
      </c>
      <c r="B19" s="521" t="s">
        <v>1623</v>
      </c>
      <c r="C19" s="1305" t="s">
        <v>4675</v>
      </c>
      <c r="D19" s="908" t="s">
        <v>65</v>
      </c>
      <c r="E19" s="1170" t="s">
        <v>65</v>
      </c>
      <c r="F19" s="293"/>
      <c r="G19" s="293"/>
      <c r="H19" s="293"/>
      <c r="I19" s="293"/>
      <c r="J19" s="293"/>
      <c r="K19" s="294"/>
      <c r="L19" s="294"/>
      <c r="M19" s="1326"/>
      <c r="N19" s="294"/>
      <c r="O19" s="2995">
        <f>'6-A. Proc. Sub-Annex'!O47</f>
        <v>0</v>
      </c>
      <c r="P19" s="157"/>
      <c r="Q19" s="1176"/>
      <c r="R19" s="2995">
        <f>'6-A. Proc. Sub-Annex'!R47</f>
        <v>0</v>
      </c>
      <c r="BB19" s="1318"/>
      <c r="BC19" s="1318"/>
      <c r="BD19" s="1318"/>
      <c r="BE19" s="1318"/>
      <c r="BF19" s="1318"/>
      <c r="BG19" s="1318"/>
      <c r="BH19" s="1318"/>
      <c r="BI19" s="1318"/>
      <c r="BJ19" s="1318"/>
      <c r="BK19" s="1318"/>
      <c r="BL19" s="1318"/>
      <c r="BM19" s="1318"/>
      <c r="BN19" s="1318"/>
      <c r="BO19" s="1318"/>
      <c r="BP19" s="1318"/>
      <c r="BQ19" s="1318"/>
      <c r="BR19" s="1318"/>
      <c r="BS19" s="1318"/>
      <c r="BT19" s="1318"/>
      <c r="BU19" s="1318"/>
      <c r="BV19" s="1318"/>
      <c r="BW19" s="1318"/>
      <c r="BX19" s="1318"/>
      <c r="BY19" s="1318"/>
      <c r="BZ19" s="1318"/>
      <c r="CA19" s="1318"/>
      <c r="CB19" s="1318"/>
      <c r="CC19" s="1318"/>
      <c r="CD19" s="1318"/>
      <c r="CE19" s="1318"/>
      <c r="CF19" s="1318"/>
      <c r="CG19" s="1318"/>
      <c r="CH19" s="1318"/>
      <c r="CI19" s="1318"/>
    </row>
    <row r="20" spans="1:87">
      <c r="A20" s="521" t="s">
        <v>1681</v>
      </c>
      <c r="B20" s="521" t="s">
        <v>1625</v>
      </c>
      <c r="C20" s="521" t="s">
        <v>4651</v>
      </c>
      <c r="D20" s="908" t="s">
        <v>65</v>
      </c>
      <c r="E20" s="1276" t="s">
        <v>3213</v>
      </c>
      <c r="F20" s="293"/>
      <c r="G20" s="293"/>
      <c r="H20" s="293"/>
      <c r="I20" s="293"/>
      <c r="J20" s="293"/>
      <c r="K20" s="294"/>
      <c r="L20" s="294"/>
      <c r="M20" s="1326"/>
      <c r="N20" s="294"/>
      <c r="O20" s="2995">
        <f>'6-A. Proc. Sub-Annex'!O50</f>
        <v>0</v>
      </c>
      <c r="P20" s="157"/>
      <c r="Q20" s="1176"/>
      <c r="R20" s="2995">
        <f>'6-A. Proc. Sub-Annex'!R50</f>
        <v>0</v>
      </c>
      <c r="BB20" s="1318"/>
      <c r="BC20" s="1318"/>
      <c r="BD20" s="1318"/>
      <c r="BE20" s="1318"/>
      <c r="BF20" s="1318"/>
      <c r="BG20" s="1318"/>
      <c r="BH20" s="1318"/>
      <c r="BI20" s="1318"/>
      <c r="BJ20" s="1318"/>
      <c r="BK20" s="1318"/>
      <c r="BL20" s="1318"/>
      <c r="BM20" s="1318"/>
      <c r="BN20" s="1318"/>
      <c r="BO20" s="1318"/>
      <c r="BP20" s="1318"/>
      <c r="BQ20" s="1318"/>
      <c r="BR20" s="1318"/>
      <c r="BS20" s="1318"/>
      <c r="BT20" s="1318"/>
      <c r="BU20" s="1318"/>
      <c r="BV20" s="1318"/>
      <c r="BW20" s="1318"/>
      <c r="BX20" s="1318"/>
      <c r="BY20" s="1318"/>
      <c r="BZ20" s="1318"/>
      <c r="CA20" s="1318"/>
      <c r="CB20" s="1318"/>
      <c r="CC20" s="1318"/>
      <c r="CD20" s="1318"/>
      <c r="CE20" s="1318"/>
      <c r="CF20" s="1318"/>
      <c r="CG20" s="1318"/>
      <c r="CH20" s="1318"/>
      <c r="CI20" s="1318"/>
    </row>
    <row r="21" spans="1:87">
      <c r="A21" s="521" t="s">
        <v>1686</v>
      </c>
      <c r="B21" s="521" t="s">
        <v>1627</v>
      </c>
      <c r="C21" s="521" t="s">
        <v>1628</v>
      </c>
      <c r="D21" s="908" t="s">
        <v>65</v>
      </c>
      <c r="E21" s="1170" t="s">
        <v>65</v>
      </c>
      <c r="F21" s="290"/>
      <c r="G21" s="290"/>
      <c r="H21" s="290"/>
      <c r="I21" s="290"/>
      <c r="J21" s="290"/>
      <c r="K21" s="611"/>
      <c r="L21" s="611"/>
      <c r="M21" s="809"/>
      <c r="N21" s="611"/>
      <c r="O21" s="2995">
        <f>'6-A. Proc. Sub-Annex'!O53</f>
        <v>0</v>
      </c>
      <c r="P21" s="145"/>
      <c r="Q21" s="1004"/>
      <c r="R21" s="2995">
        <f>'6-A. Proc. Sub-Annex'!R53</f>
        <v>0</v>
      </c>
      <c r="BB21" s="1318"/>
      <c r="BC21" s="1318"/>
      <c r="BD21" s="1318"/>
      <c r="BE21" s="1318"/>
      <c r="BF21" s="1318"/>
      <c r="BG21" s="1318"/>
      <c r="BH21" s="1318"/>
      <c r="BI21" s="1318"/>
      <c r="BJ21" s="1318"/>
      <c r="BK21" s="1318"/>
      <c r="BL21" s="1318"/>
      <c r="BM21" s="1318"/>
      <c r="BN21" s="1318"/>
      <c r="BO21" s="1318"/>
      <c r="BP21" s="1318"/>
      <c r="BQ21" s="1318"/>
      <c r="BR21" s="1318"/>
      <c r="BS21" s="1318"/>
      <c r="BT21" s="1318"/>
      <c r="BU21" s="1318"/>
      <c r="BV21" s="1318"/>
      <c r="BW21" s="1318"/>
      <c r="BX21" s="1318"/>
      <c r="BY21" s="1318"/>
      <c r="BZ21" s="1318"/>
      <c r="CA21" s="1318"/>
      <c r="CB21" s="1318"/>
      <c r="CC21" s="1318"/>
      <c r="CD21" s="1318"/>
      <c r="CE21" s="1318"/>
      <c r="CF21" s="1318"/>
      <c r="CG21" s="1318"/>
      <c r="CH21" s="1318"/>
      <c r="CI21" s="1318"/>
    </row>
    <row r="22" spans="1:87">
      <c r="A22" s="521" t="s">
        <v>1688</v>
      </c>
      <c r="B22" s="521"/>
      <c r="C22" s="521" t="s">
        <v>1689</v>
      </c>
      <c r="D22" s="908" t="s">
        <v>65</v>
      </c>
      <c r="E22" s="1304" t="s">
        <v>65</v>
      </c>
      <c r="F22" s="290"/>
      <c r="G22" s="290"/>
      <c r="H22" s="290"/>
      <c r="I22" s="290"/>
      <c r="J22" s="290"/>
      <c r="K22" s="611"/>
      <c r="L22" s="611"/>
      <c r="M22" s="809"/>
      <c r="N22" s="611"/>
      <c r="O22" s="2995">
        <f>'6-A. Proc. Sub-Annex'!O55</f>
        <v>0</v>
      </c>
      <c r="P22" s="145"/>
      <c r="Q22" s="1004"/>
      <c r="R22" s="2995">
        <f>'6-A. Proc. Sub-Annex'!R55</f>
        <v>0</v>
      </c>
      <c r="BB22" s="1318"/>
      <c r="BC22" s="1318"/>
      <c r="BD22" s="1318"/>
      <c r="BE22" s="1318"/>
      <c r="BF22" s="1318"/>
      <c r="BG22" s="1318"/>
      <c r="BH22" s="1318"/>
      <c r="BI22" s="1318"/>
      <c r="BJ22" s="1318"/>
      <c r="BK22" s="1318"/>
      <c r="BL22" s="1318"/>
      <c r="BM22" s="1318"/>
      <c r="BN22" s="1318"/>
      <c r="BO22" s="1318"/>
      <c r="BP22" s="1318"/>
      <c r="BQ22" s="1318"/>
      <c r="BR22" s="1318"/>
      <c r="BS22" s="1318"/>
      <c r="BT22" s="1318"/>
      <c r="BU22" s="1318"/>
      <c r="BV22" s="1318"/>
      <c r="BW22" s="1318"/>
      <c r="BX22" s="1318"/>
      <c r="BY22" s="1318"/>
      <c r="BZ22" s="1318"/>
      <c r="CA22" s="1318"/>
      <c r="CB22" s="1318"/>
      <c r="CC22" s="1318"/>
      <c r="CD22" s="1318"/>
      <c r="CE22" s="1318"/>
      <c r="CF22" s="1318"/>
      <c r="CG22" s="1318"/>
      <c r="CH22" s="1318"/>
      <c r="CI22" s="1318"/>
    </row>
    <row r="23" spans="1:87">
      <c r="A23" s="521" t="s">
        <v>2305</v>
      </c>
      <c r="B23" s="521"/>
      <c r="C23" s="521" t="s">
        <v>4747</v>
      </c>
      <c r="D23" s="908" t="s">
        <v>65</v>
      </c>
      <c r="E23" s="1304" t="s">
        <v>4218</v>
      </c>
      <c r="F23" s="290"/>
      <c r="G23" s="290"/>
      <c r="H23" s="290"/>
      <c r="I23" s="290"/>
      <c r="J23" s="290"/>
      <c r="K23" s="611"/>
      <c r="L23" s="611"/>
      <c r="M23" s="809"/>
      <c r="N23" s="611"/>
      <c r="O23" s="2995">
        <f>'6-A. Proc. Sub-Annex'!O59</f>
        <v>0</v>
      </c>
      <c r="P23" s="145"/>
      <c r="Q23" s="1004"/>
      <c r="R23" s="2995">
        <f>'6-A. Proc. Sub-Annex'!R59</f>
        <v>0</v>
      </c>
      <c r="BB23" s="1318"/>
      <c r="BC23" s="1318"/>
      <c r="BD23" s="1318"/>
      <c r="BE23" s="1318"/>
      <c r="BF23" s="1318"/>
      <c r="BG23" s="1318"/>
      <c r="BH23" s="1318"/>
      <c r="BI23" s="1318"/>
      <c r="BJ23" s="1318"/>
      <c r="BK23" s="1318"/>
      <c r="BL23" s="1318"/>
      <c r="BM23" s="1318"/>
      <c r="BN23" s="1318"/>
      <c r="BO23" s="1318"/>
      <c r="BP23" s="1318"/>
      <c r="BQ23" s="1318"/>
      <c r="BR23" s="1318"/>
      <c r="BS23" s="1318"/>
      <c r="BT23" s="1318"/>
      <c r="BU23" s="1318"/>
      <c r="BV23" s="1318"/>
      <c r="BW23" s="1318"/>
      <c r="BX23" s="1318"/>
      <c r="BY23" s="1318"/>
      <c r="BZ23" s="1318"/>
      <c r="CA23" s="1318"/>
      <c r="CB23" s="1318"/>
      <c r="CC23" s="1318"/>
      <c r="CD23" s="1318"/>
      <c r="CE23" s="1318"/>
      <c r="CF23" s="1318"/>
      <c r="CG23" s="1318"/>
      <c r="CH23" s="1318"/>
      <c r="CI23" s="1318"/>
    </row>
    <row r="24" spans="1:87">
      <c r="A24" s="521" t="s">
        <v>4745</v>
      </c>
      <c r="B24" s="521"/>
      <c r="C24" s="521" t="s">
        <v>2325</v>
      </c>
      <c r="D24" s="908" t="s">
        <v>65</v>
      </c>
      <c r="E24" s="1304" t="s">
        <v>2293</v>
      </c>
      <c r="F24" s="290"/>
      <c r="G24" s="290"/>
      <c r="H24" s="290"/>
      <c r="I24" s="290"/>
      <c r="J24" s="290"/>
      <c r="K24" s="611"/>
      <c r="L24" s="611"/>
      <c r="M24" s="809"/>
      <c r="N24" s="611"/>
      <c r="O24" s="2995">
        <f>'6-A. Proc. Sub-Annex'!O61</f>
        <v>0</v>
      </c>
      <c r="P24" s="145"/>
      <c r="Q24" s="1004"/>
      <c r="R24" s="2995">
        <f>'6-A. Proc. Sub-Annex'!R61</f>
        <v>0</v>
      </c>
      <c r="BB24" s="1318"/>
      <c r="BC24" s="1318"/>
      <c r="BD24" s="1318"/>
      <c r="BE24" s="1318"/>
      <c r="BF24" s="1318"/>
      <c r="BG24" s="1318"/>
      <c r="BH24" s="1318"/>
      <c r="BI24" s="1318"/>
      <c r="BJ24" s="1318"/>
      <c r="BK24" s="1318"/>
      <c r="BL24" s="1318"/>
      <c r="BM24" s="1318"/>
      <c r="BN24" s="1318"/>
      <c r="BO24" s="1318"/>
      <c r="BP24" s="1318"/>
      <c r="BQ24" s="1318"/>
      <c r="BR24" s="1318"/>
      <c r="BS24" s="1318"/>
      <c r="BT24" s="1318"/>
      <c r="BU24" s="1318"/>
      <c r="BV24" s="1318"/>
      <c r="BW24" s="1318"/>
      <c r="BX24" s="1318"/>
      <c r="BY24" s="1318"/>
      <c r="BZ24" s="1318"/>
      <c r="CA24" s="1318"/>
      <c r="CB24" s="1318"/>
      <c r="CC24" s="1318"/>
      <c r="CD24" s="1318"/>
      <c r="CE24" s="1318"/>
      <c r="CF24" s="1318"/>
      <c r="CG24" s="1318"/>
      <c r="CH24" s="1318"/>
      <c r="CI24" s="1318"/>
    </row>
    <row r="25" spans="1:87" s="1300" customFormat="1">
      <c r="A25" s="1292" t="s">
        <v>1690</v>
      </c>
      <c r="B25" s="1293"/>
      <c r="C25" s="1294" t="s">
        <v>4687</v>
      </c>
      <c r="D25" s="1295"/>
      <c r="E25" s="1295"/>
      <c r="F25" s="605"/>
      <c r="G25" s="605"/>
      <c r="H25" s="605"/>
      <c r="I25" s="605"/>
      <c r="J25" s="605"/>
      <c r="K25" s="610"/>
      <c r="L25" s="610"/>
      <c r="M25" s="1327"/>
      <c r="N25" s="610"/>
      <c r="O25" s="3100">
        <f>SUM(O26:O28)</f>
        <v>3378.0676320000002</v>
      </c>
      <c r="P25" s="606"/>
      <c r="Q25" s="1299"/>
      <c r="R25" s="3100">
        <f>SUM(R26:R28)</f>
        <v>3378.0699999999997</v>
      </c>
      <c r="BB25" s="1319"/>
      <c r="BC25" s="1319"/>
      <c r="BD25" s="1319"/>
      <c r="BE25" s="1319"/>
      <c r="BF25" s="1319"/>
      <c r="BG25" s="1319"/>
      <c r="BH25" s="1319"/>
      <c r="BI25" s="1319"/>
      <c r="BJ25" s="1319"/>
      <c r="BK25" s="1319"/>
      <c r="BL25" s="1319"/>
      <c r="BM25" s="1319"/>
      <c r="BN25" s="1319"/>
      <c r="BO25" s="1319"/>
      <c r="BP25" s="1319"/>
      <c r="BQ25" s="1319"/>
      <c r="BR25" s="1319"/>
      <c r="BS25" s="1319"/>
      <c r="BT25" s="1319"/>
      <c r="BU25" s="1319"/>
      <c r="BV25" s="1319"/>
      <c r="BW25" s="1319"/>
      <c r="BX25" s="1319"/>
      <c r="BY25" s="1319"/>
      <c r="BZ25" s="1319"/>
      <c r="CA25" s="1319"/>
      <c r="CB25" s="1319"/>
      <c r="CC25" s="1319"/>
      <c r="CD25" s="1319"/>
      <c r="CE25" s="1319"/>
      <c r="CF25" s="1319"/>
      <c r="CG25" s="1319"/>
      <c r="CH25" s="1319"/>
      <c r="CI25" s="1319"/>
    </row>
    <row r="26" spans="1:87">
      <c r="A26" s="521" t="s">
        <v>1691</v>
      </c>
      <c r="B26" s="521"/>
      <c r="C26" s="521" t="s">
        <v>1930</v>
      </c>
      <c r="D26" s="908" t="s">
        <v>65</v>
      </c>
      <c r="E26" s="1304" t="s">
        <v>4668</v>
      </c>
      <c r="F26" s="293"/>
      <c r="G26" s="293"/>
      <c r="H26" s="293"/>
      <c r="I26" s="293"/>
      <c r="J26" s="293"/>
      <c r="K26" s="294"/>
      <c r="L26" s="294"/>
      <c r="M26" s="1326"/>
      <c r="N26" s="294"/>
      <c r="O26" s="2995">
        <f>'6-A. Proc. Sub-Annex'!O65</f>
        <v>2516.347632</v>
      </c>
      <c r="P26" s="157"/>
      <c r="Q26" s="1176"/>
      <c r="R26" s="2995">
        <f>'6-A. Proc. Sub-Annex'!R65</f>
        <v>2516.35</v>
      </c>
      <c r="BB26" s="1318"/>
      <c r="BC26" s="1318"/>
      <c r="BD26" s="1318"/>
      <c r="BE26" s="1318"/>
      <c r="BF26" s="1318"/>
      <c r="BG26" s="1318"/>
      <c r="BH26" s="1318"/>
      <c r="BI26" s="1318"/>
      <c r="BJ26" s="1318"/>
      <c r="BK26" s="1318"/>
      <c r="BL26" s="1318"/>
      <c r="BM26" s="1318"/>
      <c r="BN26" s="1318"/>
      <c r="BO26" s="1318"/>
      <c r="BP26" s="1318"/>
      <c r="BQ26" s="1318"/>
      <c r="BR26" s="1318"/>
      <c r="BS26" s="1318"/>
      <c r="BT26" s="1318"/>
      <c r="BU26" s="1318"/>
      <c r="BV26" s="1318"/>
      <c r="BW26" s="1318"/>
      <c r="BX26" s="1318"/>
      <c r="BY26" s="1318"/>
      <c r="BZ26" s="1318"/>
      <c r="CA26" s="1318"/>
      <c r="CB26" s="1318"/>
      <c r="CC26" s="1318"/>
      <c r="CD26" s="1318"/>
      <c r="CE26" s="1318"/>
      <c r="CF26" s="1318"/>
      <c r="CG26" s="1318"/>
      <c r="CH26" s="1318"/>
      <c r="CI26" s="1318"/>
    </row>
    <row r="27" spans="1:87">
      <c r="A27" s="521" t="s">
        <v>1699</v>
      </c>
      <c r="B27" s="521"/>
      <c r="C27" s="521" t="s">
        <v>4686</v>
      </c>
      <c r="D27" s="1301" t="s">
        <v>85</v>
      </c>
      <c r="E27" s="1304" t="s">
        <v>113</v>
      </c>
      <c r="F27" s="293"/>
      <c r="G27" s="293"/>
      <c r="H27" s="293"/>
      <c r="I27" s="293"/>
      <c r="J27" s="293"/>
      <c r="K27" s="294"/>
      <c r="L27" s="294"/>
      <c r="M27" s="1326"/>
      <c r="N27" s="294"/>
      <c r="O27" s="2995">
        <f>'6-A. Proc. Sub-Annex'!O70</f>
        <v>762.72</v>
      </c>
      <c r="P27" s="157"/>
      <c r="Q27" s="1176"/>
      <c r="R27" s="2995">
        <f>'6-A. Proc. Sub-Annex'!R70</f>
        <v>762.72</v>
      </c>
      <c r="BB27" s="1318"/>
      <c r="BC27" s="1318"/>
      <c r="BD27" s="1318"/>
      <c r="BE27" s="1318"/>
      <c r="BF27" s="1318"/>
      <c r="BG27" s="1318"/>
      <c r="BH27" s="1318"/>
      <c r="BI27" s="1318"/>
      <c r="BJ27" s="1318"/>
      <c r="BK27" s="1318"/>
      <c r="BL27" s="1318"/>
      <c r="BM27" s="1318"/>
      <c r="BN27" s="1318"/>
      <c r="BO27" s="1318"/>
      <c r="BP27" s="1318"/>
      <c r="BQ27" s="1318"/>
      <c r="BR27" s="1318"/>
      <c r="BS27" s="1318"/>
      <c r="BT27" s="1318"/>
      <c r="BU27" s="1318"/>
      <c r="BV27" s="1318"/>
      <c r="BW27" s="1318"/>
      <c r="BX27" s="1318"/>
      <c r="BY27" s="1318"/>
      <c r="BZ27" s="1318"/>
      <c r="CA27" s="1318"/>
      <c r="CB27" s="1318"/>
      <c r="CC27" s="1318"/>
      <c r="CD27" s="1318"/>
      <c r="CE27" s="1318"/>
      <c r="CF27" s="1318"/>
      <c r="CG27" s="1318"/>
      <c r="CH27" s="1318"/>
      <c r="CI27" s="1318"/>
    </row>
    <row r="28" spans="1:87">
      <c r="A28" s="521" t="s">
        <v>1699</v>
      </c>
      <c r="B28" s="521"/>
      <c r="C28" s="521" t="s">
        <v>4686</v>
      </c>
      <c r="D28" s="1301" t="s">
        <v>85</v>
      </c>
      <c r="E28" s="1306" t="s">
        <v>126</v>
      </c>
      <c r="F28" s="293"/>
      <c r="G28" s="293"/>
      <c r="H28" s="293"/>
      <c r="I28" s="293"/>
      <c r="J28" s="293"/>
      <c r="K28" s="294"/>
      <c r="L28" s="294"/>
      <c r="M28" s="1326"/>
      <c r="N28" s="294"/>
      <c r="O28" s="2995">
        <f>'6-A. Proc. Sub-Annex'!O71</f>
        <v>99</v>
      </c>
      <c r="P28" s="157"/>
      <c r="Q28" s="1176"/>
      <c r="R28" s="2995">
        <f>'6-A. Proc. Sub-Annex'!R71</f>
        <v>99</v>
      </c>
      <c r="BB28" s="1318"/>
      <c r="BC28" s="1318"/>
      <c r="BD28" s="1318"/>
      <c r="BE28" s="1318"/>
      <c r="BF28" s="1318"/>
      <c r="BG28" s="1318"/>
      <c r="BH28" s="1318"/>
      <c r="BI28" s="1318"/>
      <c r="BJ28" s="1318"/>
      <c r="BK28" s="1318"/>
      <c r="BL28" s="1318"/>
      <c r="BM28" s="1318"/>
      <c r="BN28" s="1318"/>
      <c r="BO28" s="1318"/>
      <c r="BP28" s="1318"/>
      <c r="BQ28" s="1318"/>
      <c r="BR28" s="1318"/>
      <c r="BS28" s="1318"/>
      <c r="BT28" s="1318"/>
      <c r="BU28" s="1318"/>
      <c r="BV28" s="1318"/>
      <c r="BW28" s="1318"/>
      <c r="BX28" s="1318"/>
      <c r="BY28" s="1318"/>
      <c r="BZ28" s="1318"/>
      <c r="CA28" s="1318"/>
      <c r="CB28" s="1318"/>
      <c r="CC28" s="1318"/>
      <c r="CD28" s="1318"/>
      <c r="CE28" s="1318"/>
      <c r="CF28" s="1318"/>
      <c r="CG28" s="1318"/>
      <c r="CH28" s="1318"/>
      <c r="CI28" s="1318"/>
    </row>
    <row r="29" spans="1:87">
      <c r="A29" s="1292" t="s">
        <v>4688</v>
      </c>
      <c r="B29" s="1293"/>
      <c r="C29" s="1294" t="s">
        <v>4685</v>
      </c>
      <c r="D29" s="1295"/>
      <c r="E29" s="1295"/>
      <c r="F29" s="605"/>
      <c r="G29" s="605"/>
      <c r="H29" s="605"/>
      <c r="I29" s="605"/>
      <c r="J29" s="605"/>
      <c r="K29" s="610"/>
      <c r="L29" s="610"/>
      <c r="M29" s="1327"/>
      <c r="N29" s="610"/>
      <c r="O29" s="3100">
        <f>SUM(O30:O34)</f>
        <v>127.39959999999999</v>
      </c>
      <c r="P29" s="606"/>
      <c r="Q29" s="1299"/>
      <c r="R29" s="3100">
        <f>SUM(R30:R34)</f>
        <v>91.600000000000009</v>
      </c>
      <c r="BB29" s="1318"/>
      <c r="BC29" s="1318"/>
      <c r="BD29" s="1318"/>
      <c r="BE29" s="1318"/>
      <c r="BF29" s="1318"/>
      <c r="BG29" s="1318"/>
      <c r="BH29" s="1318"/>
      <c r="BI29" s="1318"/>
      <c r="BJ29" s="1318"/>
      <c r="BK29" s="1318"/>
      <c r="BL29" s="1318"/>
      <c r="BM29" s="1318"/>
      <c r="BN29" s="1318"/>
      <c r="BO29" s="1318"/>
      <c r="BP29" s="1318"/>
      <c r="BQ29" s="1318"/>
      <c r="BR29" s="1318"/>
      <c r="BS29" s="1318"/>
      <c r="BT29" s="1318"/>
      <c r="BU29" s="1318"/>
      <c r="BV29" s="1318"/>
      <c r="BW29" s="1318"/>
      <c r="BX29" s="1318"/>
      <c r="BY29" s="1318"/>
      <c r="BZ29" s="1318"/>
      <c r="CA29" s="1318"/>
      <c r="CB29" s="1318"/>
      <c r="CC29" s="1318"/>
      <c r="CD29" s="1318"/>
      <c r="CE29" s="1318"/>
      <c r="CF29" s="1318"/>
      <c r="CG29" s="1318"/>
      <c r="CH29" s="1318"/>
      <c r="CI29" s="1318"/>
    </row>
    <row r="30" spans="1:87" s="1302" customFormat="1">
      <c r="A30" s="521" t="s">
        <v>4690</v>
      </c>
      <c r="B30" s="521"/>
      <c r="C30" s="521" t="s">
        <v>4652</v>
      </c>
      <c r="D30" s="2476" t="s">
        <v>4219</v>
      </c>
      <c r="E30" s="1170" t="s">
        <v>288</v>
      </c>
      <c r="F30" s="293"/>
      <c r="G30" s="293"/>
      <c r="H30" s="293"/>
      <c r="I30" s="293"/>
      <c r="J30" s="293"/>
      <c r="K30" s="294"/>
      <c r="L30" s="294"/>
      <c r="M30" s="1326"/>
      <c r="N30" s="294"/>
      <c r="O30" s="2995">
        <f>'6-A. Proc. Sub-Annex'!O73</f>
        <v>35.799999999999997</v>
      </c>
      <c r="P30" s="157"/>
      <c r="Q30" s="1176"/>
      <c r="R30" s="2995">
        <f>'6-A. Proc. Sub-Annex'!R73</f>
        <v>0</v>
      </c>
      <c r="BB30" s="1317"/>
      <c r="BC30" s="1317"/>
      <c r="BD30" s="1317"/>
      <c r="BE30" s="1317"/>
      <c r="BF30" s="1317"/>
      <c r="BG30" s="1317"/>
      <c r="BH30" s="1317"/>
      <c r="BI30" s="1317"/>
      <c r="BJ30" s="1317"/>
      <c r="BK30" s="1317"/>
      <c r="BL30" s="1317"/>
      <c r="BM30" s="1317"/>
      <c r="BN30" s="1317"/>
      <c r="BO30" s="1317"/>
      <c r="BP30" s="1317"/>
      <c r="BQ30" s="1317"/>
      <c r="BR30" s="1317"/>
      <c r="BS30" s="1317"/>
      <c r="BT30" s="1317"/>
      <c r="BU30" s="1317"/>
      <c r="BV30" s="1317"/>
      <c r="BW30" s="1317"/>
      <c r="BX30" s="1317"/>
      <c r="BY30" s="1317"/>
      <c r="BZ30" s="1317"/>
      <c r="CA30" s="1317"/>
      <c r="CB30" s="1317"/>
      <c r="CC30" s="1317"/>
      <c r="CD30" s="1317"/>
      <c r="CE30" s="1317"/>
      <c r="CF30" s="1317"/>
      <c r="CG30" s="1317"/>
      <c r="CH30" s="1317"/>
      <c r="CI30" s="1317"/>
    </row>
    <row r="31" spans="1:87">
      <c r="A31" s="521" t="s">
        <v>4691</v>
      </c>
      <c r="B31" s="521"/>
      <c r="C31" s="521" t="s">
        <v>4653</v>
      </c>
      <c r="D31" s="1307" t="s">
        <v>4219</v>
      </c>
      <c r="E31" s="1170" t="s">
        <v>109</v>
      </c>
      <c r="F31" s="293"/>
      <c r="G31" s="293"/>
      <c r="H31" s="293"/>
      <c r="I31" s="293"/>
      <c r="J31" s="293"/>
      <c r="K31" s="294"/>
      <c r="L31" s="294"/>
      <c r="M31" s="1326"/>
      <c r="N31" s="294"/>
      <c r="O31" s="2995">
        <f>'6-A. Proc. Sub-Annex'!O76</f>
        <v>0</v>
      </c>
      <c r="P31" s="157"/>
      <c r="Q31" s="1176"/>
      <c r="R31" s="2995">
        <f>'6-A. Proc. Sub-Annex'!R76</f>
        <v>0</v>
      </c>
      <c r="BB31" s="1318"/>
      <c r="BC31" s="1318"/>
      <c r="BD31" s="1318"/>
      <c r="BE31" s="1318"/>
      <c r="BF31" s="1318"/>
      <c r="BG31" s="1318"/>
      <c r="BH31" s="1318"/>
      <c r="BI31" s="1318"/>
      <c r="BJ31" s="1318"/>
      <c r="BK31" s="1318"/>
      <c r="BL31" s="1318"/>
      <c r="BM31" s="1318"/>
      <c r="BN31" s="1318"/>
      <c r="BO31" s="1318"/>
      <c r="BP31" s="1318"/>
      <c r="BQ31" s="1318"/>
      <c r="BR31" s="1318"/>
      <c r="BS31" s="1318"/>
      <c r="BT31" s="1318"/>
      <c r="BU31" s="1318"/>
      <c r="BV31" s="1318"/>
      <c r="BW31" s="1318"/>
      <c r="BX31" s="1318"/>
      <c r="BY31" s="1318"/>
      <c r="BZ31" s="1318"/>
      <c r="CA31" s="1318"/>
      <c r="CB31" s="1318"/>
      <c r="CC31" s="1318"/>
      <c r="CD31" s="1318"/>
      <c r="CE31" s="1318"/>
      <c r="CF31" s="1318"/>
      <c r="CG31" s="1318"/>
      <c r="CH31" s="1318"/>
      <c r="CI31" s="1318"/>
    </row>
    <row r="32" spans="1:87">
      <c r="A32" s="521" t="s">
        <v>4692</v>
      </c>
      <c r="B32" s="521"/>
      <c r="C32" s="521" t="s">
        <v>4654</v>
      </c>
      <c r="D32" s="1307" t="s">
        <v>4219</v>
      </c>
      <c r="E32" s="1170" t="s">
        <v>141</v>
      </c>
      <c r="F32" s="293"/>
      <c r="G32" s="293"/>
      <c r="H32" s="293"/>
      <c r="I32" s="293"/>
      <c r="J32" s="293"/>
      <c r="K32" s="294"/>
      <c r="L32" s="294"/>
      <c r="M32" s="1326"/>
      <c r="N32" s="294"/>
      <c r="O32" s="2995">
        <f>'6-A. Proc. Sub-Annex'!O83</f>
        <v>2.4</v>
      </c>
      <c r="P32" s="157"/>
      <c r="Q32" s="1176"/>
      <c r="R32" s="2995">
        <f>'6-A. Proc. Sub-Annex'!R83</f>
        <v>2.4</v>
      </c>
      <c r="BB32" s="1318"/>
      <c r="BC32" s="1318"/>
      <c r="BD32" s="1318"/>
      <c r="BE32" s="1318"/>
      <c r="BF32" s="1318"/>
      <c r="BG32" s="1318"/>
      <c r="BH32" s="1318"/>
      <c r="BI32" s="1318"/>
      <c r="BJ32" s="1318"/>
      <c r="BK32" s="1318"/>
      <c r="BL32" s="1318"/>
      <c r="BM32" s="1318"/>
      <c r="BN32" s="1318"/>
      <c r="BO32" s="1318"/>
      <c r="BP32" s="1318"/>
      <c r="BQ32" s="1318"/>
      <c r="BR32" s="1318"/>
      <c r="BS32" s="1318"/>
      <c r="BT32" s="1318"/>
      <c r="BU32" s="1318"/>
      <c r="BV32" s="1318"/>
      <c r="BW32" s="1318"/>
      <c r="BX32" s="1318"/>
      <c r="BY32" s="1318"/>
      <c r="BZ32" s="1318"/>
      <c r="CA32" s="1318"/>
      <c r="CB32" s="1318"/>
      <c r="CC32" s="1318"/>
      <c r="CD32" s="1318"/>
      <c r="CE32" s="1318"/>
      <c r="CF32" s="1318"/>
      <c r="CG32" s="1318"/>
      <c r="CH32" s="1318"/>
      <c r="CI32" s="1318"/>
    </row>
    <row r="33" spans="1:87">
      <c r="A33" s="521" t="s">
        <v>4693</v>
      </c>
      <c r="B33" s="521"/>
      <c r="C33" s="521" t="s">
        <v>4655</v>
      </c>
      <c r="D33" s="1307" t="s">
        <v>4219</v>
      </c>
      <c r="E33" s="1170" t="s">
        <v>4525</v>
      </c>
      <c r="F33" s="293"/>
      <c r="G33" s="293"/>
      <c r="H33" s="293"/>
      <c r="I33" s="293"/>
      <c r="J33" s="293"/>
      <c r="K33" s="294"/>
      <c r="L33" s="294"/>
      <c r="M33" s="1326"/>
      <c r="N33" s="294"/>
      <c r="O33" s="2995">
        <f>'6-A. Proc. Sub-Annex'!O88</f>
        <v>89.199600000000004</v>
      </c>
      <c r="P33" s="157"/>
      <c r="Q33" s="1176"/>
      <c r="R33" s="2995">
        <f>'6-A. Proc. Sub-Annex'!R88</f>
        <v>89.2</v>
      </c>
      <c r="BB33" s="1318"/>
      <c r="BC33" s="1318"/>
      <c r="BD33" s="1318"/>
      <c r="BE33" s="1318"/>
      <c r="BF33" s="1318"/>
      <c r="BG33" s="1318"/>
      <c r="BH33" s="1318"/>
      <c r="BI33" s="1318"/>
      <c r="BJ33" s="1318"/>
      <c r="BK33" s="1318"/>
      <c r="BL33" s="1318"/>
      <c r="BM33" s="1318"/>
      <c r="BN33" s="1318"/>
      <c r="BO33" s="1318"/>
      <c r="BP33" s="1318"/>
      <c r="BQ33" s="1318"/>
      <c r="BR33" s="1318"/>
      <c r="BS33" s="1318"/>
      <c r="BT33" s="1318"/>
      <c r="BU33" s="1318"/>
      <c r="BV33" s="1318"/>
      <c r="BW33" s="1318"/>
      <c r="BX33" s="1318"/>
      <c r="BY33" s="1318"/>
      <c r="BZ33" s="1318"/>
      <c r="CA33" s="1318"/>
      <c r="CB33" s="1318"/>
      <c r="CC33" s="1318"/>
      <c r="CD33" s="1318"/>
      <c r="CE33" s="1318"/>
      <c r="CF33" s="1318"/>
      <c r="CG33" s="1318"/>
      <c r="CH33" s="1318"/>
      <c r="CI33" s="1318"/>
    </row>
    <row r="34" spans="1:87">
      <c r="A34" s="521" t="s">
        <v>4694</v>
      </c>
      <c r="B34" s="521"/>
      <c r="C34" s="521" t="s">
        <v>4680</v>
      </c>
      <c r="D34" s="1307" t="s">
        <v>4219</v>
      </c>
      <c r="E34" s="1170" t="s">
        <v>3855</v>
      </c>
      <c r="F34" s="293"/>
      <c r="G34" s="293"/>
      <c r="H34" s="293"/>
      <c r="I34" s="293"/>
      <c r="J34" s="293"/>
      <c r="K34" s="294"/>
      <c r="L34" s="294"/>
      <c r="M34" s="1326"/>
      <c r="N34" s="294"/>
      <c r="O34" s="2995">
        <f>'6-A. Proc. Sub-Annex'!O90</f>
        <v>0</v>
      </c>
      <c r="P34" s="157"/>
      <c r="Q34" s="1176"/>
      <c r="R34" s="2995">
        <f>'6-A. Proc. Sub-Annex'!R90</f>
        <v>0</v>
      </c>
      <c r="BB34" s="1318"/>
      <c r="BC34" s="1318"/>
      <c r="BD34" s="1318"/>
      <c r="BE34" s="1318"/>
      <c r="BF34" s="1318"/>
      <c r="BG34" s="1318"/>
      <c r="BH34" s="1318"/>
      <c r="BI34" s="1318"/>
      <c r="BJ34" s="1318"/>
      <c r="BK34" s="1318"/>
      <c r="BL34" s="1318"/>
      <c r="BM34" s="1318"/>
      <c r="BN34" s="1318"/>
      <c r="BO34" s="1318"/>
      <c r="BP34" s="1318"/>
      <c r="BQ34" s="1318"/>
      <c r="BR34" s="1318"/>
      <c r="BS34" s="1318"/>
      <c r="BT34" s="1318"/>
      <c r="BU34" s="1318"/>
      <c r="BV34" s="1318"/>
      <c r="BW34" s="1318"/>
      <c r="BX34" s="1318"/>
      <c r="BY34" s="1318"/>
      <c r="BZ34" s="1318"/>
      <c r="CA34" s="1318"/>
      <c r="CB34" s="1318"/>
      <c r="CC34" s="1318"/>
      <c r="CD34" s="1318"/>
      <c r="CE34" s="1318"/>
      <c r="CF34" s="1318"/>
      <c r="CG34" s="1318"/>
      <c r="CH34" s="1318"/>
      <c r="CI34" s="1318"/>
    </row>
    <row r="35" spans="1:87">
      <c r="A35" s="1292" t="s">
        <v>4696</v>
      </c>
      <c r="B35" s="1293"/>
      <c r="C35" s="1294" t="s">
        <v>4695</v>
      </c>
      <c r="D35" s="1295"/>
      <c r="E35" s="1295"/>
      <c r="F35" s="605"/>
      <c r="G35" s="605"/>
      <c r="H35" s="605"/>
      <c r="I35" s="605"/>
      <c r="J35" s="605"/>
      <c r="K35" s="610"/>
      <c r="L35" s="610"/>
      <c r="M35" s="1327"/>
      <c r="N35" s="610"/>
      <c r="O35" s="3100">
        <f>SUM(O36:O45)</f>
        <v>129.51</v>
      </c>
      <c r="P35" s="606"/>
      <c r="Q35" s="1299"/>
      <c r="R35" s="3100">
        <f>SUM(R36:R45)</f>
        <v>69.510000000000005</v>
      </c>
      <c r="BB35" s="1318"/>
      <c r="BC35" s="1318"/>
      <c r="BD35" s="1318"/>
      <c r="BE35" s="1318"/>
      <c r="BF35" s="1318"/>
      <c r="BG35" s="1318"/>
      <c r="BH35" s="1318"/>
      <c r="BI35" s="1318"/>
      <c r="BJ35" s="1318"/>
      <c r="BK35" s="1318"/>
      <c r="BL35" s="1318"/>
      <c r="BM35" s="1318"/>
      <c r="BN35" s="1318"/>
      <c r="BO35" s="1318"/>
      <c r="BP35" s="1318"/>
      <c r="BQ35" s="1318"/>
      <c r="BR35" s="1318"/>
      <c r="BS35" s="1318"/>
      <c r="BT35" s="1318"/>
      <c r="BU35" s="1318"/>
      <c r="BV35" s="1318"/>
      <c r="BW35" s="1318"/>
      <c r="BX35" s="1318"/>
      <c r="BY35" s="1318"/>
      <c r="BZ35" s="1318"/>
      <c r="CA35" s="1318"/>
      <c r="CB35" s="1318"/>
      <c r="CC35" s="1318"/>
      <c r="CD35" s="1318"/>
      <c r="CE35" s="1318"/>
      <c r="CF35" s="1318"/>
      <c r="CG35" s="1318"/>
      <c r="CH35" s="1318"/>
      <c r="CI35" s="1318"/>
    </row>
    <row r="36" spans="1:87">
      <c r="A36" s="521" t="s">
        <v>4697</v>
      </c>
      <c r="B36" s="521"/>
      <c r="C36" s="521" t="s">
        <v>4656</v>
      </c>
      <c r="D36" s="911" t="s">
        <v>80</v>
      </c>
      <c r="E36" s="1304" t="s">
        <v>81</v>
      </c>
      <c r="F36" s="290"/>
      <c r="G36" s="290"/>
      <c r="H36" s="290"/>
      <c r="I36" s="290"/>
      <c r="J36" s="290"/>
      <c r="K36" s="611"/>
      <c r="L36" s="611"/>
      <c r="M36" s="809"/>
      <c r="N36" s="611"/>
      <c r="O36" s="2995">
        <f>'6-A. Proc. Sub-Annex'!O93</f>
        <v>0</v>
      </c>
      <c r="P36" s="145"/>
      <c r="Q36" s="1004"/>
      <c r="R36" s="2995">
        <f>'6-A. Proc. Sub-Annex'!R93</f>
        <v>0</v>
      </c>
      <c r="BB36" s="1318"/>
      <c r="BC36" s="1318"/>
      <c r="BD36" s="1318"/>
      <c r="BE36" s="1318"/>
      <c r="BF36" s="1318"/>
      <c r="BG36" s="1318"/>
      <c r="BH36" s="1318"/>
      <c r="BI36" s="1318"/>
      <c r="BJ36" s="1318"/>
      <c r="BK36" s="1318"/>
      <c r="BL36" s="1318"/>
      <c r="BM36" s="1318"/>
      <c r="BN36" s="1318"/>
      <c r="BO36" s="1318"/>
      <c r="BP36" s="1318"/>
      <c r="BQ36" s="1318"/>
      <c r="BR36" s="1318"/>
      <c r="BS36" s="1318"/>
      <c r="BT36" s="1318"/>
      <c r="BU36" s="1318"/>
      <c r="BV36" s="1318"/>
      <c r="BW36" s="1318"/>
      <c r="BX36" s="1318"/>
      <c r="BY36" s="1318"/>
      <c r="BZ36" s="1318"/>
      <c r="CA36" s="1318"/>
      <c r="CB36" s="1318"/>
      <c r="CC36" s="1318"/>
      <c r="CD36" s="1318"/>
      <c r="CE36" s="1318"/>
      <c r="CF36" s="1318"/>
      <c r="CG36" s="1318"/>
      <c r="CH36" s="1318"/>
      <c r="CI36" s="1318"/>
    </row>
    <row r="37" spans="1:87">
      <c r="A37" s="521" t="s">
        <v>4698</v>
      </c>
      <c r="B37" s="521"/>
      <c r="C37" s="521" t="s">
        <v>4661</v>
      </c>
      <c r="D37" s="911" t="s">
        <v>80</v>
      </c>
      <c r="E37" s="1304" t="s">
        <v>145</v>
      </c>
      <c r="F37" s="290"/>
      <c r="G37" s="290"/>
      <c r="H37" s="290"/>
      <c r="I37" s="290"/>
      <c r="J37" s="290"/>
      <c r="K37" s="611"/>
      <c r="L37" s="611"/>
      <c r="M37" s="809"/>
      <c r="N37" s="611"/>
      <c r="O37" s="2995">
        <f>'6-A. Proc. Sub-Annex'!O99</f>
        <v>0</v>
      </c>
      <c r="P37" s="145"/>
      <c r="Q37" s="1004"/>
      <c r="R37" s="2995">
        <f>'6-A. Proc. Sub-Annex'!R99</f>
        <v>0</v>
      </c>
      <c r="BB37" s="1318"/>
      <c r="BC37" s="1318"/>
      <c r="BD37" s="1318"/>
      <c r="BE37" s="1318"/>
      <c r="BF37" s="1318"/>
      <c r="BG37" s="1318"/>
      <c r="BH37" s="1318"/>
      <c r="BI37" s="1318"/>
      <c r="BJ37" s="1318"/>
      <c r="BK37" s="1318"/>
      <c r="BL37" s="1318"/>
      <c r="BM37" s="1318"/>
      <c r="BN37" s="1318"/>
      <c r="BO37" s="1318"/>
      <c r="BP37" s="1318"/>
      <c r="BQ37" s="1318"/>
      <c r="BR37" s="1318"/>
      <c r="BS37" s="1318"/>
      <c r="BT37" s="1318"/>
      <c r="BU37" s="1318"/>
      <c r="BV37" s="1318"/>
      <c r="BW37" s="1318"/>
      <c r="BX37" s="1318"/>
      <c r="BY37" s="1318"/>
      <c r="BZ37" s="1318"/>
      <c r="CA37" s="1318"/>
      <c r="CB37" s="1318"/>
      <c r="CC37" s="1318"/>
      <c r="CD37" s="1318"/>
      <c r="CE37" s="1318"/>
      <c r="CF37" s="1318"/>
      <c r="CG37" s="1318"/>
      <c r="CH37" s="1318"/>
      <c r="CI37" s="1318"/>
    </row>
    <row r="38" spans="1:87">
      <c r="A38" s="521" t="s">
        <v>4699</v>
      </c>
      <c r="B38" s="521" t="s">
        <v>1650</v>
      </c>
      <c r="C38" s="521" t="s">
        <v>4662</v>
      </c>
      <c r="D38" s="911" t="s">
        <v>80</v>
      </c>
      <c r="E38" s="1304" t="s">
        <v>394</v>
      </c>
      <c r="F38" s="290"/>
      <c r="G38" s="290"/>
      <c r="H38" s="290"/>
      <c r="I38" s="290"/>
      <c r="J38" s="290"/>
      <c r="K38" s="611"/>
      <c r="L38" s="611"/>
      <c r="M38" s="809"/>
      <c r="N38" s="611"/>
      <c r="O38" s="2995">
        <f>'6-A. Proc. Sub-Annex'!O101</f>
        <v>0</v>
      </c>
      <c r="P38" s="145"/>
      <c r="Q38" s="1004"/>
      <c r="R38" s="2995">
        <f>'6-A. Proc. Sub-Annex'!R101</f>
        <v>0</v>
      </c>
      <c r="BB38" s="1318"/>
      <c r="BC38" s="1318"/>
      <c r="BD38" s="1318"/>
      <c r="BE38" s="1318"/>
      <c r="BF38" s="1318"/>
      <c r="BG38" s="1318"/>
      <c r="BH38" s="1318"/>
      <c r="BI38" s="1318"/>
      <c r="BJ38" s="1318"/>
      <c r="BK38" s="1318"/>
      <c r="BL38" s="1318"/>
      <c r="BM38" s="1318"/>
      <c r="BN38" s="1318"/>
      <c r="BO38" s="1318"/>
      <c r="BP38" s="1318"/>
      <c r="BQ38" s="1318"/>
      <c r="BR38" s="1318"/>
      <c r="BS38" s="1318"/>
      <c r="BT38" s="1318"/>
      <c r="BU38" s="1318"/>
      <c r="BV38" s="1318"/>
      <c r="BW38" s="1318"/>
      <c r="BX38" s="1318"/>
      <c r="BY38" s="1318"/>
      <c r="BZ38" s="1318"/>
      <c r="CA38" s="1318"/>
      <c r="CB38" s="1318"/>
      <c r="CC38" s="1318"/>
      <c r="CD38" s="1318"/>
      <c r="CE38" s="1318"/>
      <c r="CF38" s="1318"/>
      <c r="CG38" s="1318"/>
      <c r="CH38" s="1318"/>
      <c r="CI38" s="1318"/>
    </row>
    <row r="39" spans="1:87">
      <c r="A39" s="521" t="s">
        <v>4700</v>
      </c>
      <c r="B39" s="521"/>
      <c r="C39" s="521" t="s">
        <v>4663</v>
      </c>
      <c r="D39" s="911" t="s">
        <v>80</v>
      </c>
      <c r="E39" s="1304" t="s">
        <v>147</v>
      </c>
      <c r="F39" s="290"/>
      <c r="G39" s="290"/>
      <c r="H39" s="290"/>
      <c r="I39" s="290"/>
      <c r="J39" s="290"/>
      <c r="K39" s="611"/>
      <c r="L39" s="611"/>
      <c r="M39" s="809"/>
      <c r="N39" s="611"/>
      <c r="O39" s="2995">
        <f>'6-A. Proc. Sub-Annex'!O109</f>
        <v>0</v>
      </c>
      <c r="P39" s="145"/>
      <c r="Q39" s="1004"/>
      <c r="R39" s="2995">
        <f>'6-A. Proc. Sub-Annex'!R109</f>
        <v>0</v>
      </c>
      <c r="BB39" s="1318"/>
      <c r="BC39" s="1318"/>
      <c r="BD39" s="1318"/>
      <c r="BE39" s="1318"/>
      <c r="BF39" s="1318"/>
      <c r="BG39" s="1318"/>
      <c r="BH39" s="1318"/>
      <c r="BI39" s="1318"/>
      <c r="BJ39" s="1318"/>
      <c r="BK39" s="1318"/>
      <c r="BL39" s="1318"/>
      <c r="BM39" s="1318"/>
      <c r="BN39" s="1318"/>
      <c r="BO39" s="1318"/>
      <c r="BP39" s="1318"/>
      <c r="BQ39" s="1318"/>
      <c r="BR39" s="1318"/>
      <c r="BS39" s="1318"/>
      <c r="BT39" s="1318"/>
      <c r="BU39" s="1318"/>
      <c r="BV39" s="1318"/>
      <c r="BW39" s="1318"/>
      <c r="BX39" s="1318"/>
      <c r="BY39" s="1318"/>
      <c r="BZ39" s="1318"/>
      <c r="CA39" s="1318"/>
      <c r="CB39" s="1318"/>
      <c r="CC39" s="1318"/>
      <c r="CD39" s="1318"/>
      <c r="CE39" s="1318"/>
      <c r="CF39" s="1318"/>
      <c r="CG39" s="1318"/>
      <c r="CH39" s="1318"/>
      <c r="CI39" s="1318"/>
    </row>
    <row r="40" spans="1:87">
      <c r="A40" s="521" t="s">
        <v>4701</v>
      </c>
      <c r="B40" s="521"/>
      <c r="C40" s="521" t="s">
        <v>4664</v>
      </c>
      <c r="D40" s="911" t="s">
        <v>80</v>
      </c>
      <c r="E40" s="1304" t="s">
        <v>410</v>
      </c>
      <c r="F40" s="290"/>
      <c r="G40" s="290"/>
      <c r="H40" s="290"/>
      <c r="I40" s="290"/>
      <c r="J40" s="290"/>
      <c r="K40" s="611"/>
      <c r="L40" s="611"/>
      <c r="M40" s="809"/>
      <c r="N40" s="611"/>
      <c r="O40" s="2995">
        <f>'6-A. Proc. Sub-Annex'!O113</f>
        <v>80</v>
      </c>
      <c r="P40" s="145"/>
      <c r="Q40" s="1004"/>
      <c r="R40" s="2995">
        <f>'6-A. Proc. Sub-Annex'!R113</f>
        <v>30</v>
      </c>
      <c r="BB40" s="1318"/>
      <c r="BC40" s="1318"/>
      <c r="BD40" s="1318"/>
      <c r="BE40" s="1318"/>
      <c r="BF40" s="1318"/>
      <c r="BG40" s="1318"/>
      <c r="BH40" s="1318"/>
      <c r="BI40" s="1318"/>
      <c r="BJ40" s="1318"/>
      <c r="BK40" s="1318"/>
      <c r="BL40" s="1318"/>
      <c r="BM40" s="1318"/>
      <c r="BN40" s="1318"/>
      <c r="BO40" s="1318"/>
      <c r="BP40" s="1318"/>
      <c r="BQ40" s="1318"/>
      <c r="BR40" s="1318"/>
      <c r="BS40" s="1318"/>
      <c r="BT40" s="1318"/>
      <c r="BU40" s="1318"/>
      <c r="BV40" s="1318"/>
      <c r="BW40" s="1318"/>
      <c r="BX40" s="1318"/>
      <c r="BY40" s="1318"/>
      <c r="BZ40" s="1318"/>
      <c r="CA40" s="1318"/>
      <c r="CB40" s="1318"/>
      <c r="CC40" s="1318"/>
      <c r="CD40" s="1318"/>
      <c r="CE40" s="1318"/>
      <c r="CF40" s="1318"/>
      <c r="CG40" s="1318"/>
      <c r="CH40" s="1318"/>
      <c r="CI40" s="1318"/>
    </row>
    <row r="41" spans="1:87" ht="30">
      <c r="A41" s="521" t="s">
        <v>4702</v>
      </c>
      <c r="B41" s="521" t="s">
        <v>1332</v>
      </c>
      <c r="C41" s="521" t="s">
        <v>4665</v>
      </c>
      <c r="D41" s="911" t="s">
        <v>80</v>
      </c>
      <c r="E41" s="1170" t="s">
        <v>4668</v>
      </c>
      <c r="F41" s="290"/>
      <c r="G41" s="290"/>
      <c r="H41" s="290"/>
      <c r="I41" s="290"/>
      <c r="J41" s="290"/>
      <c r="K41" s="611"/>
      <c r="L41" s="611"/>
      <c r="M41" s="809"/>
      <c r="N41" s="611"/>
      <c r="O41" s="2995">
        <f>'6-A. Proc. Sub-Annex'!O120</f>
        <v>0</v>
      </c>
      <c r="P41" s="145"/>
      <c r="Q41" s="1004"/>
      <c r="R41" s="2995">
        <f>'6-A. Proc. Sub-Annex'!R120</f>
        <v>0</v>
      </c>
      <c r="BB41" s="1318"/>
      <c r="BC41" s="1318"/>
      <c r="BD41" s="1318"/>
      <c r="BE41" s="1318"/>
      <c r="BF41" s="1318"/>
      <c r="BG41" s="1318"/>
      <c r="BH41" s="1318"/>
      <c r="BI41" s="1318"/>
      <c r="BJ41" s="1318"/>
      <c r="BK41" s="1318"/>
      <c r="BL41" s="1318"/>
      <c r="BM41" s="1318"/>
      <c r="BN41" s="1318"/>
      <c r="BO41" s="1318"/>
      <c r="BP41" s="1318"/>
      <c r="BQ41" s="1318"/>
      <c r="BR41" s="1318"/>
      <c r="BS41" s="1318"/>
      <c r="BT41" s="1318"/>
      <c r="BU41" s="1318"/>
      <c r="BV41" s="1318"/>
      <c r="BW41" s="1318"/>
      <c r="BX41" s="1318"/>
      <c r="BY41" s="1318"/>
      <c r="BZ41" s="1318"/>
      <c r="CA41" s="1318"/>
      <c r="CB41" s="1318"/>
      <c r="CC41" s="1318"/>
      <c r="CD41" s="1318"/>
      <c r="CE41" s="1318"/>
      <c r="CF41" s="1318"/>
      <c r="CG41" s="1318"/>
      <c r="CH41" s="1318"/>
      <c r="CI41" s="1318"/>
    </row>
    <row r="42" spans="1:87">
      <c r="A42" s="521" t="s">
        <v>4703</v>
      </c>
      <c r="B42" s="521" t="s">
        <v>1632</v>
      </c>
      <c r="C42" s="521" t="s">
        <v>4657</v>
      </c>
      <c r="D42" s="911" t="s">
        <v>80</v>
      </c>
      <c r="E42" s="1170" t="s">
        <v>1014</v>
      </c>
      <c r="F42" s="290"/>
      <c r="G42" s="290"/>
      <c r="H42" s="290"/>
      <c r="I42" s="290"/>
      <c r="J42" s="290"/>
      <c r="K42" s="611"/>
      <c r="L42" s="611"/>
      <c r="M42" s="809"/>
      <c r="N42" s="611"/>
      <c r="O42" s="2995">
        <f>'6-A. Proc. Sub-Annex'!O123</f>
        <v>10</v>
      </c>
      <c r="P42" s="145"/>
      <c r="Q42" s="1004"/>
      <c r="R42" s="2995">
        <f>'6-A. Proc. Sub-Annex'!R123</f>
        <v>0</v>
      </c>
      <c r="BB42" s="1318"/>
      <c r="BC42" s="1318"/>
      <c r="BD42" s="1318"/>
      <c r="BE42" s="1318"/>
      <c r="BF42" s="1318"/>
      <c r="BG42" s="1318"/>
      <c r="BH42" s="1318"/>
      <c r="BI42" s="1318"/>
      <c r="BJ42" s="1318"/>
      <c r="BK42" s="1318"/>
      <c r="BL42" s="1318"/>
      <c r="BM42" s="1318"/>
      <c r="BN42" s="1318"/>
      <c r="BO42" s="1318"/>
      <c r="BP42" s="1318"/>
      <c r="BQ42" s="1318"/>
      <c r="BR42" s="1318"/>
      <c r="BS42" s="1318"/>
      <c r="BT42" s="1318"/>
      <c r="BU42" s="1318"/>
      <c r="BV42" s="1318"/>
      <c r="BW42" s="1318"/>
      <c r="BX42" s="1318"/>
      <c r="BY42" s="1318"/>
      <c r="BZ42" s="1318"/>
      <c r="CA42" s="1318"/>
      <c r="CB42" s="1318"/>
      <c r="CC42" s="1318"/>
      <c r="CD42" s="1318"/>
      <c r="CE42" s="1318"/>
      <c r="CF42" s="1318"/>
      <c r="CG42" s="1318"/>
      <c r="CH42" s="1318"/>
      <c r="CI42" s="1318"/>
    </row>
    <row r="43" spans="1:87">
      <c r="A43" s="521" t="s">
        <v>4727</v>
      </c>
      <c r="B43" s="521"/>
      <c r="C43" s="521" t="s">
        <v>4658</v>
      </c>
      <c r="D43" s="911" t="s">
        <v>80</v>
      </c>
      <c r="E43" s="1170" t="s">
        <v>307</v>
      </c>
      <c r="F43" s="290"/>
      <c r="G43" s="290"/>
      <c r="H43" s="290"/>
      <c r="I43" s="290"/>
      <c r="J43" s="290"/>
      <c r="K43" s="611"/>
      <c r="L43" s="611"/>
      <c r="M43" s="809"/>
      <c r="N43" s="611"/>
      <c r="O43" s="2995">
        <f>'6-A. Proc. Sub-Annex'!O126</f>
        <v>39.51</v>
      </c>
      <c r="P43" s="145"/>
      <c r="Q43" s="1004"/>
      <c r="R43" s="2995">
        <f>'6-A. Proc. Sub-Annex'!R126</f>
        <v>39.510000000000005</v>
      </c>
      <c r="BB43" s="1318"/>
      <c r="BC43" s="1318"/>
      <c r="BD43" s="1318"/>
      <c r="BE43" s="1318"/>
      <c r="BF43" s="1318"/>
      <c r="BG43" s="1318"/>
      <c r="BH43" s="1318"/>
      <c r="BI43" s="1318"/>
      <c r="BJ43" s="1318"/>
      <c r="BK43" s="1318"/>
      <c r="BL43" s="1318"/>
      <c r="BM43" s="1318"/>
      <c r="BN43" s="1318"/>
      <c r="BO43" s="1318"/>
      <c r="BP43" s="1318"/>
      <c r="BQ43" s="1318"/>
      <c r="BR43" s="1318"/>
      <c r="BS43" s="1318"/>
      <c r="BT43" s="1318"/>
      <c r="BU43" s="1318"/>
      <c r="BV43" s="1318"/>
      <c r="BW43" s="1318"/>
      <c r="BX43" s="1318"/>
      <c r="BY43" s="1318"/>
      <c r="BZ43" s="1318"/>
      <c r="CA43" s="1318"/>
      <c r="CB43" s="1318"/>
      <c r="CC43" s="1318"/>
      <c r="CD43" s="1318"/>
      <c r="CE43" s="1318"/>
      <c r="CF43" s="1318"/>
      <c r="CG43" s="1318"/>
      <c r="CH43" s="1318"/>
      <c r="CI43" s="1318"/>
    </row>
    <row r="44" spans="1:87">
      <c r="A44" s="521" t="s">
        <v>4728</v>
      </c>
      <c r="B44" s="521"/>
      <c r="C44" s="521" t="s">
        <v>4659</v>
      </c>
      <c r="D44" s="911" t="s">
        <v>80</v>
      </c>
      <c r="E44" s="1170" t="s">
        <v>309</v>
      </c>
      <c r="F44" s="290"/>
      <c r="G44" s="290"/>
      <c r="H44" s="290"/>
      <c r="I44" s="290"/>
      <c r="J44" s="290"/>
      <c r="K44" s="611"/>
      <c r="L44" s="611"/>
      <c r="M44" s="809"/>
      <c r="N44" s="611"/>
      <c r="O44" s="2995">
        <f>'6-A. Proc. Sub-Annex'!O129</f>
        <v>0</v>
      </c>
      <c r="P44" s="145"/>
      <c r="Q44" s="1004"/>
      <c r="R44" s="2995">
        <f>'6-A. Proc. Sub-Annex'!R129</f>
        <v>0</v>
      </c>
      <c r="BB44" s="1318"/>
      <c r="BC44" s="1318"/>
      <c r="BD44" s="1318"/>
      <c r="BE44" s="1318"/>
      <c r="BF44" s="1318"/>
      <c r="BG44" s="1318"/>
      <c r="BH44" s="1318"/>
      <c r="BI44" s="1318"/>
      <c r="BJ44" s="1318"/>
      <c r="BK44" s="1318"/>
      <c r="BL44" s="1318"/>
      <c r="BM44" s="1318"/>
      <c r="BN44" s="1318"/>
      <c r="BO44" s="1318"/>
      <c r="BP44" s="1318"/>
      <c r="BQ44" s="1318"/>
      <c r="BR44" s="1318"/>
      <c r="BS44" s="1318"/>
      <c r="BT44" s="1318"/>
      <c r="BU44" s="1318"/>
      <c r="BV44" s="1318"/>
      <c r="BW44" s="1318"/>
      <c r="BX44" s="1318"/>
      <c r="BY44" s="1318"/>
      <c r="BZ44" s="1318"/>
      <c r="CA44" s="1318"/>
      <c r="CB44" s="1318"/>
      <c r="CC44" s="1318"/>
      <c r="CD44" s="1318"/>
      <c r="CE44" s="1318"/>
      <c r="CF44" s="1318"/>
      <c r="CG44" s="1318"/>
      <c r="CH44" s="1318"/>
      <c r="CI44" s="1318"/>
    </row>
    <row r="45" spans="1:87">
      <c r="A45" s="521" t="s">
        <v>4729</v>
      </c>
      <c r="B45" s="521"/>
      <c r="C45" s="521" t="s">
        <v>4660</v>
      </c>
      <c r="D45" s="911" t="s">
        <v>80</v>
      </c>
      <c r="E45" s="1170" t="s">
        <v>4533</v>
      </c>
      <c r="F45" s="290"/>
      <c r="G45" s="290"/>
      <c r="H45" s="290"/>
      <c r="I45" s="290"/>
      <c r="J45" s="290"/>
      <c r="K45" s="611"/>
      <c r="L45" s="611"/>
      <c r="M45" s="809"/>
      <c r="N45" s="611"/>
      <c r="O45" s="2995">
        <f>'6-A. Proc. Sub-Annex'!O132</f>
        <v>0</v>
      </c>
      <c r="P45" s="145"/>
      <c r="Q45" s="1004"/>
      <c r="R45" s="2995">
        <f>'6-A. Proc. Sub-Annex'!R132</f>
        <v>0</v>
      </c>
      <c r="BB45" s="1318"/>
      <c r="BC45" s="1318"/>
      <c r="BD45" s="1318"/>
      <c r="BE45" s="1318"/>
      <c r="BF45" s="1318"/>
      <c r="BG45" s="1318"/>
      <c r="BH45" s="1318"/>
      <c r="BI45" s="1318"/>
      <c r="BJ45" s="1318"/>
      <c r="BK45" s="1318"/>
      <c r="BL45" s="1318"/>
      <c r="BM45" s="1318"/>
      <c r="BN45" s="1318"/>
      <c r="BO45" s="1318"/>
      <c r="BP45" s="1318"/>
      <c r="BQ45" s="1318"/>
      <c r="BR45" s="1318"/>
      <c r="BS45" s="1318"/>
      <c r="BT45" s="1318"/>
      <c r="BU45" s="1318"/>
      <c r="BV45" s="1318"/>
      <c r="BW45" s="1318"/>
      <c r="BX45" s="1318"/>
      <c r="BY45" s="1318"/>
      <c r="BZ45" s="1318"/>
      <c r="CA45" s="1318"/>
      <c r="CB45" s="1318"/>
      <c r="CC45" s="1318"/>
      <c r="CD45" s="1318"/>
      <c r="CE45" s="1318"/>
      <c r="CF45" s="1318"/>
      <c r="CG45" s="1318"/>
      <c r="CH45" s="1318"/>
      <c r="CI45" s="1318"/>
    </row>
    <row r="46" spans="1:87">
      <c r="A46" s="1292" t="s">
        <v>4726</v>
      </c>
      <c r="B46" s="1293"/>
      <c r="C46" s="1294" t="s">
        <v>4681</v>
      </c>
      <c r="D46" s="1295"/>
      <c r="E46" s="1295"/>
      <c r="F46" s="605"/>
      <c r="G46" s="605"/>
      <c r="H46" s="605"/>
      <c r="I46" s="605"/>
      <c r="J46" s="605"/>
      <c r="K46" s="610"/>
      <c r="L46" s="610"/>
      <c r="M46" s="1327"/>
      <c r="N46" s="610"/>
      <c r="O46" s="3100">
        <f>SUM(O47:O53)</f>
        <v>327.08175999999997</v>
      </c>
      <c r="P46" s="606"/>
      <c r="Q46" s="1299"/>
      <c r="R46" s="3100">
        <f>SUM(R47:R53)</f>
        <v>327.08</v>
      </c>
      <c r="BB46" s="1318"/>
      <c r="BC46" s="1318"/>
      <c r="BD46" s="1318"/>
      <c r="BE46" s="1318"/>
      <c r="BF46" s="1318"/>
      <c r="BG46" s="1318"/>
      <c r="BH46" s="1318"/>
      <c r="BI46" s="1318"/>
      <c r="BJ46" s="1318"/>
      <c r="BK46" s="1318"/>
      <c r="BL46" s="1318"/>
      <c r="BM46" s="1318"/>
      <c r="BN46" s="1318"/>
      <c r="BO46" s="1318"/>
      <c r="BP46" s="1318"/>
      <c r="BQ46" s="1318"/>
      <c r="BR46" s="1318"/>
      <c r="BS46" s="1318"/>
      <c r="BT46" s="1318"/>
      <c r="BU46" s="1318"/>
      <c r="BV46" s="1318"/>
      <c r="BW46" s="1318"/>
      <c r="BX46" s="1318"/>
      <c r="BY46" s="1318"/>
      <c r="BZ46" s="1318"/>
      <c r="CA46" s="1318"/>
      <c r="CB46" s="1318"/>
      <c r="CC46" s="1318"/>
      <c r="CD46" s="1318"/>
      <c r="CE46" s="1318"/>
      <c r="CF46" s="1318"/>
      <c r="CG46" s="1318"/>
      <c r="CH46" s="1318"/>
      <c r="CI46" s="1318"/>
    </row>
    <row r="47" spans="1:87">
      <c r="A47" s="521" t="s">
        <v>4730</v>
      </c>
      <c r="B47" s="1308" t="s">
        <v>1692</v>
      </c>
      <c r="C47" s="521" t="s">
        <v>1693</v>
      </c>
      <c r="D47" s="1301" t="s">
        <v>85</v>
      </c>
      <c r="E47" s="1276" t="s">
        <v>86</v>
      </c>
      <c r="F47" s="293"/>
      <c r="G47" s="293"/>
      <c r="H47" s="293"/>
      <c r="I47" s="293"/>
      <c r="J47" s="293"/>
      <c r="K47" s="611">
        <f>'6-A. Proc. Sub-Annex'!K137</f>
        <v>0</v>
      </c>
      <c r="L47" s="611"/>
      <c r="M47" s="1309">
        <f>'6-A. Proc. Sub-Annex'!M137</f>
        <v>0</v>
      </c>
      <c r="N47" s="611"/>
      <c r="O47" s="3101">
        <f>'6-A. Proc. Sub-Annex'!O137</f>
        <v>0</v>
      </c>
      <c r="P47" s="145">
        <f>'6-A. Proc. Sub-Annex'!P137</f>
        <v>0</v>
      </c>
      <c r="Q47" s="1004" t="str">
        <f>'6-A. Proc. Sub-Annex'!Q137</f>
        <v>--</v>
      </c>
      <c r="R47" s="3101">
        <f>'6-A. Proc. Sub-Annex'!R137</f>
        <v>0</v>
      </c>
      <c r="BB47" s="1318"/>
      <c r="BC47" s="1318"/>
      <c r="BD47" s="1318"/>
      <c r="BE47" s="1318"/>
      <c r="BF47" s="1318"/>
      <c r="BG47" s="1318"/>
      <c r="BH47" s="1318"/>
      <c r="BI47" s="1318"/>
      <c r="BJ47" s="1318"/>
      <c r="BK47" s="1318"/>
      <c r="BL47" s="1318"/>
      <c r="BM47" s="1318"/>
      <c r="BN47" s="1318"/>
      <c r="BO47" s="1318"/>
      <c r="BP47" s="1318"/>
      <c r="BQ47" s="1318"/>
      <c r="BR47" s="1318"/>
      <c r="BS47" s="1318"/>
      <c r="BT47" s="1318"/>
      <c r="BU47" s="1318"/>
      <c r="BV47" s="1318"/>
      <c r="BW47" s="1318"/>
      <c r="BX47" s="1318"/>
      <c r="BY47" s="1318"/>
      <c r="BZ47" s="1318"/>
      <c r="CA47" s="1318"/>
      <c r="CB47" s="1318"/>
      <c r="CC47" s="1318"/>
      <c r="CD47" s="1318"/>
      <c r="CE47" s="1318"/>
      <c r="CF47" s="1318"/>
      <c r="CG47" s="1318"/>
      <c r="CH47" s="1318"/>
      <c r="CI47" s="1318"/>
    </row>
    <row r="48" spans="1:87">
      <c r="A48" s="521" t="s">
        <v>4731</v>
      </c>
      <c r="B48" s="521" t="s">
        <v>1694</v>
      </c>
      <c r="C48" s="521" t="s">
        <v>1695</v>
      </c>
      <c r="D48" s="1007" t="s">
        <v>4219</v>
      </c>
      <c r="E48" s="1276" t="s">
        <v>288</v>
      </c>
      <c r="F48" s="293"/>
      <c r="G48" s="293"/>
      <c r="H48" s="293"/>
      <c r="I48" s="293"/>
      <c r="J48" s="293"/>
      <c r="K48" s="611">
        <f>'6-A. Proc. Sub-Annex'!K138</f>
        <v>0</v>
      </c>
      <c r="L48" s="611"/>
      <c r="M48" s="1309">
        <f>'6-A. Proc. Sub-Annex'!M138</f>
        <v>0</v>
      </c>
      <c r="N48" s="611"/>
      <c r="O48" s="3101">
        <f>'6-A. Proc. Sub-Annex'!O138</f>
        <v>0</v>
      </c>
      <c r="P48" s="145">
        <f>'6-A. Proc. Sub-Annex'!P138</f>
        <v>0</v>
      </c>
      <c r="Q48" s="1004">
        <f>'6-A. Proc. Sub-Annex'!Q138</f>
        <v>0</v>
      </c>
      <c r="R48" s="3101">
        <f>'6-A. Proc. Sub-Annex'!R138</f>
        <v>0</v>
      </c>
      <c r="BB48" s="1318"/>
      <c r="BC48" s="1318"/>
      <c r="BD48" s="1318"/>
      <c r="BE48" s="1318"/>
      <c r="BF48" s="1318"/>
      <c r="BG48" s="1318"/>
      <c r="BH48" s="1318"/>
      <c r="BI48" s="1318"/>
      <c r="BJ48" s="1318"/>
      <c r="BK48" s="1318"/>
      <c r="BL48" s="1318"/>
      <c r="BM48" s="1318"/>
      <c r="BN48" s="1318"/>
      <c r="BO48" s="1318"/>
      <c r="BP48" s="1318"/>
      <c r="BQ48" s="1318"/>
      <c r="BR48" s="1318"/>
      <c r="BS48" s="1318"/>
      <c r="BT48" s="1318"/>
      <c r="BU48" s="1318"/>
      <c r="BV48" s="1318"/>
      <c r="BW48" s="1318"/>
      <c r="BX48" s="1318"/>
      <c r="BY48" s="1318"/>
      <c r="BZ48" s="1318"/>
      <c r="CA48" s="1318"/>
      <c r="CB48" s="1318"/>
      <c r="CC48" s="1318"/>
      <c r="CD48" s="1318"/>
      <c r="CE48" s="1318"/>
      <c r="CF48" s="1318"/>
      <c r="CG48" s="1318"/>
      <c r="CH48" s="1318"/>
      <c r="CI48" s="1318"/>
    </row>
    <row r="49" spans="1:87" ht="105">
      <c r="A49" s="521" t="s">
        <v>4732</v>
      </c>
      <c r="B49" s="521" t="s">
        <v>1696</v>
      </c>
      <c r="C49" s="521" t="s">
        <v>1697</v>
      </c>
      <c r="D49" s="1007" t="s">
        <v>4219</v>
      </c>
      <c r="E49" s="1276" t="s">
        <v>4525</v>
      </c>
      <c r="F49" s="293"/>
      <c r="G49" s="293"/>
      <c r="H49" s="293"/>
      <c r="I49" s="293"/>
      <c r="J49" s="293"/>
      <c r="K49" s="611">
        <f>'6-A. Proc. Sub-Annex'!K139</f>
        <v>0</v>
      </c>
      <c r="L49" s="611"/>
      <c r="M49" s="1309">
        <f>'6-A. Proc. Sub-Annex'!M139</f>
        <v>7.016E-2</v>
      </c>
      <c r="N49" s="611"/>
      <c r="O49" s="3101">
        <f>'6-A. Proc. Sub-Annex'!O139</f>
        <v>27.081759999999999</v>
      </c>
      <c r="P49" s="145" t="str">
        <f>'6-A. Proc. Sub-Annex'!P139</f>
        <v>NTEP-1.1  AMC of  55 IRL equipments installed at Dharampur 23 Equipments installed at IRL Tanda  7 CB-NAAT machines procured under MMKRNY  and 271 Tablets /computers supplied by GOI proposed. The total cost of Rs. 27.08 lacs  proposed under PIP 2021-22</v>
      </c>
      <c r="Q49" s="1004" t="str">
        <f>'6-A. Proc. Sub-Annex'!Q139</f>
        <v>Recommended Rs 27.08 lakhs towards maintenace of equipments which are not covered under BMMP</v>
      </c>
      <c r="R49" s="3101">
        <f>'6-A. Proc. Sub-Annex'!R139</f>
        <v>27.08</v>
      </c>
      <c r="BB49" s="1318"/>
      <c r="BC49" s="1318"/>
      <c r="BD49" s="1318"/>
      <c r="BE49" s="1318"/>
      <c r="BF49" s="1318"/>
      <c r="BG49" s="1318"/>
      <c r="BH49" s="1318"/>
      <c r="BI49" s="1318"/>
      <c r="BJ49" s="1318"/>
      <c r="BK49" s="1318"/>
      <c r="BL49" s="1318"/>
      <c r="BM49" s="1318"/>
      <c r="BN49" s="1318"/>
      <c r="BO49" s="1318"/>
      <c r="BP49" s="1318"/>
      <c r="BQ49" s="1318"/>
      <c r="BR49" s="1318"/>
      <c r="BS49" s="1318"/>
      <c r="BT49" s="1318"/>
      <c r="BU49" s="1318"/>
      <c r="BV49" s="1318"/>
      <c r="BW49" s="1318"/>
      <c r="BX49" s="1318"/>
      <c r="BY49" s="1318"/>
      <c r="BZ49" s="1318"/>
      <c r="CA49" s="1318"/>
      <c r="CB49" s="1318"/>
      <c r="CC49" s="1318"/>
      <c r="CD49" s="1318"/>
      <c r="CE49" s="1318"/>
      <c r="CF49" s="1318"/>
      <c r="CG49" s="1318"/>
      <c r="CH49" s="1318"/>
      <c r="CI49" s="1318"/>
    </row>
    <row r="50" spans="1:87">
      <c r="A50" s="521" t="s">
        <v>4733</v>
      </c>
      <c r="B50" s="521"/>
      <c r="C50" s="521" t="s">
        <v>4299</v>
      </c>
      <c r="D50" s="1007" t="s">
        <v>4219</v>
      </c>
      <c r="E50" s="1304" t="s">
        <v>109</v>
      </c>
      <c r="F50" s="293"/>
      <c r="G50" s="293"/>
      <c r="H50" s="293"/>
      <c r="I50" s="293"/>
      <c r="J50" s="293"/>
      <c r="K50" s="611">
        <f>'6-A. Proc. Sub-Annex'!K140</f>
        <v>0</v>
      </c>
      <c r="L50" s="611"/>
      <c r="M50" s="1309">
        <f>'6-A. Proc. Sub-Annex'!M140</f>
        <v>0</v>
      </c>
      <c r="N50" s="611"/>
      <c r="O50" s="3101">
        <f>'6-A. Proc. Sub-Annex'!O140</f>
        <v>0</v>
      </c>
      <c r="P50" s="145">
        <f>'6-A. Proc. Sub-Annex'!P140</f>
        <v>0</v>
      </c>
      <c r="Q50" s="1004">
        <f>'6-A. Proc. Sub-Annex'!Q140</f>
        <v>0</v>
      </c>
      <c r="R50" s="3101">
        <f>'6-A. Proc. Sub-Annex'!R140</f>
        <v>0</v>
      </c>
      <c r="BB50" s="1318"/>
      <c r="BC50" s="1318"/>
      <c r="BD50" s="1318"/>
      <c r="BE50" s="1318"/>
      <c r="BF50" s="1318"/>
      <c r="BG50" s="1318"/>
      <c r="BH50" s="1318"/>
      <c r="BI50" s="1318"/>
      <c r="BJ50" s="1318"/>
      <c r="BK50" s="1318"/>
      <c r="BL50" s="1318"/>
      <c r="BM50" s="1318"/>
      <c r="BN50" s="1318"/>
      <c r="BO50" s="1318"/>
      <c r="BP50" s="1318"/>
      <c r="BQ50" s="1318"/>
      <c r="BR50" s="1318"/>
      <c r="BS50" s="1318"/>
      <c r="BT50" s="1318"/>
      <c r="BU50" s="1318"/>
      <c r="BV50" s="1318"/>
      <c r="BW50" s="1318"/>
      <c r="BX50" s="1318"/>
      <c r="BY50" s="1318"/>
      <c r="BZ50" s="1318"/>
      <c r="CA50" s="1318"/>
      <c r="CB50" s="1318"/>
      <c r="CC50" s="1318"/>
      <c r="CD50" s="1318"/>
      <c r="CE50" s="1318"/>
      <c r="CF50" s="1318"/>
      <c r="CG50" s="1318"/>
      <c r="CH50" s="1318"/>
      <c r="CI50" s="1318"/>
    </row>
    <row r="51" spans="1:87">
      <c r="A51" s="521" t="s">
        <v>4734</v>
      </c>
      <c r="B51" s="586" t="s">
        <v>1698</v>
      </c>
      <c r="C51" s="586" t="s">
        <v>2760</v>
      </c>
      <c r="D51" s="911" t="s">
        <v>80</v>
      </c>
      <c r="E51" s="1276" t="s">
        <v>81</v>
      </c>
      <c r="F51" s="157"/>
      <c r="G51" s="157"/>
      <c r="H51" s="157"/>
      <c r="I51" s="157"/>
      <c r="J51" s="157"/>
      <c r="K51" s="611">
        <f>'6-A. Proc. Sub-Annex'!K141</f>
        <v>0</v>
      </c>
      <c r="L51" s="611"/>
      <c r="M51" s="1309">
        <f>'6-A. Proc. Sub-Annex'!M141</f>
        <v>0</v>
      </c>
      <c r="N51" s="611"/>
      <c r="O51" s="3101">
        <f>'6-A. Proc. Sub-Annex'!O141</f>
        <v>0</v>
      </c>
      <c r="P51" s="145">
        <f>'6-A. Proc. Sub-Annex'!P141</f>
        <v>0</v>
      </c>
      <c r="Q51" s="1004">
        <f>'6-A. Proc. Sub-Annex'!Q141</f>
        <v>0</v>
      </c>
      <c r="R51" s="3101">
        <f>'6-A. Proc. Sub-Annex'!R141</f>
        <v>0</v>
      </c>
      <c r="BB51" s="1318"/>
      <c r="BC51" s="1318"/>
      <c r="BD51" s="1318"/>
      <c r="BE51" s="1318"/>
      <c r="BF51" s="1318"/>
      <c r="BG51" s="1318"/>
      <c r="BH51" s="1318"/>
      <c r="BI51" s="1318"/>
      <c r="BJ51" s="1318"/>
      <c r="BK51" s="1318"/>
      <c r="BL51" s="1318"/>
      <c r="BM51" s="1318"/>
      <c r="BN51" s="1318"/>
      <c r="BO51" s="1318"/>
      <c r="BP51" s="1318"/>
      <c r="BQ51" s="1318"/>
      <c r="BR51" s="1318"/>
      <c r="BS51" s="1318"/>
      <c r="BT51" s="1318"/>
      <c r="BU51" s="1318"/>
      <c r="BV51" s="1318"/>
      <c r="BW51" s="1318"/>
      <c r="BX51" s="1318"/>
      <c r="BY51" s="1318"/>
      <c r="BZ51" s="1318"/>
      <c r="CA51" s="1318"/>
      <c r="CB51" s="1318"/>
      <c r="CC51" s="1318"/>
      <c r="CD51" s="1318"/>
      <c r="CE51" s="1318"/>
      <c r="CF51" s="1318"/>
      <c r="CG51" s="1318"/>
      <c r="CH51" s="1318"/>
      <c r="CI51" s="1318"/>
    </row>
    <row r="52" spans="1:87" ht="315">
      <c r="A52" s="521" t="s">
        <v>4735</v>
      </c>
      <c r="B52" s="521"/>
      <c r="C52" s="521" t="s">
        <v>4298</v>
      </c>
      <c r="D52" s="908" t="s">
        <v>65</v>
      </c>
      <c r="E52" s="1304" t="s">
        <v>4668</v>
      </c>
      <c r="F52" s="293"/>
      <c r="G52" s="293"/>
      <c r="H52" s="293"/>
      <c r="I52" s="293"/>
      <c r="J52" s="293"/>
      <c r="K52" s="611">
        <f>'6-A. Proc. Sub-Annex'!K142</f>
        <v>1</v>
      </c>
      <c r="L52" s="611"/>
      <c r="M52" s="1309">
        <f>'6-A. Proc. Sub-Annex'!M142</f>
        <v>2.4E-2</v>
      </c>
      <c r="N52" s="611"/>
      <c r="O52" s="3101">
        <f>'6-A. Proc. Sub-Annex'!O142</f>
        <v>300</v>
      </c>
      <c r="P52" s="145" t="str">
        <f>'6-A. Proc. Sub-Annex'!P142</f>
        <v>As the final asset value calculations is under process for the financial Year 2021-22 the State proposes Rs 300 lakhs for the financial Year 2021-22 till the final asset value is arrived at.The additional funds after the Asset value finalisation shall be proposed in the SPIP for 2021-22.                                                                                                                                                       Note:- Expenditure amounting to Rs. 100.00 (Lakhs) has been meet out from previous year's commited funds.</v>
      </c>
      <c r="Q52" s="1004" t="str">
        <f>'6-A. Proc. Sub-Annex'!Q142</f>
        <v xml:space="preserve">The proposed amount may be recommended for approval for based on FY 2020-21 as State has not yet finalised their asset value for comprehensive BMMP.1. In ROP 2017-18, 481.20 lakh INR was approved for engaging service provider for equipment maintenance under BMMP tender.2. In ROP 2018-19, 605.34 lakh INR was approved @ 5.90% of total asset value of HP i.e. 8711.15 lakh INR @ 5.90% + 18% GST (92,34,00 INR )3. State issued Letter of intent to L1 bidder on 6th October, 2017 whereas signed agreement with service provider on 27th May, 2019.         4. State may be suggested to revise the asset value of the equipment and devices under the BMMP program and may be requested to share the details with MOHFW/NHSRC </v>
      </c>
      <c r="R52" s="3101">
        <f>'6-A. Proc. Sub-Annex'!R142</f>
        <v>300</v>
      </c>
      <c r="BB52" s="1318"/>
      <c r="BC52" s="1318"/>
      <c r="BD52" s="1318"/>
      <c r="BE52" s="1318"/>
      <c r="BF52" s="1318"/>
      <c r="BG52" s="1318"/>
      <c r="BH52" s="1318"/>
      <c r="BI52" s="1318"/>
      <c r="BJ52" s="1318"/>
      <c r="BK52" s="1318"/>
      <c r="BL52" s="1318"/>
      <c r="BM52" s="1318"/>
      <c r="BN52" s="1318"/>
      <c r="BO52" s="1318"/>
      <c r="BP52" s="1318"/>
      <c r="BQ52" s="1318"/>
      <c r="BR52" s="1318"/>
      <c r="BS52" s="1318"/>
      <c r="BT52" s="1318"/>
      <c r="BU52" s="1318"/>
      <c r="BV52" s="1318"/>
      <c r="BW52" s="1318"/>
      <c r="BX52" s="1318"/>
      <c r="BY52" s="1318"/>
      <c r="BZ52" s="1318"/>
      <c r="CA52" s="1318"/>
      <c r="CB52" s="1318"/>
      <c r="CC52" s="1318"/>
      <c r="CD52" s="1318"/>
      <c r="CE52" s="1318"/>
      <c r="CF52" s="1318"/>
      <c r="CG52" s="1318"/>
      <c r="CH52" s="1318"/>
      <c r="CI52" s="1318"/>
    </row>
    <row r="53" spans="1:87">
      <c r="A53" s="521" t="s">
        <v>4736</v>
      </c>
      <c r="B53" s="521"/>
      <c r="C53" s="521" t="s">
        <v>1304</v>
      </c>
      <c r="D53" s="908" t="s">
        <v>65</v>
      </c>
      <c r="E53" s="1276" t="s">
        <v>4668</v>
      </c>
      <c r="F53" s="293"/>
      <c r="G53" s="293"/>
      <c r="H53" s="293"/>
      <c r="I53" s="293"/>
      <c r="J53" s="293"/>
      <c r="K53" s="611">
        <f>'6-A. Proc. Sub-Annex'!K143</f>
        <v>0</v>
      </c>
      <c r="L53" s="611"/>
      <c r="M53" s="1309">
        <f>'6-A. Proc. Sub-Annex'!M143</f>
        <v>0</v>
      </c>
      <c r="N53" s="611"/>
      <c r="O53" s="3101">
        <f>'6-A. Proc. Sub-Annex'!O143</f>
        <v>0</v>
      </c>
      <c r="P53" s="145">
        <f>'6-A. Proc. Sub-Annex'!P143</f>
        <v>0</v>
      </c>
      <c r="Q53" s="1004">
        <f>'6-A. Proc. Sub-Annex'!Q143</f>
        <v>0</v>
      </c>
      <c r="R53" s="3101">
        <f>'6-A. Proc. Sub-Annex'!R143</f>
        <v>0</v>
      </c>
      <c r="BB53" s="1318"/>
      <c r="BC53" s="1318"/>
      <c r="BD53" s="1318"/>
      <c r="BE53" s="1318"/>
      <c r="BF53" s="1318"/>
      <c r="BG53" s="1318"/>
      <c r="BH53" s="1318"/>
      <c r="BI53" s="1318"/>
      <c r="BJ53" s="1318"/>
      <c r="BK53" s="1318"/>
      <c r="BL53" s="1318"/>
      <c r="BM53" s="1318"/>
      <c r="BN53" s="1318"/>
      <c r="BO53" s="1318"/>
      <c r="BP53" s="1318"/>
      <c r="BQ53" s="1318"/>
      <c r="BR53" s="1318"/>
      <c r="BS53" s="1318"/>
      <c r="BT53" s="1318"/>
      <c r="BU53" s="1318"/>
      <c r="BV53" s="1318"/>
      <c r="BW53" s="1318"/>
      <c r="BX53" s="1318"/>
      <c r="BY53" s="1318"/>
      <c r="BZ53" s="1318"/>
      <c r="CA53" s="1318"/>
      <c r="CB53" s="1318"/>
      <c r="CC53" s="1318"/>
      <c r="CD53" s="1318"/>
      <c r="CE53" s="1318"/>
      <c r="CF53" s="1318"/>
      <c r="CG53" s="1318"/>
      <c r="CH53" s="1318"/>
      <c r="CI53" s="1318"/>
    </row>
    <row r="54" spans="1:87" s="1281" customFormat="1">
      <c r="A54" s="1290">
        <v>6.2</v>
      </c>
      <c r="B54" s="1291" t="s">
        <v>1700</v>
      </c>
      <c r="C54" s="1290" t="s">
        <v>4725</v>
      </c>
      <c r="D54" s="930"/>
      <c r="E54" s="930"/>
      <c r="F54" s="93"/>
      <c r="G54" s="93"/>
      <c r="H54" s="93"/>
      <c r="I54" s="93"/>
      <c r="J54" s="93"/>
      <c r="K54" s="150"/>
      <c r="L54" s="150"/>
      <c r="M54" s="813"/>
      <c r="N54" s="150"/>
      <c r="O54" s="3099">
        <f>O55+O63+O71+O78</f>
        <v>9443.2325799999999</v>
      </c>
      <c r="P54" s="93"/>
      <c r="Q54" s="84"/>
      <c r="R54" s="3099">
        <f>R55+R63+R71+R78</f>
        <v>7672.1578240000008</v>
      </c>
      <c r="BB54" s="3155"/>
      <c r="BC54" s="3155"/>
      <c r="BD54" s="3155"/>
      <c r="BE54" s="3155"/>
      <c r="BF54" s="3155"/>
      <c r="BG54" s="3155"/>
      <c r="BH54" s="3155"/>
      <c r="BI54" s="3155"/>
      <c r="BJ54" s="3155"/>
      <c r="BK54" s="3155"/>
      <c r="BL54" s="3155"/>
      <c r="BM54" s="3155"/>
      <c r="BN54" s="3155"/>
      <c r="BO54" s="3155"/>
      <c r="BP54" s="3155"/>
      <c r="BQ54" s="3155"/>
      <c r="BR54" s="3155"/>
      <c r="BS54" s="3155"/>
      <c r="BT54" s="3155"/>
      <c r="BU54" s="3155"/>
      <c r="BV54" s="3155"/>
      <c r="BW54" s="3155"/>
      <c r="BX54" s="3155"/>
      <c r="BY54" s="3155"/>
      <c r="BZ54" s="3155"/>
      <c r="CA54" s="3155"/>
      <c r="CB54" s="3155"/>
      <c r="CC54" s="3155"/>
      <c r="CD54" s="3155"/>
      <c r="CE54" s="3155"/>
      <c r="CF54" s="3155"/>
      <c r="CG54" s="3155"/>
      <c r="CH54" s="3155"/>
      <c r="CI54" s="3155"/>
    </row>
    <row r="55" spans="1:87" s="1300" customFormat="1">
      <c r="A55" s="1292" t="s">
        <v>1702</v>
      </c>
      <c r="B55" s="1293"/>
      <c r="C55" s="1294" t="s">
        <v>4682</v>
      </c>
      <c r="D55" s="1295"/>
      <c r="E55" s="1295"/>
      <c r="F55" s="605"/>
      <c r="G55" s="605"/>
      <c r="H55" s="605"/>
      <c r="I55" s="605"/>
      <c r="J55" s="605"/>
      <c r="K55" s="610"/>
      <c r="L55" s="610"/>
      <c r="M55" s="1327"/>
      <c r="N55" s="610"/>
      <c r="O55" s="3100">
        <f>SUM(O56:O62)</f>
        <v>2383.65</v>
      </c>
      <c r="P55" s="606"/>
      <c r="Q55" s="1299"/>
      <c r="R55" s="3100">
        <f>SUM(R56:R62)</f>
        <v>743.79782399999999</v>
      </c>
      <c r="BB55" s="1319"/>
      <c r="BC55" s="1319"/>
      <c r="BD55" s="1319"/>
      <c r="BE55" s="1319"/>
      <c r="BF55" s="1319"/>
      <c r="BG55" s="1319"/>
      <c r="BH55" s="1319"/>
      <c r="BI55" s="1319"/>
      <c r="BJ55" s="1319"/>
      <c r="BK55" s="1319"/>
      <c r="BL55" s="1319"/>
      <c r="BM55" s="1319"/>
      <c r="BN55" s="1319"/>
      <c r="BO55" s="1319"/>
      <c r="BP55" s="1319"/>
      <c r="BQ55" s="1319"/>
      <c r="BR55" s="1319"/>
      <c r="BS55" s="1319"/>
      <c r="BT55" s="1319"/>
      <c r="BU55" s="1319"/>
      <c r="BV55" s="1319"/>
      <c r="BW55" s="1319"/>
      <c r="BX55" s="1319"/>
      <c r="BY55" s="1319"/>
      <c r="BZ55" s="1319"/>
      <c r="CA55" s="1319"/>
      <c r="CB55" s="1319"/>
      <c r="CC55" s="1319"/>
      <c r="CD55" s="1319"/>
      <c r="CE55" s="1319"/>
      <c r="CF55" s="1319"/>
      <c r="CG55" s="1319"/>
      <c r="CH55" s="1319"/>
      <c r="CI55" s="1319"/>
    </row>
    <row r="56" spans="1:87">
      <c r="A56" s="1310" t="s">
        <v>1705</v>
      </c>
      <c r="B56" s="521"/>
      <c r="C56" s="521" t="s">
        <v>1704</v>
      </c>
      <c r="D56" s="1301" t="s">
        <v>85</v>
      </c>
      <c r="E56" s="1170" t="s">
        <v>113</v>
      </c>
      <c r="F56" s="293"/>
      <c r="G56" s="293"/>
      <c r="H56" s="293"/>
      <c r="I56" s="293"/>
      <c r="J56" s="293"/>
      <c r="K56" s="612"/>
      <c r="L56" s="294"/>
      <c r="M56" s="1326"/>
      <c r="N56" s="294"/>
      <c r="O56" s="2995">
        <f>'6-A. Proc. Sub-Annex'!O146</f>
        <v>2113</v>
      </c>
      <c r="P56" s="157"/>
      <c r="Q56" s="1176"/>
      <c r="R56" s="2995">
        <f>'6-A. Proc. Sub-Annex'!R146</f>
        <v>475</v>
      </c>
      <c r="BB56" s="1318"/>
      <c r="BC56" s="1318"/>
      <c r="BD56" s="1318"/>
      <c r="BE56" s="1318"/>
      <c r="BF56" s="1318"/>
      <c r="BG56" s="1318"/>
      <c r="BH56" s="1318"/>
      <c r="BI56" s="1318"/>
      <c r="BJ56" s="1318"/>
      <c r="BK56" s="1318"/>
      <c r="BL56" s="1318"/>
      <c r="BM56" s="1318"/>
      <c r="BN56" s="1318"/>
      <c r="BO56" s="1318"/>
      <c r="BP56" s="1318"/>
      <c r="BQ56" s="1318"/>
      <c r="BR56" s="1318"/>
      <c r="BS56" s="1318"/>
      <c r="BT56" s="1318"/>
      <c r="BU56" s="1318"/>
      <c r="BV56" s="1318"/>
      <c r="BW56" s="1318"/>
      <c r="BX56" s="1318"/>
      <c r="BY56" s="1318"/>
      <c r="BZ56" s="1318"/>
      <c r="CA56" s="1318"/>
      <c r="CB56" s="1318"/>
      <c r="CC56" s="1318"/>
      <c r="CD56" s="1318"/>
      <c r="CE56" s="1318"/>
      <c r="CF56" s="1318"/>
      <c r="CG56" s="1318"/>
      <c r="CH56" s="1318"/>
      <c r="CI56" s="1318"/>
    </row>
    <row r="57" spans="1:87">
      <c r="A57" s="1310" t="s">
        <v>1708</v>
      </c>
      <c r="B57" s="521"/>
      <c r="C57" s="521" t="s">
        <v>1735</v>
      </c>
      <c r="D57" s="1301" t="s">
        <v>85</v>
      </c>
      <c r="E57" s="1170" t="s">
        <v>126</v>
      </c>
      <c r="F57" s="293"/>
      <c r="G57" s="293"/>
      <c r="H57" s="293"/>
      <c r="I57" s="293"/>
      <c r="J57" s="293"/>
      <c r="K57" s="612"/>
      <c r="L57" s="294"/>
      <c r="M57" s="1326"/>
      <c r="N57" s="294"/>
      <c r="O57" s="2995">
        <f>'6-A. Proc. Sub-Annex'!O160</f>
        <v>150</v>
      </c>
      <c r="P57" s="157"/>
      <c r="Q57" s="1176"/>
      <c r="R57" s="2995">
        <f>'6-A. Proc. Sub-Annex'!R160</f>
        <v>150</v>
      </c>
      <c r="BB57" s="1318"/>
      <c r="BC57" s="1318"/>
      <c r="BD57" s="1318"/>
      <c r="BE57" s="1318"/>
      <c r="BF57" s="1318"/>
      <c r="BG57" s="1318"/>
      <c r="BH57" s="1318"/>
      <c r="BI57" s="1318"/>
      <c r="BJ57" s="1318"/>
      <c r="BK57" s="1318"/>
      <c r="BL57" s="1318"/>
      <c r="BM57" s="1318"/>
      <c r="BN57" s="1318"/>
      <c r="BO57" s="1318"/>
      <c r="BP57" s="1318"/>
      <c r="BQ57" s="1318"/>
      <c r="BR57" s="1318"/>
      <c r="BS57" s="1318"/>
      <c r="BT57" s="1318"/>
      <c r="BU57" s="1318"/>
      <c r="BV57" s="1318"/>
      <c r="BW57" s="1318"/>
      <c r="BX57" s="1318"/>
      <c r="BY57" s="1318"/>
      <c r="BZ57" s="1318"/>
      <c r="CA57" s="1318"/>
      <c r="CB57" s="1318"/>
      <c r="CC57" s="1318"/>
      <c r="CD57" s="1318"/>
      <c r="CE57" s="1318"/>
      <c r="CF57" s="1318"/>
      <c r="CG57" s="1318"/>
      <c r="CH57" s="1318"/>
      <c r="CI57" s="1318"/>
    </row>
    <row r="58" spans="1:87">
      <c r="A58" s="1310" t="s">
        <v>1710</v>
      </c>
      <c r="B58" s="521"/>
      <c r="C58" s="521" t="s">
        <v>1764</v>
      </c>
      <c r="D58" s="1301" t="s">
        <v>85</v>
      </c>
      <c r="E58" s="1170" t="s">
        <v>86</v>
      </c>
      <c r="F58" s="293"/>
      <c r="G58" s="293"/>
      <c r="H58" s="293"/>
      <c r="I58" s="293"/>
      <c r="J58" s="293"/>
      <c r="K58" s="612"/>
      <c r="L58" s="294"/>
      <c r="M58" s="1326"/>
      <c r="N58" s="294"/>
      <c r="O58" s="2995">
        <f>'6-A. Proc. Sub-Annex'!O173</f>
        <v>0</v>
      </c>
      <c r="P58" s="157"/>
      <c r="Q58" s="1176"/>
      <c r="R58" s="2995">
        <f>'6-A. Proc. Sub-Annex'!R173</f>
        <v>0</v>
      </c>
      <c r="BB58" s="1318"/>
      <c r="BC58" s="1318"/>
      <c r="BD58" s="1318"/>
      <c r="BE58" s="1318"/>
      <c r="BF58" s="1318"/>
      <c r="BG58" s="1318"/>
      <c r="BH58" s="1318"/>
      <c r="BI58" s="1318"/>
      <c r="BJ58" s="1318"/>
      <c r="BK58" s="1318"/>
      <c r="BL58" s="1318"/>
      <c r="BM58" s="1318"/>
      <c r="BN58" s="1318"/>
      <c r="BO58" s="1318"/>
      <c r="BP58" s="1318"/>
      <c r="BQ58" s="1318"/>
      <c r="BR58" s="1318"/>
      <c r="BS58" s="1318"/>
      <c r="BT58" s="1318"/>
      <c r="BU58" s="1318"/>
      <c r="BV58" s="1318"/>
      <c r="BW58" s="1318"/>
      <c r="BX58" s="1318"/>
      <c r="BY58" s="1318"/>
      <c r="BZ58" s="1318"/>
      <c r="CA58" s="1318"/>
      <c r="CB58" s="1318"/>
      <c r="CC58" s="1318"/>
      <c r="CD58" s="1318"/>
      <c r="CE58" s="1318"/>
      <c r="CF58" s="1318"/>
      <c r="CG58" s="1318"/>
      <c r="CH58" s="1318"/>
      <c r="CI58" s="1318"/>
    </row>
    <row r="59" spans="1:87">
      <c r="A59" s="1310" t="s">
        <v>1713</v>
      </c>
      <c r="B59" s="521"/>
      <c r="C59" s="521" t="s">
        <v>1768</v>
      </c>
      <c r="D59" s="1301" t="s">
        <v>85</v>
      </c>
      <c r="E59" s="1170" t="s">
        <v>188</v>
      </c>
      <c r="F59" s="293"/>
      <c r="G59" s="293"/>
      <c r="H59" s="293"/>
      <c r="I59" s="293"/>
      <c r="J59" s="293"/>
      <c r="K59" s="612"/>
      <c r="L59" s="294"/>
      <c r="M59" s="1326"/>
      <c r="N59" s="294"/>
      <c r="O59" s="2995">
        <f>'6-A. Proc. Sub-Annex'!O176</f>
        <v>100</v>
      </c>
      <c r="P59" s="157"/>
      <c r="Q59" s="1176"/>
      <c r="R59" s="2995">
        <f>'6-A. Proc. Sub-Annex'!R176</f>
        <v>99.447823999999997</v>
      </c>
      <c r="BB59" s="1318"/>
      <c r="BC59" s="1318"/>
      <c r="BD59" s="1318"/>
      <c r="BE59" s="1318"/>
      <c r="BF59" s="1318"/>
      <c r="BG59" s="1318"/>
      <c r="BH59" s="1318"/>
      <c r="BI59" s="1318"/>
      <c r="BJ59" s="1318"/>
      <c r="BK59" s="1318"/>
      <c r="BL59" s="1318"/>
      <c r="BM59" s="1318"/>
      <c r="BN59" s="1318"/>
      <c r="BO59" s="1318"/>
      <c r="BP59" s="1318"/>
      <c r="BQ59" s="1318"/>
      <c r="BR59" s="1318"/>
      <c r="BS59" s="1318"/>
      <c r="BT59" s="1318"/>
      <c r="BU59" s="1318"/>
      <c r="BV59" s="1318"/>
      <c r="BW59" s="1318"/>
      <c r="BX59" s="1318"/>
      <c r="BY59" s="1318"/>
      <c r="BZ59" s="1318"/>
      <c r="CA59" s="1318"/>
      <c r="CB59" s="1318"/>
      <c r="CC59" s="1318"/>
      <c r="CD59" s="1318"/>
      <c r="CE59" s="1318"/>
      <c r="CF59" s="1318"/>
      <c r="CG59" s="1318"/>
      <c r="CH59" s="1318"/>
      <c r="CI59" s="1318"/>
    </row>
    <row r="60" spans="1:87">
      <c r="A60" s="1310" t="s">
        <v>1716</v>
      </c>
      <c r="B60" s="521"/>
      <c r="C60" s="521" t="s">
        <v>1778</v>
      </c>
      <c r="D60" s="1301" t="s">
        <v>85</v>
      </c>
      <c r="E60" s="1170" t="s">
        <v>91</v>
      </c>
      <c r="F60" s="353"/>
      <c r="G60" s="353"/>
      <c r="H60" s="353"/>
      <c r="I60" s="353"/>
      <c r="J60" s="353"/>
      <c r="K60" s="604"/>
      <c r="L60" s="283"/>
      <c r="M60" s="801"/>
      <c r="N60" s="283"/>
      <c r="O60" s="3102">
        <f>'6-A. Proc. Sub-Annex'!O181</f>
        <v>0</v>
      </c>
      <c r="P60" s="344"/>
      <c r="Q60" s="1311"/>
      <c r="R60" s="3102">
        <f>'6-A. Proc. Sub-Annex'!R181</f>
        <v>0</v>
      </c>
      <c r="BB60" s="1318"/>
      <c r="BC60" s="1318"/>
      <c r="BD60" s="1318"/>
      <c r="BE60" s="1318"/>
      <c r="BF60" s="1318"/>
      <c r="BG60" s="1318"/>
      <c r="BH60" s="1318"/>
      <c r="BI60" s="1318"/>
      <c r="BJ60" s="1318"/>
      <c r="BK60" s="1318"/>
      <c r="BL60" s="1318"/>
      <c r="BM60" s="1318"/>
      <c r="BN60" s="1318"/>
      <c r="BO60" s="1318"/>
      <c r="BP60" s="1318"/>
      <c r="BQ60" s="1318"/>
      <c r="BR60" s="1318"/>
      <c r="BS60" s="1318"/>
      <c r="BT60" s="1318"/>
      <c r="BU60" s="1318"/>
      <c r="BV60" s="1318"/>
      <c r="BW60" s="1318"/>
      <c r="BX60" s="1318"/>
      <c r="BY60" s="1318"/>
      <c r="BZ60" s="1318"/>
      <c r="CA60" s="1318"/>
      <c r="CB60" s="1318"/>
      <c r="CC60" s="1318"/>
      <c r="CD60" s="1318"/>
      <c r="CE60" s="1318"/>
      <c r="CF60" s="1318"/>
      <c r="CG60" s="1318"/>
      <c r="CH60" s="1318"/>
      <c r="CI60" s="1318"/>
    </row>
    <row r="61" spans="1:87">
      <c r="A61" s="1310" t="s">
        <v>1719</v>
      </c>
      <c r="B61" s="521"/>
      <c r="C61" s="521" t="s">
        <v>4724</v>
      </c>
      <c r="D61" s="1301" t="s">
        <v>85</v>
      </c>
      <c r="E61" s="1170" t="s">
        <v>200</v>
      </c>
      <c r="F61" s="353"/>
      <c r="G61" s="353"/>
      <c r="H61" s="353"/>
      <c r="I61" s="353"/>
      <c r="J61" s="353"/>
      <c r="K61" s="604"/>
      <c r="L61" s="283"/>
      <c r="M61" s="801"/>
      <c r="N61" s="283"/>
      <c r="O61" s="3102">
        <f>'6-A. Proc. Sub-Annex'!O184</f>
        <v>0</v>
      </c>
      <c r="P61" s="344"/>
      <c r="Q61" s="1311"/>
      <c r="R61" s="3102">
        <f>'6-A. Proc. Sub-Annex'!R184</f>
        <v>0</v>
      </c>
      <c r="BB61" s="1318"/>
      <c r="BC61" s="1318"/>
      <c r="BD61" s="1318"/>
      <c r="BE61" s="1318"/>
      <c r="BF61" s="1318"/>
      <c r="BG61" s="1318"/>
      <c r="BH61" s="1318"/>
      <c r="BI61" s="1318"/>
      <c r="BJ61" s="1318"/>
      <c r="BK61" s="1318"/>
      <c r="BL61" s="1318"/>
      <c r="BM61" s="1318"/>
      <c r="BN61" s="1318"/>
      <c r="BO61" s="1318"/>
      <c r="BP61" s="1318"/>
      <c r="BQ61" s="1318"/>
      <c r="BR61" s="1318"/>
      <c r="BS61" s="1318"/>
      <c r="BT61" s="1318"/>
      <c r="BU61" s="1318"/>
      <c r="BV61" s="1318"/>
      <c r="BW61" s="1318"/>
      <c r="BX61" s="1318"/>
      <c r="BY61" s="1318"/>
      <c r="BZ61" s="1318"/>
      <c r="CA61" s="1318"/>
      <c r="CB61" s="1318"/>
      <c r="CC61" s="1318"/>
      <c r="CD61" s="1318"/>
      <c r="CE61" s="1318"/>
      <c r="CF61" s="1318"/>
      <c r="CG61" s="1318"/>
      <c r="CH61" s="1318"/>
      <c r="CI61" s="1318"/>
    </row>
    <row r="62" spans="1:87">
      <c r="A62" s="1310" t="s">
        <v>1722</v>
      </c>
      <c r="B62" s="521"/>
      <c r="C62" s="521" t="s">
        <v>1820</v>
      </c>
      <c r="D62" s="1301" t="s">
        <v>85</v>
      </c>
      <c r="E62" s="1170" t="s">
        <v>203</v>
      </c>
      <c r="F62" s="353"/>
      <c r="G62" s="353"/>
      <c r="H62" s="353"/>
      <c r="I62" s="353"/>
      <c r="J62" s="353"/>
      <c r="K62" s="604"/>
      <c r="L62" s="283"/>
      <c r="M62" s="801"/>
      <c r="N62" s="283"/>
      <c r="O62" s="3102">
        <f>'6-A. Proc. Sub-Annex'!O187</f>
        <v>20.65</v>
      </c>
      <c r="P62" s="344"/>
      <c r="Q62" s="1311"/>
      <c r="R62" s="3102">
        <f>'6-A. Proc. Sub-Annex'!R187</f>
        <v>19.350000000000001</v>
      </c>
      <c r="BB62" s="1318"/>
      <c r="BC62" s="1318"/>
      <c r="BD62" s="1318"/>
      <c r="BE62" s="1318"/>
      <c r="BF62" s="1318"/>
      <c r="BG62" s="1318"/>
      <c r="BH62" s="1318"/>
      <c r="BI62" s="1318"/>
      <c r="BJ62" s="1318"/>
      <c r="BK62" s="1318"/>
      <c r="BL62" s="1318"/>
      <c r="BM62" s="1318"/>
      <c r="BN62" s="1318"/>
      <c r="BO62" s="1318"/>
      <c r="BP62" s="1318"/>
      <c r="BQ62" s="1318"/>
      <c r="BR62" s="1318"/>
      <c r="BS62" s="1318"/>
      <c r="BT62" s="1318"/>
      <c r="BU62" s="1318"/>
      <c r="BV62" s="1318"/>
      <c r="BW62" s="1318"/>
      <c r="BX62" s="1318"/>
      <c r="BY62" s="1318"/>
      <c r="BZ62" s="1318"/>
      <c r="CA62" s="1318"/>
      <c r="CB62" s="1318"/>
      <c r="CC62" s="1318"/>
      <c r="CD62" s="1318"/>
      <c r="CE62" s="1318"/>
      <c r="CF62" s="1318"/>
      <c r="CG62" s="1318"/>
      <c r="CH62" s="1318"/>
      <c r="CI62" s="1318"/>
    </row>
    <row r="63" spans="1:87" s="1300" customFormat="1">
      <c r="A63" s="1292" t="s">
        <v>1733</v>
      </c>
      <c r="B63" s="1293"/>
      <c r="C63" s="1294" t="s">
        <v>4704</v>
      </c>
      <c r="D63" s="1295"/>
      <c r="E63" s="1295"/>
      <c r="F63" s="605"/>
      <c r="G63" s="605"/>
      <c r="H63" s="605"/>
      <c r="I63" s="605"/>
      <c r="J63" s="605"/>
      <c r="K63" s="610"/>
      <c r="L63" s="610"/>
      <c r="M63" s="1327"/>
      <c r="N63" s="610"/>
      <c r="O63" s="3100">
        <f>SUM(O64:O70)</f>
        <v>6572.82</v>
      </c>
      <c r="P63" s="606"/>
      <c r="Q63" s="1299"/>
      <c r="R63" s="3100">
        <f>SUM(R64:R70)</f>
        <v>6523</v>
      </c>
      <c r="BB63" s="1319"/>
      <c r="BC63" s="1319"/>
      <c r="BD63" s="1319"/>
      <c r="BE63" s="1319"/>
      <c r="BF63" s="1319"/>
      <c r="BG63" s="1319"/>
      <c r="BH63" s="1319"/>
      <c r="BI63" s="1319"/>
      <c r="BJ63" s="1319"/>
      <c r="BK63" s="1319"/>
      <c r="BL63" s="1319"/>
      <c r="BM63" s="1319"/>
      <c r="BN63" s="1319"/>
      <c r="BO63" s="1319"/>
      <c r="BP63" s="1319"/>
      <c r="BQ63" s="1319"/>
      <c r="BR63" s="1319"/>
      <c r="BS63" s="1319"/>
      <c r="BT63" s="1319"/>
      <c r="BU63" s="1319"/>
      <c r="BV63" s="1319"/>
      <c r="BW63" s="1319"/>
      <c r="BX63" s="1319"/>
      <c r="BY63" s="1319"/>
      <c r="BZ63" s="1319"/>
      <c r="CA63" s="1319"/>
      <c r="CB63" s="1319"/>
      <c r="CC63" s="1319"/>
      <c r="CD63" s="1319"/>
      <c r="CE63" s="1319"/>
      <c r="CF63" s="1319"/>
      <c r="CG63" s="1319"/>
      <c r="CH63" s="1319"/>
      <c r="CI63" s="1319"/>
    </row>
    <row r="64" spans="1:87">
      <c r="A64" s="1310" t="s">
        <v>1736</v>
      </c>
      <c r="B64" s="521"/>
      <c r="C64" s="521" t="s">
        <v>1784</v>
      </c>
      <c r="D64" s="908" t="s">
        <v>65</v>
      </c>
      <c r="E64" s="1170" t="s">
        <v>4723</v>
      </c>
      <c r="F64" s="293"/>
      <c r="G64" s="293"/>
      <c r="H64" s="293"/>
      <c r="I64" s="293"/>
      <c r="J64" s="293"/>
      <c r="K64" s="612"/>
      <c r="L64" s="294"/>
      <c r="M64" s="1326"/>
      <c r="N64" s="294"/>
      <c r="O64" s="2995">
        <f>'6-A. Proc. Sub-Annex'!O191</f>
        <v>62.82</v>
      </c>
      <c r="P64" s="157"/>
      <c r="Q64" s="1176"/>
      <c r="R64" s="2995">
        <f>'6-A. Proc. Sub-Annex'!R191</f>
        <v>23</v>
      </c>
      <c r="BB64" s="1318"/>
      <c r="BC64" s="1318"/>
      <c r="BD64" s="1318"/>
      <c r="BE64" s="1318"/>
      <c r="BF64" s="1318"/>
      <c r="BG64" s="1318"/>
      <c r="BH64" s="1318"/>
      <c r="BI64" s="1318"/>
      <c r="BJ64" s="1318"/>
      <c r="BK64" s="1318"/>
      <c r="BL64" s="1318"/>
      <c r="BM64" s="1318"/>
      <c r="BN64" s="1318"/>
      <c r="BO64" s="1318"/>
      <c r="BP64" s="1318"/>
      <c r="BQ64" s="1318"/>
      <c r="BR64" s="1318"/>
      <c r="BS64" s="1318"/>
      <c r="BT64" s="1318"/>
      <c r="BU64" s="1318"/>
      <c r="BV64" s="1318"/>
      <c r="BW64" s="1318"/>
      <c r="BX64" s="1318"/>
      <c r="BY64" s="1318"/>
      <c r="BZ64" s="1318"/>
      <c r="CA64" s="1318"/>
      <c r="CB64" s="1318"/>
      <c r="CC64" s="1318"/>
      <c r="CD64" s="1318"/>
      <c r="CE64" s="1318"/>
      <c r="CF64" s="1318"/>
      <c r="CG64" s="1318"/>
      <c r="CH64" s="1318"/>
      <c r="CI64" s="1318"/>
    </row>
    <row r="65" spans="1:87">
      <c r="A65" s="1310" t="s">
        <v>1738</v>
      </c>
      <c r="B65" s="521"/>
      <c r="C65" s="521" t="s">
        <v>2481</v>
      </c>
      <c r="D65" s="908" t="s">
        <v>65</v>
      </c>
      <c r="E65" s="1170" t="s">
        <v>3213</v>
      </c>
      <c r="F65" s="293"/>
      <c r="G65" s="293"/>
      <c r="H65" s="293"/>
      <c r="I65" s="293"/>
      <c r="J65" s="293"/>
      <c r="K65" s="612"/>
      <c r="L65" s="294"/>
      <c r="M65" s="1326"/>
      <c r="N65" s="294"/>
      <c r="O65" s="2995">
        <f>'6-A. Proc. Sub-Annex'!O197</f>
        <v>0</v>
      </c>
      <c r="P65" s="157"/>
      <c r="Q65" s="1176"/>
      <c r="R65" s="2995">
        <f>'6-A. Proc. Sub-Annex'!R197</f>
        <v>0</v>
      </c>
      <c r="BB65" s="1318"/>
      <c r="BC65" s="1318"/>
      <c r="BD65" s="1318"/>
      <c r="BE65" s="1318"/>
      <c r="BF65" s="1318"/>
      <c r="BG65" s="1318"/>
      <c r="BH65" s="1318"/>
      <c r="BI65" s="1318"/>
      <c r="BJ65" s="1318"/>
      <c r="BK65" s="1318"/>
      <c r="BL65" s="1318"/>
      <c r="BM65" s="1318"/>
      <c r="BN65" s="1318"/>
      <c r="BO65" s="1318"/>
      <c r="BP65" s="1318"/>
      <c r="BQ65" s="1318"/>
      <c r="BR65" s="1318"/>
      <c r="BS65" s="1318"/>
      <c r="BT65" s="1318"/>
      <c r="BU65" s="1318"/>
      <c r="BV65" s="1318"/>
      <c r="BW65" s="1318"/>
      <c r="BX65" s="1318"/>
      <c r="BY65" s="1318"/>
      <c r="BZ65" s="1318"/>
      <c r="CA65" s="1318"/>
      <c r="CB65" s="1318"/>
      <c r="CC65" s="1318"/>
      <c r="CD65" s="1318"/>
      <c r="CE65" s="1318"/>
      <c r="CF65" s="1318"/>
      <c r="CG65" s="1318"/>
      <c r="CH65" s="1318"/>
      <c r="CI65" s="1318"/>
    </row>
    <row r="66" spans="1:87">
      <c r="A66" s="1310" t="s">
        <v>1741</v>
      </c>
      <c r="B66" s="521"/>
      <c r="C66" s="521" t="s">
        <v>1801</v>
      </c>
      <c r="D66" s="908" t="s">
        <v>65</v>
      </c>
      <c r="E66" s="1170" t="s">
        <v>65</v>
      </c>
      <c r="F66" s="293"/>
      <c r="G66" s="293"/>
      <c r="H66" s="293"/>
      <c r="I66" s="293"/>
      <c r="J66" s="293"/>
      <c r="K66" s="612"/>
      <c r="L66" s="294"/>
      <c r="M66" s="1326"/>
      <c r="N66" s="294"/>
      <c r="O66" s="2995">
        <f>'6-A. Proc. Sub-Annex'!O200</f>
        <v>0</v>
      </c>
      <c r="P66" s="157"/>
      <c r="Q66" s="1176"/>
      <c r="R66" s="2995">
        <f>'6-A. Proc. Sub-Annex'!R200</f>
        <v>0</v>
      </c>
      <c r="BB66" s="1318"/>
      <c r="BC66" s="1318"/>
      <c r="BD66" s="1318"/>
      <c r="BE66" s="1318"/>
      <c r="BF66" s="1318"/>
      <c r="BG66" s="1318"/>
      <c r="BH66" s="1318"/>
      <c r="BI66" s="1318"/>
      <c r="BJ66" s="1318"/>
      <c r="BK66" s="1318"/>
      <c r="BL66" s="1318"/>
      <c r="BM66" s="1318"/>
      <c r="BN66" s="1318"/>
      <c r="BO66" s="1318"/>
      <c r="BP66" s="1318"/>
      <c r="BQ66" s="1318"/>
      <c r="BR66" s="1318"/>
      <c r="BS66" s="1318"/>
      <c r="BT66" s="1318"/>
      <c r="BU66" s="1318"/>
      <c r="BV66" s="1318"/>
      <c r="BW66" s="1318"/>
      <c r="BX66" s="1318"/>
      <c r="BY66" s="1318"/>
      <c r="BZ66" s="1318"/>
      <c r="CA66" s="1318"/>
      <c r="CB66" s="1318"/>
      <c r="CC66" s="1318"/>
      <c r="CD66" s="1318"/>
      <c r="CE66" s="1318"/>
      <c r="CF66" s="1318"/>
      <c r="CG66" s="1318"/>
      <c r="CH66" s="1318"/>
      <c r="CI66" s="1318"/>
    </row>
    <row r="67" spans="1:87">
      <c r="A67" s="1310" t="s">
        <v>1744</v>
      </c>
      <c r="B67" s="521" t="s">
        <v>1810</v>
      </c>
      <c r="C67" s="521" t="s">
        <v>1811</v>
      </c>
      <c r="D67" s="908" t="s">
        <v>65</v>
      </c>
      <c r="E67" s="1170" t="s">
        <v>65</v>
      </c>
      <c r="F67" s="293"/>
      <c r="G67" s="293"/>
      <c r="H67" s="293"/>
      <c r="I67" s="293"/>
      <c r="J67" s="293"/>
      <c r="K67" s="612"/>
      <c r="L67" s="294"/>
      <c r="M67" s="1326"/>
      <c r="N67" s="294"/>
      <c r="O67" s="2995">
        <f>'6-A. Proc. Sub-Annex'!O202</f>
        <v>0</v>
      </c>
      <c r="P67" s="157"/>
      <c r="Q67" s="1176"/>
      <c r="R67" s="2995">
        <f>'6-A. Proc. Sub-Annex'!R202</f>
        <v>0</v>
      </c>
      <c r="BB67" s="1318"/>
      <c r="BC67" s="1318"/>
      <c r="BD67" s="1318"/>
      <c r="BE67" s="1318"/>
      <c r="BF67" s="1318"/>
      <c r="BG67" s="1318"/>
      <c r="BH67" s="1318"/>
      <c r="BI67" s="1318"/>
      <c r="BJ67" s="1318"/>
      <c r="BK67" s="1318"/>
      <c r="BL67" s="1318"/>
      <c r="BM67" s="1318"/>
      <c r="BN67" s="1318"/>
      <c r="BO67" s="1318"/>
      <c r="BP67" s="1318"/>
      <c r="BQ67" s="1318"/>
      <c r="BR67" s="1318"/>
      <c r="BS67" s="1318"/>
      <c r="BT67" s="1318"/>
      <c r="BU67" s="1318"/>
      <c r="BV67" s="1318"/>
      <c r="BW67" s="1318"/>
      <c r="BX67" s="1318"/>
      <c r="BY67" s="1318"/>
      <c r="BZ67" s="1318"/>
      <c r="CA67" s="1318"/>
      <c r="CB67" s="1318"/>
      <c r="CC67" s="1318"/>
      <c r="CD67" s="1318"/>
      <c r="CE67" s="1318"/>
      <c r="CF67" s="1318"/>
      <c r="CG67" s="1318"/>
      <c r="CH67" s="1318"/>
      <c r="CI67" s="1318"/>
    </row>
    <row r="68" spans="1:87">
      <c r="A68" s="1310" t="s">
        <v>1747</v>
      </c>
      <c r="B68" s="521" t="s">
        <v>1920</v>
      </c>
      <c r="C68" s="521" t="s">
        <v>1921</v>
      </c>
      <c r="D68" s="908" t="s">
        <v>65</v>
      </c>
      <c r="E68" s="1170" t="s">
        <v>65</v>
      </c>
      <c r="F68" s="293"/>
      <c r="G68" s="293"/>
      <c r="H68" s="293"/>
      <c r="I68" s="293"/>
      <c r="J68" s="293"/>
      <c r="K68" s="612"/>
      <c r="L68" s="294"/>
      <c r="M68" s="1326"/>
      <c r="N68" s="294"/>
      <c r="O68" s="2995">
        <f>'6-A. Proc. Sub-Annex'!O205</f>
        <v>6500</v>
      </c>
      <c r="P68" s="157"/>
      <c r="Q68" s="1176"/>
      <c r="R68" s="2995">
        <f>'6-A. Proc. Sub-Annex'!R205</f>
        <v>6500</v>
      </c>
      <c r="BB68" s="1318"/>
      <c r="BC68" s="1318"/>
      <c r="BD68" s="1318"/>
      <c r="BE68" s="1318"/>
      <c r="BF68" s="1318"/>
      <c r="BG68" s="1318"/>
      <c r="BH68" s="1318"/>
      <c r="BI68" s="1318"/>
      <c r="BJ68" s="1318"/>
      <c r="BK68" s="1318"/>
      <c r="BL68" s="1318"/>
      <c r="BM68" s="1318"/>
      <c r="BN68" s="1318"/>
      <c r="BO68" s="1318"/>
      <c r="BP68" s="1318"/>
      <c r="BQ68" s="1318"/>
      <c r="BR68" s="1318"/>
      <c r="BS68" s="1318"/>
      <c r="BT68" s="1318"/>
      <c r="BU68" s="1318"/>
      <c r="BV68" s="1318"/>
      <c r="BW68" s="1318"/>
      <c r="BX68" s="1318"/>
      <c r="BY68" s="1318"/>
      <c r="BZ68" s="1318"/>
      <c r="CA68" s="1318"/>
      <c r="CB68" s="1318"/>
      <c r="CC68" s="1318"/>
      <c r="CD68" s="1318"/>
      <c r="CE68" s="1318"/>
      <c r="CF68" s="1318"/>
      <c r="CG68" s="1318"/>
      <c r="CH68" s="1318"/>
      <c r="CI68" s="1318"/>
    </row>
    <row r="69" spans="1:87">
      <c r="A69" s="1310" t="s">
        <v>1749</v>
      </c>
      <c r="B69" s="521" t="s">
        <v>2031</v>
      </c>
      <c r="C69" s="521" t="s">
        <v>2482</v>
      </c>
      <c r="D69" s="908" t="s">
        <v>65</v>
      </c>
      <c r="E69" s="1170" t="s">
        <v>4218</v>
      </c>
      <c r="F69" s="293"/>
      <c r="G69" s="293"/>
      <c r="H69" s="293"/>
      <c r="I69" s="293"/>
      <c r="J69" s="293"/>
      <c r="K69" s="612"/>
      <c r="L69" s="294"/>
      <c r="M69" s="1326"/>
      <c r="N69" s="294"/>
      <c r="O69" s="2995">
        <f>'6-A. Proc. Sub-Annex'!O208</f>
        <v>0</v>
      </c>
      <c r="P69" s="157"/>
      <c r="Q69" s="1176"/>
      <c r="R69" s="2995">
        <f>'6-A. Proc. Sub-Annex'!R208</f>
        <v>0</v>
      </c>
      <c r="BB69" s="1318"/>
      <c r="BC69" s="1318"/>
      <c r="BD69" s="1318"/>
      <c r="BE69" s="1318"/>
      <c r="BF69" s="1318"/>
      <c r="BG69" s="1318"/>
      <c r="BH69" s="1318"/>
      <c r="BI69" s="1318"/>
      <c r="BJ69" s="1318"/>
      <c r="BK69" s="1318"/>
      <c r="BL69" s="1318"/>
      <c r="BM69" s="1318"/>
      <c r="BN69" s="1318"/>
      <c r="BO69" s="1318"/>
      <c r="BP69" s="1318"/>
      <c r="BQ69" s="1318"/>
      <c r="BR69" s="1318"/>
      <c r="BS69" s="1318"/>
      <c r="BT69" s="1318"/>
      <c r="BU69" s="1318"/>
      <c r="BV69" s="1318"/>
      <c r="BW69" s="1318"/>
      <c r="BX69" s="1318"/>
      <c r="BY69" s="1318"/>
      <c r="BZ69" s="1318"/>
      <c r="CA69" s="1318"/>
      <c r="CB69" s="1318"/>
      <c r="CC69" s="1318"/>
      <c r="CD69" s="1318"/>
      <c r="CE69" s="1318"/>
      <c r="CF69" s="1318"/>
      <c r="CG69" s="1318"/>
      <c r="CH69" s="1318"/>
      <c r="CI69" s="1318"/>
    </row>
    <row r="70" spans="1:87">
      <c r="A70" s="1310" t="s">
        <v>1751</v>
      </c>
      <c r="B70" s="521"/>
      <c r="C70" s="521" t="s">
        <v>4347</v>
      </c>
      <c r="D70" s="908" t="s">
        <v>65</v>
      </c>
      <c r="E70" s="1170" t="s">
        <v>65</v>
      </c>
      <c r="F70" s="293"/>
      <c r="G70" s="293"/>
      <c r="H70" s="293"/>
      <c r="I70" s="293"/>
      <c r="J70" s="293"/>
      <c r="K70" s="612"/>
      <c r="L70" s="294"/>
      <c r="M70" s="1326"/>
      <c r="N70" s="294"/>
      <c r="O70" s="2995">
        <f>'6-A. Proc. Sub-Annex'!O211</f>
        <v>10</v>
      </c>
      <c r="P70" s="157"/>
      <c r="Q70" s="1176"/>
      <c r="R70" s="2995">
        <f>'6-A. Proc. Sub-Annex'!R211</f>
        <v>0</v>
      </c>
      <c r="BB70" s="1318"/>
      <c r="BC70" s="1318"/>
      <c r="BD70" s="1318"/>
      <c r="BE70" s="1318"/>
      <c r="BF70" s="1318"/>
      <c r="BG70" s="1318"/>
      <c r="BH70" s="1318"/>
      <c r="BI70" s="1318"/>
      <c r="BJ70" s="1318"/>
      <c r="BK70" s="1318"/>
      <c r="BL70" s="1318"/>
      <c r="BM70" s="1318"/>
      <c r="BN70" s="1318"/>
      <c r="BO70" s="1318"/>
      <c r="BP70" s="1318"/>
      <c r="BQ70" s="1318"/>
      <c r="BR70" s="1318"/>
      <c r="BS70" s="1318"/>
      <c r="BT70" s="1318"/>
      <c r="BU70" s="1318"/>
      <c r="BV70" s="1318"/>
      <c r="BW70" s="1318"/>
      <c r="BX70" s="1318"/>
      <c r="BY70" s="1318"/>
      <c r="BZ70" s="1318"/>
      <c r="CA70" s="1318"/>
      <c r="CB70" s="1318"/>
      <c r="CC70" s="1318"/>
      <c r="CD70" s="1318"/>
      <c r="CE70" s="1318"/>
      <c r="CF70" s="1318"/>
      <c r="CG70" s="1318"/>
      <c r="CH70" s="1318"/>
      <c r="CI70" s="1318"/>
    </row>
    <row r="71" spans="1:87" s="1300" customFormat="1">
      <c r="A71" s="1292" t="s">
        <v>1762</v>
      </c>
      <c r="B71" s="1293"/>
      <c r="C71" s="1294" t="s">
        <v>4707</v>
      </c>
      <c r="D71" s="1295"/>
      <c r="E71" s="1295"/>
      <c r="F71" s="605"/>
      <c r="G71" s="605"/>
      <c r="H71" s="605"/>
      <c r="I71" s="605"/>
      <c r="J71" s="605"/>
      <c r="K71" s="610"/>
      <c r="L71" s="610"/>
      <c r="M71" s="1327"/>
      <c r="N71" s="610"/>
      <c r="O71" s="3100">
        <f>SUM(O72:O77)</f>
        <v>213.59314000000001</v>
      </c>
      <c r="P71" s="606"/>
      <c r="Q71" s="1299"/>
      <c r="R71" s="3100">
        <f>SUM(R72:R77)</f>
        <v>158.59</v>
      </c>
      <c r="BB71" s="1319"/>
      <c r="BC71" s="1319"/>
      <c r="BD71" s="1319"/>
      <c r="BE71" s="1319"/>
      <c r="BF71" s="1319"/>
      <c r="BG71" s="1319"/>
      <c r="BH71" s="1319"/>
      <c r="BI71" s="1319"/>
      <c r="BJ71" s="1319"/>
      <c r="BK71" s="1319"/>
      <c r="BL71" s="1319"/>
      <c r="BM71" s="1319"/>
      <c r="BN71" s="1319"/>
      <c r="BO71" s="1319"/>
      <c r="BP71" s="1319"/>
      <c r="BQ71" s="1319"/>
      <c r="BR71" s="1319"/>
      <c r="BS71" s="1319"/>
      <c r="BT71" s="1319"/>
      <c r="BU71" s="1319"/>
      <c r="BV71" s="1319"/>
      <c r="BW71" s="1319"/>
      <c r="BX71" s="1319"/>
      <c r="BY71" s="1319"/>
      <c r="BZ71" s="1319"/>
      <c r="CA71" s="1319"/>
      <c r="CB71" s="1319"/>
      <c r="CC71" s="1319"/>
      <c r="CD71" s="1319"/>
      <c r="CE71" s="1319"/>
      <c r="CF71" s="1319"/>
      <c r="CG71" s="1319"/>
      <c r="CH71" s="1319"/>
      <c r="CI71" s="1319"/>
    </row>
    <row r="72" spans="1:87">
      <c r="A72" s="1310" t="s">
        <v>1765</v>
      </c>
      <c r="B72" s="521"/>
      <c r="C72" s="521" t="s">
        <v>1825</v>
      </c>
      <c r="D72" s="1007" t="s">
        <v>4219</v>
      </c>
      <c r="E72" s="1276" t="s">
        <v>109</v>
      </c>
      <c r="F72" s="293"/>
      <c r="G72" s="293"/>
      <c r="H72" s="293"/>
      <c r="I72" s="293"/>
      <c r="J72" s="293"/>
      <c r="K72" s="612"/>
      <c r="L72" s="294"/>
      <c r="M72" s="1326"/>
      <c r="N72" s="294"/>
      <c r="O72" s="2995">
        <f>'6-A. Proc. Sub-Annex'!O214</f>
        <v>4.41</v>
      </c>
      <c r="P72" s="157"/>
      <c r="Q72" s="1176"/>
      <c r="R72" s="2995">
        <f>'6-A. Proc. Sub-Annex'!R214</f>
        <v>4.41</v>
      </c>
      <c r="BB72" s="1318"/>
      <c r="BC72" s="1318"/>
      <c r="BD72" s="1318"/>
      <c r="BE72" s="1318"/>
      <c r="BF72" s="1318"/>
      <c r="BG72" s="1318"/>
      <c r="BH72" s="1318"/>
      <c r="BI72" s="1318"/>
      <c r="BJ72" s="1318"/>
      <c r="BK72" s="1318"/>
      <c r="BL72" s="1318"/>
      <c r="BM72" s="1318"/>
      <c r="BN72" s="1318"/>
      <c r="BO72" s="1318"/>
      <c r="BP72" s="1318"/>
      <c r="BQ72" s="1318"/>
      <c r="BR72" s="1318"/>
      <c r="BS72" s="1318"/>
      <c r="BT72" s="1318"/>
      <c r="BU72" s="1318"/>
      <c r="BV72" s="1318"/>
      <c r="BW72" s="1318"/>
      <c r="BX72" s="1318"/>
      <c r="BY72" s="1318"/>
      <c r="BZ72" s="1318"/>
      <c r="CA72" s="1318"/>
      <c r="CB72" s="1318"/>
      <c r="CC72" s="1318"/>
      <c r="CD72" s="1318"/>
      <c r="CE72" s="1318"/>
      <c r="CF72" s="1318"/>
      <c r="CG72" s="1318"/>
      <c r="CH72" s="1318"/>
      <c r="CI72" s="1318"/>
    </row>
    <row r="73" spans="1:87">
      <c r="A73" s="1310" t="s">
        <v>1766</v>
      </c>
      <c r="B73" s="521"/>
      <c r="C73" s="521" t="s">
        <v>1873</v>
      </c>
      <c r="D73" s="1007" t="s">
        <v>4219</v>
      </c>
      <c r="E73" s="1170" t="s">
        <v>141</v>
      </c>
      <c r="F73" s="293"/>
      <c r="G73" s="293"/>
      <c r="H73" s="293"/>
      <c r="I73" s="293"/>
      <c r="J73" s="293"/>
      <c r="K73" s="612"/>
      <c r="L73" s="294"/>
      <c r="M73" s="1326"/>
      <c r="N73" s="294"/>
      <c r="O73" s="2995">
        <f>'6-A. Proc. Sub-Annex'!O232</f>
        <v>0</v>
      </c>
      <c r="P73" s="157"/>
      <c r="Q73" s="1176"/>
      <c r="R73" s="2995">
        <f>'6-A. Proc. Sub-Annex'!R232</f>
        <v>0</v>
      </c>
      <c r="BB73" s="1318"/>
      <c r="BC73" s="1318"/>
      <c r="BD73" s="1318"/>
      <c r="BE73" s="1318"/>
      <c r="BF73" s="1318"/>
      <c r="BG73" s="1318"/>
      <c r="BH73" s="1318"/>
      <c r="BI73" s="1318"/>
      <c r="BJ73" s="1318"/>
      <c r="BK73" s="1318"/>
      <c r="BL73" s="1318"/>
      <c r="BM73" s="1318"/>
      <c r="BN73" s="1318"/>
      <c r="BO73" s="1318"/>
      <c r="BP73" s="1318"/>
      <c r="BQ73" s="1318"/>
      <c r="BR73" s="1318"/>
      <c r="BS73" s="1318"/>
      <c r="BT73" s="1318"/>
      <c r="BU73" s="1318"/>
      <c r="BV73" s="1318"/>
      <c r="BW73" s="1318"/>
      <c r="BX73" s="1318"/>
      <c r="BY73" s="1318"/>
      <c r="BZ73" s="1318"/>
      <c r="CA73" s="1318"/>
      <c r="CB73" s="1318"/>
      <c r="CC73" s="1318"/>
      <c r="CD73" s="1318"/>
      <c r="CE73" s="1318"/>
      <c r="CF73" s="1318"/>
      <c r="CG73" s="1318"/>
      <c r="CH73" s="1318"/>
      <c r="CI73" s="1318"/>
    </row>
    <row r="74" spans="1:87">
      <c r="A74" s="1310" t="s">
        <v>4737</v>
      </c>
      <c r="B74" s="521"/>
      <c r="C74" s="521" t="s">
        <v>4636</v>
      </c>
      <c r="D74" s="1007" t="s">
        <v>4219</v>
      </c>
      <c r="E74" s="1170" t="s">
        <v>4525</v>
      </c>
      <c r="F74" s="293"/>
      <c r="G74" s="293"/>
      <c r="H74" s="293"/>
      <c r="I74" s="293"/>
      <c r="J74" s="293"/>
      <c r="K74" s="612"/>
      <c r="L74" s="294"/>
      <c r="M74" s="1326"/>
      <c r="N74" s="294"/>
      <c r="O74" s="2995">
        <f>'6-A. Proc. Sub-Annex'!O235</f>
        <v>110.00314</v>
      </c>
      <c r="P74" s="157"/>
      <c r="Q74" s="1176"/>
      <c r="R74" s="2995">
        <f>'6-A. Proc. Sub-Annex'!R235</f>
        <v>110</v>
      </c>
      <c r="BB74" s="1318"/>
      <c r="BC74" s="1318"/>
      <c r="BD74" s="1318"/>
      <c r="BE74" s="1318"/>
      <c r="BF74" s="1318"/>
      <c r="BG74" s="1318"/>
      <c r="BH74" s="1318"/>
      <c r="BI74" s="1318"/>
      <c r="BJ74" s="1318"/>
      <c r="BK74" s="1318"/>
      <c r="BL74" s="1318"/>
      <c r="BM74" s="1318"/>
      <c r="BN74" s="1318"/>
      <c r="BO74" s="1318"/>
      <c r="BP74" s="1318"/>
      <c r="BQ74" s="1318"/>
      <c r="BR74" s="1318"/>
      <c r="BS74" s="1318"/>
      <c r="BT74" s="1318"/>
      <c r="BU74" s="1318"/>
      <c r="BV74" s="1318"/>
      <c r="BW74" s="1318"/>
      <c r="BX74" s="1318"/>
      <c r="BY74" s="1318"/>
      <c r="BZ74" s="1318"/>
      <c r="CA74" s="1318"/>
      <c r="CB74" s="1318"/>
      <c r="CC74" s="1318"/>
      <c r="CD74" s="1318"/>
      <c r="CE74" s="1318"/>
      <c r="CF74" s="1318"/>
      <c r="CG74" s="1318"/>
      <c r="CH74" s="1318"/>
      <c r="CI74" s="1318"/>
    </row>
    <row r="75" spans="1:87">
      <c r="A75" s="1310" t="s">
        <v>4738</v>
      </c>
      <c r="B75" s="521"/>
      <c r="C75" s="521" t="s">
        <v>3230</v>
      </c>
      <c r="D75" s="1007" t="s">
        <v>4219</v>
      </c>
      <c r="E75" s="1170" t="s">
        <v>3223</v>
      </c>
      <c r="F75" s="293"/>
      <c r="G75" s="293"/>
      <c r="H75" s="293"/>
      <c r="I75" s="293"/>
      <c r="J75" s="293"/>
      <c r="K75" s="612"/>
      <c r="L75" s="294"/>
      <c r="M75" s="1326"/>
      <c r="N75" s="294"/>
      <c r="O75" s="2995">
        <f>'6-A. Proc. Sub-Annex'!O239</f>
        <v>49.180000000000007</v>
      </c>
      <c r="P75" s="157"/>
      <c r="Q75" s="1176"/>
      <c r="R75" s="2995">
        <f>'6-A. Proc. Sub-Annex'!R239</f>
        <v>44.180000000000007</v>
      </c>
      <c r="BB75" s="1318"/>
      <c r="BC75" s="1318"/>
      <c r="BD75" s="1318"/>
      <c r="BE75" s="1318"/>
      <c r="BF75" s="1318"/>
      <c r="BG75" s="1318"/>
      <c r="BH75" s="1318"/>
      <c r="BI75" s="1318"/>
      <c r="BJ75" s="1318"/>
      <c r="BK75" s="1318"/>
      <c r="BL75" s="1318"/>
      <c r="BM75" s="1318"/>
      <c r="BN75" s="1318"/>
      <c r="BO75" s="1318"/>
      <c r="BP75" s="1318"/>
      <c r="BQ75" s="1318"/>
      <c r="BR75" s="1318"/>
      <c r="BS75" s="1318"/>
      <c r="BT75" s="1318"/>
      <c r="BU75" s="1318"/>
      <c r="BV75" s="1318"/>
      <c r="BW75" s="1318"/>
      <c r="BX75" s="1318"/>
      <c r="BY75" s="1318"/>
      <c r="BZ75" s="1318"/>
      <c r="CA75" s="1318"/>
      <c r="CB75" s="1318"/>
      <c r="CC75" s="1318"/>
      <c r="CD75" s="1318"/>
      <c r="CE75" s="1318"/>
      <c r="CF75" s="1318"/>
      <c r="CG75" s="1318"/>
      <c r="CH75" s="1318"/>
      <c r="CI75" s="1318"/>
    </row>
    <row r="76" spans="1:87">
      <c r="A76" s="1310" t="s">
        <v>4739</v>
      </c>
      <c r="B76" s="1312"/>
      <c r="C76" s="1312" t="s">
        <v>4683</v>
      </c>
      <c r="D76" s="1007" t="s">
        <v>4219</v>
      </c>
      <c r="E76" s="1304" t="s">
        <v>3855</v>
      </c>
      <c r="F76" s="353"/>
      <c r="G76" s="353"/>
      <c r="H76" s="353"/>
      <c r="I76" s="353"/>
      <c r="J76" s="343"/>
      <c r="K76" s="178"/>
      <c r="L76" s="283"/>
      <c r="M76" s="801"/>
      <c r="N76" s="283"/>
      <c r="O76" s="3102">
        <f>'6-A. Proc. Sub-Annex'!O244</f>
        <v>0</v>
      </c>
      <c r="P76" s="344"/>
      <c r="Q76" s="1311"/>
      <c r="R76" s="3102">
        <f>'6-A. Proc. Sub-Annex'!R244</f>
        <v>0</v>
      </c>
      <c r="BB76" s="1318"/>
      <c r="BC76" s="1318"/>
      <c r="BD76" s="1318"/>
      <c r="BE76" s="1318"/>
      <c r="BF76" s="1318"/>
      <c r="BG76" s="1318"/>
      <c r="BH76" s="1318"/>
      <c r="BI76" s="1318"/>
      <c r="BJ76" s="1318"/>
      <c r="BK76" s="1318"/>
      <c r="BL76" s="1318"/>
      <c r="BM76" s="1318"/>
      <c r="BN76" s="1318"/>
      <c r="BO76" s="1318"/>
      <c r="BP76" s="1318"/>
      <c r="BQ76" s="1318"/>
      <c r="BR76" s="1318"/>
      <c r="BS76" s="1318"/>
      <c r="BT76" s="1318"/>
      <c r="BU76" s="1318"/>
      <c r="BV76" s="1318"/>
      <c r="BW76" s="1318"/>
      <c r="BX76" s="1318"/>
      <c r="BY76" s="1318"/>
      <c r="BZ76" s="1318"/>
      <c r="CA76" s="1318"/>
      <c r="CB76" s="1318"/>
      <c r="CC76" s="1318"/>
      <c r="CD76" s="1318"/>
      <c r="CE76" s="1318"/>
      <c r="CF76" s="1318"/>
      <c r="CG76" s="1318"/>
      <c r="CH76" s="1318"/>
      <c r="CI76" s="1318"/>
    </row>
    <row r="77" spans="1:87">
      <c r="A77" s="1310" t="s">
        <v>4740</v>
      </c>
      <c r="B77" s="1312"/>
      <c r="C77" s="1312" t="s">
        <v>4684</v>
      </c>
      <c r="D77" s="1007" t="s">
        <v>4219</v>
      </c>
      <c r="E77" s="1304" t="s">
        <v>4405</v>
      </c>
      <c r="F77" s="353"/>
      <c r="G77" s="353"/>
      <c r="H77" s="353"/>
      <c r="I77" s="353"/>
      <c r="J77" s="343"/>
      <c r="K77" s="178"/>
      <c r="L77" s="283"/>
      <c r="M77" s="801"/>
      <c r="N77" s="283"/>
      <c r="O77" s="3102">
        <f>'6-A. Proc. Sub-Annex'!O246</f>
        <v>50</v>
      </c>
      <c r="P77" s="344"/>
      <c r="Q77" s="1311"/>
      <c r="R77" s="3102">
        <f>'6-A. Proc. Sub-Annex'!R246</f>
        <v>0</v>
      </c>
      <c r="BB77" s="1318"/>
      <c r="BC77" s="1318"/>
      <c r="BD77" s="1318"/>
      <c r="BE77" s="1318"/>
      <c r="BF77" s="1318"/>
      <c r="BG77" s="1318"/>
      <c r="BH77" s="1318"/>
      <c r="BI77" s="1318"/>
      <c r="BJ77" s="1318"/>
      <c r="BK77" s="1318"/>
      <c r="BL77" s="1318"/>
      <c r="BM77" s="1318"/>
      <c r="BN77" s="1318"/>
      <c r="BO77" s="1318"/>
      <c r="BP77" s="1318"/>
      <c r="BQ77" s="1318"/>
      <c r="BR77" s="1318"/>
      <c r="BS77" s="1318"/>
      <c r="BT77" s="1318"/>
      <c r="BU77" s="1318"/>
      <c r="BV77" s="1318"/>
      <c r="BW77" s="1318"/>
      <c r="BX77" s="1318"/>
      <c r="BY77" s="1318"/>
      <c r="BZ77" s="1318"/>
      <c r="CA77" s="1318"/>
      <c r="CB77" s="1318"/>
      <c r="CC77" s="1318"/>
      <c r="CD77" s="1318"/>
      <c r="CE77" s="1318"/>
      <c r="CF77" s="1318"/>
      <c r="CG77" s="1318"/>
      <c r="CH77" s="1318"/>
      <c r="CI77" s="1318"/>
    </row>
    <row r="78" spans="1:87" s="1300" customFormat="1">
      <c r="A78" s="1292" t="s">
        <v>1767</v>
      </c>
      <c r="B78" s="1293"/>
      <c r="C78" s="1294" t="s">
        <v>4708</v>
      </c>
      <c r="D78" s="1295"/>
      <c r="E78" s="1295"/>
      <c r="F78" s="605"/>
      <c r="G78" s="605"/>
      <c r="H78" s="605"/>
      <c r="I78" s="605"/>
      <c r="J78" s="605"/>
      <c r="K78" s="610"/>
      <c r="L78" s="610"/>
      <c r="M78" s="1327"/>
      <c r="N78" s="610"/>
      <c r="O78" s="3100">
        <f>SUM(O79:O85)</f>
        <v>273.16944000000001</v>
      </c>
      <c r="P78" s="606"/>
      <c r="Q78" s="1299"/>
      <c r="R78" s="3100">
        <f>SUM(R79:R85)</f>
        <v>246.77</v>
      </c>
      <c r="BB78" s="1319"/>
      <c r="BC78" s="1319"/>
      <c r="BD78" s="1319"/>
      <c r="BE78" s="1319"/>
      <c r="BF78" s="1319"/>
      <c r="BG78" s="1319"/>
      <c r="BH78" s="1319"/>
      <c r="BI78" s="1319"/>
      <c r="BJ78" s="1319"/>
      <c r="BK78" s="1319"/>
      <c r="BL78" s="1319"/>
      <c r="BM78" s="1319"/>
      <c r="BN78" s="1319"/>
      <c r="BO78" s="1319"/>
      <c r="BP78" s="1319"/>
      <c r="BQ78" s="1319"/>
      <c r="BR78" s="1319"/>
      <c r="BS78" s="1319"/>
      <c r="BT78" s="1319"/>
      <c r="BU78" s="1319"/>
      <c r="BV78" s="1319"/>
      <c r="BW78" s="1319"/>
      <c r="BX78" s="1319"/>
      <c r="BY78" s="1319"/>
      <c r="BZ78" s="1319"/>
      <c r="CA78" s="1319"/>
      <c r="CB78" s="1319"/>
      <c r="CC78" s="1319"/>
      <c r="CD78" s="1319"/>
      <c r="CE78" s="1319"/>
      <c r="CF78" s="1319"/>
      <c r="CG78" s="1319"/>
      <c r="CH78" s="1319"/>
      <c r="CI78" s="1319"/>
    </row>
    <row r="79" spans="1:87">
      <c r="A79" s="1310" t="s">
        <v>1769</v>
      </c>
      <c r="B79" s="521" t="s">
        <v>1885</v>
      </c>
      <c r="C79" s="521" t="s">
        <v>1886</v>
      </c>
      <c r="D79" s="1313" t="s">
        <v>80</v>
      </c>
      <c r="E79" s="1170" t="s">
        <v>81</v>
      </c>
      <c r="F79" s="293"/>
      <c r="G79" s="293"/>
      <c r="H79" s="293"/>
      <c r="I79" s="293"/>
      <c r="J79" s="293"/>
      <c r="K79" s="612"/>
      <c r="L79" s="294"/>
      <c r="M79" s="1326"/>
      <c r="N79" s="294"/>
      <c r="O79" s="2995">
        <f>'6-A. Proc. Sub-Annex'!O250</f>
        <v>30</v>
      </c>
      <c r="P79" s="157"/>
      <c r="Q79" s="1176"/>
      <c r="R79" s="2995">
        <f>'6-A. Proc. Sub-Annex'!R250</f>
        <v>30</v>
      </c>
      <c r="BB79" s="1318"/>
      <c r="BC79" s="1318"/>
      <c r="BD79" s="1318"/>
      <c r="BE79" s="1318"/>
      <c r="BF79" s="1318"/>
      <c r="BG79" s="1318"/>
      <c r="BH79" s="1318"/>
      <c r="BI79" s="1318"/>
      <c r="BJ79" s="1318"/>
      <c r="BK79" s="1318"/>
      <c r="BL79" s="1318"/>
      <c r="BM79" s="1318"/>
      <c r="BN79" s="1318"/>
      <c r="BO79" s="1318"/>
      <c r="BP79" s="1318"/>
      <c r="BQ79" s="1318"/>
      <c r="BR79" s="1318"/>
      <c r="BS79" s="1318"/>
      <c r="BT79" s="1318"/>
      <c r="BU79" s="1318"/>
      <c r="BV79" s="1318"/>
      <c r="BW79" s="1318"/>
      <c r="BX79" s="1318"/>
      <c r="BY79" s="1318"/>
      <c r="BZ79" s="1318"/>
      <c r="CA79" s="1318"/>
      <c r="CB79" s="1318"/>
      <c r="CC79" s="1318"/>
      <c r="CD79" s="1318"/>
      <c r="CE79" s="1318"/>
      <c r="CF79" s="1318"/>
      <c r="CG79" s="1318"/>
      <c r="CH79" s="1318"/>
      <c r="CI79" s="1318"/>
    </row>
    <row r="80" spans="1:87">
      <c r="A80" s="1310" t="s">
        <v>1771</v>
      </c>
      <c r="B80" s="521" t="s">
        <v>1891</v>
      </c>
      <c r="C80" s="521" t="s">
        <v>1892</v>
      </c>
      <c r="D80" s="1313" t="s">
        <v>80</v>
      </c>
      <c r="E80" s="1170" t="s">
        <v>145</v>
      </c>
      <c r="F80" s="293"/>
      <c r="G80" s="293"/>
      <c r="H80" s="293"/>
      <c r="I80" s="293"/>
      <c r="J80" s="293"/>
      <c r="K80" s="612"/>
      <c r="L80" s="294"/>
      <c r="M80" s="1326"/>
      <c r="N80" s="294"/>
      <c r="O80" s="2995">
        <f>'6-A. Proc. Sub-Annex'!O253</f>
        <v>25</v>
      </c>
      <c r="P80" s="157"/>
      <c r="Q80" s="1176"/>
      <c r="R80" s="2995">
        <f>'6-A. Proc. Sub-Annex'!R253</f>
        <v>25</v>
      </c>
      <c r="BB80" s="1318"/>
      <c r="BC80" s="1318"/>
      <c r="BD80" s="1318"/>
      <c r="BE80" s="1318"/>
      <c r="BF80" s="1318"/>
      <c r="BG80" s="1318"/>
      <c r="BH80" s="1318"/>
      <c r="BI80" s="1318"/>
      <c r="BJ80" s="1318"/>
      <c r="BK80" s="1318"/>
      <c r="BL80" s="1318"/>
      <c r="BM80" s="1318"/>
      <c r="BN80" s="1318"/>
      <c r="BO80" s="1318"/>
      <c r="BP80" s="1318"/>
      <c r="BQ80" s="1318"/>
      <c r="BR80" s="1318"/>
      <c r="BS80" s="1318"/>
      <c r="BT80" s="1318"/>
      <c r="BU80" s="1318"/>
      <c r="BV80" s="1318"/>
      <c r="BW80" s="1318"/>
      <c r="BX80" s="1318"/>
      <c r="BY80" s="1318"/>
      <c r="BZ80" s="1318"/>
      <c r="CA80" s="1318"/>
      <c r="CB80" s="1318"/>
      <c r="CC80" s="1318"/>
      <c r="CD80" s="1318"/>
      <c r="CE80" s="1318"/>
      <c r="CF80" s="1318"/>
      <c r="CG80" s="1318"/>
      <c r="CH80" s="1318"/>
      <c r="CI80" s="1318"/>
    </row>
    <row r="81" spans="1:87">
      <c r="A81" s="1310" t="s">
        <v>1773</v>
      </c>
      <c r="B81" s="1310" t="s">
        <v>1896</v>
      </c>
      <c r="C81" s="1310" t="s">
        <v>1897</v>
      </c>
      <c r="D81" s="1313" t="s">
        <v>80</v>
      </c>
      <c r="E81" s="1314" t="s">
        <v>394</v>
      </c>
      <c r="F81" s="603"/>
      <c r="G81" s="603"/>
      <c r="H81" s="603"/>
      <c r="I81" s="603"/>
      <c r="J81" s="603"/>
      <c r="K81" s="612"/>
      <c r="L81" s="612"/>
      <c r="M81" s="1328"/>
      <c r="N81" s="612"/>
      <c r="O81" s="2995">
        <f>'6-A. Proc. Sub-Annex'!O256</f>
        <v>26.400000000000002</v>
      </c>
      <c r="P81" s="603"/>
      <c r="Q81" s="1315"/>
      <c r="R81" s="2995">
        <f>'6-A. Proc. Sub-Annex'!R256</f>
        <v>0</v>
      </c>
      <c r="BB81" s="1318"/>
      <c r="BC81" s="1318"/>
      <c r="BD81" s="1318"/>
      <c r="BE81" s="1318"/>
      <c r="BF81" s="1318"/>
      <c r="BG81" s="1318"/>
      <c r="BH81" s="1318"/>
      <c r="BI81" s="1318"/>
      <c r="BJ81" s="1318"/>
      <c r="BK81" s="1318"/>
      <c r="BL81" s="1318"/>
      <c r="BM81" s="1318"/>
      <c r="BN81" s="1318"/>
      <c r="BO81" s="1318"/>
      <c r="BP81" s="1318"/>
      <c r="BQ81" s="1318"/>
      <c r="BR81" s="1318"/>
      <c r="BS81" s="1318"/>
      <c r="BT81" s="1318"/>
      <c r="BU81" s="1318"/>
      <c r="BV81" s="1318"/>
      <c r="BW81" s="1318"/>
      <c r="BX81" s="1318"/>
      <c r="BY81" s="1318"/>
      <c r="BZ81" s="1318"/>
      <c r="CA81" s="1318"/>
      <c r="CB81" s="1318"/>
      <c r="CC81" s="1318"/>
      <c r="CD81" s="1318"/>
      <c r="CE81" s="1318"/>
      <c r="CF81" s="1318"/>
      <c r="CG81" s="1318"/>
      <c r="CH81" s="1318"/>
      <c r="CI81" s="1318"/>
    </row>
    <row r="82" spans="1:87">
      <c r="A82" s="1310" t="s">
        <v>1776</v>
      </c>
      <c r="B82" s="586"/>
      <c r="C82" s="1316" t="s">
        <v>1901</v>
      </c>
      <c r="D82" s="1313" t="s">
        <v>80</v>
      </c>
      <c r="E82" s="1170" t="s">
        <v>147</v>
      </c>
      <c r="F82" s="157"/>
      <c r="G82" s="157"/>
      <c r="H82" s="157"/>
      <c r="I82" s="157"/>
      <c r="J82" s="157"/>
      <c r="K82" s="294"/>
      <c r="L82" s="294"/>
      <c r="M82" s="1326"/>
      <c r="N82" s="294"/>
      <c r="O82" s="2995">
        <f>'6-A. Proc. Sub-Annex'!O259</f>
        <v>0</v>
      </c>
      <c r="P82" s="157"/>
      <c r="Q82" s="1176"/>
      <c r="R82" s="2995">
        <f>'6-A. Proc. Sub-Annex'!R259</f>
        <v>0</v>
      </c>
      <c r="BB82" s="1318"/>
      <c r="BC82" s="1318"/>
      <c r="BD82" s="1318"/>
      <c r="BE82" s="1318"/>
      <c r="BF82" s="1318"/>
      <c r="BG82" s="1318"/>
      <c r="BH82" s="1318"/>
      <c r="BI82" s="1318"/>
      <c r="BJ82" s="1318"/>
      <c r="BK82" s="1318"/>
      <c r="BL82" s="1318"/>
      <c r="BM82" s="1318"/>
      <c r="BN82" s="1318"/>
      <c r="BO82" s="1318"/>
      <c r="BP82" s="1318"/>
      <c r="BQ82" s="1318"/>
      <c r="BR82" s="1318"/>
      <c r="BS82" s="1318"/>
      <c r="BT82" s="1318"/>
      <c r="BU82" s="1318"/>
      <c r="BV82" s="1318"/>
      <c r="BW82" s="1318"/>
      <c r="BX82" s="1318"/>
      <c r="BY82" s="1318"/>
      <c r="BZ82" s="1318"/>
      <c r="CA82" s="1318"/>
      <c r="CB82" s="1318"/>
      <c r="CC82" s="1318"/>
      <c r="CD82" s="1318"/>
      <c r="CE82" s="1318"/>
      <c r="CF82" s="1318"/>
      <c r="CG82" s="1318"/>
      <c r="CH82" s="1318"/>
      <c r="CI82" s="1318"/>
    </row>
    <row r="83" spans="1:87">
      <c r="A83" s="1310" t="s">
        <v>4741</v>
      </c>
      <c r="B83" s="586" t="s">
        <v>1907</v>
      </c>
      <c r="C83" s="586" t="s">
        <v>1908</v>
      </c>
      <c r="D83" s="1313" t="s">
        <v>80</v>
      </c>
      <c r="E83" s="1170" t="s">
        <v>410</v>
      </c>
      <c r="F83" s="157"/>
      <c r="G83" s="157"/>
      <c r="H83" s="157"/>
      <c r="I83" s="157"/>
      <c r="J83" s="157"/>
      <c r="K83" s="294"/>
      <c r="L83" s="294"/>
      <c r="M83" s="1326"/>
      <c r="N83" s="294"/>
      <c r="O83" s="2995">
        <f>'6-A. Proc. Sub-Annex'!O262</f>
        <v>144.27000000000001</v>
      </c>
      <c r="P83" s="157"/>
      <c r="Q83" s="1176"/>
      <c r="R83" s="2995">
        <f>'6-A. Proc. Sub-Annex'!R262</f>
        <v>144.27000000000001</v>
      </c>
      <c r="BB83" s="1318"/>
      <c r="BC83" s="1318"/>
      <c r="BD83" s="1318"/>
      <c r="BE83" s="1318"/>
      <c r="BF83" s="1318"/>
      <c r="BG83" s="1318"/>
      <c r="BH83" s="1318"/>
      <c r="BI83" s="1318"/>
      <c r="BJ83" s="1318"/>
      <c r="BK83" s="1318"/>
      <c r="BL83" s="1318"/>
      <c r="BM83" s="1318"/>
      <c r="BN83" s="1318"/>
      <c r="BO83" s="1318"/>
      <c r="BP83" s="1318"/>
      <c r="BQ83" s="1318"/>
      <c r="BR83" s="1318"/>
      <c r="BS83" s="1318"/>
      <c r="BT83" s="1318"/>
      <c r="BU83" s="1318"/>
      <c r="BV83" s="1318"/>
      <c r="BW83" s="1318"/>
      <c r="BX83" s="1318"/>
      <c r="BY83" s="1318"/>
      <c r="BZ83" s="1318"/>
      <c r="CA83" s="1318"/>
      <c r="CB83" s="1318"/>
      <c r="CC83" s="1318"/>
      <c r="CD83" s="1318"/>
      <c r="CE83" s="1318"/>
      <c r="CF83" s="1318"/>
      <c r="CG83" s="1318"/>
      <c r="CH83" s="1318"/>
      <c r="CI83" s="1318"/>
    </row>
    <row r="84" spans="1:87">
      <c r="A84" s="1310" t="s">
        <v>4742</v>
      </c>
      <c r="B84" s="586" t="s">
        <v>1332</v>
      </c>
      <c r="C84" s="586" t="s">
        <v>2301</v>
      </c>
      <c r="D84" s="1313" t="s">
        <v>80</v>
      </c>
      <c r="E84" s="1170" t="s">
        <v>4668</v>
      </c>
      <c r="F84" s="157"/>
      <c r="G84" s="157"/>
      <c r="H84" s="157"/>
      <c r="I84" s="157"/>
      <c r="J84" s="157"/>
      <c r="K84" s="294"/>
      <c r="L84" s="294"/>
      <c r="M84" s="1326"/>
      <c r="N84" s="294"/>
      <c r="O84" s="2995">
        <f>'6-A. Proc. Sub-Annex'!O271</f>
        <v>0</v>
      </c>
      <c r="P84" s="157"/>
      <c r="Q84" s="1176"/>
      <c r="R84" s="2995">
        <f>'6-A. Proc. Sub-Annex'!R271</f>
        <v>0</v>
      </c>
      <c r="BB84" s="1318"/>
      <c r="BC84" s="1318"/>
      <c r="BD84" s="1318"/>
      <c r="BE84" s="1318"/>
      <c r="BF84" s="1318"/>
      <c r="BG84" s="1318"/>
      <c r="BH84" s="1318"/>
      <c r="BI84" s="1318"/>
      <c r="BJ84" s="1318"/>
      <c r="BK84" s="1318"/>
      <c r="BL84" s="1318"/>
      <c r="BM84" s="1318"/>
      <c r="BN84" s="1318"/>
      <c r="BO84" s="1318"/>
      <c r="BP84" s="1318"/>
      <c r="BQ84" s="1318"/>
      <c r="BR84" s="1318"/>
      <c r="BS84" s="1318"/>
      <c r="BT84" s="1318"/>
      <c r="BU84" s="1318"/>
      <c r="BV84" s="1318"/>
      <c r="BW84" s="1318"/>
      <c r="BX84" s="1318"/>
      <c r="BY84" s="1318"/>
      <c r="BZ84" s="1318"/>
      <c r="CA84" s="1318"/>
      <c r="CB84" s="1318"/>
      <c r="CC84" s="1318"/>
      <c r="CD84" s="1318"/>
      <c r="CE84" s="1318"/>
      <c r="CF84" s="1318"/>
      <c r="CG84" s="1318"/>
      <c r="CH84" s="1318"/>
      <c r="CI84" s="1318"/>
    </row>
    <row r="85" spans="1:87">
      <c r="A85" s="1310" t="s">
        <v>4743</v>
      </c>
      <c r="B85" s="586"/>
      <c r="C85" s="586" t="s">
        <v>1815</v>
      </c>
      <c r="D85" s="1313" t="s">
        <v>80</v>
      </c>
      <c r="E85" s="1170" t="s">
        <v>307</v>
      </c>
      <c r="F85" s="157"/>
      <c r="G85" s="157"/>
      <c r="H85" s="157"/>
      <c r="I85" s="157"/>
      <c r="J85" s="157"/>
      <c r="K85" s="294"/>
      <c r="L85" s="294"/>
      <c r="M85" s="1326"/>
      <c r="N85" s="294"/>
      <c r="O85" s="2995">
        <f>'6-A. Proc. Sub-Annex'!O274</f>
        <v>47.49944</v>
      </c>
      <c r="P85" s="157"/>
      <c r="Q85" s="1176"/>
      <c r="R85" s="2995">
        <f>'6-A. Proc. Sub-Annex'!R274</f>
        <v>47.5</v>
      </c>
      <c r="BB85" s="1318"/>
      <c r="BC85" s="1318"/>
      <c r="BD85" s="1318"/>
      <c r="BE85" s="1318"/>
      <c r="BF85" s="1318"/>
      <c r="BG85" s="1318"/>
      <c r="BH85" s="1318"/>
      <c r="BI85" s="1318"/>
      <c r="BJ85" s="1318"/>
      <c r="BK85" s="1318"/>
      <c r="BL85" s="1318"/>
      <c r="BM85" s="1318"/>
      <c r="BN85" s="1318"/>
      <c r="BO85" s="1318"/>
      <c r="BP85" s="1318"/>
      <c r="BQ85" s="1318"/>
      <c r="BR85" s="1318"/>
      <c r="BS85" s="1318"/>
      <c r="BT85" s="1318"/>
      <c r="BU85" s="1318"/>
      <c r="BV85" s="1318"/>
      <c r="BW85" s="1318"/>
      <c r="BX85" s="1318"/>
      <c r="BY85" s="1318"/>
      <c r="BZ85" s="1318"/>
      <c r="CA85" s="1318"/>
      <c r="CB85" s="1318"/>
      <c r="CC85" s="1318"/>
      <c r="CD85" s="1318"/>
      <c r="CE85" s="1318"/>
      <c r="CF85" s="1318"/>
      <c r="CG85" s="1318"/>
      <c r="CH85" s="1318"/>
      <c r="CI85" s="1318"/>
    </row>
    <row r="86" spans="1:87" s="1281" customFormat="1">
      <c r="A86" s="1290">
        <v>6.3</v>
      </c>
      <c r="B86" s="1291"/>
      <c r="C86" s="1290" t="s">
        <v>4672</v>
      </c>
      <c r="D86" s="930"/>
      <c r="E86" s="930"/>
      <c r="F86" s="93"/>
      <c r="G86" s="93"/>
      <c r="H86" s="93"/>
      <c r="I86" s="93"/>
      <c r="J86" s="93"/>
      <c r="K86" s="150"/>
      <c r="L86" s="150"/>
      <c r="M86" s="813"/>
      <c r="N86" s="150"/>
      <c r="O86" s="3099">
        <f>O87</f>
        <v>15.45</v>
      </c>
      <c r="P86" s="93"/>
      <c r="Q86" s="84"/>
      <c r="R86" s="3099">
        <f>R87</f>
        <v>15.45</v>
      </c>
      <c r="BB86" s="3155"/>
      <c r="BC86" s="3155"/>
      <c r="BD86" s="3155"/>
      <c r="BE86" s="3155"/>
      <c r="BF86" s="3155"/>
      <c r="BG86" s="3155"/>
      <c r="BH86" s="3155"/>
      <c r="BI86" s="3155"/>
      <c r="BJ86" s="3155"/>
      <c r="BK86" s="3155"/>
      <c r="BL86" s="3155"/>
      <c r="BM86" s="3155"/>
      <c r="BN86" s="3155"/>
      <c r="BO86" s="3155"/>
      <c r="BP86" s="3155"/>
      <c r="BQ86" s="3155"/>
      <c r="BR86" s="3155"/>
      <c r="BS86" s="3155"/>
      <c r="BT86" s="3155"/>
      <c r="BU86" s="3155"/>
      <c r="BV86" s="3155"/>
      <c r="BW86" s="3155"/>
      <c r="BX86" s="3155"/>
      <c r="BY86" s="3155"/>
      <c r="BZ86" s="3155"/>
      <c r="CA86" s="3155"/>
      <c r="CB86" s="3155"/>
      <c r="CC86" s="3155"/>
      <c r="CD86" s="3155"/>
      <c r="CE86" s="3155"/>
      <c r="CF86" s="3155"/>
      <c r="CG86" s="3155"/>
      <c r="CH86" s="3155"/>
      <c r="CI86" s="3155"/>
    </row>
    <row r="87" spans="1:87">
      <c r="A87" s="1317" t="s">
        <v>1927</v>
      </c>
      <c r="B87" s="1317"/>
      <c r="C87" s="1318" t="s">
        <v>38</v>
      </c>
      <c r="D87" s="1007" t="s">
        <v>4219</v>
      </c>
      <c r="E87" s="1170" t="s">
        <v>4525</v>
      </c>
      <c r="F87" s="351"/>
      <c r="G87" s="351"/>
      <c r="H87" s="351"/>
      <c r="I87" s="351"/>
      <c r="J87" s="351"/>
      <c r="K87" s="1329"/>
      <c r="L87" s="1329"/>
      <c r="M87" s="1330"/>
      <c r="N87" s="1329"/>
      <c r="O87" s="3010">
        <f>'6-A. Proc. Sub-Annex'!O277</f>
        <v>15.45</v>
      </c>
      <c r="P87" s="1331"/>
      <c r="Q87" s="1321"/>
      <c r="R87" s="3010">
        <f>'6-A. Proc. Sub-Annex'!R277</f>
        <v>15.45</v>
      </c>
      <c r="BB87" s="1318"/>
      <c r="BC87" s="1318"/>
      <c r="BD87" s="1318"/>
      <c r="BE87" s="1318"/>
      <c r="BF87" s="1318"/>
      <c r="BG87" s="1318"/>
      <c r="BH87" s="1318"/>
      <c r="BI87" s="1318"/>
      <c r="BJ87" s="1318"/>
      <c r="BK87" s="1318"/>
      <c r="BL87" s="1318"/>
      <c r="BM87" s="1318"/>
      <c r="BN87" s="1318"/>
      <c r="BO87" s="1318"/>
      <c r="BP87" s="1318"/>
      <c r="BQ87" s="1318"/>
      <c r="BR87" s="1318"/>
      <c r="BS87" s="1318"/>
      <c r="BT87" s="1318"/>
      <c r="BU87" s="1318"/>
      <c r="BV87" s="1318"/>
      <c r="BW87" s="1318"/>
      <c r="BX87" s="1318"/>
      <c r="BY87" s="1318"/>
      <c r="BZ87" s="1318"/>
      <c r="CA87" s="1318"/>
      <c r="CB87" s="1318"/>
      <c r="CC87" s="1318"/>
      <c r="CD87" s="1318"/>
      <c r="CE87" s="1318"/>
      <c r="CF87" s="1318"/>
      <c r="CG87" s="1318"/>
      <c r="CH87" s="1318"/>
      <c r="CI87" s="1318"/>
    </row>
    <row r="88" spans="1:87">
      <c r="BB88" s="1318"/>
      <c r="BC88" s="1318"/>
      <c r="BD88" s="1318"/>
      <c r="BE88" s="1318"/>
      <c r="BF88" s="1318"/>
      <c r="BG88" s="1318"/>
      <c r="BH88" s="1318"/>
      <c r="BI88" s="1318"/>
      <c r="BJ88" s="1318"/>
      <c r="BK88" s="1318"/>
      <c r="BL88" s="1318"/>
      <c r="BM88" s="1318"/>
      <c r="BN88" s="1318"/>
      <c r="BO88" s="1318"/>
      <c r="BP88" s="1318"/>
      <c r="BQ88" s="1318"/>
      <c r="BR88" s="1318"/>
      <c r="BS88" s="1318"/>
      <c r="BT88" s="1318"/>
      <c r="BU88" s="1318"/>
      <c r="BV88" s="1318"/>
      <c r="BW88" s="1318"/>
      <c r="BX88" s="1318"/>
      <c r="BY88" s="1318"/>
      <c r="BZ88" s="1318"/>
      <c r="CA88" s="1318"/>
      <c r="CB88" s="1318"/>
      <c r="CC88" s="1318"/>
      <c r="CD88" s="1318"/>
      <c r="CE88" s="1318"/>
      <c r="CF88" s="1318"/>
      <c r="CG88" s="1318"/>
      <c r="CH88" s="1318"/>
      <c r="CI88" s="1318"/>
    </row>
    <row r="89" spans="1:87">
      <c r="BB89" s="1318"/>
      <c r="BC89" s="1318"/>
      <c r="BD89" s="1318"/>
      <c r="BE89" s="1318"/>
      <c r="BF89" s="1318"/>
      <c r="BG89" s="1318"/>
      <c r="BH89" s="1318"/>
      <c r="BI89" s="1318"/>
      <c r="BJ89" s="1318"/>
      <c r="BK89" s="1318"/>
      <c r="BL89" s="1318"/>
      <c r="BM89" s="1318"/>
      <c r="BN89" s="1318"/>
      <c r="BO89" s="1318"/>
      <c r="BP89" s="1318"/>
      <c r="BQ89" s="1318"/>
      <c r="BR89" s="1318"/>
      <c r="BS89" s="1318"/>
      <c r="BT89" s="1318"/>
      <c r="BU89" s="1318"/>
      <c r="BV89" s="1318"/>
      <c r="BW89" s="1318"/>
      <c r="BX89" s="1318"/>
      <c r="BY89" s="1318"/>
      <c r="BZ89" s="1318"/>
      <c r="CA89" s="1318"/>
      <c r="CB89" s="1318"/>
      <c r="CC89" s="1318"/>
      <c r="CD89" s="1318"/>
      <c r="CE89" s="1318"/>
      <c r="CF89" s="1318"/>
      <c r="CG89" s="1318"/>
      <c r="CH89" s="1318"/>
      <c r="CI89" s="1318"/>
    </row>
  </sheetData>
  <sheetProtection password="CC49" sheet="1" objects="1" scenarios="1" autoFilter="0"/>
  <autoFilter ref="A6:BA87"/>
  <mergeCells count="15">
    <mergeCell ref="K5:P5"/>
    <mergeCell ref="Q5:R5"/>
    <mergeCell ref="A5:A6"/>
    <mergeCell ref="B5:B6"/>
    <mergeCell ref="C5:C6"/>
    <mergeCell ref="D5:D6"/>
    <mergeCell ref="E5:E6"/>
    <mergeCell ref="F5:J5"/>
    <mergeCell ref="AP1:BA1"/>
    <mergeCell ref="A2:A4"/>
    <mergeCell ref="A1:C1"/>
    <mergeCell ref="E1:E2"/>
    <mergeCell ref="F1:N1"/>
    <mergeCell ref="O1:AH1"/>
    <mergeCell ref="AI1:AO1"/>
  </mergeCells>
  <phoneticPr fontId="68" type="noConversion"/>
  <pageMargins left="0.7" right="0.7" top="0.75" bottom="0.75" header="0.3" footer="0.3"/>
</worksheet>
</file>

<file path=xl/worksheets/sheet9.xml><?xml version="1.0" encoding="utf-8"?>
<worksheet xmlns="http://schemas.openxmlformats.org/spreadsheetml/2006/main" xmlns:r="http://schemas.openxmlformats.org/officeDocument/2006/relationships">
  <sheetPr codeName="Sheet41">
    <tabColor rgb="FF00B050"/>
  </sheetPr>
  <dimension ref="A1:CI300"/>
  <sheetViews>
    <sheetView zoomScale="78" zoomScaleNormal="78" workbookViewId="0">
      <pane xSplit="5" ySplit="4" topLeftCell="O135" activePane="bottomRight" state="frozen"/>
      <selection activeCell="A2" sqref="A2:A4"/>
      <selection pane="topRight" activeCell="A2" sqref="A2:A4"/>
      <selection pane="bottomLeft" activeCell="A2" sqref="A2:A4"/>
      <selection pane="bottomRight" activeCell="Q139" sqref="Q139"/>
    </sheetView>
  </sheetViews>
  <sheetFormatPr defaultColWidth="66.85546875" defaultRowHeight="15"/>
  <cols>
    <col min="1" max="1" width="19.140625" style="1303" bestFit="1" customWidth="1"/>
    <col min="2" max="2" width="19.5703125" style="1302" bestFit="1" customWidth="1"/>
    <col min="3" max="3" width="27" style="1303" customWidth="1"/>
    <col min="4" max="4" width="6.28515625" style="1322" bestFit="1" customWidth="1"/>
    <col min="5" max="5" width="19.5703125" style="1323" hidden="1" customWidth="1"/>
    <col min="6" max="6" width="29.42578125" style="1300" hidden="1" customWidth="1"/>
    <col min="7" max="7" width="40.28515625" style="1300" hidden="1" customWidth="1"/>
    <col min="8" max="8" width="21" style="1300" hidden="1" customWidth="1"/>
    <col min="9" max="9" width="31.28515625" style="1300" hidden="1" customWidth="1"/>
    <col min="10" max="10" width="47" style="1300" hidden="1" customWidth="1"/>
    <col min="11" max="11" width="21.42578125" style="1303" hidden="1" customWidth="1"/>
    <col min="12" max="12" width="15" style="1303" hidden="1" customWidth="1"/>
    <col min="13" max="13" width="16.5703125" style="1376" hidden="1" customWidth="1"/>
    <col min="14" max="14" width="22" style="1303" hidden="1" customWidth="1"/>
    <col min="15" max="15" width="16.5703125" style="1376" bestFit="1" customWidth="1"/>
    <col min="16" max="16" width="49.140625" style="1325" customWidth="1"/>
    <col min="17" max="17" width="44.85546875" style="2862" customWidth="1"/>
    <col min="18" max="18" width="22.7109375" style="2757" bestFit="1" customWidth="1"/>
    <col min="19" max="19" width="17" style="1303" hidden="1" customWidth="1"/>
    <col min="20" max="20" width="25.5703125" style="1303" hidden="1" customWidth="1"/>
    <col min="21" max="52" width="0" style="1303" hidden="1" customWidth="1"/>
    <col min="53" max="53" width="10.5703125" style="1303" hidden="1" customWidth="1"/>
    <col min="54" max="54" width="12" style="1303" bestFit="1" customWidth="1"/>
    <col min="55" max="55" width="17" style="1303" customWidth="1"/>
    <col min="56" max="56" width="18.42578125" style="1303" customWidth="1"/>
    <col min="57" max="57" width="11.42578125" style="1303" bestFit="1" customWidth="1"/>
    <col min="58" max="58" width="9.28515625" style="1303" bestFit="1" customWidth="1"/>
    <col min="59" max="59" width="10" style="1303" bestFit="1" customWidth="1"/>
    <col min="60" max="60" width="7.28515625" style="1303" bestFit="1" customWidth="1"/>
    <col min="61" max="61" width="8.5703125" style="1303" bestFit="1" customWidth="1"/>
    <col min="62" max="62" width="7.85546875" style="1303" bestFit="1" customWidth="1"/>
    <col min="63" max="63" width="8.28515625" style="1303" bestFit="1" customWidth="1"/>
    <col min="64" max="64" width="10.140625" style="1303" bestFit="1" customWidth="1"/>
    <col min="65" max="65" width="7.42578125" style="1303" bestFit="1" customWidth="1"/>
    <col min="66" max="66" width="6.140625" style="1303" bestFit="1" customWidth="1"/>
    <col min="67" max="67" width="9.42578125" style="1303" bestFit="1" customWidth="1"/>
    <col min="68" max="68" width="18.42578125" style="1303" bestFit="1" customWidth="1"/>
    <col min="69" max="69" width="22" style="1303" bestFit="1" customWidth="1"/>
    <col min="70" max="70" width="25" style="1303" bestFit="1" customWidth="1"/>
    <col min="71" max="71" width="24.5703125" style="1303" bestFit="1" customWidth="1"/>
    <col min="72" max="72" width="19.42578125" style="1303" bestFit="1" customWidth="1"/>
    <col min="73" max="73" width="8.5703125" style="1303" bestFit="1" customWidth="1"/>
    <col min="74" max="74" width="12" style="1303" bestFit="1" customWidth="1"/>
    <col min="75" max="75" width="15.28515625" style="1303" bestFit="1" customWidth="1"/>
    <col min="76" max="76" width="14.5703125" style="1303" bestFit="1" customWidth="1"/>
    <col min="77" max="77" width="10.28515625" style="1303" bestFit="1" customWidth="1"/>
    <col min="78" max="78" width="13.85546875" style="1303" bestFit="1" customWidth="1"/>
    <col min="79" max="79" width="14" style="1303" customWidth="1"/>
    <col min="80" max="80" width="12.5703125" style="1303" bestFit="1" customWidth="1"/>
    <col min="81" max="81" width="11.140625" style="1303" bestFit="1" customWidth="1"/>
    <col min="82" max="82" width="10.42578125" style="1303" bestFit="1" customWidth="1"/>
    <col min="83" max="83" width="17.28515625" style="1303" customWidth="1"/>
    <col min="84" max="84" width="8.5703125" style="1303" bestFit="1" customWidth="1"/>
    <col min="85" max="85" width="14.7109375" style="1303" customWidth="1"/>
    <col min="86" max="86" width="11.140625" style="1303" customWidth="1"/>
    <col min="87" max="87" width="9.42578125" style="1303" bestFit="1" customWidth="1"/>
    <col min="88" max="16384" width="66.85546875" style="1303"/>
  </cols>
  <sheetData>
    <row r="1" spans="1:87" s="1129" customFormat="1">
      <c r="A1" s="3919"/>
      <c r="B1" s="3919"/>
      <c r="C1" s="3920"/>
      <c r="D1" s="980"/>
      <c r="F1" s="1136"/>
      <c r="G1" s="1137"/>
      <c r="H1" s="1137"/>
      <c r="I1" s="1137"/>
      <c r="J1" s="1137"/>
      <c r="K1" s="1137"/>
      <c r="L1" s="1137"/>
      <c r="M1" s="1137"/>
      <c r="N1" s="1137"/>
      <c r="O1" s="1137"/>
      <c r="P1" s="1137"/>
      <c r="Q1" s="1137"/>
      <c r="R1" s="2863"/>
      <c r="S1" s="1137"/>
      <c r="T1" s="1137"/>
      <c r="U1" s="1137"/>
      <c r="V1" s="1137"/>
      <c r="W1" s="1137"/>
      <c r="X1" s="1137"/>
      <c r="Y1" s="1137"/>
      <c r="Z1" s="1137"/>
      <c r="AA1" s="1137"/>
      <c r="AB1" s="1137"/>
      <c r="AC1" s="1137"/>
      <c r="AD1" s="1137"/>
      <c r="AE1" s="1137"/>
      <c r="AF1" s="1137"/>
      <c r="AG1" s="1137"/>
      <c r="AH1" s="1137"/>
      <c r="AI1" s="1137"/>
      <c r="AJ1" s="1137"/>
      <c r="AK1" s="1137"/>
      <c r="AL1" s="1137"/>
      <c r="AM1" s="1137"/>
      <c r="AN1" s="1137"/>
      <c r="AO1" s="1138"/>
      <c r="AP1" s="1138"/>
      <c r="AQ1" s="1138"/>
      <c r="AR1" s="1138"/>
      <c r="AS1" s="1138"/>
      <c r="AT1" s="1138"/>
      <c r="AU1" s="1138"/>
      <c r="AV1" s="1332"/>
      <c r="AW1" s="1332"/>
      <c r="AX1" s="1332"/>
      <c r="AY1" s="1332"/>
      <c r="AZ1" s="1332"/>
      <c r="BA1" s="1332"/>
      <c r="BB1" s="1332"/>
      <c r="BC1" s="1332"/>
    </row>
    <row r="2" spans="1:87" s="861" customFormat="1">
      <c r="A2" s="864" t="str">
        <f>HYPERLINK("#'Budget Summary I'!A1:AL1", "Budget Summary I")</f>
        <v>Budget Summary I</v>
      </c>
      <c r="B2" s="864" t="str">
        <f>HYPERLINK("#'Budget Summary II'!A3:B5", "Budget Summary II")</f>
        <v>Budget Summary II</v>
      </c>
      <c r="C2" s="1333" t="str">
        <f>HYPERLINK("#'Summary of Abstracts'!A2", "Summary of Abst.")</f>
        <v>Summary of Abst.</v>
      </c>
      <c r="D2" s="980"/>
      <c r="F2" s="1136"/>
      <c r="G2" s="1143"/>
      <c r="H2" s="1143"/>
      <c r="I2" s="1143"/>
      <c r="J2" s="1143"/>
      <c r="K2" s="1143"/>
      <c r="L2" s="1143"/>
      <c r="M2" s="1144"/>
      <c r="N2" s="1144"/>
      <c r="O2" s="1144"/>
      <c r="P2" s="1145"/>
      <c r="Q2" s="1145"/>
      <c r="R2" s="2864"/>
      <c r="S2" s="1145"/>
      <c r="T2" s="1145"/>
      <c r="U2" s="1145"/>
      <c r="V2" s="1145"/>
      <c r="W2" s="1145"/>
      <c r="X2" s="1145"/>
      <c r="Y2" s="1145"/>
      <c r="Z2" s="1145"/>
      <c r="AA2" s="1145"/>
      <c r="AB2" s="1145"/>
      <c r="AC2" s="1145"/>
      <c r="AD2" s="1145"/>
      <c r="AE2" s="1145"/>
      <c r="AF2" s="1145"/>
      <c r="AG2" s="1145"/>
      <c r="AH2" s="1145"/>
      <c r="AI2" s="1145"/>
      <c r="AJ2" s="1145"/>
      <c r="AK2" s="1142"/>
      <c r="AL2" s="1142"/>
      <c r="AM2" s="1142"/>
      <c r="AN2" s="1142"/>
      <c r="AO2" s="1142"/>
      <c r="AP2" s="1142"/>
      <c r="AQ2" s="1142"/>
      <c r="AR2" s="1142"/>
      <c r="AS2" s="1142"/>
      <c r="AT2" s="1142"/>
      <c r="AU2" s="1142"/>
      <c r="AV2" s="1334"/>
      <c r="AW2" s="1334"/>
      <c r="AX2" s="1334"/>
      <c r="AY2" s="1334"/>
      <c r="AZ2" s="1334"/>
      <c r="BA2" s="1334"/>
      <c r="BB2" s="1334"/>
      <c r="BC2" s="1334"/>
    </row>
    <row r="3" spans="1:87" s="1283" customFormat="1">
      <c r="A3" s="3912" t="s">
        <v>49</v>
      </c>
      <c r="B3" s="3913"/>
      <c r="C3" s="3801" t="s">
        <v>50</v>
      </c>
      <c r="D3" s="3801" t="s">
        <v>51</v>
      </c>
      <c r="E3" s="3801" t="s">
        <v>52</v>
      </c>
      <c r="F3" s="3866" t="s">
        <v>4478</v>
      </c>
      <c r="G3" s="3866"/>
      <c r="H3" s="3866"/>
      <c r="I3" s="3866"/>
      <c r="J3" s="3866"/>
      <c r="K3" s="3866" t="s">
        <v>4484</v>
      </c>
      <c r="L3" s="3866"/>
      <c r="M3" s="3866"/>
      <c r="N3" s="3866"/>
      <c r="O3" s="3866"/>
      <c r="P3" s="3866"/>
      <c r="Q3" s="3801" t="s">
        <v>4514</v>
      </c>
      <c r="R3" s="3801"/>
    </row>
    <row r="4" spans="1:87" s="1284" customFormat="1" ht="45">
      <c r="A4" s="3921"/>
      <c r="B4" s="3922"/>
      <c r="C4" s="3801"/>
      <c r="D4" s="3801"/>
      <c r="E4" s="3801"/>
      <c r="F4" s="918" t="s">
        <v>4479</v>
      </c>
      <c r="G4" s="918" t="s">
        <v>4482</v>
      </c>
      <c r="H4" s="918" t="s">
        <v>4480</v>
      </c>
      <c r="I4" s="918" t="s">
        <v>4483</v>
      </c>
      <c r="J4" s="918" t="s">
        <v>2448</v>
      </c>
      <c r="K4" s="919" t="s">
        <v>53</v>
      </c>
      <c r="L4" s="919" t="s">
        <v>54</v>
      </c>
      <c r="M4" s="1228" t="s">
        <v>55</v>
      </c>
      <c r="N4" s="919" t="s">
        <v>56</v>
      </c>
      <c r="O4" s="1228" t="s">
        <v>57</v>
      </c>
      <c r="P4" s="919" t="s">
        <v>5069</v>
      </c>
      <c r="Q4" s="921" t="s">
        <v>2450</v>
      </c>
      <c r="R4" s="2755" t="s">
        <v>4515</v>
      </c>
      <c r="S4" s="3105" t="s">
        <v>4538</v>
      </c>
      <c r="BB4" s="3153" t="s">
        <v>5973</v>
      </c>
      <c r="BC4" s="3153" t="s">
        <v>5432</v>
      </c>
      <c r="BD4" s="3153" t="s">
        <v>5433</v>
      </c>
      <c r="BE4" s="3153" t="s">
        <v>5434</v>
      </c>
      <c r="BF4" s="3153" t="s">
        <v>5435</v>
      </c>
      <c r="BG4" s="3153" t="s">
        <v>5436</v>
      </c>
      <c r="BH4" s="3153" t="s">
        <v>5437</v>
      </c>
      <c r="BI4" s="3153" t="s">
        <v>5959</v>
      </c>
      <c r="BJ4" s="3153" t="s">
        <v>5438</v>
      </c>
      <c r="BK4" s="3153" t="s">
        <v>5439</v>
      </c>
      <c r="BL4" s="3153" t="s">
        <v>5960</v>
      </c>
      <c r="BM4" s="3153" t="s">
        <v>5440</v>
      </c>
      <c r="BN4" s="3153" t="s">
        <v>5441</v>
      </c>
      <c r="BO4" s="3153" t="s">
        <v>5961</v>
      </c>
      <c r="BP4" s="3153" t="s">
        <v>5974</v>
      </c>
      <c r="BQ4" s="3153" t="s">
        <v>5975</v>
      </c>
      <c r="BR4" s="3153" t="s">
        <v>5976</v>
      </c>
      <c r="BS4" s="3153" t="s">
        <v>5977</v>
      </c>
      <c r="BT4" s="3153" t="s">
        <v>5978</v>
      </c>
      <c r="BU4" s="3153" t="s">
        <v>5979</v>
      </c>
      <c r="BV4" s="3153" t="s">
        <v>5962</v>
      </c>
      <c r="BW4" s="3153" t="s">
        <v>5963</v>
      </c>
      <c r="BX4" s="3153" t="s">
        <v>5964</v>
      </c>
      <c r="BY4" s="3153" t="s">
        <v>5965</v>
      </c>
      <c r="BZ4" s="3153" t="s">
        <v>5966</v>
      </c>
      <c r="CA4" s="3153" t="s">
        <v>5967</v>
      </c>
      <c r="CB4" s="3153" t="s">
        <v>5968</v>
      </c>
      <c r="CC4" s="3153" t="s">
        <v>5969</v>
      </c>
      <c r="CD4" s="3153" t="s">
        <v>5970</v>
      </c>
      <c r="CE4" s="3153" t="s">
        <v>5980</v>
      </c>
      <c r="CF4" s="3153" t="s">
        <v>5971</v>
      </c>
      <c r="CG4" s="3153" t="s">
        <v>5981</v>
      </c>
      <c r="CH4" s="3153" t="s">
        <v>5982</v>
      </c>
      <c r="CI4" s="3153" t="s">
        <v>5972</v>
      </c>
    </row>
    <row r="5" spans="1:87" s="1281" customFormat="1">
      <c r="A5" s="1290">
        <v>6.1</v>
      </c>
      <c r="B5" s="1291" t="s">
        <v>1578</v>
      </c>
      <c r="C5" s="1290" t="s">
        <v>1579</v>
      </c>
      <c r="D5" s="930"/>
      <c r="E5" s="930"/>
      <c r="F5" s="84"/>
      <c r="G5" s="84"/>
      <c r="H5" s="84"/>
      <c r="I5" s="84"/>
      <c r="J5" s="84"/>
      <c r="K5" s="84"/>
      <c r="L5" s="84"/>
      <c r="M5" s="1149"/>
      <c r="N5" s="1233"/>
      <c r="O5" s="1149"/>
      <c r="P5" s="84"/>
      <c r="Q5" s="1335"/>
      <c r="R5" s="2756"/>
      <c r="S5" s="1281">
        <f>S89</f>
        <v>5.3</v>
      </c>
      <c r="BB5" s="3215"/>
      <c r="BC5" s="3215"/>
      <c r="BD5" s="3215"/>
      <c r="BE5" s="3215"/>
      <c r="BF5" s="3215"/>
      <c r="BG5" s="3215"/>
      <c r="BH5" s="3215"/>
      <c r="BI5" s="3215"/>
      <c r="BJ5" s="3215"/>
      <c r="BK5" s="3215"/>
      <c r="BL5" s="3215"/>
      <c r="BM5" s="3215"/>
      <c r="BN5" s="3215"/>
      <c r="BO5" s="3215"/>
      <c r="BP5" s="3215"/>
      <c r="BQ5" s="3215"/>
      <c r="BR5" s="3215"/>
      <c r="BS5" s="3215"/>
      <c r="BT5" s="3215"/>
      <c r="BU5" s="3215"/>
      <c r="BV5" s="3215"/>
      <c r="BW5" s="3215"/>
      <c r="BX5" s="3215"/>
      <c r="BY5" s="3215"/>
      <c r="BZ5" s="3215"/>
      <c r="CA5" s="3215"/>
      <c r="CB5" s="3215"/>
      <c r="CC5" s="3215"/>
      <c r="CD5" s="3215"/>
      <c r="CE5" s="3215"/>
      <c r="CF5" s="3215"/>
      <c r="CG5" s="3215"/>
      <c r="CH5" s="3215"/>
      <c r="CI5" s="3215">
        <f>SUM(BB5:CH5)</f>
        <v>0</v>
      </c>
    </row>
    <row r="6" spans="1:87" s="1282" customFormat="1">
      <c r="A6" s="3918"/>
      <c r="B6" s="3918"/>
      <c r="C6" s="3918"/>
      <c r="D6" s="1200"/>
      <c r="E6" s="1200"/>
      <c r="F6" s="1180"/>
      <c r="G6" s="1180"/>
      <c r="H6" s="1180"/>
      <c r="I6" s="1180"/>
      <c r="J6" s="1180"/>
      <c r="K6" s="1180"/>
      <c r="L6" s="1180"/>
      <c r="M6" s="1336"/>
      <c r="N6" s="1337"/>
      <c r="O6" s="1336"/>
      <c r="P6" s="1201"/>
      <c r="Q6" s="1338"/>
      <c r="R6" s="2865"/>
      <c r="BB6" s="3266"/>
      <c r="BC6" s="3266"/>
      <c r="BD6" s="3266"/>
      <c r="BE6" s="3266"/>
      <c r="BF6" s="3266"/>
      <c r="BG6" s="3266"/>
      <c r="BH6" s="3266"/>
      <c r="BI6" s="3266"/>
      <c r="BJ6" s="3266"/>
      <c r="BK6" s="3266"/>
      <c r="BL6" s="3266"/>
      <c r="BM6" s="3266"/>
      <c r="BN6" s="3266"/>
      <c r="BO6" s="3266"/>
      <c r="BP6" s="3266"/>
      <c r="BQ6" s="3266"/>
      <c r="BR6" s="3266"/>
      <c r="BS6" s="3266"/>
      <c r="BT6" s="3266"/>
      <c r="BU6" s="3266"/>
      <c r="BV6" s="3266"/>
      <c r="BW6" s="3266"/>
      <c r="BX6" s="3266"/>
      <c r="BY6" s="3266"/>
      <c r="BZ6" s="3266"/>
      <c r="CA6" s="3266"/>
      <c r="CB6" s="3266"/>
      <c r="CC6" s="3266"/>
      <c r="CD6" s="3266"/>
      <c r="CE6" s="3266"/>
      <c r="CF6" s="3266"/>
      <c r="CG6" s="3266"/>
      <c r="CH6" s="3266"/>
      <c r="CI6" s="3215">
        <f t="shared" ref="CI6:CI69" si="0">SUM(BB6:CH6)</f>
        <v>0</v>
      </c>
    </row>
    <row r="7" spans="1:87" ht="30">
      <c r="A7" s="1339" t="s">
        <v>1581</v>
      </c>
      <c r="B7" s="1340" t="s">
        <v>1582</v>
      </c>
      <c r="C7" s="1339" t="s">
        <v>4670</v>
      </c>
      <c r="D7" s="1341"/>
      <c r="E7" s="1341"/>
      <c r="F7" s="1257"/>
      <c r="G7" s="1257"/>
      <c r="H7" s="1257"/>
      <c r="I7" s="1257"/>
      <c r="J7" s="1257"/>
      <c r="K7" s="1257"/>
      <c r="L7" s="1257"/>
      <c r="M7" s="1342"/>
      <c r="N7" s="1257"/>
      <c r="O7" s="1342">
        <f>SUM(O8:O12)</f>
        <v>2200.0484999999999</v>
      </c>
      <c r="P7" s="1343"/>
      <c r="Q7" s="1344"/>
      <c r="R7" s="2866">
        <f>SUM(R8:R12)</f>
        <v>2155.0500000000002</v>
      </c>
      <c r="BB7" s="3267"/>
      <c r="BC7" s="3267"/>
      <c r="BD7" s="3267"/>
      <c r="BE7" s="3267"/>
      <c r="BF7" s="3267"/>
      <c r="BG7" s="3267"/>
      <c r="BH7" s="3267"/>
      <c r="BI7" s="3267"/>
      <c r="BJ7" s="3267"/>
      <c r="BK7" s="3267"/>
      <c r="BL7" s="3267"/>
      <c r="BM7" s="3267"/>
      <c r="BN7" s="3267"/>
      <c r="BO7" s="3267"/>
      <c r="BP7" s="3267"/>
      <c r="BQ7" s="3267"/>
      <c r="BR7" s="3267"/>
      <c r="BS7" s="3267"/>
      <c r="BT7" s="3267"/>
      <c r="BU7" s="3267"/>
      <c r="BV7" s="3267"/>
      <c r="BW7" s="3267"/>
      <c r="BX7" s="3267"/>
      <c r="BY7" s="3267"/>
      <c r="BZ7" s="3267"/>
      <c r="CA7" s="3267"/>
      <c r="CB7" s="3267"/>
      <c r="CC7" s="3267"/>
      <c r="CD7" s="3267"/>
      <c r="CE7" s="3267"/>
      <c r="CF7" s="3267"/>
      <c r="CG7" s="3267"/>
      <c r="CH7" s="3267"/>
      <c r="CI7" s="3215">
        <f t="shared" si="0"/>
        <v>0</v>
      </c>
    </row>
    <row r="8" spans="1:87" ht="45">
      <c r="A8" s="1318" t="s">
        <v>4065</v>
      </c>
      <c r="B8" s="509" t="s">
        <v>2090</v>
      </c>
      <c r="C8" s="509" t="s">
        <v>1583</v>
      </c>
      <c r="D8" s="1005" t="s">
        <v>85</v>
      </c>
      <c r="E8" s="1276" t="s">
        <v>113</v>
      </c>
      <c r="F8" s="339"/>
      <c r="G8" s="339"/>
      <c r="H8" s="339">
        <v>0</v>
      </c>
      <c r="I8" s="339"/>
      <c r="J8" s="339"/>
      <c r="K8" s="180"/>
      <c r="L8" s="277"/>
      <c r="M8" s="281">
        <f>L8/100000</f>
        <v>0</v>
      </c>
      <c r="N8" s="277"/>
      <c r="O8" s="1345">
        <f>N8*M8</f>
        <v>0</v>
      </c>
      <c r="P8" s="788"/>
      <c r="Q8" s="1003" t="str">
        <f>'Ab1. RMNCH+A'!Q36</f>
        <v>The State to ensure availability of functional MVA/EVA equipments at all the facilities providing safe abortion services.</v>
      </c>
      <c r="R8" s="2867">
        <f>'Ab1. RMNCH+A'!R36</f>
        <v>0</v>
      </c>
      <c r="BB8" s="3267"/>
      <c r="BC8" s="3267"/>
      <c r="BD8" s="3267"/>
      <c r="BE8" s="3267"/>
      <c r="BF8" s="3267"/>
      <c r="BG8" s="3267"/>
      <c r="BH8" s="3267"/>
      <c r="BI8" s="3267"/>
      <c r="BJ8" s="3267"/>
      <c r="BK8" s="3267"/>
      <c r="BL8" s="3267"/>
      <c r="BM8" s="3267"/>
      <c r="BN8" s="3267"/>
      <c r="BO8" s="3267"/>
      <c r="BP8" s="3267"/>
      <c r="BQ8" s="3267"/>
      <c r="BR8" s="3267"/>
      <c r="BS8" s="3267"/>
      <c r="BT8" s="3267"/>
      <c r="BU8" s="3267"/>
      <c r="BV8" s="3267"/>
      <c r="BW8" s="3267"/>
      <c r="BX8" s="3267"/>
      <c r="BY8" s="3267"/>
      <c r="BZ8" s="3267"/>
      <c r="CA8" s="3267"/>
      <c r="CB8" s="3267"/>
      <c r="CC8" s="3267"/>
      <c r="CD8" s="3267"/>
      <c r="CE8" s="3267"/>
      <c r="CF8" s="3267"/>
      <c r="CG8" s="3267"/>
      <c r="CH8" s="3267"/>
      <c r="CI8" s="3215">
        <f t="shared" si="0"/>
        <v>0</v>
      </c>
    </row>
    <row r="9" spans="1:87" ht="89.25" customHeight="1">
      <c r="A9" s="1318" t="s">
        <v>4066</v>
      </c>
      <c r="B9" s="1317"/>
      <c r="C9" s="509" t="s">
        <v>2367</v>
      </c>
      <c r="D9" s="1005" t="s">
        <v>85</v>
      </c>
      <c r="E9" s="1276" t="s">
        <v>113</v>
      </c>
      <c r="F9" s="339">
        <v>2</v>
      </c>
      <c r="G9" s="339"/>
      <c r="H9" s="339">
        <v>37.24</v>
      </c>
      <c r="I9" s="339"/>
      <c r="J9" s="339">
        <v>37.24</v>
      </c>
      <c r="K9" s="340"/>
      <c r="L9" s="277">
        <v>5402175</v>
      </c>
      <c r="M9" s="281">
        <f>L9/100000</f>
        <v>54.021749999999997</v>
      </c>
      <c r="N9" s="277">
        <v>22</v>
      </c>
      <c r="O9" s="1345">
        <f>N9*M9</f>
        <v>1188.4784999999999</v>
      </c>
      <c r="P9" s="788" t="s">
        <v>5482</v>
      </c>
      <c r="Q9" s="2257" t="str">
        <f>'Ab1. RMNCH+A'!Q37</f>
        <v xml:space="preserve">Recommended for approval Rs 1188.48 lakhs for the equipment for the LaQshya facilities on the basis of gap analysis received in PIP 2019-20 (for Rs. 404.30 lakhs) &amp; FY 2020-21 (for Rs. 37.24 lakhs) respectively for 47 types of medical devices and equipment at the mentioned cost per unit. </v>
      </c>
      <c r="R9" s="2869">
        <f>'Ab1. RMNCH+A'!R37</f>
        <v>1188.48</v>
      </c>
      <c r="S9" s="3016"/>
      <c r="BB9" s="3267">
        <v>1188.48</v>
      </c>
      <c r="BC9" s="3267"/>
      <c r="BD9" s="3267"/>
      <c r="BE9" s="3267"/>
      <c r="BF9" s="3267"/>
      <c r="BG9" s="3267"/>
      <c r="BH9" s="3267"/>
      <c r="BI9" s="3267"/>
      <c r="BJ9" s="3267"/>
      <c r="BK9" s="3267"/>
      <c r="BL9" s="3267"/>
      <c r="BM9" s="3267"/>
      <c r="BN9" s="3267"/>
      <c r="BO9" s="3267"/>
      <c r="BP9" s="3267"/>
      <c r="BQ9" s="3267"/>
      <c r="BR9" s="3267"/>
      <c r="BS9" s="3267"/>
      <c r="BT9" s="3267"/>
      <c r="BU9" s="3267"/>
      <c r="BV9" s="3267"/>
      <c r="BW9" s="3267"/>
      <c r="BX9" s="3267"/>
      <c r="BY9" s="3267"/>
      <c r="BZ9" s="3267"/>
      <c r="CA9" s="3267"/>
      <c r="CB9" s="3267"/>
      <c r="CC9" s="3267"/>
      <c r="CD9" s="3267"/>
      <c r="CE9" s="3267"/>
      <c r="CF9" s="3267"/>
      <c r="CG9" s="3267"/>
      <c r="CH9" s="3267"/>
      <c r="CI9" s="3215">
        <f t="shared" si="0"/>
        <v>1188.48</v>
      </c>
    </row>
    <row r="10" spans="1:87" ht="87.75" customHeight="1">
      <c r="A10" s="1318" t="s">
        <v>4067</v>
      </c>
      <c r="B10" s="521"/>
      <c r="C10" s="509" t="s">
        <v>2314</v>
      </c>
      <c r="D10" s="1005" t="s">
        <v>85</v>
      </c>
      <c r="E10" s="1276" t="s">
        <v>113</v>
      </c>
      <c r="F10" s="339">
        <v>2</v>
      </c>
      <c r="G10" s="339"/>
      <c r="H10" s="339">
        <v>120.9</v>
      </c>
      <c r="I10" s="339"/>
      <c r="J10" s="339">
        <v>120.9</v>
      </c>
      <c r="K10" s="340"/>
      <c r="L10" s="277">
        <v>8054750</v>
      </c>
      <c r="M10" s="281">
        <f>L10/100000</f>
        <v>80.547499999999999</v>
      </c>
      <c r="N10" s="277">
        <v>12</v>
      </c>
      <c r="O10" s="1345">
        <f>N10*M10</f>
        <v>966.56999999999994</v>
      </c>
      <c r="P10" s="725" t="s">
        <v>5481</v>
      </c>
      <c r="Q10" s="2257" t="str">
        <f>'Ab1. RMNCH+A'!Q38</f>
        <v>Recommended for approval lumpsum amount of Rs 966.57 lakhs for Obstetric HDU/ICU as per details in FMR 5.1.1.2.12 for the proposed 6+2 Hybrid HDU/ICU units, 4 bedded ICU unit and 8 bedded HDU unit. State is suggested to adhere to the NHM operational guidelines on ICUs/HDUs</v>
      </c>
      <c r="R10" s="2869">
        <f>'Ab1. RMNCH+A'!R38</f>
        <v>966.57</v>
      </c>
      <c r="S10" s="3016"/>
      <c r="BB10" s="3267">
        <v>966.57</v>
      </c>
      <c r="BC10" s="3267"/>
      <c r="BD10" s="3267"/>
      <c r="BE10" s="3267"/>
      <c r="BF10" s="3267"/>
      <c r="BG10" s="3267"/>
      <c r="BH10" s="3267"/>
      <c r="BI10" s="3267"/>
      <c r="BJ10" s="3267"/>
      <c r="BK10" s="3267"/>
      <c r="BL10" s="3267"/>
      <c r="BM10" s="3267"/>
      <c r="BN10" s="3267"/>
      <c r="BO10" s="3267"/>
      <c r="BP10" s="3267"/>
      <c r="BQ10" s="3267"/>
      <c r="BR10" s="3267"/>
      <c r="BS10" s="3267"/>
      <c r="BT10" s="3267"/>
      <c r="BU10" s="3267"/>
      <c r="BV10" s="3267"/>
      <c r="BW10" s="3267"/>
      <c r="BX10" s="3267"/>
      <c r="BY10" s="3267"/>
      <c r="BZ10" s="3267"/>
      <c r="CA10" s="3267"/>
      <c r="CB10" s="3267"/>
      <c r="CC10" s="3267"/>
      <c r="CD10" s="3267"/>
      <c r="CE10" s="3267"/>
      <c r="CF10" s="3267"/>
      <c r="CG10" s="3267"/>
      <c r="CH10" s="3267"/>
      <c r="CI10" s="3215">
        <f t="shared" si="0"/>
        <v>966.57</v>
      </c>
    </row>
    <row r="11" spans="1:87" ht="30">
      <c r="A11" s="1318" t="s">
        <v>4086</v>
      </c>
      <c r="B11" s="509" t="s">
        <v>2756</v>
      </c>
      <c r="C11" s="509" t="s">
        <v>3952</v>
      </c>
      <c r="D11" s="1005" t="s">
        <v>85</v>
      </c>
      <c r="E11" s="1276" t="s">
        <v>113</v>
      </c>
      <c r="F11" s="69">
        <v>0</v>
      </c>
      <c r="G11" s="69"/>
      <c r="H11" s="69">
        <v>0</v>
      </c>
      <c r="I11" s="69"/>
      <c r="J11" s="69"/>
      <c r="K11" s="340"/>
      <c r="L11" s="277"/>
      <c r="M11" s="281">
        <f>L11/100000</f>
        <v>0</v>
      </c>
      <c r="N11" s="277"/>
      <c r="O11" s="1345">
        <f>N11*M11</f>
        <v>0</v>
      </c>
      <c r="P11" s="789"/>
      <c r="Q11" s="1003" t="str">
        <f>'Ab1. RMNCH+A'!Q39</f>
        <v>-</v>
      </c>
      <c r="R11" s="2867">
        <f>'Ab1. RMNCH+A'!R39</f>
        <v>0</v>
      </c>
      <c r="BB11" s="3267"/>
      <c r="BC11" s="3267"/>
      <c r="BD11" s="3267"/>
      <c r="BE11" s="3267"/>
      <c r="BF11" s="3267"/>
      <c r="BG11" s="3267"/>
      <c r="BH11" s="3267"/>
      <c r="BI11" s="3267"/>
      <c r="BJ11" s="3267"/>
      <c r="BK11" s="3267"/>
      <c r="BL11" s="3267"/>
      <c r="BM11" s="3267"/>
      <c r="BN11" s="3267"/>
      <c r="BO11" s="3267"/>
      <c r="BP11" s="3267"/>
      <c r="BQ11" s="3267"/>
      <c r="BR11" s="3267"/>
      <c r="BS11" s="3267"/>
      <c r="BT11" s="3267"/>
      <c r="BU11" s="3267"/>
      <c r="BV11" s="3267"/>
      <c r="BW11" s="3267"/>
      <c r="BX11" s="3267"/>
      <c r="BY11" s="3267"/>
      <c r="BZ11" s="3267"/>
      <c r="CA11" s="3267"/>
      <c r="CB11" s="3267"/>
      <c r="CC11" s="3267"/>
      <c r="CD11" s="3267"/>
      <c r="CE11" s="3267"/>
      <c r="CF11" s="3267"/>
      <c r="CG11" s="3267"/>
      <c r="CH11" s="3267"/>
      <c r="CI11" s="3215">
        <f t="shared" si="0"/>
        <v>0</v>
      </c>
    </row>
    <row r="12" spans="1:87" s="1302" customFormat="1" ht="60">
      <c r="A12" s="1317" t="s">
        <v>4068</v>
      </c>
      <c r="B12" s="521" t="s">
        <v>1584</v>
      </c>
      <c r="C12" s="521" t="s">
        <v>1585</v>
      </c>
      <c r="D12" s="2254" t="s">
        <v>85</v>
      </c>
      <c r="E12" s="1304" t="s">
        <v>113</v>
      </c>
      <c r="F12" s="354">
        <v>0</v>
      </c>
      <c r="G12" s="604"/>
      <c r="H12" s="2356">
        <v>0</v>
      </c>
      <c r="I12" s="2356"/>
      <c r="J12" s="203"/>
      <c r="K12" s="2445"/>
      <c r="L12" s="283">
        <v>4500000</v>
      </c>
      <c r="M12" s="2261">
        <f>L12/100000</f>
        <v>45</v>
      </c>
      <c r="N12" s="283">
        <v>1</v>
      </c>
      <c r="O12" s="1348">
        <f>N12*M12</f>
        <v>45</v>
      </c>
      <c r="P12" s="725" t="s">
        <v>5507</v>
      </c>
      <c r="Q12" s="2257" t="str">
        <f>'Ab1. RMNCH+A'!Q40</f>
        <v xml:space="preserve">Not recommended. This proposal was not discussed in NPCC meeting as it has been added in post NPCC budget sheet. </v>
      </c>
      <c r="R12" s="2869">
        <f>'Ab1. RMNCH+A'!R40</f>
        <v>0</v>
      </c>
      <c r="BB12" s="3214"/>
      <c r="BC12" s="3214"/>
      <c r="BD12" s="3214"/>
      <c r="BE12" s="3214"/>
      <c r="BF12" s="3214"/>
      <c r="BG12" s="3214"/>
      <c r="BH12" s="3214"/>
      <c r="BI12" s="3214"/>
      <c r="BJ12" s="3214"/>
      <c r="BK12" s="3214"/>
      <c r="BL12" s="3214"/>
      <c r="BM12" s="3214"/>
      <c r="BN12" s="3214"/>
      <c r="BO12" s="3214"/>
      <c r="BP12" s="3214"/>
      <c r="BQ12" s="3214"/>
      <c r="BR12" s="3214"/>
      <c r="BS12" s="3214"/>
      <c r="BT12" s="3214"/>
      <c r="BU12" s="3214"/>
      <c r="BV12" s="3214"/>
      <c r="BW12" s="3214"/>
      <c r="BX12" s="3214"/>
      <c r="BY12" s="3214"/>
      <c r="BZ12" s="3214"/>
      <c r="CA12" s="3214"/>
      <c r="CB12" s="3214"/>
      <c r="CC12" s="3214"/>
      <c r="CD12" s="3214"/>
      <c r="CE12" s="3214"/>
      <c r="CF12" s="3214"/>
      <c r="CG12" s="3214"/>
      <c r="CH12" s="3214"/>
      <c r="CI12" s="3215">
        <f t="shared" si="0"/>
        <v>0</v>
      </c>
    </row>
    <row r="13" spans="1:87" ht="30">
      <c r="A13" s="1339" t="s">
        <v>1586</v>
      </c>
      <c r="B13" s="1340" t="s">
        <v>1587</v>
      </c>
      <c r="C13" s="1339" t="s">
        <v>4676</v>
      </c>
      <c r="D13" s="1341"/>
      <c r="E13" s="1341"/>
      <c r="F13" s="338"/>
      <c r="G13" s="338"/>
      <c r="H13" s="338"/>
      <c r="I13" s="338"/>
      <c r="J13" s="338"/>
      <c r="K13" s="338"/>
      <c r="L13" s="338"/>
      <c r="M13" s="1342"/>
      <c r="N13" s="338"/>
      <c r="O13" s="1342">
        <f>SUM(O14:O18)</f>
        <v>183.06</v>
      </c>
      <c r="P13" s="787"/>
      <c r="Q13" s="1344"/>
      <c r="R13" s="2866">
        <f>SUM(R14:R18)</f>
        <v>183.06</v>
      </c>
      <c r="BB13" s="3267"/>
      <c r="BC13" s="3267"/>
      <c r="BD13" s="3267"/>
      <c r="BE13" s="3267"/>
      <c r="BF13" s="3267"/>
      <c r="BG13" s="3267"/>
      <c r="BH13" s="3267"/>
      <c r="BI13" s="3267"/>
      <c r="BJ13" s="3267"/>
      <c r="BK13" s="3267"/>
      <c r="BL13" s="3267"/>
      <c r="BM13" s="3267"/>
      <c r="BN13" s="3267"/>
      <c r="BO13" s="3267"/>
      <c r="BP13" s="3267"/>
      <c r="BQ13" s="3267"/>
      <c r="BR13" s="3267"/>
      <c r="BS13" s="3267"/>
      <c r="BT13" s="3267"/>
      <c r="BU13" s="3267"/>
      <c r="BV13" s="3267"/>
      <c r="BW13" s="3267"/>
      <c r="BX13" s="3267"/>
      <c r="BY13" s="3267"/>
      <c r="BZ13" s="3267"/>
      <c r="CA13" s="3267"/>
      <c r="CB13" s="3267"/>
      <c r="CC13" s="3267"/>
      <c r="CD13" s="3267"/>
      <c r="CE13" s="3267"/>
      <c r="CF13" s="3267"/>
      <c r="CG13" s="3267"/>
      <c r="CH13" s="3267"/>
      <c r="CI13" s="3215">
        <f t="shared" si="0"/>
        <v>0</v>
      </c>
    </row>
    <row r="14" spans="1:87" ht="45">
      <c r="A14" s="1318" t="s">
        <v>4069</v>
      </c>
      <c r="B14" s="509" t="s">
        <v>1588</v>
      </c>
      <c r="C14" s="501" t="s">
        <v>3228</v>
      </c>
      <c r="D14" s="1005" t="s">
        <v>85</v>
      </c>
      <c r="E14" s="1276" t="s">
        <v>126</v>
      </c>
      <c r="F14" s="339">
        <v>1</v>
      </c>
      <c r="G14" s="339"/>
      <c r="H14" s="339">
        <v>605.34</v>
      </c>
      <c r="I14" s="339"/>
      <c r="J14" s="339">
        <v>605.34</v>
      </c>
      <c r="K14" s="339"/>
      <c r="L14" s="277"/>
      <c r="M14" s="281">
        <f>L14/100000</f>
        <v>0</v>
      </c>
      <c r="N14" s="277"/>
      <c r="O14" s="1345">
        <f>N14*M14</f>
        <v>0</v>
      </c>
      <c r="P14" s="788"/>
      <c r="Q14" s="1003" t="str">
        <f>'Ab1. RMNCH+A'!Q127</f>
        <v>-</v>
      </c>
      <c r="R14" s="2867">
        <f>'Ab1. RMNCH+A'!R127</f>
        <v>0</v>
      </c>
      <c r="BB14" s="3267"/>
      <c r="BC14" s="3267"/>
      <c r="BD14" s="3267"/>
      <c r="BE14" s="3267"/>
      <c r="BF14" s="3267"/>
      <c r="BG14" s="3267"/>
      <c r="BH14" s="3267"/>
      <c r="BI14" s="3267"/>
      <c r="BJ14" s="3267"/>
      <c r="BK14" s="3267"/>
      <c r="BL14" s="3267"/>
      <c r="BM14" s="3267"/>
      <c r="BN14" s="3267"/>
      <c r="BO14" s="3267"/>
      <c r="BP14" s="3267"/>
      <c r="BQ14" s="3267"/>
      <c r="BR14" s="3267"/>
      <c r="BS14" s="3267"/>
      <c r="BT14" s="3267"/>
      <c r="BU14" s="3267"/>
      <c r="BV14" s="3267"/>
      <c r="BW14" s="3267"/>
      <c r="BX14" s="3267"/>
      <c r="BY14" s="3267"/>
      <c r="BZ14" s="3267"/>
      <c r="CA14" s="3267"/>
      <c r="CB14" s="3267"/>
      <c r="CC14" s="3267"/>
      <c r="CD14" s="3267"/>
      <c r="CE14" s="3267"/>
      <c r="CF14" s="3267"/>
      <c r="CG14" s="3267"/>
      <c r="CH14" s="3267"/>
      <c r="CI14" s="3215">
        <f t="shared" si="0"/>
        <v>0</v>
      </c>
    </row>
    <row r="15" spans="1:87" s="1302" customFormat="1" ht="97.5" customHeight="1">
      <c r="A15" s="1317" t="s">
        <v>4070</v>
      </c>
      <c r="B15" s="521" t="s">
        <v>1589</v>
      </c>
      <c r="C15" s="1347" t="s">
        <v>4389</v>
      </c>
      <c r="D15" s="1005" t="s">
        <v>85</v>
      </c>
      <c r="E15" s="1304" t="s">
        <v>126</v>
      </c>
      <c r="F15" s="343">
        <v>2246</v>
      </c>
      <c r="G15" s="343"/>
      <c r="H15" s="343">
        <v>0</v>
      </c>
      <c r="I15" s="343"/>
      <c r="J15" s="343"/>
      <c r="K15" s="343"/>
      <c r="L15" s="277">
        <v>5000</v>
      </c>
      <c r="M15" s="281">
        <f>L15/100000</f>
        <v>0.05</v>
      </c>
      <c r="N15" s="277">
        <v>2248</v>
      </c>
      <c r="O15" s="1348">
        <f>N15*M15</f>
        <v>112.4</v>
      </c>
      <c r="P15" s="791" t="s">
        <v>5426</v>
      </c>
      <c r="Q15" s="1003" t="str">
        <f>'Ab1. RMNCH+A'!Q128</f>
        <v xml:space="preserve">New Activity: Recommended for approval of Rs.112.40 lakh for procuremnt of 2248 digital invaisve hemoglobinometers @ Rs 5000/device. </v>
      </c>
      <c r="R15" s="2867">
        <f>'Ab1. RMNCH+A'!R128</f>
        <v>112.4</v>
      </c>
      <c r="BB15" s="3214">
        <v>112.4</v>
      </c>
      <c r="BC15" s="3214"/>
      <c r="BD15" s="3214"/>
      <c r="BE15" s="3214"/>
      <c r="BF15" s="3214"/>
      <c r="BG15" s="3214"/>
      <c r="BH15" s="3214"/>
      <c r="BI15" s="3214"/>
      <c r="BJ15" s="3214"/>
      <c r="BK15" s="3214"/>
      <c r="BL15" s="3214"/>
      <c r="BM15" s="3214"/>
      <c r="BN15" s="3214"/>
      <c r="BO15" s="3214"/>
      <c r="BP15" s="3214"/>
      <c r="BQ15" s="3214"/>
      <c r="BR15" s="3214"/>
      <c r="BS15" s="3214"/>
      <c r="BT15" s="3214"/>
      <c r="BU15" s="3214"/>
      <c r="BV15" s="3214"/>
      <c r="BW15" s="3214"/>
      <c r="BX15" s="3214"/>
      <c r="BY15" s="3214"/>
      <c r="BZ15" s="3214"/>
      <c r="CA15" s="3214"/>
      <c r="CB15" s="3214"/>
      <c r="CC15" s="3214"/>
      <c r="CD15" s="3214"/>
      <c r="CE15" s="3214"/>
      <c r="CF15" s="3214"/>
      <c r="CG15" s="3214"/>
      <c r="CH15" s="3214"/>
      <c r="CI15" s="3215">
        <f t="shared" si="0"/>
        <v>112.4</v>
      </c>
    </row>
    <row r="16" spans="1:87" s="1302" customFormat="1" ht="101.25" customHeight="1">
      <c r="A16" s="1317" t="s">
        <v>4390</v>
      </c>
      <c r="B16" s="521"/>
      <c r="C16" s="1347" t="s">
        <v>4391</v>
      </c>
      <c r="D16" s="2254" t="s">
        <v>85</v>
      </c>
      <c r="E16" s="1304" t="s">
        <v>126</v>
      </c>
      <c r="F16" s="343">
        <v>1</v>
      </c>
      <c r="G16" s="343"/>
      <c r="H16" s="343">
        <v>2.5</v>
      </c>
      <c r="I16" s="343"/>
      <c r="J16" s="343">
        <v>2.5</v>
      </c>
      <c r="K16" s="343">
        <v>1</v>
      </c>
      <c r="L16" s="283">
        <v>35000</v>
      </c>
      <c r="M16" s="2261">
        <f>L16/100000</f>
        <v>0.35</v>
      </c>
      <c r="N16" s="283">
        <v>50</v>
      </c>
      <c r="O16" s="1348">
        <f>N16*M16</f>
        <v>17.5</v>
      </c>
      <c r="P16" s="791" t="s">
        <v>5357</v>
      </c>
      <c r="Q16" s="2257" t="str">
        <f>'Ab1. RMNCH+A'!Q129</f>
        <v xml:space="preserve">New Activity:Recommended for approval Rs 17.50 lakhs for procurement of handleld Pulse Oxymeter @ Rs 35,000 per unit for 50 units/50 HWCs with high load OPDs in Chamba and Mandi districts under SAANS program. State to procure these through competitive bidding. </v>
      </c>
      <c r="R16" s="2869">
        <f>'Ab1. RMNCH+A'!R129</f>
        <v>17.5</v>
      </c>
      <c r="S16" s="3017"/>
      <c r="BB16" s="3214">
        <v>17.5</v>
      </c>
      <c r="BC16" s="3214"/>
      <c r="BD16" s="3214"/>
      <c r="BE16" s="3214"/>
      <c r="BF16" s="3214"/>
      <c r="BG16" s="3214"/>
      <c r="BH16" s="3214"/>
      <c r="BI16" s="3214"/>
      <c r="BJ16" s="3214"/>
      <c r="BK16" s="3214"/>
      <c r="BL16" s="3214"/>
      <c r="BM16" s="3214"/>
      <c r="BN16" s="3214"/>
      <c r="BO16" s="3214"/>
      <c r="BP16" s="3214"/>
      <c r="BQ16" s="3214"/>
      <c r="BR16" s="3214"/>
      <c r="BS16" s="3214"/>
      <c r="BT16" s="3214"/>
      <c r="BU16" s="3214"/>
      <c r="BV16" s="3214"/>
      <c r="BW16" s="3214"/>
      <c r="BX16" s="3214"/>
      <c r="BY16" s="3214"/>
      <c r="BZ16" s="3214"/>
      <c r="CA16" s="3214"/>
      <c r="CB16" s="3214"/>
      <c r="CC16" s="3214"/>
      <c r="CD16" s="3214"/>
      <c r="CE16" s="3214"/>
      <c r="CF16" s="3214"/>
      <c r="CG16" s="3214"/>
      <c r="CH16" s="3214"/>
      <c r="CI16" s="3215">
        <f t="shared" si="0"/>
        <v>17.5</v>
      </c>
    </row>
    <row r="17" spans="1:87" s="1302" customFormat="1" ht="72.75" customHeight="1">
      <c r="A17" s="1317" t="s">
        <v>4131</v>
      </c>
      <c r="B17" s="521"/>
      <c r="C17" s="1480" t="s">
        <v>2751</v>
      </c>
      <c r="D17" s="2254" t="s">
        <v>85</v>
      </c>
      <c r="E17" s="2512" t="s">
        <v>126</v>
      </c>
      <c r="F17" s="293">
        <v>0</v>
      </c>
      <c r="G17" s="293"/>
      <c r="H17" s="293">
        <v>0</v>
      </c>
      <c r="I17" s="293"/>
      <c r="J17" s="293"/>
      <c r="K17" s="293">
        <v>1</v>
      </c>
      <c r="L17" s="283">
        <v>20000</v>
      </c>
      <c r="M17" s="2261">
        <f>L17/100000</f>
        <v>0.2</v>
      </c>
      <c r="N17" s="283">
        <v>15</v>
      </c>
      <c r="O17" s="1348">
        <f>N17*M17</f>
        <v>3</v>
      </c>
      <c r="P17" s="762" t="s">
        <v>5358</v>
      </c>
      <c r="Q17" s="2257" t="str">
        <f>'Ab1. RMNCH+A'!Q130</f>
        <v>New Activity:Rs. 3 lakh is recommended for procurement of 15 KMC Chairs @ Rs. 20000 INR each chair for replacement of old chairs at SNCUs.The State to ensure procurement following due norms and book the expenditure as per actual.</v>
      </c>
      <c r="R17" s="2869">
        <f>'Ab1. RMNCH+A'!R130</f>
        <v>3</v>
      </c>
      <c r="BB17" s="3214">
        <v>2.2000000000000002</v>
      </c>
      <c r="BC17" s="3214"/>
      <c r="BD17" s="3214"/>
      <c r="BE17" s="3214"/>
      <c r="BF17" s="3214"/>
      <c r="BG17" s="3214"/>
      <c r="BH17" s="3214"/>
      <c r="BI17" s="3214"/>
      <c r="BJ17" s="3214"/>
      <c r="BK17" s="3214"/>
      <c r="BL17" s="3214"/>
      <c r="BM17" s="3214"/>
      <c r="BN17" s="3214"/>
      <c r="BO17" s="3214"/>
      <c r="BP17" s="3214"/>
      <c r="BQ17" s="3214"/>
      <c r="BR17" s="3214"/>
      <c r="BS17" s="3214"/>
      <c r="BT17" s="3214"/>
      <c r="BU17" s="3214">
        <v>0.4</v>
      </c>
      <c r="BV17" s="3214"/>
      <c r="BW17" s="3214"/>
      <c r="BX17" s="3214"/>
      <c r="BY17" s="3214"/>
      <c r="BZ17" s="3214"/>
      <c r="CA17" s="3214"/>
      <c r="CB17" s="3214"/>
      <c r="CC17" s="3214"/>
      <c r="CD17" s="3214"/>
      <c r="CE17" s="3214"/>
      <c r="CF17" s="3506">
        <v>0.4</v>
      </c>
      <c r="CG17" s="3214"/>
      <c r="CH17" s="3214"/>
      <c r="CI17" s="3215">
        <f t="shared" si="0"/>
        <v>3</v>
      </c>
    </row>
    <row r="18" spans="1:87" s="1302" customFormat="1" ht="148.5" customHeight="1">
      <c r="A18" s="1317" t="s">
        <v>4392</v>
      </c>
      <c r="B18" s="521" t="s">
        <v>1589</v>
      </c>
      <c r="C18" s="2546" t="s">
        <v>4669</v>
      </c>
      <c r="D18" s="2254" t="s">
        <v>85</v>
      </c>
      <c r="E18" s="1304" t="s">
        <v>126</v>
      </c>
      <c r="F18" s="343">
        <v>0</v>
      </c>
      <c r="G18" s="343"/>
      <c r="H18" s="343">
        <v>0</v>
      </c>
      <c r="I18" s="343"/>
      <c r="J18" s="343"/>
      <c r="K18" s="343">
        <v>1</v>
      </c>
      <c r="L18" s="283">
        <v>5016000</v>
      </c>
      <c r="M18" s="2261">
        <f>L18/100000</f>
        <v>50.16</v>
      </c>
      <c r="N18" s="283">
        <v>1</v>
      </c>
      <c r="O18" s="1348">
        <f>N18*M18</f>
        <v>50.16</v>
      </c>
      <c r="P18" s="791" t="s">
        <v>5359</v>
      </c>
      <c r="Q18" s="2257" t="str">
        <f>'Ab1. RMNCH+A'!Q131</f>
        <v xml:space="preserve">Recommended for approval Rs 50.16 Lakhs for procuring 21 medical equipments for SNCU in the listed districts as mentioned below: Pulse Oxymeter - 2, Cardiac Monitor - 1, Oxygen concentrator - 3, Multipara monitor with neonatal probes - 2, Infantometer - 3, Digital weighing scale - 2, Infusion pump - 2, Radiant warmer - 2, Bubble C-PAP - 1, LED Phototherapy (Double side light) - 1, Double wall incubator with x-ray plate slot - 1, Portable O2 Analyzer - 1, Fluxmeter for measuring phototherapy blue light irradiance - 2, Lyringoscope - 1, ECG machine - 1, Ambu mask - 35.The state has proposed 25 Lakhs INR/unit for Neonatal Ventilators which is on the higher side; State may procure these through competitive biddings. </v>
      </c>
      <c r="R18" s="2869">
        <f>'Ab1. RMNCH+A'!R131</f>
        <v>50.16</v>
      </c>
      <c r="S18" s="3017"/>
      <c r="BB18" s="3214">
        <v>25.04</v>
      </c>
      <c r="BC18" s="3214"/>
      <c r="BD18" s="3214"/>
      <c r="BE18" s="3214"/>
      <c r="BF18" s="3214"/>
      <c r="BG18" s="3214"/>
      <c r="BH18" s="3214">
        <v>1.99</v>
      </c>
      <c r="BI18" s="3214"/>
      <c r="BJ18" s="3214"/>
      <c r="BK18" s="3214"/>
      <c r="BL18" s="3214"/>
      <c r="BM18" s="3214"/>
      <c r="BN18" s="3214"/>
      <c r="BO18" s="3214"/>
      <c r="BP18" s="3214">
        <v>1.24</v>
      </c>
      <c r="BQ18" s="3214"/>
      <c r="BR18" s="3214"/>
      <c r="BS18" s="3214"/>
      <c r="BT18" s="3214">
        <v>8.24</v>
      </c>
      <c r="BU18" s="3214">
        <v>0.84</v>
      </c>
      <c r="BV18" s="3214"/>
      <c r="BW18" s="3214"/>
      <c r="BX18" s="3214"/>
      <c r="BY18" s="3214"/>
      <c r="BZ18" s="3214">
        <v>9.57</v>
      </c>
      <c r="CA18" s="3214"/>
      <c r="CB18" s="3214"/>
      <c r="CC18" s="3214"/>
      <c r="CD18" s="3214">
        <v>1.37</v>
      </c>
      <c r="CE18" s="3214"/>
      <c r="CF18" s="3214">
        <v>1.87</v>
      </c>
      <c r="CG18" s="3214"/>
      <c r="CH18" s="3214"/>
      <c r="CI18" s="3215">
        <f t="shared" si="0"/>
        <v>50.16</v>
      </c>
    </row>
    <row r="19" spans="1:87" ht="30">
      <c r="A19" s="1339" t="s">
        <v>1590</v>
      </c>
      <c r="B19" s="1340" t="s">
        <v>1591</v>
      </c>
      <c r="C19" s="1339" t="s">
        <v>4677</v>
      </c>
      <c r="D19" s="1341"/>
      <c r="E19" s="1341"/>
      <c r="F19" s="338"/>
      <c r="G19" s="338"/>
      <c r="H19" s="338"/>
      <c r="I19" s="338"/>
      <c r="J19" s="338"/>
      <c r="K19" s="338"/>
      <c r="L19" s="338"/>
      <c r="M19" s="1342"/>
      <c r="N19" s="338"/>
      <c r="O19" s="1342">
        <f>SUM(O20:O25)</f>
        <v>48</v>
      </c>
      <c r="P19" s="787"/>
      <c r="Q19" s="1344"/>
      <c r="R19" s="2866">
        <f>SUM(R20:R25)</f>
        <v>48</v>
      </c>
      <c r="BB19" s="3267"/>
      <c r="BC19" s="3267"/>
      <c r="BD19" s="3267"/>
      <c r="BE19" s="3267"/>
      <c r="BF19" s="3267"/>
      <c r="BG19" s="3267"/>
      <c r="BH19" s="3267"/>
      <c r="BI19" s="3267"/>
      <c r="BJ19" s="3267"/>
      <c r="BK19" s="3267"/>
      <c r="BL19" s="3267"/>
      <c r="BM19" s="3267"/>
      <c r="BN19" s="3267"/>
      <c r="BO19" s="3267"/>
      <c r="BP19" s="3267"/>
      <c r="BQ19" s="3267"/>
      <c r="BR19" s="3267"/>
      <c r="BS19" s="3267"/>
      <c r="BT19" s="3267"/>
      <c r="BU19" s="3267"/>
      <c r="BV19" s="3267"/>
      <c r="BW19" s="3267"/>
      <c r="BX19" s="3267"/>
      <c r="BY19" s="3267"/>
      <c r="BZ19" s="3267"/>
      <c r="CA19" s="3267"/>
      <c r="CB19" s="3267"/>
      <c r="CC19" s="3267"/>
      <c r="CD19" s="3267"/>
      <c r="CE19" s="3267"/>
      <c r="CF19" s="3267"/>
      <c r="CG19" s="3267"/>
      <c r="CH19" s="3267"/>
      <c r="CI19" s="3215">
        <f t="shared" si="0"/>
        <v>0</v>
      </c>
    </row>
    <row r="20" spans="1:87">
      <c r="A20" s="1318" t="s">
        <v>4071</v>
      </c>
      <c r="B20" s="509" t="s">
        <v>1592</v>
      </c>
      <c r="C20" s="509" t="s">
        <v>1593</v>
      </c>
      <c r="D20" s="1005" t="s">
        <v>85</v>
      </c>
      <c r="E20" s="1276" t="s">
        <v>86</v>
      </c>
      <c r="F20" s="339">
        <v>0</v>
      </c>
      <c r="G20" s="345"/>
      <c r="H20" s="342">
        <v>0</v>
      </c>
      <c r="I20" s="342"/>
      <c r="J20" s="339"/>
      <c r="K20" s="180"/>
      <c r="L20" s="277"/>
      <c r="M20" s="281">
        <f t="shared" ref="M20:M25" si="1">L20/100000</f>
        <v>0</v>
      </c>
      <c r="N20" s="277"/>
      <c r="O20" s="1345">
        <f t="shared" ref="O20:O25" si="2">N20*M20</f>
        <v>0</v>
      </c>
      <c r="P20" s="788"/>
      <c r="Q20" s="1003" t="str">
        <f>'Ab1. RMNCH+A'!Q225</f>
        <v>--</v>
      </c>
      <c r="R20" s="2867">
        <f>'Ab1. RMNCH+A'!R225</f>
        <v>0</v>
      </c>
      <c r="BB20" s="3267"/>
      <c r="BC20" s="3267"/>
      <c r="BD20" s="3267"/>
      <c r="BE20" s="3267"/>
      <c r="BF20" s="3267"/>
      <c r="BG20" s="3267"/>
      <c r="BH20" s="3267"/>
      <c r="BI20" s="3267"/>
      <c r="BJ20" s="3267"/>
      <c r="BK20" s="3267"/>
      <c r="BL20" s="3267"/>
      <c r="BM20" s="3267"/>
      <c r="BN20" s="3267"/>
      <c r="BO20" s="3267"/>
      <c r="BP20" s="3267"/>
      <c r="BQ20" s="3267"/>
      <c r="BR20" s="3267"/>
      <c r="BS20" s="3267"/>
      <c r="BT20" s="3267"/>
      <c r="BU20" s="3267"/>
      <c r="BV20" s="3267"/>
      <c r="BW20" s="3267"/>
      <c r="BX20" s="3267"/>
      <c r="BY20" s="3267"/>
      <c r="BZ20" s="3267"/>
      <c r="CA20" s="3267"/>
      <c r="CB20" s="3267"/>
      <c r="CC20" s="3267"/>
      <c r="CD20" s="3267"/>
      <c r="CE20" s="3267"/>
      <c r="CF20" s="3267"/>
      <c r="CG20" s="3267"/>
      <c r="CH20" s="3267"/>
      <c r="CI20" s="3215">
        <f t="shared" si="0"/>
        <v>0</v>
      </c>
    </row>
    <row r="21" spans="1:87">
      <c r="A21" s="1318" t="s">
        <v>4072</v>
      </c>
      <c r="B21" s="509" t="s">
        <v>1594</v>
      </c>
      <c r="C21" s="509" t="s">
        <v>1595</v>
      </c>
      <c r="D21" s="1005" t="s">
        <v>85</v>
      </c>
      <c r="E21" s="1276" t="s">
        <v>86</v>
      </c>
      <c r="F21" s="339">
        <v>0</v>
      </c>
      <c r="G21" s="345"/>
      <c r="H21" s="342">
        <v>0</v>
      </c>
      <c r="I21" s="342"/>
      <c r="J21" s="339"/>
      <c r="K21" s="180"/>
      <c r="L21" s="277"/>
      <c r="M21" s="281">
        <f t="shared" si="1"/>
        <v>0</v>
      </c>
      <c r="N21" s="277"/>
      <c r="O21" s="1345">
        <f t="shared" si="2"/>
        <v>0</v>
      </c>
      <c r="P21" s="788"/>
      <c r="Q21" s="1003" t="str">
        <f>'Ab1. RMNCH+A'!Q226</f>
        <v>--</v>
      </c>
      <c r="R21" s="2867">
        <f>'Ab1. RMNCH+A'!R226</f>
        <v>0</v>
      </c>
      <c r="BB21" s="3267"/>
      <c r="BC21" s="3267"/>
      <c r="BD21" s="3267"/>
      <c r="BE21" s="3267"/>
      <c r="BF21" s="3267"/>
      <c r="BG21" s="3267"/>
      <c r="BH21" s="3267"/>
      <c r="BI21" s="3267"/>
      <c r="BJ21" s="3267"/>
      <c r="BK21" s="3267"/>
      <c r="BL21" s="3267"/>
      <c r="BM21" s="3267"/>
      <c r="BN21" s="3267"/>
      <c r="BO21" s="3267"/>
      <c r="BP21" s="3267"/>
      <c r="BQ21" s="3267"/>
      <c r="BR21" s="3267"/>
      <c r="BS21" s="3267"/>
      <c r="BT21" s="3267"/>
      <c r="BU21" s="3267"/>
      <c r="BV21" s="3267"/>
      <c r="BW21" s="3267"/>
      <c r="BX21" s="3267"/>
      <c r="BY21" s="3267"/>
      <c r="BZ21" s="3267"/>
      <c r="CA21" s="3267"/>
      <c r="CB21" s="3267"/>
      <c r="CC21" s="3267"/>
      <c r="CD21" s="3267"/>
      <c r="CE21" s="3267"/>
      <c r="CF21" s="3267"/>
      <c r="CG21" s="3267"/>
      <c r="CH21" s="3267"/>
      <c r="CI21" s="3215">
        <f t="shared" si="0"/>
        <v>0</v>
      </c>
    </row>
    <row r="22" spans="1:87">
      <c r="A22" s="1318" t="s">
        <v>4073</v>
      </c>
      <c r="B22" s="509" t="s">
        <v>1596</v>
      </c>
      <c r="C22" s="509" t="s">
        <v>1597</v>
      </c>
      <c r="D22" s="1005" t="s">
        <v>85</v>
      </c>
      <c r="E22" s="1276" t="s">
        <v>86</v>
      </c>
      <c r="F22" s="339">
        <v>0</v>
      </c>
      <c r="G22" s="346"/>
      <c r="H22" s="342">
        <v>0</v>
      </c>
      <c r="I22" s="342"/>
      <c r="J22" s="339"/>
      <c r="K22" s="180"/>
      <c r="L22" s="277"/>
      <c r="M22" s="281">
        <f t="shared" si="1"/>
        <v>0</v>
      </c>
      <c r="N22" s="277"/>
      <c r="O22" s="1345">
        <f t="shared" si="2"/>
        <v>0</v>
      </c>
      <c r="P22" s="788"/>
      <c r="Q22" s="1003" t="str">
        <f>'Ab1. RMNCH+A'!Q227</f>
        <v>--</v>
      </c>
      <c r="R22" s="2867">
        <f>'Ab1. RMNCH+A'!R227</f>
        <v>0</v>
      </c>
      <c r="BB22" s="3267"/>
      <c r="BC22" s="3267"/>
      <c r="BD22" s="3267"/>
      <c r="BE22" s="3267"/>
      <c r="BF22" s="3267"/>
      <c r="BG22" s="3267"/>
      <c r="BH22" s="3267"/>
      <c r="BI22" s="3267"/>
      <c r="BJ22" s="3267"/>
      <c r="BK22" s="3267"/>
      <c r="BL22" s="3267"/>
      <c r="BM22" s="3267"/>
      <c r="BN22" s="3267"/>
      <c r="BO22" s="3267"/>
      <c r="BP22" s="3267"/>
      <c r="BQ22" s="3267"/>
      <c r="BR22" s="3267"/>
      <c r="BS22" s="3267"/>
      <c r="BT22" s="3267"/>
      <c r="BU22" s="3267"/>
      <c r="BV22" s="3267"/>
      <c r="BW22" s="3267"/>
      <c r="BX22" s="3267"/>
      <c r="BY22" s="3267"/>
      <c r="BZ22" s="3267"/>
      <c r="CA22" s="3267"/>
      <c r="CB22" s="3267"/>
      <c r="CC22" s="3267"/>
      <c r="CD22" s="3267"/>
      <c r="CE22" s="3267"/>
      <c r="CF22" s="3267"/>
      <c r="CG22" s="3267"/>
      <c r="CH22" s="3267"/>
      <c r="CI22" s="3215">
        <f t="shared" si="0"/>
        <v>0</v>
      </c>
    </row>
    <row r="23" spans="1:87" s="1302" customFormat="1" ht="57" customHeight="1">
      <c r="A23" s="1317" t="s">
        <v>4074</v>
      </c>
      <c r="B23" s="521" t="s">
        <v>1598</v>
      </c>
      <c r="C23" s="521" t="s">
        <v>1599</v>
      </c>
      <c r="D23" s="2254" t="s">
        <v>85</v>
      </c>
      <c r="E23" s="1304" t="s">
        <v>86</v>
      </c>
      <c r="F23" s="343">
        <v>0</v>
      </c>
      <c r="G23" s="2547"/>
      <c r="H23" s="2356">
        <v>0</v>
      </c>
      <c r="I23" s="2356"/>
      <c r="J23" s="2548"/>
      <c r="K23" s="2549">
        <v>1</v>
      </c>
      <c r="L23" s="2536">
        <v>800000</v>
      </c>
      <c r="M23" s="2261">
        <f t="shared" si="1"/>
        <v>8</v>
      </c>
      <c r="N23" s="283">
        <v>6</v>
      </c>
      <c r="O23" s="1348">
        <f t="shared" si="2"/>
        <v>48</v>
      </c>
      <c r="P23" s="2550" t="s">
        <v>5326</v>
      </c>
      <c r="Q23" s="2257" t="str">
        <f>'Ab1. RMNCH+A'!Q228</f>
        <v>Ongoing activity :Rs 48.00 lakhs is approved  to procure 6 laproscopes with insuffalator @Rs 800000/laparoscope</v>
      </c>
      <c r="R23" s="2869">
        <f>'Ab1. RMNCH+A'!R228</f>
        <v>48</v>
      </c>
      <c r="BB23" s="3214">
        <v>48</v>
      </c>
      <c r="BC23" s="3214"/>
      <c r="BD23" s="3214"/>
      <c r="BE23" s="3214"/>
      <c r="BF23" s="3214"/>
      <c r="BG23" s="3214"/>
      <c r="BH23" s="3214"/>
      <c r="BI23" s="3214"/>
      <c r="BJ23" s="3214"/>
      <c r="BK23" s="3214"/>
      <c r="BL23" s="3214"/>
      <c r="BM23" s="3214"/>
      <c r="BN23" s="3214"/>
      <c r="BO23" s="3214"/>
      <c r="BP23" s="3214"/>
      <c r="BQ23" s="3214"/>
      <c r="BR23" s="3214"/>
      <c r="BS23" s="3214"/>
      <c r="BT23" s="3214"/>
      <c r="BU23" s="3214"/>
      <c r="BV23" s="3214"/>
      <c r="BW23" s="3214"/>
      <c r="BX23" s="3214"/>
      <c r="BY23" s="3214"/>
      <c r="BZ23" s="3214"/>
      <c r="CA23" s="3214"/>
      <c r="CB23" s="3214"/>
      <c r="CC23" s="3214"/>
      <c r="CD23" s="3214"/>
      <c r="CE23" s="3214"/>
      <c r="CF23" s="3214"/>
      <c r="CG23" s="3214"/>
      <c r="CH23" s="3214"/>
      <c r="CI23" s="3215">
        <f t="shared" si="0"/>
        <v>48</v>
      </c>
    </row>
    <row r="24" spans="1:87">
      <c r="A24" s="1318" t="s">
        <v>4075</v>
      </c>
      <c r="B24" s="509" t="s">
        <v>1600</v>
      </c>
      <c r="C24" s="509" t="s">
        <v>1601</v>
      </c>
      <c r="D24" s="1005" t="s">
        <v>85</v>
      </c>
      <c r="E24" s="1276" t="s">
        <v>86</v>
      </c>
      <c r="F24" s="339">
        <v>0</v>
      </c>
      <c r="G24" s="345"/>
      <c r="H24" s="342">
        <v>0</v>
      </c>
      <c r="I24" s="342"/>
      <c r="J24" s="339"/>
      <c r="K24" s="180"/>
      <c r="L24" s="277"/>
      <c r="M24" s="281">
        <f t="shared" si="1"/>
        <v>0</v>
      </c>
      <c r="N24" s="277"/>
      <c r="O24" s="1345">
        <f t="shared" si="2"/>
        <v>0</v>
      </c>
      <c r="P24" s="788"/>
      <c r="Q24" s="1003" t="str">
        <f>'Ab1. RMNCH+A'!Q229</f>
        <v>--</v>
      </c>
      <c r="R24" s="2867">
        <f>'Ab1. RMNCH+A'!R229</f>
        <v>0</v>
      </c>
      <c r="BB24" s="3267"/>
      <c r="BC24" s="3267"/>
      <c r="BD24" s="3267"/>
      <c r="BE24" s="3267"/>
      <c r="BF24" s="3267"/>
      <c r="BG24" s="3267"/>
      <c r="BH24" s="3267"/>
      <c r="BI24" s="3267"/>
      <c r="BJ24" s="3267"/>
      <c r="BK24" s="3267"/>
      <c r="BL24" s="3267"/>
      <c r="BM24" s="3267"/>
      <c r="BN24" s="3267"/>
      <c r="BO24" s="3267"/>
      <c r="BP24" s="3267"/>
      <c r="BQ24" s="3267"/>
      <c r="BR24" s="3267"/>
      <c r="BS24" s="3267"/>
      <c r="BT24" s="3267"/>
      <c r="BU24" s="3267"/>
      <c r="BV24" s="3267"/>
      <c r="BW24" s="3267"/>
      <c r="BX24" s="3267"/>
      <c r="BY24" s="3267"/>
      <c r="BZ24" s="3267"/>
      <c r="CA24" s="3267"/>
      <c r="CB24" s="3267"/>
      <c r="CC24" s="3267"/>
      <c r="CD24" s="3267"/>
      <c r="CE24" s="3267"/>
      <c r="CF24" s="3267"/>
      <c r="CG24" s="3267"/>
      <c r="CH24" s="3267"/>
      <c r="CI24" s="3215">
        <f t="shared" si="0"/>
        <v>0</v>
      </c>
    </row>
    <row r="25" spans="1:87" ht="30">
      <c r="A25" s="1318" t="s">
        <v>4076</v>
      </c>
      <c r="B25" s="509" t="s">
        <v>1603</v>
      </c>
      <c r="C25" s="509" t="s">
        <v>1585</v>
      </c>
      <c r="D25" s="1005" t="s">
        <v>85</v>
      </c>
      <c r="E25" s="1276" t="s">
        <v>86</v>
      </c>
      <c r="F25" s="339">
        <v>0</v>
      </c>
      <c r="G25" s="345"/>
      <c r="H25" s="342">
        <v>0</v>
      </c>
      <c r="I25" s="342"/>
      <c r="J25" s="339"/>
      <c r="K25" s="340"/>
      <c r="L25" s="277"/>
      <c r="M25" s="281">
        <f t="shared" si="1"/>
        <v>0</v>
      </c>
      <c r="N25" s="277"/>
      <c r="O25" s="1345">
        <f t="shared" si="2"/>
        <v>0</v>
      </c>
      <c r="P25" s="788"/>
      <c r="Q25" s="1003" t="str">
        <f>'Ab1. RMNCH+A'!Q230</f>
        <v>--</v>
      </c>
      <c r="R25" s="2867">
        <f>'Ab1. RMNCH+A'!R230</f>
        <v>0</v>
      </c>
      <c r="BB25" s="3267"/>
      <c r="BC25" s="3267"/>
      <c r="BD25" s="3267"/>
      <c r="BE25" s="3267"/>
      <c r="BF25" s="3267"/>
      <c r="BG25" s="3267"/>
      <c r="BH25" s="3267"/>
      <c r="BI25" s="3267"/>
      <c r="BJ25" s="3267"/>
      <c r="BK25" s="3267"/>
      <c r="BL25" s="3267"/>
      <c r="BM25" s="3267"/>
      <c r="BN25" s="3267"/>
      <c r="BO25" s="3267"/>
      <c r="BP25" s="3267"/>
      <c r="BQ25" s="3267"/>
      <c r="BR25" s="3267"/>
      <c r="BS25" s="3267"/>
      <c r="BT25" s="3267"/>
      <c r="BU25" s="3267"/>
      <c r="BV25" s="3267"/>
      <c r="BW25" s="3267"/>
      <c r="BX25" s="3267"/>
      <c r="BY25" s="3267"/>
      <c r="BZ25" s="3267"/>
      <c r="CA25" s="3267"/>
      <c r="CB25" s="3267"/>
      <c r="CC25" s="3267"/>
      <c r="CD25" s="3267"/>
      <c r="CE25" s="3267"/>
      <c r="CF25" s="3267"/>
      <c r="CG25" s="3267"/>
      <c r="CH25" s="3267"/>
      <c r="CI25" s="3215">
        <f t="shared" si="0"/>
        <v>0</v>
      </c>
    </row>
    <row r="26" spans="1:87" ht="30">
      <c r="A26" s="1339" t="s">
        <v>1604</v>
      </c>
      <c r="B26" s="1340" t="s">
        <v>1605</v>
      </c>
      <c r="C26" s="1339" t="s">
        <v>4678</v>
      </c>
      <c r="D26" s="1341"/>
      <c r="E26" s="1350"/>
      <c r="F26" s="338"/>
      <c r="G26" s="338"/>
      <c r="H26" s="338"/>
      <c r="I26" s="338"/>
      <c r="J26" s="338"/>
      <c r="K26" s="338"/>
      <c r="L26" s="338"/>
      <c r="M26" s="1342"/>
      <c r="N26" s="338"/>
      <c r="O26" s="1342">
        <f>SUM(O27:O28)</f>
        <v>0</v>
      </c>
      <c r="P26" s="787"/>
      <c r="Q26" s="1344"/>
      <c r="R26" s="2866">
        <f>SUM(R27:R28)</f>
        <v>0</v>
      </c>
      <c r="BB26" s="3267"/>
      <c r="BC26" s="3267"/>
      <c r="BD26" s="3267"/>
      <c r="BE26" s="3267"/>
      <c r="BF26" s="3267"/>
      <c r="BG26" s="3267"/>
      <c r="BH26" s="3267"/>
      <c r="BI26" s="3267"/>
      <c r="BJ26" s="3267"/>
      <c r="BK26" s="3267"/>
      <c r="BL26" s="3267"/>
      <c r="BM26" s="3267"/>
      <c r="BN26" s="3267"/>
      <c r="BO26" s="3267"/>
      <c r="BP26" s="3267"/>
      <c r="BQ26" s="3267"/>
      <c r="BR26" s="3267"/>
      <c r="BS26" s="3267"/>
      <c r="BT26" s="3267"/>
      <c r="BU26" s="3267"/>
      <c r="BV26" s="3267"/>
      <c r="BW26" s="3267"/>
      <c r="BX26" s="3267"/>
      <c r="BY26" s="3267"/>
      <c r="BZ26" s="3267"/>
      <c r="CA26" s="3267"/>
      <c r="CB26" s="3267"/>
      <c r="CC26" s="3267"/>
      <c r="CD26" s="3267"/>
      <c r="CE26" s="3267"/>
      <c r="CF26" s="3267"/>
      <c r="CG26" s="3267"/>
      <c r="CH26" s="3267"/>
      <c r="CI26" s="3215">
        <f t="shared" si="0"/>
        <v>0</v>
      </c>
    </row>
    <row r="27" spans="1:87">
      <c r="A27" s="1318" t="s">
        <v>4077</v>
      </c>
      <c r="B27" s="509" t="s">
        <v>1606</v>
      </c>
      <c r="C27" s="509" t="s">
        <v>3950</v>
      </c>
      <c r="D27" s="1005" t="s">
        <v>85</v>
      </c>
      <c r="E27" s="1276" t="s">
        <v>188</v>
      </c>
      <c r="F27" s="339">
        <v>0</v>
      </c>
      <c r="G27" s="339"/>
      <c r="H27" s="339">
        <v>0</v>
      </c>
      <c r="I27" s="339"/>
      <c r="J27" s="339"/>
      <c r="K27" s="340"/>
      <c r="L27" s="277"/>
      <c r="M27" s="281">
        <f>L27/100000</f>
        <v>0</v>
      </c>
      <c r="N27" s="277"/>
      <c r="O27" s="1345">
        <f>N27*M27</f>
        <v>0</v>
      </c>
      <c r="P27" s="788"/>
      <c r="Q27" s="1003" t="str">
        <f>'Ab1. RMNCH+A'!Q305</f>
        <v>-</v>
      </c>
      <c r="R27" s="2867">
        <f>'Ab1. RMNCH+A'!R305</f>
        <v>0</v>
      </c>
      <c r="BB27" s="3267"/>
      <c r="BC27" s="3267"/>
      <c r="BD27" s="3267"/>
      <c r="BE27" s="3267"/>
      <c r="BF27" s="3267"/>
      <c r="BG27" s="3267"/>
      <c r="BH27" s="3267"/>
      <c r="BI27" s="3267"/>
      <c r="BJ27" s="3267"/>
      <c r="BK27" s="3267"/>
      <c r="BL27" s="3267"/>
      <c r="BM27" s="3267"/>
      <c r="BN27" s="3267"/>
      <c r="BO27" s="3267"/>
      <c r="BP27" s="3267"/>
      <c r="BQ27" s="3267"/>
      <c r="BR27" s="3267"/>
      <c r="BS27" s="3267"/>
      <c r="BT27" s="3267"/>
      <c r="BU27" s="3267"/>
      <c r="BV27" s="3267"/>
      <c r="BW27" s="3267"/>
      <c r="BX27" s="3267"/>
      <c r="BY27" s="3267"/>
      <c r="BZ27" s="3267"/>
      <c r="CA27" s="3267"/>
      <c r="CB27" s="3267"/>
      <c r="CC27" s="3267"/>
      <c r="CD27" s="3267"/>
      <c r="CE27" s="3267"/>
      <c r="CF27" s="3267"/>
      <c r="CG27" s="3267"/>
      <c r="CH27" s="3267"/>
      <c r="CI27" s="3215">
        <f t="shared" si="0"/>
        <v>0</v>
      </c>
    </row>
    <row r="28" spans="1:87" ht="30">
      <c r="A28" s="1318" t="s">
        <v>4078</v>
      </c>
      <c r="B28" s="509" t="s">
        <v>1607</v>
      </c>
      <c r="C28" s="509" t="s">
        <v>1585</v>
      </c>
      <c r="D28" s="1005" t="s">
        <v>85</v>
      </c>
      <c r="E28" s="1276" t="s">
        <v>188</v>
      </c>
      <c r="F28" s="339">
        <v>0</v>
      </c>
      <c r="G28" s="339"/>
      <c r="H28" s="339">
        <v>0</v>
      </c>
      <c r="I28" s="339"/>
      <c r="J28" s="339"/>
      <c r="K28" s="339"/>
      <c r="L28" s="277"/>
      <c r="M28" s="281">
        <f>L28/100000</f>
        <v>0</v>
      </c>
      <c r="N28" s="277"/>
      <c r="O28" s="1345">
        <f>N28*M28</f>
        <v>0</v>
      </c>
      <c r="P28" s="708"/>
      <c r="Q28" s="1003" t="str">
        <f>'Ab1. RMNCH+A'!Q306</f>
        <v>-</v>
      </c>
      <c r="R28" s="2867">
        <f>'Ab1. RMNCH+A'!R306</f>
        <v>0</v>
      </c>
      <c r="BB28" s="3267"/>
      <c r="BC28" s="3267"/>
      <c r="BD28" s="3267"/>
      <c r="BE28" s="3267"/>
      <c r="BF28" s="3267"/>
      <c r="BG28" s="3267"/>
      <c r="BH28" s="3267"/>
      <c r="BI28" s="3267"/>
      <c r="BJ28" s="3267"/>
      <c r="BK28" s="3267"/>
      <c r="BL28" s="3267"/>
      <c r="BM28" s="3267"/>
      <c r="BN28" s="3267"/>
      <c r="BO28" s="3267"/>
      <c r="BP28" s="3267"/>
      <c r="BQ28" s="3267"/>
      <c r="BR28" s="3267"/>
      <c r="BS28" s="3267"/>
      <c r="BT28" s="3267"/>
      <c r="BU28" s="3267"/>
      <c r="BV28" s="3267"/>
      <c r="BW28" s="3267"/>
      <c r="BX28" s="3267"/>
      <c r="BY28" s="3267"/>
      <c r="BZ28" s="3267"/>
      <c r="CA28" s="3267"/>
      <c r="CB28" s="3267"/>
      <c r="CC28" s="3267"/>
      <c r="CD28" s="3267"/>
      <c r="CE28" s="3267"/>
      <c r="CF28" s="3267"/>
      <c r="CG28" s="3267"/>
      <c r="CH28" s="3267"/>
      <c r="CI28" s="3215">
        <f t="shared" si="0"/>
        <v>0</v>
      </c>
    </row>
    <row r="29" spans="1:87" ht="30">
      <c r="A29" s="1339" t="s">
        <v>1608</v>
      </c>
      <c r="B29" s="1340" t="s">
        <v>1609</v>
      </c>
      <c r="C29" s="1339" t="s">
        <v>4679</v>
      </c>
      <c r="D29" s="1341"/>
      <c r="E29" s="1341"/>
      <c r="F29" s="338"/>
      <c r="G29" s="338"/>
      <c r="H29" s="338"/>
      <c r="I29" s="338"/>
      <c r="J29" s="338"/>
      <c r="K29" s="338"/>
      <c r="L29" s="338"/>
      <c r="M29" s="1342"/>
      <c r="N29" s="338"/>
      <c r="O29" s="1342">
        <f>SUM(O30:O34)</f>
        <v>39.5</v>
      </c>
      <c r="P29" s="787"/>
      <c r="Q29" s="1344"/>
      <c r="R29" s="2866">
        <f>SUM(R30:R34)</f>
        <v>39.5</v>
      </c>
      <c r="BB29" s="3267"/>
      <c r="BC29" s="3267"/>
      <c r="BD29" s="3267"/>
      <c r="BE29" s="3267"/>
      <c r="BF29" s="3267"/>
      <c r="BG29" s="3267"/>
      <c r="BH29" s="3267"/>
      <c r="BI29" s="3267"/>
      <c r="BJ29" s="3267"/>
      <c r="BK29" s="3267"/>
      <c r="BL29" s="3267"/>
      <c r="BM29" s="3267"/>
      <c r="BN29" s="3267"/>
      <c r="BO29" s="3267"/>
      <c r="BP29" s="3267"/>
      <c r="BQ29" s="3267"/>
      <c r="BR29" s="3267"/>
      <c r="BS29" s="3267"/>
      <c r="BT29" s="3267"/>
      <c r="BU29" s="3267"/>
      <c r="BV29" s="3267"/>
      <c r="BW29" s="3267"/>
      <c r="BX29" s="3267"/>
      <c r="BY29" s="3267"/>
      <c r="BZ29" s="3267"/>
      <c r="CA29" s="3267"/>
      <c r="CB29" s="3267"/>
      <c r="CC29" s="3267"/>
      <c r="CD29" s="3267"/>
      <c r="CE29" s="3267"/>
      <c r="CF29" s="3267"/>
      <c r="CG29" s="3267"/>
      <c r="CH29" s="3267"/>
      <c r="CI29" s="3215">
        <f t="shared" si="0"/>
        <v>0</v>
      </c>
    </row>
    <row r="30" spans="1:87" s="1302" customFormat="1" ht="90">
      <c r="A30" s="1317" t="s">
        <v>4079</v>
      </c>
      <c r="B30" s="521" t="s">
        <v>1610</v>
      </c>
      <c r="C30" s="2551" t="s">
        <v>1611</v>
      </c>
      <c r="D30" s="2254" t="s">
        <v>85</v>
      </c>
      <c r="E30" s="1304" t="s">
        <v>91</v>
      </c>
      <c r="F30" s="343">
        <v>150</v>
      </c>
      <c r="G30" s="2454"/>
      <c r="H30" s="2356">
        <v>4.5</v>
      </c>
      <c r="I30" s="2356">
        <v>0.32</v>
      </c>
      <c r="J30" s="343">
        <v>4.18</v>
      </c>
      <c r="K30" s="343">
        <v>1</v>
      </c>
      <c r="L30" s="283">
        <v>3000</v>
      </c>
      <c r="M30" s="2261">
        <f>L30/100000</f>
        <v>0.03</v>
      </c>
      <c r="N30" s="283">
        <v>150</v>
      </c>
      <c r="O30" s="1348">
        <f>N30*M30</f>
        <v>4.5</v>
      </c>
      <c r="P30" s="2552" t="s">
        <v>5360</v>
      </c>
      <c r="Q30" s="2257" t="str">
        <f>'Ab1. RMNCH+A'!Q355</f>
        <v xml:space="preserve">Recommended for approval of Rs.4.50 lakhs for procurement of equipments for RBSK Mobile Health Teams as per RBSK Job Aids for screening @ Rs 3000 per set for 150 teams. Expenditure is as per actuals. Equipments for RBSK mobile health teams to be as per RBSK Job Aids. </v>
      </c>
      <c r="R30" s="2869">
        <f>'Ab1. RMNCH+A'!R355</f>
        <v>4.5</v>
      </c>
      <c r="BB30" s="3214">
        <v>0.18</v>
      </c>
      <c r="BC30" s="3214">
        <v>0.21</v>
      </c>
      <c r="BD30" s="3214">
        <v>0.39</v>
      </c>
      <c r="BE30" s="3214">
        <v>0.33</v>
      </c>
      <c r="BF30" s="3214">
        <v>0.96</v>
      </c>
      <c r="BG30" s="3214">
        <v>0.09</v>
      </c>
      <c r="BH30" s="3214">
        <v>0.27</v>
      </c>
      <c r="BI30" s="3214">
        <v>0.06</v>
      </c>
      <c r="BJ30" s="3214">
        <v>0.66</v>
      </c>
      <c r="BK30" s="3214">
        <v>0.42</v>
      </c>
      <c r="BL30" s="3214">
        <v>0.36</v>
      </c>
      <c r="BM30" s="3214">
        <v>0.27</v>
      </c>
      <c r="BN30" s="3214">
        <v>0.3</v>
      </c>
      <c r="BO30" s="3214"/>
      <c r="BP30" s="3214"/>
      <c r="BQ30" s="3214"/>
      <c r="BR30" s="3214"/>
      <c r="BS30" s="3214"/>
      <c r="BT30" s="3214"/>
      <c r="BU30" s="3214"/>
      <c r="BV30" s="3214"/>
      <c r="BW30" s="3214"/>
      <c r="BX30" s="3214"/>
      <c r="BY30" s="3214"/>
      <c r="BZ30" s="3214"/>
      <c r="CA30" s="3214"/>
      <c r="CB30" s="3214"/>
      <c r="CC30" s="3214"/>
      <c r="CD30" s="3214"/>
      <c r="CE30" s="3214"/>
      <c r="CF30" s="3214"/>
      <c r="CG30" s="3214"/>
      <c r="CH30" s="3214"/>
      <c r="CI30" s="3215">
        <f t="shared" si="0"/>
        <v>4.5</v>
      </c>
    </row>
    <row r="31" spans="1:87" s="1302" customFormat="1" ht="109.5" customHeight="1">
      <c r="A31" s="3191" t="s">
        <v>4080</v>
      </c>
      <c r="B31" s="3192" t="s">
        <v>1612</v>
      </c>
      <c r="C31" s="3193" t="s">
        <v>1613</v>
      </c>
      <c r="D31" s="3194" t="s">
        <v>85</v>
      </c>
      <c r="E31" s="3195" t="s">
        <v>91</v>
      </c>
      <c r="F31" s="3196">
        <v>5</v>
      </c>
      <c r="G31" s="3197"/>
      <c r="H31" s="3198">
        <v>50</v>
      </c>
      <c r="I31" s="3198"/>
      <c r="J31" s="3199">
        <v>50</v>
      </c>
      <c r="K31" s="3196"/>
      <c r="L31" s="3200">
        <v>3500000</v>
      </c>
      <c r="M31" s="3201">
        <f>L31/100000</f>
        <v>35</v>
      </c>
      <c r="N31" s="3200">
        <v>1</v>
      </c>
      <c r="O31" s="3202">
        <f>N31*M31</f>
        <v>35</v>
      </c>
      <c r="P31" s="3203" t="s">
        <v>5511</v>
      </c>
      <c r="Q31" s="3188" t="str">
        <f>'Ab1. RMNCH+A'!Q356</f>
        <v>As proposed, Rs 35 lakhs is recommended for approval (Rs. 10 Lakhs for already approved 5 DEICs and Rs.25 lakhs for Kullu DEIC)  as per discussion held in NPCC meeting.The State to ensure that essential equipments as per RBSK Equipment Operational Guidelines is made available in the approved DEICs, where HR would be positioned  -  namely IGMC,Shimla; Dr. RPGMC Tanda; Pt. JLNGMC, Chamba; Dr.RKGMC, Hamirpur; Sh.LBSGMC, Nerchowk Mandi. The State to ensure to make DEICs functional as per RBSK Guidelines. Expenditure will be as per actuals and according to RBSK DEIC essential Guidelines.</v>
      </c>
      <c r="R31" s="3204">
        <f>'Ab1. RMNCH+A'!R356</f>
        <v>35</v>
      </c>
      <c r="S31" s="3205"/>
      <c r="T31" s="3205"/>
      <c r="U31" s="3205"/>
      <c r="V31" s="3205"/>
      <c r="W31" s="3205"/>
      <c r="X31" s="3205"/>
      <c r="Y31" s="3205"/>
      <c r="Z31" s="3205"/>
      <c r="AA31" s="3205"/>
      <c r="AB31" s="3205"/>
      <c r="AC31" s="3205"/>
      <c r="AD31" s="3205"/>
      <c r="AE31" s="3205"/>
      <c r="AF31" s="3205"/>
      <c r="AG31" s="3205"/>
      <c r="AH31" s="3205"/>
      <c r="AI31" s="3205"/>
      <c r="AJ31" s="3205"/>
      <c r="AK31" s="3205"/>
      <c r="AL31" s="3205"/>
      <c r="AM31" s="3205"/>
      <c r="AN31" s="3205"/>
      <c r="AO31" s="3205"/>
      <c r="AP31" s="3205"/>
      <c r="AQ31" s="3205"/>
      <c r="AR31" s="3205"/>
      <c r="AS31" s="3205"/>
      <c r="AT31" s="3205"/>
      <c r="AU31" s="3205"/>
      <c r="AV31" s="3205"/>
      <c r="AW31" s="3205"/>
      <c r="AX31" s="3205"/>
      <c r="AY31" s="3205"/>
      <c r="AZ31" s="3205"/>
      <c r="BA31" s="3205"/>
      <c r="BB31" s="3268">
        <v>35</v>
      </c>
      <c r="BC31" s="3268"/>
      <c r="BD31" s="3268"/>
      <c r="BE31" s="3268"/>
      <c r="BF31" s="3268"/>
      <c r="BG31" s="3268"/>
      <c r="BH31" s="3268"/>
      <c r="BI31" s="3268"/>
      <c r="BJ31" s="3268"/>
      <c r="BK31" s="3268"/>
      <c r="BL31" s="3268"/>
      <c r="BM31" s="3268"/>
      <c r="BN31" s="3268"/>
      <c r="BO31" s="3268"/>
      <c r="BP31" s="3268"/>
      <c r="BQ31" s="3268"/>
      <c r="BR31" s="3268"/>
      <c r="BS31" s="3268"/>
      <c r="BT31" s="3268"/>
      <c r="BU31" s="3268"/>
      <c r="BV31" s="3268"/>
      <c r="BW31" s="3268"/>
      <c r="BX31" s="3268"/>
      <c r="BY31" s="3268"/>
      <c r="BZ31" s="3268"/>
      <c r="CA31" s="3268"/>
      <c r="CB31" s="3268"/>
      <c r="CC31" s="3268"/>
      <c r="CD31" s="3268"/>
      <c r="CE31" s="3268"/>
      <c r="CF31" s="3268"/>
      <c r="CG31" s="3268"/>
      <c r="CH31" s="3268"/>
      <c r="CI31" s="3215">
        <f t="shared" si="0"/>
        <v>35</v>
      </c>
    </row>
    <row r="32" spans="1:87" s="1302" customFormat="1">
      <c r="A32" s="1317" t="s">
        <v>4132</v>
      </c>
      <c r="B32" s="521" t="s">
        <v>1614</v>
      </c>
      <c r="C32" s="2551" t="s">
        <v>1615</v>
      </c>
      <c r="D32" s="2254" t="s">
        <v>85</v>
      </c>
      <c r="E32" s="1304" t="s">
        <v>91</v>
      </c>
      <c r="F32" s="353">
        <v>10</v>
      </c>
      <c r="G32" s="353"/>
      <c r="H32" s="353">
        <v>5</v>
      </c>
      <c r="I32" s="353"/>
      <c r="J32" s="353">
        <v>5</v>
      </c>
      <c r="K32" s="354"/>
      <c r="L32" s="283"/>
      <c r="M32" s="2261">
        <f>L32/100000</f>
        <v>0</v>
      </c>
      <c r="N32" s="283"/>
      <c r="O32" s="1348">
        <f>N32*M32</f>
        <v>0</v>
      </c>
      <c r="P32" s="791"/>
      <c r="Q32" s="2257" t="str">
        <f>'Ab1. RMNCH+A'!Q357</f>
        <v>-</v>
      </c>
      <c r="R32" s="2869">
        <f>'Ab1. RMNCH+A'!R357</f>
        <v>0</v>
      </c>
      <c r="BB32" s="3214"/>
      <c r="BC32" s="3214"/>
      <c r="BD32" s="3214"/>
      <c r="BE32" s="3214"/>
      <c r="BF32" s="3214"/>
      <c r="BG32" s="3214"/>
      <c r="BH32" s="3214"/>
      <c r="BI32" s="3214"/>
      <c r="BJ32" s="3214"/>
      <c r="BK32" s="3214"/>
      <c r="BL32" s="3214"/>
      <c r="BM32" s="3214"/>
      <c r="BN32" s="3214"/>
      <c r="BO32" s="3214"/>
      <c r="BP32" s="3214"/>
      <c r="BQ32" s="3214"/>
      <c r="BR32" s="3214"/>
      <c r="BS32" s="3214"/>
      <c r="BT32" s="3214"/>
      <c r="BU32" s="3214"/>
      <c r="BV32" s="3214"/>
      <c r="BW32" s="3214"/>
      <c r="BX32" s="3214"/>
      <c r="BY32" s="3214"/>
      <c r="BZ32" s="3214"/>
      <c r="CA32" s="3214"/>
      <c r="CB32" s="3214"/>
      <c r="CC32" s="3214"/>
      <c r="CD32" s="3214"/>
      <c r="CE32" s="3214"/>
      <c r="CF32" s="3214"/>
      <c r="CG32" s="3214"/>
      <c r="CH32" s="3214"/>
      <c r="CI32" s="3215">
        <f t="shared" si="0"/>
        <v>0</v>
      </c>
    </row>
    <row r="33" spans="1:87" s="1302" customFormat="1">
      <c r="A33" s="1317" t="s">
        <v>4133</v>
      </c>
      <c r="B33" s="521" t="s">
        <v>1616</v>
      </c>
      <c r="C33" s="2551" t="s">
        <v>1617</v>
      </c>
      <c r="D33" s="2254" t="s">
        <v>85</v>
      </c>
      <c r="E33" s="1304" t="s">
        <v>91</v>
      </c>
      <c r="F33" s="353">
        <v>5</v>
      </c>
      <c r="G33" s="353"/>
      <c r="H33" s="353">
        <v>2.5</v>
      </c>
      <c r="I33" s="353"/>
      <c r="J33" s="353">
        <v>2.5</v>
      </c>
      <c r="K33" s="354"/>
      <c r="L33" s="283"/>
      <c r="M33" s="2261">
        <f>L33/100000</f>
        <v>0</v>
      </c>
      <c r="N33" s="283"/>
      <c r="O33" s="1348">
        <f>N33*M33</f>
        <v>0</v>
      </c>
      <c r="P33" s="791"/>
      <c r="Q33" s="2257" t="str">
        <f>'Ab1. RMNCH+A'!Q358</f>
        <v>-</v>
      </c>
      <c r="R33" s="2869">
        <f>'Ab1. RMNCH+A'!R358</f>
        <v>0</v>
      </c>
      <c r="BB33" s="3214"/>
      <c r="BC33" s="3214"/>
      <c r="BD33" s="3214"/>
      <c r="BE33" s="3214"/>
      <c r="BF33" s="3214"/>
      <c r="BG33" s="3214"/>
      <c r="BH33" s="3214"/>
      <c r="BI33" s="3214"/>
      <c r="BJ33" s="3214"/>
      <c r="BK33" s="3214"/>
      <c r="BL33" s="3214"/>
      <c r="BM33" s="3214"/>
      <c r="BN33" s="3214"/>
      <c r="BO33" s="3214"/>
      <c r="BP33" s="3214"/>
      <c r="BQ33" s="3214"/>
      <c r="BR33" s="3214"/>
      <c r="BS33" s="3214"/>
      <c r="BT33" s="3214"/>
      <c r="BU33" s="3214"/>
      <c r="BV33" s="3214"/>
      <c r="BW33" s="3214"/>
      <c r="BX33" s="3214"/>
      <c r="BY33" s="3214"/>
      <c r="BZ33" s="3214"/>
      <c r="CA33" s="3214"/>
      <c r="CB33" s="3214"/>
      <c r="CC33" s="3214"/>
      <c r="CD33" s="3214"/>
      <c r="CE33" s="3214"/>
      <c r="CF33" s="3214"/>
      <c r="CG33" s="3214"/>
      <c r="CH33" s="3214"/>
      <c r="CI33" s="3215">
        <f t="shared" si="0"/>
        <v>0</v>
      </c>
    </row>
    <row r="34" spans="1:87" ht="30">
      <c r="A34" s="1319" t="s">
        <v>4081</v>
      </c>
      <c r="B34" s="521"/>
      <c r="C34" s="509" t="s">
        <v>1585</v>
      </c>
      <c r="D34" s="1005" t="s">
        <v>85</v>
      </c>
      <c r="E34" s="1276" t="s">
        <v>91</v>
      </c>
      <c r="F34" s="339">
        <v>0</v>
      </c>
      <c r="G34" s="339"/>
      <c r="H34" s="339">
        <v>0</v>
      </c>
      <c r="I34" s="339"/>
      <c r="J34" s="339"/>
      <c r="K34" s="340"/>
      <c r="L34" s="277"/>
      <c r="M34" s="281">
        <f>L34/100000</f>
        <v>0</v>
      </c>
      <c r="N34" s="277"/>
      <c r="O34" s="1345">
        <f>N34*M34</f>
        <v>0</v>
      </c>
      <c r="P34" s="788"/>
      <c r="Q34" s="1003" t="str">
        <f>'Ab1. RMNCH+A'!Q359</f>
        <v>-</v>
      </c>
      <c r="R34" s="2867">
        <f>'Ab1. RMNCH+A'!R359</f>
        <v>0</v>
      </c>
      <c r="BB34" s="3267"/>
      <c r="BC34" s="3267"/>
      <c r="BD34" s="3267"/>
      <c r="BE34" s="3267"/>
      <c r="BF34" s="3267"/>
      <c r="BG34" s="3267"/>
      <c r="BH34" s="3267"/>
      <c r="BI34" s="3267"/>
      <c r="BJ34" s="3267"/>
      <c r="BK34" s="3267"/>
      <c r="BL34" s="3267"/>
      <c r="BM34" s="3267"/>
      <c r="BN34" s="3267"/>
      <c r="BO34" s="3267"/>
      <c r="BP34" s="3267"/>
      <c r="BQ34" s="3267"/>
      <c r="BR34" s="3267"/>
      <c r="BS34" s="3267"/>
      <c r="BT34" s="3267"/>
      <c r="BU34" s="3267"/>
      <c r="BV34" s="3267"/>
      <c r="BW34" s="3267"/>
      <c r="BX34" s="3267"/>
      <c r="BY34" s="3267"/>
      <c r="BZ34" s="3267"/>
      <c r="CA34" s="3267"/>
      <c r="CB34" s="3267"/>
      <c r="CC34" s="3267"/>
      <c r="CD34" s="3267"/>
      <c r="CE34" s="3267"/>
      <c r="CF34" s="3267"/>
      <c r="CG34" s="3267"/>
      <c r="CH34" s="3267"/>
      <c r="CI34" s="3215">
        <f t="shared" si="0"/>
        <v>0</v>
      </c>
    </row>
    <row r="35" spans="1:87" ht="30">
      <c r="A35" s="1339"/>
      <c r="B35" s="1339"/>
      <c r="C35" s="1339" t="s">
        <v>4648</v>
      </c>
      <c r="D35" s="1351"/>
      <c r="E35" s="1351"/>
      <c r="F35" s="338"/>
      <c r="G35" s="338"/>
      <c r="H35" s="338"/>
      <c r="I35" s="338"/>
      <c r="J35" s="338"/>
      <c r="K35" s="338"/>
      <c r="L35" s="338"/>
      <c r="M35" s="1342"/>
      <c r="N35" s="338"/>
      <c r="O35" s="1342">
        <f>O36+O37</f>
        <v>0</v>
      </c>
      <c r="P35" s="787"/>
      <c r="Q35" s="1344"/>
      <c r="R35" s="2866">
        <f>R36+R37</f>
        <v>0</v>
      </c>
      <c r="BB35" s="3267"/>
      <c r="BC35" s="3267"/>
      <c r="BD35" s="3267"/>
      <c r="BE35" s="3267"/>
      <c r="BF35" s="3267"/>
      <c r="BG35" s="3267"/>
      <c r="BH35" s="3267"/>
      <c r="BI35" s="3267"/>
      <c r="BJ35" s="3267"/>
      <c r="BK35" s="3267"/>
      <c r="BL35" s="3267"/>
      <c r="BM35" s="3267"/>
      <c r="BN35" s="3267"/>
      <c r="BO35" s="3267"/>
      <c r="BP35" s="3267"/>
      <c r="BQ35" s="3267"/>
      <c r="BR35" s="3267"/>
      <c r="BS35" s="3267"/>
      <c r="BT35" s="3267"/>
      <c r="BU35" s="3267"/>
      <c r="BV35" s="3267"/>
      <c r="BW35" s="3267"/>
      <c r="BX35" s="3267"/>
      <c r="BY35" s="3267"/>
      <c r="BZ35" s="3267"/>
      <c r="CA35" s="3267"/>
      <c r="CB35" s="3267"/>
      <c r="CC35" s="3267"/>
      <c r="CD35" s="3267"/>
      <c r="CE35" s="3267"/>
      <c r="CF35" s="3267"/>
      <c r="CG35" s="3267"/>
      <c r="CH35" s="3267"/>
      <c r="CI35" s="3215">
        <f t="shared" si="0"/>
        <v>0</v>
      </c>
    </row>
    <row r="36" spans="1:87" s="1302" customFormat="1">
      <c r="A36" s="1317" t="s">
        <v>4093</v>
      </c>
      <c r="B36" s="521" t="s">
        <v>1629</v>
      </c>
      <c r="C36" s="521" t="s">
        <v>1630</v>
      </c>
      <c r="D36" s="2324" t="s">
        <v>85</v>
      </c>
      <c r="E36" s="1304" t="s">
        <v>200</v>
      </c>
      <c r="F36" s="353">
        <v>0</v>
      </c>
      <c r="G36" s="353"/>
      <c r="H36" s="2356">
        <v>0</v>
      </c>
      <c r="I36" s="2356"/>
      <c r="J36" s="80"/>
      <c r="K36" s="290"/>
      <c r="L36" s="283"/>
      <c r="M36" s="2261">
        <f>L36/100000</f>
        <v>0</v>
      </c>
      <c r="N36" s="283"/>
      <c r="O36" s="1348">
        <f>N36*M36</f>
        <v>0</v>
      </c>
      <c r="P36" s="762" t="s">
        <v>5405</v>
      </c>
      <c r="Q36" s="2257" t="str">
        <f>'Ab1. RMNCH+A'!Q410</f>
        <v>--</v>
      </c>
      <c r="R36" s="2869">
        <f>'Ab1. RMNCH+A'!R410</f>
        <v>0</v>
      </c>
      <c r="BB36" s="3214"/>
      <c r="BC36" s="3214"/>
      <c r="BD36" s="3214"/>
      <c r="BE36" s="3214"/>
      <c r="BF36" s="3214"/>
      <c r="BG36" s="3214"/>
      <c r="BH36" s="3214"/>
      <c r="BI36" s="3214"/>
      <c r="BJ36" s="3214"/>
      <c r="BK36" s="3214"/>
      <c r="BL36" s="3214"/>
      <c r="BM36" s="3214"/>
      <c r="BN36" s="3214"/>
      <c r="BO36" s="3214"/>
      <c r="BP36" s="3214"/>
      <c r="BQ36" s="3214"/>
      <c r="BR36" s="3214"/>
      <c r="BS36" s="3214"/>
      <c r="BT36" s="3214"/>
      <c r="BU36" s="3214"/>
      <c r="BV36" s="3214"/>
      <c r="BW36" s="3214"/>
      <c r="BX36" s="3214"/>
      <c r="BY36" s="3214"/>
      <c r="BZ36" s="3214"/>
      <c r="CA36" s="3214"/>
      <c r="CB36" s="3214"/>
      <c r="CC36" s="3214"/>
      <c r="CD36" s="3214"/>
      <c r="CE36" s="3214"/>
      <c r="CF36" s="3214"/>
      <c r="CG36" s="3214"/>
      <c r="CH36" s="3214"/>
      <c r="CI36" s="3215">
        <f t="shared" si="0"/>
        <v>0</v>
      </c>
    </row>
    <row r="37" spans="1:87" ht="30">
      <c r="A37" s="1318" t="s">
        <v>4081</v>
      </c>
      <c r="B37" s="521"/>
      <c r="C37" s="509" t="s">
        <v>1585</v>
      </c>
      <c r="D37" s="1301" t="s">
        <v>85</v>
      </c>
      <c r="E37" s="1276" t="s">
        <v>200</v>
      </c>
      <c r="F37" s="339">
        <v>0</v>
      </c>
      <c r="G37" s="339"/>
      <c r="H37" s="339">
        <v>0</v>
      </c>
      <c r="I37" s="339"/>
      <c r="J37" s="339"/>
      <c r="K37" s="340"/>
      <c r="L37" s="277"/>
      <c r="M37" s="281">
        <f>L37/100000</f>
        <v>0</v>
      </c>
      <c r="N37" s="277"/>
      <c r="O37" s="1345">
        <f>N37*M37</f>
        <v>0</v>
      </c>
      <c r="P37" s="788"/>
      <c r="Q37" s="1003" t="str">
        <f>'Ab1. RMNCH+A'!Q411</f>
        <v>--</v>
      </c>
      <c r="R37" s="2867">
        <f>'Ab1. RMNCH+A'!R411</f>
        <v>0</v>
      </c>
      <c r="BB37" s="3267"/>
      <c r="BC37" s="3267"/>
      <c r="BD37" s="3267"/>
      <c r="BE37" s="3267"/>
      <c r="BF37" s="3267"/>
      <c r="BG37" s="3267"/>
      <c r="BH37" s="3267"/>
      <c r="BI37" s="3267"/>
      <c r="BJ37" s="3267"/>
      <c r="BK37" s="3267"/>
      <c r="BL37" s="3267"/>
      <c r="BM37" s="3267"/>
      <c r="BN37" s="3267"/>
      <c r="BO37" s="3267"/>
      <c r="BP37" s="3267"/>
      <c r="BQ37" s="3267"/>
      <c r="BR37" s="3267"/>
      <c r="BS37" s="3267"/>
      <c r="BT37" s="3267"/>
      <c r="BU37" s="3267"/>
      <c r="BV37" s="3267"/>
      <c r="BW37" s="3267"/>
      <c r="BX37" s="3267"/>
      <c r="BY37" s="3267"/>
      <c r="BZ37" s="3267"/>
      <c r="CA37" s="3267"/>
      <c r="CB37" s="3267"/>
      <c r="CC37" s="3267"/>
      <c r="CD37" s="3267"/>
      <c r="CE37" s="3267"/>
      <c r="CF37" s="3267"/>
      <c r="CG37" s="3267"/>
      <c r="CH37" s="3267"/>
      <c r="CI37" s="3215">
        <f t="shared" si="0"/>
        <v>0</v>
      </c>
    </row>
    <row r="38" spans="1:87" ht="45">
      <c r="A38" s="1339" t="s">
        <v>1618</v>
      </c>
      <c r="B38" s="1339"/>
      <c r="C38" s="1339" t="s">
        <v>4649</v>
      </c>
      <c r="D38" s="1351"/>
      <c r="E38" s="1351"/>
      <c r="F38" s="338"/>
      <c r="G38" s="338"/>
      <c r="H38" s="338"/>
      <c r="I38" s="338"/>
      <c r="J38" s="338"/>
      <c r="K38" s="338"/>
      <c r="L38" s="338"/>
      <c r="M38" s="1342"/>
      <c r="N38" s="338"/>
      <c r="O38" s="1342">
        <f>O39+O40</f>
        <v>0</v>
      </c>
      <c r="P38" s="787"/>
      <c r="Q38" s="1344"/>
      <c r="R38" s="2866">
        <f>R39+R40</f>
        <v>0</v>
      </c>
      <c r="BB38" s="3267"/>
      <c r="BC38" s="3267"/>
      <c r="BD38" s="3267"/>
      <c r="BE38" s="3267"/>
      <c r="BF38" s="3267"/>
      <c r="BG38" s="3267"/>
      <c r="BH38" s="3267"/>
      <c r="BI38" s="3267"/>
      <c r="BJ38" s="3267"/>
      <c r="BK38" s="3267"/>
      <c r="BL38" s="3267"/>
      <c r="BM38" s="3267"/>
      <c r="BN38" s="3267"/>
      <c r="BO38" s="3267"/>
      <c r="BP38" s="3267"/>
      <c r="BQ38" s="3267"/>
      <c r="BR38" s="3267"/>
      <c r="BS38" s="3267"/>
      <c r="BT38" s="3267"/>
      <c r="BU38" s="3267"/>
      <c r="BV38" s="3267"/>
      <c r="BW38" s="3267"/>
      <c r="BX38" s="3267"/>
      <c r="BY38" s="3267"/>
      <c r="BZ38" s="3267"/>
      <c r="CA38" s="3267"/>
      <c r="CB38" s="3267"/>
      <c r="CC38" s="3267"/>
      <c r="CD38" s="3267"/>
      <c r="CE38" s="3267"/>
      <c r="CF38" s="3267"/>
      <c r="CG38" s="3267"/>
      <c r="CH38" s="3267"/>
      <c r="CI38" s="3215">
        <f t="shared" si="0"/>
        <v>0</v>
      </c>
    </row>
    <row r="39" spans="1:87" s="1302" customFormat="1" ht="83.25" customHeight="1">
      <c r="A39" s="1317" t="s">
        <v>4082</v>
      </c>
      <c r="B39" s="521"/>
      <c r="C39" s="521" t="s">
        <v>2304</v>
      </c>
      <c r="D39" s="2324" t="s">
        <v>85</v>
      </c>
      <c r="E39" s="1304" t="s">
        <v>203</v>
      </c>
      <c r="F39" s="353">
        <v>0</v>
      </c>
      <c r="G39" s="353"/>
      <c r="H39" s="353">
        <v>0</v>
      </c>
      <c r="I39" s="353"/>
      <c r="J39" s="353"/>
      <c r="K39" s="354"/>
      <c r="L39" s="283"/>
      <c r="M39" s="2261">
        <f>L39/100000</f>
        <v>0</v>
      </c>
      <c r="N39" s="283"/>
      <c r="O39" s="1348">
        <f>N39*M39</f>
        <v>0</v>
      </c>
      <c r="P39" s="791" t="s">
        <v>5208</v>
      </c>
      <c r="Q39" s="2257" t="str">
        <f>'Ab2. NIDDCP'!Q11</f>
        <v>Not recommended. The State had already received Rs. 4.00 lakhs for procurement of equipment for State IDD lab at Kangra in RoP 2020-21.</v>
      </c>
      <c r="R39" s="2869">
        <f>'Ab2. NIDDCP'!R11</f>
        <v>0</v>
      </c>
      <c r="BB39" s="3214"/>
      <c r="BC39" s="3214"/>
      <c r="BD39" s="3214"/>
      <c r="BE39" s="3214"/>
      <c r="BF39" s="3214"/>
      <c r="BG39" s="3214"/>
      <c r="BH39" s="3214"/>
      <c r="BI39" s="3214"/>
      <c r="BJ39" s="3214"/>
      <c r="BK39" s="3214"/>
      <c r="BL39" s="3214"/>
      <c r="BM39" s="3214"/>
      <c r="BN39" s="3214"/>
      <c r="BO39" s="3214"/>
      <c r="BP39" s="3214"/>
      <c r="BQ39" s="3214"/>
      <c r="BR39" s="3214"/>
      <c r="BS39" s="3214"/>
      <c r="BT39" s="3214"/>
      <c r="BU39" s="3214"/>
      <c r="BV39" s="3214"/>
      <c r="BW39" s="3214"/>
      <c r="BX39" s="3214"/>
      <c r="BY39" s="3214"/>
      <c r="BZ39" s="3214"/>
      <c r="CA39" s="3214"/>
      <c r="CB39" s="3214"/>
      <c r="CC39" s="3214"/>
      <c r="CD39" s="3214"/>
      <c r="CE39" s="3214"/>
      <c r="CF39" s="3214"/>
      <c r="CG39" s="3214"/>
      <c r="CH39" s="3214"/>
      <c r="CI39" s="3215">
        <f t="shared" si="0"/>
        <v>0</v>
      </c>
    </row>
    <row r="40" spans="1:87" ht="30">
      <c r="A40" s="1318" t="s">
        <v>4083</v>
      </c>
      <c r="B40" s="521"/>
      <c r="C40" s="509" t="s">
        <v>1585</v>
      </c>
      <c r="D40" s="1301" t="s">
        <v>85</v>
      </c>
      <c r="E40" s="1276" t="s">
        <v>203</v>
      </c>
      <c r="F40" s="69">
        <v>0</v>
      </c>
      <c r="G40" s="69"/>
      <c r="H40" s="69">
        <v>0</v>
      </c>
      <c r="I40" s="69"/>
      <c r="J40" s="69"/>
      <c r="K40" s="340"/>
      <c r="L40" s="277"/>
      <c r="M40" s="281">
        <f>L40/100000</f>
        <v>0</v>
      </c>
      <c r="N40" s="277"/>
      <c r="O40" s="1345">
        <f>N40*M40</f>
        <v>0</v>
      </c>
      <c r="P40" s="789"/>
      <c r="Q40" s="1003">
        <f>'Ab2. NIDDCP'!Q12</f>
        <v>0</v>
      </c>
      <c r="R40" s="2867">
        <f>'Ab2. NIDDCP'!R12</f>
        <v>0</v>
      </c>
      <c r="BB40" s="3267"/>
      <c r="BC40" s="3267"/>
      <c r="BD40" s="3267"/>
      <c r="BE40" s="3267"/>
      <c r="BF40" s="3267"/>
      <c r="BG40" s="3267"/>
      <c r="BH40" s="3267"/>
      <c r="BI40" s="3267"/>
      <c r="BJ40" s="3267"/>
      <c r="BK40" s="3267"/>
      <c r="BL40" s="3267"/>
      <c r="BM40" s="3267"/>
      <c r="BN40" s="3267"/>
      <c r="BO40" s="3267"/>
      <c r="BP40" s="3267"/>
      <c r="BQ40" s="3267"/>
      <c r="BR40" s="3267"/>
      <c r="BS40" s="3267"/>
      <c r="BT40" s="3267"/>
      <c r="BU40" s="3267"/>
      <c r="BV40" s="3267"/>
      <c r="BW40" s="3267"/>
      <c r="BX40" s="3267"/>
      <c r="BY40" s="3267"/>
      <c r="BZ40" s="3267"/>
      <c r="CA40" s="3267"/>
      <c r="CB40" s="3267"/>
      <c r="CC40" s="3267"/>
      <c r="CD40" s="3267"/>
      <c r="CE40" s="3267"/>
      <c r="CF40" s="3267"/>
      <c r="CG40" s="3267"/>
      <c r="CH40" s="3267"/>
      <c r="CI40" s="3215">
        <f t="shared" si="0"/>
        <v>0</v>
      </c>
    </row>
    <row r="41" spans="1:87">
      <c r="A41" s="3918"/>
      <c r="B41" s="3918"/>
      <c r="C41" s="3918"/>
      <c r="D41" s="1200"/>
      <c r="E41" s="1200"/>
      <c r="F41" s="310"/>
      <c r="G41" s="310"/>
      <c r="H41" s="310"/>
      <c r="I41" s="310"/>
      <c r="J41" s="310"/>
      <c r="K41" s="310"/>
      <c r="L41" s="310"/>
      <c r="M41" s="1336"/>
      <c r="N41" s="602"/>
      <c r="O41" s="1336"/>
      <c r="P41" s="720"/>
      <c r="Q41" s="1182"/>
      <c r="R41" s="2865"/>
      <c r="BB41" s="3267"/>
      <c r="BC41" s="3267"/>
      <c r="BD41" s="3267"/>
      <c r="BE41" s="3267"/>
      <c r="BF41" s="3267"/>
      <c r="BG41" s="3267"/>
      <c r="BH41" s="3267"/>
      <c r="BI41" s="3267"/>
      <c r="BJ41" s="3267"/>
      <c r="BK41" s="3267"/>
      <c r="BL41" s="3267"/>
      <c r="BM41" s="3267"/>
      <c r="BN41" s="3267"/>
      <c r="BO41" s="3267"/>
      <c r="BP41" s="3267"/>
      <c r="BQ41" s="3267"/>
      <c r="BR41" s="3267"/>
      <c r="BS41" s="3267"/>
      <c r="BT41" s="3267"/>
      <c r="BU41" s="3267"/>
      <c r="BV41" s="3267"/>
      <c r="BW41" s="3267"/>
      <c r="BX41" s="3267"/>
      <c r="BY41" s="3267"/>
      <c r="BZ41" s="3267"/>
      <c r="CA41" s="3267"/>
      <c r="CB41" s="3267"/>
      <c r="CC41" s="3267"/>
      <c r="CD41" s="3267"/>
      <c r="CE41" s="3267"/>
      <c r="CF41" s="3267"/>
      <c r="CG41" s="3267"/>
      <c r="CH41" s="3267"/>
      <c r="CI41" s="3215">
        <f t="shared" si="0"/>
        <v>0</v>
      </c>
    </row>
    <row r="42" spans="1:87" ht="45">
      <c r="A42" s="1339" t="s">
        <v>1622</v>
      </c>
      <c r="B42" s="1340" t="s">
        <v>1619</v>
      </c>
      <c r="C42" s="1339" t="s">
        <v>4650</v>
      </c>
      <c r="D42" s="1341"/>
      <c r="E42" s="1341"/>
      <c r="F42" s="338"/>
      <c r="G42" s="338"/>
      <c r="H42" s="338"/>
      <c r="I42" s="338"/>
      <c r="J42" s="338"/>
      <c r="K42" s="338"/>
      <c r="L42" s="338"/>
      <c r="M42" s="1342"/>
      <c r="N42" s="338"/>
      <c r="O42" s="1342">
        <f>SUM(O43:O46)</f>
        <v>0</v>
      </c>
      <c r="P42" s="787"/>
      <c r="Q42" s="1344"/>
      <c r="R42" s="2866">
        <f>SUM(R43:R46)</f>
        <v>0</v>
      </c>
      <c r="BB42" s="3267"/>
      <c r="BC42" s="3267"/>
      <c r="BD42" s="3267"/>
      <c r="BE42" s="3267"/>
      <c r="BF42" s="3267"/>
      <c r="BG42" s="3267"/>
      <c r="BH42" s="3267"/>
      <c r="BI42" s="3267"/>
      <c r="BJ42" s="3267"/>
      <c r="BK42" s="3267"/>
      <c r="BL42" s="3267"/>
      <c r="BM42" s="3267"/>
      <c r="BN42" s="3267"/>
      <c r="BO42" s="3267"/>
      <c r="BP42" s="3267"/>
      <c r="BQ42" s="3267"/>
      <c r="BR42" s="3267"/>
      <c r="BS42" s="3267"/>
      <c r="BT42" s="3267"/>
      <c r="BU42" s="3267"/>
      <c r="BV42" s="3267"/>
      <c r="BW42" s="3267"/>
      <c r="BX42" s="3267"/>
      <c r="BY42" s="3267"/>
      <c r="BZ42" s="3267"/>
      <c r="CA42" s="3267"/>
      <c r="CB42" s="3267"/>
      <c r="CC42" s="3267"/>
      <c r="CD42" s="3267"/>
      <c r="CE42" s="3267"/>
      <c r="CF42" s="3267"/>
      <c r="CG42" s="3267"/>
      <c r="CH42" s="3267"/>
      <c r="CI42" s="3215">
        <f t="shared" si="0"/>
        <v>0</v>
      </c>
    </row>
    <row r="43" spans="1:87" ht="30">
      <c r="A43" s="1318" t="s">
        <v>4084</v>
      </c>
      <c r="B43" s="509" t="s">
        <v>1620</v>
      </c>
      <c r="C43" s="509" t="s">
        <v>1621</v>
      </c>
      <c r="D43" s="908" t="s">
        <v>65</v>
      </c>
      <c r="E43" s="1276" t="s">
        <v>4647</v>
      </c>
      <c r="F43" s="349">
        <v>0</v>
      </c>
      <c r="G43" s="349"/>
      <c r="H43" s="349">
        <v>0</v>
      </c>
      <c r="I43" s="349"/>
      <c r="J43" s="349"/>
      <c r="K43" s="340"/>
      <c r="L43" s="277"/>
      <c r="M43" s="281">
        <f>L43/100000</f>
        <v>0</v>
      </c>
      <c r="N43" s="277"/>
      <c r="O43" s="1345">
        <f>N43*M43</f>
        <v>0</v>
      </c>
      <c r="P43" s="789"/>
      <c r="Q43" s="1022"/>
      <c r="R43" s="2870"/>
      <c r="BB43" s="3267"/>
      <c r="BC43" s="3267"/>
      <c r="BD43" s="3267"/>
      <c r="BE43" s="3267"/>
      <c r="BF43" s="3267"/>
      <c r="BG43" s="3267"/>
      <c r="BH43" s="3267"/>
      <c r="BI43" s="3267"/>
      <c r="BJ43" s="3267"/>
      <c r="BK43" s="3267"/>
      <c r="BL43" s="3267"/>
      <c r="BM43" s="3267"/>
      <c r="BN43" s="3267"/>
      <c r="BO43" s="3267"/>
      <c r="BP43" s="3267"/>
      <c r="BQ43" s="3267"/>
      <c r="BR43" s="3267"/>
      <c r="BS43" s="3267"/>
      <c r="BT43" s="3267"/>
      <c r="BU43" s="3267"/>
      <c r="BV43" s="3267"/>
      <c r="BW43" s="3267"/>
      <c r="BX43" s="3267"/>
      <c r="BY43" s="3267"/>
      <c r="BZ43" s="3267"/>
      <c r="CA43" s="3267"/>
      <c r="CB43" s="3267"/>
      <c r="CC43" s="3267"/>
      <c r="CD43" s="3267"/>
      <c r="CE43" s="3267"/>
      <c r="CF43" s="3267"/>
      <c r="CG43" s="3267"/>
      <c r="CH43" s="3267"/>
      <c r="CI43" s="3215">
        <f t="shared" si="0"/>
        <v>0</v>
      </c>
    </row>
    <row r="44" spans="1:87">
      <c r="A44" s="1318" t="s">
        <v>4085</v>
      </c>
      <c r="B44" s="509" t="s">
        <v>1619</v>
      </c>
      <c r="C44" s="509" t="s">
        <v>3951</v>
      </c>
      <c r="D44" s="908" t="s">
        <v>65</v>
      </c>
      <c r="E44" s="1276" t="s">
        <v>737</v>
      </c>
      <c r="F44" s="349">
        <v>0</v>
      </c>
      <c r="G44" s="349"/>
      <c r="H44" s="349">
        <v>0</v>
      </c>
      <c r="I44" s="349"/>
      <c r="J44" s="349"/>
      <c r="K44" s="340"/>
      <c r="L44" s="277"/>
      <c r="M44" s="281">
        <f>L44/100000</f>
        <v>0</v>
      </c>
      <c r="N44" s="277"/>
      <c r="O44" s="1345">
        <f>N44*M44</f>
        <v>0</v>
      </c>
      <c r="P44" s="789"/>
      <c r="Q44" s="1022"/>
      <c r="R44" s="2870"/>
      <c r="BB44" s="3267"/>
      <c r="BC44" s="3267"/>
      <c r="BD44" s="3267"/>
      <c r="BE44" s="3267"/>
      <c r="BF44" s="3267"/>
      <c r="BG44" s="3267"/>
      <c r="BH44" s="3267"/>
      <c r="BI44" s="3267"/>
      <c r="BJ44" s="3267"/>
      <c r="BK44" s="3267"/>
      <c r="BL44" s="3267"/>
      <c r="BM44" s="3267"/>
      <c r="BN44" s="3267"/>
      <c r="BO44" s="3267"/>
      <c r="BP44" s="3267"/>
      <c r="BQ44" s="3267"/>
      <c r="BR44" s="3267"/>
      <c r="BS44" s="3267"/>
      <c r="BT44" s="3267"/>
      <c r="BU44" s="3267"/>
      <c r="BV44" s="3267"/>
      <c r="BW44" s="3267"/>
      <c r="BX44" s="3267"/>
      <c r="BY44" s="3267"/>
      <c r="BZ44" s="3267"/>
      <c r="CA44" s="3267"/>
      <c r="CB44" s="3267"/>
      <c r="CC44" s="3267"/>
      <c r="CD44" s="3267"/>
      <c r="CE44" s="3267"/>
      <c r="CF44" s="3267"/>
      <c r="CG44" s="3267"/>
      <c r="CH44" s="3267"/>
      <c r="CI44" s="3215">
        <f t="shared" si="0"/>
        <v>0</v>
      </c>
    </row>
    <row r="45" spans="1:87" ht="30">
      <c r="A45" s="1318" t="s">
        <v>4087</v>
      </c>
      <c r="B45" s="509" t="s">
        <v>2757</v>
      </c>
      <c r="C45" s="509" t="s">
        <v>2372</v>
      </c>
      <c r="D45" s="908" t="s">
        <v>65</v>
      </c>
      <c r="E45" s="1276" t="s">
        <v>4646</v>
      </c>
      <c r="F45" s="69">
        <v>0</v>
      </c>
      <c r="G45" s="69"/>
      <c r="H45" s="69">
        <v>0</v>
      </c>
      <c r="I45" s="69"/>
      <c r="J45" s="69"/>
      <c r="K45" s="340"/>
      <c r="L45" s="277"/>
      <c r="M45" s="281">
        <f>L45/100000</f>
        <v>0</v>
      </c>
      <c r="N45" s="277"/>
      <c r="O45" s="1345">
        <f>N45*M45</f>
        <v>0</v>
      </c>
      <c r="P45" s="789"/>
      <c r="Q45" s="1022"/>
      <c r="R45" s="2870"/>
      <c r="BB45" s="3267"/>
      <c r="BC45" s="3267"/>
      <c r="BD45" s="3267"/>
      <c r="BE45" s="3267"/>
      <c r="BF45" s="3267"/>
      <c r="BG45" s="3267"/>
      <c r="BH45" s="3267"/>
      <c r="BI45" s="3267"/>
      <c r="BJ45" s="3267"/>
      <c r="BK45" s="3267"/>
      <c r="BL45" s="3267"/>
      <c r="BM45" s="3267"/>
      <c r="BN45" s="3267"/>
      <c r="BO45" s="3267"/>
      <c r="BP45" s="3267"/>
      <c r="BQ45" s="3267"/>
      <c r="BR45" s="3267"/>
      <c r="BS45" s="3267"/>
      <c r="BT45" s="3267"/>
      <c r="BU45" s="3267"/>
      <c r="BV45" s="3267"/>
      <c r="BW45" s="3267"/>
      <c r="BX45" s="3267"/>
      <c r="BY45" s="3267"/>
      <c r="BZ45" s="3267"/>
      <c r="CA45" s="3267"/>
      <c r="CB45" s="3267"/>
      <c r="CC45" s="3267"/>
      <c r="CD45" s="3267"/>
      <c r="CE45" s="3267"/>
      <c r="CF45" s="3267"/>
      <c r="CG45" s="3267"/>
      <c r="CH45" s="3267"/>
      <c r="CI45" s="3215">
        <f t="shared" si="0"/>
        <v>0</v>
      </c>
    </row>
    <row r="46" spans="1:87" ht="30">
      <c r="A46" s="1318" t="s">
        <v>4088</v>
      </c>
      <c r="B46" s="521"/>
      <c r="C46" s="509" t="s">
        <v>1585</v>
      </c>
      <c r="D46" s="908" t="s">
        <v>65</v>
      </c>
      <c r="E46" s="1276" t="s">
        <v>737</v>
      </c>
      <c r="F46" s="69">
        <v>0</v>
      </c>
      <c r="G46" s="69"/>
      <c r="H46" s="69">
        <v>0</v>
      </c>
      <c r="I46" s="69"/>
      <c r="J46" s="69"/>
      <c r="K46" s="340"/>
      <c r="L46" s="277"/>
      <c r="M46" s="281">
        <f>L46/100000</f>
        <v>0</v>
      </c>
      <c r="N46" s="277"/>
      <c r="O46" s="1345">
        <f>N46*M46</f>
        <v>0</v>
      </c>
      <c r="P46" s="789"/>
      <c r="Q46" s="1022"/>
      <c r="R46" s="2870"/>
      <c r="BB46" s="3267"/>
      <c r="BC46" s="3267"/>
      <c r="BD46" s="3267"/>
      <c r="BE46" s="3267"/>
      <c r="BF46" s="3267"/>
      <c r="BG46" s="3267"/>
      <c r="BH46" s="3267"/>
      <c r="BI46" s="3267"/>
      <c r="BJ46" s="3267"/>
      <c r="BK46" s="3267"/>
      <c r="BL46" s="3267"/>
      <c r="BM46" s="3267"/>
      <c r="BN46" s="3267"/>
      <c r="BO46" s="3267"/>
      <c r="BP46" s="3267"/>
      <c r="BQ46" s="3267"/>
      <c r="BR46" s="3267"/>
      <c r="BS46" s="3267"/>
      <c r="BT46" s="3267"/>
      <c r="BU46" s="3267"/>
      <c r="BV46" s="3267"/>
      <c r="BW46" s="3267"/>
      <c r="BX46" s="3267"/>
      <c r="BY46" s="3267"/>
      <c r="BZ46" s="3267"/>
      <c r="CA46" s="3267"/>
      <c r="CB46" s="3267"/>
      <c r="CC46" s="3267"/>
      <c r="CD46" s="3267"/>
      <c r="CE46" s="3267"/>
      <c r="CF46" s="3267"/>
      <c r="CG46" s="3267"/>
      <c r="CH46" s="3267"/>
      <c r="CI46" s="3215">
        <f t="shared" si="0"/>
        <v>0</v>
      </c>
    </row>
    <row r="47" spans="1:87" ht="45">
      <c r="A47" s="1339" t="s">
        <v>1624</v>
      </c>
      <c r="B47" s="1340" t="s">
        <v>1623</v>
      </c>
      <c r="C47" s="1339" t="s">
        <v>4675</v>
      </c>
      <c r="D47" s="1341"/>
      <c r="E47" s="1341"/>
      <c r="F47" s="338"/>
      <c r="G47" s="338"/>
      <c r="H47" s="338"/>
      <c r="I47" s="338"/>
      <c r="J47" s="338"/>
      <c r="K47" s="338"/>
      <c r="L47" s="338"/>
      <c r="M47" s="1342"/>
      <c r="N47" s="338"/>
      <c r="O47" s="1342">
        <f>SUM(O48:O49)</f>
        <v>0</v>
      </c>
      <c r="P47" s="787"/>
      <c r="Q47" s="1344"/>
      <c r="R47" s="2866">
        <f>SUM(R48:R49)</f>
        <v>0</v>
      </c>
      <c r="BB47" s="3267"/>
      <c r="BC47" s="3267"/>
      <c r="BD47" s="3267"/>
      <c r="BE47" s="3267"/>
      <c r="BF47" s="3267"/>
      <c r="BG47" s="3267"/>
      <c r="BH47" s="3267"/>
      <c r="BI47" s="3267"/>
      <c r="BJ47" s="3267"/>
      <c r="BK47" s="3267"/>
      <c r="BL47" s="3267"/>
      <c r="BM47" s="3267"/>
      <c r="BN47" s="3267"/>
      <c r="BO47" s="3267"/>
      <c r="BP47" s="3267"/>
      <c r="BQ47" s="3267"/>
      <c r="BR47" s="3267"/>
      <c r="BS47" s="3267"/>
      <c r="BT47" s="3267"/>
      <c r="BU47" s="3267"/>
      <c r="BV47" s="3267"/>
      <c r="BW47" s="3267"/>
      <c r="BX47" s="3267"/>
      <c r="BY47" s="3267"/>
      <c r="BZ47" s="3267"/>
      <c r="CA47" s="3267"/>
      <c r="CB47" s="3267"/>
      <c r="CC47" s="3267"/>
      <c r="CD47" s="3267"/>
      <c r="CE47" s="3267"/>
      <c r="CF47" s="3267"/>
      <c r="CG47" s="3267"/>
      <c r="CH47" s="3267"/>
      <c r="CI47" s="3215">
        <f t="shared" si="0"/>
        <v>0</v>
      </c>
    </row>
    <row r="48" spans="1:87" ht="45">
      <c r="A48" s="1318" t="s">
        <v>4089</v>
      </c>
      <c r="B48" s="521"/>
      <c r="C48" s="1319" t="s">
        <v>4675</v>
      </c>
      <c r="D48" s="908" t="s">
        <v>65</v>
      </c>
      <c r="E48" s="1276" t="s">
        <v>2763</v>
      </c>
      <c r="F48" s="69">
        <v>0</v>
      </c>
      <c r="G48" s="69"/>
      <c r="H48" s="69">
        <v>0</v>
      </c>
      <c r="I48" s="69"/>
      <c r="J48" s="69"/>
      <c r="K48" s="340"/>
      <c r="L48" s="277"/>
      <c r="M48" s="281">
        <f>L48/100000</f>
        <v>0</v>
      </c>
      <c r="N48" s="277"/>
      <c r="O48" s="1345">
        <f>N48*M48</f>
        <v>0</v>
      </c>
      <c r="P48" s="789"/>
      <c r="Q48" s="1003">
        <f>'Abs7. AYUSH'!Q7</f>
        <v>0</v>
      </c>
      <c r="R48" s="2867">
        <f>'Abs7. AYUSH'!R7</f>
        <v>0</v>
      </c>
      <c r="BB48" s="3267"/>
      <c r="BC48" s="3267"/>
      <c r="BD48" s="3267"/>
      <c r="BE48" s="3267"/>
      <c r="BF48" s="3267"/>
      <c r="BG48" s="3267"/>
      <c r="BH48" s="3267"/>
      <c r="BI48" s="3267"/>
      <c r="BJ48" s="3267"/>
      <c r="BK48" s="3267"/>
      <c r="BL48" s="3267"/>
      <c r="BM48" s="3267"/>
      <c r="BN48" s="3267"/>
      <c r="BO48" s="3267"/>
      <c r="BP48" s="3267"/>
      <c r="BQ48" s="3267"/>
      <c r="BR48" s="3267"/>
      <c r="BS48" s="3267"/>
      <c r="BT48" s="3267"/>
      <c r="BU48" s="3267"/>
      <c r="BV48" s="3267"/>
      <c r="BW48" s="3267"/>
      <c r="BX48" s="3267"/>
      <c r="BY48" s="3267"/>
      <c r="BZ48" s="3267"/>
      <c r="CA48" s="3267"/>
      <c r="CB48" s="3267"/>
      <c r="CC48" s="3267"/>
      <c r="CD48" s="3267"/>
      <c r="CE48" s="3267"/>
      <c r="CF48" s="3267"/>
      <c r="CG48" s="3267"/>
      <c r="CH48" s="3267"/>
      <c r="CI48" s="3215">
        <f t="shared" si="0"/>
        <v>0</v>
      </c>
    </row>
    <row r="49" spans="1:87">
      <c r="A49" s="1318" t="s">
        <v>4090</v>
      </c>
      <c r="B49" s="521"/>
      <c r="C49" s="1352" t="s">
        <v>4375</v>
      </c>
      <c r="D49" s="908" t="s">
        <v>65</v>
      </c>
      <c r="E49" s="1276" t="s">
        <v>2763</v>
      </c>
      <c r="F49" s="69">
        <v>0</v>
      </c>
      <c r="G49" s="69"/>
      <c r="H49" s="69">
        <v>0</v>
      </c>
      <c r="I49" s="69"/>
      <c r="J49" s="69"/>
      <c r="K49" s="340"/>
      <c r="L49" s="277"/>
      <c r="M49" s="281">
        <f>L49/100000</f>
        <v>0</v>
      </c>
      <c r="N49" s="277"/>
      <c r="O49" s="1345">
        <f>N49*M49</f>
        <v>0</v>
      </c>
      <c r="P49" s="789"/>
      <c r="Q49" s="1003">
        <f>'Abs7. AYUSH'!Q8</f>
        <v>0</v>
      </c>
      <c r="R49" s="2867">
        <f>'Abs7. AYUSH'!R8</f>
        <v>0</v>
      </c>
      <c r="BB49" s="3267"/>
      <c r="BC49" s="3267"/>
      <c r="BD49" s="3267"/>
      <c r="BE49" s="3267"/>
      <c r="BF49" s="3267"/>
      <c r="BG49" s="3267"/>
      <c r="BH49" s="3267"/>
      <c r="BI49" s="3267"/>
      <c r="BJ49" s="3267"/>
      <c r="BK49" s="3267"/>
      <c r="BL49" s="3267"/>
      <c r="BM49" s="3267"/>
      <c r="BN49" s="3267"/>
      <c r="BO49" s="3267"/>
      <c r="BP49" s="3267"/>
      <c r="BQ49" s="3267"/>
      <c r="BR49" s="3267"/>
      <c r="BS49" s="3267"/>
      <c r="BT49" s="3267"/>
      <c r="BU49" s="3267"/>
      <c r="BV49" s="3267"/>
      <c r="BW49" s="3267"/>
      <c r="BX49" s="3267"/>
      <c r="BY49" s="3267"/>
      <c r="BZ49" s="3267"/>
      <c r="CA49" s="3267"/>
      <c r="CB49" s="3267"/>
      <c r="CC49" s="3267"/>
      <c r="CD49" s="3267"/>
      <c r="CE49" s="3267"/>
      <c r="CF49" s="3267"/>
      <c r="CG49" s="3267"/>
      <c r="CH49" s="3267"/>
      <c r="CI49" s="3215">
        <f t="shared" si="0"/>
        <v>0</v>
      </c>
    </row>
    <row r="50" spans="1:87" ht="45">
      <c r="A50" s="1339" t="s">
        <v>1626</v>
      </c>
      <c r="B50" s="1340" t="s">
        <v>1625</v>
      </c>
      <c r="C50" s="1339" t="s">
        <v>4651</v>
      </c>
      <c r="D50" s="1341"/>
      <c r="E50" s="1341"/>
      <c r="F50" s="338"/>
      <c r="G50" s="338"/>
      <c r="H50" s="338"/>
      <c r="I50" s="338"/>
      <c r="J50" s="338"/>
      <c r="K50" s="338"/>
      <c r="L50" s="338"/>
      <c r="M50" s="1342"/>
      <c r="N50" s="338"/>
      <c r="O50" s="1342">
        <f>SUM(O51:O52)</f>
        <v>0</v>
      </c>
      <c r="P50" s="787"/>
      <c r="Q50" s="1344"/>
      <c r="R50" s="2866">
        <f>SUM(R51:R52)</f>
        <v>0</v>
      </c>
      <c r="BB50" s="3267"/>
      <c r="BC50" s="3267"/>
      <c r="BD50" s="3267"/>
      <c r="BE50" s="3267"/>
      <c r="BF50" s="3267"/>
      <c r="BG50" s="3267"/>
      <c r="BH50" s="3267"/>
      <c r="BI50" s="3267"/>
      <c r="BJ50" s="3267"/>
      <c r="BK50" s="3267"/>
      <c r="BL50" s="3267"/>
      <c r="BM50" s="3267"/>
      <c r="BN50" s="3267"/>
      <c r="BO50" s="3267"/>
      <c r="BP50" s="3267"/>
      <c r="BQ50" s="3267"/>
      <c r="BR50" s="3267"/>
      <c r="BS50" s="3267"/>
      <c r="BT50" s="3267"/>
      <c r="BU50" s="3267"/>
      <c r="BV50" s="3267"/>
      <c r="BW50" s="3267"/>
      <c r="BX50" s="3267"/>
      <c r="BY50" s="3267"/>
      <c r="BZ50" s="3267"/>
      <c r="CA50" s="3267"/>
      <c r="CB50" s="3267"/>
      <c r="CC50" s="3267"/>
      <c r="CD50" s="3267"/>
      <c r="CE50" s="3267"/>
      <c r="CF50" s="3267"/>
      <c r="CG50" s="3267"/>
      <c r="CH50" s="3267"/>
      <c r="CI50" s="3215">
        <f t="shared" si="0"/>
        <v>0</v>
      </c>
    </row>
    <row r="51" spans="1:87" ht="30">
      <c r="A51" s="1318" t="s">
        <v>4091</v>
      </c>
      <c r="B51" s="521"/>
      <c r="C51" s="1319" t="s">
        <v>3953</v>
      </c>
      <c r="D51" s="908" t="s">
        <v>65</v>
      </c>
      <c r="E51" s="1276" t="s">
        <v>3213</v>
      </c>
      <c r="F51" s="69">
        <v>2</v>
      </c>
      <c r="G51" s="155"/>
      <c r="H51" s="342">
        <v>100</v>
      </c>
      <c r="I51" s="342"/>
      <c r="J51" s="69">
        <v>100</v>
      </c>
      <c r="K51" s="339"/>
      <c r="L51" s="277"/>
      <c r="M51" s="281">
        <f>L51/100000</f>
        <v>0</v>
      </c>
      <c r="N51" s="277"/>
      <c r="O51" s="1345">
        <f>N51*M51</f>
        <v>0</v>
      </c>
      <c r="P51" s="788"/>
      <c r="Q51" s="1003">
        <f>'Abs5. Blood services &amp; Disorder'!Q15</f>
        <v>0</v>
      </c>
      <c r="R51" s="2867">
        <f>'Abs5. Blood services &amp; Disorder'!R15</f>
        <v>0</v>
      </c>
      <c r="BB51" s="3267"/>
      <c r="BC51" s="3267"/>
      <c r="BD51" s="3267"/>
      <c r="BE51" s="3267"/>
      <c r="BF51" s="3267"/>
      <c r="BG51" s="3267"/>
      <c r="BH51" s="3267"/>
      <c r="BI51" s="3267"/>
      <c r="BJ51" s="3267"/>
      <c r="BK51" s="3267"/>
      <c r="BL51" s="3267"/>
      <c r="BM51" s="3267"/>
      <c r="BN51" s="3267"/>
      <c r="BO51" s="3267"/>
      <c r="BP51" s="3267"/>
      <c r="BQ51" s="3267"/>
      <c r="BR51" s="3267"/>
      <c r="BS51" s="3267"/>
      <c r="BT51" s="3267"/>
      <c r="BU51" s="3267"/>
      <c r="BV51" s="3267"/>
      <c r="BW51" s="3267"/>
      <c r="BX51" s="3267"/>
      <c r="BY51" s="3267"/>
      <c r="BZ51" s="3267"/>
      <c r="CA51" s="3267"/>
      <c r="CB51" s="3267"/>
      <c r="CC51" s="3267"/>
      <c r="CD51" s="3267"/>
      <c r="CE51" s="3267"/>
      <c r="CF51" s="3267"/>
      <c r="CG51" s="3267"/>
      <c r="CH51" s="3267"/>
      <c r="CI51" s="3215">
        <f t="shared" si="0"/>
        <v>0</v>
      </c>
    </row>
    <row r="52" spans="1:87" ht="30">
      <c r="A52" s="1318" t="s">
        <v>4092</v>
      </c>
      <c r="B52" s="521"/>
      <c r="C52" s="1319" t="s">
        <v>3954</v>
      </c>
      <c r="D52" s="908" t="s">
        <v>65</v>
      </c>
      <c r="E52" s="1276" t="s">
        <v>3213</v>
      </c>
      <c r="F52" s="69">
        <v>0</v>
      </c>
      <c r="G52" s="155"/>
      <c r="H52" s="342">
        <v>0</v>
      </c>
      <c r="I52" s="342"/>
      <c r="J52" s="69"/>
      <c r="K52" s="339"/>
      <c r="L52" s="277"/>
      <c r="M52" s="281">
        <f>L52/100000</f>
        <v>0</v>
      </c>
      <c r="N52" s="277"/>
      <c r="O52" s="1345">
        <f>N52*M52</f>
        <v>0</v>
      </c>
      <c r="P52" s="788"/>
      <c r="Q52" s="1003">
        <f>'Abs5. Blood services &amp; Disorder'!Q16</f>
        <v>0</v>
      </c>
      <c r="R52" s="2867">
        <f>'Abs5. Blood services &amp; Disorder'!R16</f>
        <v>0</v>
      </c>
      <c r="BB52" s="3267"/>
      <c r="BC52" s="3267"/>
      <c r="BD52" s="3267"/>
      <c r="BE52" s="3267"/>
      <c r="BF52" s="3267"/>
      <c r="BG52" s="3267"/>
      <c r="BH52" s="3267"/>
      <c r="BI52" s="3267"/>
      <c r="BJ52" s="3267"/>
      <c r="BK52" s="3267"/>
      <c r="BL52" s="3267"/>
      <c r="BM52" s="3267"/>
      <c r="BN52" s="3267"/>
      <c r="BO52" s="3267"/>
      <c r="BP52" s="3267"/>
      <c r="BQ52" s="3267"/>
      <c r="BR52" s="3267"/>
      <c r="BS52" s="3267"/>
      <c r="BT52" s="3267"/>
      <c r="BU52" s="3267"/>
      <c r="BV52" s="3267"/>
      <c r="BW52" s="3267"/>
      <c r="BX52" s="3267"/>
      <c r="BY52" s="3267"/>
      <c r="BZ52" s="3267"/>
      <c r="CA52" s="3267"/>
      <c r="CB52" s="3267"/>
      <c r="CC52" s="3267"/>
      <c r="CD52" s="3267"/>
      <c r="CE52" s="3267"/>
      <c r="CF52" s="3267"/>
      <c r="CG52" s="3267"/>
      <c r="CH52" s="3267"/>
      <c r="CI52" s="3215">
        <f t="shared" si="0"/>
        <v>0</v>
      </c>
    </row>
    <row r="53" spans="1:87" ht="30">
      <c r="A53" s="1339" t="s">
        <v>1631</v>
      </c>
      <c r="B53" s="1340" t="s">
        <v>1627</v>
      </c>
      <c r="C53" s="1339" t="s">
        <v>1628</v>
      </c>
      <c r="D53" s="1341"/>
      <c r="E53" s="1341"/>
      <c r="F53" s="338"/>
      <c r="G53" s="338"/>
      <c r="H53" s="338"/>
      <c r="I53" s="338"/>
      <c r="J53" s="338"/>
      <c r="K53" s="338"/>
      <c r="L53" s="338"/>
      <c r="M53" s="1342"/>
      <c r="N53" s="338"/>
      <c r="O53" s="1342">
        <f>SUM(O54:O54)</f>
        <v>0</v>
      </c>
      <c r="P53" s="787"/>
      <c r="Q53" s="1344"/>
      <c r="R53" s="2866">
        <f>SUM(R54:R54)</f>
        <v>0</v>
      </c>
      <c r="BB53" s="3267"/>
      <c r="BC53" s="3267"/>
      <c r="BD53" s="3267"/>
      <c r="BE53" s="3267"/>
      <c r="BF53" s="3267"/>
      <c r="BG53" s="3267"/>
      <c r="BH53" s="3267"/>
      <c r="BI53" s="3267"/>
      <c r="BJ53" s="3267"/>
      <c r="BK53" s="3267"/>
      <c r="BL53" s="3267"/>
      <c r="BM53" s="3267"/>
      <c r="BN53" s="3267"/>
      <c r="BO53" s="3267"/>
      <c r="BP53" s="3267"/>
      <c r="BQ53" s="3267"/>
      <c r="BR53" s="3267"/>
      <c r="BS53" s="3267"/>
      <c r="BT53" s="3267"/>
      <c r="BU53" s="3267"/>
      <c r="BV53" s="3267"/>
      <c r="BW53" s="3267"/>
      <c r="BX53" s="3267"/>
      <c r="BY53" s="3267"/>
      <c r="BZ53" s="3267"/>
      <c r="CA53" s="3267"/>
      <c r="CB53" s="3267"/>
      <c r="CC53" s="3267"/>
      <c r="CD53" s="3267"/>
      <c r="CE53" s="3267"/>
      <c r="CF53" s="3267"/>
      <c r="CG53" s="3267"/>
      <c r="CH53" s="3267"/>
      <c r="CI53" s="3215">
        <f t="shared" si="0"/>
        <v>0</v>
      </c>
    </row>
    <row r="54" spans="1:87">
      <c r="A54" s="1318" t="s">
        <v>4094</v>
      </c>
      <c r="B54" s="509" t="s">
        <v>1607</v>
      </c>
      <c r="C54" s="509"/>
      <c r="D54" s="908" t="s">
        <v>65</v>
      </c>
      <c r="E54" s="1276" t="s">
        <v>65</v>
      </c>
      <c r="F54" s="69">
        <v>0</v>
      </c>
      <c r="G54" s="69"/>
      <c r="H54" s="69">
        <v>0</v>
      </c>
      <c r="I54" s="69"/>
      <c r="J54" s="69"/>
      <c r="K54" s="340"/>
      <c r="L54" s="277"/>
      <c r="M54" s="281">
        <f>L54/100000</f>
        <v>0</v>
      </c>
      <c r="N54" s="277"/>
      <c r="O54" s="1345">
        <f>N54*M54</f>
        <v>0</v>
      </c>
      <c r="P54" s="789"/>
      <c r="Q54" s="1022"/>
      <c r="R54" s="2870"/>
      <c r="BB54" s="3267"/>
      <c r="BC54" s="3267"/>
      <c r="BD54" s="3267"/>
      <c r="BE54" s="3267"/>
      <c r="BF54" s="3267"/>
      <c r="BG54" s="3267"/>
      <c r="BH54" s="3267"/>
      <c r="BI54" s="3267"/>
      <c r="BJ54" s="3267"/>
      <c r="BK54" s="3267"/>
      <c r="BL54" s="3267"/>
      <c r="BM54" s="3267"/>
      <c r="BN54" s="3267"/>
      <c r="BO54" s="3267"/>
      <c r="BP54" s="3267"/>
      <c r="BQ54" s="3267"/>
      <c r="BR54" s="3267"/>
      <c r="BS54" s="3267"/>
      <c r="BT54" s="3267"/>
      <c r="BU54" s="3267"/>
      <c r="BV54" s="3267"/>
      <c r="BW54" s="3267"/>
      <c r="BX54" s="3267"/>
      <c r="BY54" s="3267"/>
      <c r="BZ54" s="3267"/>
      <c r="CA54" s="3267"/>
      <c r="CB54" s="3267"/>
      <c r="CC54" s="3267"/>
      <c r="CD54" s="3267"/>
      <c r="CE54" s="3267"/>
      <c r="CF54" s="3267"/>
      <c r="CG54" s="3267"/>
      <c r="CH54" s="3267"/>
      <c r="CI54" s="3215">
        <f t="shared" si="0"/>
        <v>0</v>
      </c>
    </row>
    <row r="55" spans="1:87" ht="30">
      <c r="A55" s="1339" t="s">
        <v>2750</v>
      </c>
      <c r="B55" s="1340"/>
      <c r="C55" s="1339" t="s">
        <v>1689</v>
      </c>
      <c r="D55" s="1341"/>
      <c r="E55" s="1341"/>
      <c r="F55" s="338"/>
      <c r="G55" s="338"/>
      <c r="H55" s="338"/>
      <c r="I55" s="338"/>
      <c r="J55" s="338"/>
      <c r="K55" s="338"/>
      <c r="L55" s="338"/>
      <c r="M55" s="1342"/>
      <c r="N55" s="338"/>
      <c r="O55" s="1342">
        <f>SUM(O56:O58)</f>
        <v>0</v>
      </c>
      <c r="P55" s="787"/>
      <c r="Q55" s="1344"/>
      <c r="R55" s="2866">
        <f>SUM(R56:R58)</f>
        <v>0</v>
      </c>
      <c r="BB55" s="3267"/>
      <c r="BC55" s="3267"/>
      <c r="BD55" s="3267"/>
      <c r="BE55" s="3267"/>
      <c r="BF55" s="3267"/>
      <c r="BG55" s="3267"/>
      <c r="BH55" s="3267"/>
      <c r="BI55" s="3267"/>
      <c r="BJ55" s="3267"/>
      <c r="BK55" s="3267"/>
      <c r="BL55" s="3267"/>
      <c r="BM55" s="3267"/>
      <c r="BN55" s="3267"/>
      <c r="BO55" s="3267"/>
      <c r="BP55" s="3267"/>
      <c r="BQ55" s="3267"/>
      <c r="BR55" s="3267"/>
      <c r="BS55" s="3267"/>
      <c r="BT55" s="3267"/>
      <c r="BU55" s="3267"/>
      <c r="BV55" s="3267"/>
      <c r="BW55" s="3267"/>
      <c r="BX55" s="3267"/>
      <c r="BY55" s="3267"/>
      <c r="BZ55" s="3267"/>
      <c r="CA55" s="3267"/>
      <c r="CB55" s="3267"/>
      <c r="CC55" s="3267"/>
      <c r="CD55" s="3267"/>
      <c r="CE55" s="3267"/>
      <c r="CF55" s="3267"/>
      <c r="CG55" s="3267"/>
      <c r="CH55" s="3267"/>
      <c r="CI55" s="3215">
        <f t="shared" si="0"/>
        <v>0</v>
      </c>
    </row>
    <row r="56" spans="1:87" s="1302" customFormat="1" ht="45">
      <c r="A56" s="1318" t="s">
        <v>4129</v>
      </c>
      <c r="B56" s="521"/>
      <c r="C56" s="509" t="s">
        <v>4243</v>
      </c>
      <c r="D56" s="908" t="s">
        <v>65</v>
      </c>
      <c r="E56" s="1276" t="s">
        <v>3712</v>
      </c>
      <c r="F56" s="69">
        <v>0</v>
      </c>
      <c r="G56" s="69"/>
      <c r="H56" s="69">
        <v>0</v>
      </c>
      <c r="I56" s="69"/>
      <c r="J56" s="69"/>
      <c r="K56" s="340"/>
      <c r="L56" s="277"/>
      <c r="M56" s="281">
        <f>L56/100000</f>
        <v>0</v>
      </c>
      <c r="N56" s="277"/>
      <c r="O56" s="1345">
        <f>N56*M56</f>
        <v>0</v>
      </c>
      <c r="P56" s="789"/>
      <c r="Q56" s="1022"/>
      <c r="R56" s="2870"/>
      <c r="BB56" s="3214"/>
      <c r="BC56" s="3214"/>
      <c r="BD56" s="3214"/>
      <c r="BE56" s="3214"/>
      <c r="BF56" s="3214"/>
      <c r="BG56" s="3214"/>
      <c r="BH56" s="3214"/>
      <c r="BI56" s="3214"/>
      <c r="BJ56" s="3214"/>
      <c r="BK56" s="3214"/>
      <c r="BL56" s="3214"/>
      <c r="BM56" s="3214"/>
      <c r="BN56" s="3214"/>
      <c r="BO56" s="3214"/>
      <c r="BP56" s="3214"/>
      <c r="BQ56" s="3214"/>
      <c r="BR56" s="3214"/>
      <c r="BS56" s="3214"/>
      <c r="BT56" s="3214"/>
      <c r="BU56" s="3214"/>
      <c r="BV56" s="3214"/>
      <c r="BW56" s="3214"/>
      <c r="BX56" s="3214"/>
      <c r="BY56" s="3214"/>
      <c r="BZ56" s="3214"/>
      <c r="CA56" s="3214"/>
      <c r="CB56" s="3214"/>
      <c r="CC56" s="3214"/>
      <c r="CD56" s="3214"/>
      <c r="CE56" s="3214"/>
      <c r="CF56" s="3214"/>
      <c r="CG56" s="3214"/>
      <c r="CH56" s="3214"/>
      <c r="CI56" s="3215">
        <f t="shared" si="0"/>
        <v>0</v>
      </c>
    </row>
    <row r="57" spans="1:87" s="1302" customFormat="1" ht="75">
      <c r="A57" s="1317" t="s">
        <v>4130</v>
      </c>
      <c r="B57" s="521"/>
      <c r="C57" s="521" t="s">
        <v>4705</v>
      </c>
      <c r="D57" s="908" t="s">
        <v>65</v>
      </c>
      <c r="E57" s="1304" t="s">
        <v>3712</v>
      </c>
      <c r="F57" s="353">
        <v>0</v>
      </c>
      <c r="G57" s="353"/>
      <c r="H57" s="353">
        <v>0</v>
      </c>
      <c r="I57" s="353"/>
      <c r="J57" s="353"/>
      <c r="K57" s="354"/>
      <c r="L57" s="277"/>
      <c r="M57" s="281">
        <f>L57/100000</f>
        <v>0</v>
      </c>
      <c r="N57" s="277"/>
      <c r="O57" s="1348">
        <f>N57*M57</f>
        <v>0</v>
      </c>
      <c r="P57" s="792"/>
      <c r="Q57" s="1003"/>
      <c r="R57" s="2871"/>
      <c r="BB57" s="3214"/>
      <c r="BC57" s="3214"/>
      <c r="BD57" s="3214"/>
      <c r="BE57" s="3214"/>
      <c r="BF57" s="3214"/>
      <c r="BG57" s="3214"/>
      <c r="BH57" s="3214"/>
      <c r="BI57" s="3214"/>
      <c r="BJ57" s="3214"/>
      <c r="BK57" s="3214"/>
      <c r="BL57" s="3214"/>
      <c r="BM57" s="3214"/>
      <c r="BN57" s="3214"/>
      <c r="BO57" s="3214"/>
      <c r="BP57" s="3214"/>
      <c r="BQ57" s="3214"/>
      <c r="BR57" s="3214"/>
      <c r="BS57" s="3214"/>
      <c r="BT57" s="3214"/>
      <c r="BU57" s="3214"/>
      <c r="BV57" s="3214"/>
      <c r="BW57" s="3214"/>
      <c r="BX57" s="3214"/>
      <c r="BY57" s="3214"/>
      <c r="BZ57" s="3214"/>
      <c r="CA57" s="3214"/>
      <c r="CB57" s="3214"/>
      <c r="CC57" s="3214"/>
      <c r="CD57" s="3214"/>
      <c r="CE57" s="3214"/>
      <c r="CF57" s="3214"/>
      <c r="CG57" s="3214"/>
      <c r="CH57" s="3214"/>
      <c r="CI57" s="3215">
        <f t="shared" si="0"/>
        <v>0</v>
      </c>
    </row>
    <row r="58" spans="1:87">
      <c r="A58" s="1317" t="s">
        <v>4400</v>
      </c>
      <c r="B58" s="521"/>
      <c r="C58" s="521" t="s">
        <v>1304</v>
      </c>
      <c r="D58" s="908" t="s">
        <v>65</v>
      </c>
      <c r="E58" s="1304"/>
      <c r="F58" s="353">
        <v>0</v>
      </c>
      <c r="G58" s="353"/>
      <c r="H58" s="353">
        <v>0</v>
      </c>
      <c r="I58" s="353"/>
      <c r="J58" s="353"/>
      <c r="K58" s="354"/>
      <c r="L58" s="277"/>
      <c r="M58" s="281">
        <f>L58/100000</f>
        <v>0</v>
      </c>
      <c r="N58" s="277"/>
      <c r="O58" s="1348">
        <f>N58*M58</f>
        <v>0</v>
      </c>
      <c r="P58" s="792"/>
      <c r="Q58" s="1003"/>
      <c r="R58" s="2871"/>
      <c r="BB58" s="3267"/>
      <c r="BC58" s="3267"/>
      <c r="BD58" s="3267"/>
      <c r="BE58" s="3267"/>
      <c r="BF58" s="3267"/>
      <c r="BG58" s="3267"/>
      <c r="BH58" s="3267"/>
      <c r="BI58" s="3267"/>
      <c r="BJ58" s="3267"/>
      <c r="BK58" s="3267"/>
      <c r="BL58" s="3267"/>
      <c r="BM58" s="3267"/>
      <c r="BN58" s="3267"/>
      <c r="BO58" s="3267"/>
      <c r="BP58" s="3267"/>
      <c r="BQ58" s="3267"/>
      <c r="BR58" s="3267"/>
      <c r="BS58" s="3267"/>
      <c r="BT58" s="3267"/>
      <c r="BU58" s="3267"/>
      <c r="BV58" s="3267"/>
      <c r="BW58" s="3267"/>
      <c r="BX58" s="3267"/>
      <c r="BY58" s="3267"/>
      <c r="BZ58" s="3267"/>
      <c r="CA58" s="3267"/>
      <c r="CB58" s="3267"/>
      <c r="CC58" s="3267"/>
      <c r="CD58" s="3267"/>
      <c r="CE58" s="3267"/>
      <c r="CF58" s="3267"/>
      <c r="CG58" s="3267"/>
      <c r="CH58" s="3267"/>
      <c r="CI58" s="3215">
        <f t="shared" si="0"/>
        <v>0</v>
      </c>
    </row>
    <row r="59" spans="1:87">
      <c r="A59" s="1339" t="s">
        <v>1688</v>
      </c>
      <c r="B59" s="1340"/>
      <c r="C59" s="1339" t="s">
        <v>4747</v>
      </c>
      <c r="D59" s="1341"/>
      <c r="E59" s="1341"/>
      <c r="F59" s="338"/>
      <c r="G59" s="338"/>
      <c r="H59" s="338"/>
      <c r="I59" s="338"/>
      <c r="J59" s="338"/>
      <c r="K59" s="338"/>
      <c r="L59" s="338"/>
      <c r="M59" s="1342"/>
      <c r="N59" s="338"/>
      <c r="O59" s="1342">
        <f>O60</f>
        <v>0</v>
      </c>
      <c r="P59" s="787"/>
      <c r="Q59" s="1344"/>
      <c r="R59" s="2866">
        <f>R60</f>
        <v>0</v>
      </c>
      <c r="BB59" s="3267"/>
      <c r="BC59" s="3267"/>
      <c r="BD59" s="3267"/>
      <c r="BE59" s="3267"/>
      <c r="BF59" s="3267"/>
      <c r="BG59" s="3267"/>
      <c r="BH59" s="3267"/>
      <c r="BI59" s="3267"/>
      <c r="BJ59" s="3267"/>
      <c r="BK59" s="3267"/>
      <c r="BL59" s="3267"/>
      <c r="BM59" s="3267"/>
      <c r="BN59" s="3267"/>
      <c r="BO59" s="3267"/>
      <c r="BP59" s="3267"/>
      <c r="BQ59" s="3267"/>
      <c r="BR59" s="3267"/>
      <c r="BS59" s="3267"/>
      <c r="BT59" s="3267"/>
      <c r="BU59" s="3267"/>
      <c r="BV59" s="3267"/>
      <c r="BW59" s="3267"/>
      <c r="BX59" s="3267"/>
      <c r="BY59" s="3267"/>
      <c r="BZ59" s="3267"/>
      <c r="CA59" s="3267"/>
      <c r="CB59" s="3267"/>
      <c r="CC59" s="3267"/>
      <c r="CD59" s="3267"/>
      <c r="CE59" s="3267"/>
      <c r="CF59" s="3267"/>
      <c r="CG59" s="3267"/>
      <c r="CH59" s="3267"/>
      <c r="CI59" s="3215">
        <f t="shared" si="0"/>
        <v>0</v>
      </c>
    </row>
    <row r="60" spans="1:87" ht="30">
      <c r="A60" s="1318" t="s">
        <v>4143</v>
      </c>
      <c r="B60" s="521"/>
      <c r="C60" s="509" t="s">
        <v>4744</v>
      </c>
      <c r="D60" s="908" t="s">
        <v>65</v>
      </c>
      <c r="E60" s="1353" t="s">
        <v>4218</v>
      </c>
      <c r="F60" s="69">
        <v>0</v>
      </c>
      <c r="G60" s="69"/>
      <c r="H60" s="69">
        <v>0</v>
      </c>
      <c r="I60" s="342"/>
      <c r="J60" s="349"/>
      <c r="K60" s="339"/>
      <c r="L60" s="277"/>
      <c r="M60" s="281">
        <f>L60/100000</f>
        <v>0</v>
      </c>
      <c r="N60" s="277"/>
      <c r="O60" s="1345">
        <f>N60*M60</f>
        <v>0</v>
      </c>
      <c r="P60" s="728"/>
      <c r="Q60" s="1003">
        <f>'Abs6. CPHC'!Q14</f>
        <v>0</v>
      </c>
      <c r="R60" s="2867">
        <f>'Abs6. CPHC'!R14</f>
        <v>0</v>
      </c>
      <c r="BB60" s="3267"/>
      <c r="BC60" s="3267"/>
      <c r="BD60" s="3267"/>
      <c r="BE60" s="3267"/>
      <c r="BF60" s="3267"/>
      <c r="BG60" s="3267"/>
      <c r="BH60" s="3267"/>
      <c r="BI60" s="3267"/>
      <c r="BJ60" s="3267"/>
      <c r="BK60" s="3267"/>
      <c r="BL60" s="3267"/>
      <c r="BM60" s="3267"/>
      <c r="BN60" s="3267"/>
      <c r="BO60" s="3267"/>
      <c r="BP60" s="3267"/>
      <c r="BQ60" s="3267"/>
      <c r="BR60" s="3267"/>
      <c r="BS60" s="3267"/>
      <c r="BT60" s="3267"/>
      <c r="BU60" s="3267"/>
      <c r="BV60" s="3267"/>
      <c r="BW60" s="3267"/>
      <c r="BX60" s="3267"/>
      <c r="BY60" s="3267"/>
      <c r="BZ60" s="3267"/>
      <c r="CA60" s="3267"/>
      <c r="CB60" s="3267"/>
      <c r="CC60" s="3267"/>
      <c r="CD60" s="3267"/>
      <c r="CE60" s="3267"/>
      <c r="CF60" s="3267"/>
      <c r="CG60" s="3267"/>
      <c r="CH60" s="3267"/>
      <c r="CI60" s="3215">
        <f t="shared" si="0"/>
        <v>0</v>
      </c>
    </row>
    <row r="61" spans="1:87" ht="30">
      <c r="A61" s="1339" t="s">
        <v>1688</v>
      </c>
      <c r="B61" s="1340"/>
      <c r="C61" s="1339" t="s">
        <v>2325</v>
      </c>
      <c r="D61" s="1341"/>
      <c r="E61" s="1341"/>
      <c r="F61" s="338"/>
      <c r="G61" s="338"/>
      <c r="H61" s="338"/>
      <c r="I61" s="338"/>
      <c r="J61" s="338"/>
      <c r="K61" s="338"/>
      <c r="L61" s="338"/>
      <c r="M61" s="1342"/>
      <c r="N61" s="338"/>
      <c r="O61" s="1342">
        <f>SUM(O62:O63)</f>
        <v>0</v>
      </c>
      <c r="P61" s="787"/>
      <c r="Q61" s="1344"/>
      <c r="R61" s="2866">
        <f>SUM(R62:R63)</f>
        <v>0</v>
      </c>
      <c r="BB61" s="3267"/>
      <c r="BC61" s="3267"/>
      <c r="BD61" s="3267"/>
      <c r="BE61" s="3267"/>
      <c r="BF61" s="3267"/>
      <c r="BG61" s="3267"/>
      <c r="BH61" s="3267"/>
      <c r="BI61" s="3267"/>
      <c r="BJ61" s="3267"/>
      <c r="BK61" s="3267"/>
      <c r="BL61" s="3267"/>
      <c r="BM61" s="3267"/>
      <c r="BN61" s="3267"/>
      <c r="BO61" s="3267"/>
      <c r="BP61" s="3267"/>
      <c r="BQ61" s="3267"/>
      <c r="BR61" s="3267"/>
      <c r="BS61" s="3267"/>
      <c r="BT61" s="3267"/>
      <c r="BU61" s="3267"/>
      <c r="BV61" s="3267"/>
      <c r="BW61" s="3267"/>
      <c r="BX61" s="3267"/>
      <c r="BY61" s="3267"/>
      <c r="BZ61" s="3267"/>
      <c r="CA61" s="3267"/>
      <c r="CB61" s="3267"/>
      <c r="CC61" s="3267"/>
      <c r="CD61" s="3267"/>
      <c r="CE61" s="3267"/>
      <c r="CF61" s="3267"/>
      <c r="CG61" s="3267"/>
      <c r="CH61" s="3267"/>
      <c r="CI61" s="3215">
        <f t="shared" si="0"/>
        <v>0</v>
      </c>
    </row>
    <row r="62" spans="1:87" ht="30">
      <c r="A62" s="1318" t="s">
        <v>4144</v>
      </c>
      <c r="B62" s="1317"/>
      <c r="C62" s="1319" t="s">
        <v>2326</v>
      </c>
      <c r="D62" s="908" t="s">
        <v>65</v>
      </c>
      <c r="E62" s="1276" t="s">
        <v>4667</v>
      </c>
      <c r="F62" s="69">
        <v>3294</v>
      </c>
      <c r="G62" s="69"/>
      <c r="H62" s="69">
        <v>329.4</v>
      </c>
      <c r="I62" s="69">
        <v>0.03</v>
      </c>
      <c r="J62" s="69">
        <v>329.37</v>
      </c>
      <c r="K62" s="340"/>
      <c r="L62" s="277"/>
      <c r="M62" s="281">
        <f>L62/100000</f>
        <v>0</v>
      </c>
      <c r="N62" s="277"/>
      <c r="O62" s="1345">
        <f>N62*M62</f>
        <v>0</v>
      </c>
      <c r="P62" s="788"/>
      <c r="Q62" s="1003">
        <f>'Ab4. HMIS-MCTS'!Q7</f>
        <v>0</v>
      </c>
      <c r="R62" s="2867">
        <f>'Ab4. HMIS-MCTS'!R7</f>
        <v>0</v>
      </c>
      <c r="BB62" s="3267"/>
      <c r="BC62" s="3267"/>
      <c r="BD62" s="3267"/>
      <c r="BE62" s="3267"/>
      <c r="BF62" s="3267"/>
      <c r="BG62" s="3267"/>
      <c r="BH62" s="3267"/>
      <c r="BI62" s="3267"/>
      <c r="BJ62" s="3267"/>
      <c r="BK62" s="3267"/>
      <c r="BL62" s="3267"/>
      <c r="BM62" s="3267"/>
      <c r="BN62" s="3267"/>
      <c r="BO62" s="3267"/>
      <c r="BP62" s="3267"/>
      <c r="BQ62" s="3267"/>
      <c r="BR62" s="3267"/>
      <c r="BS62" s="3267"/>
      <c r="BT62" s="3267"/>
      <c r="BU62" s="3267"/>
      <c r="BV62" s="3267"/>
      <c r="BW62" s="3267"/>
      <c r="BX62" s="3267"/>
      <c r="BY62" s="3267"/>
      <c r="BZ62" s="3267"/>
      <c r="CA62" s="3267"/>
      <c r="CB62" s="3267"/>
      <c r="CC62" s="3267"/>
      <c r="CD62" s="3267"/>
      <c r="CE62" s="3267"/>
      <c r="CF62" s="3267"/>
      <c r="CG62" s="3267"/>
      <c r="CH62" s="3267"/>
      <c r="CI62" s="3215">
        <f t="shared" si="0"/>
        <v>0</v>
      </c>
    </row>
    <row r="63" spans="1:87">
      <c r="A63" s="1318" t="s">
        <v>4146</v>
      </c>
      <c r="B63" s="1317"/>
      <c r="C63" s="1318" t="s">
        <v>1304</v>
      </c>
      <c r="D63" s="908" t="s">
        <v>65</v>
      </c>
      <c r="E63" s="1276" t="s">
        <v>65</v>
      </c>
      <c r="F63" s="69">
        <v>0</v>
      </c>
      <c r="G63" s="69"/>
      <c r="H63" s="69">
        <v>0</v>
      </c>
      <c r="I63" s="69"/>
      <c r="J63" s="69"/>
      <c r="K63" s="340"/>
      <c r="L63" s="277"/>
      <c r="M63" s="281">
        <f>L63/100000</f>
        <v>0</v>
      </c>
      <c r="N63" s="277"/>
      <c r="O63" s="1345">
        <f>N63*M63</f>
        <v>0</v>
      </c>
      <c r="P63" s="788"/>
      <c r="Q63" s="1022"/>
      <c r="R63" s="2870"/>
      <c r="BB63" s="3267"/>
      <c r="BC63" s="3267"/>
      <c r="BD63" s="3267"/>
      <c r="BE63" s="3267"/>
      <c r="BF63" s="3267"/>
      <c r="BG63" s="3267"/>
      <c r="BH63" s="3267"/>
      <c r="BI63" s="3267"/>
      <c r="BJ63" s="3267"/>
      <c r="BK63" s="3267"/>
      <c r="BL63" s="3267"/>
      <c r="BM63" s="3267"/>
      <c r="BN63" s="3267"/>
      <c r="BO63" s="3267"/>
      <c r="BP63" s="3267"/>
      <c r="BQ63" s="3267"/>
      <c r="BR63" s="3267"/>
      <c r="BS63" s="3267"/>
      <c r="BT63" s="3267"/>
      <c r="BU63" s="3267"/>
      <c r="BV63" s="3267"/>
      <c r="BW63" s="3267"/>
      <c r="BX63" s="3267"/>
      <c r="BY63" s="3267"/>
      <c r="BZ63" s="3267"/>
      <c r="CA63" s="3267"/>
      <c r="CB63" s="3267"/>
      <c r="CC63" s="3267"/>
      <c r="CD63" s="3267"/>
      <c r="CE63" s="3267"/>
      <c r="CF63" s="3267"/>
      <c r="CG63" s="3267"/>
      <c r="CH63" s="3267"/>
      <c r="CI63" s="3215">
        <f t="shared" si="0"/>
        <v>0</v>
      </c>
    </row>
    <row r="64" spans="1:87">
      <c r="A64" s="3918"/>
      <c r="B64" s="3918"/>
      <c r="C64" s="3918"/>
      <c r="D64" s="1200"/>
      <c r="E64" s="1200"/>
      <c r="F64" s="310"/>
      <c r="G64" s="310"/>
      <c r="H64" s="310"/>
      <c r="I64" s="310"/>
      <c r="J64" s="310"/>
      <c r="K64" s="310"/>
      <c r="L64" s="310"/>
      <c r="M64" s="1336"/>
      <c r="N64" s="602"/>
      <c r="O64" s="1336"/>
      <c r="P64" s="720"/>
      <c r="Q64" s="1182"/>
      <c r="R64" s="2865"/>
      <c r="BB64" s="3267"/>
      <c r="BC64" s="3267"/>
      <c r="BD64" s="3267"/>
      <c r="BE64" s="3267"/>
      <c r="BF64" s="3267"/>
      <c r="BG64" s="3267"/>
      <c r="BH64" s="3267"/>
      <c r="BI64" s="3267"/>
      <c r="BJ64" s="3267"/>
      <c r="BK64" s="3267"/>
      <c r="BL64" s="3267"/>
      <c r="BM64" s="3267"/>
      <c r="BN64" s="3267"/>
      <c r="BO64" s="3267"/>
      <c r="BP64" s="3267"/>
      <c r="BQ64" s="3267"/>
      <c r="BR64" s="3267"/>
      <c r="BS64" s="3267"/>
      <c r="BT64" s="3267"/>
      <c r="BU64" s="3267"/>
      <c r="BV64" s="3267"/>
      <c r="BW64" s="3267"/>
      <c r="BX64" s="3267"/>
      <c r="BY64" s="3267"/>
      <c r="BZ64" s="3267"/>
      <c r="CA64" s="3267"/>
      <c r="CB64" s="3267"/>
      <c r="CC64" s="3267"/>
      <c r="CD64" s="3267"/>
      <c r="CE64" s="3267"/>
      <c r="CF64" s="3267"/>
      <c r="CG64" s="3267"/>
      <c r="CH64" s="3267"/>
      <c r="CI64" s="3215">
        <f t="shared" si="0"/>
        <v>0</v>
      </c>
    </row>
    <row r="65" spans="1:87" ht="30">
      <c r="A65" s="1290">
        <v>6.4</v>
      </c>
      <c r="B65" s="1291" t="s">
        <v>1929</v>
      </c>
      <c r="C65" s="1290" t="s">
        <v>1930</v>
      </c>
      <c r="D65" s="930"/>
      <c r="E65" s="930"/>
      <c r="F65" s="93"/>
      <c r="G65" s="93"/>
      <c r="H65" s="93"/>
      <c r="I65" s="93"/>
      <c r="J65" s="93"/>
      <c r="K65" s="93"/>
      <c r="L65" s="93"/>
      <c r="M65" s="1149"/>
      <c r="N65" s="335"/>
      <c r="O65" s="1149">
        <f>SUM(O66:O68)</f>
        <v>2516.347632</v>
      </c>
      <c r="P65" s="705"/>
      <c r="Q65" s="996"/>
      <c r="R65" s="2872">
        <f>SUM(R66:R68)</f>
        <v>2516.35</v>
      </c>
      <c r="BB65" s="3267"/>
      <c r="BC65" s="3267"/>
      <c r="BD65" s="3267"/>
      <c r="BE65" s="3267"/>
      <c r="BF65" s="3267"/>
      <c r="BG65" s="3267"/>
      <c r="BH65" s="3267"/>
      <c r="BI65" s="3267"/>
      <c r="BJ65" s="3267"/>
      <c r="BK65" s="3267"/>
      <c r="BL65" s="3267"/>
      <c r="BM65" s="3267"/>
      <c r="BN65" s="3267"/>
      <c r="BO65" s="3267"/>
      <c r="BP65" s="3267"/>
      <c r="BQ65" s="3267"/>
      <c r="BR65" s="3267"/>
      <c r="BS65" s="3267"/>
      <c r="BT65" s="3267"/>
      <c r="BU65" s="3267"/>
      <c r="BV65" s="3267"/>
      <c r="BW65" s="3267"/>
      <c r="BX65" s="3267"/>
      <c r="BY65" s="3267"/>
      <c r="BZ65" s="3267"/>
      <c r="CA65" s="3267"/>
      <c r="CB65" s="3267"/>
      <c r="CC65" s="3267"/>
      <c r="CD65" s="3267"/>
      <c r="CE65" s="3267"/>
      <c r="CF65" s="3267"/>
      <c r="CG65" s="3267"/>
      <c r="CH65" s="3267"/>
      <c r="CI65" s="3215">
        <f t="shared" si="0"/>
        <v>0</v>
      </c>
    </row>
    <row r="66" spans="1:87" s="1302" customFormat="1" ht="82.5" customHeight="1">
      <c r="A66" s="1317" t="s">
        <v>1931</v>
      </c>
      <c r="B66" s="521" t="s">
        <v>1932</v>
      </c>
      <c r="C66" s="521" t="s">
        <v>1933</v>
      </c>
      <c r="D66" s="982" t="s">
        <v>65</v>
      </c>
      <c r="E66" s="1304" t="s">
        <v>3713</v>
      </c>
      <c r="F66" s="353">
        <v>12</v>
      </c>
      <c r="G66" s="353"/>
      <c r="H66" s="353">
        <v>1508</v>
      </c>
      <c r="I66" s="353">
        <v>239.4</v>
      </c>
      <c r="J66" s="353">
        <v>1268.5999999999999</v>
      </c>
      <c r="K66" s="354">
        <v>1</v>
      </c>
      <c r="L66" s="2519">
        <v>250000</v>
      </c>
      <c r="M66" s="2261">
        <f t="shared" ref="M66:M71" si="3">L66/100000</f>
        <v>2.5</v>
      </c>
      <c r="N66" s="2519">
        <v>800</v>
      </c>
      <c r="O66" s="1348">
        <f>N66*M66</f>
        <v>2000</v>
      </c>
      <c r="P66" s="791" t="s">
        <v>5493</v>
      </c>
      <c r="Q66" s="2315" t="s">
        <v>5774</v>
      </c>
      <c r="R66" s="2860">
        <v>2000</v>
      </c>
      <c r="BB66" s="3214">
        <v>1000</v>
      </c>
      <c r="BC66" s="3214">
        <v>20</v>
      </c>
      <c r="BD66" s="3214">
        <v>20</v>
      </c>
      <c r="BE66" s="3214">
        <v>20</v>
      </c>
      <c r="BF66" s="3214">
        <v>35</v>
      </c>
      <c r="BG66" s="3214">
        <v>3</v>
      </c>
      <c r="BH66" s="3214">
        <v>20</v>
      </c>
      <c r="BI66" s="3214">
        <v>2</v>
      </c>
      <c r="BJ66" s="3214">
        <v>30</v>
      </c>
      <c r="BK66" s="3214">
        <v>30</v>
      </c>
      <c r="BL66" s="3214">
        <v>20</v>
      </c>
      <c r="BM66" s="3214">
        <v>20</v>
      </c>
      <c r="BN66" s="3214">
        <v>20</v>
      </c>
      <c r="BO66" s="3214">
        <v>130</v>
      </c>
      <c r="BP66" s="3214">
        <v>130</v>
      </c>
      <c r="BQ66" s="3214">
        <v>75</v>
      </c>
      <c r="BR66" s="3214">
        <v>75</v>
      </c>
      <c r="BS66" s="3214">
        <v>50</v>
      </c>
      <c r="BT66" s="3214">
        <v>50</v>
      </c>
      <c r="BU66" s="3214">
        <v>50</v>
      </c>
      <c r="BV66" s="3214">
        <v>20</v>
      </c>
      <c r="BW66" s="3214">
        <v>20</v>
      </c>
      <c r="BX66" s="3214">
        <v>20</v>
      </c>
      <c r="BY66" s="3214">
        <v>20</v>
      </c>
      <c r="BZ66" s="3214">
        <v>20</v>
      </c>
      <c r="CA66" s="3214">
        <v>20</v>
      </c>
      <c r="CB66" s="3214">
        <v>20</v>
      </c>
      <c r="CC66" s="3214">
        <v>20</v>
      </c>
      <c r="CD66" s="3214">
        <v>20</v>
      </c>
      <c r="CE66" s="3214"/>
      <c r="CF66" s="3214">
        <v>20</v>
      </c>
      <c r="CG66" s="3214"/>
      <c r="CH66" s="3214"/>
      <c r="CI66" s="3215">
        <f t="shared" si="0"/>
        <v>2000</v>
      </c>
    </row>
    <row r="67" spans="1:87" s="1302" customFormat="1" ht="74.25" customHeight="1">
      <c r="A67" s="1317" t="s">
        <v>1934</v>
      </c>
      <c r="B67" s="521" t="s">
        <v>1935</v>
      </c>
      <c r="C67" s="521" t="s">
        <v>1936</v>
      </c>
      <c r="D67" s="982" t="s">
        <v>65</v>
      </c>
      <c r="E67" s="1304" t="s">
        <v>3713</v>
      </c>
      <c r="F67" s="353">
        <v>1</v>
      </c>
      <c r="G67" s="353"/>
      <c r="H67" s="353">
        <v>360</v>
      </c>
      <c r="I67" s="353">
        <v>117.19</v>
      </c>
      <c r="J67" s="353">
        <v>242.81</v>
      </c>
      <c r="K67" s="344"/>
      <c r="L67" s="2519">
        <v>50000000</v>
      </c>
      <c r="M67" s="2261">
        <f t="shared" si="3"/>
        <v>500</v>
      </c>
      <c r="N67" s="283">
        <v>1</v>
      </c>
      <c r="O67" s="1348">
        <f>N67*M67</f>
        <v>500</v>
      </c>
      <c r="P67" s="791" t="s">
        <v>5479</v>
      </c>
      <c r="Q67" s="2315" t="s">
        <v>5775</v>
      </c>
      <c r="R67" s="2860">
        <v>500</v>
      </c>
      <c r="BB67" s="3214">
        <v>250</v>
      </c>
      <c r="BC67" s="3214">
        <v>7.5</v>
      </c>
      <c r="BD67" s="3214">
        <v>7.5</v>
      </c>
      <c r="BE67" s="3214">
        <v>7.5</v>
      </c>
      <c r="BF67" s="3214">
        <v>9.5</v>
      </c>
      <c r="BG67" s="3214">
        <v>1</v>
      </c>
      <c r="BH67" s="3214">
        <v>7.5</v>
      </c>
      <c r="BI67" s="3214">
        <v>0.5</v>
      </c>
      <c r="BJ67" s="3214">
        <v>9.5</v>
      </c>
      <c r="BK67" s="3214">
        <v>9.5</v>
      </c>
      <c r="BL67" s="3214">
        <v>7.5</v>
      </c>
      <c r="BM67" s="3214">
        <v>7.5</v>
      </c>
      <c r="BN67" s="3214">
        <v>7.5</v>
      </c>
      <c r="BO67" s="3214">
        <v>25</v>
      </c>
      <c r="BP67" s="3214">
        <v>25</v>
      </c>
      <c r="BQ67" s="3214">
        <v>8.75</v>
      </c>
      <c r="BR67" s="3214">
        <v>8.75</v>
      </c>
      <c r="BS67" s="3214">
        <v>8.75</v>
      </c>
      <c r="BT67" s="3214">
        <v>8.75</v>
      </c>
      <c r="BU67" s="3214">
        <v>7.5</v>
      </c>
      <c r="BV67" s="3214">
        <v>7.5</v>
      </c>
      <c r="BW67" s="3214">
        <v>7.5</v>
      </c>
      <c r="BX67" s="3214">
        <v>7.5</v>
      </c>
      <c r="BY67" s="3214">
        <v>7.5</v>
      </c>
      <c r="BZ67" s="3214">
        <v>7.5</v>
      </c>
      <c r="CA67" s="3214">
        <v>7.5</v>
      </c>
      <c r="CB67" s="3214">
        <v>7.5</v>
      </c>
      <c r="CC67" s="3214">
        <v>7.5</v>
      </c>
      <c r="CD67" s="3214">
        <v>7.5</v>
      </c>
      <c r="CE67" s="3214"/>
      <c r="CF67" s="3214">
        <v>7.5</v>
      </c>
      <c r="CG67" s="3214"/>
      <c r="CH67" s="3214"/>
      <c r="CI67" s="3215">
        <f t="shared" si="0"/>
        <v>500</v>
      </c>
    </row>
    <row r="68" spans="1:87" s="3361" customFormat="1" ht="51">
      <c r="A68" s="3350" t="s">
        <v>2483</v>
      </c>
      <c r="B68" s="3351"/>
      <c r="C68" s="3351" t="s">
        <v>1304</v>
      </c>
      <c r="D68" s="2685" t="s">
        <v>65</v>
      </c>
      <c r="E68" s="3352"/>
      <c r="F68" s="3353">
        <v>50000</v>
      </c>
      <c r="G68" s="3353"/>
      <c r="H68" s="3354">
        <v>12.5</v>
      </c>
      <c r="I68" s="3355">
        <v>0.6</v>
      </c>
      <c r="J68" s="3355">
        <v>11.9</v>
      </c>
      <c r="K68" s="3337"/>
      <c r="L68" s="3356">
        <v>12.86</v>
      </c>
      <c r="M68" s="3357">
        <f>L68/100000</f>
        <v>1.2859999999999998E-4</v>
      </c>
      <c r="N68" s="3356">
        <v>127120</v>
      </c>
      <c r="O68" s="3358">
        <f>N68*M68</f>
        <v>16.347631999999997</v>
      </c>
      <c r="P68" s="3359" t="s">
        <v>5268</v>
      </c>
      <c r="Q68" s="2834" t="s">
        <v>5835</v>
      </c>
      <c r="R68" s="3360">
        <v>16.350000000000001</v>
      </c>
      <c r="BB68" s="3362">
        <v>16.350000000000001</v>
      </c>
      <c r="BC68" s="3362"/>
      <c r="BD68" s="3362"/>
      <c r="BE68" s="3362"/>
      <c r="BF68" s="3362"/>
      <c r="BG68" s="3362"/>
      <c r="BH68" s="3362"/>
      <c r="BI68" s="3362"/>
      <c r="BJ68" s="3362"/>
      <c r="BK68" s="3362"/>
      <c r="BL68" s="3362"/>
      <c r="BM68" s="3362"/>
      <c r="BN68" s="3362"/>
      <c r="BO68" s="3362"/>
      <c r="BP68" s="3362"/>
      <c r="BQ68" s="3362"/>
      <c r="BR68" s="3362"/>
      <c r="BS68" s="3362"/>
      <c r="BT68" s="3362"/>
      <c r="BU68" s="3362"/>
      <c r="BV68" s="3362"/>
      <c r="BW68" s="3362"/>
      <c r="BX68" s="3362"/>
      <c r="BY68" s="3362"/>
      <c r="BZ68" s="3362"/>
      <c r="CA68" s="3362"/>
      <c r="CB68" s="3362"/>
      <c r="CC68" s="3362"/>
      <c r="CD68" s="3362"/>
      <c r="CE68" s="3362"/>
      <c r="CF68" s="3362"/>
      <c r="CG68" s="3362"/>
      <c r="CH68" s="3362"/>
      <c r="CI68" s="3363">
        <f t="shared" si="0"/>
        <v>16.350000000000001</v>
      </c>
    </row>
    <row r="69" spans="1:87" ht="30">
      <c r="A69" s="1290"/>
      <c r="B69" s="1291"/>
      <c r="C69" s="1290" t="s">
        <v>4686</v>
      </c>
      <c r="D69" s="930"/>
      <c r="E69" s="930"/>
      <c r="F69" s="93"/>
      <c r="G69" s="93"/>
      <c r="H69" s="93"/>
      <c r="I69" s="93"/>
      <c r="J69" s="93"/>
      <c r="K69" s="93"/>
      <c r="L69" s="93"/>
      <c r="M69" s="1149"/>
      <c r="N69" s="335"/>
      <c r="O69" s="1149">
        <f>SUM(O70:O71)</f>
        <v>861.72</v>
      </c>
      <c r="P69" s="705"/>
      <c r="Q69" s="996"/>
      <c r="R69" s="2872">
        <f>SUM(R70:R71)</f>
        <v>861.72</v>
      </c>
      <c r="BB69" s="3267"/>
      <c r="BC69" s="3267"/>
      <c r="BD69" s="3267"/>
      <c r="BE69" s="3267"/>
      <c r="BF69" s="3267"/>
      <c r="BG69" s="3267"/>
      <c r="BH69" s="3267"/>
      <c r="BI69" s="3267"/>
      <c r="BJ69" s="3267"/>
      <c r="BK69" s="3267"/>
      <c r="BL69" s="3267"/>
      <c r="BM69" s="3267"/>
      <c r="BN69" s="3267"/>
      <c r="BO69" s="3267"/>
      <c r="BP69" s="3267"/>
      <c r="BQ69" s="3267"/>
      <c r="BR69" s="3267"/>
      <c r="BS69" s="3267"/>
      <c r="BT69" s="3267"/>
      <c r="BU69" s="3267"/>
      <c r="BV69" s="3267"/>
      <c r="BW69" s="3267"/>
      <c r="BX69" s="3267"/>
      <c r="BY69" s="3267"/>
      <c r="BZ69" s="3267"/>
      <c r="CA69" s="3267"/>
      <c r="CB69" s="3267"/>
      <c r="CC69" s="3267"/>
      <c r="CD69" s="3267"/>
      <c r="CE69" s="3267"/>
      <c r="CF69" s="3267"/>
      <c r="CG69" s="3267"/>
      <c r="CH69" s="3267"/>
      <c r="CI69" s="3215">
        <f t="shared" si="0"/>
        <v>0</v>
      </c>
    </row>
    <row r="70" spans="1:87" s="1302" customFormat="1" ht="60">
      <c r="A70" s="1317" t="s">
        <v>1937</v>
      </c>
      <c r="B70" s="521" t="s">
        <v>1938</v>
      </c>
      <c r="C70" s="521" t="s">
        <v>1939</v>
      </c>
      <c r="D70" s="2324" t="s">
        <v>85</v>
      </c>
      <c r="E70" s="1304" t="s">
        <v>113</v>
      </c>
      <c r="F70" s="178">
        <v>1</v>
      </c>
      <c r="G70" s="2440">
        <v>80787</v>
      </c>
      <c r="H70" s="2356">
        <v>796.83</v>
      </c>
      <c r="I70" s="2451">
        <v>303.27999999999997</v>
      </c>
      <c r="J70" s="2440">
        <v>493.55</v>
      </c>
      <c r="K70" s="2440"/>
      <c r="L70" s="2440">
        <v>600</v>
      </c>
      <c r="M70" s="2261">
        <f t="shared" si="3"/>
        <v>6.0000000000000001E-3</v>
      </c>
      <c r="N70" s="2440">
        <v>127120</v>
      </c>
      <c r="O70" s="1348">
        <f>N70*M70</f>
        <v>762.72</v>
      </c>
      <c r="P70" s="2441" t="s">
        <v>5269</v>
      </c>
      <c r="Q70" s="2257" t="str">
        <f>'Ab1. RMNCH+A'!Q41</f>
        <v>Ongoing activity: Recommended for approval of Rs.762.72 lakhs for free diagnostics for Pregnant women under JSSK @ Rs. 600/- per case for 1,27,120 pregnant women</v>
      </c>
      <c r="R70" s="2869">
        <f>'Ab1. RMNCH+A'!R41</f>
        <v>762.72</v>
      </c>
      <c r="BB70" s="3214"/>
      <c r="BC70" s="3214">
        <v>6.53</v>
      </c>
      <c r="BD70" s="3214">
        <v>15.03</v>
      </c>
      <c r="BE70" s="3214">
        <v>9.0299999999999994</v>
      </c>
      <c r="BF70" s="3214">
        <v>29.16</v>
      </c>
      <c r="BG70" s="3214">
        <v>2.69</v>
      </c>
      <c r="BH70" s="3214">
        <v>4.88</v>
      </c>
      <c r="BI70" s="3214">
        <v>0.82</v>
      </c>
      <c r="BJ70" s="3214">
        <v>42.5</v>
      </c>
      <c r="BK70" s="3214">
        <v>10.53</v>
      </c>
      <c r="BL70" s="3214">
        <v>42.63</v>
      </c>
      <c r="BM70" s="3214">
        <v>47.77</v>
      </c>
      <c r="BN70" s="3214">
        <v>2.96</v>
      </c>
      <c r="BO70" s="3214"/>
      <c r="BP70" s="3214">
        <v>96.96</v>
      </c>
      <c r="BQ70" s="3214">
        <v>34.520000000000003</v>
      </c>
      <c r="BR70" s="3214">
        <v>46.18</v>
      </c>
      <c r="BS70" s="3214">
        <v>5.15</v>
      </c>
      <c r="BT70" s="3214">
        <v>26.19</v>
      </c>
      <c r="BU70" s="3214">
        <v>83.96</v>
      </c>
      <c r="BV70" s="3214">
        <v>23.66</v>
      </c>
      <c r="BW70" s="3214">
        <v>1.66</v>
      </c>
      <c r="BX70" s="3214">
        <v>21.72</v>
      </c>
      <c r="BY70" s="3214">
        <v>38.24</v>
      </c>
      <c r="BZ70" s="3214">
        <v>60.26</v>
      </c>
      <c r="CA70" s="3214">
        <v>0.53</v>
      </c>
      <c r="CB70" s="3214">
        <v>35.56</v>
      </c>
      <c r="CC70" s="3214">
        <v>9.2899999999999991</v>
      </c>
      <c r="CD70" s="3214">
        <v>24.82</v>
      </c>
      <c r="CE70" s="3214"/>
      <c r="CF70" s="3214">
        <v>39.49</v>
      </c>
      <c r="CG70" s="3214"/>
      <c r="CH70" s="3214"/>
      <c r="CI70" s="3215">
        <f t="shared" ref="CI70:CI133" si="4">SUM(BB70:CH70)</f>
        <v>762.71999999999991</v>
      </c>
    </row>
    <row r="71" spans="1:87" s="1302" customFormat="1" ht="39.75" customHeight="1">
      <c r="A71" s="1317" t="s">
        <v>2453</v>
      </c>
      <c r="B71" s="521" t="s">
        <v>1940</v>
      </c>
      <c r="C71" s="521" t="s">
        <v>1941</v>
      </c>
      <c r="D71" s="2324" t="s">
        <v>85</v>
      </c>
      <c r="E71" s="1304" t="s">
        <v>126</v>
      </c>
      <c r="F71" s="353">
        <v>1</v>
      </c>
      <c r="G71" s="2440">
        <v>15224</v>
      </c>
      <c r="H71" s="353">
        <v>102.49</v>
      </c>
      <c r="I71" s="2440">
        <v>45.72</v>
      </c>
      <c r="J71" s="2440">
        <v>56.77</v>
      </c>
      <c r="K71" s="343"/>
      <c r="L71" s="2440">
        <v>300</v>
      </c>
      <c r="M71" s="2261">
        <f t="shared" si="3"/>
        <v>3.0000000000000001E-3</v>
      </c>
      <c r="N71" s="2440">
        <v>33000</v>
      </c>
      <c r="O71" s="1348">
        <f>N71*M71</f>
        <v>99</v>
      </c>
      <c r="P71" s="2441" t="s">
        <v>5418</v>
      </c>
      <c r="Q71" s="2257" t="str">
        <f>'Ab1. RMNCH+A'!Q132</f>
        <v>Ongoing Activity:Rs. 99 lakh is recommended for approval for free diagnostics for Sick infants under JSSK for 33000 infants @ Rs. 300 each infant as proposed by the State.</v>
      </c>
      <c r="R71" s="2869">
        <f>'Ab1. RMNCH+A'!R132</f>
        <v>99</v>
      </c>
      <c r="BB71" s="3214">
        <v>19</v>
      </c>
      <c r="BC71" s="3214">
        <v>1</v>
      </c>
      <c r="BD71" s="3214">
        <v>1</v>
      </c>
      <c r="BE71" s="3214">
        <v>1</v>
      </c>
      <c r="BF71" s="3214">
        <v>19</v>
      </c>
      <c r="BG71" s="3214">
        <v>1</v>
      </c>
      <c r="BH71" s="3214">
        <v>1</v>
      </c>
      <c r="BI71" s="3214">
        <v>0.4</v>
      </c>
      <c r="BJ71" s="3214">
        <v>11</v>
      </c>
      <c r="BK71" s="3214">
        <v>2</v>
      </c>
      <c r="BL71" s="3214">
        <v>5</v>
      </c>
      <c r="BM71" s="3214">
        <v>3</v>
      </c>
      <c r="BN71" s="3214">
        <v>4</v>
      </c>
      <c r="BO71" s="3214">
        <v>3.3</v>
      </c>
      <c r="BP71" s="3214">
        <v>7</v>
      </c>
      <c r="BQ71" s="3214">
        <v>3</v>
      </c>
      <c r="BR71" s="3214">
        <v>3</v>
      </c>
      <c r="BS71" s="3214">
        <v>1</v>
      </c>
      <c r="BT71" s="3214">
        <v>0.3</v>
      </c>
      <c r="BU71" s="3214">
        <v>4</v>
      </c>
      <c r="BV71" s="3214">
        <v>1</v>
      </c>
      <c r="BW71" s="3214"/>
      <c r="BX71" s="3214"/>
      <c r="BY71" s="3214">
        <v>2</v>
      </c>
      <c r="BZ71" s="3214">
        <v>1</v>
      </c>
      <c r="CA71" s="3214"/>
      <c r="CB71" s="3214">
        <v>1</v>
      </c>
      <c r="CC71" s="3214"/>
      <c r="CD71" s="3214">
        <v>1</v>
      </c>
      <c r="CE71" s="3214"/>
      <c r="CF71" s="3214">
        <v>3</v>
      </c>
      <c r="CG71" s="3214"/>
      <c r="CH71" s="3214"/>
      <c r="CI71" s="3215">
        <f t="shared" si="4"/>
        <v>99</v>
      </c>
    </row>
    <row r="72" spans="1:87">
      <c r="A72" s="3918"/>
      <c r="B72" s="3918"/>
      <c r="C72" s="3918"/>
      <c r="D72" s="1200"/>
      <c r="E72" s="1200"/>
      <c r="F72" s="310"/>
      <c r="G72" s="310"/>
      <c r="H72" s="310"/>
      <c r="I72" s="310"/>
      <c r="J72" s="310"/>
      <c r="K72" s="310"/>
      <c r="L72" s="310"/>
      <c r="M72" s="1336"/>
      <c r="N72" s="602"/>
      <c r="O72" s="1336"/>
      <c r="P72" s="720"/>
      <c r="Q72" s="1182"/>
      <c r="R72" s="2865"/>
      <c r="BB72" s="3267"/>
      <c r="BC72" s="3267"/>
      <c r="BD72" s="3267"/>
      <c r="BE72" s="3267"/>
      <c r="BF72" s="3267"/>
      <c r="BG72" s="3267"/>
      <c r="BH72" s="3267"/>
      <c r="BI72" s="3267"/>
      <c r="BJ72" s="3267"/>
      <c r="BK72" s="3267"/>
      <c r="BL72" s="3267"/>
      <c r="BM72" s="3267"/>
      <c r="BN72" s="3267"/>
      <c r="BO72" s="3267"/>
      <c r="BP72" s="3267"/>
      <c r="BQ72" s="3267"/>
      <c r="BR72" s="3267"/>
      <c r="BS72" s="3267"/>
      <c r="BT72" s="3267"/>
      <c r="BU72" s="3267"/>
      <c r="BV72" s="3267"/>
      <c r="BW72" s="3267"/>
      <c r="BX72" s="3267"/>
      <c r="BY72" s="3267"/>
      <c r="BZ72" s="3267"/>
      <c r="CA72" s="3267"/>
      <c r="CB72" s="3267"/>
      <c r="CC72" s="3267"/>
      <c r="CD72" s="3267"/>
      <c r="CE72" s="3267"/>
      <c r="CF72" s="3267"/>
      <c r="CG72" s="3267"/>
      <c r="CH72" s="3267"/>
      <c r="CI72" s="3215">
        <f t="shared" si="4"/>
        <v>0</v>
      </c>
    </row>
    <row r="73" spans="1:87" ht="30">
      <c r="A73" s="1339" t="s">
        <v>1642</v>
      </c>
      <c r="B73" s="1340"/>
      <c r="C73" s="1339" t="s">
        <v>4652</v>
      </c>
      <c r="D73" s="1341"/>
      <c r="E73" s="1341"/>
      <c r="F73" s="338"/>
      <c r="G73" s="338"/>
      <c r="H73" s="338"/>
      <c r="I73" s="338"/>
      <c r="J73" s="338"/>
      <c r="K73" s="338"/>
      <c r="L73" s="338"/>
      <c r="M73" s="1342"/>
      <c r="N73" s="338"/>
      <c r="O73" s="1342">
        <f>SUM(O74:O75)</f>
        <v>35.799999999999997</v>
      </c>
      <c r="P73" s="787"/>
      <c r="Q73" s="1344"/>
      <c r="R73" s="2866">
        <f>SUM(R74:R75)</f>
        <v>0</v>
      </c>
      <c r="BB73" s="3267"/>
      <c r="BC73" s="3267"/>
      <c r="BD73" s="3267"/>
      <c r="BE73" s="3267"/>
      <c r="BF73" s="3267"/>
      <c r="BG73" s="3267"/>
      <c r="BH73" s="3267"/>
      <c r="BI73" s="3267"/>
      <c r="BJ73" s="3267"/>
      <c r="BK73" s="3267"/>
      <c r="BL73" s="3267"/>
      <c r="BM73" s="3267"/>
      <c r="BN73" s="3267"/>
      <c r="BO73" s="3267"/>
      <c r="BP73" s="3267"/>
      <c r="BQ73" s="3267"/>
      <c r="BR73" s="3267"/>
      <c r="BS73" s="3267"/>
      <c r="BT73" s="3267"/>
      <c r="BU73" s="3267"/>
      <c r="BV73" s="3267"/>
      <c r="BW73" s="3267"/>
      <c r="BX73" s="3267"/>
      <c r="BY73" s="3267"/>
      <c r="BZ73" s="3267"/>
      <c r="CA73" s="3267"/>
      <c r="CB73" s="3267"/>
      <c r="CC73" s="3267"/>
      <c r="CD73" s="3267"/>
      <c r="CE73" s="3267"/>
      <c r="CF73" s="3267"/>
      <c r="CG73" s="3267"/>
      <c r="CH73" s="3267"/>
      <c r="CI73" s="3215">
        <f t="shared" si="4"/>
        <v>0</v>
      </c>
    </row>
    <row r="74" spans="1:87" s="1302" customFormat="1" ht="60">
      <c r="A74" s="1317" t="s">
        <v>4103</v>
      </c>
      <c r="B74" s="1355" t="s">
        <v>1640</v>
      </c>
      <c r="C74" s="1355" t="s">
        <v>1641</v>
      </c>
      <c r="D74" s="2254" t="s">
        <v>4219</v>
      </c>
      <c r="E74" s="1304" t="s">
        <v>288</v>
      </c>
      <c r="F74" s="353">
        <v>2</v>
      </c>
      <c r="G74" s="353">
        <v>0</v>
      </c>
      <c r="H74" s="353">
        <v>17.899999999999999</v>
      </c>
      <c r="I74" s="80">
        <v>0.63</v>
      </c>
      <c r="J74" s="80">
        <v>17.27</v>
      </c>
      <c r="K74" s="2554">
        <v>6</v>
      </c>
      <c r="L74" s="279">
        <v>1790000</v>
      </c>
      <c r="M74" s="2261">
        <f>L74/100000</f>
        <v>17.899999999999999</v>
      </c>
      <c r="N74" s="279">
        <v>2</v>
      </c>
      <c r="O74" s="1348">
        <f>N74*M74</f>
        <v>35.799999999999997</v>
      </c>
      <c r="P74" s="2555" t="s">
        <v>5452</v>
      </c>
      <c r="Q74" s="2257" t="str">
        <f>'Abs8. IDSP'!Q9</f>
        <v xml:space="preserve">To be budgeted out of PM-ASBY funds for strengthening of IPHLs in all districts </v>
      </c>
      <c r="R74" s="2869">
        <f>'Abs8. IDSP'!R9</f>
        <v>0</v>
      </c>
      <c r="BB74" s="3214"/>
      <c r="BC74" s="3214"/>
      <c r="BD74" s="3214"/>
      <c r="BE74" s="3214"/>
      <c r="BF74" s="3214"/>
      <c r="BG74" s="3214"/>
      <c r="BH74" s="3214"/>
      <c r="BI74" s="3214"/>
      <c r="BJ74" s="3214"/>
      <c r="BK74" s="3214"/>
      <c r="BL74" s="3214"/>
      <c r="BM74" s="3214"/>
      <c r="BN74" s="3214"/>
      <c r="BO74" s="3214"/>
      <c r="BP74" s="3214"/>
      <c r="BQ74" s="3214"/>
      <c r="BR74" s="3214"/>
      <c r="BS74" s="3214"/>
      <c r="BT74" s="3214"/>
      <c r="BU74" s="3214"/>
      <c r="BV74" s="3214"/>
      <c r="BW74" s="3214"/>
      <c r="BX74" s="3214"/>
      <c r="BY74" s="3214"/>
      <c r="BZ74" s="3214"/>
      <c r="CA74" s="3214"/>
      <c r="CB74" s="3214"/>
      <c r="CC74" s="3214"/>
      <c r="CD74" s="3214"/>
      <c r="CE74" s="3214"/>
      <c r="CF74" s="3214"/>
      <c r="CG74" s="3214"/>
      <c r="CH74" s="3214"/>
      <c r="CI74" s="3215">
        <f t="shared" si="4"/>
        <v>0</v>
      </c>
    </row>
    <row r="75" spans="1:87" s="1302" customFormat="1" ht="30">
      <c r="A75" s="1317" t="s">
        <v>4104</v>
      </c>
      <c r="B75" s="521"/>
      <c r="C75" s="521" t="s">
        <v>1585</v>
      </c>
      <c r="D75" s="2254" t="s">
        <v>4219</v>
      </c>
      <c r="E75" s="1304" t="s">
        <v>288</v>
      </c>
      <c r="F75" s="353">
        <v>0</v>
      </c>
      <c r="G75" s="353"/>
      <c r="H75" s="353">
        <v>0</v>
      </c>
      <c r="I75" s="353"/>
      <c r="J75" s="353"/>
      <c r="K75" s="354"/>
      <c r="L75" s="283"/>
      <c r="M75" s="2261">
        <f>L75/100000</f>
        <v>0</v>
      </c>
      <c r="N75" s="283"/>
      <c r="O75" s="1348">
        <f>N75*M75</f>
        <v>0</v>
      </c>
      <c r="P75" s="792" t="s">
        <v>5302</v>
      </c>
      <c r="Q75" s="2257">
        <f>'Abs8. IDSP'!Q10</f>
        <v>0</v>
      </c>
      <c r="R75" s="2869">
        <f>'Abs8. IDSP'!R10</f>
        <v>0</v>
      </c>
      <c r="BB75" s="3214"/>
      <c r="BC75" s="3214"/>
      <c r="BD75" s="3214"/>
      <c r="BE75" s="3214"/>
      <c r="BF75" s="3214"/>
      <c r="BG75" s="3214"/>
      <c r="BH75" s="3214"/>
      <c r="BI75" s="3214"/>
      <c r="BJ75" s="3214"/>
      <c r="BK75" s="3214"/>
      <c r="BL75" s="3214"/>
      <c r="BM75" s="3214"/>
      <c r="BN75" s="3214"/>
      <c r="BO75" s="3214"/>
      <c r="BP75" s="3214"/>
      <c r="BQ75" s="3214"/>
      <c r="BR75" s="3214"/>
      <c r="BS75" s="3214"/>
      <c r="BT75" s="3214"/>
      <c r="BU75" s="3214"/>
      <c r="BV75" s="3214"/>
      <c r="BW75" s="3214"/>
      <c r="BX75" s="3214"/>
      <c r="BY75" s="3214"/>
      <c r="BZ75" s="3214"/>
      <c r="CA75" s="3214"/>
      <c r="CB75" s="3214"/>
      <c r="CC75" s="3214"/>
      <c r="CD75" s="3214"/>
      <c r="CE75" s="3214"/>
      <c r="CF75" s="3214"/>
      <c r="CG75" s="3214"/>
      <c r="CH75" s="3214"/>
      <c r="CI75" s="3215">
        <f t="shared" si="4"/>
        <v>0</v>
      </c>
    </row>
    <row r="76" spans="1:87" s="1302" customFormat="1" ht="114" customHeight="1">
      <c r="A76" s="3207" t="s">
        <v>1644</v>
      </c>
      <c r="B76" s="3192"/>
      <c r="C76" s="3207" t="s">
        <v>4653</v>
      </c>
      <c r="D76" s="3208"/>
      <c r="E76" s="3208"/>
      <c r="F76" s="3209"/>
      <c r="G76" s="3209"/>
      <c r="H76" s="3209"/>
      <c r="I76" s="3209"/>
      <c r="J76" s="3209"/>
      <c r="K76" s="3209"/>
      <c r="L76" s="3209"/>
      <c r="M76" s="3210"/>
      <c r="N76" s="3209"/>
      <c r="O76" s="3210">
        <f>SUM(O77:O82)</f>
        <v>0</v>
      </c>
      <c r="P76" s="3211" t="s">
        <v>5303</v>
      </c>
      <c r="Q76" s="2286"/>
      <c r="R76" s="2873">
        <f>SUM(R77:R82)</f>
        <v>0</v>
      </c>
      <c r="BB76" s="3214"/>
      <c r="BC76" s="3214"/>
      <c r="BD76" s="3214"/>
      <c r="BE76" s="3214"/>
      <c r="BF76" s="3214"/>
      <c r="BG76" s="3214"/>
      <c r="BH76" s="3214"/>
      <c r="BI76" s="3214"/>
      <c r="BJ76" s="3214"/>
      <c r="BK76" s="3214"/>
      <c r="BL76" s="3214"/>
      <c r="BM76" s="3214"/>
      <c r="BN76" s="3214"/>
      <c r="BO76" s="3214"/>
      <c r="BP76" s="3214"/>
      <c r="BQ76" s="3214"/>
      <c r="BR76" s="3214"/>
      <c r="BS76" s="3214"/>
      <c r="BT76" s="3214"/>
      <c r="BU76" s="3214"/>
      <c r="BV76" s="3214"/>
      <c r="BW76" s="3214"/>
      <c r="BX76" s="3214"/>
      <c r="BY76" s="3214"/>
      <c r="BZ76" s="3214"/>
      <c r="CA76" s="3214"/>
      <c r="CB76" s="3214"/>
      <c r="CC76" s="3214"/>
      <c r="CD76" s="3214"/>
      <c r="CE76" s="3214"/>
      <c r="CF76" s="3214"/>
      <c r="CG76" s="3214"/>
      <c r="CH76" s="3214"/>
      <c r="CI76" s="3215">
        <f t="shared" si="4"/>
        <v>0</v>
      </c>
    </row>
    <row r="77" spans="1:87" ht="30">
      <c r="A77" s="1318" t="s">
        <v>4105</v>
      </c>
      <c r="B77" s="1354" t="s">
        <v>1643</v>
      </c>
      <c r="C77" s="1354" t="s">
        <v>3955</v>
      </c>
      <c r="D77" s="1007" t="s">
        <v>4219</v>
      </c>
      <c r="E77" s="1276" t="s">
        <v>1542</v>
      </c>
      <c r="F77" s="69">
        <v>0</v>
      </c>
      <c r="G77" s="69"/>
      <c r="H77" s="69">
        <v>0</v>
      </c>
      <c r="I77" s="69"/>
      <c r="J77" s="69"/>
      <c r="K77" s="340"/>
      <c r="L77" s="277"/>
      <c r="M77" s="281">
        <f t="shared" ref="M77:M82" si="5">L77/100000</f>
        <v>0</v>
      </c>
      <c r="N77" s="277"/>
      <c r="O77" s="1345">
        <f t="shared" ref="O77:O82" si="6">N77*M77</f>
        <v>0</v>
      </c>
      <c r="P77" s="788"/>
      <c r="Q77" s="1003">
        <f>'Abs9. NVBDCP'!Q37</f>
        <v>0</v>
      </c>
      <c r="R77" s="2867">
        <f>'Abs9. NVBDCP'!R37</f>
        <v>0</v>
      </c>
      <c r="BB77" s="3267"/>
      <c r="BC77" s="3267"/>
      <c r="BD77" s="3267"/>
      <c r="BE77" s="3267"/>
      <c r="BF77" s="3267"/>
      <c r="BG77" s="3267"/>
      <c r="BH77" s="3267"/>
      <c r="BI77" s="3267"/>
      <c r="BJ77" s="3267"/>
      <c r="BK77" s="3267"/>
      <c r="BL77" s="3267"/>
      <c r="BM77" s="3267"/>
      <c r="BN77" s="3267"/>
      <c r="BO77" s="3267"/>
      <c r="BP77" s="3267"/>
      <c r="BQ77" s="3267"/>
      <c r="BR77" s="3267"/>
      <c r="BS77" s="3267"/>
      <c r="BT77" s="3267"/>
      <c r="BU77" s="3267"/>
      <c r="BV77" s="3267"/>
      <c r="BW77" s="3267"/>
      <c r="BX77" s="3267"/>
      <c r="BY77" s="3267"/>
      <c r="BZ77" s="3267"/>
      <c r="CA77" s="3267"/>
      <c r="CB77" s="3267"/>
      <c r="CC77" s="3267"/>
      <c r="CD77" s="3267"/>
      <c r="CE77" s="3267"/>
      <c r="CF77" s="3267"/>
      <c r="CG77" s="3267"/>
      <c r="CH77" s="3267"/>
      <c r="CI77" s="3215">
        <f t="shared" si="4"/>
        <v>0</v>
      </c>
    </row>
    <row r="78" spans="1:87">
      <c r="A78" s="1318" t="s">
        <v>4134</v>
      </c>
      <c r="B78" s="1354" t="s">
        <v>1673</v>
      </c>
      <c r="C78" s="1354" t="s">
        <v>1674</v>
      </c>
      <c r="D78" s="1007" t="s">
        <v>4219</v>
      </c>
      <c r="E78" s="1276" t="s">
        <v>1675</v>
      </c>
      <c r="F78" s="69">
        <v>0</v>
      </c>
      <c r="G78" s="69"/>
      <c r="H78" s="69">
        <v>0</v>
      </c>
      <c r="I78" s="69"/>
      <c r="J78" s="69"/>
      <c r="K78" s="340"/>
      <c r="L78" s="277"/>
      <c r="M78" s="281">
        <f t="shared" si="5"/>
        <v>0</v>
      </c>
      <c r="N78" s="277"/>
      <c r="O78" s="1345">
        <f t="shared" si="6"/>
        <v>0</v>
      </c>
      <c r="P78" s="789"/>
      <c r="Q78" s="1003">
        <f>'Abs9. NVBDCP'!Q38</f>
        <v>0</v>
      </c>
      <c r="R78" s="2867">
        <f>'Abs9. NVBDCP'!R38</f>
        <v>0</v>
      </c>
      <c r="BB78" s="3267"/>
      <c r="BC78" s="3267"/>
      <c r="BD78" s="3267"/>
      <c r="BE78" s="3267"/>
      <c r="BF78" s="3267"/>
      <c r="BG78" s="3267"/>
      <c r="BH78" s="3267"/>
      <c r="BI78" s="3267"/>
      <c r="BJ78" s="3267"/>
      <c r="BK78" s="3267"/>
      <c r="BL78" s="3267"/>
      <c r="BM78" s="3267"/>
      <c r="BN78" s="3267"/>
      <c r="BO78" s="3267"/>
      <c r="BP78" s="3267"/>
      <c r="BQ78" s="3267"/>
      <c r="BR78" s="3267"/>
      <c r="BS78" s="3267"/>
      <c r="BT78" s="3267"/>
      <c r="BU78" s="3267"/>
      <c r="BV78" s="3267"/>
      <c r="BW78" s="3267"/>
      <c r="BX78" s="3267"/>
      <c r="BY78" s="3267"/>
      <c r="BZ78" s="3267"/>
      <c r="CA78" s="3267"/>
      <c r="CB78" s="3267"/>
      <c r="CC78" s="3267"/>
      <c r="CD78" s="3267"/>
      <c r="CE78" s="3267"/>
      <c r="CF78" s="3267"/>
      <c r="CG78" s="3267"/>
      <c r="CH78" s="3267"/>
      <c r="CI78" s="3215">
        <f t="shared" si="4"/>
        <v>0</v>
      </c>
    </row>
    <row r="79" spans="1:87">
      <c r="A79" s="1318" t="s">
        <v>4135</v>
      </c>
      <c r="B79" s="1354" t="s">
        <v>1676</v>
      </c>
      <c r="C79" s="1354" t="s">
        <v>1677</v>
      </c>
      <c r="D79" s="1007" t="s">
        <v>4219</v>
      </c>
      <c r="E79" s="1276" t="s">
        <v>1678</v>
      </c>
      <c r="F79" s="69">
        <v>0</v>
      </c>
      <c r="G79" s="69"/>
      <c r="H79" s="69">
        <v>0</v>
      </c>
      <c r="I79" s="69"/>
      <c r="J79" s="69"/>
      <c r="K79" s="340"/>
      <c r="L79" s="277"/>
      <c r="M79" s="281">
        <f t="shared" si="5"/>
        <v>0</v>
      </c>
      <c r="N79" s="277"/>
      <c r="O79" s="1345">
        <f t="shared" si="6"/>
        <v>0</v>
      </c>
      <c r="P79" s="789"/>
      <c r="Q79" s="1003">
        <f>'Abs9. NVBDCP'!Q39</f>
        <v>0</v>
      </c>
      <c r="R79" s="2867">
        <f>'Abs9. NVBDCP'!R39</f>
        <v>0</v>
      </c>
      <c r="BB79" s="3267"/>
      <c r="BC79" s="3267"/>
      <c r="BD79" s="3267"/>
      <c r="BE79" s="3267"/>
      <c r="BF79" s="3267"/>
      <c r="BG79" s="3267"/>
      <c r="BH79" s="3267"/>
      <c r="BI79" s="3267"/>
      <c r="BJ79" s="3267"/>
      <c r="BK79" s="3267"/>
      <c r="BL79" s="3267"/>
      <c r="BM79" s="3267"/>
      <c r="BN79" s="3267"/>
      <c r="BO79" s="3267"/>
      <c r="BP79" s="3267"/>
      <c r="BQ79" s="3267"/>
      <c r="BR79" s="3267"/>
      <c r="BS79" s="3267"/>
      <c r="BT79" s="3267"/>
      <c r="BU79" s="3267"/>
      <c r="BV79" s="3267"/>
      <c r="BW79" s="3267"/>
      <c r="BX79" s="3267"/>
      <c r="BY79" s="3267"/>
      <c r="BZ79" s="3267"/>
      <c r="CA79" s="3267"/>
      <c r="CB79" s="3267"/>
      <c r="CC79" s="3267"/>
      <c r="CD79" s="3267"/>
      <c r="CE79" s="3267"/>
      <c r="CF79" s="3267"/>
      <c r="CG79" s="3267"/>
      <c r="CH79" s="3267"/>
      <c r="CI79" s="3215">
        <f t="shared" si="4"/>
        <v>0</v>
      </c>
    </row>
    <row r="80" spans="1:87" ht="30">
      <c r="A80" s="1318" t="s">
        <v>4136</v>
      </c>
      <c r="B80" s="1354" t="s">
        <v>1679</v>
      </c>
      <c r="C80" s="1354" t="s">
        <v>1680</v>
      </c>
      <c r="D80" s="1007" t="s">
        <v>4219</v>
      </c>
      <c r="E80" s="1276" t="s">
        <v>1542</v>
      </c>
      <c r="F80" s="69">
        <v>0</v>
      </c>
      <c r="G80" s="69"/>
      <c r="H80" s="69">
        <v>0</v>
      </c>
      <c r="I80" s="69"/>
      <c r="J80" s="69"/>
      <c r="K80" s="340"/>
      <c r="L80" s="277"/>
      <c r="M80" s="281">
        <f t="shared" si="5"/>
        <v>0</v>
      </c>
      <c r="N80" s="277"/>
      <c r="O80" s="1345">
        <f t="shared" si="6"/>
        <v>0</v>
      </c>
      <c r="P80" s="789"/>
      <c r="Q80" s="1003">
        <f>'Abs9. NVBDCP'!Q40</f>
        <v>0</v>
      </c>
      <c r="R80" s="2867">
        <f>'Abs9. NVBDCP'!R40</f>
        <v>0</v>
      </c>
      <c r="BB80" s="3267"/>
      <c r="BC80" s="3267"/>
      <c r="BD80" s="3267"/>
      <c r="BE80" s="3267"/>
      <c r="BF80" s="3267"/>
      <c r="BG80" s="3267"/>
      <c r="BH80" s="3267"/>
      <c r="BI80" s="3267"/>
      <c r="BJ80" s="3267"/>
      <c r="BK80" s="3267"/>
      <c r="BL80" s="3267"/>
      <c r="BM80" s="3267"/>
      <c r="BN80" s="3267"/>
      <c r="BO80" s="3267"/>
      <c r="BP80" s="3267"/>
      <c r="BQ80" s="3267"/>
      <c r="BR80" s="3267"/>
      <c r="BS80" s="3267"/>
      <c r="BT80" s="3267"/>
      <c r="BU80" s="3267"/>
      <c r="BV80" s="3267"/>
      <c r="BW80" s="3267"/>
      <c r="BX80" s="3267"/>
      <c r="BY80" s="3267"/>
      <c r="BZ80" s="3267"/>
      <c r="CA80" s="3267"/>
      <c r="CB80" s="3267"/>
      <c r="CC80" s="3267"/>
      <c r="CD80" s="3267"/>
      <c r="CE80" s="3267"/>
      <c r="CF80" s="3267"/>
      <c r="CG80" s="3267"/>
      <c r="CH80" s="3267"/>
      <c r="CI80" s="3215">
        <f t="shared" si="4"/>
        <v>0</v>
      </c>
    </row>
    <row r="81" spans="1:87" ht="45">
      <c r="A81" s="1318" t="s">
        <v>4137</v>
      </c>
      <c r="B81" s="1355"/>
      <c r="C81" s="1354" t="s">
        <v>3723</v>
      </c>
      <c r="D81" s="1007" t="s">
        <v>4219</v>
      </c>
      <c r="E81" s="1276" t="s">
        <v>1309</v>
      </c>
      <c r="F81" s="69">
        <v>0</v>
      </c>
      <c r="G81" s="69"/>
      <c r="H81" s="69">
        <v>0</v>
      </c>
      <c r="I81" s="69"/>
      <c r="J81" s="69"/>
      <c r="K81" s="340"/>
      <c r="L81" s="277"/>
      <c r="M81" s="281">
        <f t="shared" si="5"/>
        <v>0</v>
      </c>
      <c r="N81" s="277"/>
      <c r="O81" s="1345">
        <f t="shared" si="6"/>
        <v>0</v>
      </c>
      <c r="P81" s="789"/>
      <c r="Q81" s="1003">
        <f>'Abs9. NVBDCP'!Q41</f>
        <v>0</v>
      </c>
      <c r="R81" s="2867">
        <f>'Abs9. NVBDCP'!R41</f>
        <v>0</v>
      </c>
      <c r="BB81" s="3267"/>
      <c r="BC81" s="3267"/>
      <c r="BD81" s="3267"/>
      <c r="BE81" s="3267"/>
      <c r="BF81" s="3267"/>
      <c r="BG81" s="3267"/>
      <c r="BH81" s="3267"/>
      <c r="BI81" s="3267"/>
      <c r="BJ81" s="3267"/>
      <c r="BK81" s="3267"/>
      <c r="BL81" s="3267"/>
      <c r="BM81" s="3267"/>
      <c r="BN81" s="3267"/>
      <c r="BO81" s="3267"/>
      <c r="BP81" s="3267"/>
      <c r="BQ81" s="3267"/>
      <c r="BR81" s="3267"/>
      <c r="BS81" s="3267"/>
      <c r="BT81" s="3267"/>
      <c r="BU81" s="3267"/>
      <c r="BV81" s="3267"/>
      <c r="BW81" s="3267"/>
      <c r="BX81" s="3267"/>
      <c r="BY81" s="3267"/>
      <c r="BZ81" s="3267"/>
      <c r="CA81" s="3267"/>
      <c r="CB81" s="3267"/>
      <c r="CC81" s="3267"/>
      <c r="CD81" s="3267"/>
      <c r="CE81" s="3267"/>
      <c r="CF81" s="3267"/>
      <c r="CG81" s="3267"/>
      <c r="CH81" s="3267"/>
      <c r="CI81" s="3215">
        <f t="shared" si="4"/>
        <v>0</v>
      </c>
    </row>
    <row r="82" spans="1:87" ht="30">
      <c r="A82" s="1318" t="s">
        <v>4666</v>
      </c>
      <c r="B82" s="521"/>
      <c r="C82" s="509" t="s">
        <v>1585</v>
      </c>
      <c r="D82" s="1007" t="s">
        <v>4219</v>
      </c>
      <c r="E82" s="1276" t="s">
        <v>109</v>
      </c>
      <c r="F82" s="69">
        <v>0</v>
      </c>
      <c r="G82" s="69"/>
      <c r="H82" s="69">
        <v>0</v>
      </c>
      <c r="I82" s="69"/>
      <c r="J82" s="69"/>
      <c r="K82" s="340"/>
      <c r="L82" s="277"/>
      <c r="M82" s="281">
        <f t="shared" si="5"/>
        <v>0</v>
      </c>
      <c r="N82" s="277"/>
      <c r="O82" s="1345">
        <f t="shared" si="6"/>
        <v>0</v>
      </c>
      <c r="P82" s="789"/>
      <c r="Q82" s="1003">
        <f>'Abs9. NVBDCP'!Q42</f>
        <v>0</v>
      </c>
      <c r="R82" s="2867">
        <f>'Abs9. NVBDCP'!R42</f>
        <v>0</v>
      </c>
      <c r="BB82" s="3267"/>
      <c r="BC82" s="3267"/>
      <c r="BD82" s="3267"/>
      <c r="BE82" s="3267"/>
      <c r="BF82" s="3267"/>
      <c r="BG82" s="3267"/>
      <c r="BH82" s="3267"/>
      <c r="BI82" s="3267"/>
      <c r="BJ82" s="3267"/>
      <c r="BK82" s="3267"/>
      <c r="BL82" s="3267"/>
      <c r="BM82" s="3267"/>
      <c r="BN82" s="3267"/>
      <c r="BO82" s="3267"/>
      <c r="BP82" s="3267"/>
      <c r="BQ82" s="3267"/>
      <c r="BR82" s="3267"/>
      <c r="BS82" s="3267"/>
      <c r="BT82" s="3267"/>
      <c r="BU82" s="3267"/>
      <c r="BV82" s="3267"/>
      <c r="BW82" s="3267"/>
      <c r="BX82" s="3267"/>
      <c r="BY82" s="3267"/>
      <c r="BZ82" s="3267"/>
      <c r="CA82" s="3267"/>
      <c r="CB82" s="3267"/>
      <c r="CC82" s="3267"/>
      <c r="CD82" s="3267"/>
      <c r="CE82" s="3267"/>
      <c r="CF82" s="3267"/>
      <c r="CG82" s="3267"/>
      <c r="CH82" s="3267"/>
      <c r="CI82" s="3215">
        <f t="shared" si="4"/>
        <v>0</v>
      </c>
    </row>
    <row r="83" spans="1:87" ht="30">
      <c r="A83" s="1339" t="s">
        <v>1645</v>
      </c>
      <c r="B83" s="1340"/>
      <c r="C83" s="1339" t="s">
        <v>4654</v>
      </c>
      <c r="D83" s="1341"/>
      <c r="E83" s="1341"/>
      <c r="F83" s="338"/>
      <c r="G83" s="338"/>
      <c r="H83" s="338"/>
      <c r="I83" s="338"/>
      <c r="J83" s="338"/>
      <c r="K83" s="338"/>
      <c r="L83" s="338"/>
      <c r="M83" s="1342"/>
      <c r="N83" s="338"/>
      <c r="O83" s="1342">
        <f>SUM(O84:O87)</f>
        <v>2.4</v>
      </c>
      <c r="P83" s="787"/>
      <c r="Q83" s="1344"/>
      <c r="R83" s="2866">
        <f>SUM(R84:R87)</f>
        <v>2.4</v>
      </c>
      <c r="BB83" s="3267"/>
      <c r="BC83" s="3267"/>
      <c r="BD83" s="3267"/>
      <c r="BE83" s="3267"/>
      <c r="BF83" s="3267"/>
      <c r="BG83" s="3267"/>
      <c r="BH83" s="3267"/>
      <c r="BI83" s="3267"/>
      <c r="BJ83" s="3267"/>
      <c r="BK83" s="3267"/>
      <c r="BL83" s="3267"/>
      <c r="BM83" s="3267"/>
      <c r="BN83" s="3267"/>
      <c r="BO83" s="3267"/>
      <c r="BP83" s="3267"/>
      <c r="BQ83" s="3267"/>
      <c r="BR83" s="3267"/>
      <c r="BS83" s="3267"/>
      <c r="BT83" s="3267"/>
      <c r="BU83" s="3267"/>
      <c r="BV83" s="3267"/>
      <c r="BW83" s="3267"/>
      <c r="BX83" s="3267"/>
      <c r="BY83" s="3267"/>
      <c r="BZ83" s="3267"/>
      <c r="CA83" s="3267"/>
      <c r="CB83" s="3267"/>
      <c r="CC83" s="3267"/>
      <c r="CD83" s="3267"/>
      <c r="CE83" s="3267"/>
      <c r="CF83" s="3267"/>
      <c r="CG83" s="3267"/>
      <c r="CH83" s="3267"/>
      <c r="CI83" s="3215">
        <f t="shared" si="4"/>
        <v>0</v>
      </c>
    </row>
    <row r="84" spans="1:87">
      <c r="A84" s="1318" t="s">
        <v>4106</v>
      </c>
      <c r="B84" s="1321" t="s">
        <v>1546</v>
      </c>
      <c r="C84" s="1354" t="s">
        <v>1636</v>
      </c>
      <c r="D84" s="1007" t="s">
        <v>4219</v>
      </c>
      <c r="E84" s="1276" t="s">
        <v>141</v>
      </c>
      <c r="F84" s="69">
        <v>13</v>
      </c>
      <c r="G84" s="69"/>
      <c r="H84" s="69">
        <v>0</v>
      </c>
      <c r="I84" s="69"/>
      <c r="J84" s="69"/>
      <c r="K84" s="334"/>
      <c r="L84" s="277"/>
      <c r="M84" s="281">
        <f>L84/100000</f>
        <v>0</v>
      </c>
      <c r="N84" s="277"/>
      <c r="O84" s="1345">
        <f>N84*M84</f>
        <v>0</v>
      </c>
      <c r="P84" s="789"/>
      <c r="Q84" s="1003">
        <f>'Abs10. NLEP'!Q17</f>
        <v>0</v>
      </c>
      <c r="R84" s="2867">
        <f>'Abs10. NLEP'!R17</f>
        <v>0</v>
      </c>
      <c r="BB84" s="3267"/>
      <c r="BC84" s="3267"/>
      <c r="BD84" s="3267"/>
      <c r="BE84" s="3267"/>
      <c r="BF84" s="3267"/>
      <c r="BG84" s="3267"/>
      <c r="BH84" s="3267"/>
      <c r="BI84" s="3267"/>
      <c r="BJ84" s="3267"/>
      <c r="BK84" s="3267"/>
      <c r="BL84" s="3267"/>
      <c r="BM84" s="3267"/>
      <c r="BN84" s="3267"/>
      <c r="BO84" s="3267"/>
      <c r="BP84" s="3267"/>
      <c r="BQ84" s="3267"/>
      <c r="BR84" s="3267"/>
      <c r="BS84" s="3267"/>
      <c r="BT84" s="3267"/>
      <c r="BU84" s="3267"/>
      <c r="BV84" s="3267"/>
      <c r="BW84" s="3267"/>
      <c r="BX84" s="3267"/>
      <c r="BY84" s="3267"/>
      <c r="BZ84" s="3267"/>
      <c r="CA84" s="3267"/>
      <c r="CB84" s="3267"/>
      <c r="CC84" s="3267"/>
      <c r="CD84" s="3267"/>
      <c r="CE84" s="3267"/>
      <c r="CF84" s="3267"/>
      <c r="CG84" s="3267"/>
      <c r="CH84" s="3267"/>
      <c r="CI84" s="3215">
        <f t="shared" si="4"/>
        <v>0</v>
      </c>
    </row>
    <row r="85" spans="1:87" s="1302" customFormat="1" ht="45">
      <c r="A85" s="1317" t="s">
        <v>4138</v>
      </c>
      <c r="B85" s="1357" t="s">
        <v>1682</v>
      </c>
      <c r="C85" s="1355" t="s">
        <v>1683</v>
      </c>
      <c r="D85" s="2254" t="s">
        <v>4219</v>
      </c>
      <c r="E85" s="1346" t="s">
        <v>141</v>
      </c>
      <c r="F85" s="353">
        <v>300</v>
      </c>
      <c r="G85" s="353">
        <v>0</v>
      </c>
      <c r="H85" s="353">
        <v>1.2</v>
      </c>
      <c r="I85" s="353">
        <v>0</v>
      </c>
      <c r="J85" s="353">
        <v>0.9</v>
      </c>
      <c r="K85" s="343">
        <v>0</v>
      </c>
      <c r="L85" s="283">
        <v>300</v>
      </c>
      <c r="M85" s="2261">
        <f>L85/100000</f>
        <v>3.0000000000000001E-3</v>
      </c>
      <c r="N85" s="283">
        <v>300</v>
      </c>
      <c r="O85" s="2353">
        <f>N85*M85</f>
        <v>0.9</v>
      </c>
      <c r="P85" s="791" t="s">
        <v>5201</v>
      </c>
      <c r="Q85" s="2257" t="str">
        <f>'Abs10. NLEP'!Q18</f>
        <v xml:space="preserve">Recommended. However, state has not conducted this activity since April, 2020. State should start this activity immediately. </v>
      </c>
      <c r="R85" s="2869">
        <f>'Abs10. NLEP'!R18</f>
        <v>0.9</v>
      </c>
      <c r="BB85" s="3214">
        <v>0.9</v>
      </c>
      <c r="BC85" s="3214"/>
      <c r="BD85" s="3214"/>
      <c r="BE85" s="3214"/>
      <c r="BF85" s="3214"/>
      <c r="BG85" s="3214"/>
      <c r="BH85" s="3214"/>
      <c r="BI85" s="3214"/>
      <c r="BJ85" s="3214"/>
      <c r="BK85" s="3214"/>
      <c r="BL85" s="3214"/>
      <c r="BM85" s="3214"/>
      <c r="BN85" s="3214"/>
      <c r="BO85" s="3214"/>
      <c r="BP85" s="3214"/>
      <c r="BQ85" s="3214"/>
      <c r="BR85" s="3214"/>
      <c r="BS85" s="3214"/>
      <c r="BT85" s="3214"/>
      <c r="BU85" s="3214"/>
      <c r="BV85" s="3214"/>
      <c r="BW85" s="3214"/>
      <c r="BX85" s="3214"/>
      <c r="BY85" s="3214"/>
      <c r="BZ85" s="3214"/>
      <c r="CA85" s="3214"/>
      <c r="CB85" s="3214"/>
      <c r="CC85" s="3214"/>
      <c r="CD85" s="3214"/>
      <c r="CE85" s="3214"/>
      <c r="CF85" s="3214"/>
      <c r="CG85" s="3214"/>
      <c r="CH85" s="3214"/>
      <c r="CI85" s="3215">
        <f t="shared" si="4"/>
        <v>0.9</v>
      </c>
    </row>
    <row r="86" spans="1:87" s="1302" customFormat="1" ht="30">
      <c r="A86" s="1317" t="s">
        <v>4139</v>
      </c>
      <c r="B86" s="1357" t="s">
        <v>1684</v>
      </c>
      <c r="C86" s="1355" t="s">
        <v>1685</v>
      </c>
      <c r="D86" s="2254" t="s">
        <v>4219</v>
      </c>
      <c r="E86" s="1304" t="s">
        <v>141</v>
      </c>
      <c r="F86" s="353">
        <v>10</v>
      </c>
      <c r="G86" s="353">
        <v>0</v>
      </c>
      <c r="H86" s="353">
        <v>3</v>
      </c>
      <c r="I86" s="353">
        <v>0</v>
      </c>
      <c r="J86" s="353">
        <v>1</v>
      </c>
      <c r="K86" s="343"/>
      <c r="L86" s="283">
        <v>12500</v>
      </c>
      <c r="M86" s="2261">
        <f>L86/100000</f>
        <v>0.125</v>
      </c>
      <c r="N86" s="283">
        <v>12</v>
      </c>
      <c r="O86" s="2353">
        <f>N86*M86</f>
        <v>1.5</v>
      </c>
      <c r="P86" s="762" t="s">
        <v>5202</v>
      </c>
      <c r="Q86" s="2257" t="str">
        <f>'Abs10. NLEP'!Q19</f>
        <v xml:space="preserve"> Recommended </v>
      </c>
      <c r="R86" s="2869">
        <f>'Abs10. NLEP'!R19</f>
        <v>1.5</v>
      </c>
      <c r="BB86" s="3214">
        <v>1.5</v>
      </c>
      <c r="BC86" s="3214"/>
      <c r="BD86" s="3214"/>
      <c r="BE86" s="3214"/>
      <c r="BF86" s="3214"/>
      <c r="BG86" s="3214"/>
      <c r="BH86" s="3214"/>
      <c r="BI86" s="3214"/>
      <c r="BJ86" s="3214"/>
      <c r="BK86" s="3214"/>
      <c r="BL86" s="3214"/>
      <c r="BM86" s="3214"/>
      <c r="BN86" s="3214"/>
      <c r="BO86" s="3214"/>
      <c r="BP86" s="3214"/>
      <c r="BQ86" s="3214"/>
      <c r="BR86" s="3214"/>
      <c r="BS86" s="3214"/>
      <c r="BT86" s="3214"/>
      <c r="BU86" s="3214"/>
      <c r="BV86" s="3214"/>
      <c r="BW86" s="3214"/>
      <c r="BX86" s="3214"/>
      <c r="BY86" s="3214"/>
      <c r="BZ86" s="3214"/>
      <c r="CA86" s="3214"/>
      <c r="CB86" s="3214"/>
      <c r="CC86" s="3214"/>
      <c r="CD86" s="3214"/>
      <c r="CE86" s="3214"/>
      <c r="CF86" s="3214"/>
      <c r="CG86" s="3214"/>
      <c r="CH86" s="3214"/>
      <c r="CI86" s="3215">
        <f t="shared" si="4"/>
        <v>1.5</v>
      </c>
    </row>
    <row r="87" spans="1:87" ht="16.5" customHeight="1">
      <c r="A87" s="1318" t="s">
        <v>4140</v>
      </c>
      <c r="B87" s="521"/>
      <c r="C87" s="509" t="s">
        <v>1585</v>
      </c>
      <c r="D87" s="1007" t="s">
        <v>4219</v>
      </c>
      <c r="E87" s="1276" t="s">
        <v>141</v>
      </c>
      <c r="F87" s="69">
        <v>0</v>
      </c>
      <c r="G87" s="69"/>
      <c r="H87" s="69">
        <v>0</v>
      </c>
      <c r="I87" s="69"/>
      <c r="J87" s="69"/>
      <c r="K87" s="340"/>
      <c r="L87" s="277"/>
      <c r="M87" s="281">
        <f>L87/100000</f>
        <v>0</v>
      </c>
      <c r="N87" s="277"/>
      <c r="O87" s="1345">
        <f>N87*M87</f>
        <v>0</v>
      </c>
      <c r="P87" s="788"/>
      <c r="Q87" s="1003">
        <f>'Abs10. NLEP'!Q20</f>
        <v>0</v>
      </c>
      <c r="R87" s="2867">
        <f>'Abs10. NLEP'!R20</f>
        <v>0</v>
      </c>
      <c r="BB87" s="3267"/>
      <c r="BC87" s="3267"/>
      <c r="BD87" s="3267"/>
      <c r="BE87" s="3267"/>
      <c r="BF87" s="3267"/>
      <c r="BG87" s="3267"/>
      <c r="BH87" s="3267"/>
      <c r="BI87" s="3267"/>
      <c r="BJ87" s="3267"/>
      <c r="BK87" s="3267"/>
      <c r="BL87" s="3267"/>
      <c r="BM87" s="3267"/>
      <c r="BN87" s="3267"/>
      <c r="BO87" s="3267"/>
      <c r="BP87" s="3267"/>
      <c r="BQ87" s="3267"/>
      <c r="BR87" s="3267"/>
      <c r="BS87" s="3267"/>
      <c r="BT87" s="3267"/>
      <c r="BU87" s="3267"/>
      <c r="BV87" s="3267"/>
      <c r="BW87" s="3267"/>
      <c r="BX87" s="3267"/>
      <c r="BY87" s="3267"/>
      <c r="BZ87" s="3267"/>
      <c r="CA87" s="3267"/>
      <c r="CB87" s="3267"/>
      <c r="CC87" s="3267"/>
      <c r="CD87" s="3267"/>
      <c r="CE87" s="3267"/>
      <c r="CF87" s="3267"/>
      <c r="CG87" s="3267"/>
      <c r="CH87" s="3267"/>
      <c r="CI87" s="3215">
        <f t="shared" si="4"/>
        <v>0</v>
      </c>
    </row>
    <row r="88" spans="1:87" ht="30">
      <c r="A88" s="1339" t="s">
        <v>1647</v>
      </c>
      <c r="B88" s="1340"/>
      <c r="C88" s="1339" t="s">
        <v>4655</v>
      </c>
      <c r="D88" s="1341"/>
      <c r="E88" s="1341"/>
      <c r="F88" s="338"/>
      <c r="G88" s="338"/>
      <c r="H88" s="338"/>
      <c r="I88" s="338"/>
      <c r="J88" s="338"/>
      <c r="K88" s="338"/>
      <c r="L88" s="338"/>
      <c r="M88" s="1342"/>
      <c r="N88" s="338"/>
      <c r="O88" s="1342">
        <f>O89</f>
        <v>89.199600000000004</v>
      </c>
      <c r="P88" s="787"/>
      <c r="Q88" s="1344"/>
      <c r="R88" s="2866">
        <f>R89</f>
        <v>89.2</v>
      </c>
      <c r="BB88" s="3267"/>
      <c r="BC88" s="3267"/>
      <c r="BD88" s="3267"/>
      <c r="BE88" s="3267"/>
      <c r="BF88" s="3267"/>
      <c r="BG88" s="3267"/>
      <c r="BH88" s="3267"/>
      <c r="BI88" s="3267"/>
      <c r="BJ88" s="3267"/>
      <c r="BK88" s="3267"/>
      <c r="BL88" s="3267"/>
      <c r="BM88" s="3267"/>
      <c r="BN88" s="3267"/>
      <c r="BO88" s="3267"/>
      <c r="BP88" s="3267"/>
      <c r="BQ88" s="3267"/>
      <c r="BR88" s="3267"/>
      <c r="BS88" s="3267"/>
      <c r="BT88" s="3267"/>
      <c r="BU88" s="3267"/>
      <c r="BV88" s="3267"/>
      <c r="BW88" s="3267"/>
      <c r="BX88" s="3267"/>
      <c r="BY88" s="3267"/>
      <c r="BZ88" s="3267"/>
      <c r="CA88" s="3267"/>
      <c r="CB88" s="3267"/>
      <c r="CC88" s="3267"/>
      <c r="CD88" s="3267"/>
      <c r="CE88" s="3267"/>
      <c r="CF88" s="3267"/>
      <c r="CG88" s="3267"/>
      <c r="CH88" s="3267"/>
      <c r="CI88" s="3215">
        <f t="shared" si="4"/>
        <v>0</v>
      </c>
    </row>
    <row r="89" spans="1:87" s="1302" customFormat="1" ht="32.25" customHeight="1">
      <c r="A89" s="3191" t="s">
        <v>4107</v>
      </c>
      <c r="B89" s="3192" t="s">
        <v>1646</v>
      </c>
      <c r="C89" s="3192" t="s">
        <v>1579</v>
      </c>
      <c r="D89" s="2254" t="s">
        <v>4219</v>
      </c>
      <c r="E89" s="1304" t="s">
        <v>4525</v>
      </c>
      <c r="F89" s="353">
        <v>34</v>
      </c>
      <c r="G89" s="353">
        <v>32</v>
      </c>
      <c r="H89" s="353">
        <v>58.8</v>
      </c>
      <c r="I89" s="353">
        <v>2.72</v>
      </c>
      <c r="J89" s="353">
        <v>35.770000000000003</v>
      </c>
      <c r="K89" s="2354">
        <v>29</v>
      </c>
      <c r="L89" s="2345">
        <v>120540</v>
      </c>
      <c r="M89" s="2261">
        <f>L89/100000</f>
        <v>1.2054</v>
      </c>
      <c r="N89" s="2345">
        <v>74</v>
      </c>
      <c r="O89" s="2355">
        <f>N89*M89</f>
        <v>89.199600000000004</v>
      </c>
      <c r="P89" s="3206" t="s">
        <v>5986</v>
      </c>
      <c r="Q89" s="3189" t="str">
        <f>'Abs11. NTEP'!Q21</f>
        <v>Recommended Rs 89.20 lakhs for the following proocurements:1) Rs 30.7 lakhs for State Drug Store Dharampur (30 heavy duty racks, bed side monitor for DRTB Centre Dharampur, computer)2) Rs 5.3 lakhs for Office equipments for 3 DTCs3) Rs 47 lakhs for new 40 microscopes @Rs 55000 4) Rs 3 lakhs for 2 cardiac monitors, and projector (Sirmaur)5) Rs 1.4 lakh for ECG machine, electronic weighing machine, water bath etc 6) Rs 2.3 lakhs for online UPS for 2 CBNAAT machines (Una- Rs 1.5 lakhs, Jwalamukhi – Rs 80000)7) Rs 1.1 lakh for power back up in DRTB ward/DMC/DTC/CBNAAT site</v>
      </c>
      <c r="R89" s="3190">
        <f>'Abs11. NTEP'!R21</f>
        <v>89.2</v>
      </c>
      <c r="S89" s="1302">
        <f>5.3</f>
        <v>5.3</v>
      </c>
      <c r="BB89" s="3269"/>
      <c r="BC89" s="3269"/>
      <c r="BD89" s="3269"/>
      <c r="BE89" s="3269">
        <v>1.5</v>
      </c>
      <c r="BF89" s="3269">
        <v>2.6</v>
      </c>
      <c r="BG89" s="3269"/>
      <c r="BH89" s="3269">
        <v>1.7</v>
      </c>
      <c r="BI89" s="3269">
        <v>1</v>
      </c>
      <c r="BJ89" s="3269"/>
      <c r="BK89" s="3269"/>
      <c r="BL89" s="3269">
        <v>3</v>
      </c>
      <c r="BM89" s="3269"/>
      <c r="BN89" s="3269">
        <v>1.5</v>
      </c>
      <c r="BO89" s="3269"/>
      <c r="BP89" s="3269"/>
      <c r="BQ89" s="3269"/>
      <c r="BR89" s="3269"/>
      <c r="BS89" s="3269"/>
      <c r="BT89" s="3269"/>
      <c r="BU89" s="3269"/>
      <c r="BV89" s="3269"/>
      <c r="BW89" s="3269"/>
      <c r="BX89" s="3269"/>
      <c r="BY89" s="3269"/>
      <c r="BZ89" s="3269"/>
      <c r="CA89" s="3269"/>
      <c r="CB89" s="3269"/>
      <c r="CC89" s="3269"/>
      <c r="CD89" s="3269"/>
      <c r="CE89" s="3269">
        <v>77.900000000000006</v>
      </c>
      <c r="CF89" s="3269"/>
      <c r="CG89" s="3269"/>
      <c r="CH89" s="3269"/>
      <c r="CI89" s="3215">
        <f t="shared" si="4"/>
        <v>89.2</v>
      </c>
    </row>
    <row r="90" spans="1:87" s="1302" customFormat="1" ht="30">
      <c r="A90" s="1339" t="s">
        <v>1647</v>
      </c>
      <c r="B90" s="1340"/>
      <c r="C90" s="1339" t="s">
        <v>4680</v>
      </c>
      <c r="D90" s="1341"/>
      <c r="E90" s="1341"/>
      <c r="F90" s="338"/>
      <c r="G90" s="338"/>
      <c r="H90" s="338"/>
      <c r="I90" s="338"/>
      <c r="J90" s="338"/>
      <c r="K90" s="338"/>
      <c r="L90" s="338"/>
      <c r="M90" s="1342"/>
      <c r="N90" s="338"/>
      <c r="O90" s="1342">
        <f>O91</f>
        <v>0</v>
      </c>
      <c r="P90" s="787"/>
      <c r="Q90" s="1344"/>
      <c r="R90" s="2866">
        <f>R91</f>
        <v>0</v>
      </c>
      <c r="BB90" s="3214"/>
      <c r="BC90" s="3214"/>
      <c r="BD90" s="3214"/>
      <c r="BE90" s="3214"/>
      <c r="BF90" s="3214"/>
      <c r="BG90" s="3214"/>
      <c r="BH90" s="3214"/>
      <c r="BI90" s="3214"/>
      <c r="BJ90" s="3214"/>
      <c r="BK90" s="3214"/>
      <c r="BL90" s="3214"/>
      <c r="BM90" s="3214"/>
      <c r="BN90" s="3214"/>
      <c r="BO90" s="3214"/>
      <c r="BP90" s="3214"/>
      <c r="BQ90" s="3214"/>
      <c r="BR90" s="3214"/>
      <c r="BS90" s="3214"/>
      <c r="BT90" s="3214"/>
      <c r="BU90" s="3214"/>
      <c r="BV90" s="3214"/>
      <c r="BW90" s="3214"/>
      <c r="BX90" s="3214"/>
      <c r="BY90" s="3214"/>
      <c r="BZ90" s="3214"/>
      <c r="CA90" s="3214"/>
      <c r="CB90" s="3214"/>
      <c r="CC90" s="3214"/>
      <c r="CD90" s="3214"/>
      <c r="CE90" s="3214"/>
      <c r="CF90" s="3214"/>
      <c r="CG90" s="3214"/>
      <c r="CH90" s="3214"/>
      <c r="CI90" s="3215">
        <f t="shared" si="4"/>
        <v>0</v>
      </c>
    </row>
    <row r="91" spans="1:87" ht="31.5" customHeight="1">
      <c r="A91" s="1317" t="s">
        <v>4146</v>
      </c>
      <c r="B91" s="521"/>
      <c r="C91" s="521" t="s">
        <v>4359</v>
      </c>
      <c r="D91" s="1007" t="s">
        <v>4219</v>
      </c>
      <c r="E91" s="1346" t="s">
        <v>3855</v>
      </c>
      <c r="F91" s="353">
        <v>0</v>
      </c>
      <c r="G91" s="353"/>
      <c r="H91" s="353">
        <v>0</v>
      </c>
      <c r="I91" s="353"/>
      <c r="J91" s="353"/>
      <c r="K91" s="356"/>
      <c r="L91" s="277"/>
      <c r="M91" s="281">
        <f>L91/100000</f>
        <v>0</v>
      </c>
      <c r="N91" s="277"/>
      <c r="O91" s="1348">
        <f>N91*M91</f>
        <v>0</v>
      </c>
      <c r="P91" s="793"/>
      <c r="Q91" s="1003">
        <f>'Abs13. NRCP'!Q7</f>
        <v>0</v>
      </c>
      <c r="R91" s="2867">
        <f>'Abs13. NRCP'!R7</f>
        <v>0</v>
      </c>
      <c r="BB91" s="3267"/>
      <c r="BC91" s="3267"/>
      <c r="BD91" s="3267"/>
      <c r="BE91" s="3267"/>
      <c r="BF91" s="3267"/>
      <c r="BG91" s="3267"/>
      <c r="BH91" s="3267"/>
      <c r="BI91" s="3267"/>
      <c r="BJ91" s="3267"/>
      <c r="BK91" s="3267"/>
      <c r="BL91" s="3267"/>
      <c r="BM91" s="3267"/>
      <c r="BN91" s="3267"/>
      <c r="BO91" s="3267"/>
      <c r="BP91" s="3267"/>
      <c r="BQ91" s="3267"/>
      <c r="BR91" s="3267"/>
      <c r="BS91" s="3267"/>
      <c r="BT91" s="3267"/>
      <c r="BU91" s="3267"/>
      <c r="BV91" s="3267"/>
      <c r="BW91" s="3267"/>
      <c r="BX91" s="3267"/>
      <c r="BY91" s="3267"/>
      <c r="BZ91" s="3267"/>
      <c r="CA91" s="3267"/>
      <c r="CB91" s="3267"/>
      <c r="CC91" s="3267"/>
      <c r="CD91" s="3267"/>
      <c r="CE91" s="3267"/>
      <c r="CF91" s="3267"/>
      <c r="CG91" s="3267"/>
      <c r="CH91" s="3267"/>
      <c r="CI91" s="3215">
        <f t="shared" si="4"/>
        <v>0</v>
      </c>
    </row>
    <row r="92" spans="1:87">
      <c r="A92" s="3918"/>
      <c r="B92" s="3918"/>
      <c r="C92" s="3918"/>
      <c r="D92" s="1200"/>
      <c r="E92" s="1200"/>
      <c r="F92" s="310"/>
      <c r="G92" s="310"/>
      <c r="H92" s="310"/>
      <c r="I92" s="310"/>
      <c r="J92" s="310"/>
      <c r="K92" s="310"/>
      <c r="L92" s="310"/>
      <c r="M92" s="1336"/>
      <c r="N92" s="602"/>
      <c r="O92" s="1336"/>
      <c r="P92" s="720"/>
      <c r="Q92" s="1182"/>
      <c r="R92" s="2865"/>
      <c r="BB92" s="3267"/>
      <c r="BC92" s="3267"/>
      <c r="BD92" s="3267"/>
      <c r="BE92" s="3267"/>
      <c r="BF92" s="3267"/>
      <c r="BG92" s="3267"/>
      <c r="BH92" s="3267"/>
      <c r="BI92" s="3267"/>
      <c r="BJ92" s="3267"/>
      <c r="BK92" s="3267"/>
      <c r="BL92" s="3267"/>
      <c r="BM92" s="3267"/>
      <c r="BN92" s="3267"/>
      <c r="BO92" s="3267"/>
      <c r="BP92" s="3267"/>
      <c r="BQ92" s="3267"/>
      <c r="BR92" s="3267"/>
      <c r="BS92" s="3267"/>
      <c r="BT92" s="3267"/>
      <c r="BU92" s="3267"/>
      <c r="BV92" s="3267"/>
      <c r="BW92" s="3267"/>
      <c r="BX92" s="3267"/>
      <c r="BY92" s="3267"/>
      <c r="BZ92" s="3267"/>
      <c r="CA92" s="3267"/>
      <c r="CB92" s="3267"/>
      <c r="CC92" s="3267"/>
      <c r="CD92" s="3267"/>
      <c r="CE92" s="3267"/>
      <c r="CF92" s="3267"/>
      <c r="CG92" s="3267"/>
      <c r="CH92" s="3267"/>
      <c r="CI92" s="3215">
        <f t="shared" si="4"/>
        <v>0</v>
      </c>
    </row>
    <row r="93" spans="1:87" ht="30">
      <c r="A93" s="1339" t="s">
        <v>1649</v>
      </c>
      <c r="B93" s="1340"/>
      <c r="C93" s="1339" t="s">
        <v>4656</v>
      </c>
      <c r="D93" s="1341"/>
      <c r="E93" s="1341"/>
      <c r="F93" s="338"/>
      <c r="G93" s="338"/>
      <c r="H93" s="338"/>
      <c r="I93" s="338"/>
      <c r="J93" s="338"/>
      <c r="K93" s="338"/>
      <c r="L93" s="338"/>
      <c r="M93" s="1342"/>
      <c r="N93" s="338"/>
      <c r="O93" s="1342">
        <f>SUM(O94:O98)</f>
        <v>0</v>
      </c>
      <c r="P93" s="787"/>
      <c r="Q93" s="1344"/>
      <c r="R93" s="2866">
        <f>SUM(R94:R98)</f>
        <v>0</v>
      </c>
      <c r="BB93" s="3267"/>
      <c r="BC93" s="3267"/>
      <c r="BD93" s="3267"/>
      <c r="BE93" s="3267"/>
      <c r="BF93" s="3267"/>
      <c r="BG93" s="3267"/>
      <c r="BH93" s="3267"/>
      <c r="BI93" s="3267"/>
      <c r="BJ93" s="3267"/>
      <c r="BK93" s="3267"/>
      <c r="BL93" s="3267"/>
      <c r="BM93" s="3267"/>
      <c r="BN93" s="3267"/>
      <c r="BO93" s="3267"/>
      <c r="BP93" s="3267"/>
      <c r="BQ93" s="3267"/>
      <c r="BR93" s="3267"/>
      <c r="BS93" s="3267"/>
      <c r="BT93" s="3267"/>
      <c r="BU93" s="3267"/>
      <c r="BV93" s="3267"/>
      <c r="BW93" s="3267"/>
      <c r="BX93" s="3267"/>
      <c r="BY93" s="3267"/>
      <c r="BZ93" s="3267"/>
      <c r="CA93" s="3267"/>
      <c r="CB93" s="3267"/>
      <c r="CC93" s="3267"/>
      <c r="CD93" s="3267"/>
      <c r="CE93" s="3267"/>
      <c r="CF93" s="3267"/>
      <c r="CG93" s="3267"/>
      <c r="CH93" s="3267"/>
      <c r="CI93" s="3215">
        <f t="shared" si="4"/>
        <v>0</v>
      </c>
    </row>
    <row r="94" spans="1:87" s="1302" customFormat="1" ht="30">
      <c r="A94" s="1317" t="s">
        <v>4108</v>
      </c>
      <c r="B94" s="391" t="s">
        <v>314</v>
      </c>
      <c r="C94" s="391" t="s">
        <v>315</v>
      </c>
      <c r="D94" s="1699" t="s">
        <v>80</v>
      </c>
      <c r="E94" s="2439" t="s">
        <v>81</v>
      </c>
      <c r="F94" s="353">
        <v>5</v>
      </c>
      <c r="G94" s="353"/>
      <c r="H94" s="353">
        <v>70.2</v>
      </c>
      <c r="I94" s="353">
        <v>6.47</v>
      </c>
      <c r="J94" s="353">
        <v>63.73</v>
      </c>
      <c r="K94" s="343"/>
      <c r="L94" s="283"/>
      <c r="M94" s="2261">
        <f>L94/100000</f>
        <v>0</v>
      </c>
      <c r="N94" s="283"/>
      <c r="O94" s="1348">
        <f>N94*M94</f>
        <v>0</v>
      </c>
      <c r="P94" s="791"/>
      <c r="Q94" s="2257">
        <f>'Abs15. NPCB'!Q14</f>
        <v>0</v>
      </c>
      <c r="R94" s="2869">
        <f>'Abs15. NPCB'!R14</f>
        <v>0</v>
      </c>
      <c r="BB94" s="3214"/>
      <c r="BC94" s="3214"/>
      <c r="BD94" s="3214"/>
      <c r="BE94" s="3214"/>
      <c r="BF94" s="3214"/>
      <c r="BG94" s="3214"/>
      <c r="BH94" s="3214"/>
      <c r="BI94" s="3214"/>
      <c r="BJ94" s="3214"/>
      <c r="BK94" s="3214"/>
      <c r="BL94" s="3214"/>
      <c r="BM94" s="3214"/>
      <c r="BN94" s="3214"/>
      <c r="BO94" s="3214"/>
      <c r="BP94" s="3214"/>
      <c r="BQ94" s="3214"/>
      <c r="BR94" s="3214"/>
      <c r="BS94" s="3214"/>
      <c r="BT94" s="3214"/>
      <c r="BU94" s="3214"/>
      <c r="BV94" s="3214"/>
      <c r="BW94" s="3214"/>
      <c r="BX94" s="3214"/>
      <c r="BY94" s="3214"/>
      <c r="BZ94" s="3214"/>
      <c r="CA94" s="3214"/>
      <c r="CB94" s="3214"/>
      <c r="CC94" s="3214"/>
      <c r="CD94" s="3214"/>
      <c r="CE94" s="3214"/>
      <c r="CF94" s="3214"/>
      <c r="CG94" s="3214"/>
      <c r="CH94" s="3214"/>
      <c r="CI94" s="3215">
        <f t="shared" si="4"/>
        <v>0</v>
      </c>
    </row>
    <row r="95" spans="1:87" s="1302" customFormat="1" ht="30">
      <c r="A95" s="1317" t="s">
        <v>4109</v>
      </c>
      <c r="B95" s="391" t="s">
        <v>316</v>
      </c>
      <c r="C95" s="391" t="s">
        <v>317</v>
      </c>
      <c r="D95" s="1699" t="s">
        <v>80</v>
      </c>
      <c r="E95" s="2439" t="s">
        <v>81</v>
      </c>
      <c r="F95" s="353">
        <v>2</v>
      </c>
      <c r="G95" s="353"/>
      <c r="H95" s="353">
        <v>80.900000000000006</v>
      </c>
      <c r="I95" s="353"/>
      <c r="J95" s="353">
        <v>80.900000000000006</v>
      </c>
      <c r="K95" s="343"/>
      <c r="L95" s="283"/>
      <c r="M95" s="2261">
        <f>L95/100000</f>
        <v>0</v>
      </c>
      <c r="N95" s="283"/>
      <c r="O95" s="1348">
        <f>N95*M95</f>
        <v>0</v>
      </c>
      <c r="P95" s="791"/>
      <c r="Q95" s="2257">
        <f>'Abs15. NPCB'!Q15</f>
        <v>0</v>
      </c>
      <c r="R95" s="2869">
        <f>'Abs15. NPCB'!R15</f>
        <v>0</v>
      </c>
      <c r="BB95" s="3214"/>
      <c r="BC95" s="3214"/>
      <c r="BD95" s="3214"/>
      <c r="BE95" s="3214"/>
      <c r="BF95" s="3214"/>
      <c r="BG95" s="3214"/>
      <c r="BH95" s="3214"/>
      <c r="BI95" s="3214"/>
      <c r="BJ95" s="3214"/>
      <c r="BK95" s="3214"/>
      <c r="BL95" s="3214"/>
      <c r="BM95" s="3214"/>
      <c r="BN95" s="3214"/>
      <c r="BO95" s="3214"/>
      <c r="BP95" s="3214"/>
      <c r="BQ95" s="3214"/>
      <c r="BR95" s="3214"/>
      <c r="BS95" s="3214"/>
      <c r="BT95" s="3214"/>
      <c r="BU95" s="3214"/>
      <c r="BV95" s="3214"/>
      <c r="BW95" s="3214"/>
      <c r="BX95" s="3214"/>
      <c r="BY95" s="3214"/>
      <c r="BZ95" s="3214"/>
      <c r="CA95" s="3214"/>
      <c r="CB95" s="3214"/>
      <c r="CC95" s="3214"/>
      <c r="CD95" s="3214"/>
      <c r="CE95" s="3214"/>
      <c r="CF95" s="3214"/>
      <c r="CG95" s="3214"/>
      <c r="CH95" s="3214"/>
      <c r="CI95" s="3215">
        <f t="shared" si="4"/>
        <v>0</v>
      </c>
    </row>
    <row r="96" spans="1:87" s="1302" customFormat="1" ht="30">
      <c r="A96" s="1317" t="s">
        <v>4110</v>
      </c>
      <c r="B96" s="391" t="s">
        <v>318</v>
      </c>
      <c r="C96" s="391" t="s">
        <v>4328</v>
      </c>
      <c r="D96" s="1699" t="s">
        <v>80</v>
      </c>
      <c r="E96" s="2439" t="s">
        <v>81</v>
      </c>
      <c r="F96" s="353">
        <v>0</v>
      </c>
      <c r="G96" s="353"/>
      <c r="H96" s="353">
        <v>0</v>
      </c>
      <c r="I96" s="353"/>
      <c r="J96" s="2453"/>
      <c r="K96" s="343"/>
      <c r="L96" s="283"/>
      <c r="M96" s="2261">
        <f>L96/100000</f>
        <v>0</v>
      </c>
      <c r="N96" s="283"/>
      <c r="O96" s="1348">
        <f>N96*M96</f>
        <v>0</v>
      </c>
      <c r="P96" s="791"/>
      <c r="Q96" s="2257">
        <f>'Abs15. NPCB'!Q16</f>
        <v>0</v>
      </c>
      <c r="R96" s="2869">
        <f>'Abs15. NPCB'!R16</f>
        <v>0</v>
      </c>
      <c r="BB96" s="3214"/>
      <c r="BC96" s="3214"/>
      <c r="BD96" s="3214"/>
      <c r="BE96" s="3214"/>
      <c r="BF96" s="3214"/>
      <c r="BG96" s="3214"/>
      <c r="BH96" s="3214"/>
      <c r="BI96" s="3214"/>
      <c r="BJ96" s="3214"/>
      <c r="BK96" s="3214"/>
      <c r="BL96" s="3214"/>
      <c r="BM96" s="3214"/>
      <c r="BN96" s="3214"/>
      <c r="BO96" s="3214"/>
      <c r="BP96" s="3214"/>
      <c r="BQ96" s="3214"/>
      <c r="BR96" s="3214"/>
      <c r="BS96" s="3214"/>
      <c r="BT96" s="3214"/>
      <c r="BU96" s="3214"/>
      <c r="BV96" s="3214"/>
      <c r="BW96" s="3214"/>
      <c r="BX96" s="3214"/>
      <c r="BY96" s="3214"/>
      <c r="BZ96" s="3214"/>
      <c r="CA96" s="3214"/>
      <c r="CB96" s="3214"/>
      <c r="CC96" s="3214"/>
      <c r="CD96" s="3214"/>
      <c r="CE96" s="3214"/>
      <c r="CF96" s="3214"/>
      <c r="CG96" s="3214"/>
      <c r="CH96" s="3214"/>
      <c r="CI96" s="3215">
        <f t="shared" si="4"/>
        <v>0</v>
      </c>
    </row>
    <row r="97" spans="1:87" s="1302" customFormat="1" ht="30">
      <c r="A97" s="1317" t="s">
        <v>4111</v>
      </c>
      <c r="B97" s="391" t="s">
        <v>319</v>
      </c>
      <c r="C97" s="391" t="s">
        <v>4329</v>
      </c>
      <c r="D97" s="1699" t="s">
        <v>80</v>
      </c>
      <c r="E97" s="2439" t="s">
        <v>81</v>
      </c>
      <c r="F97" s="353">
        <v>1</v>
      </c>
      <c r="G97" s="353"/>
      <c r="H97" s="353">
        <v>40</v>
      </c>
      <c r="I97" s="353"/>
      <c r="J97" s="2453">
        <v>40</v>
      </c>
      <c r="K97" s="343"/>
      <c r="L97" s="283"/>
      <c r="M97" s="2261">
        <f>L97/100000</f>
        <v>0</v>
      </c>
      <c r="N97" s="283"/>
      <c r="O97" s="1348">
        <f>N97*M97</f>
        <v>0</v>
      </c>
      <c r="P97" s="791"/>
      <c r="Q97" s="2257">
        <f>'Abs15. NPCB'!Q17</f>
        <v>0</v>
      </c>
      <c r="R97" s="2869">
        <f>'Abs15. NPCB'!R17</f>
        <v>0</v>
      </c>
      <c r="BB97" s="3214"/>
      <c r="BC97" s="3214"/>
      <c r="BD97" s="3214"/>
      <c r="BE97" s="3214"/>
      <c r="BF97" s="3214"/>
      <c r="BG97" s="3214"/>
      <c r="BH97" s="3214"/>
      <c r="BI97" s="3214"/>
      <c r="BJ97" s="3214"/>
      <c r="BK97" s="3214"/>
      <c r="BL97" s="3214"/>
      <c r="BM97" s="3214"/>
      <c r="BN97" s="3214"/>
      <c r="BO97" s="3214"/>
      <c r="BP97" s="3214"/>
      <c r="BQ97" s="3214"/>
      <c r="BR97" s="3214"/>
      <c r="BS97" s="3214"/>
      <c r="BT97" s="3214"/>
      <c r="BU97" s="3214"/>
      <c r="BV97" s="3214"/>
      <c r="BW97" s="3214"/>
      <c r="BX97" s="3214"/>
      <c r="BY97" s="3214"/>
      <c r="BZ97" s="3214"/>
      <c r="CA97" s="3214"/>
      <c r="CB97" s="3214"/>
      <c r="CC97" s="3214"/>
      <c r="CD97" s="3214"/>
      <c r="CE97" s="3214"/>
      <c r="CF97" s="3214"/>
      <c r="CG97" s="3214"/>
      <c r="CH97" s="3214"/>
      <c r="CI97" s="3215">
        <f t="shared" si="4"/>
        <v>0</v>
      </c>
    </row>
    <row r="98" spans="1:87" ht="30">
      <c r="A98" s="1318" t="s">
        <v>4112</v>
      </c>
      <c r="B98" s="390" t="s">
        <v>320</v>
      </c>
      <c r="C98" s="390" t="s">
        <v>4330</v>
      </c>
      <c r="D98" s="911" t="s">
        <v>80</v>
      </c>
      <c r="E98" s="945" t="s">
        <v>81</v>
      </c>
      <c r="F98" s="69">
        <v>0</v>
      </c>
      <c r="G98" s="69"/>
      <c r="H98" s="69">
        <v>0</v>
      </c>
      <c r="I98" s="69"/>
      <c r="J98" s="69"/>
      <c r="K98" s="339"/>
      <c r="L98" s="277"/>
      <c r="M98" s="281">
        <f>L98/100000</f>
        <v>0</v>
      </c>
      <c r="N98" s="277"/>
      <c r="O98" s="1345">
        <f>N98*M98</f>
        <v>0</v>
      </c>
      <c r="P98" s="788"/>
      <c r="Q98" s="1003">
        <f>'Abs15. NPCB'!Q18</f>
        <v>0</v>
      </c>
      <c r="R98" s="2867">
        <f>'Abs15. NPCB'!R18</f>
        <v>0</v>
      </c>
      <c r="BB98" s="3267"/>
      <c r="BC98" s="3267"/>
      <c r="BD98" s="3267"/>
      <c r="BE98" s="3267"/>
      <c r="BF98" s="3267"/>
      <c r="BG98" s="3267"/>
      <c r="BH98" s="3267"/>
      <c r="BI98" s="3267"/>
      <c r="BJ98" s="3267"/>
      <c r="BK98" s="3267"/>
      <c r="BL98" s="3267"/>
      <c r="BM98" s="3267"/>
      <c r="BN98" s="3267"/>
      <c r="BO98" s="3267"/>
      <c r="BP98" s="3267"/>
      <c r="BQ98" s="3267"/>
      <c r="BR98" s="3267"/>
      <c r="BS98" s="3267"/>
      <c r="BT98" s="3267"/>
      <c r="BU98" s="3267"/>
      <c r="BV98" s="3267"/>
      <c r="BW98" s="3267"/>
      <c r="BX98" s="3267"/>
      <c r="BY98" s="3267"/>
      <c r="BZ98" s="3267"/>
      <c r="CA98" s="3267"/>
      <c r="CB98" s="3267"/>
      <c r="CC98" s="3267"/>
      <c r="CD98" s="3267"/>
      <c r="CE98" s="3267"/>
      <c r="CF98" s="3267"/>
      <c r="CG98" s="3267"/>
      <c r="CH98" s="3267"/>
      <c r="CI98" s="3215">
        <f t="shared" si="4"/>
        <v>0</v>
      </c>
    </row>
    <row r="99" spans="1:87" ht="30">
      <c r="A99" s="1339" t="s">
        <v>1656</v>
      </c>
      <c r="B99" s="1340"/>
      <c r="C99" s="1339" t="s">
        <v>4661</v>
      </c>
      <c r="D99" s="1341"/>
      <c r="E99" s="1341"/>
      <c r="F99" s="338"/>
      <c r="G99" s="338"/>
      <c r="H99" s="338"/>
      <c r="I99" s="338"/>
      <c r="J99" s="338"/>
      <c r="K99" s="338"/>
      <c r="L99" s="338"/>
      <c r="M99" s="1342"/>
      <c r="N99" s="338"/>
      <c r="O99" s="1342">
        <f>O100</f>
        <v>0</v>
      </c>
      <c r="P99" s="787"/>
      <c r="Q99" s="1344"/>
      <c r="R99" s="2866">
        <f>R100</f>
        <v>0</v>
      </c>
      <c r="BB99" s="3267"/>
      <c r="BC99" s="3267"/>
      <c r="BD99" s="3267"/>
      <c r="BE99" s="3267"/>
      <c r="BF99" s="3267"/>
      <c r="BG99" s="3267"/>
      <c r="BH99" s="3267"/>
      <c r="BI99" s="3267"/>
      <c r="BJ99" s="3267"/>
      <c r="BK99" s="3267"/>
      <c r="BL99" s="3267"/>
      <c r="BM99" s="3267"/>
      <c r="BN99" s="3267"/>
      <c r="BO99" s="3267"/>
      <c r="BP99" s="3267"/>
      <c r="BQ99" s="3267"/>
      <c r="BR99" s="3267"/>
      <c r="BS99" s="3267"/>
      <c r="BT99" s="3267"/>
      <c r="BU99" s="3267"/>
      <c r="BV99" s="3267"/>
      <c r="BW99" s="3267"/>
      <c r="BX99" s="3267"/>
      <c r="BY99" s="3267"/>
      <c r="BZ99" s="3267"/>
      <c r="CA99" s="3267"/>
      <c r="CB99" s="3267"/>
      <c r="CC99" s="3267"/>
      <c r="CD99" s="3267"/>
      <c r="CE99" s="3267"/>
      <c r="CF99" s="3267"/>
      <c r="CG99" s="3267"/>
      <c r="CH99" s="3267"/>
      <c r="CI99" s="3215">
        <f t="shared" si="4"/>
        <v>0</v>
      </c>
    </row>
    <row r="100" spans="1:87">
      <c r="A100" s="1318" t="s">
        <v>4113</v>
      </c>
      <c r="B100" s="1321" t="s">
        <v>1648</v>
      </c>
      <c r="C100" s="1354" t="s">
        <v>1636</v>
      </c>
      <c r="D100" s="911" t="s">
        <v>80</v>
      </c>
      <c r="E100" s="1276" t="s">
        <v>145</v>
      </c>
      <c r="F100" s="69">
        <v>0</v>
      </c>
      <c r="G100" s="69"/>
      <c r="H100" s="69">
        <v>0</v>
      </c>
      <c r="I100" s="342"/>
      <c r="J100" s="350"/>
      <c r="K100" s="340"/>
      <c r="L100" s="277"/>
      <c r="M100" s="281">
        <f>L100/100000</f>
        <v>0</v>
      </c>
      <c r="N100" s="277"/>
      <c r="O100" s="1345">
        <f>N100*M100</f>
        <v>0</v>
      </c>
      <c r="P100" s="788"/>
      <c r="Q100" s="1003">
        <f>'Abs16. NMHP'!Q13</f>
        <v>0</v>
      </c>
      <c r="R100" s="2867">
        <f>'Abs16. NMHP'!R13</f>
        <v>0</v>
      </c>
      <c r="BB100" s="3267"/>
      <c r="BC100" s="3267"/>
      <c r="BD100" s="3267"/>
      <c r="BE100" s="3267"/>
      <c r="BF100" s="3267"/>
      <c r="BG100" s="3267"/>
      <c r="BH100" s="3267"/>
      <c r="BI100" s="3267"/>
      <c r="BJ100" s="3267"/>
      <c r="BK100" s="3267"/>
      <c r="BL100" s="3267"/>
      <c r="BM100" s="3267"/>
      <c r="BN100" s="3267"/>
      <c r="BO100" s="3267"/>
      <c r="BP100" s="3267"/>
      <c r="BQ100" s="3267"/>
      <c r="BR100" s="3267"/>
      <c r="BS100" s="3267"/>
      <c r="BT100" s="3267"/>
      <c r="BU100" s="3267"/>
      <c r="BV100" s="3267"/>
      <c r="BW100" s="3267"/>
      <c r="BX100" s="3267"/>
      <c r="BY100" s="3267"/>
      <c r="BZ100" s="3267"/>
      <c r="CA100" s="3267"/>
      <c r="CB100" s="3267"/>
      <c r="CC100" s="3267"/>
      <c r="CD100" s="3267"/>
      <c r="CE100" s="3267"/>
      <c r="CF100" s="3267"/>
      <c r="CG100" s="3267"/>
      <c r="CH100" s="3267"/>
      <c r="CI100" s="3215">
        <f t="shared" si="4"/>
        <v>0</v>
      </c>
    </row>
    <row r="101" spans="1:87" ht="45">
      <c r="A101" s="1339" t="s">
        <v>1661</v>
      </c>
      <c r="B101" s="1340" t="s">
        <v>1650</v>
      </c>
      <c r="C101" s="1339" t="s">
        <v>4662</v>
      </c>
      <c r="D101" s="1341"/>
      <c r="E101" s="1341"/>
      <c r="F101" s="338"/>
      <c r="G101" s="338"/>
      <c r="H101" s="338"/>
      <c r="I101" s="338"/>
      <c r="J101" s="338"/>
      <c r="K101" s="338"/>
      <c r="L101" s="338"/>
      <c r="M101" s="1342"/>
      <c r="N101" s="338"/>
      <c r="O101" s="1342">
        <f>SUM(O102:O108)</f>
        <v>0</v>
      </c>
      <c r="P101" s="787"/>
      <c r="Q101" s="1344"/>
      <c r="R101" s="2866">
        <f>SUM(R102:R108)</f>
        <v>0</v>
      </c>
      <c r="BB101" s="3267"/>
      <c r="BC101" s="3267"/>
      <c r="BD101" s="3267"/>
      <c r="BE101" s="3267"/>
      <c r="BF101" s="3267"/>
      <c r="BG101" s="3267"/>
      <c r="BH101" s="3267"/>
      <c r="BI101" s="3267"/>
      <c r="BJ101" s="3267"/>
      <c r="BK101" s="3267"/>
      <c r="BL101" s="3267"/>
      <c r="BM101" s="3267"/>
      <c r="BN101" s="3267"/>
      <c r="BO101" s="3267"/>
      <c r="BP101" s="3267"/>
      <c r="BQ101" s="3267"/>
      <c r="BR101" s="3267"/>
      <c r="BS101" s="3267"/>
      <c r="BT101" s="3267"/>
      <c r="BU101" s="3267"/>
      <c r="BV101" s="3267"/>
      <c r="BW101" s="3267"/>
      <c r="BX101" s="3267"/>
      <c r="BY101" s="3267"/>
      <c r="BZ101" s="3267"/>
      <c r="CA101" s="3267"/>
      <c r="CB101" s="3267"/>
      <c r="CC101" s="3267"/>
      <c r="CD101" s="3267"/>
      <c r="CE101" s="3267"/>
      <c r="CF101" s="3267"/>
      <c r="CG101" s="3267"/>
      <c r="CH101" s="3267"/>
      <c r="CI101" s="3215">
        <f t="shared" si="4"/>
        <v>0</v>
      </c>
    </row>
    <row r="102" spans="1:87" ht="60">
      <c r="A102" s="1318" t="s">
        <v>4114</v>
      </c>
      <c r="B102" s="1354" t="s">
        <v>1651</v>
      </c>
      <c r="C102" s="1354" t="s">
        <v>4275</v>
      </c>
      <c r="D102" s="911" t="s">
        <v>80</v>
      </c>
      <c r="E102" s="1276" t="s">
        <v>394</v>
      </c>
      <c r="F102" s="69">
        <v>0</v>
      </c>
      <c r="G102" s="69"/>
      <c r="H102" s="69">
        <v>0</v>
      </c>
      <c r="I102" s="69"/>
      <c r="J102" s="69"/>
      <c r="K102" s="340"/>
      <c r="L102" s="277"/>
      <c r="M102" s="281">
        <f t="shared" ref="M102:M108" si="7">L102/100000</f>
        <v>0</v>
      </c>
      <c r="N102" s="277"/>
      <c r="O102" s="1345">
        <f t="shared" ref="O102:O108" si="8">N102*M102</f>
        <v>0</v>
      </c>
      <c r="P102" s="789"/>
      <c r="Q102" s="1003">
        <f>'Abs17. NPHCE'!Q11</f>
        <v>0</v>
      </c>
      <c r="R102" s="2867">
        <f>'Abs17. NPHCE'!R11</f>
        <v>0</v>
      </c>
      <c r="BB102" s="3267"/>
      <c r="BC102" s="3267"/>
      <c r="BD102" s="3267"/>
      <c r="BE102" s="3267"/>
      <c r="BF102" s="3267"/>
      <c r="BG102" s="3267"/>
      <c r="BH102" s="3267"/>
      <c r="BI102" s="3267"/>
      <c r="BJ102" s="3267"/>
      <c r="BK102" s="3267"/>
      <c r="BL102" s="3267"/>
      <c r="BM102" s="3267"/>
      <c r="BN102" s="3267"/>
      <c r="BO102" s="3267"/>
      <c r="BP102" s="3267"/>
      <c r="BQ102" s="3267"/>
      <c r="BR102" s="3267"/>
      <c r="BS102" s="3267"/>
      <c r="BT102" s="3267"/>
      <c r="BU102" s="3267"/>
      <c r="BV102" s="3267"/>
      <c r="BW102" s="3267"/>
      <c r="BX102" s="3267"/>
      <c r="BY102" s="3267"/>
      <c r="BZ102" s="3267"/>
      <c r="CA102" s="3267"/>
      <c r="CB102" s="3267"/>
      <c r="CC102" s="3267"/>
      <c r="CD102" s="3267"/>
      <c r="CE102" s="3267"/>
      <c r="CF102" s="3267"/>
      <c r="CG102" s="3267"/>
      <c r="CH102" s="3267"/>
      <c r="CI102" s="3215">
        <f t="shared" si="4"/>
        <v>0</v>
      </c>
    </row>
    <row r="103" spans="1:87" ht="30">
      <c r="A103" s="1318" t="s">
        <v>4115</v>
      </c>
      <c r="B103" s="1321" t="s">
        <v>1652</v>
      </c>
      <c r="C103" s="1354" t="s">
        <v>4276</v>
      </c>
      <c r="D103" s="911" t="s">
        <v>80</v>
      </c>
      <c r="E103" s="1276" t="s">
        <v>394</v>
      </c>
      <c r="F103" s="69">
        <v>0</v>
      </c>
      <c r="G103" s="69"/>
      <c r="H103" s="69">
        <v>0</v>
      </c>
      <c r="I103" s="69"/>
      <c r="J103" s="69"/>
      <c r="K103" s="340"/>
      <c r="L103" s="277"/>
      <c r="M103" s="281">
        <f t="shared" si="7"/>
        <v>0</v>
      </c>
      <c r="N103" s="277"/>
      <c r="O103" s="1345">
        <f t="shared" si="8"/>
        <v>0</v>
      </c>
      <c r="P103" s="789"/>
      <c r="Q103" s="1003">
        <f>'Abs17. NPHCE'!Q12</f>
        <v>0</v>
      </c>
      <c r="R103" s="2867">
        <f>'Abs17. NPHCE'!R12</f>
        <v>0</v>
      </c>
      <c r="BB103" s="3267"/>
      <c r="BC103" s="3267"/>
      <c r="BD103" s="3267"/>
      <c r="BE103" s="3267"/>
      <c r="BF103" s="3267"/>
      <c r="BG103" s="3267"/>
      <c r="BH103" s="3267"/>
      <c r="BI103" s="3267"/>
      <c r="BJ103" s="3267"/>
      <c r="BK103" s="3267"/>
      <c r="BL103" s="3267"/>
      <c r="BM103" s="3267"/>
      <c r="BN103" s="3267"/>
      <c r="BO103" s="3267"/>
      <c r="BP103" s="3267"/>
      <c r="BQ103" s="3267"/>
      <c r="BR103" s="3267"/>
      <c r="BS103" s="3267"/>
      <c r="BT103" s="3267"/>
      <c r="BU103" s="3267"/>
      <c r="BV103" s="3267"/>
      <c r="BW103" s="3267"/>
      <c r="BX103" s="3267"/>
      <c r="BY103" s="3267"/>
      <c r="BZ103" s="3267"/>
      <c r="CA103" s="3267"/>
      <c r="CB103" s="3267"/>
      <c r="CC103" s="3267"/>
      <c r="CD103" s="3267"/>
      <c r="CE103" s="3267"/>
      <c r="CF103" s="3267"/>
      <c r="CG103" s="3267"/>
      <c r="CH103" s="3267"/>
      <c r="CI103" s="3215">
        <f t="shared" si="4"/>
        <v>0</v>
      </c>
    </row>
    <row r="104" spans="1:87" ht="45">
      <c r="A104" s="1318" t="s">
        <v>4116</v>
      </c>
      <c r="B104" s="1321" t="s">
        <v>1653</v>
      </c>
      <c r="C104" s="1354" t="s">
        <v>2752</v>
      </c>
      <c r="D104" s="911" t="s">
        <v>80</v>
      </c>
      <c r="E104" s="1276" t="s">
        <v>394</v>
      </c>
      <c r="F104" s="69">
        <v>0</v>
      </c>
      <c r="G104" s="69"/>
      <c r="H104" s="69">
        <v>0</v>
      </c>
      <c r="I104" s="69"/>
      <c r="J104" s="69"/>
      <c r="K104" s="340"/>
      <c r="L104" s="277"/>
      <c r="M104" s="281">
        <f t="shared" si="7"/>
        <v>0</v>
      </c>
      <c r="N104" s="277"/>
      <c r="O104" s="1345">
        <f t="shared" si="8"/>
        <v>0</v>
      </c>
      <c r="P104" s="789"/>
      <c r="Q104" s="1003">
        <f>'Abs17. NPHCE'!Q13</f>
        <v>0</v>
      </c>
      <c r="R104" s="2867">
        <f>'Abs17. NPHCE'!R13</f>
        <v>0</v>
      </c>
      <c r="BB104" s="3267"/>
      <c r="BC104" s="3267"/>
      <c r="BD104" s="3267"/>
      <c r="BE104" s="3267"/>
      <c r="BF104" s="3267"/>
      <c r="BG104" s="3267"/>
      <c r="BH104" s="3267"/>
      <c r="BI104" s="3267"/>
      <c r="BJ104" s="3267"/>
      <c r="BK104" s="3267"/>
      <c r="BL104" s="3267"/>
      <c r="BM104" s="3267"/>
      <c r="BN104" s="3267"/>
      <c r="BO104" s="3267"/>
      <c r="BP104" s="3267"/>
      <c r="BQ104" s="3267"/>
      <c r="BR104" s="3267"/>
      <c r="BS104" s="3267"/>
      <c r="BT104" s="3267"/>
      <c r="BU104" s="3267"/>
      <c r="BV104" s="3267"/>
      <c r="BW104" s="3267"/>
      <c r="BX104" s="3267"/>
      <c r="BY104" s="3267"/>
      <c r="BZ104" s="3267"/>
      <c r="CA104" s="3267"/>
      <c r="CB104" s="3267"/>
      <c r="CC104" s="3267"/>
      <c r="CD104" s="3267"/>
      <c r="CE104" s="3267"/>
      <c r="CF104" s="3267"/>
      <c r="CG104" s="3267"/>
      <c r="CH104" s="3267"/>
      <c r="CI104" s="3215">
        <f t="shared" si="4"/>
        <v>0</v>
      </c>
    </row>
    <row r="105" spans="1:87" ht="45">
      <c r="A105" s="1318" t="s">
        <v>4117</v>
      </c>
      <c r="B105" s="1318" t="s">
        <v>1654</v>
      </c>
      <c r="C105" s="1354" t="s">
        <v>2753</v>
      </c>
      <c r="D105" s="911" t="s">
        <v>80</v>
      </c>
      <c r="E105" s="1276" t="s">
        <v>394</v>
      </c>
      <c r="F105" s="69">
        <v>0</v>
      </c>
      <c r="G105" s="69"/>
      <c r="H105" s="69">
        <v>0</v>
      </c>
      <c r="I105" s="69"/>
      <c r="J105" s="69"/>
      <c r="K105" s="340"/>
      <c r="L105" s="277"/>
      <c r="M105" s="281">
        <f t="shared" si="7"/>
        <v>0</v>
      </c>
      <c r="N105" s="277"/>
      <c r="O105" s="1345">
        <f t="shared" si="8"/>
        <v>0</v>
      </c>
      <c r="P105" s="789"/>
      <c r="Q105" s="1003">
        <f>'Abs17. NPHCE'!Q14</f>
        <v>0</v>
      </c>
      <c r="R105" s="2867">
        <f>'Abs17. NPHCE'!R14</f>
        <v>0</v>
      </c>
      <c r="BB105" s="3267"/>
      <c r="BC105" s="3267"/>
      <c r="BD105" s="3267"/>
      <c r="BE105" s="3267"/>
      <c r="BF105" s="3267"/>
      <c r="BG105" s="3267"/>
      <c r="BH105" s="3267"/>
      <c r="BI105" s="3267"/>
      <c r="BJ105" s="3267"/>
      <c r="BK105" s="3267"/>
      <c r="BL105" s="3267"/>
      <c r="BM105" s="3267"/>
      <c r="BN105" s="3267"/>
      <c r="BO105" s="3267"/>
      <c r="BP105" s="3267"/>
      <c r="BQ105" s="3267"/>
      <c r="BR105" s="3267"/>
      <c r="BS105" s="3267"/>
      <c r="BT105" s="3267"/>
      <c r="BU105" s="3267"/>
      <c r="BV105" s="3267"/>
      <c r="BW105" s="3267"/>
      <c r="BX105" s="3267"/>
      <c r="BY105" s="3267"/>
      <c r="BZ105" s="3267"/>
      <c r="CA105" s="3267"/>
      <c r="CB105" s="3267"/>
      <c r="CC105" s="3267"/>
      <c r="CD105" s="3267"/>
      <c r="CE105" s="3267"/>
      <c r="CF105" s="3267"/>
      <c r="CG105" s="3267"/>
      <c r="CH105" s="3267"/>
      <c r="CI105" s="3215">
        <f t="shared" si="4"/>
        <v>0</v>
      </c>
    </row>
    <row r="106" spans="1:87" ht="45">
      <c r="A106" s="1318" t="s">
        <v>4118</v>
      </c>
      <c r="B106" s="1318" t="s">
        <v>1655</v>
      </c>
      <c r="C106" s="1354" t="s">
        <v>2754</v>
      </c>
      <c r="D106" s="911" t="s">
        <v>80</v>
      </c>
      <c r="E106" s="1276" t="s">
        <v>394</v>
      </c>
      <c r="F106" s="69">
        <v>0</v>
      </c>
      <c r="G106" s="69"/>
      <c r="H106" s="69">
        <v>0</v>
      </c>
      <c r="I106" s="69"/>
      <c r="J106" s="69"/>
      <c r="K106" s="340"/>
      <c r="L106" s="277"/>
      <c r="M106" s="281">
        <f t="shared" si="7"/>
        <v>0</v>
      </c>
      <c r="N106" s="277"/>
      <c r="O106" s="1345">
        <f t="shared" si="8"/>
        <v>0</v>
      </c>
      <c r="P106" s="789"/>
      <c r="Q106" s="1003">
        <f>'Abs17. NPHCE'!Q15</f>
        <v>0</v>
      </c>
      <c r="R106" s="2867">
        <f>'Abs17. NPHCE'!R15</f>
        <v>0</v>
      </c>
      <c r="BB106" s="3267"/>
      <c r="BC106" s="3267"/>
      <c r="BD106" s="3267"/>
      <c r="BE106" s="3267"/>
      <c r="BF106" s="3267"/>
      <c r="BG106" s="3267"/>
      <c r="BH106" s="3267"/>
      <c r="BI106" s="3267"/>
      <c r="BJ106" s="3267"/>
      <c r="BK106" s="3267"/>
      <c r="BL106" s="3267"/>
      <c r="BM106" s="3267"/>
      <c r="BN106" s="3267"/>
      <c r="BO106" s="3267"/>
      <c r="BP106" s="3267"/>
      <c r="BQ106" s="3267"/>
      <c r="BR106" s="3267"/>
      <c r="BS106" s="3267"/>
      <c r="BT106" s="3267"/>
      <c r="BU106" s="3267"/>
      <c r="BV106" s="3267"/>
      <c r="BW106" s="3267"/>
      <c r="BX106" s="3267"/>
      <c r="BY106" s="3267"/>
      <c r="BZ106" s="3267"/>
      <c r="CA106" s="3267"/>
      <c r="CB106" s="3267"/>
      <c r="CC106" s="3267"/>
      <c r="CD106" s="3267"/>
      <c r="CE106" s="3267"/>
      <c r="CF106" s="3267"/>
      <c r="CG106" s="3267"/>
      <c r="CH106" s="3267"/>
      <c r="CI106" s="3215">
        <f t="shared" si="4"/>
        <v>0</v>
      </c>
    </row>
    <row r="107" spans="1:87" ht="45">
      <c r="A107" s="1318" t="s">
        <v>4141</v>
      </c>
      <c r="B107" s="1321" t="s">
        <v>393</v>
      </c>
      <c r="C107" s="1319" t="s">
        <v>1687</v>
      </c>
      <c r="D107" s="911" t="s">
        <v>80</v>
      </c>
      <c r="E107" s="1276" t="s">
        <v>394</v>
      </c>
      <c r="F107" s="340">
        <v>0</v>
      </c>
      <c r="G107" s="340"/>
      <c r="H107" s="340">
        <v>0</v>
      </c>
      <c r="I107" s="340"/>
      <c r="J107" s="340"/>
      <c r="K107" s="340"/>
      <c r="L107" s="277"/>
      <c r="M107" s="281">
        <f t="shared" si="7"/>
        <v>0</v>
      </c>
      <c r="N107" s="277"/>
      <c r="O107" s="1345">
        <f t="shared" si="8"/>
        <v>0</v>
      </c>
      <c r="P107" s="789"/>
      <c r="Q107" s="1003">
        <f>'Abs17. NPHCE'!Q16</f>
        <v>0</v>
      </c>
      <c r="R107" s="2867">
        <f>'Abs17. NPHCE'!R16</f>
        <v>0</v>
      </c>
      <c r="BB107" s="3267"/>
      <c r="BC107" s="3267"/>
      <c r="BD107" s="3267"/>
      <c r="BE107" s="3267"/>
      <c r="BF107" s="3267"/>
      <c r="BG107" s="3267"/>
      <c r="BH107" s="3267"/>
      <c r="BI107" s="3267"/>
      <c r="BJ107" s="3267"/>
      <c r="BK107" s="3267"/>
      <c r="BL107" s="3267"/>
      <c r="BM107" s="3267"/>
      <c r="BN107" s="3267"/>
      <c r="BO107" s="3267"/>
      <c r="BP107" s="3267"/>
      <c r="BQ107" s="3267"/>
      <c r="BR107" s="3267"/>
      <c r="BS107" s="3267"/>
      <c r="BT107" s="3267"/>
      <c r="BU107" s="3267"/>
      <c r="BV107" s="3267"/>
      <c r="BW107" s="3267"/>
      <c r="BX107" s="3267"/>
      <c r="BY107" s="3267"/>
      <c r="BZ107" s="3267"/>
      <c r="CA107" s="3267"/>
      <c r="CB107" s="3267"/>
      <c r="CC107" s="3267"/>
      <c r="CD107" s="3267"/>
      <c r="CE107" s="3267"/>
      <c r="CF107" s="3267"/>
      <c r="CG107" s="3267"/>
      <c r="CH107" s="3267"/>
      <c r="CI107" s="3215">
        <f t="shared" si="4"/>
        <v>0</v>
      </c>
    </row>
    <row r="108" spans="1:87" ht="30">
      <c r="A108" s="586" t="s">
        <v>4142</v>
      </c>
      <c r="B108" s="586"/>
      <c r="C108" s="586" t="s">
        <v>1585</v>
      </c>
      <c r="D108" s="911" t="s">
        <v>80</v>
      </c>
      <c r="E108" s="1356" t="s">
        <v>394</v>
      </c>
      <c r="F108" s="353">
        <v>0</v>
      </c>
      <c r="G108" s="353"/>
      <c r="H108" s="353">
        <v>0</v>
      </c>
      <c r="I108" s="353"/>
      <c r="J108" s="353"/>
      <c r="K108" s="354"/>
      <c r="L108" s="277"/>
      <c r="M108" s="281">
        <f t="shared" si="7"/>
        <v>0</v>
      </c>
      <c r="N108" s="277"/>
      <c r="O108" s="1345">
        <f t="shared" si="8"/>
        <v>0</v>
      </c>
      <c r="P108" s="792"/>
      <c r="Q108" s="1003">
        <f>'Abs17. NPHCE'!Q17</f>
        <v>0</v>
      </c>
      <c r="R108" s="2867">
        <f>'Abs17. NPHCE'!R17</f>
        <v>0</v>
      </c>
      <c r="BB108" s="3267"/>
      <c r="BC108" s="3267"/>
      <c r="BD108" s="3267"/>
      <c r="BE108" s="3267"/>
      <c r="BF108" s="3267"/>
      <c r="BG108" s="3267"/>
      <c r="BH108" s="3267"/>
      <c r="BI108" s="3267"/>
      <c r="BJ108" s="3267"/>
      <c r="BK108" s="3267"/>
      <c r="BL108" s="3267"/>
      <c r="BM108" s="3267"/>
      <c r="BN108" s="3267"/>
      <c r="BO108" s="3267"/>
      <c r="BP108" s="3267"/>
      <c r="BQ108" s="3267"/>
      <c r="BR108" s="3267"/>
      <c r="BS108" s="3267"/>
      <c r="BT108" s="3267"/>
      <c r="BU108" s="3267"/>
      <c r="BV108" s="3267"/>
      <c r="BW108" s="3267"/>
      <c r="BX108" s="3267"/>
      <c r="BY108" s="3267"/>
      <c r="BZ108" s="3267"/>
      <c r="CA108" s="3267"/>
      <c r="CB108" s="3267"/>
      <c r="CC108" s="3267"/>
      <c r="CD108" s="3267"/>
      <c r="CE108" s="3267"/>
      <c r="CF108" s="3267"/>
      <c r="CG108" s="3267"/>
      <c r="CH108" s="3267"/>
      <c r="CI108" s="3215">
        <f t="shared" si="4"/>
        <v>0</v>
      </c>
    </row>
    <row r="109" spans="1:87" ht="30">
      <c r="A109" s="1339" t="s">
        <v>1669</v>
      </c>
      <c r="B109" s="1340"/>
      <c r="C109" s="1339" t="s">
        <v>4663</v>
      </c>
      <c r="D109" s="1341"/>
      <c r="E109" s="1341"/>
      <c r="F109" s="338"/>
      <c r="G109" s="338"/>
      <c r="H109" s="338"/>
      <c r="I109" s="338"/>
      <c r="J109" s="338"/>
      <c r="K109" s="338"/>
      <c r="L109" s="338"/>
      <c r="M109" s="1342"/>
      <c r="N109" s="338"/>
      <c r="O109" s="1342">
        <f>SUM(O110:O112)</f>
        <v>0</v>
      </c>
      <c r="P109" s="787"/>
      <c r="Q109" s="1344"/>
      <c r="R109" s="2866">
        <f>SUM(R110:R112)</f>
        <v>0</v>
      </c>
      <c r="BB109" s="3267"/>
      <c r="BC109" s="3267"/>
      <c r="BD109" s="3267"/>
      <c r="BE109" s="3267"/>
      <c r="BF109" s="3267"/>
      <c r="BG109" s="3267"/>
      <c r="BH109" s="3267"/>
      <c r="BI109" s="3267"/>
      <c r="BJ109" s="3267"/>
      <c r="BK109" s="3267"/>
      <c r="BL109" s="3267"/>
      <c r="BM109" s="3267"/>
      <c r="BN109" s="3267"/>
      <c r="BO109" s="3267"/>
      <c r="BP109" s="3267"/>
      <c r="BQ109" s="3267"/>
      <c r="BR109" s="3267"/>
      <c r="BS109" s="3267"/>
      <c r="BT109" s="3267"/>
      <c r="BU109" s="3267"/>
      <c r="BV109" s="3267"/>
      <c r="BW109" s="3267"/>
      <c r="BX109" s="3267"/>
      <c r="BY109" s="3267"/>
      <c r="BZ109" s="3267"/>
      <c r="CA109" s="3267"/>
      <c r="CB109" s="3267"/>
      <c r="CC109" s="3267"/>
      <c r="CD109" s="3267"/>
      <c r="CE109" s="3267"/>
      <c r="CF109" s="3267"/>
      <c r="CG109" s="3267"/>
      <c r="CH109" s="3267"/>
      <c r="CI109" s="3215">
        <f t="shared" si="4"/>
        <v>0</v>
      </c>
    </row>
    <row r="110" spans="1:87">
      <c r="A110" s="1318" t="s">
        <v>4119</v>
      </c>
      <c r="B110" s="1318" t="s">
        <v>1657</v>
      </c>
      <c r="C110" s="1318" t="s">
        <v>1658</v>
      </c>
      <c r="D110" s="911" t="s">
        <v>80</v>
      </c>
      <c r="E110" s="1276" t="s">
        <v>147</v>
      </c>
      <c r="F110" s="69">
        <v>0</v>
      </c>
      <c r="G110" s="69"/>
      <c r="H110" s="69">
        <v>0</v>
      </c>
      <c r="I110" s="69"/>
      <c r="J110" s="69"/>
      <c r="K110" s="340"/>
      <c r="L110" s="277"/>
      <c r="M110" s="281">
        <f>L110/100000</f>
        <v>0</v>
      </c>
      <c r="N110" s="277"/>
      <c r="O110" s="1345">
        <f>N110*M110</f>
        <v>0</v>
      </c>
      <c r="P110" s="789"/>
      <c r="Q110" s="1003">
        <f>'Abs18. NTCP'!Q12</f>
        <v>0</v>
      </c>
      <c r="R110" s="2867">
        <f>'Abs18. NTCP'!R12</f>
        <v>0</v>
      </c>
      <c r="BB110" s="3267"/>
      <c r="BC110" s="3267"/>
      <c r="BD110" s="3267"/>
      <c r="BE110" s="3267"/>
      <c r="BF110" s="3267"/>
      <c r="BG110" s="3267"/>
      <c r="BH110" s="3267"/>
      <c r="BI110" s="3267"/>
      <c r="BJ110" s="3267"/>
      <c r="BK110" s="3267"/>
      <c r="BL110" s="3267"/>
      <c r="BM110" s="3267"/>
      <c r="BN110" s="3267"/>
      <c r="BO110" s="3267"/>
      <c r="BP110" s="3267"/>
      <c r="BQ110" s="3267"/>
      <c r="BR110" s="3267"/>
      <c r="BS110" s="3267"/>
      <c r="BT110" s="3267"/>
      <c r="BU110" s="3267"/>
      <c r="BV110" s="3267"/>
      <c r="BW110" s="3267"/>
      <c r="BX110" s="3267"/>
      <c r="BY110" s="3267"/>
      <c r="BZ110" s="3267"/>
      <c r="CA110" s="3267"/>
      <c r="CB110" s="3267"/>
      <c r="CC110" s="3267"/>
      <c r="CD110" s="3267"/>
      <c r="CE110" s="3267"/>
      <c r="CF110" s="3267"/>
      <c r="CG110" s="3267"/>
      <c r="CH110" s="3267"/>
      <c r="CI110" s="3215">
        <f t="shared" si="4"/>
        <v>0</v>
      </c>
    </row>
    <row r="111" spans="1:87">
      <c r="A111" s="1318" t="s">
        <v>4120</v>
      </c>
      <c r="B111" s="1321" t="s">
        <v>1659</v>
      </c>
      <c r="C111" s="1318" t="s">
        <v>1660</v>
      </c>
      <c r="D111" s="911" t="s">
        <v>80</v>
      </c>
      <c r="E111" s="1276" t="s">
        <v>147</v>
      </c>
      <c r="F111" s="69">
        <v>0</v>
      </c>
      <c r="G111" s="69"/>
      <c r="H111" s="69">
        <v>0</v>
      </c>
      <c r="I111" s="69"/>
      <c r="J111" s="69"/>
      <c r="K111" s="340"/>
      <c r="L111" s="277"/>
      <c r="M111" s="281">
        <f>L111/100000</f>
        <v>0</v>
      </c>
      <c r="N111" s="277"/>
      <c r="O111" s="1345">
        <f>N111*M111</f>
        <v>0</v>
      </c>
      <c r="P111" s="789"/>
      <c r="Q111" s="1003">
        <f>'Abs18. NTCP'!Q13</f>
        <v>0</v>
      </c>
      <c r="R111" s="2867">
        <f>'Abs18. NTCP'!R13</f>
        <v>0</v>
      </c>
      <c r="BB111" s="3267"/>
      <c r="BC111" s="3267"/>
      <c r="BD111" s="3267"/>
      <c r="BE111" s="3267"/>
      <c r="BF111" s="3267"/>
      <c r="BG111" s="3267"/>
      <c r="BH111" s="3267"/>
      <c r="BI111" s="3267"/>
      <c r="BJ111" s="3267"/>
      <c r="BK111" s="3267"/>
      <c r="BL111" s="3267"/>
      <c r="BM111" s="3267"/>
      <c r="BN111" s="3267"/>
      <c r="BO111" s="3267"/>
      <c r="BP111" s="3267"/>
      <c r="BQ111" s="3267"/>
      <c r="BR111" s="3267"/>
      <c r="BS111" s="3267"/>
      <c r="BT111" s="3267"/>
      <c r="BU111" s="3267"/>
      <c r="BV111" s="3267"/>
      <c r="BW111" s="3267"/>
      <c r="BX111" s="3267"/>
      <c r="BY111" s="3267"/>
      <c r="BZ111" s="3267"/>
      <c r="CA111" s="3267"/>
      <c r="CB111" s="3267"/>
      <c r="CC111" s="3267"/>
      <c r="CD111" s="3267"/>
      <c r="CE111" s="3267"/>
      <c r="CF111" s="3267"/>
      <c r="CG111" s="3267"/>
      <c r="CH111" s="3267"/>
      <c r="CI111" s="3215">
        <f t="shared" si="4"/>
        <v>0</v>
      </c>
    </row>
    <row r="112" spans="1:87" ht="30">
      <c r="A112" s="1318" t="s">
        <v>4121</v>
      </c>
      <c r="B112" s="521"/>
      <c r="C112" s="509" t="s">
        <v>1585</v>
      </c>
      <c r="D112" s="911" t="s">
        <v>80</v>
      </c>
      <c r="E112" s="1276" t="s">
        <v>147</v>
      </c>
      <c r="F112" s="69">
        <v>0</v>
      </c>
      <c r="G112" s="69"/>
      <c r="H112" s="69">
        <v>0</v>
      </c>
      <c r="I112" s="69"/>
      <c r="J112" s="69"/>
      <c r="K112" s="340"/>
      <c r="L112" s="277"/>
      <c r="M112" s="281">
        <f>L112/100000</f>
        <v>0</v>
      </c>
      <c r="N112" s="277"/>
      <c r="O112" s="1345">
        <f>N112*M112</f>
        <v>0</v>
      </c>
      <c r="P112" s="789"/>
      <c r="Q112" s="1003">
        <f>'Abs18. NTCP'!Q14</f>
        <v>0</v>
      </c>
      <c r="R112" s="2867">
        <f>'Abs18. NTCP'!R14</f>
        <v>0</v>
      </c>
      <c r="BB112" s="3267"/>
      <c r="BC112" s="3267"/>
      <c r="BD112" s="3267"/>
      <c r="BE112" s="3267"/>
      <c r="BF112" s="3267"/>
      <c r="BG112" s="3267"/>
      <c r="BH112" s="3267"/>
      <c r="BI112" s="3267"/>
      <c r="BJ112" s="3267"/>
      <c r="BK112" s="3267"/>
      <c r="BL112" s="3267"/>
      <c r="BM112" s="3267"/>
      <c r="BN112" s="3267"/>
      <c r="BO112" s="3267"/>
      <c r="BP112" s="3267"/>
      <c r="BQ112" s="3267"/>
      <c r="BR112" s="3267"/>
      <c r="BS112" s="3267"/>
      <c r="BT112" s="3267"/>
      <c r="BU112" s="3267"/>
      <c r="BV112" s="3267"/>
      <c r="BW112" s="3267"/>
      <c r="BX112" s="3267"/>
      <c r="BY112" s="3267"/>
      <c r="BZ112" s="3267"/>
      <c r="CA112" s="3267"/>
      <c r="CB112" s="3267"/>
      <c r="CC112" s="3267"/>
      <c r="CD112" s="3267"/>
      <c r="CE112" s="3267"/>
      <c r="CF112" s="3267"/>
      <c r="CG112" s="3267"/>
      <c r="CH112" s="3267"/>
      <c r="CI112" s="3215">
        <f t="shared" si="4"/>
        <v>0</v>
      </c>
    </row>
    <row r="113" spans="1:87" ht="45">
      <c r="A113" s="1339" t="s">
        <v>2297</v>
      </c>
      <c r="B113" s="1340"/>
      <c r="C113" s="1339" t="s">
        <v>4664</v>
      </c>
      <c r="D113" s="1341"/>
      <c r="E113" s="1341"/>
      <c r="F113" s="338"/>
      <c r="G113" s="338"/>
      <c r="H113" s="338"/>
      <c r="I113" s="338"/>
      <c r="J113" s="338"/>
      <c r="K113" s="338"/>
      <c r="L113" s="338"/>
      <c r="M113" s="1342"/>
      <c r="N113" s="338"/>
      <c r="O113" s="1342">
        <f>SUM(O114:O119)</f>
        <v>80</v>
      </c>
      <c r="P113" s="787"/>
      <c r="Q113" s="1344"/>
      <c r="R113" s="2866">
        <f>SUM(R114:R119)</f>
        <v>30</v>
      </c>
      <c r="BB113" s="3267"/>
      <c r="BC113" s="3267"/>
      <c r="BD113" s="3267"/>
      <c r="BE113" s="3267"/>
      <c r="BF113" s="3267"/>
      <c r="BG113" s="3267"/>
      <c r="BH113" s="3267"/>
      <c r="BI113" s="3267"/>
      <c r="BJ113" s="3267"/>
      <c r="BK113" s="3267"/>
      <c r="BL113" s="3267"/>
      <c r="BM113" s="3267"/>
      <c r="BN113" s="3267"/>
      <c r="BO113" s="3267"/>
      <c r="BP113" s="3267"/>
      <c r="BQ113" s="3267"/>
      <c r="BR113" s="3267"/>
      <c r="BS113" s="3267"/>
      <c r="BT113" s="3267"/>
      <c r="BU113" s="3267"/>
      <c r="BV113" s="3267"/>
      <c r="BW113" s="3267"/>
      <c r="BX113" s="3267"/>
      <c r="BY113" s="3267"/>
      <c r="BZ113" s="3267"/>
      <c r="CA113" s="3267"/>
      <c r="CB113" s="3267"/>
      <c r="CC113" s="3267"/>
      <c r="CD113" s="3267"/>
      <c r="CE113" s="3267"/>
      <c r="CF113" s="3267"/>
      <c r="CG113" s="3267"/>
      <c r="CH113" s="3267"/>
      <c r="CI113" s="3215">
        <f t="shared" si="4"/>
        <v>0</v>
      </c>
    </row>
    <row r="114" spans="1:87" ht="30">
      <c r="A114" s="1318" t="s">
        <v>4122</v>
      </c>
      <c r="B114" s="1321" t="s">
        <v>1662</v>
      </c>
      <c r="C114" s="1354" t="s">
        <v>1663</v>
      </c>
      <c r="D114" s="911" t="s">
        <v>80</v>
      </c>
      <c r="E114" s="1276" t="s">
        <v>410</v>
      </c>
      <c r="F114" s="69">
        <v>0</v>
      </c>
      <c r="G114" s="69"/>
      <c r="H114" s="69">
        <v>0</v>
      </c>
      <c r="I114" s="69"/>
      <c r="J114" s="69"/>
      <c r="K114" s="334"/>
      <c r="L114" s="277"/>
      <c r="M114" s="281">
        <f t="shared" ref="M114:M119" si="9">L114/100000</f>
        <v>0</v>
      </c>
      <c r="N114" s="277"/>
      <c r="O114" s="1345">
        <f t="shared" ref="O114:O119" si="10">N114*M114</f>
        <v>0</v>
      </c>
      <c r="P114" s="788"/>
      <c r="Q114" s="1003">
        <f>'Abs19. NPCDCS'!Q18</f>
        <v>0</v>
      </c>
      <c r="R114" s="2867">
        <f>'Abs19. NPCDCS'!R18</f>
        <v>0</v>
      </c>
      <c r="BB114" s="3267"/>
      <c r="BC114" s="3267"/>
      <c r="BD114" s="3267"/>
      <c r="BE114" s="3267"/>
      <c r="BF114" s="3267"/>
      <c r="BG114" s="3267"/>
      <c r="BH114" s="3267"/>
      <c r="BI114" s="3267"/>
      <c r="BJ114" s="3267"/>
      <c r="BK114" s="3267"/>
      <c r="BL114" s="3267"/>
      <c r="BM114" s="3267"/>
      <c r="BN114" s="3267"/>
      <c r="BO114" s="3267"/>
      <c r="BP114" s="3267"/>
      <c r="BQ114" s="3267"/>
      <c r="BR114" s="3267"/>
      <c r="BS114" s="3267"/>
      <c r="BT114" s="3267"/>
      <c r="BU114" s="3267"/>
      <c r="BV114" s="3267"/>
      <c r="BW114" s="3267"/>
      <c r="BX114" s="3267"/>
      <c r="BY114" s="3267"/>
      <c r="BZ114" s="3267"/>
      <c r="CA114" s="3267"/>
      <c r="CB114" s="3267"/>
      <c r="CC114" s="3267"/>
      <c r="CD114" s="3267"/>
      <c r="CE114" s="3267"/>
      <c r="CF114" s="3267"/>
      <c r="CG114" s="3267"/>
      <c r="CH114" s="3267"/>
      <c r="CI114" s="3215">
        <f t="shared" si="4"/>
        <v>0</v>
      </c>
    </row>
    <row r="115" spans="1:87" s="1302" customFormat="1" ht="90">
      <c r="A115" s="1317" t="s">
        <v>4123</v>
      </c>
      <c r="B115" s="1357" t="s">
        <v>1664</v>
      </c>
      <c r="C115" s="1355" t="s">
        <v>2755</v>
      </c>
      <c r="D115" s="1699" t="s">
        <v>80</v>
      </c>
      <c r="E115" s="1304" t="s">
        <v>410</v>
      </c>
      <c r="F115" s="353">
        <v>0</v>
      </c>
      <c r="G115" s="353"/>
      <c r="H115" s="353">
        <v>0</v>
      </c>
      <c r="I115" s="353"/>
      <c r="J115" s="353"/>
      <c r="K115" s="2649"/>
      <c r="L115" s="2650">
        <v>50000</v>
      </c>
      <c r="M115" s="2261">
        <f t="shared" si="9"/>
        <v>0.5</v>
      </c>
      <c r="N115" s="283">
        <v>10</v>
      </c>
      <c r="O115" s="1348">
        <f t="shared" si="10"/>
        <v>5</v>
      </c>
      <c r="P115" s="2651" t="s">
        <v>5475</v>
      </c>
      <c r="Q115" s="2257" t="str">
        <f>'Abs19. NPCDCS'!Q19</f>
        <v xml:space="preserve">Recommended for approval for procurement of cryoset with cyllinder. </v>
      </c>
      <c r="R115" s="2869">
        <f>'Abs19. NPCDCS'!R19</f>
        <v>5</v>
      </c>
      <c r="BB115" s="3214"/>
      <c r="BC115" s="3214"/>
      <c r="BD115" s="3214"/>
      <c r="BE115" s="3214"/>
      <c r="BF115" s="3214"/>
      <c r="BG115" s="3214">
        <v>0.5</v>
      </c>
      <c r="BH115" s="3214"/>
      <c r="BI115" s="3214"/>
      <c r="BJ115" s="3214"/>
      <c r="BK115" s="3214"/>
      <c r="BL115" s="3214">
        <v>0.5</v>
      </c>
      <c r="BM115" s="3214"/>
      <c r="BN115" s="3214"/>
      <c r="BO115" s="3214"/>
      <c r="BP115" s="3214"/>
      <c r="BQ115" s="3214">
        <v>0.5</v>
      </c>
      <c r="BR115" s="3214">
        <v>0.5</v>
      </c>
      <c r="BS115" s="3214"/>
      <c r="BT115" s="3214">
        <v>0.5</v>
      </c>
      <c r="BU115" s="3214"/>
      <c r="BV115" s="3214">
        <v>0.5</v>
      </c>
      <c r="BW115" s="3214">
        <v>0.5</v>
      </c>
      <c r="BX115" s="3214">
        <v>0.5</v>
      </c>
      <c r="BY115" s="3214"/>
      <c r="BZ115" s="3214">
        <v>0.5</v>
      </c>
      <c r="CA115" s="3214"/>
      <c r="CB115" s="3214">
        <v>0.5</v>
      </c>
      <c r="CC115" s="3214"/>
      <c r="CD115" s="3214"/>
      <c r="CE115" s="3214"/>
      <c r="CF115" s="3214"/>
      <c r="CG115" s="3214"/>
      <c r="CH115" s="3214"/>
      <c r="CI115" s="3215">
        <f t="shared" si="4"/>
        <v>5</v>
      </c>
    </row>
    <row r="116" spans="1:87" s="1302" customFormat="1" ht="75">
      <c r="A116" s="1317" t="s">
        <v>4124</v>
      </c>
      <c r="B116" s="1357" t="s">
        <v>1665</v>
      </c>
      <c r="C116" s="1355" t="s">
        <v>1666</v>
      </c>
      <c r="D116" s="1699" t="s">
        <v>80</v>
      </c>
      <c r="E116" s="1304" t="s">
        <v>410</v>
      </c>
      <c r="F116" s="353">
        <v>0</v>
      </c>
      <c r="G116" s="353"/>
      <c r="H116" s="353">
        <v>0</v>
      </c>
      <c r="I116" s="353"/>
      <c r="J116" s="353"/>
      <c r="K116" s="344">
        <v>1</v>
      </c>
      <c r="L116" s="2519">
        <v>500000</v>
      </c>
      <c r="M116" s="2261">
        <f t="shared" si="9"/>
        <v>5</v>
      </c>
      <c r="N116" s="2519">
        <v>10</v>
      </c>
      <c r="O116" s="1348">
        <f t="shared" si="10"/>
        <v>50</v>
      </c>
      <c r="P116" s="791"/>
      <c r="Q116" s="2257" t="str">
        <f>'Abs19. NPCDCS'!Q20</f>
        <v>As suggested in NPCC meeting, the State has distributed Rs. 50 L in the following FMR codes such as FMR 5.3.1.7/O1.1.2.1, FMR 6.1.5.5/O1.1.2.2 and FMR Any other equipment (please specify). It may not be recommended.</v>
      </c>
      <c r="R116" s="2869">
        <f>'Abs19. NPCDCS'!R20</f>
        <v>0</v>
      </c>
      <c r="BB116" s="3214"/>
      <c r="BC116" s="3214"/>
      <c r="BD116" s="3214"/>
      <c r="BE116" s="3214"/>
      <c r="BF116" s="3214"/>
      <c r="BG116" s="3214"/>
      <c r="BH116" s="3214"/>
      <c r="BI116" s="3214"/>
      <c r="BJ116" s="3214"/>
      <c r="BK116" s="3214"/>
      <c r="BL116" s="3214"/>
      <c r="BM116" s="3214"/>
      <c r="BN116" s="3214"/>
      <c r="BO116" s="3214"/>
      <c r="BP116" s="3214"/>
      <c r="BQ116" s="3214"/>
      <c r="BR116" s="3214"/>
      <c r="BS116" s="3214"/>
      <c r="BT116" s="3214"/>
      <c r="BU116" s="3214"/>
      <c r="BV116" s="3214"/>
      <c r="BW116" s="3214"/>
      <c r="BX116" s="3214"/>
      <c r="BY116" s="3214"/>
      <c r="BZ116" s="3214"/>
      <c r="CA116" s="3214"/>
      <c r="CB116" s="3214"/>
      <c r="CC116" s="3214"/>
      <c r="CD116" s="3214"/>
      <c r="CE116" s="3214"/>
      <c r="CF116" s="3214"/>
      <c r="CG116" s="3214"/>
      <c r="CH116" s="3214"/>
      <c r="CI116" s="3215">
        <f t="shared" si="4"/>
        <v>0</v>
      </c>
    </row>
    <row r="117" spans="1:87" ht="30">
      <c r="A117" s="1318" t="s">
        <v>4125</v>
      </c>
      <c r="B117" s="1321" t="s">
        <v>1667</v>
      </c>
      <c r="C117" s="1354" t="s">
        <v>1668</v>
      </c>
      <c r="D117" s="911" t="s">
        <v>80</v>
      </c>
      <c r="E117" s="1276" t="s">
        <v>410</v>
      </c>
      <c r="F117" s="69">
        <v>0</v>
      </c>
      <c r="G117" s="69"/>
      <c r="H117" s="69">
        <v>0</v>
      </c>
      <c r="I117" s="69"/>
      <c r="J117" s="69"/>
      <c r="K117" s="334"/>
      <c r="L117" s="277"/>
      <c r="M117" s="281">
        <f t="shared" si="9"/>
        <v>0</v>
      </c>
      <c r="N117" s="277"/>
      <c r="O117" s="1345">
        <f t="shared" si="10"/>
        <v>0</v>
      </c>
      <c r="P117" s="2622"/>
      <c r="Q117" s="1003">
        <f>'Abs19. NPCDCS'!Q21</f>
        <v>0</v>
      </c>
      <c r="R117" s="2867">
        <f>'Abs19. NPCDCS'!R21</f>
        <v>0</v>
      </c>
      <c r="BB117" s="3267"/>
      <c r="BC117" s="3267"/>
      <c r="BD117" s="3267"/>
      <c r="BE117" s="3267"/>
      <c r="BF117" s="3267"/>
      <c r="BG117" s="3267"/>
      <c r="BH117" s="3267"/>
      <c r="BI117" s="3267"/>
      <c r="BJ117" s="3267"/>
      <c r="BK117" s="3267"/>
      <c r="BL117" s="3267"/>
      <c r="BM117" s="3267"/>
      <c r="BN117" s="3267"/>
      <c r="BO117" s="3267"/>
      <c r="BP117" s="3267"/>
      <c r="BQ117" s="3267"/>
      <c r="BR117" s="3267"/>
      <c r="BS117" s="3267"/>
      <c r="BT117" s="3267"/>
      <c r="BU117" s="3267"/>
      <c r="BV117" s="3267"/>
      <c r="BW117" s="3267"/>
      <c r="BX117" s="3267"/>
      <c r="BY117" s="3267"/>
      <c r="BZ117" s="3267"/>
      <c r="CA117" s="3267"/>
      <c r="CB117" s="3267"/>
      <c r="CC117" s="3267"/>
      <c r="CD117" s="3267"/>
      <c r="CE117" s="3267"/>
      <c r="CF117" s="3267"/>
      <c r="CG117" s="3267"/>
      <c r="CH117" s="3267"/>
      <c r="CI117" s="3215">
        <f t="shared" si="4"/>
        <v>0</v>
      </c>
    </row>
    <row r="118" spans="1:87" ht="30">
      <c r="A118" s="1318" t="s">
        <v>4145</v>
      </c>
      <c r="B118" s="509" t="s">
        <v>2758</v>
      </c>
      <c r="C118" s="509" t="s">
        <v>2449</v>
      </c>
      <c r="D118" s="911" t="s">
        <v>80</v>
      </c>
      <c r="E118" s="1320" t="s">
        <v>410</v>
      </c>
      <c r="F118" s="69">
        <v>0</v>
      </c>
      <c r="G118" s="69"/>
      <c r="H118" s="69">
        <v>0</v>
      </c>
      <c r="I118" s="69"/>
      <c r="J118" s="69"/>
      <c r="K118" s="355"/>
      <c r="L118" s="277"/>
      <c r="M118" s="281">
        <f>L118/100000</f>
        <v>0</v>
      </c>
      <c r="N118" s="277"/>
      <c r="O118" s="1345">
        <f t="shared" si="10"/>
        <v>0</v>
      </c>
      <c r="P118" s="794"/>
      <c r="Q118" s="1003"/>
      <c r="R118" s="2867"/>
      <c r="BB118" s="3267"/>
      <c r="BC118" s="3267"/>
      <c r="BD118" s="3267"/>
      <c r="BE118" s="3267"/>
      <c r="BF118" s="3267"/>
      <c r="BG118" s="3267"/>
      <c r="BH118" s="3267"/>
      <c r="BI118" s="3267"/>
      <c r="BJ118" s="3267"/>
      <c r="BK118" s="3267"/>
      <c r="BL118" s="3267"/>
      <c r="BM118" s="3267"/>
      <c r="BN118" s="3267"/>
      <c r="BO118" s="3267"/>
      <c r="BP118" s="3267"/>
      <c r="BQ118" s="3267"/>
      <c r="BR118" s="3267"/>
      <c r="BS118" s="3267"/>
      <c r="BT118" s="3267"/>
      <c r="BU118" s="3267"/>
      <c r="BV118" s="3267"/>
      <c r="BW118" s="3267"/>
      <c r="BX118" s="3267"/>
      <c r="BY118" s="3267"/>
      <c r="BZ118" s="3267"/>
      <c r="CA118" s="3267"/>
      <c r="CB118" s="3267"/>
      <c r="CC118" s="3267"/>
      <c r="CD118" s="3267"/>
      <c r="CE118" s="3267"/>
      <c r="CF118" s="3267"/>
      <c r="CG118" s="3267"/>
      <c r="CH118" s="3267"/>
      <c r="CI118" s="3215">
        <f t="shared" si="4"/>
        <v>0</v>
      </c>
    </row>
    <row r="119" spans="1:87" s="1302" customFormat="1" ht="105">
      <c r="A119" s="1317" t="s">
        <v>4126</v>
      </c>
      <c r="B119" s="1357"/>
      <c r="C119" s="521" t="s">
        <v>1585</v>
      </c>
      <c r="D119" s="1699" t="s">
        <v>80</v>
      </c>
      <c r="E119" s="1304" t="s">
        <v>410</v>
      </c>
      <c r="F119" s="353">
        <v>0</v>
      </c>
      <c r="G119" s="353"/>
      <c r="H119" s="353">
        <v>0</v>
      </c>
      <c r="I119" s="353"/>
      <c r="J119" s="353"/>
      <c r="K119" s="344">
        <v>1</v>
      </c>
      <c r="L119" s="2650">
        <v>250000</v>
      </c>
      <c r="M119" s="2261">
        <f t="shared" si="9"/>
        <v>2.5</v>
      </c>
      <c r="N119" s="283">
        <v>10</v>
      </c>
      <c r="O119" s="1348">
        <f t="shared" si="10"/>
        <v>25</v>
      </c>
      <c r="P119" s="2651" t="s">
        <v>5476</v>
      </c>
      <c r="Q119" s="2257" t="str">
        <f>'Abs19. NPCDCS'!Q22</f>
        <v xml:space="preserve">Recommended for approval for procurement of COPD equipments (Spirometer, Nebuliser, Peak Flowmeter) for 10 Integrated Nirog clinics </v>
      </c>
      <c r="R119" s="3001">
        <f>'Abs19. NPCDCS'!R22</f>
        <v>25</v>
      </c>
      <c r="BB119" s="3214"/>
      <c r="BC119" s="3214"/>
      <c r="BD119" s="3214"/>
      <c r="BE119" s="3214"/>
      <c r="BF119" s="3214"/>
      <c r="BG119" s="3214">
        <v>2.5</v>
      </c>
      <c r="BH119" s="3214"/>
      <c r="BI119" s="3214"/>
      <c r="BJ119" s="3214"/>
      <c r="BK119" s="3214"/>
      <c r="BL119" s="3214">
        <v>2.5</v>
      </c>
      <c r="BM119" s="3214"/>
      <c r="BN119" s="3214"/>
      <c r="BO119" s="3214"/>
      <c r="BP119" s="3214"/>
      <c r="BQ119" s="3214"/>
      <c r="BR119" s="3214"/>
      <c r="BS119" s="3214"/>
      <c r="BT119" s="3214"/>
      <c r="BU119" s="3214"/>
      <c r="BV119" s="3214">
        <v>2.5</v>
      </c>
      <c r="BW119" s="3214">
        <v>2.5</v>
      </c>
      <c r="BX119" s="3214">
        <v>2.5</v>
      </c>
      <c r="BY119" s="3214">
        <v>2.5</v>
      </c>
      <c r="BZ119" s="3214">
        <v>2.5</v>
      </c>
      <c r="CA119" s="3214"/>
      <c r="CB119" s="3214">
        <v>2.5</v>
      </c>
      <c r="CC119" s="3214"/>
      <c r="CD119" s="3214">
        <v>2.5</v>
      </c>
      <c r="CE119" s="3214"/>
      <c r="CF119" s="3214">
        <v>2.5</v>
      </c>
      <c r="CG119" s="3214"/>
      <c r="CH119" s="3214"/>
      <c r="CI119" s="3215">
        <f t="shared" si="4"/>
        <v>25</v>
      </c>
    </row>
    <row r="120" spans="1:87" ht="45">
      <c r="A120" s="1339" t="s">
        <v>2480</v>
      </c>
      <c r="B120" s="1340" t="s">
        <v>1332</v>
      </c>
      <c r="C120" s="1339" t="s">
        <v>4665</v>
      </c>
      <c r="D120" s="1341"/>
      <c r="E120" s="1341"/>
      <c r="F120" s="338"/>
      <c r="G120" s="338"/>
      <c r="H120" s="338"/>
      <c r="I120" s="338"/>
      <c r="J120" s="338"/>
      <c r="K120" s="338"/>
      <c r="L120" s="338"/>
      <c r="M120" s="1342"/>
      <c r="N120" s="338"/>
      <c r="O120" s="1342">
        <f>SUM(O121:O122)</f>
        <v>0</v>
      </c>
      <c r="P120" s="787"/>
      <c r="Q120" s="1344"/>
      <c r="R120" s="2866">
        <f>SUM(R121:R122)</f>
        <v>0</v>
      </c>
      <c r="BB120" s="3267"/>
      <c r="BC120" s="3267"/>
      <c r="BD120" s="3267"/>
      <c r="BE120" s="3267"/>
      <c r="BF120" s="3267"/>
      <c r="BG120" s="3267"/>
      <c r="BH120" s="3267"/>
      <c r="BI120" s="3267"/>
      <c r="BJ120" s="3267"/>
      <c r="BK120" s="3267"/>
      <c r="BL120" s="3267"/>
      <c r="BM120" s="3267"/>
      <c r="BN120" s="3267"/>
      <c r="BO120" s="3267"/>
      <c r="BP120" s="3267"/>
      <c r="BQ120" s="3267"/>
      <c r="BR120" s="3267"/>
      <c r="BS120" s="3267"/>
      <c r="BT120" s="3267"/>
      <c r="BU120" s="3267"/>
      <c r="BV120" s="3267"/>
      <c r="BW120" s="3267"/>
      <c r="BX120" s="3267"/>
      <c r="BY120" s="3267"/>
      <c r="BZ120" s="3267"/>
      <c r="CA120" s="3267"/>
      <c r="CB120" s="3267"/>
      <c r="CC120" s="3267"/>
      <c r="CD120" s="3267"/>
      <c r="CE120" s="3267"/>
      <c r="CF120" s="3267"/>
      <c r="CG120" s="3267"/>
      <c r="CH120" s="3267"/>
      <c r="CI120" s="3215">
        <f t="shared" si="4"/>
        <v>0</v>
      </c>
    </row>
    <row r="121" spans="1:87" ht="30">
      <c r="A121" s="1318" t="s">
        <v>4127</v>
      </c>
      <c r="B121" s="1317"/>
      <c r="C121" s="1319" t="s">
        <v>4242</v>
      </c>
      <c r="D121" s="911" t="s">
        <v>80</v>
      </c>
      <c r="E121" s="1358" t="s">
        <v>4668</v>
      </c>
      <c r="F121" s="69">
        <v>0</v>
      </c>
      <c r="G121" s="69"/>
      <c r="H121" s="69">
        <v>0</v>
      </c>
      <c r="I121" s="69"/>
      <c r="J121" s="69"/>
      <c r="K121" s="340"/>
      <c r="L121" s="277"/>
      <c r="M121" s="281">
        <f>L121/100000</f>
        <v>0</v>
      </c>
      <c r="N121" s="277"/>
      <c r="O121" s="1345">
        <f>N121*M121</f>
        <v>0</v>
      </c>
      <c r="P121" s="789"/>
      <c r="Q121" s="1003">
        <f>'Abs20. PMNDP'!Q11</f>
        <v>0</v>
      </c>
      <c r="R121" s="2867">
        <f>'Abs20. PMNDP'!R11</f>
        <v>0</v>
      </c>
      <c r="BB121" s="3267"/>
      <c r="BC121" s="3267"/>
      <c r="BD121" s="3267"/>
      <c r="BE121" s="3267"/>
      <c r="BF121" s="3267"/>
      <c r="BG121" s="3267"/>
      <c r="BH121" s="3267"/>
      <c r="BI121" s="3267"/>
      <c r="BJ121" s="3267"/>
      <c r="BK121" s="3267"/>
      <c r="BL121" s="3267"/>
      <c r="BM121" s="3267"/>
      <c r="BN121" s="3267"/>
      <c r="BO121" s="3267"/>
      <c r="BP121" s="3267"/>
      <c r="BQ121" s="3267"/>
      <c r="BR121" s="3267"/>
      <c r="BS121" s="3267"/>
      <c r="BT121" s="3267"/>
      <c r="BU121" s="3267"/>
      <c r="BV121" s="3267"/>
      <c r="BW121" s="3267"/>
      <c r="BX121" s="3267"/>
      <c r="BY121" s="3267"/>
      <c r="BZ121" s="3267"/>
      <c r="CA121" s="3267"/>
      <c r="CB121" s="3267"/>
      <c r="CC121" s="3267"/>
      <c r="CD121" s="3267"/>
      <c r="CE121" s="3267"/>
      <c r="CF121" s="3267"/>
      <c r="CG121" s="3267"/>
      <c r="CH121" s="3267"/>
      <c r="CI121" s="3215">
        <f t="shared" si="4"/>
        <v>0</v>
      </c>
    </row>
    <row r="122" spans="1:87" ht="30">
      <c r="A122" s="1318" t="s">
        <v>4128</v>
      </c>
      <c r="B122" s="521"/>
      <c r="C122" s="509" t="s">
        <v>1585</v>
      </c>
      <c r="D122" s="911" t="s">
        <v>80</v>
      </c>
      <c r="E122" s="1358" t="s">
        <v>4668</v>
      </c>
      <c r="F122" s="69">
        <v>0</v>
      </c>
      <c r="G122" s="69"/>
      <c r="H122" s="69">
        <v>0</v>
      </c>
      <c r="I122" s="69"/>
      <c r="J122" s="69"/>
      <c r="K122" s="340"/>
      <c r="L122" s="277"/>
      <c r="M122" s="281">
        <f>L122/100000</f>
        <v>0</v>
      </c>
      <c r="N122" s="277"/>
      <c r="O122" s="1345">
        <f>N122*M122</f>
        <v>0</v>
      </c>
      <c r="P122" s="789"/>
      <c r="Q122" s="1003">
        <f>'Abs20. PMNDP'!Q12</f>
        <v>0</v>
      </c>
      <c r="R122" s="2867">
        <f>'Abs20. PMNDP'!R12</f>
        <v>0</v>
      </c>
      <c r="BB122" s="3267"/>
      <c r="BC122" s="3267"/>
      <c r="BD122" s="3267"/>
      <c r="BE122" s="3267"/>
      <c r="BF122" s="3267"/>
      <c r="BG122" s="3267"/>
      <c r="BH122" s="3267"/>
      <c r="BI122" s="3267"/>
      <c r="BJ122" s="3267"/>
      <c r="BK122" s="3267"/>
      <c r="BL122" s="3267"/>
      <c r="BM122" s="3267"/>
      <c r="BN122" s="3267"/>
      <c r="BO122" s="3267"/>
      <c r="BP122" s="3267"/>
      <c r="BQ122" s="3267"/>
      <c r="BR122" s="3267"/>
      <c r="BS122" s="3267"/>
      <c r="BT122" s="3267"/>
      <c r="BU122" s="3267"/>
      <c r="BV122" s="3267"/>
      <c r="BW122" s="3267"/>
      <c r="BX122" s="3267"/>
      <c r="BY122" s="3267"/>
      <c r="BZ122" s="3267"/>
      <c r="CA122" s="3267"/>
      <c r="CB122" s="3267"/>
      <c r="CC122" s="3267"/>
      <c r="CD122" s="3267"/>
      <c r="CE122" s="3267"/>
      <c r="CF122" s="3267"/>
      <c r="CG122" s="3267"/>
      <c r="CH122" s="3267"/>
      <c r="CI122" s="3215">
        <f t="shared" si="4"/>
        <v>0</v>
      </c>
    </row>
    <row r="123" spans="1:87" ht="45">
      <c r="A123" s="1339" t="s">
        <v>1633</v>
      </c>
      <c r="B123" s="1340" t="s">
        <v>1632</v>
      </c>
      <c r="C123" s="1339" t="s">
        <v>4657</v>
      </c>
      <c r="D123" s="1341"/>
      <c r="E123" s="1341"/>
      <c r="F123" s="338"/>
      <c r="G123" s="338"/>
      <c r="H123" s="338"/>
      <c r="I123" s="338"/>
      <c r="J123" s="338"/>
      <c r="K123" s="338"/>
      <c r="L123" s="338"/>
      <c r="M123" s="1342"/>
      <c r="N123" s="338"/>
      <c r="O123" s="1342">
        <f>SUM(O124:O125)</f>
        <v>10</v>
      </c>
      <c r="P123" s="787"/>
      <c r="Q123" s="1344"/>
      <c r="R123" s="2866">
        <f>SUM(R124:R125)</f>
        <v>0</v>
      </c>
      <c r="BB123" s="3267"/>
      <c r="BC123" s="3267"/>
      <c r="BD123" s="3267"/>
      <c r="BE123" s="3267"/>
      <c r="BF123" s="3267"/>
      <c r="BG123" s="3267"/>
      <c r="BH123" s="3267"/>
      <c r="BI123" s="3267"/>
      <c r="BJ123" s="3267"/>
      <c r="BK123" s="3267"/>
      <c r="BL123" s="3267"/>
      <c r="BM123" s="3267"/>
      <c r="BN123" s="3267"/>
      <c r="BO123" s="3267"/>
      <c r="BP123" s="3267"/>
      <c r="BQ123" s="3267"/>
      <c r="BR123" s="3267"/>
      <c r="BS123" s="3267"/>
      <c r="BT123" s="3267"/>
      <c r="BU123" s="3267"/>
      <c r="BV123" s="3267"/>
      <c r="BW123" s="3267"/>
      <c r="BX123" s="3267"/>
      <c r="BY123" s="3267"/>
      <c r="BZ123" s="3267"/>
      <c r="CA123" s="3267"/>
      <c r="CB123" s="3267"/>
      <c r="CC123" s="3267"/>
      <c r="CD123" s="3267"/>
      <c r="CE123" s="3267"/>
      <c r="CF123" s="3267"/>
      <c r="CG123" s="3267"/>
      <c r="CH123" s="3267"/>
      <c r="CI123" s="3215">
        <f t="shared" si="4"/>
        <v>0</v>
      </c>
    </row>
    <row r="124" spans="1:87" s="1302" customFormat="1" ht="90">
      <c r="A124" s="1317" t="s">
        <v>4095</v>
      </c>
      <c r="B124" s="521"/>
      <c r="C124" s="1305" t="s">
        <v>5116</v>
      </c>
      <c r="D124" s="1699" t="s">
        <v>80</v>
      </c>
      <c r="E124" s="1304" t="s">
        <v>1014</v>
      </c>
      <c r="F124" s="353">
        <v>0</v>
      </c>
      <c r="G124" s="353"/>
      <c r="H124" s="353">
        <v>0</v>
      </c>
      <c r="I124" s="353"/>
      <c r="J124" s="353"/>
      <c r="K124" s="354"/>
      <c r="L124" s="2519">
        <v>1000000</v>
      </c>
      <c r="M124" s="2261">
        <f>L124/100000</f>
        <v>10</v>
      </c>
      <c r="N124" s="2519">
        <v>1</v>
      </c>
      <c r="O124" s="1348">
        <f>N124*M124</f>
        <v>10</v>
      </c>
      <c r="Q124" s="2257" t="str">
        <f>'Abs22. NPPCD'!Q7</f>
        <v>As per the operational guidelines, the screening camps may be organized in collaboration with RBSK / MoSJ&amp;E.As discussed during NPCC meeting, there is no provision of mobile van in the programme. Hence, it is not recommended for approval.</v>
      </c>
      <c r="R124" s="2869">
        <f>'Abs22. NPPCD'!R7</f>
        <v>0</v>
      </c>
      <c r="BB124" s="3214"/>
      <c r="BC124" s="3214"/>
      <c r="BD124" s="3214"/>
      <c r="BE124" s="3214"/>
      <c r="BF124" s="3214"/>
      <c r="BG124" s="3214"/>
      <c r="BH124" s="3214"/>
      <c r="BI124" s="3214"/>
      <c r="BJ124" s="3214"/>
      <c r="BK124" s="3214"/>
      <c r="BL124" s="3214"/>
      <c r="BM124" s="3214"/>
      <c r="BN124" s="3214"/>
      <c r="BO124" s="3214"/>
      <c r="BP124" s="3214"/>
      <c r="BQ124" s="3214"/>
      <c r="BR124" s="3214"/>
      <c r="BS124" s="3214"/>
      <c r="BT124" s="3214"/>
      <c r="BU124" s="3214"/>
      <c r="BV124" s="3214"/>
      <c r="BW124" s="3214"/>
      <c r="BX124" s="3214"/>
      <c r="BY124" s="3214"/>
      <c r="BZ124" s="3214"/>
      <c r="CA124" s="3214"/>
      <c r="CB124" s="3214"/>
      <c r="CC124" s="3214"/>
      <c r="CD124" s="3214"/>
      <c r="CE124" s="3214"/>
      <c r="CF124" s="3214"/>
      <c r="CG124" s="3214"/>
      <c r="CH124" s="3214"/>
      <c r="CI124" s="3215">
        <f t="shared" si="4"/>
        <v>0</v>
      </c>
    </row>
    <row r="125" spans="1:87" ht="30">
      <c r="A125" s="1318" t="s">
        <v>4096</v>
      </c>
      <c r="B125" s="521"/>
      <c r="C125" s="509" t="s">
        <v>1585</v>
      </c>
      <c r="D125" s="911" t="s">
        <v>80</v>
      </c>
      <c r="E125" s="1276" t="s">
        <v>1014</v>
      </c>
      <c r="F125" s="69">
        <v>0</v>
      </c>
      <c r="G125" s="69"/>
      <c r="H125" s="69">
        <v>0</v>
      </c>
      <c r="I125" s="69"/>
      <c r="J125" s="69"/>
      <c r="K125" s="340"/>
      <c r="L125" s="277"/>
      <c r="M125" s="281">
        <f>L125/100000</f>
        <v>0</v>
      </c>
      <c r="N125" s="277"/>
      <c r="O125" s="1345">
        <f>N125*M125</f>
        <v>0</v>
      </c>
      <c r="P125" s="788"/>
      <c r="Q125" s="1003">
        <f>'Abs22. NPPCD'!Q8</f>
        <v>0</v>
      </c>
      <c r="R125" s="2867">
        <f>'Abs22. NPPCD'!R8</f>
        <v>0</v>
      </c>
      <c r="BB125" s="3267"/>
      <c r="BC125" s="3267"/>
      <c r="BD125" s="3267"/>
      <c r="BE125" s="3267"/>
      <c r="BF125" s="3267"/>
      <c r="BG125" s="3267"/>
      <c r="BH125" s="3267"/>
      <c r="BI125" s="3267"/>
      <c r="BJ125" s="3267"/>
      <c r="BK125" s="3267"/>
      <c r="BL125" s="3267"/>
      <c r="BM125" s="3267"/>
      <c r="BN125" s="3267"/>
      <c r="BO125" s="3267"/>
      <c r="BP125" s="3267"/>
      <c r="BQ125" s="3267"/>
      <c r="BR125" s="3267"/>
      <c r="BS125" s="3267"/>
      <c r="BT125" s="3267"/>
      <c r="BU125" s="3267"/>
      <c r="BV125" s="3267"/>
      <c r="BW125" s="3267"/>
      <c r="BX125" s="3267"/>
      <c r="BY125" s="3267"/>
      <c r="BZ125" s="3267"/>
      <c r="CA125" s="3267"/>
      <c r="CB125" s="3267"/>
      <c r="CC125" s="3267"/>
      <c r="CD125" s="3267"/>
      <c r="CE125" s="3267"/>
      <c r="CF125" s="3267"/>
      <c r="CG125" s="3267"/>
      <c r="CH125" s="3267"/>
      <c r="CI125" s="3215">
        <f t="shared" si="4"/>
        <v>0</v>
      </c>
    </row>
    <row r="126" spans="1:87" ht="30">
      <c r="A126" s="1339" t="s">
        <v>1635</v>
      </c>
      <c r="B126" s="1340"/>
      <c r="C126" s="1339" t="s">
        <v>4658</v>
      </c>
      <c r="D126" s="1341"/>
      <c r="E126" s="1341"/>
      <c r="F126" s="338"/>
      <c r="G126" s="338"/>
      <c r="H126" s="338"/>
      <c r="I126" s="338"/>
      <c r="J126" s="338"/>
      <c r="K126" s="338"/>
      <c r="L126" s="338"/>
      <c r="M126" s="1342"/>
      <c r="N126" s="338"/>
      <c r="O126" s="1342">
        <f>SUM(O127:O128)</f>
        <v>39.51</v>
      </c>
      <c r="P126" s="787"/>
      <c r="Q126" s="1344"/>
      <c r="R126" s="2866">
        <f>SUM(R127:R128)</f>
        <v>39.510000000000005</v>
      </c>
      <c r="BB126" s="3267"/>
      <c r="BC126" s="3267"/>
      <c r="BD126" s="3267"/>
      <c r="BE126" s="3267"/>
      <c r="BF126" s="3267"/>
      <c r="BG126" s="3267"/>
      <c r="BH126" s="3267"/>
      <c r="BI126" s="3267"/>
      <c r="BJ126" s="3267"/>
      <c r="BK126" s="3267"/>
      <c r="BL126" s="3267"/>
      <c r="BM126" s="3267"/>
      <c r="BN126" s="3267"/>
      <c r="BO126" s="3267"/>
      <c r="BP126" s="3267"/>
      <c r="BQ126" s="3267"/>
      <c r="BR126" s="3267"/>
      <c r="BS126" s="3267"/>
      <c r="BT126" s="3267"/>
      <c r="BU126" s="3267"/>
      <c r="BV126" s="3267"/>
      <c r="BW126" s="3267"/>
      <c r="BX126" s="3267"/>
      <c r="BY126" s="3267"/>
      <c r="BZ126" s="3267"/>
      <c r="CA126" s="3267"/>
      <c r="CB126" s="3267"/>
      <c r="CC126" s="3267"/>
      <c r="CD126" s="3267"/>
      <c r="CE126" s="3267"/>
      <c r="CF126" s="3267"/>
      <c r="CG126" s="3267"/>
      <c r="CH126" s="3267"/>
      <c r="CI126" s="3215">
        <f t="shared" si="4"/>
        <v>0</v>
      </c>
    </row>
    <row r="127" spans="1:87" s="1302" customFormat="1" ht="132" customHeight="1">
      <c r="A127" s="1317" t="s">
        <v>4097</v>
      </c>
      <c r="B127" s="521" t="s">
        <v>305</v>
      </c>
      <c r="C127" s="521" t="s">
        <v>1634</v>
      </c>
      <c r="D127" s="1699" t="s">
        <v>80</v>
      </c>
      <c r="E127" s="1304" t="s">
        <v>307</v>
      </c>
      <c r="F127" s="353">
        <v>0</v>
      </c>
      <c r="G127" s="353"/>
      <c r="H127" s="353">
        <v>0</v>
      </c>
      <c r="I127" s="353"/>
      <c r="J127" s="353"/>
      <c r="K127" s="290">
        <v>1</v>
      </c>
      <c r="L127" s="283">
        <v>439000</v>
      </c>
      <c r="M127" s="2261">
        <f>L127/100000</f>
        <v>4.3899999999999997</v>
      </c>
      <c r="N127" s="283">
        <v>9</v>
      </c>
      <c r="O127" s="1348">
        <f>N127*M127</f>
        <v>39.51</v>
      </c>
      <c r="P127" s="791" t="s">
        <v>5503</v>
      </c>
      <c r="Q127" s="2257" t="str">
        <f>'Abs24. NOHP'!Q9</f>
        <v xml:space="preserve">Recommended for approval for procurement of equipments for 9 new dental clinics to be established at CHC Baroh, PHC Geharwin, PHC Dharwas, PHC Purthi, PHC Kherian, PHC Lapiana, PHC Gadagusain, PHC Thachi and PHC Jogon.as per details below:1.  Rs 21.51 lakhs for 9 dental chairs @ Rs 2.39 lakh each. 2. Rs 18 lakhs for RvG, Ultrasonic scalers, Extractions forceps etc at the tentative cost of Rs. 2 lac for each clinic. </v>
      </c>
      <c r="R127" s="2869">
        <f>'Abs24. NOHP'!R9</f>
        <v>39.510000000000005</v>
      </c>
      <c r="BB127" s="3214">
        <v>39.51</v>
      </c>
      <c r="BC127" s="3214"/>
      <c r="BD127" s="3214"/>
      <c r="BE127" s="3214"/>
      <c r="BF127" s="3214"/>
      <c r="BG127" s="3214"/>
      <c r="BH127" s="3214"/>
      <c r="BI127" s="3214"/>
      <c r="BJ127" s="3214"/>
      <c r="BK127" s="3214"/>
      <c r="BL127" s="3214"/>
      <c r="BM127" s="3214"/>
      <c r="BN127" s="3214"/>
      <c r="BO127" s="3214"/>
      <c r="BP127" s="3214"/>
      <c r="BQ127" s="3214"/>
      <c r="BR127" s="3214"/>
      <c r="BS127" s="3214"/>
      <c r="BT127" s="3214"/>
      <c r="BU127" s="3214"/>
      <c r="BV127" s="3214"/>
      <c r="BW127" s="3214"/>
      <c r="BX127" s="3214"/>
      <c r="BY127" s="3214"/>
      <c r="BZ127" s="3214"/>
      <c r="CA127" s="3214"/>
      <c r="CB127" s="3214"/>
      <c r="CC127" s="3214"/>
      <c r="CD127" s="3214"/>
      <c r="CE127" s="3214"/>
      <c r="CF127" s="3214"/>
      <c r="CG127" s="3214"/>
      <c r="CH127" s="3214"/>
      <c r="CI127" s="3215">
        <f t="shared" si="4"/>
        <v>39.51</v>
      </c>
    </row>
    <row r="128" spans="1:87" ht="30">
      <c r="A128" s="1318" t="s">
        <v>4098</v>
      </c>
      <c r="B128" s="521"/>
      <c r="C128" s="509" t="s">
        <v>1585</v>
      </c>
      <c r="D128" s="911" t="s">
        <v>80</v>
      </c>
      <c r="E128" s="1276" t="s">
        <v>307</v>
      </c>
      <c r="F128" s="69">
        <v>0</v>
      </c>
      <c r="G128" s="69"/>
      <c r="H128" s="69">
        <v>0</v>
      </c>
      <c r="I128" s="69"/>
      <c r="J128" s="69"/>
      <c r="K128" s="340"/>
      <c r="L128" s="277"/>
      <c r="M128" s="281">
        <f>L128/100000</f>
        <v>0</v>
      </c>
      <c r="N128" s="277"/>
      <c r="O128" s="1345">
        <f>N128*M128</f>
        <v>0</v>
      </c>
      <c r="P128" s="789"/>
      <c r="Q128" s="1003">
        <f>'Abs24. NOHP'!Q10</f>
        <v>0</v>
      </c>
      <c r="R128" s="2867">
        <f>'Abs24. NOHP'!R10</f>
        <v>0</v>
      </c>
      <c r="BB128" s="3267"/>
      <c r="BC128" s="3267"/>
      <c r="BD128" s="3267"/>
      <c r="BE128" s="3267"/>
      <c r="BF128" s="3267"/>
      <c r="BG128" s="3267"/>
      <c r="BH128" s="3267"/>
      <c r="BI128" s="3267"/>
      <c r="BJ128" s="3267"/>
      <c r="BK128" s="3267"/>
      <c r="BL128" s="3267"/>
      <c r="BM128" s="3267"/>
      <c r="BN128" s="3267"/>
      <c r="BO128" s="3267"/>
      <c r="BP128" s="3267"/>
      <c r="BQ128" s="3267"/>
      <c r="BR128" s="3267"/>
      <c r="BS128" s="3267"/>
      <c r="BT128" s="3267"/>
      <c r="BU128" s="3267"/>
      <c r="BV128" s="3267"/>
      <c r="BW128" s="3267"/>
      <c r="BX128" s="3267"/>
      <c r="BY128" s="3267"/>
      <c r="BZ128" s="3267"/>
      <c r="CA128" s="3267"/>
      <c r="CB128" s="3267"/>
      <c r="CC128" s="3267"/>
      <c r="CD128" s="3267"/>
      <c r="CE128" s="3267"/>
      <c r="CF128" s="3267"/>
      <c r="CG128" s="3267"/>
      <c r="CH128" s="3267"/>
      <c r="CI128" s="3215">
        <f t="shared" si="4"/>
        <v>0</v>
      </c>
    </row>
    <row r="129" spans="1:87" ht="30">
      <c r="A129" s="1339" t="s">
        <v>1637</v>
      </c>
      <c r="B129" s="1340"/>
      <c r="C129" s="1339" t="s">
        <v>4659</v>
      </c>
      <c r="D129" s="1341"/>
      <c r="E129" s="1341"/>
      <c r="F129" s="338"/>
      <c r="G129" s="338"/>
      <c r="H129" s="338"/>
      <c r="I129" s="338"/>
      <c r="J129" s="338"/>
      <c r="K129" s="338"/>
      <c r="L129" s="338"/>
      <c r="M129" s="1342"/>
      <c r="N129" s="338"/>
      <c r="O129" s="1342">
        <f>O130+O131</f>
        <v>0</v>
      </c>
      <c r="P129" s="787"/>
      <c r="Q129" s="1344"/>
      <c r="R129" s="2866">
        <f>R130+R131</f>
        <v>0</v>
      </c>
      <c r="BB129" s="3267"/>
      <c r="BC129" s="3267"/>
      <c r="BD129" s="3267"/>
      <c r="BE129" s="3267"/>
      <c r="BF129" s="3267"/>
      <c r="BG129" s="3267"/>
      <c r="BH129" s="3267"/>
      <c r="BI129" s="3267"/>
      <c r="BJ129" s="3267"/>
      <c r="BK129" s="3267"/>
      <c r="BL129" s="3267"/>
      <c r="BM129" s="3267"/>
      <c r="BN129" s="3267"/>
      <c r="BO129" s="3267"/>
      <c r="BP129" s="3267"/>
      <c r="BQ129" s="3267"/>
      <c r="BR129" s="3267"/>
      <c r="BS129" s="3267"/>
      <c r="BT129" s="3267"/>
      <c r="BU129" s="3267"/>
      <c r="BV129" s="3267"/>
      <c r="BW129" s="3267"/>
      <c r="BX129" s="3267"/>
      <c r="BY129" s="3267"/>
      <c r="BZ129" s="3267"/>
      <c r="CA129" s="3267"/>
      <c r="CB129" s="3267"/>
      <c r="CC129" s="3267"/>
      <c r="CD129" s="3267"/>
      <c r="CE129" s="3267"/>
      <c r="CF129" s="3267"/>
      <c r="CG129" s="3267"/>
      <c r="CH129" s="3267"/>
      <c r="CI129" s="3215">
        <f t="shared" si="4"/>
        <v>0</v>
      </c>
    </row>
    <row r="130" spans="1:87">
      <c r="A130" s="1318" t="s">
        <v>4099</v>
      </c>
      <c r="B130" s="509" t="s">
        <v>308</v>
      </c>
      <c r="C130" s="509" t="s">
        <v>1636</v>
      </c>
      <c r="D130" s="911" t="s">
        <v>80</v>
      </c>
      <c r="E130" s="1276" t="s">
        <v>309</v>
      </c>
      <c r="F130" s="69">
        <v>0</v>
      </c>
      <c r="G130" s="69"/>
      <c r="H130" s="69">
        <v>0</v>
      </c>
      <c r="I130" s="69"/>
      <c r="J130" s="69"/>
      <c r="K130" s="180"/>
      <c r="L130" s="277"/>
      <c r="M130" s="281">
        <f>L130/100000</f>
        <v>0</v>
      </c>
      <c r="N130" s="277"/>
      <c r="O130" s="1345">
        <f>N130*M130</f>
        <v>0</v>
      </c>
      <c r="P130" s="708"/>
      <c r="Q130" s="1003">
        <f>'Abs25. NPPC'!Q11</f>
        <v>0</v>
      </c>
      <c r="R130" s="2867">
        <f>'Abs25. NPPC'!R11</f>
        <v>0</v>
      </c>
      <c r="BB130" s="3267"/>
      <c r="BC130" s="3267"/>
      <c r="BD130" s="3267"/>
      <c r="BE130" s="3267"/>
      <c r="BF130" s="3267"/>
      <c r="BG130" s="3267"/>
      <c r="BH130" s="3267"/>
      <c r="BI130" s="3267"/>
      <c r="BJ130" s="3267"/>
      <c r="BK130" s="3267"/>
      <c r="BL130" s="3267"/>
      <c r="BM130" s="3267"/>
      <c r="BN130" s="3267"/>
      <c r="BO130" s="3267"/>
      <c r="BP130" s="3267"/>
      <c r="BQ130" s="3267"/>
      <c r="BR130" s="3267"/>
      <c r="BS130" s="3267"/>
      <c r="BT130" s="3267"/>
      <c r="BU130" s="3267"/>
      <c r="BV130" s="3267"/>
      <c r="BW130" s="3267"/>
      <c r="BX130" s="3267"/>
      <c r="BY130" s="3267"/>
      <c r="BZ130" s="3267"/>
      <c r="CA130" s="3267"/>
      <c r="CB130" s="3267"/>
      <c r="CC130" s="3267"/>
      <c r="CD130" s="3267"/>
      <c r="CE130" s="3267"/>
      <c r="CF130" s="3267"/>
      <c r="CG130" s="3267"/>
      <c r="CH130" s="3267"/>
      <c r="CI130" s="3215">
        <f t="shared" si="4"/>
        <v>0</v>
      </c>
    </row>
    <row r="131" spans="1:87" ht="30">
      <c r="A131" s="1318" t="s">
        <v>4100</v>
      </c>
      <c r="B131" s="521"/>
      <c r="C131" s="509" t="s">
        <v>1585</v>
      </c>
      <c r="D131" s="911" t="s">
        <v>80</v>
      </c>
      <c r="E131" s="1276" t="s">
        <v>309</v>
      </c>
      <c r="F131" s="69">
        <v>0</v>
      </c>
      <c r="G131" s="69"/>
      <c r="H131" s="69">
        <v>0</v>
      </c>
      <c r="I131" s="69"/>
      <c r="J131" s="69"/>
      <c r="K131" s="180"/>
      <c r="L131" s="277"/>
      <c r="M131" s="281">
        <f>L131/100000</f>
        <v>0</v>
      </c>
      <c r="N131" s="277"/>
      <c r="O131" s="1345">
        <f>N131*M131</f>
        <v>0</v>
      </c>
      <c r="P131" s="789"/>
      <c r="Q131" s="1003">
        <f>'Abs25. NPPC'!Q12</f>
        <v>0</v>
      </c>
      <c r="R131" s="2867">
        <f>'Abs25. NPPC'!R12</f>
        <v>0</v>
      </c>
      <c r="BB131" s="3267"/>
      <c r="BC131" s="3267"/>
      <c r="BD131" s="3267"/>
      <c r="BE131" s="3267"/>
      <c r="BF131" s="3267"/>
      <c r="BG131" s="3267"/>
      <c r="BH131" s="3267"/>
      <c r="BI131" s="3267"/>
      <c r="BJ131" s="3267"/>
      <c r="BK131" s="3267"/>
      <c r="BL131" s="3267"/>
      <c r="BM131" s="3267"/>
      <c r="BN131" s="3267"/>
      <c r="BO131" s="3267"/>
      <c r="BP131" s="3267"/>
      <c r="BQ131" s="3267"/>
      <c r="BR131" s="3267"/>
      <c r="BS131" s="3267"/>
      <c r="BT131" s="3267"/>
      <c r="BU131" s="3267"/>
      <c r="BV131" s="3267"/>
      <c r="BW131" s="3267"/>
      <c r="BX131" s="3267"/>
      <c r="BY131" s="3267"/>
      <c r="BZ131" s="3267"/>
      <c r="CA131" s="3267"/>
      <c r="CB131" s="3267"/>
      <c r="CC131" s="3267"/>
      <c r="CD131" s="3267"/>
      <c r="CE131" s="3267"/>
      <c r="CF131" s="3267"/>
      <c r="CG131" s="3267"/>
      <c r="CH131" s="3267"/>
      <c r="CI131" s="3215">
        <f t="shared" si="4"/>
        <v>0</v>
      </c>
    </row>
    <row r="132" spans="1:87" ht="45">
      <c r="A132" s="1339" t="s">
        <v>1639</v>
      </c>
      <c r="B132" s="1340"/>
      <c r="C132" s="1339" t="s">
        <v>4660</v>
      </c>
      <c r="D132" s="1341"/>
      <c r="E132" s="1341"/>
      <c r="F132" s="338"/>
      <c r="G132" s="338"/>
      <c r="H132" s="338"/>
      <c r="I132" s="338"/>
      <c r="J132" s="338"/>
      <c r="K132" s="338"/>
      <c r="L132" s="338"/>
      <c r="M132" s="1342"/>
      <c r="N132" s="338"/>
      <c r="O132" s="1342">
        <f>O133+O134</f>
        <v>0</v>
      </c>
      <c r="P132" s="787"/>
      <c r="Q132" s="1344"/>
      <c r="R132" s="2866">
        <f>R133+R134</f>
        <v>0</v>
      </c>
      <c r="BB132" s="3267"/>
      <c r="BC132" s="3267"/>
      <c r="BD132" s="3267"/>
      <c r="BE132" s="3267"/>
      <c r="BF132" s="3267"/>
      <c r="BG132" s="3267"/>
      <c r="BH132" s="3267"/>
      <c r="BI132" s="3267"/>
      <c r="BJ132" s="3267"/>
      <c r="BK132" s="3267"/>
      <c r="BL132" s="3267"/>
      <c r="BM132" s="3267"/>
      <c r="BN132" s="3267"/>
      <c r="BO132" s="3267"/>
      <c r="BP132" s="3267"/>
      <c r="BQ132" s="3267"/>
      <c r="BR132" s="3267"/>
      <c r="BS132" s="3267"/>
      <c r="BT132" s="3267"/>
      <c r="BU132" s="3267"/>
      <c r="BV132" s="3267"/>
      <c r="BW132" s="3267"/>
      <c r="BX132" s="3267"/>
      <c r="BY132" s="3267"/>
      <c r="BZ132" s="3267"/>
      <c r="CA132" s="3267"/>
      <c r="CB132" s="3267"/>
      <c r="CC132" s="3267"/>
      <c r="CD132" s="3267"/>
      <c r="CE132" s="3267"/>
      <c r="CF132" s="3267"/>
      <c r="CG132" s="3267"/>
      <c r="CH132" s="3267"/>
      <c r="CI132" s="3215">
        <f t="shared" si="4"/>
        <v>0</v>
      </c>
    </row>
    <row r="133" spans="1:87">
      <c r="A133" s="1318" t="s">
        <v>4101</v>
      </c>
      <c r="B133" s="509" t="s">
        <v>1638</v>
      </c>
      <c r="C133" s="509" t="s">
        <v>1579</v>
      </c>
      <c r="D133" s="911" t="s">
        <v>80</v>
      </c>
      <c r="E133" s="1170" t="s">
        <v>4533</v>
      </c>
      <c r="F133" s="69">
        <v>0</v>
      </c>
      <c r="G133" s="69"/>
      <c r="H133" s="69">
        <v>0</v>
      </c>
      <c r="I133" s="69"/>
      <c r="J133" s="69"/>
      <c r="K133" s="180"/>
      <c r="L133" s="277"/>
      <c r="M133" s="281">
        <f>L133/100000</f>
        <v>0</v>
      </c>
      <c r="N133" s="277"/>
      <c r="O133" s="1345">
        <f>N133*M133</f>
        <v>0</v>
      </c>
      <c r="P133" s="789"/>
      <c r="Q133" s="1003">
        <f>'Abs26. Burns &amp; Injury'!Q9</f>
        <v>0</v>
      </c>
      <c r="R133" s="2867">
        <f>'Abs26. Burns &amp; Injury'!R9</f>
        <v>0</v>
      </c>
      <c r="BB133" s="3267"/>
      <c r="BC133" s="3267"/>
      <c r="BD133" s="3267"/>
      <c r="BE133" s="3267"/>
      <c r="BF133" s="3267"/>
      <c r="BG133" s="3267"/>
      <c r="BH133" s="3267"/>
      <c r="BI133" s="3267"/>
      <c r="BJ133" s="3267"/>
      <c r="BK133" s="3267"/>
      <c r="BL133" s="3267"/>
      <c r="BM133" s="3267"/>
      <c r="BN133" s="3267"/>
      <c r="BO133" s="3267"/>
      <c r="BP133" s="3267"/>
      <c r="BQ133" s="3267"/>
      <c r="BR133" s="3267"/>
      <c r="BS133" s="3267"/>
      <c r="BT133" s="3267"/>
      <c r="BU133" s="3267"/>
      <c r="BV133" s="3267"/>
      <c r="BW133" s="3267"/>
      <c r="BX133" s="3267"/>
      <c r="BY133" s="3267"/>
      <c r="BZ133" s="3267"/>
      <c r="CA133" s="3267"/>
      <c r="CB133" s="3267"/>
      <c r="CC133" s="3267"/>
      <c r="CD133" s="3267"/>
      <c r="CE133" s="3267"/>
      <c r="CF133" s="3267"/>
      <c r="CG133" s="3267"/>
      <c r="CH133" s="3267"/>
      <c r="CI133" s="3215">
        <f t="shared" si="4"/>
        <v>0</v>
      </c>
    </row>
    <row r="134" spans="1:87" ht="30">
      <c r="A134" s="1318" t="s">
        <v>4102</v>
      </c>
      <c r="B134" s="521"/>
      <c r="C134" s="509" t="s">
        <v>1585</v>
      </c>
      <c r="D134" s="911" t="s">
        <v>80</v>
      </c>
      <c r="E134" s="1170" t="s">
        <v>4533</v>
      </c>
      <c r="F134" s="69">
        <v>0</v>
      </c>
      <c r="G134" s="69"/>
      <c r="H134" s="69">
        <v>0</v>
      </c>
      <c r="I134" s="69"/>
      <c r="J134" s="69"/>
      <c r="K134" s="180"/>
      <c r="L134" s="277"/>
      <c r="M134" s="281">
        <f>L134/100000</f>
        <v>0</v>
      </c>
      <c r="N134" s="277"/>
      <c r="O134" s="1345">
        <f>N134*M134</f>
        <v>0</v>
      </c>
      <c r="P134" s="789"/>
      <c r="Q134" s="1003">
        <f>'Abs26. Burns &amp; Injury'!Q10</f>
        <v>0</v>
      </c>
      <c r="R134" s="2867">
        <f>'Abs26. Burns &amp; Injury'!R10</f>
        <v>0</v>
      </c>
      <c r="BB134" s="3267"/>
      <c r="BC134" s="3267"/>
      <c r="BD134" s="3267"/>
      <c r="BE134" s="3267"/>
      <c r="BF134" s="3267"/>
      <c r="BG134" s="3267"/>
      <c r="BH134" s="3267"/>
      <c r="BI134" s="3267"/>
      <c r="BJ134" s="3267"/>
      <c r="BK134" s="3267"/>
      <c r="BL134" s="3267"/>
      <c r="BM134" s="3267"/>
      <c r="BN134" s="3267"/>
      <c r="BO134" s="3267"/>
      <c r="BP134" s="3267"/>
      <c r="BQ134" s="3267"/>
      <c r="BR134" s="3267"/>
      <c r="BS134" s="3267"/>
      <c r="BT134" s="3267"/>
      <c r="BU134" s="3267"/>
      <c r="BV134" s="3267"/>
      <c r="BW134" s="3267"/>
      <c r="BX134" s="3267"/>
      <c r="BY134" s="3267"/>
      <c r="BZ134" s="3267"/>
      <c r="CA134" s="3267"/>
      <c r="CB134" s="3267"/>
      <c r="CC134" s="3267"/>
      <c r="CD134" s="3267"/>
      <c r="CE134" s="3267"/>
      <c r="CF134" s="3267"/>
      <c r="CG134" s="3267"/>
      <c r="CH134" s="3267"/>
      <c r="CI134" s="3215">
        <f t="shared" ref="CI134:CI197" si="11">SUM(BB134:CH134)</f>
        <v>0</v>
      </c>
    </row>
    <row r="135" spans="1:87">
      <c r="A135" s="3918"/>
      <c r="B135" s="3918"/>
      <c r="C135" s="3918"/>
      <c r="D135" s="1200"/>
      <c r="E135" s="1200"/>
      <c r="F135" s="310"/>
      <c r="G135" s="310"/>
      <c r="H135" s="310"/>
      <c r="I135" s="310"/>
      <c r="J135" s="310"/>
      <c r="K135" s="310"/>
      <c r="L135" s="310"/>
      <c r="M135" s="1336"/>
      <c r="N135" s="602"/>
      <c r="O135" s="1336"/>
      <c r="P135" s="720"/>
      <c r="Q135" s="1182"/>
      <c r="R135" s="2865"/>
      <c r="BB135" s="3267"/>
      <c r="BC135" s="3267"/>
      <c r="BD135" s="3267"/>
      <c r="BE135" s="3267"/>
      <c r="BF135" s="3267"/>
      <c r="BG135" s="3267"/>
      <c r="BH135" s="3267"/>
      <c r="BI135" s="3267"/>
      <c r="BJ135" s="3267"/>
      <c r="BK135" s="3267"/>
      <c r="BL135" s="3267"/>
      <c r="BM135" s="3267"/>
      <c r="BN135" s="3267"/>
      <c r="BO135" s="3267"/>
      <c r="BP135" s="3267"/>
      <c r="BQ135" s="3267"/>
      <c r="BR135" s="3267"/>
      <c r="BS135" s="3267"/>
      <c r="BT135" s="3267"/>
      <c r="BU135" s="3267"/>
      <c r="BV135" s="3267"/>
      <c r="BW135" s="3267"/>
      <c r="BX135" s="3267"/>
      <c r="BY135" s="3267"/>
      <c r="BZ135" s="3267"/>
      <c r="CA135" s="3267"/>
      <c r="CB135" s="3267"/>
      <c r="CC135" s="3267"/>
      <c r="CD135" s="3267"/>
      <c r="CE135" s="3267"/>
      <c r="CF135" s="3267"/>
      <c r="CG135" s="3267"/>
      <c r="CH135" s="3267"/>
      <c r="CI135" s="3215">
        <f t="shared" si="11"/>
        <v>0</v>
      </c>
    </row>
    <row r="136" spans="1:87" ht="30">
      <c r="A136" s="1339" t="s">
        <v>1691</v>
      </c>
      <c r="B136" s="1340"/>
      <c r="C136" s="1339" t="s">
        <v>4681</v>
      </c>
      <c r="D136" s="1341"/>
      <c r="E136" s="1341"/>
      <c r="F136" s="338"/>
      <c r="G136" s="338"/>
      <c r="H136" s="338"/>
      <c r="I136" s="338"/>
      <c r="J136" s="338"/>
      <c r="K136" s="338"/>
      <c r="L136" s="338"/>
      <c r="M136" s="1342"/>
      <c r="N136" s="338"/>
      <c r="O136" s="1342">
        <f>SUM(O137:O143)</f>
        <v>327.08175999999997</v>
      </c>
      <c r="P136" s="787"/>
      <c r="Q136" s="1344"/>
      <c r="R136" s="2866">
        <f>SUM(R137:R143)</f>
        <v>327.08</v>
      </c>
      <c r="BB136" s="3267"/>
      <c r="BC136" s="3267"/>
      <c r="BD136" s="3267"/>
      <c r="BE136" s="3267"/>
      <c r="BF136" s="3267"/>
      <c r="BG136" s="3267"/>
      <c r="BH136" s="3267"/>
      <c r="BI136" s="3267"/>
      <c r="BJ136" s="3267"/>
      <c r="BK136" s="3267"/>
      <c r="BL136" s="3267"/>
      <c r="BM136" s="3267"/>
      <c r="BN136" s="3267"/>
      <c r="BO136" s="3267"/>
      <c r="BP136" s="3267"/>
      <c r="BQ136" s="3267"/>
      <c r="BR136" s="3267"/>
      <c r="BS136" s="3267"/>
      <c r="BT136" s="3267"/>
      <c r="BU136" s="3267"/>
      <c r="BV136" s="3267"/>
      <c r="BW136" s="3267"/>
      <c r="BX136" s="3267"/>
      <c r="BY136" s="3267"/>
      <c r="BZ136" s="3267"/>
      <c r="CA136" s="3267"/>
      <c r="CB136" s="3267"/>
      <c r="CC136" s="3267"/>
      <c r="CD136" s="3267"/>
      <c r="CE136" s="3267"/>
      <c r="CF136" s="3267"/>
      <c r="CG136" s="3267"/>
      <c r="CH136" s="3267"/>
      <c r="CI136" s="3215">
        <f t="shared" si="11"/>
        <v>0</v>
      </c>
    </row>
    <row r="137" spans="1:87">
      <c r="A137" s="1318" t="s">
        <v>4147</v>
      </c>
      <c r="B137" s="1360" t="s">
        <v>1692</v>
      </c>
      <c r="C137" s="509" t="s">
        <v>1693</v>
      </c>
      <c r="D137" s="1301" t="s">
        <v>85</v>
      </c>
      <c r="E137" s="1276" t="s">
        <v>86</v>
      </c>
      <c r="F137" s="69">
        <v>0</v>
      </c>
      <c r="G137" s="69"/>
      <c r="H137" s="69">
        <v>0</v>
      </c>
      <c r="I137" s="69"/>
      <c r="J137" s="69"/>
      <c r="K137" s="340"/>
      <c r="L137" s="277"/>
      <c r="M137" s="281">
        <f t="shared" ref="M137:M142" si="12">L137/100000</f>
        <v>0</v>
      </c>
      <c r="N137" s="277"/>
      <c r="O137" s="1345">
        <f t="shared" ref="O137:O143" si="13">N137*M137</f>
        <v>0</v>
      </c>
      <c r="P137" s="788"/>
      <c r="Q137" s="1003" t="str">
        <f>'Ab1. RMNCH+A'!Q231</f>
        <v>--</v>
      </c>
      <c r="R137" s="2867">
        <f>'Ab1. RMNCH+A'!R231</f>
        <v>0</v>
      </c>
      <c r="BB137" s="3267"/>
      <c r="BC137" s="3267"/>
      <c r="BD137" s="3267"/>
      <c r="BE137" s="3267"/>
      <c r="BF137" s="3267"/>
      <c r="BG137" s="3267"/>
      <c r="BH137" s="3267"/>
      <c r="BI137" s="3267"/>
      <c r="BJ137" s="3267"/>
      <c r="BK137" s="3267"/>
      <c r="BL137" s="3267"/>
      <c r="BM137" s="3267"/>
      <c r="BN137" s="3267"/>
      <c r="BO137" s="3267"/>
      <c r="BP137" s="3267"/>
      <c r="BQ137" s="3267"/>
      <c r="BR137" s="3267"/>
      <c r="BS137" s="3267"/>
      <c r="BT137" s="3267"/>
      <c r="BU137" s="3267"/>
      <c r="BV137" s="3267"/>
      <c r="BW137" s="3267"/>
      <c r="BX137" s="3267"/>
      <c r="BY137" s="3267"/>
      <c r="BZ137" s="3267"/>
      <c r="CA137" s="3267"/>
      <c r="CB137" s="3267"/>
      <c r="CC137" s="3267"/>
      <c r="CD137" s="3267"/>
      <c r="CE137" s="3267"/>
      <c r="CF137" s="3267"/>
      <c r="CG137" s="3267"/>
      <c r="CH137" s="3267"/>
      <c r="CI137" s="3215">
        <f t="shared" si="11"/>
        <v>0</v>
      </c>
    </row>
    <row r="138" spans="1:87">
      <c r="A138" s="1318" t="s">
        <v>4148</v>
      </c>
      <c r="B138" s="1354" t="s">
        <v>1694</v>
      </c>
      <c r="C138" s="1354" t="s">
        <v>1695</v>
      </c>
      <c r="D138" s="1007" t="s">
        <v>4219</v>
      </c>
      <c r="E138" s="1276" t="s">
        <v>288</v>
      </c>
      <c r="F138" s="69">
        <v>0</v>
      </c>
      <c r="G138" s="69"/>
      <c r="H138" s="69">
        <v>0</v>
      </c>
      <c r="I138" s="69"/>
      <c r="J138" s="69"/>
      <c r="K138" s="340"/>
      <c r="L138" s="277"/>
      <c r="M138" s="281">
        <f t="shared" si="12"/>
        <v>0</v>
      </c>
      <c r="N138" s="277"/>
      <c r="O138" s="1345">
        <f t="shared" si="13"/>
        <v>0</v>
      </c>
      <c r="P138" s="788"/>
      <c r="Q138" s="1003">
        <f>'Abs8. IDSP'!Q11</f>
        <v>0</v>
      </c>
      <c r="R138" s="2867">
        <f>'Abs8. IDSP'!R11</f>
        <v>0</v>
      </c>
      <c r="BB138" s="3267"/>
      <c r="BC138" s="3267"/>
      <c r="BD138" s="3267"/>
      <c r="BE138" s="3267"/>
      <c r="BF138" s="3267"/>
      <c r="BG138" s="3267"/>
      <c r="BH138" s="3267"/>
      <c r="BI138" s="3267"/>
      <c r="BJ138" s="3267"/>
      <c r="BK138" s="3267"/>
      <c r="BL138" s="3267"/>
      <c r="BM138" s="3267"/>
      <c r="BN138" s="3267"/>
      <c r="BO138" s="3267"/>
      <c r="BP138" s="3267"/>
      <c r="BQ138" s="3267"/>
      <c r="BR138" s="3267"/>
      <c r="BS138" s="3267"/>
      <c r="BT138" s="3267"/>
      <c r="BU138" s="3267"/>
      <c r="BV138" s="3267"/>
      <c r="BW138" s="3267"/>
      <c r="BX138" s="3267"/>
      <c r="BY138" s="3267"/>
      <c r="BZ138" s="3267"/>
      <c r="CA138" s="3267"/>
      <c r="CB138" s="3267"/>
      <c r="CC138" s="3267"/>
      <c r="CD138" s="3267"/>
      <c r="CE138" s="3267"/>
      <c r="CF138" s="3267"/>
      <c r="CG138" s="3267"/>
      <c r="CH138" s="3267"/>
      <c r="CI138" s="3215">
        <f t="shared" si="11"/>
        <v>0</v>
      </c>
    </row>
    <row r="139" spans="1:87" s="1302" customFormat="1" ht="90">
      <c r="A139" s="1317" t="s">
        <v>4149</v>
      </c>
      <c r="B139" s="1355" t="s">
        <v>1696</v>
      </c>
      <c r="C139" s="3213" t="s">
        <v>1697</v>
      </c>
      <c r="D139" s="2254" t="s">
        <v>4219</v>
      </c>
      <c r="E139" s="1304" t="s">
        <v>4525</v>
      </c>
      <c r="F139" s="353">
        <v>0</v>
      </c>
      <c r="G139" s="353">
        <v>232</v>
      </c>
      <c r="H139" s="353">
        <v>0</v>
      </c>
      <c r="I139" s="353"/>
      <c r="J139" s="353">
        <v>0</v>
      </c>
      <c r="K139" s="354"/>
      <c r="L139" s="2345">
        <v>7016</v>
      </c>
      <c r="M139" s="2261">
        <f t="shared" si="12"/>
        <v>7.016E-2</v>
      </c>
      <c r="N139" s="2345">
        <v>386</v>
      </c>
      <c r="O139" s="1348">
        <f t="shared" si="13"/>
        <v>27.081759999999999</v>
      </c>
      <c r="P139" s="3212" t="s">
        <v>5167</v>
      </c>
      <c r="Q139" s="3188" t="str">
        <f>'Abs11. NTEP'!Q22</f>
        <v>Recommended Rs 27.08 lakhs towards maintenace of equipments which are not covered under BMMP</v>
      </c>
      <c r="R139" s="2869">
        <f>'Abs11. NTEP'!R22</f>
        <v>27.08</v>
      </c>
      <c r="BB139" s="3214"/>
      <c r="BC139" s="3214">
        <v>0.02</v>
      </c>
      <c r="BD139" s="3214">
        <v>0.02</v>
      </c>
      <c r="BE139" s="3214">
        <v>0.02</v>
      </c>
      <c r="BF139" s="3214">
        <v>4.04</v>
      </c>
      <c r="BG139" s="3214">
        <v>0.01</v>
      </c>
      <c r="BH139" s="3214">
        <v>0.02</v>
      </c>
      <c r="BI139" s="3214">
        <v>0.01</v>
      </c>
      <c r="BJ139" s="3214">
        <v>2.04</v>
      </c>
      <c r="BK139" s="3214">
        <v>4.04</v>
      </c>
      <c r="BL139" s="3214">
        <v>2.0299999999999998</v>
      </c>
      <c r="BM139" s="3214">
        <v>2.02</v>
      </c>
      <c r="BN139" s="3214">
        <v>0.02</v>
      </c>
      <c r="BO139" s="3214"/>
      <c r="BP139" s="3214"/>
      <c r="BQ139" s="3214"/>
      <c r="BR139" s="3214"/>
      <c r="BS139" s="3214"/>
      <c r="BT139" s="3214"/>
      <c r="BU139" s="3214"/>
      <c r="BV139" s="3214"/>
      <c r="BW139" s="3214"/>
      <c r="BX139" s="3214"/>
      <c r="BY139" s="3214"/>
      <c r="BZ139" s="3214"/>
      <c r="CA139" s="3214"/>
      <c r="CB139" s="3214"/>
      <c r="CC139" s="3214"/>
      <c r="CD139" s="3214"/>
      <c r="CE139" s="3214">
        <v>12.79</v>
      </c>
      <c r="CF139" s="3214"/>
      <c r="CG139" s="3214"/>
      <c r="CH139" s="3214"/>
      <c r="CI139" s="3215">
        <f t="shared" si="11"/>
        <v>27.08</v>
      </c>
    </row>
    <row r="140" spans="1:87">
      <c r="A140" s="1317" t="s">
        <v>4152</v>
      </c>
      <c r="B140" s="521"/>
      <c r="C140" s="521" t="s">
        <v>4299</v>
      </c>
      <c r="D140" s="1007" t="s">
        <v>4219</v>
      </c>
      <c r="E140" s="1304" t="s">
        <v>109</v>
      </c>
      <c r="F140" s="353">
        <v>0</v>
      </c>
      <c r="G140" s="353"/>
      <c r="H140" s="353">
        <v>0</v>
      </c>
      <c r="I140" s="353"/>
      <c r="J140" s="353"/>
      <c r="K140" s="354"/>
      <c r="L140" s="277"/>
      <c r="M140" s="281">
        <f>L140/100000</f>
        <v>0</v>
      </c>
      <c r="N140" s="277"/>
      <c r="O140" s="1348">
        <f t="shared" si="13"/>
        <v>0</v>
      </c>
      <c r="P140" s="792"/>
      <c r="Q140" s="1003">
        <f>'Abs9. NVBDCP'!Q43</f>
        <v>0</v>
      </c>
      <c r="R140" s="2867">
        <f>'Abs9. NVBDCP'!R43</f>
        <v>0</v>
      </c>
      <c r="BB140" s="3267"/>
      <c r="BC140" s="3267"/>
      <c r="BD140" s="3267"/>
      <c r="BE140" s="3267"/>
      <c r="BF140" s="3267"/>
      <c r="BG140" s="3267"/>
      <c r="BH140" s="3267"/>
      <c r="BI140" s="3267"/>
      <c r="BJ140" s="3267"/>
      <c r="BK140" s="3267"/>
      <c r="BL140" s="3267"/>
      <c r="BM140" s="3267"/>
      <c r="BN140" s="3267"/>
      <c r="BO140" s="3267"/>
      <c r="BP140" s="3267"/>
      <c r="BQ140" s="3267"/>
      <c r="BR140" s="3267"/>
      <c r="BS140" s="3267"/>
      <c r="BT140" s="3267"/>
      <c r="BU140" s="3267"/>
      <c r="BV140" s="3267"/>
      <c r="BW140" s="3267"/>
      <c r="BX140" s="3267"/>
      <c r="BY140" s="3267"/>
      <c r="BZ140" s="3267"/>
      <c r="CA140" s="3267"/>
      <c r="CB140" s="3267"/>
      <c r="CC140" s="3267"/>
      <c r="CD140" s="3267"/>
      <c r="CE140" s="3267"/>
      <c r="CF140" s="3267"/>
      <c r="CG140" s="3267"/>
      <c r="CH140" s="3267"/>
      <c r="CI140" s="3215">
        <f t="shared" si="11"/>
        <v>0</v>
      </c>
    </row>
    <row r="141" spans="1:87" s="1302" customFormat="1" ht="30">
      <c r="A141" s="1318" t="s">
        <v>4150</v>
      </c>
      <c r="B141" s="1354" t="s">
        <v>1698</v>
      </c>
      <c r="C141" s="1354" t="s">
        <v>2760</v>
      </c>
      <c r="D141" s="911" t="s">
        <v>80</v>
      </c>
      <c r="E141" s="1276" t="s">
        <v>81</v>
      </c>
      <c r="F141" s="69">
        <v>0</v>
      </c>
      <c r="G141" s="69"/>
      <c r="H141" s="69">
        <v>0</v>
      </c>
      <c r="I141" s="69"/>
      <c r="J141" s="349"/>
      <c r="K141" s="340"/>
      <c r="L141" s="277"/>
      <c r="M141" s="281">
        <f t="shared" si="12"/>
        <v>0</v>
      </c>
      <c r="N141" s="277"/>
      <c r="O141" s="1345">
        <f t="shared" si="13"/>
        <v>0</v>
      </c>
      <c r="P141" s="788"/>
      <c r="Q141" s="1003">
        <f>'Abs15. NPCB'!Q19</f>
        <v>0</v>
      </c>
      <c r="R141" s="2867">
        <f>'Abs15. NPCB'!R19</f>
        <v>0</v>
      </c>
      <c r="BB141" s="3214"/>
      <c r="BC141" s="3214"/>
      <c r="BD141" s="3214"/>
      <c r="BE141" s="3214"/>
      <c r="BF141" s="3214"/>
      <c r="BG141" s="3214"/>
      <c r="BH141" s="3214"/>
      <c r="BI141" s="3214"/>
      <c r="BJ141" s="3214"/>
      <c r="BK141" s="3214"/>
      <c r="BL141" s="3214"/>
      <c r="BM141" s="3214"/>
      <c r="BN141" s="3214"/>
      <c r="BO141" s="3214"/>
      <c r="BP141" s="3214"/>
      <c r="BQ141" s="3214"/>
      <c r="BR141" s="3214"/>
      <c r="BS141" s="3214"/>
      <c r="BT141" s="3214"/>
      <c r="BU141" s="3214"/>
      <c r="BV141" s="3214"/>
      <c r="BW141" s="3214"/>
      <c r="BX141" s="3214"/>
      <c r="BY141" s="3214"/>
      <c r="BZ141" s="3214"/>
      <c r="CA141" s="3214"/>
      <c r="CB141" s="3214"/>
      <c r="CC141" s="3214"/>
      <c r="CD141" s="3214"/>
      <c r="CE141" s="3214"/>
      <c r="CF141" s="3214"/>
      <c r="CG141" s="3214"/>
      <c r="CH141" s="3214"/>
      <c r="CI141" s="3215">
        <f t="shared" si="11"/>
        <v>0</v>
      </c>
    </row>
    <row r="142" spans="1:87" s="1302" customFormat="1" ht="153" customHeight="1">
      <c r="A142" s="1317" t="s">
        <v>4151</v>
      </c>
      <c r="B142" s="521"/>
      <c r="C142" s="521" t="s">
        <v>4706</v>
      </c>
      <c r="D142" s="982" t="s">
        <v>65</v>
      </c>
      <c r="E142" s="1304" t="s">
        <v>4668</v>
      </c>
      <c r="F142" s="353">
        <v>40</v>
      </c>
      <c r="G142" s="353"/>
      <c r="H142" s="353">
        <v>0</v>
      </c>
      <c r="I142" s="353"/>
      <c r="J142" s="353">
        <v>0</v>
      </c>
      <c r="K142" s="354">
        <v>1</v>
      </c>
      <c r="L142" s="283">
        <v>2400</v>
      </c>
      <c r="M142" s="2261">
        <f t="shared" si="12"/>
        <v>2.4E-2</v>
      </c>
      <c r="N142" s="283">
        <v>12500</v>
      </c>
      <c r="O142" s="1348">
        <f t="shared" si="13"/>
        <v>300</v>
      </c>
      <c r="P142" s="2316" t="s">
        <v>5159</v>
      </c>
      <c r="Q142" s="2315" t="s">
        <v>5776</v>
      </c>
      <c r="R142" s="2860">
        <v>300</v>
      </c>
      <c r="BB142" s="3214">
        <v>300</v>
      </c>
      <c r="BC142" s="3214"/>
      <c r="BD142" s="3214"/>
      <c r="BE142" s="3214"/>
      <c r="BF142" s="3214"/>
      <c r="BG142" s="3214"/>
      <c r="BH142" s="3214"/>
      <c r="BI142" s="3214"/>
      <c r="BJ142" s="3214"/>
      <c r="BK142" s="3214"/>
      <c r="BL142" s="3214"/>
      <c r="BM142" s="3214"/>
      <c r="BN142" s="3214"/>
      <c r="BO142" s="3214"/>
      <c r="BP142" s="3214"/>
      <c r="BQ142" s="3214"/>
      <c r="BR142" s="3214"/>
      <c r="BS142" s="3214"/>
      <c r="BT142" s="3214"/>
      <c r="BU142" s="3214"/>
      <c r="BV142" s="3214"/>
      <c r="BW142" s="3214"/>
      <c r="BX142" s="3214"/>
      <c r="BY142" s="3214"/>
      <c r="BZ142" s="3214"/>
      <c r="CA142" s="3214"/>
      <c r="CB142" s="3214"/>
      <c r="CC142" s="3214"/>
      <c r="CD142" s="3214"/>
      <c r="CE142" s="3214"/>
      <c r="CF142" s="3214"/>
      <c r="CG142" s="3214"/>
      <c r="CH142" s="3214"/>
      <c r="CI142" s="3215">
        <f t="shared" si="11"/>
        <v>300</v>
      </c>
    </row>
    <row r="143" spans="1:87">
      <c r="A143" s="1318" t="s">
        <v>4153</v>
      </c>
      <c r="B143" s="521"/>
      <c r="C143" s="1318" t="s">
        <v>1304</v>
      </c>
      <c r="D143" s="908" t="s">
        <v>65</v>
      </c>
      <c r="E143" s="1276" t="s">
        <v>4668</v>
      </c>
      <c r="F143" s="69">
        <v>0</v>
      </c>
      <c r="G143" s="69"/>
      <c r="H143" s="69">
        <v>0</v>
      </c>
      <c r="I143" s="69"/>
      <c r="J143" s="69"/>
      <c r="K143" s="340"/>
      <c r="L143" s="277"/>
      <c r="M143" s="281">
        <f>L143/100000</f>
        <v>0</v>
      </c>
      <c r="N143" s="277"/>
      <c r="O143" s="1345">
        <f t="shared" si="13"/>
        <v>0</v>
      </c>
      <c r="P143" s="789"/>
      <c r="Q143" s="1022"/>
      <c r="R143" s="2870"/>
      <c r="BB143" s="3267"/>
      <c r="BC143" s="3267"/>
      <c r="BD143" s="3267"/>
      <c r="BE143" s="3267"/>
      <c r="BF143" s="3267"/>
      <c r="BG143" s="3267"/>
      <c r="BH143" s="3267"/>
      <c r="BI143" s="3267"/>
      <c r="BJ143" s="3267"/>
      <c r="BK143" s="3267"/>
      <c r="BL143" s="3267"/>
      <c r="BM143" s="3267"/>
      <c r="BN143" s="3267"/>
      <c r="BO143" s="3267"/>
      <c r="BP143" s="3267"/>
      <c r="BQ143" s="3267"/>
      <c r="BR143" s="3267"/>
      <c r="BS143" s="3267"/>
      <c r="BT143" s="3267"/>
      <c r="BU143" s="3267"/>
      <c r="BV143" s="3267"/>
      <c r="BW143" s="3267"/>
      <c r="BX143" s="3267"/>
      <c r="BY143" s="3267"/>
      <c r="BZ143" s="3267"/>
      <c r="CA143" s="3267"/>
      <c r="CB143" s="3267"/>
      <c r="CC143" s="3267"/>
      <c r="CD143" s="3267"/>
      <c r="CE143" s="3267"/>
      <c r="CF143" s="3267"/>
      <c r="CG143" s="3267"/>
      <c r="CH143" s="3267"/>
      <c r="CI143" s="3215">
        <f t="shared" si="11"/>
        <v>0</v>
      </c>
    </row>
    <row r="144" spans="1:87" ht="30">
      <c r="A144" s="1290">
        <v>6.2</v>
      </c>
      <c r="B144" s="1291" t="s">
        <v>1700</v>
      </c>
      <c r="C144" s="1290" t="s">
        <v>1701</v>
      </c>
      <c r="D144" s="930"/>
      <c r="E144" s="930"/>
      <c r="F144" s="93"/>
      <c r="G144" s="93"/>
      <c r="H144" s="93"/>
      <c r="I144" s="93"/>
      <c r="J144" s="93"/>
      <c r="K144" s="93"/>
      <c r="L144" s="93"/>
      <c r="M144" s="1149"/>
      <c r="N144" s="93"/>
      <c r="O144" s="1149"/>
      <c r="P144" s="705"/>
      <c r="Q144" s="996"/>
      <c r="R144" s="2874"/>
      <c r="BB144" s="3267"/>
      <c r="BC144" s="3267"/>
      <c r="BD144" s="3267"/>
      <c r="BE144" s="3267"/>
      <c r="BF144" s="3267"/>
      <c r="BG144" s="3267"/>
      <c r="BH144" s="3267"/>
      <c r="BI144" s="3267"/>
      <c r="BJ144" s="3267"/>
      <c r="BK144" s="3267"/>
      <c r="BL144" s="3267"/>
      <c r="BM144" s="3267"/>
      <c r="BN144" s="3267"/>
      <c r="BO144" s="3267"/>
      <c r="BP144" s="3267"/>
      <c r="BQ144" s="3267"/>
      <c r="BR144" s="3267"/>
      <c r="BS144" s="3267"/>
      <c r="BT144" s="3267"/>
      <c r="BU144" s="3267"/>
      <c r="BV144" s="3267"/>
      <c r="BW144" s="3267"/>
      <c r="BX144" s="3267"/>
      <c r="BY144" s="3267"/>
      <c r="BZ144" s="3267"/>
      <c r="CA144" s="3267"/>
      <c r="CB144" s="3267"/>
      <c r="CC144" s="3267"/>
      <c r="CD144" s="3267"/>
      <c r="CE144" s="3267"/>
      <c r="CF144" s="3267"/>
      <c r="CG144" s="3267"/>
      <c r="CH144" s="3267"/>
      <c r="CI144" s="3215">
        <f t="shared" si="11"/>
        <v>0</v>
      </c>
    </row>
    <row r="145" spans="1:87">
      <c r="A145" s="3918"/>
      <c r="B145" s="3918"/>
      <c r="C145" s="3918"/>
      <c r="D145" s="1200"/>
      <c r="E145" s="1200"/>
      <c r="F145" s="310"/>
      <c r="G145" s="310"/>
      <c r="H145" s="310"/>
      <c r="I145" s="310"/>
      <c r="J145" s="310"/>
      <c r="K145" s="310"/>
      <c r="L145" s="310"/>
      <c r="M145" s="1336"/>
      <c r="N145" s="602"/>
      <c r="O145" s="1336"/>
      <c r="P145" s="720"/>
      <c r="Q145" s="1182"/>
      <c r="R145" s="2865"/>
      <c r="BB145" s="3267"/>
      <c r="BC145" s="3267"/>
      <c r="BD145" s="3267"/>
      <c r="BE145" s="3267"/>
      <c r="BF145" s="3267"/>
      <c r="BG145" s="3267"/>
      <c r="BH145" s="3267"/>
      <c r="BI145" s="3267"/>
      <c r="BJ145" s="3267"/>
      <c r="BK145" s="3267"/>
      <c r="BL145" s="3267"/>
      <c r="BM145" s="3267"/>
      <c r="BN145" s="3267"/>
      <c r="BO145" s="3267"/>
      <c r="BP145" s="3267"/>
      <c r="BQ145" s="3267"/>
      <c r="BR145" s="3267"/>
      <c r="BS145" s="3267"/>
      <c r="BT145" s="3267"/>
      <c r="BU145" s="3267"/>
      <c r="BV145" s="3267"/>
      <c r="BW145" s="3267"/>
      <c r="BX145" s="3267"/>
      <c r="BY145" s="3267"/>
      <c r="BZ145" s="3267"/>
      <c r="CA145" s="3267"/>
      <c r="CB145" s="3267"/>
      <c r="CC145" s="3267"/>
      <c r="CD145" s="3267"/>
      <c r="CE145" s="3267"/>
      <c r="CF145" s="3267"/>
      <c r="CG145" s="3267"/>
      <c r="CH145" s="3267"/>
      <c r="CI145" s="3215">
        <f t="shared" si="11"/>
        <v>0</v>
      </c>
    </row>
    <row r="146" spans="1:87">
      <c r="A146" s="1361" t="s">
        <v>1702</v>
      </c>
      <c r="B146" s="1362" t="s">
        <v>1703</v>
      </c>
      <c r="C146" s="1363" t="s">
        <v>1704</v>
      </c>
      <c r="D146" s="1364"/>
      <c r="E146" s="938"/>
      <c r="F146" s="295"/>
      <c r="G146" s="295"/>
      <c r="H146" s="295"/>
      <c r="I146" s="295"/>
      <c r="J146" s="295"/>
      <c r="K146" s="163"/>
      <c r="L146" s="295"/>
      <c r="M146" s="1366"/>
      <c r="N146" s="295"/>
      <c r="O146" s="1366">
        <f>SUM(O147:O153)+O159</f>
        <v>2113</v>
      </c>
      <c r="P146" s="757"/>
      <c r="Q146" s="1000"/>
      <c r="R146" s="2875">
        <f>SUM(R147:R153)+R159</f>
        <v>475</v>
      </c>
      <c r="BB146" s="3267"/>
      <c r="BC146" s="3267"/>
      <c r="BD146" s="3267"/>
      <c r="BE146" s="3267"/>
      <c r="BF146" s="3267"/>
      <c r="BG146" s="3267"/>
      <c r="BH146" s="3267"/>
      <c r="BI146" s="3267"/>
      <c r="BJ146" s="3267"/>
      <c r="BK146" s="3267"/>
      <c r="BL146" s="3267"/>
      <c r="BM146" s="3267"/>
      <c r="BN146" s="3267"/>
      <c r="BO146" s="3267"/>
      <c r="BP146" s="3267"/>
      <c r="BQ146" s="3267"/>
      <c r="BR146" s="3267"/>
      <c r="BS146" s="3267"/>
      <c r="BT146" s="3267"/>
      <c r="BU146" s="3267"/>
      <c r="BV146" s="3267"/>
      <c r="BW146" s="3267"/>
      <c r="BX146" s="3267"/>
      <c r="BY146" s="3267"/>
      <c r="BZ146" s="3267"/>
      <c r="CA146" s="3267"/>
      <c r="CB146" s="3267"/>
      <c r="CC146" s="3267"/>
      <c r="CD146" s="3267"/>
      <c r="CE146" s="3267"/>
      <c r="CF146" s="3267"/>
      <c r="CG146" s="3267"/>
      <c r="CH146" s="3267"/>
      <c r="CI146" s="3215">
        <f t="shared" si="11"/>
        <v>0</v>
      </c>
    </row>
    <row r="147" spans="1:87" ht="30">
      <c r="A147" s="1318" t="s">
        <v>1705</v>
      </c>
      <c r="B147" s="509" t="s">
        <v>1706</v>
      </c>
      <c r="C147" s="509" t="s">
        <v>1707</v>
      </c>
      <c r="D147" s="1301" t="s">
        <v>85</v>
      </c>
      <c r="E147" s="1276" t="s">
        <v>113</v>
      </c>
      <c r="F147" s="69">
        <v>0</v>
      </c>
      <c r="G147" s="69"/>
      <c r="H147" s="69">
        <v>0</v>
      </c>
      <c r="I147" s="69"/>
      <c r="J147" s="69"/>
      <c r="K147" s="340"/>
      <c r="L147" s="277"/>
      <c r="M147" s="281">
        <f t="shared" ref="M147:M152" si="14">L147/100000</f>
        <v>0</v>
      </c>
      <c r="N147" s="277"/>
      <c r="O147" s="1345">
        <f t="shared" ref="O147:O152" si="15">N147*M147</f>
        <v>0</v>
      </c>
      <c r="P147" s="788"/>
      <c r="Q147" s="1003" t="str">
        <f>'Ab1. RMNCH+A'!Q42</f>
        <v>-</v>
      </c>
      <c r="R147" s="2867">
        <f>'Ab1. RMNCH+A'!R42</f>
        <v>0</v>
      </c>
      <c r="BB147" s="3267"/>
      <c r="BC147" s="3267"/>
      <c r="BD147" s="3267"/>
      <c r="BE147" s="3267"/>
      <c r="BF147" s="3267"/>
      <c r="BG147" s="3267"/>
      <c r="BH147" s="3267"/>
      <c r="BI147" s="3267"/>
      <c r="BJ147" s="3267"/>
      <c r="BK147" s="3267"/>
      <c r="BL147" s="3267"/>
      <c r="BM147" s="3267"/>
      <c r="BN147" s="3267"/>
      <c r="BO147" s="3267"/>
      <c r="BP147" s="3267"/>
      <c r="BQ147" s="3267"/>
      <c r="BR147" s="3267"/>
      <c r="BS147" s="3267"/>
      <c r="BT147" s="3267"/>
      <c r="BU147" s="3267"/>
      <c r="BV147" s="3267"/>
      <c r="BW147" s="3267"/>
      <c r="BX147" s="3267"/>
      <c r="BY147" s="3267"/>
      <c r="BZ147" s="3267"/>
      <c r="CA147" s="3267"/>
      <c r="CB147" s="3267"/>
      <c r="CC147" s="3267"/>
      <c r="CD147" s="3267"/>
      <c r="CE147" s="3267"/>
      <c r="CF147" s="3267"/>
      <c r="CG147" s="3267"/>
      <c r="CH147" s="3267"/>
      <c r="CI147" s="3215">
        <f t="shared" si="11"/>
        <v>0</v>
      </c>
    </row>
    <row r="148" spans="1:87" ht="45">
      <c r="A148" s="1318" t="s">
        <v>1708</v>
      </c>
      <c r="B148" s="509" t="s">
        <v>1709</v>
      </c>
      <c r="C148" s="509" t="s">
        <v>2262</v>
      </c>
      <c r="D148" s="1301" t="s">
        <v>85</v>
      </c>
      <c r="E148" s="1276" t="s">
        <v>113</v>
      </c>
      <c r="F148" s="69">
        <v>0</v>
      </c>
      <c r="G148" s="69"/>
      <c r="H148" s="342">
        <v>0</v>
      </c>
      <c r="I148" s="342"/>
      <c r="J148" s="155"/>
      <c r="K148" s="341"/>
      <c r="L148" s="277"/>
      <c r="M148" s="281">
        <f t="shared" si="14"/>
        <v>0</v>
      </c>
      <c r="N148" s="277"/>
      <c r="O148" s="1345">
        <f t="shared" si="15"/>
        <v>0</v>
      </c>
      <c r="P148" s="788"/>
      <c r="Q148" s="1003" t="str">
        <f>'Ab1. RMNCH+A'!Q43</f>
        <v>The State to ensure the availability of MMA drugs at all the facilities providing safe abortion services.</v>
      </c>
      <c r="R148" s="2867">
        <f>'Ab1. RMNCH+A'!R43</f>
        <v>0</v>
      </c>
      <c r="BB148" s="3267"/>
      <c r="BC148" s="3267"/>
      <c r="BD148" s="3267"/>
      <c r="BE148" s="3267"/>
      <c r="BF148" s="3267"/>
      <c r="BG148" s="3267"/>
      <c r="BH148" s="3267"/>
      <c r="BI148" s="3267"/>
      <c r="BJ148" s="3267"/>
      <c r="BK148" s="3267"/>
      <c r="BL148" s="3267"/>
      <c r="BM148" s="3267"/>
      <c r="BN148" s="3267"/>
      <c r="BO148" s="3267"/>
      <c r="BP148" s="3267"/>
      <c r="BQ148" s="3267"/>
      <c r="BR148" s="3267"/>
      <c r="BS148" s="3267"/>
      <c r="BT148" s="3267"/>
      <c r="BU148" s="3267"/>
      <c r="BV148" s="3267"/>
      <c r="BW148" s="3267"/>
      <c r="BX148" s="3267"/>
      <c r="BY148" s="3267"/>
      <c r="BZ148" s="3267"/>
      <c r="CA148" s="3267"/>
      <c r="CB148" s="3267"/>
      <c r="CC148" s="3267"/>
      <c r="CD148" s="3267"/>
      <c r="CE148" s="3267"/>
      <c r="CF148" s="3267"/>
      <c r="CG148" s="3267"/>
      <c r="CH148" s="3267"/>
      <c r="CI148" s="3215">
        <f t="shared" si="11"/>
        <v>0</v>
      </c>
    </row>
    <row r="149" spans="1:87">
      <c r="A149" s="1318" t="s">
        <v>1710</v>
      </c>
      <c r="B149" s="509" t="s">
        <v>1711</v>
      </c>
      <c r="C149" s="509" t="s">
        <v>1712</v>
      </c>
      <c r="D149" s="1301" t="s">
        <v>85</v>
      </c>
      <c r="E149" s="1276" t="s">
        <v>113</v>
      </c>
      <c r="F149" s="69">
        <v>0</v>
      </c>
      <c r="G149" s="69"/>
      <c r="H149" s="342">
        <v>0</v>
      </c>
      <c r="I149" s="342"/>
      <c r="J149" s="69"/>
      <c r="K149" s="347"/>
      <c r="L149" s="277"/>
      <c r="M149" s="281">
        <f t="shared" si="14"/>
        <v>0</v>
      </c>
      <c r="N149" s="277"/>
      <c r="O149" s="1345">
        <f t="shared" si="15"/>
        <v>0</v>
      </c>
      <c r="P149" s="788"/>
      <c r="Q149" s="1003" t="str">
        <f>'Ab1. RMNCH+A'!Q44</f>
        <v>-</v>
      </c>
      <c r="R149" s="2867">
        <f>'Ab1. RMNCH+A'!R44</f>
        <v>0</v>
      </c>
      <c r="BB149" s="3267"/>
      <c r="BC149" s="3267"/>
      <c r="BD149" s="3267"/>
      <c r="BE149" s="3267"/>
      <c r="BF149" s="3267"/>
      <c r="BG149" s="3267"/>
      <c r="BH149" s="3267"/>
      <c r="BI149" s="3267"/>
      <c r="BJ149" s="3267"/>
      <c r="BK149" s="3267"/>
      <c r="BL149" s="3267"/>
      <c r="BM149" s="3267"/>
      <c r="BN149" s="3267"/>
      <c r="BO149" s="3267"/>
      <c r="BP149" s="3267"/>
      <c r="BQ149" s="3267"/>
      <c r="BR149" s="3267"/>
      <c r="BS149" s="3267"/>
      <c r="BT149" s="3267"/>
      <c r="BU149" s="3267"/>
      <c r="BV149" s="3267"/>
      <c r="BW149" s="3267"/>
      <c r="BX149" s="3267"/>
      <c r="BY149" s="3267"/>
      <c r="BZ149" s="3267"/>
      <c r="CA149" s="3267"/>
      <c r="CB149" s="3267"/>
      <c r="CC149" s="3267"/>
      <c r="CD149" s="3267"/>
      <c r="CE149" s="3267"/>
      <c r="CF149" s="3267"/>
      <c r="CG149" s="3267"/>
      <c r="CH149" s="3267"/>
      <c r="CI149" s="3215">
        <f t="shared" si="11"/>
        <v>0</v>
      </c>
    </row>
    <row r="150" spans="1:87" ht="30">
      <c r="A150" s="1318" t="s">
        <v>1713</v>
      </c>
      <c r="B150" s="509" t="s">
        <v>1714</v>
      </c>
      <c r="C150" s="509" t="s">
        <v>1715</v>
      </c>
      <c r="D150" s="1301" t="s">
        <v>85</v>
      </c>
      <c r="E150" s="1276" t="s">
        <v>113</v>
      </c>
      <c r="F150" s="69">
        <v>0</v>
      </c>
      <c r="G150" s="69"/>
      <c r="H150" s="342">
        <v>0</v>
      </c>
      <c r="I150" s="342"/>
      <c r="J150" s="349"/>
      <c r="K150" s="347"/>
      <c r="L150" s="277"/>
      <c r="M150" s="281">
        <f t="shared" si="14"/>
        <v>0</v>
      </c>
      <c r="N150" s="277"/>
      <c r="O150" s="1345">
        <f t="shared" si="15"/>
        <v>0</v>
      </c>
      <c r="P150" s="788"/>
      <c r="Q150" s="1003" t="str">
        <f>'Ab1. RMNCH+A'!Q45</f>
        <v>-</v>
      </c>
      <c r="R150" s="2867">
        <f>'Ab1. RMNCH+A'!R45</f>
        <v>0</v>
      </c>
      <c r="BB150" s="3267"/>
      <c r="BC150" s="3267"/>
      <c r="BD150" s="3267"/>
      <c r="BE150" s="3267"/>
      <c r="BF150" s="3267"/>
      <c r="BG150" s="3267"/>
      <c r="BH150" s="3267"/>
      <c r="BI150" s="3267"/>
      <c r="BJ150" s="3267"/>
      <c r="BK150" s="3267"/>
      <c r="BL150" s="3267"/>
      <c r="BM150" s="3267"/>
      <c r="BN150" s="3267"/>
      <c r="BO150" s="3267"/>
      <c r="BP150" s="3267"/>
      <c r="BQ150" s="3267"/>
      <c r="BR150" s="3267"/>
      <c r="BS150" s="3267"/>
      <c r="BT150" s="3267"/>
      <c r="BU150" s="3267"/>
      <c r="BV150" s="3267"/>
      <c r="BW150" s="3267"/>
      <c r="BX150" s="3267"/>
      <c r="BY150" s="3267"/>
      <c r="BZ150" s="3267"/>
      <c r="CA150" s="3267"/>
      <c r="CB150" s="3267"/>
      <c r="CC150" s="3267"/>
      <c r="CD150" s="3267"/>
      <c r="CE150" s="3267"/>
      <c r="CF150" s="3267"/>
      <c r="CG150" s="3267"/>
      <c r="CH150" s="3267"/>
      <c r="CI150" s="3215">
        <f t="shared" si="11"/>
        <v>0</v>
      </c>
    </row>
    <row r="151" spans="1:87" ht="60">
      <c r="A151" s="1318" t="s">
        <v>1716</v>
      </c>
      <c r="B151" s="1367" t="s">
        <v>1717</v>
      </c>
      <c r="C151" s="1368" t="s">
        <v>1718</v>
      </c>
      <c r="D151" s="1301" t="s">
        <v>85</v>
      </c>
      <c r="E151" s="1276" t="s">
        <v>113</v>
      </c>
      <c r="F151" s="69">
        <v>83200000</v>
      </c>
      <c r="G151" s="69"/>
      <c r="H151" s="69">
        <v>208</v>
      </c>
      <c r="I151" s="69"/>
      <c r="J151" s="69"/>
      <c r="K151" s="340"/>
      <c r="L151" s="277"/>
      <c r="M151" s="281">
        <f t="shared" si="14"/>
        <v>0</v>
      </c>
      <c r="N151" s="277"/>
      <c r="O151" s="1345">
        <f t="shared" si="15"/>
        <v>0</v>
      </c>
      <c r="P151" s="788"/>
      <c r="Q151" s="1003" t="str">
        <f>'Ab1. RMNCH+A'!Q46</f>
        <v>The State will be provided IFA supplements thorugh central procurement under AMB.</v>
      </c>
      <c r="R151" s="2867">
        <f>'Ab1. RMNCH+A'!R46</f>
        <v>0</v>
      </c>
      <c r="BB151" s="3267"/>
      <c r="BC151" s="3267"/>
      <c r="BD151" s="3267"/>
      <c r="BE151" s="3267"/>
      <c r="BF151" s="3267"/>
      <c r="BG151" s="3267"/>
      <c r="BH151" s="3267"/>
      <c r="BI151" s="3267"/>
      <c r="BJ151" s="3267"/>
      <c r="BK151" s="3267"/>
      <c r="BL151" s="3267"/>
      <c r="BM151" s="3267"/>
      <c r="BN151" s="3267"/>
      <c r="BO151" s="3267"/>
      <c r="BP151" s="3267"/>
      <c r="BQ151" s="3267"/>
      <c r="BR151" s="3267"/>
      <c r="BS151" s="3267"/>
      <c r="BT151" s="3267"/>
      <c r="BU151" s="3267"/>
      <c r="BV151" s="3267"/>
      <c r="BW151" s="3267"/>
      <c r="BX151" s="3267"/>
      <c r="BY151" s="3267"/>
      <c r="BZ151" s="3267"/>
      <c r="CA151" s="3267"/>
      <c r="CB151" s="3267"/>
      <c r="CC151" s="3267"/>
      <c r="CD151" s="3267"/>
      <c r="CE151" s="3267"/>
      <c r="CF151" s="3267"/>
      <c r="CG151" s="3267"/>
      <c r="CH151" s="3267"/>
      <c r="CI151" s="3215">
        <f t="shared" si="11"/>
        <v>0</v>
      </c>
    </row>
    <row r="152" spans="1:87" ht="60">
      <c r="A152" s="1318" t="s">
        <v>1719</v>
      </c>
      <c r="B152" s="1367" t="s">
        <v>1720</v>
      </c>
      <c r="C152" s="1368" t="s">
        <v>1721</v>
      </c>
      <c r="D152" s="1301" t="s">
        <v>85</v>
      </c>
      <c r="E152" s="1276" t="s">
        <v>113</v>
      </c>
      <c r="F152" s="69">
        <v>0</v>
      </c>
      <c r="G152" s="69"/>
      <c r="H152" s="69">
        <v>0</v>
      </c>
      <c r="I152" s="69"/>
      <c r="J152" s="69"/>
      <c r="K152" s="340"/>
      <c r="L152" s="277"/>
      <c r="M152" s="281">
        <f t="shared" si="14"/>
        <v>0</v>
      </c>
      <c r="N152" s="277"/>
      <c r="O152" s="1345">
        <f t="shared" si="15"/>
        <v>0</v>
      </c>
      <c r="P152" s="788"/>
      <c r="Q152" s="1003" t="str">
        <f>'Ab1. RMNCH+A'!Q47</f>
        <v>The State to ensure availability of albendazole tablets for NPNL women in the State.</v>
      </c>
      <c r="R152" s="2867">
        <f>'Ab1. RMNCH+A'!R47</f>
        <v>0</v>
      </c>
      <c r="BB152" s="3267"/>
      <c r="BC152" s="3267"/>
      <c r="BD152" s="3267"/>
      <c r="BE152" s="3267"/>
      <c r="BF152" s="3267"/>
      <c r="BG152" s="3267"/>
      <c r="BH152" s="3267"/>
      <c r="BI152" s="3267"/>
      <c r="BJ152" s="3267"/>
      <c r="BK152" s="3267"/>
      <c r="BL152" s="3267"/>
      <c r="BM152" s="3267"/>
      <c r="BN152" s="3267"/>
      <c r="BO152" s="3267"/>
      <c r="BP152" s="3267"/>
      <c r="BQ152" s="3267"/>
      <c r="BR152" s="3267"/>
      <c r="BS152" s="3267"/>
      <c r="BT152" s="3267"/>
      <c r="BU152" s="3267"/>
      <c r="BV152" s="3267"/>
      <c r="BW152" s="3267"/>
      <c r="BX152" s="3267"/>
      <c r="BY152" s="3267"/>
      <c r="BZ152" s="3267"/>
      <c r="CA152" s="3267"/>
      <c r="CB152" s="3267"/>
      <c r="CC152" s="3267"/>
      <c r="CD152" s="3267"/>
      <c r="CE152" s="3267"/>
      <c r="CF152" s="3267"/>
      <c r="CG152" s="3267"/>
      <c r="CH152" s="3267"/>
      <c r="CI152" s="3215">
        <f t="shared" si="11"/>
        <v>0</v>
      </c>
    </row>
    <row r="153" spans="1:87">
      <c r="A153" s="1339" t="s">
        <v>1722</v>
      </c>
      <c r="B153" s="1340" t="s">
        <v>1723</v>
      </c>
      <c r="C153" s="1339" t="s">
        <v>1724</v>
      </c>
      <c r="D153" s="1341"/>
      <c r="E153" s="1341"/>
      <c r="F153" s="338"/>
      <c r="G153" s="338"/>
      <c r="H153" s="338"/>
      <c r="I153" s="338"/>
      <c r="J153" s="338"/>
      <c r="K153" s="338"/>
      <c r="L153" s="338"/>
      <c r="M153" s="1342"/>
      <c r="N153" s="338"/>
      <c r="O153" s="1342">
        <f>SUM(O154:O158)</f>
        <v>2113</v>
      </c>
      <c r="P153" s="787"/>
      <c r="Q153" s="1344"/>
      <c r="R153" s="2866">
        <f>SUM(R154:R158)</f>
        <v>475</v>
      </c>
      <c r="BB153" s="3267"/>
      <c r="BC153" s="3267"/>
      <c r="BD153" s="3267"/>
      <c r="BE153" s="3267"/>
      <c r="BF153" s="3267"/>
      <c r="BG153" s="3267"/>
      <c r="BH153" s="3267"/>
      <c r="BI153" s="3267"/>
      <c r="BJ153" s="3267"/>
      <c r="BK153" s="3267"/>
      <c r="BL153" s="3267"/>
      <c r="BM153" s="3267"/>
      <c r="BN153" s="3267"/>
      <c r="BO153" s="3267"/>
      <c r="BP153" s="3267"/>
      <c r="BQ153" s="3267"/>
      <c r="BR153" s="3267"/>
      <c r="BS153" s="3267"/>
      <c r="BT153" s="3267"/>
      <c r="BU153" s="3267"/>
      <c r="BV153" s="3267"/>
      <c r="BW153" s="3267"/>
      <c r="BX153" s="3267"/>
      <c r="BY153" s="3267"/>
      <c r="BZ153" s="3267"/>
      <c r="CA153" s="3267"/>
      <c r="CB153" s="3267"/>
      <c r="CC153" s="3267"/>
      <c r="CD153" s="3267"/>
      <c r="CE153" s="3267"/>
      <c r="CF153" s="3267"/>
      <c r="CG153" s="3267"/>
      <c r="CH153" s="3267"/>
      <c r="CI153" s="3215">
        <f t="shared" si="11"/>
        <v>0</v>
      </c>
    </row>
    <row r="154" spans="1:87" ht="30">
      <c r="A154" s="1318" t="s">
        <v>4154</v>
      </c>
      <c r="B154" s="1367" t="s">
        <v>1725</v>
      </c>
      <c r="C154" s="1368" t="s">
        <v>1726</v>
      </c>
      <c r="D154" s="1301" t="s">
        <v>85</v>
      </c>
      <c r="E154" s="1276" t="s">
        <v>113</v>
      </c>
      <c r="F154" s="69">
        <v>60779160</v>
      </c>
      <c r="G154" s="69"/>
      <c r="H154" s="342">
        <v>0</v>
      </c>
      <c r="I154" s="342"/>
      <c r="J154" s="69"/>
      <c r="K154" s="172"/>
      <c r="L154" s="277"/>
      <c r="M154" s="281">
        <f t="shared" ref="M154:M159" si="16">L154/100000</f>
        <v>0</v>
      </c>
      <c r="N154" s="277"/>
      <c r="O154" s="1345">
        <f t="shared" ref="O154:O159" si="17">N154*M154</f>
        <v>0</v>
      </c>
      <c r="P154" s="790"/>
      <c r="Q154" s="1003" t="str">
        <f>'Ab1. RMNCH+A'!Q48</f>
        <v>The State will be provided IFA supplements thorugh central procurement under AMB.</v>
      </c>
      <c r="R154" s="2867">
        <f>'Ab1. RMNCH+A'!R48</f>
        <v>0</v>
      </c>
      <c r="BB154" s="3267"/>
      <c r="BC154" s="3267"/>
      <c r="BD154" s="3267"/>
      <c r="BE154" s="3267"/>
      <c r="BF154" s="3267"/>
      <c r="BG154" s="3267"/>
      <c r="BH154" s="3267"/>
      <c r="BI154" s="3267"/>
      <c r="BJ154" s="3267"/>
      <c r="BK154" s="3267"/>
      <c r="BL154" s="3267"/>
      <c r="BM154" s="3267"/>
      <c r="BN154" s="3267"/>
      <c r="BO154" s="3267"/>
      <c r="BP154" s="3267"/>
      <c r="BQ154" s="3267"/>
      <c r="BR154" s="3267"/>
      <c r="BS154" s="3267"/>
      <c r="BT154" s="3267"/>
      <c r="BU154" s="3267"/>
      <c r="BV154" s="3267"/>
      <c r="BW154" s="3267"/>
      <c r="BX154" s="3267"/>
      <c r="BY154" s="3267"/>
      <c r="BZ154" s="3267"/>
      <c r="CA154" s="3267"/>
      <c r="CB154" s="3267"/>
      <c r="CC154" s="3267"/>
      <c r="CD154" s="3267"/>
      <c r="CE154" s="3267"/>
      <c r="CF154" s="3267"/>
      <c r="CG154" s="3267"/>
      <c r="CH154" s="3267"/>
      <c r="CI154" s="3215">
        <f t="shared" si="11"/>
        <v>0</v>
      </c>
    </row>
    <row r="155" spans="1:87" ht="45">
      <c r="A155" s="1318" t="s">
        <v>4155</v>
      </c>
      <c r="B155" s="1367" t="s">
        <v>1727</v>
      </c>
      <c r="C155" s="1368" t="s">
        <v>1728</v>
      </c>
      <c r="D155" s="1301" t="s">
        <v>85</v>
      </c>
      <c r="E155" s="1276" t="s">
        <v>113</v>
      </c>
      <c r="F155" s="69">
        <v>10129770</v>
      </c>
      <c r="G155" s="69"/>
      <c r="H155" s="342">
        <v>17.22</v>
      </c>
      <c r="I155" s="342"/>
      <c r="J155" s="69"/>
      <c r="K155" s="172"/>
      <c r="L155" s="277"/>
      <c r="M155" s="281">
        <f t="shared" si="16"/>
        <v>0</v>
      </c>
      <c r="N155" s="277"/>
      <c r="O155" s="1345">
        <f t="shared" si="17"/>
        <v>0</v>
      </c>
      <c r="P155" s="708"/>
      <c r="Q155" s="1003" t="str">
        <f>'Ab1. RMNCH+A'!Q49</f>
        <v>The State to ensure availability of folic acid tablets for pregnant women in the State.</v>
      </c>
      <c r="R155" s="2867">
        <f>'Ab1. RMNCH+A'!R49</f>
        <v>0</v>
      </c>
      <c r="BB155" s="3267"/>
      <c r="BC155" s="3267"/>
      <c r="BD155" s="3267"/>
      <c r="BE155" s="3267"/>
      <c r="BF155" s="3267"/>
      <c r="BG155" s="3267"/>
      <c r="BH155" s="3267"/>
      <c r="BI155" s="3267"/>
      <c r="BJ155" s="3267"/>
      <c r="BK155" s="3267"/>
      <c r="BL155" s="3267"/>
      <c r="BM155" s="3267"/>
      <c r="BN155" s="3267"/>
      <c r="BO155" s="3267"/>
      <c r="BP155" s="3267"/>
      <c r="BQ155" s="3267"/>
      <c r="BR155" s="3267"/>
      <c r="BS155" s="3267"/>
      <c r="BT155" s="3267"/>
      <c r="BU155" s="3267"/>
      <c r="BV155" s="3267"/>
      <c r="BW155" s="3267"/>
      <c r="BX155" s="3267"/>
      <c r="BY155" s="3267"/>
      <c r="BZ155" s="3267"/>
      <c r="CA155" s="3267"/>
      <c r="CB155" s="3267"/>
      <c r="CC155" s="3267"/>
      <c r="CD155" s="3267"/>
      <c r="CE155" s="3267"/>
      <c r="CF155" s="3267"/>
      <c r="CG155" s="3267"/>
      <c r="CH155" s="3267"/>
      <c r="CI155" s="3215">
        <f t="shared" si="11"/>
        <v>0</v>
      </c>
    </row>
    <row r="156" spans="1:87">
      <c r="A156" s="1318" t="s">
        <v>4156</v>
      </c>
      <c r="B156" s="1317"/>
      <c r="C156" s="1368" t="s">
        <v>2263</v>
      </c>
      <c r="D156" s="1301" t="s">
        <v>85</v>
      </c>
      <c r="E156" s="1276" t="s">
        <v>113</v>
      </c>
      <c r="F156" s="69">
        <v>41081845</v>
      </c>
      <c r="G156" s="69"/>
      <c r="H156" s="342">
        <v>123.25</v>
      </c>
      <c r="I156" s="342">
        <v>6.24</v>
      </c>
      <c r="J156" s="69">
        <v>117.01</v>
      </c>
      <c r="K156" s="172"/>
      <c r="L156" s="277"/>
      <c r="M156" s="281">
        <f t="shared" si="16"/>
        <v>0</v>
      </c>
      <c r="N156" s="277"/>
      <c r="O156" s="1345">
        <f t="shared" si="17"/>
        <v>0</v>
      </c>
      <c r="P156" s="708"/>
      <c r="Q156" s="1003" t="str">
        <f>'Ab1. RMNCH+A'!Q50</f>
        <v>-</v>
      </c>
      <c r="R156" s="2867">
        <f>'Ab1. RMNCH+A'!R50</f>
        <v>0</v>
      </c>
      <c r="BB156" s="3267"/>
      <c r="BC156" s="3267"/>
      <c r="BD156" s="3267"/>
      <c r="BE156" s="3267"/>
      <c r="BF156" s="3267"/>
      <c r="BG156" s="3267"/>
      <c r="BH156" s="3267"/>
      <c r="BI156" s="3267"/>
      <c r="BJ156" s="3267"/>
      <c r="BK156" s="3267"/>
      <c r="BL156" s="3267"/>
      <c r="BM156" s="3267"/>
      <c r="BN156" s="3267"/>
      <c r="BO156" s="3267"/>
      <c r="BP156" s="3267"/>
      <c r="BQ156" s="3267"/>
      <c r="BR156" s="3267"/>
      <c r="BS156" s="3267"/>
      <c r="BT156" s="3267"/>
      <c r="BU156" s="3267"/>
      <c r="BV156" s="3267"/>
      <c r="BW156" s="3267"/>
      <c r="BX156" s="3267"/>
      <c r="BY156" s="3267"/>
      <c r="BZ156" s="3267"/>
      <c r="CA156" s="3267"/>
      <c r="CB156" s="3267"/>
      <c r="CC156" s="3267"/>
      <c r="CD156" s="3267"/>
      <c r="CE156" s="3267"/>
      <c r="CF156" s="3267"/>
      <c r="CG156" s="3267"/>
      <c r="CH156" s="3267"/>
      <c r="CI156" s="3215">
        <f t="shared" si="11"/>
        <v>0</v>
      </c>
    </row>
    <row r="157" spans="1:87">
      <c r="A157" s="1318" t="s">
        <v>4157</v>
      </c>
      <c r="B157" s="1317"/>
      <c r="C157" s="1368" t="s">
        <v>2264</v>
      </c>
      <c r="D157" s="1301" t="s">
        <v>85</v>
      </c>
      <c r="E157" s="1276" t="s">
        <v>113</v>
      </c>
      <c r="F157" s="69">
        <v>112553</v>
      </c>
      <c r="G157" s="69"/>
      <c r="H157" s="342">
        <v>0.17</v>
      </c>
      <c r="I157" s="342"/>
      <c r="J157" s="69"/>
      <c r="K157" s="172"/>
      <c r="L157" s="277"/>
      <c r="M157" s="281">
        <f t="shared" si="16"/>
        <v>0</v>
      </c>
      <c r="N157" s="277"/>
      <c r="O157" s="1345">
        <f t="shared" si="17"/>
        <v>0</v>
      </c>
      <c r="P157" s="795"/>
      <c r="Q157" s="1003" t="str">
        <f>'Ab1. RMNCH+A'!Q51</f>
        <v>-</v>
      </c>
      <c r="R157" s="2867">
        <f>'Ab1. RMNCH+A'!R51</f>
        <v>0</v>
      </c>
      <c r="BB157" s="3267"/>
      <c r="BC157" s="3267"/>
      <c r="BD157" s="3267"/>
      <c r="BE157" s="3267"/>
      <c r="BF157" s="3267"/>
      <c r="BG157" s="3267"/>
      <c r="BH157" s="3267"/>
      <c r="BI157" s="3267"/>
      <c r="BJ157" s="3267"/>
      <c r="BK157" s="3267"/>
      <c r="BL157" s="3267"/>
      <c r="BM157" s="3267"/>
      <c r="BN157" s="3267"/>
      <c r="BO157" s="3267"/>
      <c r="BP157" s="3267"/>
      <c r="BQ157" s="3267"/>
      <c r="BR157" s="3267"/>
      <c r="BS157" s="3267"/>
      <c r="BT157" s="3267"/>
      <c r="BU157" s="3267"/>
      <c r="BV157" s="3267"/>
      <c r="BW157" s="3267"/>
      <c r="BX157" s="3267"/>
      <c r="BY157" s="3267"/>
      <c r="BZ157" s="3267"/>
      <c r="CA157" s="3267"/>
      <c r="CB157" s="3267"/>
      <c r="CC157" s="3267"/>
      <c r="CD157" s="3267"/>
      <c r="CE157" s="3267"/>
      <c r="CF157" s="3267"/>
      <c r="CG157" s="3267"/>
      <c r="CH157" s="3267"/>
      <c r="CI157" s="3215">
        <f t="shared" si="11"/>
        <v>0</v>
      </c>
    </row>
    <row r="158" spans="1:87" s="1302" customFormat="1" ht="60" customHeight="1">
      <c r="A158" s="1317" t="s">
        <v>4158</v>
      </c>
      <c r="B158" s="521" t="s">
        <v>1723</v>
      </c>
      <c r="C158" s="521" t="s">
        <v>1729</v>
      </c>
      <c r="D158" s="2324" t="s">
        <v>85</v>
      </c>
      <c r="E158" s="1304" t="s">
        <v>113</v>
      </c>
      <c r="F158" s="353">
        <v>1</v>
      </c>
      <c r="G158" s="2440">
        <v>43337</v>
      </c>
      <c r="H158" s="2356">
        <v>325.38</v>
      </c>
      <c r="I158" s="2440">
        <v>178.37</v>
      </c>
      <c r="J158" s="2440">
        <v>147.01</v>
      </c>
      <c r="K158" s="2454"/>
      <c r="L158" s="2440">
        <v>2113</v>
      </c>
      <c r="M158" s="2261">
        <f t="shared" si="16"/>
        <v>2.1129999999999999E-2</v>
      </c>
      <c r="N158" s="2440">
        <v>100000</v>
      </c>
      <c r="O158" s="1348">
        <f t="shared" si="17"/>
        <v>2113</v>
      </c>
      <c r="P158" s="2441" t="s">
        <v>5270</v>
      </c>
      <c r="Q158" s="2257" t="str">
        <f>'Ab1. RMNCH+A'!Q52</f>
        <v>Ongoing activity:                                                                            Recommended for approval of Rs. 475 lakhs for Drugs and consumables under JSSK 1. @ Rs. 350/- per case for 90000 normal deliveries (Rs.350*90000= Rs.31500000/- )2. @ Rs. 1600/- per case for 10000 cesarean sections (Rs.1600*10000 = Rs.16000000/-)Total (Rs.315 lakh + Rs.160 lakh = Rs.475 lakhs)</v>
      </c>
      <c r="R158" s="2869">
        <f>'Ab1. RMNCH+A'!R52</f>
        <v>475</v>
      </c>
      <c r="BB158" s="3214"/>
      <c r="BC158" s="3214">
        <v>4.0599999999999996</v>
      </c>
      <c r="BD158" s="3214">
        <v>9.36</v>
      </c>
      <c r="BE158" s="3214">
        <v>5.62</v>
      </c>
      <c r="BF158" s="3214">
        <v>18.16</v>
      </c>
      <c r="BG158" s="3214">
        <v>1.67</v>
      </c>
      <c r="BH158" s="3214">
        <v>3.04</v>
      </c>
      <c r="BI158" s="3214">
        <v>0.51</v>
      </c>
      <c r="BJ158" s="3214">
        <v>26.47</v>
      </c>
      <c r="BK158" s="3214">
        <v>6.56</v>
      </c>
      <c r="BL158" s="3214">
        <v>26.55</v>
      </c>
      <c r="BM158" s="3214">
        <v>29.75</v>
      </c>
      <c r="BN158" s="3214">
        <v>1.84</v>
      </c>
      <c r="BO158" s="3214"/>
      <c r="BP158" s="3214">
        <v>60.38</v>
      </c>
      <c r="BQ158" s="3214">
        <v>21.5</v>
      </c>
      <c r="BR158" s="3214">
        <v>28.76</v>
      </c>
      <c r="BS158" s="3214">
        <v>3.2</v>
      </c>
      <c r="BT158" s="3214">
        <v>16.309999999999999</v>
      </c>
      <c r="BU158" s="3214">
        <v>52.29</v>
      </c>
      <c r="BV158" s="3214">
        <v>14.73</v>
      </c>
      <c r="BW158" s="3214">
        <v>1.04</v>
      </c>
      <c r="BX158" s="3214">
        <v>13.53</v>
      </c>
      <c r="BY158" s="3214">
        <v>23.81</v>
      </c>
      <c r="BZ158" s="3214">
        <v>37.53</v>
      </c>
      <c r="CA158" s="3214">
        <v>0.33</v>
      </c>
      <c r="CB158" s="3214">
        <v>22.15</v>
      </c>
      <c r="CC158" s="3214">
        <v>5.8</v>
      </c>
      <c r="CD158" s="3214">
        <v>15.46</v>
      </c>
      <c r="CE158" s="3214"/>
      <c r="CF158" s="3214">
        <v>24.59</v>
      </c>
      <c r="CG158" s="3214"/>
      <c r="CH158" s="3214"/>
      <c r="CI158" s="3215">
        <f t="shared" si="11"/>
        <v>474.99999999999989</v>
      </c>
    </row>
    <row r="159" spans="1:87" ht="30">
      <c r="A159" s="1318" t="s">
        <v>1730</v>
      </c>
      <c r="B159" s="509" t="s">
        <v>1731</v>
      </c>
      <c r="C159" s="509" t="s">
        <v>1732</v>
      </c>
      <c r="D159" s="1301" t="s">
        <v>85</v>
      </c>
      <c r="E159" s="1276" t="s">
        <v>113</v>
      </c>
      <c r="F159" s="69">
        <v>225106</v>
      </c>
      <c r="G159" s="69"/>
      <c r="H159" s="342">
        <v>94.54</v>
      </c>
      <c r="I159" s="342"/>
      <c r="J159" s="349"/>
      <c r="K159" s="172"/>
      <c r="L159" s="277"/>
      <c r="M159" s="281">
        <f t="shared" si="16"/>
        <v>0</v>
      </c>
      <c r="N159" s="277"/>
      <c r="O159" s="1345">
        <f t="shared" si="17"/>
        <v>0</v>
      </c>
      <c r="P159" s="708"/>
      <c r="Q159" s="1003" t="str">
        <f>'Ab1. RMNCH+A'!Q53</f>
        <v>-</v>
      </c>
      <c r="R159" s="2867">
        <f>'Ab1. RMNCH+A'!R53</f>
        <v>0</v>
      </c>
      <c r="BB159" s="3267"/>
      <c r="BC159" s="3267"/>
      <c r="BD159" s="3267"/>
      <c r="BE159" s="3267"/>
      <c r="BF159" s="3267"/>
      <c r="BG159" s="3267"/>
      <c r="BH159" s="3267"/>
      <c r="BI159" s="3267"/>
      <c r="BJ159" s="3267"/>
      <c r="BK159" s="3267"/>
      <c r="BL159" s="3267"/>
      <c r="BM159" s="3267"/>
      <c r="BN159" s="3267"/>
      <c r="BO159" s="3267"/>
      <c r="BP159" s="3267"/>
      <c r="BQ159" s="3267"/>
      <c r="BR159" s="3267"/>
      <c r="BS159" s="3267"/>
      <c r="BT159" s="3267"/>
      <c r="BU159" s="3267"/>
      <c r="BV159" s="3267"/>
      <c r="BW159" s="3267"/>
      <c r="BX159" s="3267"/>
      <c r="BY159" s="3267"/>
      <c r="BZ159" s="3267"/>
      <c r="CA159" s="3267"/>
      <c r="CB159" s="3267"/>
      <c r="CC159" s="3267"/>
      <c r="CD159" s="3267"/>
      <c r="CE159" s="3267"/>
      <c r="CF159" s="3267"/>
      <c r="CG159" s="3267"/>
      <c r="CH159" s="3267"/>
      <c r="CI159" s="3215">
        <f t="shared" si="11"/>
        <v>0</v>
      </c>
    </row>
    <row r="160" spans="1:87">
      <c r="A160" s="1361" t="s">
        <v>1733</v>
      </c>
      <c r="B160" s="1362" t="s">
        <v>1734</v>
      </c>
      <c r="C160" s="1363" t="s">
        <v>1735</v>
      </c>
      <c r="D160" s="1364"/>
      <c r="E160" s="938"/>
      <c r="F160" s="295"/>
      <c r="G160" s="295"/>
      <c r="H160" s="295"/>
      <c r="I160" s="295"/>
      <c r="J160" s="295"/>
      <c r="K160" s="163"/>
      <c r="L160" s="295"/>
      <c r="M160" s="1366"/>
      <c r="N160" s="357"/>
      <c r="O160" s="1369">
        <f>SUM(O161:O168)+O172</f>
        <v>150</v>
      </c>
      <c r="P160" s="757"/>
      <c r="Q160" s="1000"/>
      <c r="R160" s="2875">
        <f>SUM(R161:R168)+R172</f>
        <v>150</v>
      </c>
      <c r="BB160" s="3267"/>
      <c r="BC160" s="3267"/>
      <c r="BD160" s="3267"/>
      <c r="BE160" s="3267"/>
      <c r="BF160" s="3267"/>
      <c r="BG160" s="3267"/>
      <c r="BH160" s="3267"/>
      <c r="BI160" s="3267"/>
      <c r="BJ160" s="3267"/>
      <c r="BK160" s="3267"/>
      <c r="BL160" s="3267"/>
      <c r="BM160" s="3267"/>
      <c r="BN160" s="3267"/>
      <c r="BO160" s="3267"/>
      <c r="BP160" s="3267"/>
      <c r="BQ160" s="3267"/>
      <c r="BR160" s="3267"/>
      <c r="BS160" s="3267"/>
      <c r="BT160" s="3267"/>
      <c r="BU160" s="3267"/>
      <c r="BV160" s="3267"/>
      <c r="BW160" s="3267"/>
      <c r="BX160" s="3267"/>
      <c r="BY160" s="3267"/>
      <c r="BZ160" s="3267"/>
      <c r="CA160" s="3267"/>
      <c r="CB160" s="3267"/>
      <c r="CC160" s="3267"/>
      <c r="CD160" s="3267"/>
      <c r="CE160" s="3267"/>
      <c r="CF160" s="3267"/>
      <c r="CG160" s="3267"/>
      <c r="CH160" s="3267"/>
      <c r="CI160" s="3215">
        <f t="shared" si="11"/>
        <v>0</v>
      </c>
    </row>
    <row r="161" spans="1:87" s="1302" customFormat="1" ht="60">
      <c r="A161" s="1317" t="s">
        <v>1736</v>
      </c>
      <c r="B161" s="521" t="s">
        <v>1737</v>
      </c>
      <c r="C161" s="521" t="s">
        <v>1724</v>
      </c>
      <c r="D161" s="2324" t="s">
        <v>85</v>
      </c>
      <c r="E161" s="1304" t="s">
        <v>126</v>
      </c>
      <c r="F161" s="353">
        <v>1</v>
      </c>
      <c r="G161" s="2440">
        <v>27880</v>
      </c>
      <c r="H161" s="353">
        <v>104.06</v>
      </c>
      <c r="I161" s="2440">
        <v>114.42</v>
      </c>
      <c r="J161" s="2440">
        <v>-10.36</v>
      </c>
      <c r="K161" s="354"/>
      <c r="L161" s="2440">
        <v>400</v>
      </c>
      <c r="M161" s="2455">
        <f t="shared" ref="M161:M167" si="18">L161/100000</f>
        <v>4.0000000000000001E-3</v>
      </c>
      <c r="N161" s="2440">
        <v>37500</v>
      </c>
      <c r="O161" s="1348">
        <f t="shared" ref="O161:O167" si="19">N161*M161</f>
        <v>150</v>
      </c>
      <c r="P161" s="2441" t="s">
        <v>5271</v>
      </c>
      <c r="Q161" s="2257" t="str">
        <f>'Ab1. RMNCH+A'!Q133</f>
        <v>Ongoing Activity:Rs. 150 lakh is recommended for approval for free drugs and consumables for sick infants under JSSK for 37500 infants @ Rs. 400 for each infant as proposed by the State.</v>
      </c>
      <c r="R161" s="2869">
        <f>'Ab1. RMNCH+A'!R133</f>
        <v>150</v>
      </c>
      <c r="BB161" s="3214">
        <v>37.39</v>
      </c>
      <c r="BC161" s="3214">
        <v>1</v>
      </c>
      <c r="BD161" s="3214">
        <v>1</v>
      </c>
      <c r="BE161" s="3214">
        <v>1</v>
      </c>
      <c r="BF161" s="3214">
        <v>25</v>
      </c>
      <c r="BG161" s="3214">
        <v>1</v>
      </c>
      <c r="BH161" s="3214">
        <v>1</v>
      </c>
      <c r="BI161" s="3214">
        <v>0.4</v>
      </c>
      <c r="BJ161" s="3214">
        <v>15</v>
      </c>
      <c r="BK161" s="3214">
        <v>2</v>
      </c>
      <c r="BL161" s="3214">
        <v>2</v>
      </c>
      <c r="BM161" s="3214">
        <v>2</v>
      </c>
      <c r="BN161" s="3214">
        <v>5</v>
      </c>
      <c r="BO161" s="3214">
        <v>8</v>
      </c>
      <c r="BP161" s="3214">
        <v>14</v>
      </c>
      <c r="BQ161" s="3214">
        <v>3</v>
      </c>
      <c r="BR161" s="3214">
        <v>4</v>
      </c>
      <c r="BS161" s="3214">
        <v>7</v>
      </c>
      <c r="BT161" s="3214">
        <v>0.21</v>
      </c>
      <c r="BU161" s="3214">
        <v>9</v>
      </c>
      <c r="BV161" s="3214">
        <v>1</v>
      </c>
      <c r="BW161" s="3214"/>
      <c r="BX161" s="3214"/>
      <c r="BY161" s="3214">
        <v>3</v>
      </c>
      <c r="BZ161" s="3214">
        <v>2</v>
      </c>
      <c r="CA161" s="3214"/>
      <c r="CB161" s="3214">
        <v>1</v>
      </c>
      <c r="CC161" s="3214"/>
      <c r="CD161" s="3214">
        <v>1</v>
      </c>
      <c r="CE161" s="3214"/>
      <c r="CF161" s="3214">
        <v>3</v>
      </c>
      <c r="CG161" s="3214"/>
      <c r="CH161" s="3214"/>
      <c r="CI161" s="3215">
        <f t="shared" si="11"/>
        <v>150.00000000000003</v>
      </c>
    </row>
    <row r="162" spans="1:87" ht="45">
      <c r="A162" s="1318" t="s">
        <v>1738</v>
      </c>
      <c r="B162" s="509" t="s">
        <v>1739</v>
      </c>
      <c r="C162" s="509" t="s">
        <v>1740</v>
      </c>
      <c r="D162" s="1301" t="s">
        <v>85</v>
      </c>
      <c r="E162" s="1276" t="s">
        <v>126</v>
      </c>
      <c r="F162" s="69">
        <v>0</v>
      </c>
      <c r="G162" s="69"/>
      <c r="H162" s="69">
        <v>0</v>
      </c>
      <c r="I162" s="69"/>
      <c r="J162" s="69"/>
      <c r="K162" s="340"/>
      <c r="L162" s="277"/>
      <c r="M162" s="281">
        <f t="shared" si="18"/>
        <v>0</v>
      </c>
      <c r="N162" s="277"/>
      <c r="O162" s="1345">
        <f t="shared" si="19"/>
        <v>0</v>
      </c>
      <c r="P162" s="788"/>
      <c r="Q162" s="1003" t="str">
        <f>'Ab1. RMNCH+A'!Q134</f>
        <v>-</v>
      </c>
      <c r="R162" s="2867">
        <f>'Ab1. RMNCH+A'!R134</f>
        <v>0</v>
      </c>
      <c r="BB162" s="3267"/>
      <c r="BC162" s="3267"/>
      <c r="BD162" s="3267"/>
      <c r="BE162" s="3267"/>
      <c r="BF162" s="3267"/>
      <c r="BG162" s="3267"/>
      <c r="BH162" s="3267"/>
      <c r="BI162" s="3267"/>
      <c r="BJ162" s="3267"/>
      <c r="BK162" s="3267"/>
      <c r="BL162" s="3267"/>
      <c r="BM162" s="3267"/>
      <c r="BN162" s="3267"/>
      <c r="BO162" s="3267"/>
      <c r="BP162" s="3267"/>
      <c r="BQ162" s="3267"/>
      <c r="BR162" s="3267"/>
      <c r="BS162" s="3267"/>
      <c r="BT162" s="3267"/>
      <c r="BU162" s="3267"/>
      <c r="BV162" s="3267"/>
      <c r="BW162" s="3267"/>
      <c r="BX162" s="3267"/>
      <c r="BY162" s="3267"/>
      <c r="BZ162" s="3267"/>
      <c r="CA162" s="3267"/>
      <c r="CB162" s="3267"/>
      <c r="CC162" s="3267"/>
      <c r="CD162" s="3267"/>
      <c r="CE162" s="3267"/>
      <c r="CF162" s="3267"/>
      <c r="CG162" s="3267"/>
      <c r="CH162" s="3267"/>
      <c r="CI162" s="3215">
        <f t="shared" si="11"/>
        <v>0</v>
      </c>
    </row>
    <row r="163" spans="1:87" s="1302" customFormat="1" ht="30">
      <c r="A163" s="1317" t="s">
        <v>1741</v>
      </c>
      <c r="B163" s="1317" t="s">
        <v>1742</v>
      </c>
      <c r="C163" s="1317" t="s">
        <v>1743</v>
      </c>
      <c r="D163" s="2324" t="s">
        <v>85</v>
      </c>
      <c r="E163" s="1304" t="s">
        <v>126</v>
      </c>
      <c r="F163" s="353">
        <v>70000000</v>
      </c>
      <c r="G163" s="353"/>
      <c r="H163" s="2556">
        <v>0</v>
      </c>
      <c r="I163" s="2356"/>
      <c r="J163" s="80"/>
      <c r="K163" s="343"/>
      <c r="L163" s="283"/>
      <c r="M163" s="2261">
        <f t="shared" si="18"/>
        <v>0</v>
      </c>
      <c r="N163" s="283"/>
      <c r="O163" s="1348">
        <f t="shared" si="19"/>
        <v>0</v>
      </c>
      <c r="P163" s="2552" t="s">
        <v>5361</v>
      </c>
      <c r="Q163" s="2257" t="str">
        <f>'Ab1. RMNCH+A'!Q135</f>
        <v>The State will be provided IFA supplements thorugh central procurement under AMB</v>
      </c>
      <c r="R163" s="2869">
        <f>'Ab1. RMNCH+A'!R135</f>
        <v>0</v>
      </c>
      <c r="BB163" s="3214"/>
      <c r="BC163" s="3214"/>
      <c r="BD163" s="3214"/>
      <c r="BE163" s="3214"/>
      <c r="BF163" s="3214"/>
      <c r="BG163" s="3214"/>
      <c r="BH163" s="3214"/>
      <c r="BI163" s="3214"/>
      <c r="BJ163" s="3214"/>
      <c r="BK163" s="3214"/>
      <c r="BL163" s="3214"/>
      <c r="BM163" s="3214"/>
      <c r="BN163" s="3214"/>
      <c r="BO163" s="3214"/>
      <c r="BP163" s="3214"/>
      <c r="BQ163" s="3214"/>
      <c r="BR163" s="3214"/>
      <c r="BS163" s="3214"/>
      <c r="BT163" s="3214"/>
      <c r="BU163" s="3214"/>
      <c r="BV163" s="3214"/>
      <c r="BW163" s="3214"/>
      <c r="BX163" s="3214"/>
      <c r="BY163" s="3214"/>
      <c r="BZ163" s="3214"/>
      <c r="CA163" s="3214"/>
      <c r="CB163" s="3214"/>
      <c r="CC163" s="3214"/>
      <c r="CD163" s="3214"/>
      <c r="CE163" s="3214"/>
      <c r="CF163" s="3214"/>
      <c r="CG163" s="3214"/>
      <c r="CH163" s="3214"/>
      <c r="CI163" s="3215">
        <f t="shared" si="11"/>
        <v>0</v>
      </c>
    </row>
    <row r="164" spans="1:87" s="1302" customFormat="1" ht="135">
      <c r="A164" s="1317" t="s">
        <v>1744</v>
      </c>
      <c r="B164" s="1317" t="s">
        <v>1745</v>
      </c>
      <c r="C164" s="1317" t="s">
        <v>1746</v>
      </c>
      <c r="D164" s="2324" t="s">
        <v>85</v>
      </c>
      <c r="E164" s="1304" t="s">
        <v>126</v>
      </c>
      <c r="F164" s="353">
        <v>1400000</v>
      </c>
      <c r="G164" s="353"/>
      <c r="H164" s="2356">
        <v>28</v>
      </c>
      <c r="I164" s="2356">
        <v>3.03</v>
      </c>
      <c r="J164" s="353">
        <v>24.97</v>
      </c>
      <c r="K164" s="145"/>
      <c r="L164" s="283"/>
      <c r="M164" s="2261">
        <f t="shared" si="18"/>
        <v>0</v>
      </c>
      <c r="N164" s="283"/>
      <c r="O164" s="1348">
        <f t="shared" si="19"/>
        <v>0</v>
      </c>
      <c r="P164" s="797" t="s">
        <v>5362</v>
      </c>
      <c r="Q164" s="2257" t="str">
        <f>'Ab1. RMNCH+A'!Q136</f>
        <v>Continued activity: As discussed during NPCC meeting, the State to countinue with the bi-annual round of NDD untill revised guidance is issued in view of STH follow-up prevalence survey findigs. Therefore, the State to ensure availibility of  Albendazole tablets for two rounds of NDD which is proposed under FMR 6.2.21.1 (Free drugs) as Albendazole is a part of essential drugs.</v>
      </c>
      <c r="R164" s="2869">
        <f>'Ab1. RMNCH+A'!R136</f>
        <v>0</v>
      </c>
      <c r="BB164" s="3214"/>
      <c r="BC164" s="3214"/>
      <c r="BD164" s="3214"/>
      <c r="BE164" s="3214"/>
      <c r="BF164" s="3214"/>
      <c r="BG164" s="3214"/>
      <c r="BH164" s="3214"/>
      <c r="BI164" s="3214"/>
      <c r="BJ164" s="3214"/>
      <c r="BK164" s="3214"/>
      <c r="BL164" s="3214"/>
      <c r="BM164" s="3214"/>
      <c r="BN164" s="3214"/>
      <c r="BO164" s="3214"/>
      <c r="BP164" s="3214"/>
      <c r="BQ164" s="3214"/>
      <c r="BR164" s="3214"/>
      <c r="BS164" s="3214"/>
      <c r="BT164" s="3214"/>
      <c r="BU164" s="3214"/>
      <c r="BV164" s="3214"/>
      <c r="BW164" s="3214"/>
      <c r="BX164" s="3214"/>
      <c r="BY164" s="3214"/>
      <c r="BZ164" s="3214"/>
      <c r="CA164" s="3214"/>
      <c r="CB164" s="3214"/>
      <c r="CC164" s="3214"/>
      <c r="CD164" s="3214"/>
      <c r="CE164" s="3214"/>
      <c r="CF164" s="3214"/>
      <c r="CG164" s="3214"/>
      <c r="CH164" s="3214"/>
      <c r="CI164" s="3215">
        <f t="shared" si="11"/>
        <v>0</v>
      </c>
    </row>
    <row r="165" spans="1:87" s="1302" customFormat="1" ht="45">
      <c r="A165" s="1317" t="s">
        <v>1747</v>
      </c>
      <c r="B165" s="1317" t="s">
        <v>1748</v>
      </c>
      <c r="C165" s="1312" t="s">
        <v>3956</v>
      </c>
      <c r="D165" s="2324" t="s">
        <v>85</v>
      </c>
      <c r="E165" s="1304" t="s">
        <v>126</v>
      </c>
      <c r="F165" s="353">
        <v>26000000</v>
      </c>
      <c r="G165" s="353"/>
      <c r="H165" s="2356">
        <v>0</v>
      </c>
      <c r="I165" s="2356"/>
      <c r="J165" s="80"/>
      <c r="K165" s="343"/>
      <c r="L165" s="283"/>
      <c r="M165" s="2261">
        <f t="shared" si="18"/>
        <v>0</v>
      </c>
      <c r="N165" s="283"/>
      <c r="O165" s="1348">
        <f t="shared" si="19"/>
        <v>0</v>
      </c>
      <c r="P165" s="2552" t="s">
        <v>5361</v>
      </c>
      <c r="Q165" s="2257" t="str">
        <f>'Ab1. RMNCH+A'!Q137</f>
        <v>The State will be provided IFA supplements thorugh central procurement under AMB</v>
      </c>
      <c r="R165" s="2869">
        <f>'Ab1. RMNCH+A'!R137</f>
        <v>0</v>
      </c>
      <c r="BB165" s="3214"/>
      <c r="BC165" s="3214"/>
      <c r="BD165" s="3214"/>
      <c r="BE165" s="3214"/>
      <c r="BF165" s="3214"/>
      <c r="BG165" s="3214"/>
      <c r="BH165" s="3214"/>
      <c r="BI165" s="3214"/>
      <c r="BJ165" s="3214"/>
      <c r="BK165" s="3214"/>
      <c r="BL165" s="3214"/>
      <c r="BM165" s="3214"/>
      <c r="BN165" s="3214"/>
      <c r="BO165" s="3214"/>
      <c r="BP165" s="3214"/>
      <c r="BQ165" s="3214"/>
      <c r="BR165" s="3214"/>
      <c r="BS165" s="3214"/>
      <c r="BT165" s="3214"/>
      <c r="BU165" s="3214"/>
      <c r="BV165" s="3214"/>
      <c r="BW165" s="3214"/>
      <c r="BX165" s="3214"/>
      <c r="BY165" s="3214"/>
      <c r="BZ165" s="3214"/>
      <c r="CA165" s="3214"/>
      <c r="CB165" s="3214"/>
      <c r="CC165" s="3214"/>
      <c r="CD165" s="3214"/>
      <c r="CE165" s="3214"/>
      <c r="CF165" s="3214"/>
      <c r="CG165" s="3214"/>
      <c r="CH165" s="3214"/>
      <c r="CI165" s="3215">
        <f t="shared" si="11"/>
        <v>0</v>
      </c>
    </row>
    <row r="166" spans="1:87" s="1302" customFormat="1" ht="135">
      <c r="A166" s="1317" t="s">
        <v>1749</v>
      </c>
      <c r="B166" s="1317" t="s">
        <v>1750</v>
      </c>
      <c r="C166" s="1317" t="s">
        <v>3957</v>
      </c>
      <c r="D166" s="2324" t="s">
        <v>85</v>
      </c>
      <c r="E166" s="1304" t="s">
        <v>126</v>
      </c>
      <c r="F166" s="353">
        <v>1000000</v>
      </c>
      <c r="G166" s="353"/>
      <c r="H166" s="353">
        <v>20</v>
      </c>
      <c r="I166" s="353">
        <v>0.46</v>
      </c>
      <c r="J166" s="353">
        <v>19.54</v>
      </c>
      <c r="K166" s="354"/>
      <c r="L166" s="283"/>
      <c r="M166" s="2261">
        <f t="shared" si="18"/>
        <v>0</v>
      </c>
      <c r="N166" s="283"/>
      <c r="O166" s="1348">
        <f t="shared" si="19"/>
        <v>0</v>
      </c>
      <c r="P166" s="797" t="s">
        <v>5362</v>
      </c>
      <c r="Q166" s="2257" t="str">
        <f>'Ab1. RMNCH+A'!Q138</f>
        <v>Continued activity: As discussed during NPCC meeting, the State to countinue with the bi-annual round of NDD untill revised guidance is issued in view of STH follow-up prevalence survey findigs. Therefore,the State to ensure availibility of  Albendazole tablets for two rounds of NDD which is proposed under FMR 6.2.21.1 (Free drugs) as Albendazole is a part of essential drugs.</v>
      </c>
      <c r="R166" s="2869">
        <f>'Ab1. RMNCH+A'!R138</f>
        <v>0</v>
      </c>
      <c r="BB166" s="3214"/>
      <c r="BC166" s="3214"/>
      <c r="BD166" s="3214"/>
      <c r="BE166" s="3214"/>
      <c r="BF166" s="3214"/>
      <c r="BG166" s="3214"/>
      <c r="BH166" s="3214"/>
      <c r="BI166" s="3214"/>
      <c r="BJ166" s="3214"/>
      <c r="BK166" s="3214"/>
      <c r="BL166" s="3214"/>
      <c r="BM166" s="3214"/>
      <c r="BN166" s="3214"/>
      <c r="BO166" s="3214"/>
      <c r="BP166" s="3214"/>
      <c r="BQ166" s="3214"/>
      <c r="BR166" s="3214"/>
      <c r="BS166" s="3214"/>
      <c r="BT166" s="3214"/>
      <c r="BU166" s="3214"/>
      <c r="BV166" s="3214"/>
      <c r="BW166" s="3214"/>
      <c r="BX166" s="3214"/>
      <c r="BY166" s="3214"/>
      <c r="BZ166" s="3214"/>
      <c r="CA166" s="3214"/>
      <c r="CB166" s="3214"/>
      <c r="CC166" s="3214"/>
      <c r="CD166" s="3214"/>
      <c r="CE166" s="3214"/>
      <c r="CF166" s="3214"/>
      <c r="CG166" s="3214"/>
      <c r="CH166" s="3214"/>
      <c r="CI166" s="3215">
        <f t="shared" si="11"/>
        <v>0</v>
      </c>
    </row>
    <row r="167" spans="1:87" s="1302" customFormat="1" ht="45">
      <c r="A167" s="1317" t="s">
        <v>1751</v>
      </c>
      <c r="B167" s="521" t="s">
        <v>1752</v>
      </c>
      <c r="C167" s="521" t="s">
        <v>1753</v>
      </c>
      <c r="D167" s="2324" t="s">
        <v>85</v>
      </c>
      <c r="E167" s="1304" t="s">
        <v>126</v>
      </c>
      <c r="F167" s="353">
        <v>70000</v>
      </c>
      <c r="G167" s="353"/>
      <c r="H167" s="353">
        <v>45.5</v>
      </c>
      <c r="I167" s="353"/>
      <c r="J167" s="353">
        <v>45.5</v>
      </c>
      <c r="K167" s="290"/>
      <c r="L167" s="283"/>
      <c r="M167" s="2261">
        <f t="shared" si="18"/>
        <v>0</v>
      </c>
      <c r="N167" s="283"/>
      <c r="O167" s="1348">
        <f t="shared" si="19"/>
        <v>0</v>
      </c>
      <c r="P167" s="791" t="s">
        <v>5363</v>
      </c>
      <c r="Q167" s="2257" t="str">
        <f>'Ab1. RMNCH+A'!Q139</f>
        <v>The State has proposed Vitamin A under free drug supply. The State to ensure availability of Vitamin-A as per guidelines.</v>
      </c>
      <c r="R167" s="2869">
        <f>'Ab1. RMNCH+A'!R139</f>
        <v>0</v>
      </c>
      <c r="BB167" s="3214"/>
      <c r="BC167" s="3214"/>
      <c r="BD167" s="3214"/>
      <c r="BE167" s="3214"/>
      <c r="BF167" s="3214"/>
      <c r="BG167" s="3214"/>
      <c r="BH167" s="3214"/>
      <c r="BI167" s="3214"/>
      <c r="BJ167" s="3214"/>
      <c r="BK167" s="3214"/>
      <c r="BL167" s="3214"/>
      <c r="BM167" s="3214"/>
      <c r="BN167" s="3214"/>
      <c r="BO167" s="3214"/>
      <c r="BP167" s="3214"/>
      <c r="BQ167" s="3214"/>
      <c r="BR167" s="3214"/>
      <c r="BS167" s="3214"/>
      <c r="BT167" s="3214"/>
      <c r="BU167" s="3214"/>
      <c r="BV167" s="3214"/>
      <c r="BW167" s="3214"/>
      <c r="BX167" s="3214"/>
      <c r="BY167" s="3214"/>
      <c r="BZ167" s="3214"/>
      <c r="CA167" s="3214"/>
      <c r="CB167" s="3214"/>
      <c r="CC167" s="3214"/>
      <c r="CD167" s="3214"/>
      <c r="CE167" s="3214"/>
      <c r="CF167" s="3214"/>
      <c r="CG167" s="3214"/>
      <c r="CH167" s="3214"/>
      <c r="CI167" s="3215">
        <f t="shared" si="11"/>
        <v>0</v>
      </c>
    </row>
    <row r="168" spans="1:87" ht="45">
      <c r="A168" s="1339" t="s">
        <v>1754</v>
      </c>
      <c r="B168" s="1340" t="s">
        <v>827</v>
      </c>
      <c r="C168" s="1339" t="s">
        <v>1755</v>
      </c>
      <c r="D168" s="1341"/>
      <c r="E168" s="1341"/>
      <c r="F168" s="338"/>
      <c r="G168" s="338"/>
      <c r="H168" s="338"/>
      <c r="I168" s="338"/>
      <c r="J168" s="338"/>
      <c r="K168" s="338"/>
      <c r="L168" s="338"/>
      <c r="M168" s="1342"/>
      <c r="N168" s="338"/>
      <c r="O168" s="1342">
        <f>SUM(O169:O171)</f>
        <v>0</v>
      </c>
      <c r="P168" s="787"/>
      <c r="Q168" s="1344"/>
      <c r="R168" s="2866">
        <f>SUM(R169:R171)</f>
        <v>0</v>
      </c>
      <c r="BB168" s="3267"/>
      <c r="BC168" s="3267"/>
      <c r="BD168" s="3267"/>
      <c r="BE168" s="3267"/>
      <c r="BF168" s="3267"/>
      <c r="BG168" s="3267"/>
      <c r="BH168" s="3267"/>
      <c r="BI168" s="3267"/>
      <c r="BJ168" s="3267"/>
      <c r="BK168" s="3267"/>
      <c r="BL168" s="3267"/>
      <c r="BM168" s="3267"/>
      <c r="BN168" s="3267"/>
      <c r="BO168" s="3267"/>
      <c r="BP168" s="3267"/>
      <c r="BQ168" s="3267"/>
      <c r="BR168" s="3267"/>
      <c r="BS168" s="3267"/>
      <c r="BT168" s="3267"/>
      <c r="BU168" s="3267"/>
      <c r="BV168" s="3267"/>
      <c r="BW168" s="3267"/>
      <c r="BX168" s="3267"/>
      <c r="BY168" s="3267"/>
      <c r="BZ168" s="3267"/>
      <c r="CA168" s="3267"/>
      <c r="CB168" s="3267"/>
      <c r="CC168" s="3267"/>
      <c r="CD168" s="3267"/>
      <c r="CE168" s="3267"/>
      <c r="CF168" s="3267"/>
      <c r="CG168" s="3267"/>
      <c r="CH168" s="3267"/>
      <c r="CI168" s="3215">
        <f t="shared" si="11"/>
        <v>0</v>
      </c>
    </row>
    <row r="169" spans="1:87" s="1302" customFormat="1" ht="60">
      <c r="A169" s="1317" t="s">
        <v>4159</v>
      </c>
      <c r="B169" s="521" t="s">
        <v>1756</v>
      </c>
      <c r="C169" s="521" t="s">
        <v>1757</v>
      </c>
      <c r="D169" s="2324" t="s">
        <v>85</v>
      </c>
      <c r="E169" s="1304" t="s">
        <v>126</v>
      </c>
      <c r="F169" s="353">
        <v>700000</v>
      </c>
      <c r="G169" s="353"/>
      <c r="H169" s="353">
        <v>49</v>
      </c>
      <c r="I169" s="353">
        <v>14.88</v>
      </c>
      <c r="J169" s="353">
        <f>H169-I169</f>
        <v>34.119999999999997</v>
      </c>
      <c r="K169" s="354"/>
      <c r="L169" s="283"/>
      <c r="M169" s="2261">
        <f>L169/100000</f>
        <v>0</v>
      </c>
      <c r="N169" s="283"/>
      <c r="O169" s="1348">
        <f>N169*M169</f>
        <v>0</v>
      </c>
      <c r="P169" s="791" t="s">
        <v>5364</v>
      </c>
      <c r="Q169" s="2257" t="str">
        <f>'Ab1. RMNCH+A'!Q140</f>
        <v>The State has proposed ORS under free drug supply. The State to ensure availability of ORS for IDCF campaign and at all facilities and ASHAs as per national guidelines.</v>
      </c>
      <c r="R169" s="2869">
        <f>'Ab1. RMNCH+A'!R140</f>
        <v>0</v>
      </c>
      <c r="BB169" s="3214"/>
      <c r="BC169" s="3214"/>
      <c r="BD169" s="3214"/>
      <c r="BE169" s="3214"/>
      <c r="BF169" s="3214"/>
      <c r="BG169" s="3214"/>
      <c r="BH169" s="3214"/>
      <c r="BI169" s="3214"/>
      <c r="BJ169" s="3214"/>
      <c r="BK169" s="3214"/>
      <c r="BL169" s="3214"/>
      <c r="BM169" s="3214"/>
      <c r="BN169" s="3214"/>
      <c r="BO169" s="3214"/>
      <c r="BP169" s="3214"/>
      <c r="BQ169" s="3214"/>
      <c r="BR169" s="3214"/>
      <c r="BS169" s="3214"/>
      <c r="BT169" s="3214"/>
      <c r="BU169" s="3214"/>
      <c r="BV169" s="3214"/>
      <c r="BW169" s="3214"/>
      <c r="BX169" s="3214"/>
      <c r="BY169" s="3214"/>
      <c r="BZ169" s="3214"/>
      <c r="CA169" s="3214"/>
      <c r="CB169" s="3214"/>
      <c r="CC169" s="3214"/>
      <c r="CD169" s="3214"/>
      <c r="CE169" s="3214"/>
      <c r="CF169" s="3214"/>
      <c r="CG169" s="3214"/>
      <c r="CH169" s="3214"/>
      <c r="CI169" s="3215">
        <f t="shared" si="11"/>
        <v>0</v>
      </c>
    </row>
    <row r="170" spans="1:87" s="1302" customFormat="1" ht="60">
      <c r="A170" s="1317" t="s">
        <v>4160</v>
      </c>
      <c r="B170" s="521" t="s">
        <v>1758</v>
      </c>
      <c r="C170" s="521" t="s">
        <v>1759</v>
      </c>
      <c r="D170" s="2324" t="s">
        <v>85</v>
      </c>
      <c r="E170" s="1304" t="s">
        <v>126</v>
      </c>
      <c r="F170" s="353">
        <v>9800000</v>
      </c>
      <c r="G170" s="353"/>
      <c r="H170" s="353">
        <v>19.600000000000001</v>
      </c>
      <c r="I170" s="353">
        <v>1.01</v>
      </c>
      <c r="J170" s="353">
        <f>H170-I170</f>
        <v>18.59</v>
      </c>
      <c r="K170" s="343"/>
      <c r="L170" s="283"/>
      <c r="M170" s="2261">
        <f>L170/100000</f>
        <v>0</v>
      </c>
      <c r="N170" s="283"/>
      <c r="O170" s="1348">
        <f>N170*M170</f>
        <v>0</v>
      </c>
      <c r="P170" s="791" t="s">
        <v>5365</v>
      </c>
      <c r="Q170" s="2257" t="str">
        <f>'Ab1. RMNCH+A'!Q141</f>
        <v>The State has proposed Zinc under free drug supply. The State to ensure availability of Zinc for IDCF campaign and at all facilities and ASHAs as per national guidelines.</v>
      </c>
      <c r="R170" s="2869">
        <f>'Ab1. RMNCH+A'!R141</f>
        <v>0</v>
      </c>
      <c r="BB170" s="3214"/>
      <c r="BC170" s="3214"/>
      <c r="BD170" s="3214"/>
      <c r="BE170" s="3214"/>
      <c r="BF170" s="3214"/>
      <c r="BG170" s="3214"/>
      <c r="BH170" s="3214"/>
      <c r="BI170" s="3214"/>
      <c r="BJ170" s="3214"/>
      <c r="BK170" s="3214"/>
      <c r="BL170" s="3214"/>
      <c r="BM170" s="3214"/>
      <c r="BN170" s="3214"/>
      <c r="BO170" s="3214"/>
      <c r="BP170" s="3214"/>
      <c r="BQ170" s="3214"/>
      <c r="BR170" s="3214"/>
      <c r="BS170" s="3214"/>
      <c r="BT170" s="3214"/>
      <c r="BU170" s="3214"/>
      <c r="BV170" s="3214"/>
      <c r="BW170" s="3214"/>
      <c r="BX170" s="3214"/>
      <c r="BY170" s="3214"/>
      <c r="BZ170" s="3214"/>
      <c r="CA170" s="3214"/>
      <c r="CB170" s="3214"/>
      <c r="CC170" s="3214"/>
      <c r="CD170" s="3214"/>
      <c r="CE170" s="3214"/>
      <c r="CF170" s="3214"/>
      <c r="CG170" s="3214"/>
      <c r="CH170" s="3214"/>
      <c r="CI170" s="3215">
        <f t="shared" si="11"/>
        <v>0</v>
      </c>
    </row>
    <row r="171" spans="1:87" s="1302" customFormat="1">
      <c r="A171" s="1317" t="s">
        <v>4161</v>
      </c>
      <c r="B171" s="521"/>
      <c r="C171" s="521" t="s">
        <v>1760</v>
      </c>
      <c r="D171" s="2324" t="s">
        <v>85</v>
      </c>
      <c r="E171" s="1304" t="s">
        <v>126</v>
      </c>
      <c r="F171" s="353">
        <v>0</v>
      </c>
      <c r="G171" s="353"/>
      <c r="H171" s="353">
        <v>0</v>
      </c>
      <c r="I171" s="353"/>
      <c r="J171" s="353"/>
      <c r="K171" s="354"/>
      <c r="L171" s="283"/>
      <c r="M171" s="2261">
        <f>L171/100000</f>
        <v>0</v>
      </c>
      <c r="N171" s="283"/>
      <c r="O171" s="1348">
        <f>N171*M171</f>
        <v>0</v>
      </c>
      <c r="P171" s="791"/>
      <c r="Q171" s="2257" t="str">
        <f>'Ab1. RMNCH+A'!Q142</f>
        <v>-</v>
      </c>
      <c r="R171" s="2869">
        <f>'Ab1. RMNCH+A'!R142</f>
        <v>0</v>
      </c>
      <c r="BB171" s="3214"/>
      <c r="BC171" s="3214"/>
      <c r="BD171" s="3214"/>
      <c r="BE171" s="3214"/>
      <c r="BF171" s="3214"/>
      <c r="BG171" s="3214"/>
      <c r="BH171" s="3214"/>
      <c r="BI171" s="3214"/>
      <c r="BJ171" s="3214"/>
      <c r="BK171" s="3214"/>
      <c r="BL171" s="3214"/>
      <c r="BM171" s="3214"/>
      <c r="BN171" s="3214"/>
      <c r="BO171" s="3214"/>
      <c r="BP171" s="3214"/>
      <c r="BQ171" s="3214"/>
      <c r="BR171" s="3214"/>
      <c r="BS171" s="3214"/>
      <c r="BT171" s="3214"/>
      <c r="BU171" s="3214"/>
      <c r="BV171" s="3214"/>
      <c r="BW171" s="3214"/>
      <c r="BX171" s="3214"/>
      <c r="BY171" s="3214"/>
      <c r="BZ171" s="3214"/>
      <c r="CA171" s="3214"/>
      <c r="CB171" s="3214"/>
      <c r="CC171" s="3214"/>
      <c r="CD171" s="3214"/>
      <c r="CE171" s="3214"/>
      <c r="CF171" s="3214"/>
      <c r="CG171" s="3214"/>
      <c r="CH171" s="3214"/>
      <c r="CI171" s="3215">
        <f t="shared" si="11"/>
        <v>0</v>
      </c>
    </row>
    <row r="172" spans="1:87" ht="30">
      <c r="A172" s="1318" t="s">
        <v>1761</v>
      </c>
      <c r="B172" s="521"/>
      <c r="C172" s="509" t="s">
        <v>1732</v>
      </c>
      <c r="D172" s="1301" t="s">
        <v>85</v>
      </c>
      <c r="E172" s="1276" t="s">
        <v>126</v>
      </c>
      <c r="F172" s="69">
        <v>0</v>
      </c>
      <c r="G172" s="69"/>
      <c r="H172" s="69">
        <v>0</v>
      </c>
      <c r="I172" s="69"/>
      <c r="J172" s="69"/>
      <c r="K172" s="180"/>
      <c r="L172" s="277"/>
      <c r="M172" s="281">
        <f>L172/100000</f>
        <v>0</v>
      </c>
      <c r="N172" s="277"/>
      <c r="O172" s="1345">
        <f>N172*M172</f>
        <v>0</v>
      </c>
      <c r="P172" s="788"/>
      <c r="Q172" s="1003" t="str">
        <f>'Ab1. RMNCH+A'!Q143</f>
        <v>-</v>
      </c>
      <c r="R172" s="2867">
        <f>'Ab1. RMNCH+A'!R143</f>
        <v>0</v>
      </c>
      <c r="BB172" s="3267"/>
      <c r="BC172" s="3267"/>
      <c r="BD172" s="3267"/>
      <c r="BE172" s="3267"/>
      <c r="BF172" s="3267"/>
      <c r="BG172" s="3267"/>
      <c r="BH172" s="3267"/>
      <c r="BI172" s="3267"/>
      <c r="BJ172" s="3267"/>
      <c r="BK172" s="3267"/>
      <c r="BL172" s="3267"/>
      <c r="BM172" s="3267"/>
      <c r="BN172" s="3267"/>
      <c r="BO172" s="3267"/>
      <c r="BP172" s="3267"/>
      <c r="BQ172" s="3267"/>
      <c r="BR172" s="3267"/>
      <c r="BS172" s="3267"/>
      <c r="BT172" s="3267"/>
      <c r="BU172" s="3267"/>
      <c r="BV172" s="3267"/>
      <c r="BW172" s="3267"/>
      <c r="BX172" s="3267"/>
      <c r="BY172" s="3267"/>
      <c r="BZ172" s="3267"/>
      <c r="CA172" s="3267"/>
      <c r="CB172" s="3267"/>
      <c r="CC172" s="3267"/>
      <c r="CD172" s="3267"/>
      <c r="CE172" s="3267"/>
      <c r="CF172" s="3267"/>
      <c r="CG172" s="3267"/>
      <c r="CH172" s="3267"/>
      <c r="CI172" s="3215">
        <f t="shared" si="11"/>
        <v>0</v>
      </c>
    </row>
    <row r="173" spans="1:87">
      <c r="A173" s="1361" t="s">
        <v>1762</v>
      </c>
      <c r="B173" s="1362" t="s">
        <v>1763</v>
      </c>
      <c r="C173" s="1363" t="s">
        <v>1764</v>
      </c>
      <c r="D173" s="1364"/>
      <c r="E173" s="938"/>
      <c r="F173" s="295"/>
      <c r="G173" s="295"/>
      <c r="H173" s="295"/>
      <c r="I173" s="295"/>
      <c r="J173" s="295"/>
      <c r="K173" s="163"/>
      <c r="L173" s="295"/>
      <c r="M173" s="1366"/>
      <c r="N173" s="295"/>
      <c r="O173" s="1366">
        <f>SUM(O174:O175)</f>
        <v>0</v>
      </c>
      <c r="P173" s="757"/>
      <c r="Q173" s="1000"/>
      <c r="R173" s="2875">
        <f>SUM(R174:R175)</f>
        <v>0</v>
      </c>
      <c r="BB173" s="3267"/>
      <c r="BC173" s="3267"/>
      <c r="BD173" s="3267"/>
      <c r="BE173" s="3267"/>
      <c r="BF173" s="3267"/>
      <c r="BG173" s="3267"/>
      <c r="BH173" s="3267"/>
      <c r="BI173" s="3267"/>
      <c r="BJ173" s="3267"/>
      <c r="BK173" s="3267"/>
      <c r="BL173" s="3267"/>
      <c r="BM173" s="3267"/>
      <c r="BN173" s="3267"/>
      <c r="BO173" s="3267"/>
      <c r="BP173" s="3267"/>
      <c r="BQ173" s="3267"/>
      <c r="BR173" s="3267"/>
      <c r="BS173" s="3267"/>
      <c r="BT173" s="3267"/>
      <c r="BU173" s="3267"/>
      <c r="BV173" s="3267"/>
      <c r="BW173" s="3267"/>
      <c r="BX173" s="3267"/>
      <c r="BY173" s="3267"/>
      <c r="BZ173" s="3267"/>
      <c r="CA173" s="3267"/>
      <c r="CB173" s="3267"/>
      <c r="CC173" s="3267"/>
      <c r="CD173" s="3267"/>
      <c r="CE173" s="3267"/>
      <c r="CF173" s="3267"/>
      <c r="CG173" s="3267"/>
      <c r="CH173" s="3267"/>
      <c r="CI173" s="3215">
        <f t="shared" si="11"/>
        <v>0</v>
      </c>
    </row>
    <row r="174" spans="1:87" s="1302" customFormat="1">
      <c r="A174" s="1317" t="s">
        <v>1765</v>
      </c>
      <c r="B174" s="1308" t="s">
        <v>166</v>
      </c>
      <c r="C174" s="521" t="s">
        <v>1602</v>
      </c>
      <c r="D174" s="2324" t="s">
        <v>85</v>
      </c>
      <c r="E174" s="1304" t="s">
        <v>86</v>
      </c>
      <c r="F174" s="343">
        <v>0</v>
      </c>
      <c r="G174" s="343"/>
      <c r="H174" s="343">
        <v>0</v>
      </c>
      <c r="I174" s="343"/>
      <c r="J174" s="343"/>
      <c r="K174" s="354"/>
      <c r="L174" s="283"/>
      <c r="M174" s="2261">
        <f>L174/100000</f>
        <v>0</v>
      </c>
      <c r="N174" s="283"/>
      <c r="O174" s="1348">
        <f>N174*M174</f>
        <v>0</v>
      </c>
      <c r="P174" s="792"/>
      <c r="Q174" s="2257" t="str">
        <f>'Ab1. RMNCH+A'!Q232</f>
        <v>--</v>
      </c>
      <c r="R174" s="2869">
        <f>'Ab1. RMNCH+A'!R232</f>
        <v>0</v>
      </c>
      <c r="BB174" s="3214"/>
      <c r="BC174" s="3214"/>
      <c r="BD174" s="3214"/>
      <c r="BE174" s="3214"/>
      <c r="BF174" s="3214"/>
      <c r="BG174" s="3214"/>
      <c r="BH174" s="3214"/>
      <c r="BI174" s="3214"/>
      <c r="BJ174" s="3214"/>
      <c r="BK174" s="3214"/>
      <c r="BL174" s="3214"/>
      <c r="BM174" s="3214"/>
      <c r="BN174" s="3214"/>
      <c r="BO174" s="3214"/>
      <c r="BP174" s="3214"/>
      <c r="BQ174" s="3214"/>
      <c r="BR174" s="3214"/>
      <c r="BS174" s="3214"/>
      <c r="BT174" s="3214"/>
      <c r="BU174" s="3214"/>
      <c r="BV174" s="3214"/>
      <c r="BW174" s="3214"/>
      <c r="BX174" s="3214"/>
      <c r="BY174" s="3214"/>
      <c r="BZ174" s="3214"/>
      <c r="CA174" s="3214"/>
      <c r="CB174" s="3214"/>
      <c r="CC174" s="3214"/>
      <c r="CD174" s="3214"/>
      <c r="CE174" s="3214"/>
      <c r="CF174" s="3214"/>
      <c r="CG174" s="3214"/>
      <c r="CH174" s="3214"/>
      <c r="CI174" s="3215">
        <f t="shared" si="11"/>
        <v>0</v>
      </c>
    </row>
    <row r="175" spans="1:87" ht="30">
      <c r="A175" s="1318" t="s">
        <v>1766</v>
      </c>
      <c r="B175" s="509" t="s">
        <v>2761</v>
      </c>
      <c r="C175" s="509" t="s">
        <v>1732</v>
      </c>
      <c r="D175" s="1301" t="s">
        <v>85</v>
      </c>
      <c r="E175" s="1276" t="s">
        <v>86</v>
      </c>
      <c r="F175" s="69">
        <v>0</v>
      </c>
      <c r="G175" s="69"/>
      <c r="H175" s="69">
        <v>0</v>
      </c>
      <c r="I175" s="69"/>
      <c r="J175" s="69"/>
      <c r="K175" s="340"/>
      <c r="L175" s="277"/>
      <c r="M175" s="281">
        <f>L175/100000</f>
        <v>0</v>
      </c>
      <c r="N175" s="277"/>
      <c r="O175" s="1345">
        <f>N175*M175</f>
        <v>0</v>
      </c>
      <c r="P175" s="789"/>
      <c r="Q175" s="1003" t="str">
        <f>'Ab1. RMNCH+A'!Q233</f>
        <v>--</v>
      </c>
      <c r="R175" s="2867">
        <f>'Ab1. RMNCH+A'!R233</f>
        <v>0</v>
      </c>
      <c r="BB175" s="3267"/>
      <c r="BC175" s="3267"/>
      <c r="BD175" s="3267"/>
      <c r="BE175" s="3267"/>
      <c r="BF175" s="3267"/>
      <c r="BG175" s="3267"/>
      <c r="BH175" s="3267"/>
      <c r="BI175" s="3267"/>
      <c r="BJ175" s="3267"/>
      <c r="BK175" s="3267"/>
      <c r="BL175" s="3267"/>
      <c r="BM175" s="3267"/>
      <c r="BN175" s="3267"/>
      <c r="BO175" s="3267"/>
      <c r="BP175" s="3267"/>
      <c r="BQ175" s="3267"/>
      <c r="BR175" s="3267"/>
      <c r="BS175" s="3267"/>
      <c r="BT175" s="3267"/>
      <c r="BU175" s="3267"/>
      <c r="BV175" s="3267"/>
      <c r="BW175" s="3267"/>
      <c r="BX175" s="3267"/>
      <c r="BY175" s="3267"/>
      <c r="BZ175" s="3267"/>
      <c r="CA175" s="3267"/>
      <c r="CB175" s="3267"/>
      <c r="CC175" s="3267"/>
      <c r="CD175" s="3267"/>
      <c r="CE175" s="3267"/>
      <c r="CF175" s="3267"/>
      <c r="CG175" s="3267"/>
      <c r="CH175" s="3267"/>
      <c r="CI175" s="3215">
        <f t="shared" si="11"/>
        <v>0</v>
      </c>
    </row>
    <row r="176" spans="1:87">
      <c r="A176" s="1361" t="s">
        <v>1767</v>
      </c>
      <c r="B176" s="1362"/>
      <c r="C176" s="1363" t="s">
        <v>1768</v>
      </c>
      <c r="D176" s="1364"/>
      <c r="E176" s="938"/>
      <c r="F176" s="295"/>
      <c r="G176" s="295"/>
      <c r="H176" s="295"/>
      <c r="I176" s="295"/>
      <c r="J176" s="295"/>
      <c r="K176" s="163"/>
      <c r="L176" s="295"/>
      <c r="M176" s="1366"/>
      <c r="N176" s="295"/>
      <c r="O176" s="1366">
        <f>SUM(O177:O180)</f>
        <v>100</v>
      </c>
      <c r="P176" s="757"/>
      <c r="Q176" s="1000"/>
      <c r="R176" s="2875">
        <f>SUM(R177:R180)</f>
        <v>99.447823999999997</v>
      </c>
      <c r="BB176" s="3267"/>
      <c r="BC176" s="3267"/>
      <c r="BD176" s="3267"/>
      <c r="BE176" s="3267"/>
      <c r="BF176" s="3267"/>
      <c r="BG176" s="3267"/>
      <c r="BH176" s="3267"/>
      <c r="BI176" s="3267"/>
      <c r="BJ176" s="3267"/>
      <c r="BK176" s="3267"/>
      <c r="BL176" s="3267"/>
      <c r="BM176" s="3267"/>
      <c r="BN176" s="3267"/>
      <c r="BO176" s="3267"/>
      <c r="BP176" s="3267"/>
      <c r="BQ176" s="3267"/>
      <c r="BR176" s="3267"/>
      <c r="BS176" s="3267"/>
      <c r="BT176" s="3267"/>
      <c r="BU176" s="3267"/>
      <c r="BV176" s="3267"/>
      <c r="BW176" s="3267"/>
      <c r="BX176" s="3267"/>
      <c r="BY176" s="3267"/>
      <c r="BZ176" s="3267"/>
      <c r="CA176" s="3267"/>
      <c r="CB176" s="3267"/>
      <c r="CC176" s="3267"/>
      <c r="CD176" s="3267"/>
      <c r="CE176" s="3267"/>
      <c r="CF176" s="3267"/>
      <c r="CG176" s="3267"/>
      <c r="CH176" s="3267"/>
      <c r="CI176" s="3215">
        <f t="shared" si="11"/>
        <v>0</v>
      </c>
    </row>
    <row r="177" spans="1:87" ht="30">
      <c r="A177" s="1318" t="s">
        <v>1769</v>
      </c>
      <c r="B177" s="1367" t="s">
        <v>1770</v>
      </c>
      <c r="C177" s="1367" t="s">
        <v>3958</v>
      </c>
      <c r="D177" s="1005" t="s">
        <v>85</v>
      </c>
      <c r="E177" s="1276" t="s">
        <v>188</v>
      </c>
      <c r="F177" s="69">
        <v>38957568</v>
      </c>
      <c r="G177" s="69"/>
      <c r="H177" s="358">
        <v>0</v>
      </c>
      <c r="I177" s="342"/>
      <c r="J177" s="69"/>
      <c r="K177" s="339"/>
      <c r="L177" s="277"/>
      <c r="M177" s="281">
        <f>L177/100000</f>
        <v>0</v>
      </c>
      <c r="N177" s="277"/>
      <c r="O177" s="1345">
        <f>N177*M177</f>
        <v>0</v>
      </c>
      <c r="P177" s="708"/>
      <c r="Q177" s="1003" t="str">
        <f>'Ab1. RMNCH+A'!Q307</f>
        <v>The State will be provided IFA supplements thorugh central procurement under AMB</v>
      </c>
      <c r="R177" s="2867">
        <f>'Ab1. RMNCH+A'!R307</f>
        <v>0</v>
      </c>
      <c r="BB177" s="3267"/>
      <c r="BC177" s="3267"/>
      <c r="BD177" s="3267"/>
      <c r="BE177" s="3267"/>
      <c r="BF177" s="3267"/>
      <c r="BG177" s="3267"/>
      <c r="BH177" s="3267"/>
      <c r="BI177" s="3267"/>
      <c r="BJ177" s="3267"/>
      <c r="BK177" s="3267"/>
      <c r="BL177" s="3267"/>
      <c r="BM177" s="3267"/>
      <c r="BN177" s="3267"/>
      <c r="BO177" s="3267"/>
      <c r="BP177" s="3267"/>
      <c r="BQ177" s="3267"/>
      <c r="BR177" s="3267"/>
      <c r="BS177" s="3267"/>
      <c r="BT177" s="3267"/>
      <c r="BU177" s="3267"/>
      <c r="BV177" s="3267"/>
      <c r="BW177" s="3267"/>
      <c r="BX177" s="3267"/>
      <c r="BY177" s="3267"/>
      <c r="BZ177" s="3267"/>
      <c r="CA177" s="3267"/>
      <c r="CB177" s="3267"/>
      <c r="CC177" s="3267"/>
      <c r="CD177" s="3267"/>
      <c r="CE177" s="3267"/>
      <c r="CF177" s="3267"/>
      <c r="CG177" s="3267"/>
      <c r="CH177" s="3267"/>
      <c r="CI177" s="3215">
        <f t="shared" si="11"/>
        <v>0</v>
      </c>
    </row>
    <row r="178" spans="1:87" ht="97.5" customHeight="1">
      <c r="A178" s="1318" t="s">
        <v>1771</v>
      </c>
      <c r="B178" s="1367" t="s">
        <v>1772</v>
      </c>
      <c r="C178" s="1367" t="s">
        <v>3959</v>
      </c>
      <c r="D178" s="1005" t="s">
        <v>85</v>
      </c>
      <c r="E178" s="1276" t="s">
        <v>188</v>
      </c>
      <c r="F178" s="69">
        <v>1700000</v>
      </c>
      <c r="G178" s="69"/>
      <c r="H178" s="342">
        <v>34</v>
      </c>
      <c r="I178" s="342"/>
      <c r="J178" s="69">
        <v>34</v>
      </c>
      <c r="K178" s="99"/>
      <c r="L178" s="277"/>
      <c r="M178" s="281">
        <f>L178/100000</f>
        <v>0</v>
      </c>
      <c r="N178" s="277"/>
      <c r="O178" s="1345">
        <f>N178*M178</f>
        <v>0</v>
      </c>
      <c r="P178" s="709"/>
      <c r="Q178" s="1003" t="str">
        <f>'Ab1. RMNCH+A'!Q308</f>
        <v>Continued activity: As discussed during NPCC meeting, the State to countinue with the bi-annual round of NDD untill revised guidance is issued in view of STH follow-up prevalence survey findigs. Therefore, the State to ensure availibility of  Albendazole tablets for two rounds of NDD which is proposed under FMR 6.2.21.1 (Free drugs) as Albendazole is a part of essential drugs.</v>
      </c>
      <c r="R178" s="2867">
        <f>'Ab1. RMNCH+A'!R308</f>
        <v>0</v>
      </c>
      <c r="BB178" s="3267"/>
      <c r="BC178" s="3267"/>
      <c r="BD178" s="3267"/>
      <c r="BE178" s="3267"/>
      <c r="BF178" s="3267"/>
      <c r="BG178" s="3267"/>
      <c r="BH178" s="3267"/>
      <c r="BI178" s="3267"/>
      <c r="BJ178" s="3267"/>
      <c r="BK178" s="3267"/>
      <c r="BL178" s="3267"/>
      <c r="BM178" s="3267"/>
      <c r="BN178" s="3267"/>
      <c r="BO178" s="3267"/>
      <c r="BP178" s="3267"/>
      <c r="BQ178" s="3267"/>
      <c r="BR178" s="3267"/>
      <c r="BS178" s="3267"/>
      <c r="BT178" s="3267"/>
      <c r="BU178" s="3267"/>
      <c r="BV178" s="3267"/>
      <c r="BW178" s="3267"/>
      <c r="BX178" s="3267"/>
      <c r="BY178" s="3267"/>
      <c r="BZ178" s="3267"/>
      <c r="CA178" s="3267"/>
      <c r="CB178" s="3267"/>
      <c r="CC178" s="3267"/>
      <c r="CD178" s="3267"/>
      <c r="CE178" s="3267"/>
      <c r="CF178" s="3267"/>
      <c r="CG178" s="3267"/>
      <c r="CH178" s="3267"/>
      <c r="CI178" s="3215">
        <f t="shared" si="11"/>
        <v>0</v>
      </c>
    </row>
    <row r="179" spans="1:87" s="1302" customFormat="1" ht="90">
      <c r="A179" s="1317" t="s">
        <v>1773</v>
      </c>
      <c r="B179" s="521" t="s">
        <v>1774</v>
      </c>
      <c r="C179" s="521" t="s">
        <v>1775</v>
      </c>
      <c r="D179" s="2254" t="s">
        <v>85</v>
      </c>
      <c r="E179" s="1304" t="s">
        <v>188</v>
      </c>
      <c r="F179" s="353">
        <v>1000000</v>
      </c>
      <c r="G179" s="353"/>
      <c r="H179" s="353">
        <v>98</v>
      </c>
      <c r="I179" s="353">
        <v>263.66000000000003</v>
      </c>
      <c r="J179" s="353"/>
      <c r="K179" s="354"/>
      <c r="L179" s="2448">
        <v>10000000</v>
      </c>
      <c r="M179" s="2261">
        <f>L179/100000</f>
        <v>100</v>
      </c>
      <c r="N179" s="283">
        <v>1</v>
      </c>
      <c r="O179" s="1348">
        <f>N179*M179</f>
        <v>100</v>
      </c>
      <c r="P179" s="791" t="s">
        <v>5232</v>
      </c>
      <c r="Q179" s="2257" t="str">
        <f>'Ab1. RMNCH+A'!Q309</f>
        <v>Ongoing activity:Recommended for Rs. 99.45 lakhs for procurement of sanitary napkins for 373864 adolescent girls @ Rs.1.33 /napkin for 20 Napkins/girl. The State to ensure the availablty of remaining napkins for all girls using State's contribution of funds for sanitary napkins.</v>
      </c>
      <c r="R179" s="2869">
        <f>'Ab1. RMNCH+A'!R309</f>
        <v>99.447823999999997</v>
      </c>
      <c r="BB179" s="3214">
        <v>99.45</v>
      </c>
      <c r="BC179" s="3214"/>
      <c r="BD179" s="3214"/>
      <c r="BE179" s="3214"/>
      <c r="BF179" s="3214"/>
      <c r="BG179" s="3214"/>
      <c r="BH179" s="3214"/>
      <c r="BI179" s="3214"/>
      <c r="BJ179" s="3214"/>
      <c r="BK179" s="3214"/>
      <c r="BL179" s="3214"/>
      <c r="BM179" s="3214"/>
      <c r="BN179" s="3214"/>
      <c r="BO179" s="3214"/>
      <c r="BP179" s="3214"/>
      <c r="BQ179" s="3214"/>
      <c r="BR179" s="3214"/>
      <c r="BS179" s="3214"/>
      <c r="BT179" s="3214"/>
      <c r="BU179" s="3214"/>
      <c r="BV179" s="3214"/>
      <c r="BW179" s="3214"/>
      <c r="BX179" s="3214"/>
      <c r="BY179" s="3214"/>
      <c r="BZ179" s="3214"/>
      <c r="CA179" s="3214"/>
      <c r="CB179" s="3214"/>
      <c r="CC179" s="3214"/>
      <c r="CD179" s="3214"/>
      <c r="CE179" s="3214"/>
      <c r="CF179" s="3214"/>
      <c r="CG179" s="3214"/>
      <c r="CH179" s="3214"/>
      <c r="CI179" s="3215">
        <f t="shared" si="11"/>
        <v>99.45</v>
      </c>
    </row>
    <row r="180" spans="1:87" ht="30">
      <c r="A180" s="1318" t="s">
        <v>1776</v>
      </c>
      <c r="B180" s="521"/>
      <c r="C180" s="509" t="s">
        <v>1732</v>
      </c>
      <c r="D180" s="1005" t="s">
        <v>85</v>
      </c>
      <c r="E180" s="1276" t="s">
        <v>188</v>
      </c>
      <c r="F180" s="69">
        <v>0</v>
      </c>
      <c r="G180" s="69"/>
      <c r="H180" s="69">
        <v>0</v>
      </c>
      <c r="I180" s="69"/>
      <c r="J180" s="69"/>
      <c r="K180" s="340"/>
      <c r="L180" s="277"/>
      <c r="M180" s="281">
        <f>L180/100000</f>
        <v>0</v>
      </c>
      <c r="N180" s="277"/>
      <c r="O180" s="1345">
        <f>N180*M180</f>
        <v>0</v>
      </c>
      <c r="P180" s="788"/>
      <c r="Q180" s="1003" t="str">
        <f>'Ab1. RMNCH+A'!Q310</f>
        <v>--</v>
      </c>
      <c r="R180" s="2867">
        <f>'Ab1. RMNCH+A'!R310</f>
        <v>0</v>
      </c>
      <c r="BB180" s="3267"/>
      <c r="BC180" s="3267"/>
      <c r="BD180" s="3267"/>
      <c r="BE180" s="3267"/>
      <c r="BF180" s="3267"/>
      <c r="BG180" s="3267"/>
      <c r="BH180" s="3267"/>
      <c r="BI180" s="3267"/>
      <c r="BJ180" s="3267"/>
      <c r="BK180" s="3267"/>
      <c r="BL180" s="3267"/>
      <c r="BM180" s="3267"/>
      <c r="BN180" s="3267"/>
      <c r="BO180" s="3267"/>
      <c r="BP180" s="3267"/>
      <c r="BQ180" s="3267"/>
      <c r="BR180" s="3267"/>
      <c r="BS180" s="3267"/>
      <c r="BT180" s="3267"/>
      <c r="BU180" s="3267"/>
      <c r="BV180" s="3267"/>
      <c r="BW180" s="3267"/>
      <c r="BX180" s="3267"/>
      <c r="BY180" s="3267"/>
      <c r="BZ180" s="3267"/>
      <c r="CA180" s="3267"/>
      <c r="CB180" s="3267"/>
      <c r="CC180" s="3267"/>
      <c r="CD180" s="3267"/>
      <c r="CE180" s="3267"/>
      <c r="CF180" s="3267"/>
      <c r="CG180" s="3267"/>
      <c r="CH180" s="3267"/>
      <c r="CI180" s="3215">
        <f t="shared" si="11"/>
        <v>0</v>
      </c>
    </row>
    <row r="181" spans="1:87">
      <c r="A181" s="1361" t="s">
        <v>1777</v>
      </c>
      <c r="B181" s="1362"/>
      <c r="C181" s="1363" t="s">
        <v>1778</v>
      </c>
      <c r="D181" s="1364"/>
      <c r="E181" s="938"/>
      <c r="F181" s="295"/>
      <c r="G181" s="295"/>
      <c r="H181" s="295"/>
      <c r="I181" s="295"/>
      <c r="J181" s="295"/>
      <c r="K181" s="163"/>
      <c r="L181" s="295"/>
      <c r="M181" s="1366"/>
      <c r="N181" s="295"/>
      <c r="O181" s="1366">
        <f>SUM(O182:O183)</f>
        <v>0</v>
      </c>
      <c r="P181" s="757"/>
      <c r="Q181" s="1000"/>
      <c r="R181" s="2875">
        <f>SUM(R182:R183)</f>
        <v>0</v>
      </c>
      <c r="BB181" s="3267"/>
      <c r="BC181" s="3267"/>
      <c r="BD181" s="3267"/>
      <c r="BE181" s="3267"/>
      <c r="BF181" s="3267"/>
      <c r="BG181" s="3267"/>
      <c r="BH181" s="3267"/>
      <c r="BI181" s="3267"/>
      <c r="BJ181" s="3267"/>
      <c r="BK181" s="3267"/>
      <c r="BL181" s="3267"/>
      <c r="BM181" s="3267"/>
      <c r="BN181" s="3267"/>
      <c r="BO181" s="3267"/>
      <c r="BP181" s="3267"/>
      <c r="BQ181" s="3267"/>
      <c r="BR181" s="3267"/>
      <c r="BS181" s="3267"/>
      <c r="BT181" s="3267"/>
      <c r="BU181" s="3267"/>
      <c r="BV181" s="3267"/>
      <c r="BW181" s="3267"/>
      <c r="BX181" s="3267"/>
      <c r="BY181" s="3267"/>
      <c r="BZ181" s="3267"/>
      <c r="CA181" s="3267"/>
      <c r="CB181" s="3267"/>
      <c r="CC181" s="3267"/>
      <c r="CD181" s="3267"/>
      <c r="CE181" s="3267"/>
      <c r="CF181" s="3267"/>
      <c r="CG181" s="3267"/>
      <c r="CH181" s="3267"/>
      <c r="CI181" s="3215">
        <f t="shared" si="11"/>
        <v>0</v>
      </c>
    </row>
    <row r="182" spans="1:87" ht="30">
      <c r="A182" s="1318" t="s">
        <v>1779</v>
      </c>
      <c r="B182" s="509" t="s">
        <v>1780</v>
      </c>
      <c r="C182" s="509" t="s">
        <v>1781</v>
      </c>
      <c r="D182" s="1301" t="s">
        <v>85</v>
      </c>
      <c r="E182" s="1276" t="s">
        <v>91</v>
      </c>
      <c r="F182" s="69">
        <v>0</v>
      </c>
      <c r="G182" s="69"/>
      <c r="H182" s="69">
        <v>0</v>
      </c>
      <c r="I182" s="342"/>
      <c r="J182" s="69"/>
      <c r="K182" s="339"/>
      <c r="L182" s="277"/>
      <c r="M182" s="281">
        <f>L182/100000</f>
        <v>0</v>
      </c>
      <c r="N182" s="277"/>
      <c r="O182" s="1345">
        <f>N182*M182</f>
        <v>0</v>
      </c>
      <c r="P182" s="708"/>
      <c r="Q182" s="1003" t="str">
        <f>'Ab1. RMNCH+A'!Q360</f>
        <v>-</v>
      </c>
      <c r="R182" s="2867">
        <f>'Ab1. RMNCH+A'!R360</f>
        <v>0</v>
      </c>
      <c r="BB182" s="3267"/>
      <c r="BC182" s="3267"/>
      <c r="BD182" s="3267"/>
      <c r="BE182" s="3267"/>
      <c r="BF182" s="3267"/>
      <c r="BG182" s="3267"/>
      <c r="BH182" s="3267"/>
      <c r="BI182" s="3267"/>
      <c r="BJ182" s="3267"/>
      <c r="BK182" s="3267"/>
      <c r="BL182" s="3267"/>
      <c r="BM182" s="3267"/>
      <c r="BN182" s="3267"/>
      <c r="BO182" s="3267"/>
      <c r="BP182" s="3267"/>
      <c r="BQ182" s="3267"/>
      <c r="BR182" s="3267"/>
      <c r="BS182" s="3267"/>
      <c r="BT182" s="3267"/>
      <c r="BU182" s="3267"/>
      <c r="BV182" s="3267"/>
      <c r="BW182" s="3267"/>
      <c r="BX182" s="3267"/>
      <c r="BY182" s="3267"/>
      <c r="BZ182" s="3267"/>
      <c r="CA182" s="3267"/>
      <c r="CB182" s="3267"/>
      <c r="CC182" s="3267"/>
      <c r="CD182" s="3267"/>
      <c r="CE182" s="3267"/>
      <c r="CF182" s="3267"/>
      <c r="CG182" s="3267"/>
      <c r="CH182" s="3267"/>
      <c r="CI182" s="3215">
        <f t="shared" si="11"/>
        <v>0</v>
      </c>
    </row>
    <row r="183" spans="1:87" ht="30">
      <c r="A183" s="1318" t="s">
        <v>1782</v>
      </c>
      <c r="B183" s="521"/>
      <c r="C183" s="509" t="s">
        <v>1732</v>
      </c>
      <c r="D183" s="1301" t="s">
        <v>85</v>
      </c>
      <c r="E183" s="1276" t="s">
        <v>91</v>
      </c>
      <c r="F183" s="69">
        <v>0</v>
      </c>
      <c r="G183" s="69"/>
      <c r="H183" s="69">
        <v>0</v>
      </c>
      <c r="I183" s="69"/>
      <c r="J183" s="69"/>
      <c r="K183" s="340"/>
      <c r="L183" s="277"/>
      <c r="M183" s="281">
        <f>L183/100000</f>
        <v>0</v>
      </c>
      <c r="N183" s="277"/>
      <c r="O183" s="1345">
        <f>N183*M183</f>
        <v>0</v>
      </c>
      <c r="P183" s="788"/>
      <c r="Q183" s="1003" t="str">
        <f>'Ab1. RMNCH+A'!Q361</f>
        <v>-</v>
      </c>
      <c r="R183" s="2867">
        <f>'Ab1. RMNCH+A'!R361</f>
        <v>0</v>
      </c>
      <c r="BB183" s="3267"/>
      <c r="BC183" s="3267"/>
      <c r="BD183" s="3267"/>
      <c r="BE183" s="3267"/>
      <c r="BF183" s="3267"/>
      <c r="BG183" s="3267"/>
      <c r="BH183" s="3267"/>
      <c r="BI183" s="3267"/>
      <c r="BJ183" s="3267"/>
      <c r="BK183" s="3267"/>
      <c r="BL183" s="3267"/>
      <c r="BM183" s="3267"/>
      <c r="BN183" s="3267"/>
      <c r="BO183" s="3267"/>
      <c r="BP183" s="3267"/>
      <c r="BQ183" s="3267"/>
      <c r="BR183" s="3267"/>
      <c r="BS183" s="3267"/>
      <c r="BT183" s="3267"/>
      <c r="BU183" s="3267"/>
      <c r="BV183" s="3267"/>
      <c r="BW183" s="3267"/>
      <c r="BX183" s="3267"/>
      <c r="BY183" s="3267"/>
      <c r="BZ183" s="3267"/>
      <c r="CA183" s="3267"/>
      <c r="CB183" s="3267"/>
      <c r="CC183" s="3267"/>
      <c r="CD183" s="3267"/>
      <c r="CE183" s="3267"/>
      <c r="CF183" s="3267"/>
      <c r="CG183" s="3267"/>
      <c r="CH183" s="3267"/>
      <c r="CI183" s="3215">
        <f t="shared" si="11"/>
        <v>0</v>
      </c>
    </row>
    <row r="184" spans="1:87">
      <c r="A184" s="1361" t="s">
        <v>1819</v>
      </c>
      <c r="B184" s="1362"/>
      <c r="C184" s="1363" t="s">
        <v>4724</v>
      </c>
      <c r="D184" s="1364"/>
      <c r="E184" s="938"/>
      <c r="F184" s="295"/>
      <c r="G184" s="295"/>
      <c r="H184" s="295"/>
      <c r="I184" s="295"/>
      <c r="J184" s="295"/>
      <c r="K184" s="163"/>
      <c r="L184" s="295"/>
      <c r="M184" s="1366"/>
      <c r="N184" s="295"/>
      <c r="O184" s="1366">
        <f>SUM(O185:O186)</f>
        <v>0</v>
      </c>
      <c r="P184" s="757"/>
      <c r="Q184" s="1000"/>
      <c r="R184" s="2875">
        <f>SUM(R185:R186)</f>
        <v>0</v>
      </c>
      <c r="BB184" s="3267"/>
      <c r="BC184" s="3267"/>
      <c r="BD184" s="3267"/>
      <c r="BE184" s="3267"/>
      <c r="BF184" s="3267"/>
      <c r="BG184" s="3267"/>
      <c r="BH184" s="3267"/>
      <c r="BI184" s="3267"/>
      <c r="BJ184" s="3267"/>
      <c r="BK184" s="3267"/>
      <c r="BL184" s="3267"/>
      <c r="BM184" s="3267"/>
      <c r="BN184" s="3267"/>
      <c r="BO184" s="3267"/>
      <c r="BP184" s="3267"/>
      <c r="BQ184" s="3267"/>
      <c r="BR184" s="3267"/>
      <c r="BS184" s="3267"/>
      <c r="BT184" s="3267"/>
      <c r="BU184" s="3267"/>
      <c r="BV184" s="3267"/>
      <c r="BW184" s="3267"/>
      <c r="BX184" s="3267"/>
      <c r="BY184" s="3267"/>
      <c r="BZ184" s="3267"/>
      <c r="CA184" s="3267"/>
      <c r="CB184" s="3267"/>
      <c r="CC184" s="3267"/>
      <c r="CD184" s="3267"/>
      <c r="CE184" s="3267"/>
      <c r="CF184" s="3267"/>
      <c r="CG184" s="3267"/>
      <c r="CH184" s="3267"/>
      <c r="CI184" s="3215">
        <f t="shared" si="11"/>
        <v>0</v>
      </c>
    </row>
    <row r="185" spans="1:87" s="1302" customFormat="1">
      <c r="A185" s="1317" t="s">
        <v>1802</v>
      </c>
      <c r="B185" s="521" t="s">
        <v>1803</v>
      </c>
      <c r="C185" s="521" t="s">
        <v>1804</v>
      </c>
      <c r="D185" s="2324" t="s">
        <v>85</v>
      </c>
      <c r="E185" s="1304" t="s">
        <v>200</v>
      </c>
      <c r="F185" s="353">
        <v>0</v>
      </c>
      <c r="G185" s="353"/>
      <c r="H185" s="2356">
        <v>0</v>
      </c>
      <c r="I185" s="2356"/>
      <c r="J185" s="80"/>
      <c r="K185" s="343"/>
      <c r="L185" s="283"/>
      <c r="M185" s="2261">
        <f>L185/100000</f>
        <v>0</v>
      </c>
      <c r="N185" s="283"/>
      <c r="O185" s="1348">
        <f>N185*M185</f>
        <v>0</v>
      </c>
      <c r="P185" s="797" t="s">
        <v>5404</v>
      </c>
      <c r="Q185" s="2257" t="str">
        <f>'Ab1. RMNCH+A'!Q412</f>
        <v>Fund will be utilized from sanctioned BMWM.</v>
      </c>
      <c r="R185" s="2869">
        <f>'Ab1. RMNCH+A'!R412</f>
        <v>0</v>
      </c>
      <c r="BB185" s="3214"/>
      <c r="BC185" s="3214"/>
      <c r="BD185" s="3214"/>
      <c r="BE185" s="3214"/>
      <c r="BF185" s="3214"/>
      <c r="BG185" s="3214"/>
      <c r="BH185" s="3214"/>
      <c r="BI185" s="3214"/>
      <c r="BJ185" s="3214"/>
      <c r="BK185" s="3214"/>
      <c r="BL185" s="3214"/>
      <c r="BM185" s="3214"/>
      <c r="BN185" s="3214"/>
      <c r="BO185" s="3214"/>
      <c r="BP185" s="3214"/>
      <c r="BQ185" s="3214"/>
      <c r="BR185" s="3214"/>
      <c r="BS185" s="3214"/>
      <c r="BT185" s="3214"/>
      <c r="BU185" s="3214"/>
      <c r="BV185" s="3214"/>
      <c r="BW185" s="3214"/>
      <c r="BX185" s="3214"/>
      <c r="BY185" s="3214"/>
      <c r="BZ185" s="3214"/>
      <c r="CA185" s="3214"/>
      <c r="CB185" s="3214"/>
      <c r="CC185" s="3214"/>
      <c r="CD185" s="3214"/>
      <c r="CE185" s="3214"/>
      <c r="CF185" s="3214"/>
      <c r="CG185" s="3214"/>
      <c r="CH185" s="3214"/>
      <c r="CI185" s="3215">
        <f t="shared" si="11"/>
        <v>0</v>
      </c>
    </row>
    <row r="186" spans="1:87" s="1302" customFormat="1" ht="30">
      <c r="A186" s="1317" t="s">
        <v>1805</v>
      </c>
      <c r="B186" s="521" t="s">
        <v>1629</v>
      </c>
      <c r="C186" s="521" t="s">
        <v>1806</v>
      </c>
      <c r="D186" s="2324" t="s">
        <v>85</v>
      </c>
      <c r="E186" s="1304" t="s">
        <v>200</v>
      </c>
      <c r="F186" s="353">
        <v>0</v>
      </c>
      <c r="G186" s="353"/>
      <c r="H186" s="2356">
        <v>0</v>
      </c>
      <c r="I186" s="2356"/>
      <c r="J186" s="353"/>
      <c r="K186" s="343"/>
      <c r="L186" s="283"/>
      <c r="M186" s="2261">
        <f>L186/100000</f>
        <v>0</v>
      </c>
      <c r="N186" s="283"/>
      <c r="O186" s="1348">
        <f>N186*M186</f>
        <v>0</v>
      </c>
      <c r="P186" s="791" t="s">
        <v>5405</v>
      </c>
      <c r="Q186" s="2257" t="str">
        <f>'Ab1. RMNCH+A'!Q413</f>
        <v>Fund will be utilized from sanctioned BMWM.</v>
      </c>
      <c r="R186" s="2869">
        <f>'Ab1. RMNCH+A'!R413</f>
        <v>0</v>
      </c>
      <c r="BB186" s="3214"/>
      <c r="BC186" s="3214"/>
      <c r="BD186" s="3214"/>
      <c r="BE186" s="3214"/>
      <c r="BF186" s="3214"/>
      <c r="BG186" s="3214"/>
      <c r="BH186" s="3214"/>
      <c r="BI186" s="3214"/>
      <c r="BJ186" s="3214"/>
      <c r="BK186" s="3214"/>
      <c r="BL186" s="3214"/>
      <c r="BM186" s="3214"/>
      <c r="BN186" s="3214"/>
      <c r="BO186" s="3214"/>
      <c r="BP186" s="3214"/>
      <c r="BQ186" s="3214"/>
      <c r="BR186" s="3214"/>
      <c r="BS186" s="3214"/>
      <c r="BT186" s="3214"/>
      <c r="BU186" s="3214"/>
      <c r="BV186" s="3214"/>
      <c r="BW186" s="3214"/>
      <c r="BX186" s="3214"/>
      <c r="BY186" s="3214"/>
      <c r="BZ186" s="3214"/>
      <c r="CA186" s="3214"/>
      <c r="CB186" s="3214"/>
      <c r="CC186" s="3214"/>
      <c r="CD186" s="3214"/>
      <c r="CE186" s="3214"/>
      <c r="CF186" s="3214"/>
      <c r="CG186" s="3214"/>
      <c r="CH186" s="3214"/>
      <c r="CI186" s="3215">
        <f t="shared" si="11"/>
        <v>0</v>
      </c>
    </row>
    <row r="187" spans="1:87">
      <c r="A187" s="1361" t="s">
        <v>1819</v>
      </c>
      <c r="B187" s="1362"/>
      <c r="C187" s="1363" t="s">
        <v>1820</v>
      </c>
      <c r="D187" s="1364"/>
      <c r="E187" s="938"/>
      <c r="F187" s="295"/>
      <c r="G187" s="295"/>
      <c r="H187" s="295"/>
      <c r="I187" s="295"/>
      <c r="J187" s="295"/>
      <c r="K187" s="163"/>
      <c r="L187" s="295"/>
      <c r="M187" s="1366"/>
      <c r="N187" s="295"/>
      <c r="O187" s="1366">
        <f>SUM(O188:O189)</f>
        <v>20.65</v>
      </c>
      <c r="P187" s="757"/>
      <c r="Q187" s="1000"/>
      <c r="R187" s="2875">
        <f>SUM(R188:R189)</f>
        <v>19.350000000000001</v>
      </c>
      <c r="BB187" s="3267"/>
      <c r="BC187" s="3267"/>
      <c r="BD187" s="3267"/>
      <c r="BE187" s="3267"/>
      <c r="BF187" s="3267"/>
      <c r="BG187" s="3267"/>
      <c r="BH187" s="3267"/>
      <c r="BI187" s="3267"/>
      <c r="BJ187" s="3267"/>
      <c r="BK187" s="3267"/>
      <c r="BL187" s="3267"/>
      <c r="BM187" s="3267"/>
      <c r="BN187" s="3267"/>
      <c r="BO187" s="3267"/>
      <c r="BP187" s="3267"/>
      <c r="BQ187" s="3267"/>
      <c r="BR187" s="3267"/>
      <c r="BS187" s="3267"/>
      <c r="BT187" s="3267"/>
      <c r="BU187" s="3267"/>
      <c r="BV187" s="3267"/>
      <c r="BW187" s="3267"/>
      <c r="BX187" s="3267"/>
      <c r="BY187" s="3267"/>
      <c r="BZ187" s="3267"/>
      <c r="CA187" s="3267"/>
      <c r="CB187" s="3267"/>
      <c r="CC187" s="3267"/>
      <c r="CD187" s="3267"/>
      <c r="CE187" s="3267"/>
      <c r="CF187" s="3267"/>
      <c r="CG187" s="3267"/>
      <c r="CH187" s="3267"/>
      <c r="CI187" s="3215">
        <f t="shared" si="11"/>
        <v>0</v>
      </c>
    </row>
    <row r="188" spans="1:87" s="1302" customFormat="1" ht="86.25" customHeight="1">
      <c r="A188" s="1317" t="s">
        <v>1821</v>
      </c>
      <c r="B188" s="1317" t="s">
        <v>1822</v>
      </c>
      <c r="C188" s="1317" t="s">
        <v>2303</v>
      </c>
      <c r="D188" s="2324" t="s">
        <v>85</v>
      </c>
      <c r="E188" s="1304" t="s">
        <v>203</v>
      </c>
      <c r="F188" s="353">
        <v>96852</v>
      </c>
      <c r="G188" s="353"/>
      <c r="H188" s="353">
        <v>19.350000000000001</v>
      </c>
      <c r="I188" s="353">
        <v>5.2</v>
      </c>
      <c r="J188" s="353">
        <v>14.15</v>
      </c>
      <c r="K188" s="354">
        <v>1</v>
      </c>
      <c r="L188" s="283">
        <v>206500</v>
      </c>
      <c r="M188" s="2261">
        <f>L188/100000</f>
        <v>2.0649999999999999</v>
      </c>
      <c r="N188" s="283">
        <v>10</v>
      </c>
      <c r="O188" s="1348">
        <f>N188*M188</f>
        <v>20.65</v>
      </c>
      <c r="P188" s="791" t="s">
        <v>5207</v>
      </c>
      <c r="Q188" s="2257" t="str">
        <f>'Ab2. NIDDCP'!Q13</f>
        <v>The State Government has to monitor the quality of iodated salt at household/ community level by STK through ASHA and IDD awareness activities as well as promotion of consumption of iodated salt in 10 endemic Districts (as identified by GOI) i.e. Bhilaspur, Chamba, Hamirpur, Kangra, Kullu, Mandi, Shimla, Sirmaur, Solan and Una.STK procurement should be 12 kits per ASHA per annum (@ 1 STK per ASHA per month). Recommended for approval of Rs. 19.35 lakhs (7809 x 12 x Rs.20.65 = Rs.19.35) for procurement of STK for 7809 ASHAs of above mentioned districts. The State Government may procure STKs following procurement guidelines of NHM.</v>
      </c>
      <c r="R188" s="2869">
        <f>'Ab2. NIDDCP'!R13</f>
        <v>19.350000000000001</v>
      </c>
      <c r="BB188" s="3214">
        <v>19.350000000000001</v>
      </c>
      <c r="BC188" s="3214"/>
      <c r="BD188" s="3214"/>
      <c r="BE188" s="3214"/>
      <c r="BF188" s="3214"/>
      <c r="BG188" s="3214"/>
      <c r="BH188" s="3214"/>
      <c r="BI188" s="3214"/>
      <c r="BJ188" s="3214"/>
      <c r="BK188" s="3214"/>
      <c r="BL188" s="3214"/>
      <c r="BM188" s="3214"/>
      <c r="BN188" s="3214"/>
      <c r="BO188" s="3214"/>
      <c r="BP188" s="3214"/>
      <c r="BQ188" s="3214"/>
      <c r="BR188" s="3214"/>
      <c r="BS188" s="3214"/>
      <c r="BT188" s="3214"/>
      <c r="BU188" s="3214"/>
      <c r="BV188" s="3214"/>
      <c r="BW188" s="3214"/>
      <c r="BX188" s="3214"/>
      <c r="BY188" s="3214"/>
      <c r="BZ188" s="3214"/>
      <c r="CA188" s="3214"/>
      <c r="CB188" s="3214"/>
      <c r="CC188" s="3214"/>
      <c r="CD188" s="3214"/>
      <c r="CE188" s="3214"/>
      <c r="CF188" s="3214"/>
      <c r="CG188" s="3214"/>
      <c r="CH188" s="3214"/>
      <c r="CI188" s="3215">
        <f t="shared" si="11"/>
        <v>19.350000000000001</v>
      </c>
    </row>
    <row r="189" spans="1:87" ht="30">
      <c r="A189" s="1318" t="s">
        <v>1823</v>
      </c>
      <c r="B189" s="521"/>
      <c r="C189" s="509" t="s">
        <v>1808</v>
      </c>
      <c r="D189" s="1301" t="s">
        <v>85</v>
      </c>
      <c r="E189" s="1276" t="s">
        <v>203</v>
      </c>
      <c r="F189" s="69">
        <v>0</v>
      </c>
      <c r="G189" s="69"/>
      <c r="H189" s="69">
        <v>0</v>
      </c>
      <c r="I189" s="69"/>
      <c r="J189" s="69"/>
      <c r="K189" s="340"/>
      <c r="L189" s="277"/>
      <c r="M189" s="281">
        <f>L189/100000</f>
        <v>0</v>
      </c>
      <c r="N189" s="277"/>
      <c r="O189" s="1345">
        <f>N189*M189</f>
        <v>0</v>
      </c>
      <c r="P189" s="788"/>
      <c r="Q189" s="1003">
        <f>'Ab2. NIDDCP'!Q14</f>
        <v>0</v>
      </c>
      <c r="R189" s="2867">
        <f>'Ab2. NIDDCP'!R14</f>
        <v>0</v>
      </c>
      <c r="BB189" s="3267"/>
      <c r="BC189" s="3267"/>
      <c r="BD189" s="3267"/>
      <c r="BE189" s="3267"/>
      <c r="BF189" s="3267"/>
      <c r="BG189" s="3267"/>
      <c r="BH189" s="3267"/>
      <c r="BI189" s="3267"/>
      <c r="BJ189" s="3267"/>
      <c r="BK189" s="3267"/>
      <c r="BL189" s="3267"/>
      <c r="BM189" s="3267"/>
      <c r="BN189" s="3267"/>
      <c r="BO189" s="3267"/>
      <c r="BP189" s="3267"/>
      <c r="BQ189" s="3267"/>
      <c r="BR189" s="3267"/>
      <c r="BS189" s="3267"/>
      <c r="BT189" s="3267"/>
      <c r="BU189" s="3267"/>
      <c r="BV189" s="3267"/>
      <c r="BW189" s="3267"/>
      <c r="BX189" s="3267"/>
      <c r="BY189" s="3267"/>
      <c r="BZ189" s="3267"/>
      <c r="CA189" s="3267"/>
      <c r="CB189" s="3267"/>
      <c r="CC189" s="3267"/>
      <c r="CD189" s="3267"/>
      <c r="CE189" s="3267"/>
      <c r="CF189" s="3267"/>
      <c r="CG189" s="3267"/>
      <c r="CH189" s="3267"/>
      <c r="CI189" s="3215">
        <f t="shared" si="11"/>
        <v>0</v>
      </c>
    </row>
    <row r="190" spans="1:87">
      <c r="A190" s="3918"/>
      <c r="B190" s="3918"/>
      <c r="C190" s="3918"/>
      <c r="D190" s="1200"/>
      <c r="E190" s="1200"/>
      <c r="F190" s="310"/>
      <c r="G190" s="310"/>
      <c r="H190" s="310"/>
      <c r="I190" s="310"/>
      <c r="J190" s="310"/>
      <c r="K190" s="310"/>
      <c r="L190" s="310"/>
      <c r="M190" s="1336"/>
      <c r="N190" s="602"/>
      <c r="O190" s="1336"/>
      <c r="P190" s="720"/>
      <c r="Q190" s="1182"/>
      <c r="R190" s="2865"/>
      <c r="BB190" s="3267"/>
      <c r="BC190" s="3267"/>
      <c r="BD190" s="3267"/>
      <c r="BE190" s="3267"/>
      <c r="BF190" s="3267"/>
      <c r="BG190" s="3267"/>
      <c r="BH190" s="3267"/>
      <c r="BI190" s="3267"/>
      <c r="BJ190" s="3267"/>
      <c r="BK190" s="3267"/>
      <c r="BL190" s="3267"/>
      <c r="BM190" s="3267"/>
      <c r="BN190" s="3267"/>
      <c r="BO190" s="3267"/>
      <c r="BP190" s="3267"/>
      <c r="BQ190" s="3267"/>
      <c r="BR190" s="3267"/>
      <c r="BS190" s="3267"/>
      <c r="BT190" s="3267"/>
      <c r="BU190" s="3267"/>
      <c r="BV190" s="3267"/>
      <c r="BW190" s="3267"/>
      <c r="BX190" s="3267"/>
      <c r="BY190" s="3267"/>
      <c r="BZ190" s="3267"/>
      <c r="CA190" s="3267"/>
      <c r="CB190" s="3267"/>
      <c r="CC190" s="3267"/>
      <c r="CD190" s="3267"/>
      <c r="CE190" s="3267"/>
      <c r="CF190" s="3267"/>
      <c r="CG190" s="3267"/>
      <c r="CH190" s="3267"/>
      <c r="CI190" s="3215">
        <f t="shared" si="11"/>
        <v>0</v>
      </c>
    </row>
    <row r="191" spans="1:87">
      <c r="A191" s="1361" t="s">
        <v>1783</v>
      </c>
      <c r="B191" s="1362"/>
      <c r="C191" s="1363" t="s">
        <v>1784</v>
      </c>
      <c r="D191" s="1364"/>
      <c r="E191" s="938"/>
      <c r="F191" s="295"/>
      <c r="G191" s="295"/>
      <c r="H191" s="295"/>
      <c r="I191" s="295"/>
      <c r="J191" s="295"/>
      <c r="K191" s="163"/>
      <c r="L191" s="295"/>
      <c r="M191" s="1366"/>
      <c r="N191" s="295"/>
      <c r="O191" s="1366">
        <f>SUM(O192:O196)</f>
        <v>62.82</v>
      </c>
      <c r="P191" s="757"/>
      <c r="Q191" s="1000"/>
      <c r="R191" s="2875">
        <f>SUM(R192:R196)</f>
        <v>23</v>
      </c>
      <c r="BB191" s="3267"/>
      <c r="BC191" s="3267"/>
      <c r="BD191" s="3267"/>
      <c r="BE191" s="3267"/>
      <c r="BF191" s="3267"/>
      <c r="BG191" s="3267"/>
      <c r="BH191" s="3267"/>
      <c r="BI191" s="3267"/>
      <c r="BJ191" s="3267"/>
      <c r="BK191" s="3267"/>
      <c r="BL191" s="3267"/>
      <c r="BM191" s="3267"/>
      <c r="BN191" s="3267"/>
      <c r="BO191" s="3267"/>
      <c r="BP191" s="3267"/>
      <c r="BQ191" s="3267"/>
      <c r="BR191" s="3267"/>
      <c r="BS191" s="3267"/>
      <c r="BT191" s="3267"/>
      <c r="BU191" s="3267"/>
      <c r="BV191" s="3267"/>
      <c r="BW191" s="3267"/>
      <c r="BX191" s="3267"/>
      <c r="BY191" s="3267"/>
      <c r="BZ191" s="3267"/>
      <c r="CA191" s="3267"/>
      <c r="CB191" s="3267"/>
      <c r="CC191" s="3267"/>
      <c r="CD191" s="3267"/>
      <c r="CE191" s="3267"/>
      <c r="CF191" s="3267"/>
      <c r="CG191" s="3267"/>
      <c r="CH191" s="3267"/>
      <c r="CI191" s="3215">
        <f t="shared" si="11"/>
        <v>0</v>
      </c>
    </row>
    <row r="192" spans="1:87" s="1302" customFormat="1" ht="30">
      <c r="A192" s="1317" t="s">
        <v>1785</v>
      </c>
      <c r="B192" s="521" t="s">
        <v>1786</v>
      </c>
      <c r="C192" s="521" t="s">
        <v>1787</v>
      </c>
      <c r="D192" s="982" t="s">
        <v>65</v>
      </c>
      <c r="E192" s="1353" t="s">
        <v>4723</v>
      </c>
      <c r="F192" s="353">
        <v>0</v>
      </c>
      <c r="G192" s="353"/>
      <c r="H192" s="353">
        <v>0</v>
      </c>
      <c r="I192" s="353"/>
      <c r="J192" s="353"/>
      <c r="K192" s="354">
        <v>1</v>
      </c>
      <c r="L192" s="2318">
        <v>1000</v>
      </c>
      <c r="M192" s="2261">
        <f>L192/100000</f>
        <v>0.01</v>
      </c>
      <c r="N192" s="2318">
        <v>150</v>
      </c>
      <c r="O192" s="1348">
        <f>N192*M192</f>
        <v>1.5</v>
      </c>
      <c r="P192" s="791"/>
      <c r="Q192" s="2257" t="str">
        <f>'Ab3. ASHA'!Q83</f>
        <v>Recommended for approvalRs. 1.50 L for 150 ASHA Drug kits @ Rs. 1000</v>
      </c>
      <c r="R192" s="2869">
        <f>'Ab3. ASHA'!R83</f>
        <v>1.5</v>
      </c>
      <c r="BB192" s="3214">
        <v>1.5</v>
      </c>
      <c r="BC192" s="3214"/>
      <c r="BD192" s="3214"/>
      <c r="BE192" s="3214"/>
      <c r="BF192" s="3214"/>
      <c r="BG192" s="3214"/>
      <c r="BH192" s="3214"/>
      <c r="BI192" s="3214"/>
      <c r="BJ192" s="3214"/>
      <c r="BK192" s="3214"/>
      <c r="BL192" s="3214"/>
      <c r="BM192" s="3214"/>
      <c r="BN192" s="3214"/>
      <c r="BO192" s="3214"/>
      <c r="BP192" s="3214"/>
      <c r="BQ192" s="3214"/>
      <c r="BR192" s="3214"/>
      <c r="BS192" s="3214"/>
      <c r="BT192" s="3214"/>
      <c r="BU192" s="3214"/>
      <c r="BV192" s="3214"/>
      <c r="BW192" s="3214"/>
      <c r="BX192" s="3214"/>
      <c r="BY192" s="3214"/>
      <c r="BZ192" s="3214"/>
      <c r="CA192" s="3214"/>
      <c r="CB192" s="3214"/>
      <c r="CC192" s="3214"/>
      <c r="CD192" s="3214"/>
      <c r="CE192" s="3214"/>
      <c r="CF192" s="3214"/>
      <c r="CG192" s="3214"/>
      <c r="CH192" s="3214"/>
      <c r="CI192" s="3215">
        <f t="shared" si="11"/>
        <v>1.5</v>
      </c>
    </row>
    <row r="193" spans="1:87" s="1302" customFormat="1" ht="30">
      <c r="A193" s="1317" t="s">
        <v>1788</v>
      </c>
      <c r="B193" s="521" t="s">
        <v>1789</v>
      </c>
      <c r="C193" s="521" t="s">
        <v>1790</v>
      </c>
      <c r="D193" s="982" t="s">
        <v>65</v>
      </c>
      <c r="E193" s="1353" t="s">
        <v>4723</v>
      </c>
      <c r="F193" s="353">
        <v>0</v>
      </c>
      <c r="G193" s="353"/>
      <c r="H193" s="353">
        <v>0</v>
      </c>
      <c r="I193" s="353"/>
      <c r="J193" s="353"/>
      <c r="K193" s="354">
        <v>1</v>
      </c>
      <c r="L193" s="2318">
        <v>500</v>
      </c>
      <c r="M193" s="2261">
        <f>L193/100000</f>
        <v>5.0000000000000001E-3</v>
      </c>
      <c r="N193" s="2318">
        <v>7964</v>
      </c>
      <c r="O193" s="1348">
        <f>N193*M193</f>
        <v>39.82</v>
      </c>
      <c r="P193" s="791"/>
      <c r="Q193" s="2257" t="str">
        <f>'Ab3. ASHA'!Q84</f>
        <v xml:space="preserve">Not Recommended for approvalReplenishment of drug kits to be done from PHC and SHCs. </v>
      </c>
      <c r="R193" s="2869">
        <f>'Ab3. ASHA'!R84</f>
        <v>0</v>
      </c>
      <c r="BB193" s="3214"/>
      <c r="BC193" s="3214"/>
      <c r="BD193" s="3214"/>
      <c r="BE193" s="3214"/>
      <c r="BF193" s="3214"/>
      <c r="BG193" s="3214"/>
      <c r="BH193" s="3214"/>
      <c r="BI193" s="3214"/>
      <c r="BJ193" s="3214"/>
      <c r="BK193" s="3214"/>
      <c r="BL193" s="3214"/>
      <c r="BM193" s="3214"/>
      <c r="BN193" s="3214"/>
      <c r="BO193" s="3214"/>
      <c r="BP193" s="3214"/>
      <c r="BQ193" s="3214"/>
      <c r="BR193" s="3214"/>
      <c r="BS193" s="3214"/>
      <c r="BT193" s="3214"/>
      <c r="BU193" s="3214"/>
      <c r="BV193" s="3214"/>
      <c r="BW193" s="3214"/>
      <c r="BX193" s="3214"/>
      <c r="BY193" s="3214"/>
      <c r="BZ193" s="3214"/>
      <c r="CA193" s="3214"/>
      <c r="CB193" s="3214"/>
      <c r="CC193" s="3214"/>
      <c r="CD193" s="3214"/>
      <c r="CE193" s="3214"/>
      <c r="CF193" s="3214"/>
      <c r="CG193" s="3214"/>
      <c r="CH193" s="3214"/>
      <c r="CI193" s="3215">
        <f t="shared" si="11"/>
        <v>0</v>
      </c>
    </row>
    <row r="194" spans="1:87" s="1302" customFormat="1" ht="30">
      <c r="A194" s="1317" t="s">
        <v>1791</v>
      </c>
      <c r="B194" s="521" t="s">
        <v>1792</v>
      </c>
      <c r="C194" s="521" t="s">
        <v>1793</v>
      </c>
      <c r="D194" s="982" t="s">
        <v>65</v>
      </c>
      <c r="E194" s="1353" t="s">
        <v>4723</v>
      </c>
      <c r="F194" s="353">
        <v>0</v>
      </c>
      <c r="G194" s="353"/>
      <c r="H194" s="353">
        <v>0</v>
      </c>
      <c r="I194" s="353"/>
      <c r="J194" s="353"/>
      <c r="K194" s="354">
        <v>1</v>
      </c>
      <c r="L194" s="2318">
        <v>1000</v>
      </c>
      <c r="M194" s="2261">
        <f>L194/100000</f>
        <v>0.01</v>
      </c>
      <c r="N194" s="2318">
        <v>150</v>
      </c>
      <c r="O194" s="1348">
        <f>N194*M194</f>
        <v>1.5</v>
      </c>
      <c r="P194" s="792"/>
      <c r="Q194" s="2257" t="str">
        <f>'Ab3. ASHA'!Q85</f>
        <v>Recommended for approvalRs. 1.50 L for 150 HBNC kits @ Rs. 1000</v>
      </c>
      <c r="R194" s="2869">
        <f>'Ab3. ASHA'!R85</f>
        <v>1.5</v>
      </c>
      <c r="BB194" s="3214">
        <v>1.5</v>
      </c>
      <c r="BC194" s="3214"/>
      <c r="BD194" s="3214"/>
      <c r="BE194" s="3214"/>
      <c r="BF194" s="3214"/>
      <c r="BG194" s="3214"/>
      <c r="BH194" s="3214"/>
      <c r="BI194" s="3214"/>
      <c r="BJ194" s="3214"/>
      <c r="BK194" s="3214"/>
      <c r="BL194" s="3214"/>
      <c r="BM194" s="3214"/>
      <c r="BN194" s="3214"/>
      <c r="BO194" s="3214"/>
      <c r="BP194" s="3214"/>
      <c r="BQ194" s="3214"/>
      <c r="BR194" s="3214"/>
      <c r="BS194" s="3214"/>
      <c r="BT194" s="3214"/>
      <c r="BU194" s="3214"/>
      <c r="BV194" s="3214"/>
      <c r="BW194" s="3214"/>
      <c r="BX194" s="3214"/>
      <c r="BY194" s="3214"/>
      <c r="BZ194" s="3214"/>
      <c r="CA194" s="3214"/>
      <c r="CB194" s="3214"/>
      <c r="CC194" s="3214"/>
      <c r="CD194" s="3214"/>
      <c r="CE194" s="3214"/>
      <c r="CF194" s="3214"/>
      <c r="CG194" s="3214"/>
      <c r="CH194" s="3214"/>
      <c r="CI194" s="3215">
        <f t="shared" si="11"/>
        <v>1.5</v>
      </c>
    </row>
    <row r="195" spans="1:87" s="1302" customFormat="1" ht="75">
      <c r="A195" s="1317" t="s">
        <v>1794</v>
      </c>
      <c r="B195" s="521" t="s">
        <v>1795</v>
      </c>
      <c r="C195" s="521" t="s">
        <v>4671</v>
      </c>
      <c r="D195" s="982" t="s">
        <v>65</v>
      </c>
      <c r="E195" s="1353" t="s">
        <v>4723</v>
      </c>
      <c r="F195" s="353">
        <v>7964</v>
      </c>
      <c r="G195" s="353"/>
      <c r="H195" s="353">
        <v>15.93</v>
      </c>
      <c r="I195" s="353"/>
      <c r="J195" s="353">
        <v>15.93</v>
      </c>
      <c r="K195" s="354">
        <v>1</v>
      </c>
      <c r="L195" s="2318">
        <v>1000</v>
      </c>
      <c r="M195" s="2261">
        <f>L195/100000</f>
        <v>0.01</v>
      </c>
      <c r="N195" s="2318">
        <v>2000</v>
      </c>
      <c r="O195" s="1348">
        <f>N195*M195</f>
        <v>20</v>
      </c>
      <c r="P195" s="791" t="s">
        <v>5149</v>
      </c>
      <c r="Q195" s="2257" t="str">
        <f>'Ab3. ASHA'!Q86</f>
        <v>Recommended for approvalRs. 20 L for 2000 HBYC kits @ Rs. 1000</v>
      </c>
      <c r="R195" s="2869">
        <f>'Ab3. ASHA'!R86</f>
        <v>20</v>
      </c>
      <c r="BB195" s="3214">
        <v>20</v>
      </c>
      <c r="BC195" s="3214"/>
      <c r="BD195" s="3214"/>
      <c r="BE195" s="3214"/>
      <c r="BF195" s="3214"/>
      <c r="BG195" s="3214"/>
      <c r="BH195" s="3214"/>
      <c r="BI195" s="3214"/>
      <c r="BJ195" s="3214"/>
      <c r="BK195" s="3214"/>
      <c r="BL195" s="3214"/>
      <c r="BM195" s="3214"/>
      <c r="BN195" s="3214"/>
      <c r="BO195" s="3214"/>
      <c r="BP195" s="3214"/>
      <c r="BQ195" s="3214"/>
      <c r="BR195" s="3214"/>
      <c r="BS195" s="3214"/>
      <c r="BT195" s="3214"/>
      <c r="BU195" s="3214"/>
      <c r="BV195" s="3214"/>
      <c r="BW195" s="3214"/>
      <c r="BX195" s="3214"/>
      <c r="BY195" s="3214"/>
      <c r="BZ195" s="3214"/>
      <c r="CA195" s="3214"/>
      <c r="CB195" s="3214"/>
      <c r="CC195" s="3214"/>
      <c r="CD195" s="3214"/>
      <c r="CE195" s="3214"/>
      <c r="CF195" s="3214"/>
      <c r="CG195" s="3214"/>
      <c r="CH195" s="3214"/>
      <c r="CI195" s="3215">
        <f t="shared" si="11"/>
        <v>20</v>
      </c>
    </row>
    <row r="196" spans="1:87" s="1302" customFormat="1" ht="30">
      <c r="A196" s="1317" t="s">
        <v>4553</v>
      </c>
      <c r="B196" s="521"/>
      <c r="C196" s="521" t="s">
        <v>1732</v>
      </c>
      <c r="D196" s="982" t="s">
        <v>65</v>
      </c>
      <c r="E196" s="1353" t="s">
        <v>4723</v>
      </c>
      <c r="F196" s="353">
        <v>0</v>
      </c>
      <c r="G196" s="353"/>
      <c r="H196" s="353">
        <v>0</v>
      </c>
      <c r="I196" s="353"/>
      <c r="J196" s="353"/>
      <c r="K196" s="354"/>
      <c r="L196" s="283"/>
      <c r="M196" s="2261">
        <f>L196/100000</f>
        <v>0</v>
      </c>
      <c r="N196" s="283"/>
      <c r="O196" s="1348">
        <f>N196*M196</f>
        <v>0</v>
      </c>
      <c r="P196" s="791"/>
      <c r="Q196" s="2257">
        <f>'Ab3. ASHA'!Q87</f>
        <v>0</v>
      </c>
      <c r="R196" s="2869">
        <f>'Ab3. ASHA'!R87</f>
        <v>0</v>
      </c>
      <c r="BB196" s="3214"/>
      <c r="BC196" s="3214"/>
      <c r="BD196" s="3214"/>
      <c r="BE196" s="3214"/>
      <c r="BF196" s="3214"/>
      <c r="BG196" s="3214"/>
      <c r="BH196" s="3214"/>
      <c r="BI196" s="3214"/>
      <c r="BJ196" s="3214"/>
      <c r="BK196" s="3214"/>
      <c r="BL196" s="3214"/>
      <c r="BM196" s="3214"/>
      <c r="BN196" s="3214"/>
      <c r="BO196" s="3214"/>
      <c r="BP196" s="3214"/>
      <c r="BQ196" s="3214"/>
      <c r="BR196" s="3214"/>
      <c r="BS196" s="3214"/>
      <c r="BT196" s="3214"/>
      <c r="BU196" s="3214"/>
      <c r="BV196" s="3214"/>
      <c r="BW196" s="3214"/>
      <c r="BX196" s="3214"/>
      <c r="BY196" s="3214"/>
      <c r="BZ196" s="3214"/>
      <c r="CA196" s="3214"/>
      <c r="CB196" s="3214"/>
      <c r="CC196" s="3214"/>
      <c r="CD196" s="3214"/>
      <c r="CE196" s="3214"/>
      <c r="CF196" s="3214"/>
      <c r="CG196" s="3214"/>
      <c r="CH196" s="3214"/>
      <c r="CI196" s="3215">
        <f t="shared" si="11"/>
        <v>0</v>
      </c>
    </row>
    <row r="197" spans="1:87" ht="30">
      <c r="A197" s="1361" t="s">
        <v>1796</v>
      </c>
      <c r="B197" s="1362"/>
      <c r="C197" s="1363" t="s">
        <v>2481</v>
      </c>
      <c r="D197" s="1364"/>
      <c r="E197" s="938"/>
      <c r="F197" s="295"/>
      <c r="G197" s="295"/>
      <c r="H197" s="295"/>
      <c r="I197" s="295"/>
      <c r="J197" s="295"/>
      <c r="K197" s="163"/>
      <c r="L197" s="295"/>
      <c r="M197" s="1366"/>
      <c r="N197" s="295"/>
      <c r="O197" s="1366">
        <f>O198+O199</f>
        <v>0</v>
      </c>
      <c r="P197" s="757"/>
      <c r="Q197" s="1000"/>
      <c r="R197" s="2875">
        <f>R198+R199</f>
        <v>0</v>
      </c>
      <c r="BB197" s="3267"/>
      <c r="BC197" s="3267"/>
      <c r="BD197" s="3267"/>
      <c r="BE197" s="3267"/>
      <c r="BF197" s="3267"/>
      <c r="BG197" s="3267"/>
      <c r="BH197" s="3267"/>
      <c r="BI197" s="3267"/>
      <c r="BJ197" s="3267"/>
      <c r="BK197" s="3267"/>
      <c r="BL197" s="3267"/>
      <c r="BM197" s="3267"/>
      <c r="BN197" s="3267"/>
      <c r="BO197" s="3267"/>
      <c r="BP197" s="3267"/>
      <c r="BQ197" s="3267"/>
      <c r="BR197" s="3267"/>
      <c r="BS197" s="3267"/>
      <c r="BT197" s="3267"/>
      <c r="BU197" s="3267"/>
      <c r="BV197" s="3267"/>
      <c r="BW197" s="3267"/>
      <c r="BX197" s="3267"/>
      <c r="BY197" s="3267"/>
      <c r="BZ197" s="3267"/>
      <c r="CA197" s="3267"/>
      <c r="CB197" s="3267"/>
      <c r="CC197" s="3267"/>
      <c r="CD197" s="3267"/>
      <c r="CE197" s="3267"/>
      <c r="CF197" s="3267"/>
      <c r="CG197" s="3267"/>
      <c r="CH197" s="3267"/>
      <c r="CI197" s="3215">
        <f t="shared" si="11"/>
        <v>0</v>
      </c>
    </row>
    <row r="198" spans="1:87" ht="30">
      <c r="A198" s="1318" t="s">
        <v>1797</v>
      </c>
      <c r="B198" s="1368" t="s">
        <v>1798</v>
      </c>
      <c r="C198" s="1368" t="s">
        <v>2283</v>
      </c>
      <c r="D198" s="908" t="s">
        <v>65</v>
      </c>
      <c r="E198" s="1276" t="s">
        <v>3213</v>
      </c>
      <c r="F198" s="69">
        <v>0</v>
      </c>
      <c r="G198" s="69"/>
      <c r="H198" s="69">
        <v>0</v>
      </c>
      <c r="I198" s="69"/>
      <c r="J198" s="69"/>
      <c r="K198" s="340"/>
      <c r="L198" s="277"/>
      <c r="M198" s="281">
        <f>L198/100000</f>
        <v>0</v>
      </c>
      <c r="N198" s="277"/>
      <c r="O198" s="1345">
        <f>N198*M198</f>
        <v>0</v>
      </c>
      <c r="P198" s="788"/>
      <c r="Q198" s="1003">
        <f>'Abs5. Blood services &amp; Disorder'!Q17</f>
        <v>0</v>
      </c>
      <c r="R198" s="2867">
        <f>'Abs5. Blood services &amp; Disorder'!R17</f>
        <v>0</v>
      </c>
      <c r="BB198" s="3267"/>
      <c r="BC198" s="3267"/>
      <c r="BD198" s="3267"/>
      <c r="BE198" s="3267"/>
      <c r="BF198" s="3267"/>
      <c r="BG198" s="3267"/>
      <c r="BH198" s="3267"/>
      <c r="BI198" s="3267"/>
      <c r="BJ198" s="3267"/>
      <c r="BK198" s="3267"/>
      <c r="BL198" s="3267"/>
      <c r="BM198" s="3267"/>
      <c r="BN198" s="3267"/>
      <c r="BO198" s="3267"/>
      <c r="BP198" s="3267"/>
      <c r="BQ198" s="3267"/>
      <c r="BR198" s="3267"/>
      <c r="BS198" s="3267"/>
      <c r="BT198" s="3267"/>
      <c r="BU198" s="3267"/>
      <c r="BV198" s="3267"/>
      <c r="BW198" s="3267"/>
      <c r="BX198" s="3267"/>
      <c r="BY198" s="3267"/>
      <c r="BZ198" s="3267"/>
      <c r="CA198" s="3267"/>
      <c r="CB198" s="3267"/>
      <c r="CC198" s="3267"/>
      <c r="CD198" s="3267"/>
      <c r="CE198" s="3267"/>
      <c r="CF198" s="3267"/>
      <c r="CG198" s="3267"/>
      <c r="CH198" s="3267"/>
      <c r="CI198" s="3215">
        <f t="shared" ref="CI198:CI261" si="20">SUM(BB198:CH198)</f>
        <v>0</v>
      </c>
    </row>
    <row r="199" spans="1:87" ht="60">
      <c r="A199" s="1318" t="s">
        <v>2282</v>
      </c>
      <c r="B199" s="1368" t="s">
        <v>1798</v>
      </c>
      <c r="C199" s="1368" t="s">
        <v>3960</v>
      </c>
      <c r="D199" s="908" t="s">
        <v>65</v>
      </c>
      <c r="E199" s="1276" t="s">
        <v>3213</v>
      </c>
      <c r="F199" s="69">
        <v>0</v>
      </c>
      <c r="G199" s="69"/>
      <c r="H199" s="69">
        <v>0</v>
      </c>
      <c r="I199" s="69"/>
      <c r="J199" s="69"/>
      <c r="K199" s="340"/>
      <c r="L199" s="277"/>
      <c r="M199" s="281">
        <f>L199/100000</f>
        <v>0</v>
      </c>
      <c r="N199" s="277"/>
      <c r="O199" s="1345">
        <f>N199*M199</f>
        <v>0</v>
      </c>
      <c r="P199" s="788"/>
      <c r="Q199" s="1003">
        <f>'Abs5. Blood services &amp; Disorder'!Q18</f>
        <v>0</v>
      </c>
      <c r="R199" s="2867">
        <f>'Abs5. Blood services &amp; Disorder'!R18</f>
        <v>0</v>
      </c>
      <c r="BB199" s="3267"/>
      <c r="BC199" s="3267"/>
      <c r="BD199" s="3267"/>
      <c r="BE199" s="3267"/>
      <c r="BF199" s="3267"/>
      <c r="BG199" s="3267"/>
      <c r="BH199" s="3267"/>
      <c r="BI199" s="3267"/>
      <c r="BJ199" s="3267"/>
      <c r="BK199" s="3267"/>
      <c r="BL199" s="3267"/>
      <c r="BM199" s="3267"/>
      <c r="BN199" s="3267"/>
      <c r="BO199" s="3267"/>
      <c r="BP199" s="3267"/>
      <c r="BQ199" s="3267"/>
      <c r="BR199" s="3267"/>
      <c r="BS199" s="3267"/>
      <c r="BT199" s="3267"/>
      <c r="BU199" s="3267"/>
      <c r="BV199" s="3267"/>
      <c r="BW199" s="3267"/>
      <c r="BX199" s="3267"/>
      <c r="BY199" s="3267"/>
      <c r="BZ199" s="3267"/>
      <c r="CA199" s="3267"/>
      <c r="CB199" s="3267"/>
      <c r="CC199" s="3267"/>
      <c r="CD199" s="3267"/>
      <c r="CE199" s="3267"/>
      <c r="CF199" s="3267"/>
      <c r="CG199" s="3267"/>
      <c r="CH199" s="3267"/>
      <c r="CI199" s="3215">
        <f t="shared" si="20"/>
        <v>0</v>
      </c>
    </row>
    <row r="200" spans="1:87">
      <c r="A200" s="1361" t="s">
        <v>1799</v>
      </c>
      <c r="B200" s="1362"/>
      <c r="C200" s="1363" t="s">
        <v>1801</v>
      </c>
      <c r="D200" s="1364"/>
      <c r="E200" s="938"/>
      <c r="F200" s="295"/>
      <c r="G200" s="295"/>
      <c r="H200" s="295"/>
      <c r="I200" s="295"/>
      <c r="J200" s="295"/>
      <c r="K200" s="163"/>
      <c r="L200" s="295"/>
      <c r="M200" s="1366"/>
      <c r="N200" s="295"/>
      <c r="O200" s="1366">
        <f>O201</f>
        <v>0</v>
      </c>
      <c r="P200" s="757"/>
      <c r="Q200" s="1000"/>
      <c r="R200" s="2875">
        <f>R201</f>
        <v>0</v>
      </c>
      <c r="BB200" s="3267"/>
      <c r="BC200" s="3267"/>
      <c r="BD200" s="3267"/>
      <c r="BE200" s="3267"/>
      <c r="BF200" s="3267"/>
      <c r="BG200" s="3267"/>
      <c r="BH200" s="3267"/>
      <c r="BI200" s="3267"/>
      <c r="BJ200" s="3267"/>
      <c r="BK200" s="3267"/>
      <c r="BL200" s="3267"/>
      <c r="BM200" s="3267"/>
      <c r="BN200" s="3267"/>
      <c r="BO200" s="3267"/>
      <c r="BP200" s="3267"/>
      <c r="BQ200" s="3267"/>
      <c r="BR200" s="3267"/>
      <c r="BS200" s="3267"/>
      <c r="BT200" s="3267"/>
      <c r="BU200" s="3267"/>
      <c r="BV200" s="3267"/>
      <c r="BW200" s="3267"/>
      <c r="BX200" s="3267"/>
      <c r="BY200" s="3267"/>
      <c r="BZ200" s="3267"/>
      <c r="CA200" s="3267"/>
      <c r="CB200" s="3267"/>
      <c r="CC200" s="3267"/>
      <c r="CD200" s="3267"/>
      <c r="CE200" s="3267"/>
      <c r="CF200" s="3267"/>
      <c r="CG200" s="3267"/>
      <c r="CH200" s="3267"/>
      <c r="CI200" s="3215">
        <f t="shared" si="20"/>
        <v>0</v>
      </c>
    </row>
    <row r="201" spans="1:87">
      <c r="A201" s="1318" t="s">
        <v>1807</v>
      </c>
      <c r="B201" s="509" t="s">
        <v>1800</v>
      </c>
      <c r="C201" s="509"/>
      <c r="D201" s="908" t="s">
        <v>65</v>
      </c>
      <c r="E201" s="1276" t="s">
        <v>65</v>
      </c>
      <c r="F201" s="69">
        <v>0</v>
      </c>
      <c r="G201" s="69"/>
      <c r="H201" s="69">
        <v>0</v>
      </c>
      <c r="I201" s="69"/>
      <c r="J201" s="69"/>
      <c r="K201" s="340"/>
      <c r="L201" s="277"/>
      <c r="M201" s="281">
        <f>L201/100000</f>
        <v>0</v>
      </c>
      <c r="N201" s="277"/>
      <c r="O201" s="1345">
        <f>N201*M201</f>
        <v>0</v>
      </c>
      <c r="P201" s="788"/>
      <c r="Q201" s="1022"/>
      <c r="R201" s="2870"/>
      <c r="BB201" s="3267"/>
      <c r="BC201" s="3267"/>
      <c r="BD201" s="3267"/>
      <c r="BE201" s="3267"/>
      <c r="BF201" s="3267"/>
      <c r="BG201" s="3267"/>
      <c r="BH201" s="3267"/>
      <c r="BI201" s="3267"/>
      <c r="BJ201" s="3267"/>
      <c r="BK201" s="3267"/>
      <c r="BL201" s="3267"/>
      <c r="BM201" s="3267"/>
      <c r="BN201" s="3267"/>
      <c r="BO201" s="3267"/>
      <c r="BP201" s="3267"/>
      <c r="BQ201" s="3267"/>
      <c r="BR201" s="3267"/>
      <c r="BS201" s="3267"/>
      <c r="BT201" s="3267"/>
      <c r="BU201" s="3267"/>
      <c r="BV201" s="3267"/>
      <c r="BW201" s="3267"/>
      <c r="BX201" s="3267"/>
      <c r="BY201" s="3267"/>
      <c r="BZ201" s="3267"/>
      <c r="CA201" s="3267"/>
      <c r="CB201" s="3267"/>
      <c r="CC201" s="3267"/>
      <c r="CD201" s="3267"/>
      <c r="CE201" s="3267"/>
      <c r="CF201" s="3267"/>
      <c r="CG201" s="3267"/>
      <c r="CH201" s="3267"/>
      <c r="CI201" s="3215">
        <f t="shared" si="20"/>
        <v>0</v>
      </c>
    </row>
    <row r="202" spans="1:87">
      <c r="A202" s="1361" t="s">
        <v>1809</v>
      </c>
      <c r="B202" s="1362" t="s">
        <v>1810</v>
      </c>
      <c r="C202" s="1363" t="s">
        <v>1811</v>
      </c>
      <c r="D202" s="1364"/>
      <c r="E202" s="938"/>
      <c r="F202" s="295"/>
      <c r="G202" s="295"/>
      <c r="H202" s="295"/>
      <c r="I202" s="295"/>
      <c r="J202" s="295"/>
      <c r="K202" s="163"/>
      <c r="L202" s="295"/>
      <c r="M202" s="1366"/>
      <c r="N202" s="295"/>
      <c r="O202" s="1366">
        <f>SUM(O203:O204)</f>
        <v>0</v>
      </c>
      <c r="P202" s="757"/>
      <c r="Q202" s="1000"/>
      <c r="R202" s="2875">
        <f>SUM(R203:R204)</f>
        <v>0</v>
      </c>
      <c r="BB202" s="3267"/>
      <c r="BC202" s="3267"/>
      <c r="BD202" s="3267"/>
      <c r="BE202" s="3267"/>
      <c r="BF202" s="3267"/>
      <c r="BG202" s="3267"/>
      <c r="BH202" s="3267"/>
      <c r="BI202" s="3267"/>
      <c r="BJ202" s="3267"/>
      <c r="BK202" s="3267"/>
      <c r="BL202" s="3267"/>
      <c r="BM202" s="3267"/>
      <c r="BN202" s="3267"/>
      <c r="BO202" s="3267"/>
      <c r="BP202" s="3267"/>
      <c r="BQ202" s="3267"/>
      <c r="BR202" s="3267"/>
      <c r="BS202" s="3267"/>
      <c r="BT202" s="3267"/>
      <c r="BU202" s="3267"/>
      <c r="BV202" s="3267"/>
      <c r="BW202" s="3267"/>
      <c r="BX202" s="3267"/>
      <c r="BY202" s="3267"/>
      <c r="BZ202" s="3267"/>
      <c r="CA202" s="3267"/>
      <c r="CB202" s="3267"/>
      <c r="CC202" s="3267"/>
      <c r="CD202" s="3267"/>
      <c r="CE202" s="3267"/>
      <c r="CF202" s="3267"/>
      <c r="CG202" s="3267"/>
      <c r="CH202" s="3267"/>
      <c r="CI202" s="3215">
        <f t="shared" si="20"/>
        <v>0</v>
      </c>
    </row>
    <row r="203" spans="1:87">
      <c r="A203" s="1318" t="s">
        <v>1812</v>
      </c>
      <c r="B203" s="521"/>
      <c r="C203" s="1359" t="s">
        <v>1811</v>
      </c>
      <c r="D203" s="908" t="s">
        <v>65</v>
      </c>
      <c r="E203" s="1276" t="s">
        <v>2763</v>
      </c>
      <c r="F203" s="69">
        <v>0</v>
      </c>
      <c r="G203" s="69"/>
      <c r="H203" s="69">
        <v>0</v>
      </c>
      <c r="I203" s="69"/>
      <c r="J203" s="69"/>
      <c r="K203" s="340"/>
      <c r="L203" s="277"/>
      <c r="M203" s="281">
        <f>L203/100000</f>
        <v>0</v>
      </c>
      <c r="N203" s="277"/>
      <c r="O203" s="1345">
        <f>N203*M203</f>
        <v>0</v>
      </c>
      <c r="P203" s="788"/>
      <c r="Q203" s="1003">
        <f>'Abs7. AYUSH'!Q9</f>
        <v>0</v>
      </c>
      <c r="R203" s="2867">
        <f>'Abs7. AYUSH'!R9</f>
        <v>0</v>
      </c>
      <c r="BB203" s="3267"/>
      <c r="BC203" s="3267"/>
      <c r="BD203" s="3267"/>
      <c r="BE203" s="3267"/>
      <c r="BF203" s="3267"/>
      <c r="BG203" s="3267"/>
      <c r="BH203" s="3267"/>
      <c r="BI203" s="3267"/>
      <c r="BJ203" s="3267"/>
      <c r="BK203" s="3267"/>
      <c r="BL203" s="3267"/>
      <c r="BM203" s="3267"/>
      <c r="BN203" s="3267"/>
      <c r="BO203" s="3267"/>
      <c r="BP203" s="3267"/>
      <c r="BQ203" s="3267"/>
      <c r="BR203" s="3267"/>
      <c r="BS203" s="3267"/>
      <c r="BT203" s="3267"/>
      <c r="BU203" s="3267"/>
      <c r="BV203" s="3267"/>
      <c r="BW203" s="3267"/>
      <c r="BX203" s="3267"/>
      <c r="BY203" s="3267"/>
      <c r="BZ203" s="3267"/>
      <c r="CA203" s="3267"/>
      <c r="CB203" s="3267"/>
      <c r="CC203" s="3267"/>
      <c r="CD203" s="3267"/>
      <c r="CE203" s="3267"/>
      <c r="CF203" s="3267"/>
      <c r="CG203" s="3267"/>
      <c r="CH203" s="3267"/>
      <c r="CI203" s="3215">
        <f t="shared" si="20"/>
        <v>0</v>
      </c>
    </row>
    <row r="204" spans="1:87">
      <c r="A204" s="1318" t="s">
        <v>1813</v>
      </c>
      <c r="B204" s="521"/>
      <c r="C204" s="1352" t="s">
        <v>4375</v>
      </c>
      <c r="D204" s="908" t="s">
        <v>65</v>
      </c>
      <c r="E204" s="1276" t="s">
        <v>2763</v>
      </c>
      <c r="F204" s="69">
        <v>0</v>
      </c>
      <c r="G204" s="69"/>
      <c r="H204" s="69">
        <v>0</v>
      </c>
      <c r="I204" s="69"/>
      <c r="J204" s="69"/>
      <c r="K204" s="340"/>
      <c r="L204" s="277"/>
      <c r="M204" s="281">
        <f>L204/100000</f>
        <v>0</v>
      </c>
      <c r="N204" s="277"/>
      <c r="O204" s="1345">
        <f>N204*M204</f>
        <v>0</v>
      </c>
      <c r="Q204" s="1003">
        <f>'Abs7. AYUSH'!Q10</f>
        <v>0</v>
      </c>
      <c r="R204" s="2867">
        <f>'Abs7. AYUSH'!R10</f>
        <v>0</v>
      </c>
      <c r="BB204" s="3267"/>
      <c r="BC204" s="3267"/>
      <c r="BD204" s="3267"/>
      <c r="BE204" s="3267"/>
      <c r="BF204" s="3267"/>
      <c r="BG204" s="3267"/>
      <c r="BH204" s="3267"/>
      <c r="BI204" s="3267"/>
      <c r="BJ204" s="3267"/>
      <c r="BK204" s="3267"/>
      <c r="BL204" s="3267"/>
      <c r="BM204" s="3267"/>
      <c r="BN204" s="3267"/>
      <c r="BO204" s="3267"/>
      <c r="BP204" s="3267"/>
      <c r="BQ204" s="3267"/>
      <c r="BR204" s="3267"/>
      <c r="BS204" s="3267"/>
      <c r="BT204" s="3267"/>
      <c r="BU204" s="3267"/>
      <c r="BV204" s="3267"/>
      <c r="BW204" s="3267"/>
      <c r="BX204" s="3267"/>
      <c r="BY204" s="3267"/>
      <c r="BZ204" s="3267"/>
      <c r="CA204" s="3267"/>
      <c r="CB204" s="3267"/>
      <c r="CC204" s="3267"/>
      <c r="CD204" s="3267"/>
      <c r="CE204" s="3267"/>
      <c r="CF204" s="3267"/>
      <c r="CG204" s="3267"/>
      <c r="CH204" s="3267"/>
      <c r="CI204" s="3215">
        <f t="shared" si="20"/>
        <v>0</v>
      </c>
    </row>
    <row r="205" spans="1:87">
      <c r="A205" s="1361" t="s">
        <v>2298</v>
      </c>
      <c r="B205" s="1362" t="s">
        <v>1920</v>
      </c>
      <c r="C205" s="1363" t="s">
        <v>1921</v>
      </c>
      <c r="D205" s="1364"/>
      <c r="E205" s="938"/>
      <c r="F205" s="295"/>
      <c r="G205" s="295"/>
      <c r="H205" s="295"/>
      <c r="I205" s="295"/>
      <c r="J205" s="295"/>
      <c r="K205" s="163"/>
      <c r="L205" s="295"/>
      <c r="M205" s="1366"/>
      <c r="N205" s="295"/>
      <c r="O205" s="1366">
        <f>SUM(O206:O207)</f>
        <v>6500</v>
      </c>
      <c r="P205" s="757"/>
      <c r="Q205" s="1000"/>
      <c r="R205" s="2875">
        <f>SUM(R206:R207)</f>
        <v>6500</v>
      </c>
      <c r="BB205" s="3267"/>
      <c r="BC205" s="3267"/>
      <c r="BD205" s="3267"/>
      <c r="BE205" s="3267"/>
      <c r="BF205" s="3267"/>
      <c r="BG205" s="3267"/>
      <c r="BH205" s="3267"/>
      <c r="BI205" s="3267"/>
      <c r="BJ205" s="3267"/>
      <c r="BK205" s="3267"/>
      <c r="BL205" s="3267"/>
      <c r="BM205" s="3267"/>
      <c r="BN205" s="3267"/>
      <c r="BO205" s="3267"/>
      <c r="BP205" s="3267"/>
      <c r="BQ205" s="3267"/>
      <c r="BR205" s="3267"/>
      <c r="BS205" s="3267"/>
      <c r="BT205" s="3267"/>
      <c r="BU205" s="3267"/>
      <c r="BV205" s="3267"/>
      <c r="BW205" s="3267"/>
      <c r="BX205" s="3267"/>
      <c r="BY205" s="3267"/>
      <c r="BZ205" s="3267"/>
      <c r="CA205" s="3267"/>
      <c r="CB205" s="3267"/>
      <c r="CC205" s="3267"/>
      <c r="CD205" s="3267"/>
      <c r="CE205" s="3267"/>
      <c r="CF205" s="3267"/>
      <c r="CG205" s="3267"/>
      <c r="CH205" s="3267"/>
      <c r="CI205" s="3215">
        <f t="shared" si="20"/>
        <v>0</v>
      </c>
    </row>
    <row r="206" spans="1:87" s="1302" customFormat="1" ht="45">
      <c r="A206" s="1317" t="s">
        <v>2299</v>
      </c>
      <c r="B206" s="521" t="s">
        <v>1923</v>
      </c>
      <c r="C206" s="521" t="s">
        <v>4340</v>
      </c>
      <c r="D206" s="982" t="s">
        <v>65</v>
      </c>
      <c r="E206" s="1304" t="s">
        <v>65</v>
      </c>
      <c r="F206" s="353">
        <v>5000000</v>
      </c>
      <c r="G206" s="353"/>
      <c r="H206" s="2356">
        <v>4500</v>
      </c>
      <c r="I206" s="2356">
        <v>1125</v>
      </c>
      <c r="J206" s="353">
        <v>3375</v>
      </c>
      <c r="K206" s="343">
        <v>1</v>
      </c>
      <c r="L206" s="2519">
        <v>100</v>
      </c>
      <c r="M206" s="2261">
        <f>L206/100000</f>
        <v>1E-3</v>
      </c>
      <c r="N206" s="2519">
        <v>6500000</v>
      </c>
      <c r="O206" s="1348">
        <f>N206*M206</f>
        <v>6500</v>
      </c>
      <c r="P206" s="791" t="s">
        <v>5480</v>
      </c>
      <c r="Q206" s="2315" t="s">
        <v>5869</v>
      </c>
      <c r="R206" s="2860">
        <v>6500</v>
      </c>
      <c r="BB206" s="3214">
        <v>6500</v>
      </c>
      <c r="BC206" s="3214"/>
      <c r="BD206" s="3214"/>
      <c r="BE206" s="3214"/>
      <c r="BF206" s="3214"/>
      <c r="BG206" s="3214"/>
      <c r="BH206" s="3214"/>
      <c r="BI206" s="3214"/>
      <c r="BJ206" s="3214"/>
      <c r="BK206" s="3214"/>
      <c r="BL206" s="3214"/>
      <c r="BM206" s="3214"/>
      <c r="BN206" s="3214"/>
      <c r="BO206" s="3214"/>
      <c r="BP206" s="3214"/>
      <c r="BQ206" s="3214"/>
      <c r="BR206" s="3214"/>
      <c r="BS206" s="3214"/>
      <c r="BT206" s="3214"/>
      <c r="BU206" s="3214"/>
      <c r="BV206" s="3214"/>
      <c r="BW206" s="3214"/>
      <c r="BX206" s="3214"/>
      <c r="BY206" s="3214"/>
      <c r="BZ206" s="3214"/>
      <c r="CA206" s="3214"/>
      <c r="CB206" s="3214"/>
      <c r="CC206" s="3214"/>
      <c r="CD206" s="3214"/>
      <c r="CE206" s="3214"/>
      <c r="CF206" s="3214"/>
      <c r="CG206" s="3214"/>
      <c r="CH206" s="3214"/>
      <c r="CI206" s="3215">
        <f t="shared" si="20"/>
        <v>6500</v>
      </c>
    </row>
    <row r="207" spans="1:87" ht="30">
      <c r="A207" s="1318" t="s">
        <v>2300</v>
      </c>
      <c r="B207" s="509" t="s">
        <v>1925</v>
      </c>
      <c r="C207" s="509" t="s">
        <v>1926</v>
      </c>
      <c r="D207" s="908" t="s">
        <v>65</v>
      </c>
      <c r="E207" s="1276" t="s">
        <v>65</v>
      </c>
      <c r="F207" s="69">
        <v>0</v>
      </c>
      <c r="G207" s="69"/>
      <c r="H207" s="342">
        <v>0</v>
      </c>
      <c r="I207" s="342"/>
      <c r="J207" s="69"/>
      <c r="K207" s="340"/>
      <c r="L207" s="277"/>
      <c r="M207" s="281">
        <f>L207/100000</f>
        <v>0</v>
      </c>
      <c r="N207" s="277"/>
      <c r="O207" s="1345">
        <f>N207*M207</f>
        <v>0</v>
      </c>
      <c r="P207" s="788"/>
      <c r="Q207" s="1022"/>
      <c r="R207" s="2870"/>
      <c r="BB207" s="3267"/>
      <c r="BC207" s="3267"/>
      <c r="BD207" s="3267"/>
      <c r="BE207" s="3267"/>
      <c r="BF207" s="3267"/>
      <c r="BG207" s="3267"/>
      <c r="BH207" s="3267"/>
      <c r="BI207" s="3267"/>
      <c r="BJ207" s="3267"/>
      <c r="BK207" s="3267"/>
      <c r="BL207" s="3267"/>
      <c r="BM207" s="3267"/>
      <c r="BN207" s="3267"/>
      <c r="BO207" s="3267"/>
      <c r="BP207" s="3267"/>
      <c r="BQ207" s="3267"/>
      <c r="BR207" s="3267"/>
      <c r="BS207" s="3267"/>
      <c r="BT207" s="3267"/>
      <c r="BU207" s="3267"/>
      <c r="BV207" s="3267"/>
      <c r="BW207" s="3267"/>
      <c r="BX207" s="3267"/>
      <c r="BY207" s="3267"/>
      <c r="BZ207" s="3267"/>
      <c r="CA207" s="3267"/>
      <c r="CB207" s="3267"/>
      <c r="CC207" s="3267"/>
      <c r="CD207" s="3267"/>
      <c r="CE207" s="3267"/>
      <c r="CF207" s="3267"/>
      <c r="CG207" s="3267"/>
      <c r="CH207" s="3267"/>
      <c r="CI207" s="3215">
        <f t="shared" si="20"/>
        <v>0</v>
      </c>
    </row>
    <row r="208" spans="1:87" ht="30">
      <c r="A208" s="1361" t="s">
        <v>2327</v>
      </c>
      <c r="B208" s="1363" t="s">
        <v>2031</v>
      </c>
      <c r="C208" s="1363" t="s">
        <v>2482</v>
      </c>
      <c r="D208" s="1364"/>
      <c r="E208" s="938"/>
      <c r="F208" s="295"/>
      <c r="G208" s="295"/>
      <c r="H208" s="295"/>
      <c r="I208" s="295"/>
      <c r="J208" s="295"/>
      <c r="K208" s="163"/>
      <c r="L208" s="295"/>
      <c r="M208" s="1366"/>
      <c r="N208" s="295"/>
      <c r="O208" s="1366">
        <f>SUM(O209:O210)</f>
        <v>0</v>
      </c>
      <c r="P208" s="757"/>
      <c r="Q208" s="1000"/>
      <c r="R208" s="2875">
        <f>SUM(R209:R210)</f>
        <v>0</v>
      </c>
      <c r="BB208" s="3267"/>
      <c r="BC208" s="3267"/>
      <c r="BD208" s="3267"/>
      <c r="BE208" s="3267"/>
      <c r="BF208" s="3267"/>
      <c r="BG208" s="3267"/>
      <c r="BH208" s="3267"/>
      <c r="BI208" s="3267"/>
      <c r="BJ208" s="3267"/>
      <c r="BK208" s="3267"/>
      <c r="BL208" s="3267"/>
      <c r="BM208" s="3267"/>
      <c r="BN208" s="3267"/>
      <c r="BO208" s="3267"/>
      <c r="BP208" s="3267"/>
      <c r="BQ208" s="3267"/>
      <c r="BR208" s="3267"/>
      <c r="BS208" s="3267"/>
      <c r="BT208" s="3267"/>
      <c r="BU208" s="3267"/>
      <c r="BV208" s="3267"/>
      <c r="BW208" s="3267"/>
      <c r="BX208" s="3267"/>
      <c r="BY208" s="3267"/>
      <c r="BZ208" s="3267"/>
      <c r="CA208" s="3267"/>
      <c r="CB208" s="3267"/>
      <c r="CC208" s="3267"/>
      <c r="CD208" s="3267"/>
      <c r="CE208" s="3267"/>
      <c r="CF208" s="3267"/>
      <c r="CG208" s="3267"/>
      <c r="CH208" s="3267"/>
      <c r="CI208" s="3215">
        <f t="shared" si="20"/>
        <v>0</v>
      </c>
    </row>
    <row r="209" spans="1:87" ht="30">
      <c r="A209" s="1318" t="s">
        <v>2328</v>
      </c>
      <c r="B209" s="521"/>
      <c r="C209" s="509" t="s">
        <v>4569</v>
      </c>
      <c r="D209" s="908" t="s">
        <v>65</v>
      </c>
      <c r="E209" s="1353" t="s">
        <v>4218</v>
      </c>
      <c r="F209" s="69">
        <v>1679</v>
      </c>
      <c r="G209" s="69"/>
      <c r="H209" s="69">
        <v>1303.7</v>
      </c>
      <c r="I209" s="69"/>
      <c r="J209" s="69">
        <v>1303.7</v>
      </c>
      <c r="K209" s="340"/>
      <c r="L209" s="277"/>
      <c r="M209" s="281">
        <f>L209/100000</f>
        <v>0</v>
      </c>
      <c r="N209" s="277"/>
      <c r="O209" s="1345">
        <f>N209*M209</f>
        <v>0</v>
      </c>
      <c r="P209" s="795"/>
      <c r="Q209" s="1003">
        <f>'Abs6. CPHC'!Q15</f>
        <v>0</v>
      </c>
      <c r="R209" s="2867">
        <f>'Abs6. CPHC'!R15</f>
        <v>0</v>
      </c>
      <c r="BB209" s="3267"/>
      <c r="BC209" s="3267"/>
      <c r="BD209" s="3267"/>
      <c r="BE209" s="3267"/>
      <c r="BF209" s="3267"/>
      <c r="BG209" s="3267"/>
      <c r="BH209" s="3267"/>
      <c r="BI209" s="3267"/>
      <c r="BJ209" s="3267"/>
      <c r="BK209" s="3267"/>
      <c r="BL209" s="3267"/>
      <c r="BM209" s="3267"/>
      <c r="BN209" s="3267"/>
      <c r="BO209" s="3267"/>
      <c r="BP209" s="3267"/>
      <c r="BQ209" s="3267"/>
      <c r="BR209" s="3267"/>
      <c r="BS209" s="3267"/>
      <c r="BT209" s="3267"/>
      <c r="BU209" s="3267"/>
      <c r="BV209" s="3267"/>
      <c r="BW209" s="3267"/>
      <c r="BX209" s="3267"/>
      <c r="BY209" s="3267"/>
      <c r="BZ209" s="3267"/>
      <c r="CA209" s="3267"/>
      <c r="CB209" s="3267"/>
      <c r="CC209" s="3267"/>
      <c r="CD209" s="3267"/>
      <c r="CE209" s="3267"/>
      <c r="CF209" s="3267"/>
      <c r="CG209" s="3267"/>
      <c r="CH209" s="3267"/>
      <c r="CI209" s="3215">
        <f t="shared" si="20"/>
        <v>0</v>
      </c>
    </row>
    <row r="210" spans="1:87" ht="30">
      <c r="A210" s="1318" t="s">
        <v>2329</v>
      </c>
      <c r="B210" s="521"/>
      <c r="C210" s="509" t="s">
        <v>4570</v>
      </c>
      <c r="D210" s="908" t="s">
        <v>65</v>
      </c>
      <c r="E210" s="1353" t="s">
        <v>4218</v>
      </c>
      <c r="F210" s="69">
        <v>0</v>
      </c>
      <c r="G210" s="69"/>
      <c r="H210" s="69">
        <v>0</v>
      </c>
      <c r="I210" s="69"/>
      <c r="J210" s="69"/>
      <c r="K210" s="340"/>
      <c r="L210" s="277"/>
      <c r="M210" s="281">
        <f>L210/100000</f>
        <v>0</v>
      </c>
      <c r="N210" s="277"/>
      <c r="O210" s="1345">
        <f>N210*M210</f>
        <v>0</v>
      </c>
      <c r="P210" s="788"/>
      <c r="Q210" s="1003">
        <f>'Abs6. CPHC'!Q16</f>
        <v>0</v>
      </c>
      <c r="R210" s="2867">
        <f>'Abs6. CPHC'!R16</f>
        <v>0</v>
      </c>
      <c r="BB210" s="3267"/>
      <c r="BC210" s="3267"/>
      <c r="BD210" s="3267"/>
      <c r="BE210" s="3267"/>
      <c r="BF210" s="3267"/>
      <c r="BG210" s="3267"/>
      <c r="BH210" s="3267"/>
      <c r="BI210" s="3267"/>
      <c r="BJ210" s="3267"/>
      <c r="BK210" s="3267"/>
      <c r="BL210" s="3267"/>
      <c r="BM210" s="3267"/>
      <c r="BN210" s="3267"/>
      <c r="BO210" s="3267"/>
      <c r="BP210" s="3267"/>
      <c r="BQ210" s="3267"/>
      <c r="BR210" s="3267"/>
      <c r="BS210" s="3267"/>
      <c r="BT210" s="3267"/>
      <c r="BU210" s="3267"/>
      <c r="BV210" s="3267"/>
      <c r="BW210" s="3267"/>
      <c r="BX210" s="3267"/>
      <c r="BY210" s="3267"/>
      <c r="BZ210" s="3267"/>
      <c r="CA210" s="3267"/>
      <c r="CB210" s="3267"/>
      <c r="CC210" s="3267"/>
      <c r="CD210" s="3267"/>
      <c r="CE210" s="3267"/>
      <c r="CF210" s="3267"/>
      <c r="CG210" s="3267"/>
      <c r="CH210" s="3267"/>
      <c r="CI210" s="3215">
        <f t="shared" si="20"/>
        <v>0</v>
      </c>
    </row>
    <row r="211" spans="1:87">
      <c r="A211" s="1290">
        <v>6.3</v>
      </c>
      <c r="B211" s="1291"/>
      <c r="C211" s="1290" t="s">
        <v>4347</v>
      </c>
      <c r="D211" s="930"/>
      <c r="E211" s="930"/>
      <c r="F211" s="93"/>
      <c r="G211" s="93"/>
      <c r="H211" s="93"/>
      <c r="I211" s="93"/>
      <c r="J211" s="93"/>
      <c r="K211" s="93"/>
      <c r="L211" s="93"/>
      <c r="M211" s="1149"/>
      <c r="N211" s="335"/>
      <c r="O211" s="1149">
        <f>O212</f>
        <v>10</v>
      </c>
      <c r="P211" s="705"/>
      <c r="Q211" s="996"/>
      <c r="R211" s="2872">
        <f>R212</f>
        <v>0</v>
      </c>
      <c r="BB211" s="3267"/>
      <c r="BC211" s="3267"/>
      <c r="BD211" s="3267"/>
      <c r="BE211" s="3267"/>
      <c r="BF211" s="3267"/>
      <c r="BG211" s="3267"/>
      <c r="BH211" s="3267"/>
      <c r="BI211" s="3267"/>
      <c r="BJ211" s="3267"/>
      <c r="BK211" s="3267"/>
      <c r="BL211" s="3267"/>
      <c r="BM211" s="3267"/>
      <c r="BN211" s="3267"/>
      <c r="BO211" s="3267"/>
      <c r="BP211" s="3267"/>
      <c r="BQ211" s="3267"/>
      <c r="BR211" s="3267"/>
      <c r="BS211" s="3267"/>
      <c r="BT211" s="3267"/>
      <c r="BU211" s="3267"/>
      <c r="BV211" s="3267"/>
      <c r="BW211" s="3267"/>
      <c r="BX211" s="3267"/>
      <c r="BY211" s="3267"/>
      <c r="BZ211" s="3267"/>
      <c r="CA211" s="3267"/>
      <c r="CB211" s="3267"/>
      <c r="CC211" s="3267"/>
      <c r="CD211" s="3267"/>
      <c r="CE211" s="3267"/>
      <c r="CF211" s="3267"/>
      <c r="CG211" s="3267"/>
      <c r="CH211" s="3267"/>
      <c r="CI211" s="3215">
        <f t="shared" si="20"/>
        <v>0</v>
      </c>
    </row>
    <row r="212" spans="1:87" s="1302" customFormat="1" ht="90">
      <c r="A212" s="1317" t="s">
        <v>1927</v>
      </c>
      <c r="B212" s="521"/>
      <c r="C212" s="3050" t="s">
        <v>5492</v>
      </c>
      <c r="D212" s="982" t="s">
        <v>65</v>
      </c>
      <c r="E212" s="1304" t="s">
        <v>65</v>
      </c>
      <c r="F212" s="353">
        <v>0</v>
      </c>
      <c r="G212" s="353"/>
      <c r="H212" s="353">
        <v>0</v>
      </c>
      <c r="I212" s="353"/>
      <c r="J212" s="353"/>
      <c r="K212" s="354">
        <v>1</v>
      </c>
      <c r="L212" s="283">
        <v>1000000</v>
      </c>
      <c r="M212" s="2261">
        <f>L212/100000</f>
        <v>10</v>
      </c>
      <c r="N212" s="283">
        <v>1</v>
      </c>
      <c r="O212" s="1348">
        <f>N212*M212</f>
        <v>10</v>
      </c>
      <c r="P212" s="791" t="s">
        <v>5304</v>
      </c>
      <c r="Q212" s="2315" t="s">
        <v>5882</v>
      </c>
      <c r="R212" s="2860">
        <v>0</v>
      </c>
      <c r="S212" s="3051"/>
      <c r="BB212" s="3214"/>
      <c r="BC212" s="3214"/>
      <c r="BD212" s="3214"/>
      <c r="BE212" s="3214"/>
      <c r="BF212" s="3214"/>
      <c r="BG212" s="3214"/>
      <c r="BH212" s="3214"/>
      <c r="BI212" s="3214"/>
      <c r="BJ212" s="3214"/>
      <c r="BK212" s="3214"/>
      <c r="BL212" s="3214"/>
      <c r="BM212" s="3214"/>
      <c r="BN212" s="3214"/>
      <c r="BO212" s="3214"/>
      <c r="BP212" s="3214"/>
      <c r="BQ212" s="3214"/>
      <c r="BR212" s="3214"/>
      <c r="BS212" s="3214"/>
      <c r="BT212" s="3214"/>
      <c r="BU212" s="3214"/>
      <c r="BV212" s="3214"/>
      <c r="BW212" s="3214"/>
      <c r="BX212" s="3214"/>
      <c r="BY212" s="3214"/>
      <c r="BZ212" s="3214"/>
      <c r="CA212" s="3214"/>
      <c r="CB212" s="3214"/>
      <c r="CC212" s="3214"/>
      <c r="CD212" s="3214"/>
      <c r="CE212" s="3214"/>
      <c r="CF212" s="3214"/>
      <c r="CG212" s="3214"/>
      <c r="CH212" s="3214"/>
      <c r="CI212" s="3215">
        <f t="shared" si="20"/>
        <v>0</v>
      </c>
    </row>
    <row r="213" spans="1:87">
      <c r="A213" s="3918"/>
      <c r="B213" s="3918"/>
      <c r="C213" s="3918"/>
      <c r="D213" s="1200"/>
      <c r="E213" s="1200"/>
      <c r="F213" s="310"/>
      <c r="G213" s="310"/>
      <c r="H213" s="310"/>
      <c r="I213" s="310"/>
      <c r="J213" s="310"/>
      <c r="K213" s="310"/>
      <c r="L213" s="310"/>
      <c r="M213" s="1336"/>
      <c r="N213" s="602"/>
      <c r="O213" s="1336"/>
      <c r="P213" s="720"/>
      <c r="Q213" s="1182"/>
      <c r="R213" s="2865"/>
      <c r="BB213" s="3267"/>
      <c r="BC213" s="3267"/>
      <c r="BD213" s="3267"/>
      <c r="BE213" s="3267"/>
      <c r="BF213" s="3267"/>
      <c r="BG213" s="3267"/>
      <c r="BH213" s="3267"/>
      <c r="BI213" s="3267"/>
      <c r="BJ213" s="3267"/>
      <c r="BK213" s="3267"/>
      <c r="BL213" s="3267"/>
      <c r="BM213" s="3267"/>
      <c r="BN213" s="3267"/>
      <c r="BO213" s="3267"/>
      <c r="BP213" s="3267"/>
      <c r="BQ213" s="3267"/>
      <c r="BR213" s="3267"/>
      <c r="BS213" s="3267"/>
      <c r="BT213" s="3267"/>
      <c r="BU213" s="3267"/>
      <c r="BV213" s="3267"/>
      <c r="BW213" s="3267"/>
      <c r="BX213" s="3267"/>
      <c r="BY213" s="3267"/>
      <c r="BZ213" s="3267"/>
      <c r="CA213" s="3267"/>
      <c r="CB213" s="3267"/>
      <c r="CC213" s="3267"/>
      <c r="CD213" s="3267"/>
      <c r="CE213" s="3267"/>
      <c r="CF213" s="3267"/>
      <c r="CG213" s="3267"/>
      <c r="CH213" s="3267"/>
      <c r="CI213" s="3215">
        <f t="shared" si="20"/>
        <v>0</v>
      </c>
    </row>
    <row r="214" spans="1:87" ht="30">
      <c r="A214" s="1361" t="s">
        <v>1824</v>
      </c>
      <c r="B214" s="1362"/>
      <c r="C214" s="1363" t="s">
        <v>1825</v>
      </c>
      <c r="D214" s="1364"/>
      <c r="E214" s="938"/>
      <c r="F214" s="295"/>
      <c r="G214" s="295"/>
      <c r="H214" s="295"/>
      <c r="I214" s="295"/>
      <c r="J214" s="295"/>
      <c r="K214" s="163"/>
      <c r="L214" s="295"/>
      <c r="M214" s="1366"/>
      <c r="N214" s="295"/>
      <c r="O214" s="1366">
        <f>SUM(O215:O231)</f>
        <v>4.41</v>
      </c>
      <c r="P214" s="757"/>
      <c r="Q214" s="1000"/>
      <c r="R214" s="2875">
        <f>SUM(R215:R231)</f>
        <v>4.41</v>
      </c>
      <c r="BB214" s="3267"/>
      <c r="BC214" s="3267"/>
      <c r="BD214" s="3267"/>
      <c r="BE214" s="3267"/>
      <c r="BF214" s="3267"/>
      <c r="BG214" s="3267"/>
      <c r="BH214" s="3267"/>
      <c r="BI214" s="3267"/>
      <c r="BJ214" s="3267"/>
      <c r="BK214" s="3267"/>
      <c r="BL214" s="3267"/>
      <c r="BM214" s="3267"/>
      <c r="BN214" s="3267"/>
      <c r="BO214" s="3267"/>
      <c r="BP214" s="3267"/>
      <c r="BQ214" s="3267"/>
      <c r="BR214" s="3267"/>
      <c r="BS214" s="3267"/>
      <c r="BT214" s="3267"/>
      <c r="BU214" s="3267"/>
      <c r="BV214" s="3267"/>
      <c r="BW214" s="3267"/>
      <c r="BX214" s="3267"/>
      <c r="BY214" s="3267"/>
      <c r="BZ214" s="3267"/>
      <c r="CA214" s="3267"/>
      <c r="CB214" s="3267"/>
      <c r="CC214" s="3267"/>
      <c r="CD214" s="3267"/>
      <c r="CE214" s="3267"/>
      <c r="CF214" s="3267"/>
      <c r="CG214" s="3267"/>
      <c r="CH214" s="3267"/>
      <c r="CI214" s="3215">
        <f t="shared" si="20"/>
        <v>0</v>
      </c>
    </row>
    <row r="215" spans="1:87" ht="30">
      <c r="A215" s="1318" t="s">
        <v>1826</v>
      </c>
      <c r="B215" s="1319" t="s">
        <v>1827</v>
      </c>
      <c r="C215" s="1319" t="s">
        <v>1828</v>
      </c>
      <c r="D215" s="1007" t="s">
        <v>4219</v>
      </c>
      <c r="E215" s="1276" t="s">
        <v>1309</v>
      </c>
      <c r="F215" s="69">
        <v>0</v>
      </c>
      <c r="G215" s="69"/>
      <c r="H215" s="69">
        <v>0</v>
      </c>
      <c r="I215" s="69"/>
      <c r="J215" s="69"/>
      <c r="K215" s="340"/>
      <c r="L215" s="277"/>
      <c r="M215" s="281">
        <f t="shared" ref="M215:M231" si="21">L215/100000</f>
        <v>0</v>
      </c>
      <c r="N215" s="277"/>
      <c r="O215" s="1345">
        <f t="shared" ref="O215:O231" si="22">N215*M215</f>
        <v>0</v>
      </c>
      <c r="P215" s="788"/>
      <c r="Q215" s="1003">
        <f>'Abs9. NVBDCP'!Q44</f>
        <v>0</v>
      </c>
      <c r="R215" s="2867">
        <f>'Abs9. NVBDCP'!R44</f>
        <v>0</v>
      </c>
      <c r="BB215" s="3267"/>
      <c r="BC215" s="3267"/>
      <c r="BD215" s="3267"/>
      <c r="BE215" s="3267"/>
      <c r="BF215" s="3267"/>
      <c r="BG215" s="3267"/>
      <c r="BH215" s="3267"/>
      <c r="BI215" s="3267"/>
      <c r="BJ215" s="3267"/>
      <c r="BK215" s="3267"/>
      <c r="BL215" s="3267"/>
      <c r="BM215" s="3267"/>
      <c r="BN215" s="3267"/>
      <c r="BO215" s="3267"/>
      <c r="BP215" s="3267"/>
      <c r="BQ215" s="3267"/>
      <c r="BR215" s="3267"/>
      <c r="BS215" s="3267"/>
      <c r="BT215" s="3267"/>
      <c r="BU215" s="3267"/>
      <c r="BV215" s="3267"/>
      <c r="BW215" s="3267"/>
      <c r="BX215" s="3267"/>
      <c r="BY215" s="3267"/>
      <c r="BZ215" s="3267"/>
      <c r="CA215" s="3267"/>
      <c r="CB215" s="3267"/>
      <c r="CC215" s="3267"/>
      <c r="CD215" s="3267"/>
      <c r="CE215" s="3267"/>
      <c r="CF215" s="3267"/>
      <c r="CG215" s="3267"/>
      <c r="CH215" s="3267"/>
      <c r="CI215" s="3215">
        <f t="shared" si="20"/>
        <v>0</v>
      </c>
    </row>
    <row r="216" spans="1:87">
      <c r="A216" s="1318" t="s">
        <v>1829</v>
      </c>
      <c r="B216" s="1319" t="s">
        <v>1830</v>
      </c>
      <c r="C216" s="1319" t="s">
        <v>1831</v>
      </c>
      <c r="D216" s="1007" t="s">
        <v>4219</v>
      </c>
      <c r="E216" s="1276" t="s">
        <v>4714</v>
      </c>
      <c r="F216" s="69">
        <v>0</v>
      </c>
      <c r="G216" s="69"/>
      <c r="H216" s="69">
        <v>0</v>
      </c>
      <c r="I216" s="69"/>
      <c r="J216" s="69"/>
      <c r="K216" s="340"/>
      <c r="L216" s="277"/>
      <c r="M216" s="281">
        <f t="shared" si="21"/>
        <v>0</v>
      </c>
      <c r="N216" s="277"/>
      <c r="O216" s="1345">
        <f t="shared" si="22"/>
        <v>0</v>
      </c>
      <c r="P216" s="788"/>
      <c r="Q216" s="1003">
        <f>'Abs9. NVBDCP'!Q45</f>
        <v>0</v>
      </c>
      <c r="R216" s="2867">
        <f>'Abs9. NVBDCP'!R45</f>
        <v>0</v>
      </c>
      <c r="BB216" s="3267"/>
      <c r="BC216" s="3267"/>
      <c r="BD216" s="3267"/>
      <c r="BE216" s="3267"/>
      <c r="BF216" s="3267"/>
      <c r="BG216" s="3267"/>
      <c r="BH216" s="3267"/>
      <c r="BI216" s="3267"/>
      <c r="BJ216" s="3267"/>
      <c r="BK216" s="3267"/>
      <c r="BL216" s="3267"/>
      <c r="BM216" s="3267"/>
      <c r="BN216" s="3267"/>
      <c r="BO216" s="3267"/>
      <c r="BP216" s="3267"/>
      <c r="BQ216" s="3267"/>
      <c r="BR216" s="3267"/>
      <c r="BS216" s="3267"/>
      <c r="BT216" s="3267"/>
      <c r="BU216" s="3267"/>
      <c r="BV216" s="3267"/>
      <c r="BW216" s="3267"/>
      <c r="BX216" s="3267"/>
      <c r="BY216" s="3267"/>
      <c r="BZ216" s="3267"/>
      <c r="CA216" s="3267"/>
      <c r="CB216" s="3267"/>
      <c r="CC216" s="3267"/>
      <c r="CD216" s="3267"/>
      <c r="CE216" s="3267"/>
      <c r="CF216" s="3267"/>
      <c r="CG216" s="3267"/>
      <c r="CH216" s="3267"/>
      <c r="CI216" s="3215">
        <f t="shared" si="20"/>
        <v>0</v>
      </c>
    </row>
    <row r="217" spans="1:87">
      <c r="A217" s="1318" t="s">
        <v>1832</v>
      </c>
      <c r="B217" s="1319" t="s">
        <v>1833</v>
      </c>
      <c r="C217" s="1319" t="s">
        <v>1834</v>
      </c>
      <c r="D217" s="1007" t="s">
        <v>4219</v>
      </c>
      <c r="E217" s="1276" t="s">
        <v>4714</v>
      </c>
      <c r="F217" s="69">
        <v>0</v>
      </c>
      <c r="G217" s="69"/>
      <c r="H217" s="69">
        <v>0</v>
      </c>
      <c r="I217" s="69"/>
      <c r="J217" s="69"/>
      <c r="K217" s="340"/>
      <c r="L217" s="277"/>
      <c r="M217" s="281">
        <f t="shared" si="21"/>
        <v>0</v>
      </c>
      <c r="N217" s="277"/>
      <c r="O217" s="1345">
        <f t="shared" si="22"/>
        <v>0</v>
      </c>
      <c r="P217" s="788"/>
      <c r="Q217" s="1003">
        <f>'Abs9. NVBDCP'!Q46</f>
        <v>0</v>
      </c>
      <c r="R217" s="2867">
        <f>'Abs9. NVBDCP'!R46</f>
        <v>0</v>
      </c>
      <c r="BB217" s="3267"/>
      <c r="BC217" s="3267"/>
      <c r="BD217" s="3267"/>
      <c r="BE217" s="3267"/>
      <c r="BF217" s="3267"/>
      <c r="BG217" s="3267"/>
      <c r="BH217" s="3267"/>
      <c r="BI217" s="3267"/>
      <c r="BJ217" s="3267"/>
      <c r="BK217" s="3267"/>
      <c r="BL217" s="3267"/>
      <c r="BM217" s="3267"/>
      <c r="BN217" s="3267"/>
      <c r="BO217" s="3267"/>
      <c r="BP217" s="3267"/>
      <c r="BQ217" s="3267"/>
      <c r="BR217" s="3267"/>
      <c r="BS217" s="3267"/>
      <c r="BT217" s="3267"/>
      <c r="BU217" s="3267"/>
      <c r="BV217" s="3267"/>
      <c r="BW217" s="3267"/>
      <c r="BX217" s="3267"/>
      <c r="BY217" s="3267"/>
      <c r="BZ217" s="3267"/>
      <c r="CA217" s="3267"/>
      <c r="CB217" s="3267"/>
      <c r="CC217" s="3267"/>
      <c r="CD217" s="3267"/>
      <c r="CE217" s="3267"/>
      <c r="CF217" s="3267"/>
      <c r="CG217" s="3267"/>
      <c r="CH217" s="3267"/>
      <c r="CI217" s="3215">
        <f t="shared" si="20"/>
        <v>0</v>
      </c>
    </row>
    <row r="218" spans="1:87">
      <c r="A218" s="1318" t="s">
        <v>1835</v>
      </c>
      <c r="B218" s="1319" t="s">
        <v>1836</v>
      </c>
      <c r="C218" s="1319" t="s">
        <v>1837</v>
      </c>
      <c r="D218" s="1007" t="s">
        <v>4219</v>
      </c>
      <c r="E218" s="1276" t="s">
        <v>4714</v>
      </c>
      <c r="F218" s="69">
        <v>0</v>
      </c>
      <c r="G218" s="69"/>
      <c r="H218" s="69">
        <v>0</v>
      </c>
      <c r="I218" s="69"/>
      <c r="J218" s="69"/>
      <c r="K218" s="340"/>
      <c r="L218" s="277"/>
      <c r="M218" s="281">
        <f t="shared" si="21"/>
        <v>0</v>
      </c>
      <c r="N218" s="277"/>
      <c r="O218" s="1345">
        <f t="shared" si="22"/>
        <v>0</v>
      </c>
      <c r="P218" s="788"/>
      <c r="Q218" s="1003">
        <f>'Abs9. NVBDCP'!Q47</f>
        <v>0</v>
      </c>
      <c r="R218" s="2867">
        <f>'Abs9. NVBDCP'!R47</f>
        <v>0</v>
      </c>
      <c r="BB218" s="3267"/>
      <c r="BC218" s="3267"/>
      <c r="BD218" s="3267"/>
      <c r="BE218" s="3267"/>
      <c r="BF218" s="3267"/>
      <c r="BG218" s="3267"/>
      <c r="BH218" s="3267"/>
      <c r="BI218" s="3267"/>
      <c r="BJ218" s="3267"/>
      <c r="BK218" s="3267"/>
      <c r="BL218" s="3267"/>
      <c r="BM218" s="3267"/>
      <c r="BN218" s="3267"/>
      <c r="BO218" s="3267"/>
      <c r="BP218" s="3267"/>
      <c r="BQ218" s="3267"/>
      <c r="BR218" s="3267"/>
      <c r="BS218" s="3267"/>
      <c r="BT218" s="3267"/>
      <c r="BU218" s="3267"/>
      <c r="BV218" s="3267"/>
      <c r="BW218" s="3267"/>
      <c r="BX218" s="3267"/>
      <c r="BY218" s="3267"/>
      <c r="BZ218" s="3267"/>
      <c r="CA218" s="3267"/>
      <c r="CB218" s="3267"/>
      <c r="CC218" s="3267"/>
      <c r="CD218" s="3267"/>
      <c r="CE218" s="3267"/>
      <c r="CF218" s="3267"/>
      <c r="CG218" s="3267"/>
      <c r="CH218" s="3267"/>
      <c r="CI218" s="3215">
        <f t="shared" si="20"/>
        <v>0</v>
      </c>
    </row>
    <row r="219" spans="1:87" ht="30">
      <c r="A219" s="1318" t="s">
        <v>1838</v>
      </c>
      <c r="B219" s="1319" t="s">
        <v>1839</v>
      </c>
      <c r="C219" s="1319" t="s">
        <v>3961</v>
      </c>
      <c r="D219" s="1007" t="s">
        <v>4219</v>
      </c>
      <c r="E219" s="1276" t="s">
        <v>4714</v>
      </c>
      <c r="F219" s="69">
        <v>0</v>
      </c>
      <c r="G219" s="69"/>
      <c r="H219" s="69">
        <v>0</v>
      </c>
      <c r="I219" s="69"/>
      <c r="J219" s="69"/>
      <c r="K219" s="340"/>
      <c r="L219" s="277"/>
      <c r="M219" s="281">
        <f t="shared" si="21"/>
        <v>0</v>
      </c>
      <c r="N219" s="277"/>
      <c r="O219" s="1345">
        <f t="shared" si="22"/>
        <v>0</v>
      </c>
      <c r="P219" s="788"/>
      <c r="Q219" s="1003">
        <f>'Abs9. NVBDCP'!Q48</f>
        <v>0</v>
      </c>
      <c r="R219" s="2867">
        <f>'Abs9. NVBDCP'!R48</f>
        <v>0</v>
      </c>
      <c r="BB219" s="3267"/>
      <c r="BC219" s="3267"/>
      <c r="BD219" s="3267"/>
      <c r="BE219" s="3267"/>
      <c r="BF219" s="3267"/>
      <c r="BG219" s="3267"/>
      <c r="BH219" s="3267"/>
      <c r="BI219" s="3267"/>
      <c r="BJ219" s="3267"/>
      <c r="BK219" s="3267"/>
      <c r="BL219" s="3267"/>
      <c r="BM219" s="3267"/>
      <c r="BN219" s="3267"/>
      <c r="BO219" s="3267"/>
      <c r="BP219" s="3267"/>
      <c r="BQ219" s="3267"/>
      <c r="BR219" s="3267"/>
      <c r="BS219" s="3267"/>
      <c r="BT219" s="3267"/>
      <c r="BU219" s="3267"/>
      <c r="BV219" s="3267"/>
      <c r="BW219" s="3267"/>
      <c r="BX219" s="3267"/>
      <c r="BY219" s="3267"/>
      <c r="BZ219" s="3267"/>
      <c r="CA219" s="3267"/>
      <c r="CB219" s="3267"/>
      <c r="CC219" s="3267"/>
      <c r="CD219" s="3267"/>
      <c r="CE219" s="3267"/>
      <c r="CF219" s="3267"/>
      <c r="CG219" s="3267"/>
      <c r="CH219" s="3267"/>
      <c r="CI219" s="3215">
        <f t="shared" si="20"/>
        <v>0</v>
      </c>
    </row>
    <row r="220" spans="1:87" ht="30">
      <c r="A220" s="1318" t="s">
        <v>1840</v>
      </c>
      <c r="B220" s="1319" t="s">
        <v>1841</v>
      </c>
      <c r="C220" s="1319" t="s">
        <v>1842</v>
      </c>
      <c r="D220" s="1007" t="s">
        <v>4219</v>
      </c>
      <c r="E220" s="1276" t="s">
        <v>4711</v>
      </c>
      <c r="F220" s="69">
        <v>0</v>
      </c>
      <c r="G220" s="69"/>
      <c r="H220" s="69">
        <v>0</v>
      </c>
      <c r="I220" s="69"/>
      <c r="J220" s="69"/>
      <c r="K220" s="340"/>
      <c r="L220" s="277"/>
      <c r="M220" s="281">
        <f t="shared" si="21"/>
        <v>0</v>
      </c>
      <c r="N220" s="277"/>
      <c r="O220" s="1345">
        <f t="shared" si="22"/>
        <v>0</v>
      </c>
      <c r="P220" s="788"/>
      <c r="Q220" s="1003">
        <f>'Abs9. NVBDCP'!Q49</f>
        <v>0</v>
      </c>
      <c r="R220" s="2867">
        <f>'Abs9. NVBDCP'!R49</f>
        <v>0</v>
      </c>
      <c r="BB220" s="3267"/>
      <c r="BC220" s="3267"/>
      <c r="BD220" s="3267"/>
      <c r="BE220" s="3267"/>
      <c r="BF220" s="3267"/>
      <c r="BG220" s="3267"/>
      <c r="BH220" s="3267"/>
      <c r="BI220" s="3267"/>
      <c r="BJ220" s="3267"/>
      <c r="BK220" s="3267"/>
      <c r="BL220" s="3267"/>
      <c r="BM220" s="3267"/>
      <c r="BN220" s="3267"/>
      <c r="BO220" s="3267"/>
      <c r="BP220" s="3267"/>
      <c r="BQ220" s="3267"/>
      <c r="BR220" s="3267"/>
      <c r="BS220" s="3267"/>
      <c r="BT220" s="3267"/>
      <c r="BU220" s="3267"/>
      <c r="BV220" s="3267"/>
      <c r="BW220" s="3267"/>
      <c r="BX220" s="3267"/>
      <c r="BY220" s="3267"/>
      <c r="BZ220" s="3267"/>
      <c r="CA220" s="3267"/>
      <c r="CB220" s="3267"/>
      <c r="CC220" s="3267"/>
      <c r="CD220" s="3267"/>
      <c r="CE220" s="3267"/>
      <c r="CF220" s="3267"/>
      <c r="CG220" s="3267"/>
      <c r="CH220" s="3267"/>
      <c r="CI220" s="3215">
        <f t="shared" si="20"/>
        <v>0</v>
      </c>
    </row>
    <row r="221" spans="1:87" ht="30">
      <c r="A221" s="1318" t="s">
        <v>1843</v>
      </c>
      <c r="B221" s="1319" t="s">
        <v>1844</v>
      </c>
      <c r="C221" s="1319" t="s">
        <v>1845</v>
      </c>
      <c r="D221" s="1007" t="s">
        <v>4219</v>
      </c>
      <c r="E221" s="1276" t="s">
        <v>4711</v>
      </c>
      <c r="F221" s="69">
        <v>0</v>
      </c>
      <c r="G221" s="69"/>
      <c r="H221" s="69">
        <v>0</v>
      </c>
      <c r="I221" s="69"/>
      <c r="J221" s="69"/>
      <c r="K221" s="340"/>
      <c r="L221" s="277"/>
      <c r="M221" s="281">
        <f t="shared" si="21"/>
        <v>0</v>
      </c>
      <c r="N221" s="277"/>
      <c r="O221" s="1345">
        <f t="shared" si="22"/>
        <v>0</v>
      </c>
      <c r="P221" s="788"/>
      <c r="Q221" s="1003">
        <f>'Abs9. NVBDCP'!Q50</f>
        <v>0</v>
      </c>
      <c r="R221" s="2867">
        <f>'Abs9. NVBDCP'!R50</f>
        <v>0</v>
      </c>
      <c r="BB221" s="3267"/>
      <c r="BC221" s="3267"/>
      <c r="BD221" s="3267"/>
      <c r="BE221" s="3267"/>
      <c r="BF221" s="3267"/>
      <c r="BG221" s="3267"/>
      <c r="BH221" s="3267"/>
      <c r="BI221" s="3267"/>
      <c r="BJ221" s="3267"/>
      <c r="BK221" s="3267"/>
      <c r="BL221" s="3267"/>
      <c r="BM221" s="3267"/>
      <c r="BN221" s="3267"/>
      <c r="BO221" s="3267"/>
      <c r="BP221" s="3267"/>
      <c r="BQ221" s="3267"/>
      <c r="BR221" s="3267"/>
      <c r="BS221" s="3267"/>
      <c r="BT221" s="3267"/>
      <c r="BU221" s="3267"/>
      <c r="BV221" s="3267"/>
      <c r="BW221" s="3267"/>
      <c r="BX221" s="3267"/>
      <c r="BY221" s="3267"/>
      <c r="BZ221" s="3267"/>
      <c r="CA221" s="3267"/>
      <c r="CB221" s="3267"/>
      <c r="CC221" s="3267"/>
      <c r="CD221" s="3267"/>
      <c r="CE221" s="3267"/>
      <c r="CF221" s="3267"/>
      <c r="CG221" s="3267"/>
      <c r="CH221" s="3267"/>
      <c r="CI221" s="3215">
        <f t="shared" si="20"/>
        <v>0</v>
      </c>
    </row>
    <row r="222" spans="1:87" s="1302" customFormat="1" ht="30">
      <c r="A222" s="1317" t="s">
        <v>1846</v>
      </c>
      <c r="B222" s="1312" t="s">
        <v>1847</v>
      </c>
      <c r="C222" s="1312" t="s">
        <v>1848</v>
      </c>
      <c r="D222" s="2254" t="s">
        <v>4219</v>
      </c>
      <c r="E222" s="1304" t="s">
        <v>4709</v>
      </c>
      <c r="F222" s="353">
        <v>7</v>
      </c>
      <c r="G222" s="353">
        <v>0</v>
      </c>
      <c r="H222" s="2356">
        <v>7</v>
      </c>
      <c r="I222" s="2356"/>
      <c r="J222" s="80">
        <v>7</v>
      </c>
      <c r="K222" s="2554">
        <v>7</v>
      </c>
      <c r="L222" s="279">
        <v>30000</v>
      </c>
      <c r="M222" s="2261">
        <f t="shared" si="21"/>
        <v>0.3</v>
      </c>
      <c r="N222" s="279">
        <v>7</v>
      </c>
      <c r="O222" s="1348">
        <f t="shared" si="22"/>
        <v>2.1</v>
      </c>
      <c r="P222" s="2555" t="s">
        <v>5288</v>
      </c>
      <c r="Q222" s="2257" t="str">
        <f>'Abs9. NVBDCP'!Q51</f>
        <v>Activity Recommended at 7 SSH.</v>
      </c>
      <c r="R222" s="2869">
        <f>'Abs9. NVBDCP'!R51</f>
        <v>2.1</v>
      </c>
      <c r="BB222" s="3214"/>
      <c r="BC222" s="3214"/>
      <c r="BD222" s="3214"/>
      <c r="BE222" s="3214"/>
      <c r="BF222" s="3214"/>
      <c r="BG222" s="3214"/>
      <c r="BH222" s="3214"/>
      <c r="BI222" s="3214"/>
      <c r="BJ222" s="3214"/>
      <c r="BK222" s="3214"/>
      <c r="BL222" s="3214"/>
      <c r="BM222" s="3214">
        <v>0.6</v>
      </c>
      <c r="BN222" s="3214"/>
      <c r="BO222" s="3214">
        <v>0.3</v>
      </c>
      <c r="BP222" s="3214">
        <v>0.3</v>
      </c>
      <c r="BQ222" s="3214"/>
      <c r="BR222" s="3214"/>
      <c r="BS222" s="3214"/>
      <c r="BT222" s="3214"/>
      <c r="BU222" s="3214"/>
      <c r="BV222" s="3214">
        <v>0.3</v>
      </c>
      <c r="BW222" s="3214"/>
      <c r="BX222" s="3214"/>
      <c r="BY222" s="3214"/>
      <c r="BZ222" s="3214">
        <v>0.3</v>
      </c>
      <c r="CA222" s="3214"/>
      <c r="CB222" s="3214"/>
      <c r="CC222" s="3214"/>
      <c r="CD222" s="3214">
        <v>0.3</v>
      </c>
      <c r="CE222" s="3214"/>
      <c r="CF222" s="3214"/>
      <c r="CG222" s="3214"/>
      <c r="CH222" s="3214"/>
      <c r="CI222" s="3215">
        <f t="shared" si="20"/>
        <v>2.1</v>
      </c>
    </row>
    <row r="223" spans="1:87" ht="45">
      <c r="A223" s="1318" t="s">
        <v>1849</v>
      </c>
      <c r="B223" s="1319" t="s">
        <v>1850</v>
      </c>
      <c r="C223" s="1319" t="s">
        <v>1851</v>
      </c>
      <c r="D223" s="1007" t="s">
        <v>4219</v>
      </c>
      <c r="E223" s="1276" t="s">
        <v>109</v>
      </c>
      <c r="F223" s="69">
        <v>0</v>
      </c>
      <c r="G223" s="69"/>
      <c r="H223" s="342">
        <v>0</v>
      </c>
      <c r="I223" s="342"/>
      <c r="J223" s="69"/>
      <c r="K223" s="340"/>
      <c r="L223" s="277"/>
      <c r="M223" s="281">
        <f t="shared" si="21"/>
        <v>0</v>
      </c>
      <c r="N223" s="277"/>
      <c r="O223" s="1345">
        <f t="shared" si="22"/>
        <v>0</v>
      </c>
      <c r="P223" s="788"/>
      <c r="Q223" s="1003">
        <f>'Abs9. NVBDCP'!Q52</f>
        <v>0</v>
      </c>
      <c r="R223" s="2867">
        <f>'Abs9. NVBDCP'!R52</f>
        <v>0</v>
      </c>
      <c r="BB223" s="3267"/>
      <c r="BC223" s="3267"/>
      <c r="BD223" s="3267"/>
      <c r="BE223" s="3267"/>
      <c r="BF223" s="3267"/>
      <c r="BG223" s="3267"/>
      <c r="BH223" s="3267"/>
      <c r="BI223" s="3267"/>
      <c r="BJ223" s="3267"/>
      <c r="BK223" s="3267"/>
      <c r="BL223" s="3267"/>
      <c r="BM223" s="3267"/>
      <c r="BN223" s="3267"/>
      <c r="BO223" s="3267"/>
      <c r="BP223" s="3267"/>
      <c r="BQ223" s="3267"/>
      <c r="BR223" s="3267"/>
      <c r="BS223" s="3267"/>
      <c r="BT223" s="3267"/>
      <c r="BU223" s="3267"/>
      <c r="BV223" s="3267"/>
      <c r="BW223" s="3267"/>
      <c r="BX223" s="3267"/>
      <c r="BY223" s="3267"/>
      <c r="BZ223" s="3267"/>
      <c r="CA223" s="3267"/>
      <c r="CB223" s="3267"/>
      <c r="CC223" s="3267"/>
      <c r="CD223" s="3267"/>
      <c r="CE223" s="3267"/>
      <c r="CF223" s="3267"/>
      <c r="CG223" s="3267"/>
      <c r="CH223" s="3267"/>
      <c r="CI223" s="3215">
        <f t="shared" si="20"/>
        <v>0</v>
      </c>
    </row>
    <row r="224" spans="1:87" ht="30">
      <c r="A224" s="1318" t="s">
        <v>1852</v>
      </c>
      <c r="B224" s="1319" t="s">
        <v>1853</v>
      </c>
      <c r="C224" s="1319" t="s">
        <v>1854</v>
      </c>
      <c r="D224" s="1007" t="s">
        <v>4219</v>
      </c>
      <c r="E224" s="1276" t="s">
        <v>109</v>
      </c>
      <c r="F224" s="69">
        <v>0</v>
      </c>
      <c r="G224" s="69"/>
      <c r="H224" s="342">
        <v>0</v>
      </c>
      <c r="I224" s="342"/>
      <c r="J224" s="69"/>
      <c r="K224" s="340"/>
      <c r="L224" s="277"/>
      <c r="M224" s="281">
        <f t="shared" si="21"/>
        <v>0</v>
      </c>
      <c r="N224" s="277"/>
      <c r="O224" s="1345">
        <f t="shared" si="22"/>
        <v>0</v>
      </c>
      <c r="P224" s="788"/>
      <c r="Q224" s="1003">
        <f>'Abs9. NVBDCP'!Q53</f>
        <v>0</v>
      </c>
      <c r="R224" s="2867">
        <f>'Abs9. NVBDCP'!R53</f>
        <v>0</v>
      </c>
      <c r="BB224" s="3267"/>
      <c r="BC224" s="3267"/>
      <c r="BD224" s="3267"/>
      <c r="BE224" s="3267"/>
      <c r="BF224" s="3267"/>
      <c r="BG224" s="3267"/>
      <c r="BH224" s="3267"/>
      <c r="BI224" s="3267"/>
      <c r="BJ224" s="3267"/>
      <c r="BK224" s="3267"/>
      <c r="BL224" s="3267"/>
      <c r="BM224" s="3267"/>
      <c r="BN224" s="3267"/>
      <c r="BO224" s="3267"/>
      <c r="BP224" s="3267"/>
      <c r="BQ224" s="3267"/>
      <c r="BR224" s="3267"/>
      <c r="BS224" s="3267"/>
      <c r="BT224" s="3267"/>
      <c r="BU224" s="3267"/>
      <c r="BV224" s="3267"/>
      <c r="BW224" s="3267"/>
      <c r="BX224" s="3267"/>
      <c r="BY224" s="3267"/>
      <c r="BZ224" s="3267"/>
      <c r="CA224" s="3267"/>
      <c r="CB224" s="3267"/>
      <c r="CC224" s="3267"/>
      <c r="CD224" s="3267"/>
      <c r="CE224" s="3267"/>
      <c r="CF224" s="3267"/>
      <c r="CG224" s="3267"/>
      <c r="CH224" s="3267"/>
      <c r="CI224" s="3215">
        <f t="shared" si="20"/>
        <v>0</v>
      </c>
    </row>
    <row r="225" spans="1:87">
      <c r="A225" s="1318" t="s">
        <v>1855</v>
      </c>
      <c r="B225" s="1319" t="s">
        <v>1856</v>
      </c>
      <c r="C225" s="1319" t="s">
        <v>1857</v>
      </c>
      <c r="D225" s="1007" t="s">
        <v>4219</v>
      </c>
      <c r="E225" s="1276" t="s">
        <v>109</v>
      </c>
      <c r="F225" s="69">
        <v>0</v>
      </c>
      <c r="G225" s="69"/>
      <c r="H225" s="69">
        <v>0</v>
      </c>
      <c r="I225" s="69"/>
      <c r="J225" s="69"/>
      <c r="K225" s="340"/>
      <c r="L225" s="277"/>
      <c r="M225" s="281">
        <f t="shared" si="21"/>
        <v>0</v>
      </c>
      <c r="N225" s="277"/>
      <c r="O225" s="1345">
        <f t="shared" si="22"/>
        <v>0</v>
      </c>
      <c r="P225" s="788"/>
      <c r="Q225" s="1003">
        <f>'Abs9. NVBDCP'!Q54</f>
        <v>0</v>
      </c>
      <c r="R225" s="2867">
        <f>'Abs9. NVBDCP'!R54</f>
        <v>0</v>
      </c>
      <c r="BB225" s="3267"/>
      <c r="BC225" s="3267"/>
      <c r="BD225" s="3267"/>
      <c r="BE225" s="3267"/>
      <c r="BF225" s="3267"/>
      <c r="BG225" s="3267"/>
      <c r="BH225" s="3267"/>
      <c r="BI225" s="3267"/>
      <c r="BJ225" s="3267"/>
      <c r="BK225" s="3267"/>
      <c r="BL225" s="3267"/>
      <c r="BM225" s="3267"/>
      <c r="BN225" s="3267"/>
      <c r="BO225" s="3267"/>
      <c r="BP225" s="3267"/>
      <c r="BQ225" s="3267"/>
      <c r="BR225" s="3267"/>
      <c r="BS225" s="3267"/>
      <c r="BT225" s="3267"/>
      <c r="BU225" s="3267"/>
      <c r="BV225" s="3267"/>
      <c r="BW225" s="3267"/>
      <c r="BX225" s="3267"/>
      <c r="BY225" s="3267"/>
      <c r="BZ225" s="3267"/>
      <c r="CA225" s="3267"/>
      <c r="CB225" s="3267"/>
      <c r="CC225" s="3267"/>
      <c r="CD225" s="3267"/>
      <c r="CE225" s="3267"/>
      <c r="CF225" s="3267"/>
      <c r="CG225" s="3267"/>
      <c r="CH225" s="3267"/>
      <c r="CI225" s="3215">
        <f t="shared" si="20"/>
        <v>0</v>
      </c>
    </row>
    <row r="226" spans="1:87" ht="30">
      <c r="A226" s="1318" t="s">
        <v>1858</v>
      </c>
      <c r="B226" s="1319" t="s">
        <v>1859</v>
      </c>
      <c r="C226" s="1319" t="s">
        <v>1860</v>
      </c>
      <c r="D226" s="1007" t="s">
        <v>4219</v>
      </c>
      <c r="E226" s="1276" t="s">
        <v>4714</v>
      </c>
      <c r="F226" s="69">
        <v>0</v>
      </c>
      <c r="G226" s="69"/>
      <c r="H226" s="69">
        <v>0</v>
      </c>
      <c r="I226" s="69"/>
      <c r="J226" s="69"/>
      <c r="K226" s="340"/>
      <c r="L226" s="277"/>
      <c r="M226" s="281">
        <f t="shared" si="21"/>
        <v>0</v>
      </c>
      <c r="N226" s="277"/>
      <c r="O226" s="1345">
        <f t="shared" si="22"/>
        <v>0</v>
      </c>
      <c r="P226" s="788"/>
      <c r="Q226" s="1003">
        <f>'Abs9. NVBDCP'!Q55</f>
        <v>0</v>
      </c>
      <c r="R226" s="2867">
        <f>'Abs9. NVBDCP'!R55</f>
        <v>0</v>
      </c>
      <c r="BB226" s="3267"/>
      <c r="BC226" s="3267"/>
      <c r="BD226" s="3267"/>
      <c r="BE226" s="3267"/>
      <c r="BF226" s="3267"/>
      <c r="BG226" s="3267"/>
      <c r="BH226" s="3267"/>
      <c r="BI226" s="3267"/>
      <c r="BJ226" s="3267"/>
      <c r="BK226" s="3267"/>
      <c r="BL226" s="3267"/>
      <c r="BM226" s="3267"/>
      <c r="BN226" s="3267"/>
      <c r="BO226" s="3267"/>
      <c r="BP226" s="3267"/>
      <c r="BQ226" s="3267"/>
      <c r="BR226" s="3267"/>
      <c r="BS226" s="3267"/>
      <c r="BT226" s="3267"/>
      <c r="BU226" s="3267"/>
      <c r="BV226" s="3267"/>
      <c r="BW226" s="3267"/>
      <c r="BX226" s="3267"/>
      <c r="BY226" s="3267"/>
      <c r="BZ226" s="3267"/>
      <c r="CA226" s="3267"/>
      <c r="CB226" s="3267"/>
      <c r="CC226" s="3267"/>
      <c r="CD226" s="3267"/>
      <c r="CE226" s="3267"/>
      <c r="CF226" s="3267"/>
      <c r="CG226" s="3267"/>
      <c r="CH226" s="3267"/>
      <c r="CI226" s="3215">
        <f t="shared" si="20"/>
        <v>0</v>
      </c>
    </row>
    <row r="227" spans="1:87" s="1302" customFormat="1" ht="75">
      <c r="A227" s="1317" t="s">
        <v>1861</v>
      </c>
      <c r="B227" s="1355" t="s">
        <v>1862</v>
      </c>
      <c r="C227" s="1355" t="s">
        <v>1863</v>
      </c>
      <c r="D227" s="2254" t="s">
        <v>4219</v>
      </c>
      <c r="E227" s="1304" t="s">
        <v>1312</v>
      </c>
      <c r="F227" s="353">
        <v>21</v>
      </c>
      <c r="G227" s="353">
        <v>0</v>
      </c>
      <c r="H227" s="353">
        <v>2.34</v>
      </c>
      <c r="I227" s="80">
        <v>0</v>
      </c>
      <c r="J227" s="2635">
        <v>1</v>
      </c>
      <c r="K227" s="354"/>
      <c r="L227" s="283">
        <v>11000</v>
      </c>
      <c r="M227" s="2261">
        <f t="shared" si="21"/>
        <v>0.11</v>
      </c>
      <c r="N227" s="283">
        <v>21</v>
      </c>
      <c r="O227" s="1348">
        <f t="shared" si="22"/>
        <v>2.31</v>
      </c>
      <c r="P227" s="2555" t="s">
        <v>5455</v>
      </c>
      <c r="Q227" s="2257" t="str">
        <f>'Abs9. NVBDCP'!Q56</f>
        <v xml:space="preserve">Activity Recommended.  </v>
      </c>
      <c r="R227" s="2869">
        <f>'Abs9. NVBDCP'!R56</f>
        <v>2.31</v>
      </c>
      <c r="BB227" s="3214">
        <v>2.31</v>
      </c>
      <c r="BC227" s="3214"/>
      <c r="BD227" s="3214"/>
      <c r="BE227" s="3214"/>
      <c r="BF227" s="3214"/>
      <c r="BG227" s="3214"/>
      <c r="BH227" s="3214"/>
      <c r="BI227" s="3214"/>
      <c r="BJ227" s="3214"/>
      <c r="BK227" s="3214"/>
      <c r="BL227" s="3214"/>
      <c r="BM227" s="3214"/>
      <c r="BN227" s="3214"/>
      <c r="BO227" s="3214"/>
      <c r="BP227" s="3214"/>
      <c r="BQ227" s="3214"/>
      <c r="BR227" s="3214"/>
      <c r="BS227" s="3214"/>
      <c r="BT227" s="3214"/>
      <c r="BU227" s="3214"/>
      <c r="BV227" s="3214"/>
      <c r="BW227" s="3214"/>
      <c r="BX227" s="3214"/>
      <c r="BY227" s="3214"/>
      <c r="BZ227" s="3214"/>
      <c r="CA227" s="3214"/>
      <c r="CB227" s="3214"/>
      <c r="CC227" s="3214"/>
      <c r="CD227" s="3214"/>
      <c r="CE227" s="3214"/>
      <c r="CF227" s="3214"/>
      <c r="CG227" s="3214"/>
      <c r="CH227" s="3214"/>
      <c r="CI227" s="3215">
        <f t="shared" si="20"/>
        <v>2.31</v>
      </c>
    </row>
    <row r="228" spans="1:87" ht="45">
      <c r="A228" s="1318" t="s">
        <v>1864</v>
      </c>
      <c r="B228" s="1354" t="s">
        <v>1865</v>
      </c>
      <c r="C228" s="2203" t="s">
        <v>5137</v>
      </c>
      <c r="D228" s="1007" t="s">
        <v>4219</v>
      </c>
      <c r="E228" s="1276" t="s">
        <v>1675</v>
      </c>
      <c r="F228" s="54">
        <v>0</v>
      </c>
      <c r="G228" s="54"/>
      <c r="H228" s="54">
        <v>0</v>
      </c>
      <c r="I228" s="54"/>
      <c r="J228" s="54"/>
      <c r="K228" s="340"/>
      <c r="L228" s="277"/>
      <c r="M228" s="281">
        <f t="shared" si="21"/>
        <v>0</v>
      </c>
      <c r="N228" s="277"/>
      <c r="O228" s="1345">
        <f t="shared" si="22"/>
        <v>0</v>
      </c>
      <c r="P228" s="788"/>
      <c r="Q228" s="1003">
        <f>'Abs9. NVBDCP'!Q57</f>
        <v>0</v>
      </c>
      <c r="R228" s="2867">
        <f>'Abs9. NVBDCP'!R57</f>
        <v>0</v>
      </c>
      <c r="BB228" s="3267"/>
      <c r="BC228" s="3267"/>
      <c r="BD228" s="3267"/>
      <c r="BE228" s="3267"/>
      <c r="BF228" s="3267"/>
      <c r="BG228" s="3267"/>
      <c r="BH228" s="3267"/>
      <c r="BI228" s="3267"/>
      <c r="BJ228" s="3267"/>
      <c r="BK228" s="3267"/>
      <c r="BL228" s="3267"/>
      <c r="BM228" s="3267"/>
      <c r="BN228" s="3267"/>
      <c r="BO228" s="3267"/>
      <c r="BP228" s="3267"/>
      <c r="BQ228" s="3267"/>
      <c r="BR228" s="3267"/>
      <c r="BS228" s="3267"/>
      <c r="BT228" s="3267"/>
      <c r="BU228" s="3267"/>
      <c r="BV228" s="3267"/>
      <c r="BW228" s="3267"/>
      <c r="BX228" s="3267"/>
      <c r="BY228" s="3267"/>
      <c r="BZ228" s="3267"/>
      <c r="CA228" s="3267"/>
      <c r="CB228" s="3267"/>
      <c r="CC228" s="3267"/>
      <c r="CD228" s="3267"/>
      <c r="CE228" s="3267"/>
      <c r="CF228" s="3267"/>
      <c r="CG228" s="3267"/>
      <c r="CH228" s="3267"/>
      <c r="CI228" s="3215">
        <f t="shared" si="20"/>
        <v>0</v>
      </c>
    </row>
    <row r="229" spans="1:87" ht="30">
      <c r="A229" s="1318" t="s">
        <v>1866</v>
      </c>
      <c r="B229" s="1354" t="s">
        <v>1069</v>
      </c>
      <c r="C229" s="1354" t="s">
        <v>1867</v>
      </c>
      <c r="D229" s="1007" t="s">
        <v>4219</v>
      </c>
      <c r="E229" s="1276" t="s">
        <v>1675</v>
      </c>
      <c r="F229" s="54">
        <v>0</v>
      </c>
      <c r="G229" s="54"/>
      <c r="H229" s="54">
        <v>0</v>
      </c>
      <c r="I229" s="54"/>
      <c r="J229" s="54"/>
      <c r="K229" s="334"/>
      <c r="L229" s="277"/>
      <c r="M229" s="281">
        <f t="shared" si="21"/>
        <v>0</v>
      </c>
      <c r="N229" s="277"/>
      <c r="O229" s="1345">
        <f t="shared" si="22"/>
        <v>0</v>
      </c>
      <c r="P229" s="788"/>
      <c r="Q229" s="1003">
        <f>'Abs9. NVBDCP'!Q58</f>
        <v>0</v>
      </c>
      <c r="R229" s="2867">
        <f>'Abs9. NVBDCP'!R58</f>
        <v>0</v>
      </c>
      <c r="BB229" s="3267"/>
      <c r="BC229" s="3267"/>
      <c r="BD229" s="3267"/>
      <c r="BE229" s="3267"/>
      <c r="BF229" s="3267"/>
      <c r="BG229" s="3267"/>
      <c r="BH229" s="3267"/>
      <c r="BI229" s="3267"/>
      <c r="BJ229" s="3267"/>
      <c r="BK229" s="3267"/>
      <c r="BL229" s="3267"/>
      <c r="BM229" s="3267"/>
      <c r="BN229" s="3267"/>
      <c r="BO229" s="3267"/>
      <c r="BP229" s="3267"/>
      <c r="BQ229" s="3267"/>
      <c r="BR229" s="3267"/>
      <c r="BS229" s="3267"/>
      <c r="BT229" s="3267"/>
      <c r="BU229" s="3267"/>
      <c r="BV229" s="3267"/>
      <c r="BW229" s="3267"/>
      <c r="BX229" s="3267"/>
      <c r="BY229" s="3267"/>
      <c r="BZ229" s="3267"/>
      <c r="CA229" s="3267"/>
      <c r="CB229" s="3267"/>
      <c r="CC229" s="3267"/>
      <c r="CD229" s="3267"/>
      <c r="CE229" s="3267"/>
      <c r="CF229" s="3267"/>
      <c r="CG229" s="3267"/>
      <c r="CH229" s="3267"/>
      <c r="CI229" s="3215">
        <f t="shared" si="20"/>
        <v>0</v>
      </c>
    </row>
    <row r="230" spans="1:87">
      <c r="A230" s="1318" t="s">
        <v>1868</v>
      </c>
      <c r="B230" s="1354" t="s">
        <v>1284</v>
      </c>
      <c r="C230" s="1354" t="s">
        <v>3962</v>
      </c>
      <c r="D230" s="1007" t="s">
        <v>4219</v>
      </c>
      <c r="E230" s="1276" t="s">
        <v>1542</v>
      </c>
      <c r="F230" s="349">
        <v>0</v>
      </c>
      <c r="G230" s="349"/>
      <c r="H230" s="349">
        <v>0</v>
      </c>
      <c r="I230" s="349"/>
      <c r="J230" s="349"/>
      <c r="K230" s="340"/>
      <c r="L230" s="277"/>
      <c r="M230" s="281">
        <f t="shared" si="21"/>
        <v>0</v>
      </c>
      <c r="N230" s="277"/>
      <c r="O230" s="1345">
        <f t="shared" si="22"/>
        <v>0</v>
      </c>
      <c r="P230" s="788"/>
      <c r="Q230" s="1003">
        <f>'Abs9. NVBDCP'!Q59</f>
        <v>0</v>
      </c>
      <c r="R230" s="2867">
        <f>'Abs9. NVBDCP'!R59</f>
        <v>0</v>
      </c>
      <c r="BB230" s="3267"/>
      <c r="BC230" s="3267"/>
      <c r="BD230" s="3267"/>
      <c r="BE230" s="3267"/>
      <c r="BF230" s="3267"/>
      <c r="BG230" s="3267"/>
      <c r="BH230" s="3267"/>
      <c r="BI230" s="3267"/>
      <c r="BJ230" s="3267"/>
      <c r="BK230" s="3267"/>
      <c r="BL230" s="3267"/>
      <c r="BM230" s="3267"/>
      <c r="BN230" s="3267"/>
      <c r="BO230" s="3267"/>
      <c r="BP230" s="3267"/>
      <c r="BQ230" s="3267"/>
      <c r="BR230" s="3267"/>
      <c r="BS230" s="3267"/>
      <c r="BT230" s="3267"/>
      <c r="BU230" s="3267"/>
      <c r="BV230" s="3267"/>
      <c r="BW230" s="3267"/>
      <c r="BX230" s="3267"/>
      <c r="BY230" s="3267"/>
      <c r="BZ230" s="3267"/>
      <c r="CA230" s="3267"/>
      <c r="CB230" s="3267"/>
      <c r="CC230" s="3267"/>
      <c r="CD230" s="3267"/>
      <c r="CE230" s="3267"/>
      <c r="CF230" s="3267"/>
      <c r="CG230" s="3267"/>
      <c r="CH230" s="3267"/>
      <c r="CI230" s="3215">
        <f t="shared" si="20"/>
        <v>0</v>
      </c>
    </row>
    <row r="231" spans="1:87" ht="30">
      <c r="A231" s="1318" t="s">
        <v>1869</v>
      </c>
      <c r="B231" s="1319" t="s">
        <v>1870</v>
      </c>
      <c r="C231" s="509" t="s">
        <v>1871</v>
      </c>
      <c r="D231" s="1007" t="s">
        <v>4219</v>
      </c>
      <c r="E231" s="1276" t="s">
        <v>109</v>
      </c>
      <c r="F231" s="54">
        <v>0</v>
      </c>
      <c r="G231" s="54"/>
      <c r="H231" s="339">
        <v>0</v>
      </c>
      <c r="I231" s="339"/>
      <c r="J231" s="54"/>
      <c r="K231" s="334"/>
      <c r="L231" s="277"/>
      <c r="M231" s="281">
        <f t="shared" si="21"/>
        <v>0</v>
      </c>
      <c r="N231" s="277"/>
      <c r="O231" s="1345">
        <f t="shared" si="22"/>
        <v>0</v>
      </c>
      <c r="P231" s="788"/>
      <c r="Q231" s="1003">
        <f>'Abs9. NVBDCP'!Q60</f>
        <v>0</v>
      </c>
      <c r="R231" s="2867">
        <f>'Abs9. NVBDCP'!R60</f>
        <v>0</v>
      </c>
      <c r="BB231" s="3267"/>
      <c r="BC231" s="3267"/>
      <c r="BD231" s="3267"/>
      <c r="BE231" s="3267"/>
      <c r="BF231" s="3267"/>
      <c r="BG231" s="3267"/>
      <c r="BH231" s="3267"/>
      <c r="BI231" s="3267"/>
      <c r="BJ231" s="3267"/>
      <c r="BK231" s="3267"/>
      <c r="BL231" s="3267"/>
      <c r="BM231" s="3267"/>
      <c r="BN231" s="3267"/>
      <c r="BO231" s="3267"/>
      <c r="BP231" s="3267"/>
      <c r="BQ231" s="3267"/>
      <c r="BR231" s="3267"/>
      <c r="BS231" s="3267"/>
      <c r="BT231" s="3267"/>
      <c r="BU231" s="3267"/>
      <c r="BV231" s="3267"/>
      <c r="BW231" s="3267"/>
      <c r="BX231" s="3267"/>
      <c r="BY231" s="3267"/>
      <c r="BZ231" s="3267"/>
      <c r="CA231" s="3267"/>
      <c r="CB231" s="3267"/>
      <c r="CC231" s="3267"/>
      <c r="CD231" s="3267"/>
      <c r="CE231" s="3267"/>
      <c r="CF231" s="3267"/>
      <c r="CG231" s="3267"/>
      <c r="CH231" s="3267"/>
      <c r="CI231" s="3215">
        <f t="shared" si="20"/>
        <v>0</v>
      </c>
    </row>
    <row r="232" spans="1:87">
      <c r="A232" s="1361" t="s">
        <v>1872</v>
      </c>
      <c r="B232" s="1362"/>
      <c r="C232" s="1363" t="s">
        <v>1873</v>
      </c>
      <c r="D232" s="1364"/>
      <c r="E232" s="938"/>
      <c r="F232" s="295"/>
      <c r="G232" s="295"/>
      <c r="H232" s="295"/>
      <c r="I232" s="295"/>
      <c r="J232" s="295"/>
      <c r="K232" s="163"/>
      <c r="L232" s="295"/>
      <c r="M232" s="1366"/>
      <c r="N232" s="295"/>
      <c r="O232" s="1366">
        <f>SUM(O233:O234)</f>
        <v>0</v>
      </c>
      <c r="P232" s="757"/>
      <c r="Q232" s="1000"/>
      <c r="R232" s="2875">
        <f>SUM(R233:R234)</f>
        <v>0</v>
      </c>
      <c r="BB232" s="3267"/>
      <c r="BC232" s="3267"/>
      <c r="BD232" s="3267"/>
      <c r="BE232" s="3267"/>
      <c r="BF232" s="3267"/>
      <c r="BG232" s="3267"/>
      <c r="BH232" s="3267"/>
      <c r="BI232" s="3267"/>
      <c r="BJ232" s="3267"/>
      <c r="BK232" s="3267"/>
      <c r="BL232" s="3267"/>
      <c r="BM232" s="3267"/>
      <c r="BN232" s="3267"/>
      <c r="BO232" s="3267"/>
      <c r="BP232" s="3267"/>
      <c r="BQ232" s="3267"/>
      <c r="BR232" s="3267"/>
      <c r="BS232" s="3267"/>
      <c r="BT232" s="3267"/>
      <c r="BU232" s="3267"/>
      <c r="BV232" s="3267"/>
      <c r="BW232" s="3267"/>
      <c r="BX232" s="3267"/>
      <c r="BY232" s="3267"/>
      <c r="BZ232" s="3267"/>
      <c r="CA232" s="3267"/>
      <c r="CB232" s="3267"/>
      <c r="CC232" s="3267"/>
      <c r="CD232" s="3267"/>
      <c r="CE232" s="3267"/>
      <c r="CF232" s="3267"/>
      <c r="CG232" s="3267"/>
      <c r="CH232" s="3267"/>
      <c r="CI232" s="3215">
        <f t="shared" si="20"/>
        <v>0</v>
      </c>
    </row>
    <row r="233" spans="1:87" s="1302" customFormat="1" ht="30">
      <c r="A233" s="1317" t="s">
        <v>1874</v>
      </c>
      <c r="B233" s="1357" t="s">
        <v>1546</v>
      </c>
      <c r="C233" s="1312" t="s">
        <v>1875</v>
      </c>
      <c r="D233" s="2254" t="s">
        <v>4219</v>
      </c>
      <c r="E233" s="1304" t="s">
        <v>141</v>
      </c>
      <c r="F233" s="353">
        <v>12</v>
      </c>
      <c r="G233" s="353"/>
      <c r="H233" s="353">
        <v>1.8</v>
      </c>
      <c r="I233" s="353"/>
      <c r="J233" s="353">
        <v>1.8</v>
      </c>
      <c r="K233" s="343"/>
      <c r="L233" s="283"/>
      <c r="M233" s="2261">
        <f>L233/100000</f>
        <v>0</v>
      </c>
      <c r="N233" s="283"/>
      <c r="O233" s="2353">
        <f>N233*M233</f>
        <v>0</v>
      </c>
      <c r="P233" s="791" t="s">
        <v>5203</v>
      </c>
      <c r="Q233" s="2257">
        <f>'Abs10. NLEP'!Q21</f>
        <v>0</v>
      </c>
      <c r="R233" s="2869">
        <f>'Abs10. NLEP'!R21</f>
        <v>0</v>
      </c>
      <c r="BB233" s="3214"/>
      <c r="BC233" s="3214"/>
      <c r="BD233" s="3214"/>
      <c r="BE233" s="3214"/>
      <c r="BF233" s="3214"/>
      <c r="BG233" s="3214"/>
      <c r="BH233" s="3214"/>
      <c r="BI233" s="3214"/>
      <c r="BJ233" s="3214"/>
      <c r="BK233" s="3214"/>
      <c r="BL233" s="3214"/>
      <c r="BM233" s="3214"/>
      <c r="BN233" s="3214"/>
      <c r="BO233" s="3214"/>
      <c r="BP233" s="3214"/>
      <c r="BQ233" s="3214"/>
      <c r="BR233" s="3214"/>
      <c r="BS233" s="3214"/>
      <c r="BT233" s="3214"/>
      <c r="BU233" s="3214"/>
      <c r="BV233" s="3214"/>
      <c r="BW233" s="3214"/>
      <c r="BX233" s="3214"/>
      <c r="BY233" s="3214"/>
      <c r="BZ233" s="3214"/>
      <c r="CA233" s="3214"/>
      <c r="CB233" s="3214"/>
      <c r="CC233" s="3214"/>
      <c r="CD233" s="3214"/>
      <c r="CE233" s="3214"/>
      <c r="CF233" s="3214"/>
      <c r="CG233" s="3214"/>
      <c r="CH233" s="3214"/>
      <c r="CI233" s="3215">
        <f t="shared" si="20"/>
        <v>0</v>
      </c>
    </row>
    <row r="234" spans="1:87" ht="30">
      <c r="A234" s="1318" t="s">
        <v>1876</v>
      </c>
      <c r="B234" s="521"/>
      <c r="C234" s="509" t="s">
        <v>1871</v>
      </c>
      <c r="D234" s="1007" t="s">
        <v>4219</v>
      </c>
      <c r="E234" s="1276" t="s">
        <v>141</v>
      </c>
      <c r="F234" s="69">
        <v>0</v>
      </c>
      <c r="G234" s="69"/>
      <c r="H234" s="69">
        <v>0</v>
      </c>
      <c r="I234" s="69"/>
      <c r="J234" s="69"/>
      <c r="K234" s="339"/>
      <c r="L234" s="277"/>
      <c r="M234" s="281">
        <f>L234/100000</f>
        <v>0</v>
      </c>
      <c r="N234" s="277"/>
      <c r="O234" s="1345">
        <f>N234*M234</f>
        <v>0</v>
      </c>
      <c r="P234" s="788"/>
      <c r="Q234" s="1003">
        <f>'Abs10. NLEP'!Q22</f>
        <v>0</v>
      </c>
      <c r="R234" s="2867">
        <f>'Abs10. NLEP'!R22</f>
        <v>0</v>
      </c>
      <c r="BB234" s="3267"/>
      <c r="BC234" s="3267"/>
      <c r="BD234" s="3267"/>
      <c r="BE234" s="3267"/>
      <c r="BF234" s="3267"/>
      <c r="BG234" s="3267"/>
      <c r="BH234" s="3267"/>
      <c r="BI234" s="3267"/>
      <c r="BJ234" s="3267"/>
      <c r="BK234" s="3267"/>
      <c r="BL234" s="3267"/>
      <c r="BM234" s="3267"/>
      <c r="BN234" s="3267"/>
      <c r="BO234" s="3267"/>
      <c r="BP234" s="3267"/>
      <c r="BQ234" s="3267"/>
      <c r="BR234" s="3267"/>
      <c r="BS234" s="3267"/>
      <c r="BT234" s="3267"/>
      <c r="BU234" s="3267"/>
      <c r="BV234" s="3267"/>
      <c r="BW234" s="3267"/>
      <c r="BX234" s="3267"/>
      <c r="BY234" s="3267"/>
      <c r="BZ234" s="3267"/>
      <c r="CA234" s="3267"/>
      <c r="CB234" s="3267"/>
      <c r="CC234" s="3267"/>
      <c r="CD234" s="3267"/>
      <c r="CE234" s="3267"/>
      <c r="CF234" s="3267"/>
      <c r="CG234" s="3267"/>
      <c r="CH234" s="3267"/>
      <c r="CI234" s="3215">
        <f t="shared" si="20"/>
        <v>0</v>
      </c>
    </row>
    <row r="235" spans="1:87">
      <c r="A235" s="1361" t="s">
        <v>1877</v>
      </c>
      <c r="B235" s="1362"/>
      <c r="C235" s="1363" t="s">
        <v>4636</v>
      </c>
      <c r="D235" s="1364"/>
      <c r="E235" s="938"/>
      <c r="F235" s="295"/>
      <c r="G235" s="295"/>
      <c r="H235" s="295"/>
      <c r="I235" s="295"/>
      <c r="J235" s="295"/>
      <c r="K235" s="163"/>
      <c r="L235" s="295"/>
      <c r="M235" s="1366"/>
      <c r="N235" s="295"/>
      <c r="O235" s="1366">
        <f>SUM(O236:O238)</f>
        <v>110.00314</v>
      </c>
      <c r="P235" s="757"/>
      <c r="Q235" s="1000"/>
      <c r="R235" s="2875">
        <f>SUM(R236:R238)</f>
        <v>110</v>
      </c>
      <c r="BB235" s="3267"/>
      <c r="BC235" s="3267"/>
      <c r="BD235" s="3267"/>
      <c r="BE235" s="3267"/>
      <c r="BF235" s="3267"/>
      <c r="BG235" s="3267"/>
      <c r="BH235" s="3267"/>
      <c r="BI235" s="3267"/>
      <c r="BJ235" s="3267"/>
      <c r="BK235" s="3267"/>
      <c r="BL235" s="3267"/>
      <c r="BM235" s="3267"/>
      <c r="BN235" s="3267"/>
      <c r="BO235" s="3267"/>
      <c r="BP235" s="3267"/>
      <c r="BQ235" s="3267"/>
      <c r="BR235" s="3267"/>
      <c r="BS235" s="3267"/>
      <c r="BT235" s="3267"/>
      <c r="BU235" s="3267"/>
      <c r="BV235" s="3267"/>
      <c r="BW235" s="3267"/>
      <c r="BX235" s="3267"/>
      <c r="BY235" s="3267"/>
      <c r="BZ235" s="3267"/>
      <c r="CA235" s="3267"/>
      <c r="CB235" s="3267"/>
      <c r="CC235" s="3267"/>
      <c r="CD235" s="3267"/>
      <c r="CE235" s="3267"/>
      <c r="CF235" s="3267"/>
      <c r="CG235" s="3267"/>
      <c r="CH235" s="3267"/>
      <c r="CI235" s="3215">
        <f t="shared" si="20"/>
        <v>0</v>
      </c>
    </row>
    <row r="236" spans="1:87" s="1302" customFormat="1" ht="81" customHeight="1">
      <c r="A236" s="1317" t="s">
        <v>1878</v>
      </c>
      <c r="B236" s="1355" t="s">
        <v>1879</v>
      </c>
      <c r="C236" s="1355" t="s">
        <v>1880</v>
      </c>
      <c r="D236" s="2254" t="s">
        <v>4219</v>
      </c>
      <c r="E236" s="1304" t="s">
        <v>4525</v>
      </c>
      <c r="F236" s="353">
        <v>10244</v>
      </c>
      <c r="G236" s="353">
        <v>265</v>
      </c>
      <c r="H236" s="2356">
        <v>60.03</v>
      </c>
      <c r="I236" s="2356">
        <v>25.27</v>
      </c>
      <c r="J236" s="353">
        <v>34.76</v>
      </c>
      <c r="K236" s="354">
        <v>981</v>
      </c>
      <c r="L236" s="2345">
        <v>10194</v>
      </c>
      <c r="M236" s="2261">
        <f>L236/100000</f>
        <v>0.10194</v>
      </c>
      <c r="N236" s="2345">
        <v>981</v>
      </c>
      <c r="O236" s="1348">
        <f>N236*M236</f>
        <v>100.00314</v>
      </c>
      <c r="P236" s="791"/>
      <c r="Q236" s="3188" t="str">
        <f>'Abs11. NTEP'!Q23</f>
        <v>Recommended Rs 100 lakhs as below:1) Rs 73 lakhs for Lab consumables o	Rs 26 lakhs for 15000 LPA tests o	Rs 47 lakhs for 12000 Liquid culture tests2) Rs 27 lakhs for logistics under NTEP - Logistics for sputum sample transportation and packaging</v>
      </c>
      <c r="R236" s="2869">
        <f>'Abs11. NTEP'!R23</f>
        <v>100</v>
      </c>
      <c r="BB236" s="3214"/>
      <c r="BC236" s="3214">
        <v>0.7</v>
      </c>
      <c r="BD236" s="3214">
        <v>0.8</v>
      </c>
      <c r="BE236" s="3214">
        <v>0.8</v>
      </c>
      <c r="BF236" s="3214">
        <v>1.2</v>
      </c>
      <c r="BG236" s="3214">
        <v>0.5</v>
      </c>
      <c r="BH236" s="3214">
        <v>0.8</v>
      </c>
      <c r="BI236" s="3214">
        <v>0.5</v>
      </c>
      <c r="BJ236" s="3214">
        <v>1.2</v>
      </c>
      <c r="BK236" s="3214">
        <v>1.2</v>
      </c>
      <c r="BL236" s="3214">
        <v>0.8</v>
      </c>
      <c r="BM236" s="3214">
        <v>0.8</v>
      </c>
      <c r="BN236" s="3214">
        <v>0.7</v>
      </c>
      <c r="BO236" s="3214"/>
      <c r="BP236" s="3214"/>
      <c r="BQ236" s="3214"/>
      <c r="BR236" s="3214"/>
      <c r="BS236" s="3214"/>
      <c r="BT236" s="3214"/>
      <c r="BU236" s="3214"/>
      <c r="BV236" s="3214"/>
      <c r="BW236" s="3214"/>
      <c r="BX236" s="3214"/>
      <c r="BY236" s="3214"/>
      <c r="BZ236" s="3214"/>
      <c r="CA236" s="3214"/>
      <c r="CB236" s="3214"/>
      <c r="CC236" s="3214"/>
      <c r="CD236" s="3214"/>
      <c r="CE236" s="3214">
        <v>90</v>
      </c>
      <c r="CF236" s="3214"/>
      <c r="CG236" s="3214"/>
      <c r="CH236" s="3214"/>
      <c r="CI236" s="3215">
        <f t="shared" si="20"/>
        <v>100</v>
      </c>
    </row>
    <row r="237" spans="1:87" s="1302" customFormat="1" ht="78.75">
      <c r="A237" s="1317" t="s">
        <v>1881</v>
      </c>
      <c r="B237" s="1355" t="s">
        <v>1882</v>
      </c>
      <c r="C237" s="1355" t="s">
        <v>15</v>
      </c>
      <c r="D237" s="2254" t="s">
        <v>4219</v>
      </c>
      <c r="E237" s="1304" t="s">
        <v>4525</v>
      </c>
      <c r="F237" s="353">
        <v>12</v>
      </c>
      <c r="G237" s="353">
        <v>2</v>
      </c>
      <c r="H237" s="2356">
        <v>20</v>
      </c>
      <c r="I237" s="2356">
        <v>0.31</v>
      </c>
      <c r="J237" s="353">
        <v>1</v>
      </c>
      <c r="K237" s="354">
        <v>12</v>
      </c>
      <c r="L237" s="2345">
        <v>100000</v>
      </c>
      <c r="M237" s="2261">
        <f>L237/100000</f>
        <v>1</v>
      </c>
      <c r="N237" s="283">
        <v>10</v>
      </c>
      <c r="O237" s="1348">
        <f>N237*M237</f>
        <v>10</v>
      </c>
      <c r="P237" s="2357" t="s">
        <v>5168</v>
      </c>
      <c r="Q237" s="2257" t="str">
        <f>'Abs11. NTEP'!Q24</f>
        <v>Recommended rs 10 lakhs for procurement of Anti TB Drugs whenever required</v>
      </c>
      <c r="R237" s="2869">
        <f>'Abs11. NTEP'!R24</f>
        <v>10</v>
      </c>
      <c r="BB237" s="3214"/>
      <c r="BC237" s="3214"/>
      <c r="BD237" s="3214"/>
      <c r="BE237" s="3214"/>
      <c r="BF237" s="3214"/>
      <c r="BG237" s="3214"/>
      <c r="BH237" s="3214"/>
      <c r="BI237" s="3214"/>
      <c r="BJ237" s="3214"/>
      <c r="BK237" s="3214"/>
      <c r="BL237" s="3214"/>
      <c r="BM237" s="3214"/>
      <c r="BN237" s="3214"/>
      <c r="BO237" s="3214"/>
      <c r="BP237" s="3214"/>
      <c r="BQ237" s="3214"/>
      <c r="BR237" s="3214"/>
      <c r="BS237" s="3214"/>
      <c r="BT237" s="3214"/>
      <c r="BU237" s="3214"/>
      <c r="BV237" s="3214"/>
      <c r="BW237" s="3214"/>
      <c r="BX237" s="3214"/>
      <c r="BY237" s="3214"/>
      <c r="BZ237" s="3214"/>
      <c r="CA237" s="3214"/>
      <c r="CB237" s="3214"/>
      <c r="CC237" s="3214"/>
      <c r="CD237" s="3214"/>
      <c r="CE237" s="3214">
        <v>10</v>
      </c>
      <c r="CF237" s="3214"/>
      <c r="CG237" s="3214"/>
      <c r="CH237" s="3214"/>
      <c r="CI237" s="3215">
        <f t="shared" si="20"/>
        <v>10</v>
      </c>
    </row>
    <row r="238" spans="1:87" s="1302" customFormat="1" ht="30">
      <c r="A238" s="1317" t="s">
        <v>1883</v>
      </c>
      <c r="B238" s="521"/>
      <c r="C238" s="521" t="s">
        <v>1871</v>
      </c>
      <c r="D238" s="2254" t="s">
        <v>4219</v>
      </c>
      <c r="E238" s="1304" t="s">
        <v>4525</v>
      </c>
      <c r="F238" s="353">
        <v>0</v>
      </c>
      <c r="G238" s="353"/>
      <c r="H238" s="353">
        <v>0</v>
      </c>
      <c r="I238" s="353"/>
      <c r="J238" s="353"/>
      <c r="K238" s="354"/>
      <c r="L238" s="283"/>
      <c r="M238" s="2261">
        <f>L238/100000</f>
        <v>0</v>
      </c>
      <c r="N238" s="283"/>
      <c r="O238" s="1348">
        <f>N238*M238</f>
        <v>0</v>
      </c>
      <c r="P238" s="791"/>
      <c r="Q238" s="2257">
        <f>'Abs11. NTEP'!Q25</f>
        <v>0</v>
      </c>
      <c r="R238" s="2869">
        <f>'Abs11. NTEP'!R25</f>
        <v>0</v>
      </c>
      <c r="BB238" s="3214"/>
      <c r="BC238" s="3214"/>
      <c r="BD238" s="3214"/>
      <c r="BE238" s="3214"/>
      <c r="BF238" s="3214"/>
      <c r="BG238" s="3214"/>
      <c r="BH238" s="3214"/>
      <c r="BI238" s="3214"/>
      <c r="BJ238" s="3214"/>
      <c r="BK238" s="3214"/>
      <c r="BL238" s="3214"/>
      <c r="BM238" s="3214"/>
      <c r="BN238" s="3214"/>
      <c r="BO238" s="3214"/>
      <c r="BP238" s="3214"/>
      <c r="BQ238" s="3214"/>
      <c r="BR238" s="3214"/>
      <c r="BS238" s="3214"/>
      <c r="BT238" s="3214"/>
      <c r="BU238" s="3214"/>
      <c r="BV238" s="3214"/>
      <c r="BW238" s="3214"/>
      <c r="BX238" s="3214"/>
      <c r="BY238" s="3214"/>
      <c r="BZ238" s="3214"/>
      <c r="CA238" s="3214"/>
      <c r="CB238" s="3214"/>
      <c r="CC238" s="3214"/>
      <c r="CD238" s="3214"/>
      <c r="CE238" s="3214"/>
      <c r="CF238" s="3214"/>
      <c r="CG238" s="3214"/>
      <c r="CH238" s="3214"/>
      <c r="CI238" s="3215">
        <f t="shared" si="20"/>
        <v>0</v>
      </c>
    </row>
    <row r="239" spans="1:87" ht="30">
      <c r="A239" s="1361" t="s">
        <v>3233</v>
      </c>
      <c r="B239" s="1361"/>
      <c r="C239" s="1361" t="s">
        <v>3230</v>
      </c>
      <c r="D239" s="1370"/>
      <c r="E239" s="1370"/>
      <c r="F239" s="163"/>
      <c r="G239" s="163"/>
      <c r="H239" s="163"/>
      <c r="I239" s="163"/>
      <c r="J239" s="163"/>
      <c r="K239" s="163"/>
      <c r="L239" s="163"/>
      <c r="M239" s="1365"/>
      <c r="N239" s="163"/>
      <c r="O239" s="1369">
        <f>SUM(O240:O243)</f>
        <v>49.180000000000007</v>
      </c>
      <c r="P239" s="796"/>
      <c r="Q239" s="1000"/>
      <c r="R239" s="2875">
        <f>SUM(R240:R243)</f>
        <v>44.180000000000007</v>
      </c>
      <c r="BB239" s="3267"/>
      <c r="BC239" s="3267"/>
      <c r="BD239" s="3267"/>
      <c r="BE239" s="3267"/>
      <c r="BF239" s="3267"/>
      <c r="BG239" s="3267"/>
      <c r="BH239" s="3267"/>
      <c r="BI239" s="3267"/>
      <c r="BJ239" s="3267"/>
      <c r="BK239" s="3267"/>
      <c r="BL239" s="3267"/>
      <c r="BM239" s="3267"/>
      <c r="BN239" s="3267"/>
      <c r="BO239" s="3267"/>
      <c r="BP239" s="3267"/>
      <c r="BQ239" s="3267"/>
      <c r="BR239" s="3267"/>
      <c r="BS239" s="3267"/>
      <c r="BT239" s="3267"/>
      <c r="BU239" s="3267"/>
      <c r="BV239" s="3267"/>
      <c r="BW239" s="3267"/>
      <c r="BX239" s="3267"/>
      <c r="BY239" s="3267"/>
      <c r="BZ239" s="3267"/>
      <c r="CA239" s="3267"/>
      <c r="CB239" s="3267"/>
      <c r="CC239" s="3267"/>
      <c r="CD239" s="3267"/>
      <c r="CE239" s="3267"/>
      <c r="CF239" s="3267"/>
      <c r="CG239" s="3267"/>
      <c r="CH239" s="3267"/>
      <c r="CI239" s="3215">
        <f t="shared" si="20"/>
        <v>0</v>
      </c>
    </row>
    <row r="240" spans="1:87" s="1302" customFormat="1" ht="75">
      <c r="A240" s="2557" t="s">
        <v>3234</v>
      </c>
      <c r="B240" s="521"/>
      <c r="C240" s="586" t="s">
        <v>3229</v>
      </c>
      <c r="D240" s="2254" t="s">
        <v>4219</v>
      </c>
      <c r="E240" s="1304" t="s">
        <v>3223</v>
      </c>
      <c r="F240" s="353">
        <v>1</v>
      </c>
      <c r="G240" s="353">
        <v>0</v>
      </c>
      <c r="H240" s="353">
        <v>52.95</v>
      </c>
      <c r="I240" s="80">
        <v>0</v>
      </c>
      <c r="J240" s="80">
        <v>52.95</v>
      </c>
      <c r="K240" s="2554">
        <v>1</v>
      </c>
      <c r="L240" s="279">
        <v>1976000</v>
      </c>
      <c r="M240" s="2261">
        <f>L240/100000</f>
        <v>19.760000000000002</v>
      </c>
      <c r="N240" s="283">
        <v>1</v>
      </c>
      <c r="O240" s="1348">
        <f>N240*M240</f>
        <v>19.760000000000002</v>
      </c>
      <c r="P240" s="2555" t="s">
        <v>5289</v>
      </c>
      <c r="Q240" s="2257" t="str">
        <f>'Abs12. NVHCP'!Q18</f>
        <v>Recommended for approval of Rs 19.76 lakhs (Rs  8.24 lakhs( kind grant)for  central procurement of hepatitis B &amp; C  drugs  and Rs 11.52 lakhs (Cash grant) for state procurement of HBIG )  as per norms under NVHCP</v>
      </c>
      <c r="R240" s="2869">
        <f>'Abs12. NVHCP'!R18</f>
        <v>19.760000000000002</v>
      </c>
      <c r="BB240" s="3214">
        <v>8.76</v>
      </c>
      <c r="BC240" s="3214"/>
      <c r="BD240" s="3214"/>
      <c r="BE240" s="3214"/>
      <c r="BF240" s="3214"/>
      <c r="BG240" s="3214"/>
      <c r="BH240" s="3214"/>
      <c r="BI240" s="3214"/>
      <c r="BJ240" s="3214"/>
      <c r="BK240" s="3214"/>
      <c r="BL240" s="3214"/>
      <c r="BM240" s="3214"/>
      <c r="BN240" s="3214"/>
      <c r="BO240" s="3214">
        <v>3</v>
      </c>
      <c r="BP240" s="3214">
        <v>3</v>
      </c>
      <c r="BQ240" s="3214">
        <v>1</v>
      </c>
      <c r="BR240" s="3214">
        <v>1</v>
      </c>
      <c r="BS240" s="3214"/>
      <c r="BT240" s="3214">
        <v>1</v>
      </c>
      <c r="BU240" s="3214"/>
      <c r="BV240" s="3214"/>
      <c r="BW240" s="3214"/>
      <c r="BX240" s="3214"/>
      <c r="BY240" s="3214"/>
      <c r="BZ240" s="3214">
        <v>2</v>
      </c>
      <c r="CA240" s="3214"/>
      <c r="CB240" s="3214"/>
      <c r="CC240" s="3214"/>
      <c r="CD240" s="3214"/>
      <c r="CE240" s="3214"/>
      <c r="CF240" s="3214"/>
      <c r="CG240" s="3214"/>
      <c r="CH240" s="3214"/>
      <c r="CI240" s="3215">
        <f t="shared" si="20"/>
        <v>19.759999999999998</v>
      </c>
    </row>
    <row r="241" spans="1:87" s="1302" customFormat="1" ht="60">
      <c r="A241" s="2557" t="s">
        <v>3235</v>
      </c>
      <c r="B241" s="521"/>
      <c r="C241" s="586" t="s">
        <v>3231</v>
      </c>
      <c r="D241" s="2254" t="s">
        <v>4219</v>
      </c>
      <c r="E241" s="1304" t="s">
        <v>3223</v>
      </c>
      <c r="F241" s="353">
        <v>1</v>
      </c>
      <c r="G241" s="353">
        <v>0</v>
      </c>
      <c r="H241" s="353">
        <v>48.06</v>
      </c>
      <c r="I241" s="80">
        <v>0</v>
      </c>
      <c r="J241" s="80">
        <v>48.06</v>
      </c>
      <c r="K241" s="2554">
        <v>1</v>
      </c>
      <c r="L241" s="279">
        <v>2442000</v>
      </c>
      <c r="M241" s="2261">
        <f>L241/100000</f>
        <v>24.42</v>
      </c>
      <c r="N241" s="283">
        <v>1</v>
      </c>
      <c r="O241" s="1348">
        <f>N241*M241</f>
        <v>24.42</v>
      </c>
      <c r="P241" s="2555" t="s">
        <v>5289</v>
      </c>
      <c r="Q241" s="2257" t="str">
        <f>'Abs12. NVHCP'!Q19</f>
        <v>Recommended for approval of Rs 24.42  lakhs(cash grant) for procurement of hepatitis B &amp; C screening kits &amp; viral load kits by the state as per norms under NVHCP</v>
      </c>
      <c r="R241" s="2869">
        <f>'Abs12. NVHCP'!R19</f>
        <v>24.42</v>
      </c>
      <c r="BB241" s="3214">
        <v>5.42</v>
      </c>
      <c r="BC241" s="3214"/>
      <c r="BD241" s="3214"/>
      <c r="BE241" s="3214"/>
      <c r="BF241" s="3214"/>
      <c r="BG241" s="3214">
        <v>0.5</v>
      </c>
      <c r="BH241" s="3214"/>
      <c r="BI241" s="3214">
        <v>0.5</v>
      </c>
      <c r="BJ241" s="3214"/>
      <c r="BK241" s="3214"/>
      <c r="BL241" s="3214"/>
      <c r="BM241" s="3214"/>
      <c r="BN241" s="3214"/>
      <c r="BO241" s="3214">
        <v>2</v>
      </c>
      <c r="BP241" s="3214">
        <v>2</v>
      </c>
      <c r="BQ241" s="3214">
        <v>1</v>
      </c>
      <c r="BR241" s="3214">
        <v>1</v>
      </c>
      <c r="BS241" s="3214"/>
      <c r="BT241" s="3214">
        <v>1</v>
      </c>
      <c r="BU241" s="3214"/>
      <c r="BV241" s="3214">
        <v>1</v>
      </c>
      <c r="BW241" s="3214">
        <v>2</v>
      </c>
      <c r="BX241" s="3214"/>
      <c r="BY241" s="3214">
        <v>1</v>
      </c>
      <c r="BZ241" s="3214">
        <v>2</v>
      </c>
      <c r="CA241" s="3214">
        <v>2</v>
      </c>
      <c r="CB241" s="3214"/>
      <c r="CC241" s="3214"/>
      <c r="CD241" s="3214">
        <v>1</v>
      </c>
      <c r="CE241" s="3214"/>
      <c r="CF241" s="3214">
        <v>2</v>
      </c>
      <c r="CG241" s="3214"/>
      <c r="CH241" s="3214"/>
      <c r="CI241" s="3215">
        <f t="shared" si="20"/>
        <v>24.42</v>
      </c>
    </row>
    <row r="242" spans="1:87" s="1302" customFormat="1" ht="120">
      <c r="A242" s="2557" t="s">
        <v>3236</v>
      </c>
      <c r="B242" s="521"/>
      <c r="C242" s="586" t="s">
        <v>3963</v>
      </c>
      <c r="D242" s="2254" t="s">
        <v>4219</v>
      </c>
      <c r="E242" s="1304" t="s">
        <v>3223</v>
      </c>
      <c r="F242" s="353">
        <v>2</v>
      </c>
      <c r="G242" s="353">
        <v>0</v>
      </c>
      <c r="H242" s="353">
        <v>10</v>
      </c>
      <c r="I242" s="80">
        <v>0</v>
      </c>
      <c r="J242" s="80">
        <v>10</v>
      </c>
      <c r="K242" s="2554">
        <v>1</v>
      </c>
      <c r="L242" s="279">
        <v>500000</v>
      </c>
      <c r="M242" s="2261">
        <f>L242/100000</f>
        <v>5</v>
      </c>
      <c r="N242" s="283">
        <v>1</v>
      </c>
      <c r="O242" s="1348">
        <f>N242*M242</f>
        <v>5</v>
      </c>
      <c r="P242" s="2555" t="s">
        <v>5290</v>
      </c>
      <c r="Q242" s="2257" t="str">
        <f>'Abs12. NVHCP'!Q20</f>
        <v>Activity recommended, however, state should book the budget under free diagnostic scheme</v>
      </c>
      <c r="R242" s="2869">
        <f>'Abs12. NVHCP'!R20</f>
        <v>0</v>
      </c>
      <c r="BB242" s="3214"/>
      <c r="BC242" s="3214"/>
      <c r="BD242" s="3214"/>
      <c r="BE242" s="3214"/>
      <c r="BF242" s="3214"/>
      <c r="BG242" s="3214"/>
      <c r="BH242" s="3214"/>
      <c r="BI242" s="3214"/>
      <c r="BJ242" s="3214"/>
      <c r="BK242" s="3214"/>
      <c r="BL242" s="3214"/>
      <c r="BM242" s="3214"/>
      <c r="BN242" s="3214"/>
      <c r="BO242" s="3214"/>
      <c r="BP242" s="3214"/>
      <c r="BQ242" s="3214"/>
      <c r="BR242" s="3214"/>
      <c r="BS242" s="3214"/>
      <c r="BT242" s="3214"/>
      <c r="BU242" s="3214"/>
      <c r="BV242" s="3214"/>
      <c r="BW242" s="3214"/>
      <c r="BX242" s="3214"/>
      <c r="BY242" s="3214"/>
      <c r="BZ242" s="3214"/>
      <c r="CA242" s="3214"/>
      <c r="CB242" s="3214"/>
      <c r="CC242" s="3214"/>
      <c r="CD242" s="3214"/>
      <c r="CE242" s="3214"/>
      <c r="CF242" s="3214"/>
      <c r="CG242" s="3214"/>
      <c r="CH242" s="3214"/>
      <c r="CI242" s="3215">
        <f t="shared" si="20"/>
        <v>0</v>
      </c>
    </row>
    <row r="243" spans="1:87" ht="60">
      <c r="A243" s="1371" t="s">
        <v>3237</v>
      </c>
      <c r="B243" s="521"/>
      <c r="C243" s="508" t="s">
        <v>3232</v>
      </c>
      <c r="D243" s="1007" t="s">
        <v>4219</v>
      </c>
      <c r="E243" s="1304" t="s">
        <v>3223</v>
      </c>
      <c r="F243" s="69">
        <v>0</v>
      </c>
      <c r="G243" s="69"/>
      <c r="H243" s="69">
        <v>0</v>
      </c>
      <c r="I243" s="69"/>
      <c r="J243" s="69"/>
      <c r="K243" s="340"/>
      <c r="L243" s="277"/>
      <c r="M243" s="281">
        <f>L243/100000</f>
        <v>0</v>
      </c>
      <c r="N243" s="277"/>
      <c r="O243" s="1345">
        <f>N243*M243</f>
        <v>0</v>
      </c>
      <c r="P243" s="788"/>
      <c r="Q243" s="1003">
        <f>'Abs12. NVHCP'!Q21</f>
        <v>0</v>
      </c>
      <c r="R243" s="2867">
        <f>'Abs12. NVHCP'!R21</f>
        <v>0</v>
      </c>
      <c r="BB243" s="3267"/>
      <c r="BC243" s="3267"/>
      <c r="BD243" s="3267"/>
      <c r="BE243" s="3267"/>
      <c r="BF243" s="3267"/>
      <c r="BG243" s="3267"/>
      <c r="BH243" s="3267"/>
      <c r="BI243" s="3267"/>
      <c r="BJ243" s="3267"/>
      <c r="BK243" s="3267"/>
      <c r="BL243" s="3267"/>
      <c r="BM243" s="3267"/>
      <c r="BN243" s="3267"/>
      <c r="BO243" s="3267"/>
      <c r="BP243" s="3267"/>
      <c r="BQ243" s="3267"/>
      <c r="BR243" s="3267"/>
      <c r="BS243" s="3267"/>
      <c r="BT243" s="3267"/>
      <c r="BU243" s="3267"/>
      <c r="BV243" s="3267"/>
      <c r="BW243" s="3267"/>
      <c r="BX243" s="3267"/>
      <c r="BY243" s="3267"/>
      <c r="BZ243" s="3267"/>
      <c r="CA243" s="3267"/>
      <c r="CB243" s="3267"/>
      <c r="CC243" s="3267"/>
      <c r="CD243" s="3267"/>
      <c r="CE243" s="3267"/>
      <c r="CF243" s="3267"/>
      <c r="CG243" s="3267"/>
      <c r="CH243" s="3267"/>
      <c r="CI243" s="3215">
        <f t="shared" si="20"/>
        <v>0</v>
      </c>
    </row>
    <row r="244" spans="1:87" s="1302" customFormat="1">
      <c r="A244" s="1290" t="s">
        <v>4343</v>
      </c>
      <c r="B244" s="1291"/>
      <c r="C244" s="1372" t="s">
        <v>4683</v>
      </c>
      <c r="D244" s="930"/>
      <c r="E244" s="930"/>
      <c r="F244" s="93"/>
      <c r="G244" s="93"/>
      <c r="H244" s="93"/>
      <c r="I244" s="93"/>
      <c r="J244" s="93"/>
      <c r="K244" s="93"/>
      <c r="L244" s="93"/>
      <c r="M244" s="1149"/>
      <c r="N244" s="335"/>
      <c r="O244" s="1149">
        <f>O245</f>
        <v>0</v>
      </c>
      <c r="P244" s="705"/>
      <c r="Q244" s="996"/>
      <c r="R244" s="2872">
        <f>R245</f>
        <v>0</v>
      </c>
      <c r="BB244" s="3214"/>
      <c r="BC244" s="3214"/>
      <c r="BD244" s="3214"/>
      <c r="BE244" s="3214"/>
      <c r="BF244" s="3214"/>
      <c r="BG244" s="3214"/>
      <c r="BH244" s="3214"/>
      <c r="BI244" s="3214"/>
      <c r="BJ244" s="3214"/>
      <c r="BK244" s="3214"/>
      <c r="BL244" s="3214"/>
      <c r="BM244" s="3214"/>
      <c r="BN244" s="3214"/>
      <c r="BO244" s="3214"/>
      <c r="BP244" s="3214"/>
      <c r="BQ244" s="3214"/>
      <c r="BR244" s="3214"/>
      <c r="BS244" s="3214"/>
      <c r="BT244" s="3214"/>
      <c r="BU244" s="3214"/>
      <c r="BV244" s="3214"/>
      <c r="BW244" s="3214"/>
      <c r="BX244" s="3214"/>
      <c r="BY244" s="3214"/>
      <c r="BZ244" s="3214"/>
      <c r="CA244" s="3214"/>
      <c r="CB244" s="3214"/>
      <c r="CC244" s="3214"/>
      <c r="CD244" s="3214"/>
      <c r="CE244" s="3214"/>
      <c r="CF244" s="3214"/>
      <c r="CG244" s="3214"/>
      <c r="CH244" s="3214"/>
      <c r="CI244" s="3215">
        <f t="shared" si="20"/>
        <v>0</v>
      </c>
    </row>
    <row r="245" spans="1:87" s="1302" customFormat="1" ht="45">
      <c r="A245" s="1317" t="s">
        <v>4344</v>
      </c>
      <c r="B245" s="521"/>
      <c r="C245" s="1312" t="s">
        <v>4341</v>
      </c>
      <c r="D245" s="1007" t="s">
        <v>4219</v>
      </c>
      <c r="E245" s="1304" t="s">
        <v>3855</v>
      </c>
      <c r="F245" s="353">
        <v>0</v>
      </c>
      <c r="G245" s="353"/>
      <c r="H245" s="353">
        <v>0</v>
      </c>
      <c r="I245" s="353"/>
      <c r="J245" s="353"/>
      <c r="K245" s="354"/>
      <c r="L245" s="277"/>
      <c r="M245" s="281">
        <f>L245/100000</f>
        <v>0</v>
      </c>
      <c r="N245" s="277"/>
      <c r="O245" s="1348">
        <f>N245*M245</f>
        <v>0</v>
      </c>
      <c r="P245" s="797"/>
      <c r="Q245" s="1003">
        <f>'Abs13. NRCP'!Q8</f>
        <v>0</v>
      </c>
      <c r="R245" s="2867">
        <f>'Abs13. NRCP'!R8</f>
        <v>0</v>
      </c>
      <c r="BB245" s="3214"/>
      <c r="BC245" s="3214"/>
      <c r="BD245" s="3214"/>
      <c r="BE245" s="3214"/>
      <c r="BF245" s="3214"/>
      <c r="BG245" s="3214"/>
      <c r="BH245" s="3214"/>
      <c r="BI245" s="3214"/>
      <c r="BJ245" s="3214"/>
      <c r="BK245" s="3214"/>
      <c r="BL245" s="3214"/>
      <c r="BM245" s="3214"/>
      <c r="BN245" s="3214"/>
      <c r="BO245" s="3214"/>
      <c r="BP245" s="3214"/>
      <c r="BQ245" s="3214"/>
      <c r="BR245" s="3214"/>
      <c r="BS245" s="3214"/>
      <c r="BT245" s="3214"/>
      <c r="BU245" s="3214"/>
      <c r="BV245" s="3214"/>
      <c r="BW245" s="3214"/>
      <c r="BX245" s="3214"/>
      <c r="BY245" s="3214"/>
      <c r="BZ245" s="3214"/>
      <c r="CA245" s="3214"/>
      <c r="CB245" s="3214"/>
      <c r="CC245" s="3214"/>
      <c r="CD245" s="3214"/>
      <c r="CE245" s="3214"/>
      <c r="CF245" s="3214"/>
      <c r="CG245" s="3214"/>
      <c r="CH245" s="3214"/>
      <c r="CI245" s="3215">
        <f t="shared" si="20"/>
        <v>0</v>
      </c>
    </row>
    <row r="246" spans="1:87" s="1302" customFormat="1">
      <c r="A246" s="1290" t="s">
        <v>4343</v>
      </c>
      <c r="B246" s="1291"/>
      <c r="C246" s="1372" t="s">
        <v>4684</v>
      </c>
      <c r="D246" s="930"/>
      <c r="E246" s="930"/>
      <c r="F246" s="93"/>
      <c r="G246" s="93"/>
      <c r="H246" s="93"/>
      <c r="I246" s="93"/>
      <c r="J246" s="93"/>
      <c r="K246" s="93"/>
      <c r="L246" s="93"/>
      <c r="M246" s="1149"/>
      <c r="N246" s="335"/>
      <c r="O246" s="1149">
        <f>SUM(O247:O248)</f>
        <v>50</v>
      </c>
      <c r="P246" s="705"/>
      <c r="Q246" s="996"/>
      <c r="R246" s="2872">
        <f>SUM(R247:R248)</f>
        <v>0</v>
      </c>
      <c r="BB246" s="3214"/>
      <c r="BC246" s="3214"/>
      <c r="BD246" s="3214"/>
      <c r="BE246" s="3214"/>
      <c r="BF246" s="3214"/>
      <c r="BG246" s="3214"/>
      <c r="BH246" s="3214"/>
      <c r="BI246" s="3214"/>
      <c r="BJ246" s="3214"/>
      <c r="BK246" s="3214"/>
      <c r="BL246" s="3214"/>
      <c r="BM246" s="3214"/>
      <c r="BN246" s="3214"/>
      <c r="BO246" s="3214"/>
      <c r="BP246" s="3214"/>
      <c r="BQ246" s="3214"/>
      <c r="BR246" s="3214"/>
      <c r="BS246" s="3214"/>
      <c r="BT246" s="3214"/>
      <c r="BU246" s="3214"/>
      <c r="BV246" s="3214"/>
      <c r="BW246" s="3214"/>
      <c r="BX246" s="3214"/>
      <c r="BY246" s="3214"/>
      <c r="BZ246" s="3214"/>
      <c r="CA246" s="3214"/>
      <c r="CB246" s="3214"/>
      <c r="CC246" s="3214"/>
      <c r="CD246" s="3214"/>
      <c r="CE246" s="3214"/>
      <c r="CF246" s="3214"/>
      <c r="CG246" s="3214"/>
      <c r="CH246" s="3214"/>
      <c r="CI246" s="3215">
        <f t="shared" si="20"/>
        <v>0</v>
      </c>
    </row>
    <row r="247" spans="1:87" s="1302" customFormat="1" ht="75">
      <c r="A247" s="1317" t="s">
        <v>4345</v>
      </c>
      <c r="B247" s="521"/>
      <c r="C247" s="1312" t="s">
        <v>4342</v>
      </c>
      <c r="D247" s="1007" t="s">
        <v>4219</v>
      </c>
      <c r="E247" s="1304" t="s">
        <v>4405</v>
      </c>
      <c r="F247" s="353">
        <v>0</v>
      </c>
      <c r="G247" s="353"/>
      <c r="H247" s="353">
        <v>0</v>
      </c>
      <c r="I247" s="353"/>
      <c r="J247" s="353"/>
      <c r="K247" s="354"/>
      <c r="L247" s="277"/>
      <c r="M247" s="281">
        <f>L247/100000</f>
        <v>0</v>
      </c>
      <c r="N247" s="277"/>
      <c r="O247" s="1348">
        <f>N247*M247</f>
        <v>0</v>
      </c>
      <c r="P247" s="797"/>
      <c r="Q247" s="1003">
        <f>'Abs14. PPCL'!Q7</f>
        <v>0</v>
      </c>
      <c r="R247" s="2867">
        <f>'Abs14. PPCL'!R7</f>
        <v>0</v>
      </c>
      <c r="BB247" s="3214"/>
      <c r="BC247" s="3214"/>
      <c r="BD247" s="3214"/>
      <c r="BE247" s="3214"/>
      <c r="BF247" s="3214"/>
      <c r="BG247" s="3214"/>
      <c r="BH247" s="3214"/>
      <c r="BI247" s="3214"/>
      <c r="BJ247" s="3214"/>
      <c r="BK247" s="3214"/>
      <c r="BL247" s="3214"/>
      <c r="BM247" s="3214"/>
      <c r="BN247" s="3214"/>
      <c r="BO247" s="3214"/>
      <c r="BP247" s="3214"/>
      <c r="BQ247" s="3214"/>
      <c r="BR247" s="3214"/>
      <c r="BS247" s="3214"/>
      <c r="BT247" s="3214"/>
      <c r="BU247" s="3214"/>
      <c r="BV247" s="3214"/>
      <c r="BW247" s="3214"/>
      <c r="BX247" s="3214"/>
      <c r="BY247" s="3214"/>
      <c r="BZ247" s="3214"/>
      <c r="CA247" s="3214"/>
      <c r="CB247" s="3214"/>
      <c r="CC247" s="3214"/>
      <c r="CD247" s="3214"/>
      <c r="CE247" s="3214"/>
      <c r="CF247" s="3214"/>
      <c r="CG247" s="3214"/>
      <c r="CH247" s="3214"/>
      <c r="CI247" s="3215">
        <f t="shared" si="20"/>
        <v>0</v>
      </c>
    </row>
    <row r="248" spans="1:87" ht="30">
      <c r="A248" s="1317" t="s">
        <v>4346</v>
      </c>
      <c r="B248" s="521"/>
      <c r="C248" s="1312" t="s">
        <v>1304</v>
      </c>
      <c r="D248" s="1007" t="s">
        <v>4219</v>
      </c>
      <c r="E248" s="1304" t="s">
        <v>4405</v>
      </c>
      <c r="F248" s="353">
        <v>0</v>
      </c>
      <c r="G248" s="353"/>
      <c r="H248" s="353">
        <v>0</v>
      </c>
      <c r="I248" s="353"/>
      <c r="J248" s="353"/>
      <c r="K248" s="354"/>
      <c r="L248" s="277">
        <v>5000000</v>
      </c>
      <c r="M248" s="281">
        <f>L248/100000</f>
        <v>50</v>
      </c>
      <c r="N248" s="277">
        <v>1</v>
      </c>
      <c r="O248" s="1348">
        <f>N248*M248</f>
        <v>50</v>
      </c>
      <c r="P248" s="797" t="s">
        <v>5430</v>
      </c>
      <c r="Q248" s="2861" t="s">
        <v>5870</v>
      </c>
      <c r="R248" s="2868">
        <f>'Abs14. PPCL'!R8</f>
        <v>0</v>
      </c>
      <c r="S248" s="3045" t="s">
        <v>5834</v>
      </c>
      <c r="BB248" s="3267"/>
      <c r="BC248" s="3267"/>
      <c r="BD248" s="3267"/>
      <c r="BE248" s="3267"/>
      <c r="BF248" s="3267"/>
      <c r="BG248" s="3267"/>
      <c r="BH248" s="3267"/>
      <c r="BI248" s="3267"/>
      <c r="BJ248" s="3267"/>
      <c r="BK248" s="3267"/>
      <c r="BL248" s="3267"/>
      <c r="BM248" s="3267"/>
      <c r="BN248" s="3267"/>
      <c r="BO248" s="3267"/>
      <c r="BP248" s="3267"/>
      <c r="BQ248" s="3267"/>
      <c r="BR248" s="3267"/>
      <c r="BS248" s="3267"/>
      <c r="BT248" s="3267"/>
      <c r="BU248" s="3267"/>
      <c r="BV248" s="3267"/>
      <c r="BW248" s="3267"/>
      <c r="BX248" s="3267"/>
      <c r="BY248" s="3267"/>
      <c r="BZ248" s="3267"/>
      <c r="CA248" s="3267"/>
      <c r="CB248" s="3267"/>
      <c r="CC248" s="3267"/>
      <c r="CD248" s="3267"/>
      <c r="CE248" s="3267"/>
      <c r="CF248" s="3267"/>
      <c r="CG248" s="3267"/>
      <c r="CH248" s="3267"/>
      <c r="CI248" s="3215">
        <f t="shared" si="20"/>
        <v>0</v>
      </c>
    </row>
    <row r="249" spans="1:87">
      <c r="A249" s="3918"/>
      <c r="B249" s="3918"/>
      <c r="C249" s="3918"/>
      <c r="D249" s="1200"/>
      <c r="E249" s="1200"/>
      <c r="F249" s="310"/>
      <c r="G249" s="310"/>
      <c r="H249" s="310"/>
      <c r="I249" s="310"/>
      <c r="J249" s="310"/>
      <c r="K249" s="310"/>
      <c r="L249" s="310"/>
      <c r="M249" s="1336"/>
      <c r="N249" s="602"/>
      <c r="O249" s="1336"/>
      <c r="P249" s="720"/>
      <c r="Q249" s="1182"/>
      <c r="R249" s="2865"/>
      <c r="BB249" s="3267"/>
      <c r="BC249" s="3267"/>
      <c r="BD249" s="3267"/>
      <c r="BE249" s="3267"/>
      <c r="BF249" s="3267"/>
      <c r="BG249" s="3267"/>
      <c r="BH249" s="3267"/>
      <c r="BI249" s="3267"/>
      <c r="BJ249" s="3267"/>
      <c r="BK249" s="3267"/>
      <c r="BL249" s="3267"/>
      <c r="BM249" s="3267"/>
      <c r="BN249" s="3267"/>
      <c r="BO249" s="3267"/>
      <c r="BP249" s="3267"/>
      <c r="BQ249" s="3267"/>
      <c r="BR249" s="3267"/>
      <c r="BS249" s="3267"/>
      <c r="BT249" s="3267"/>
      <c r="BU249" s="3267"/>
      <c r="BV249" s="3267"/>
      <c r="BW249" s="3267"/>
      <c r="BX249" s="3267"/>
      <c r="BY249" s="3267"/>
      <c r="BZ249" s="3267"/>
      <c r="CA249" s="3267"/>
      <c r="CB249" s="3267"/>
      <c r="CC249" s="3267"/>
      <c r="CD249" s="3267"/>
      <c r="CE249" s="3267"/>
      <c r="CF249" s="3267"/>
      <c r="CG249" s="3267"/>
      <c r="CH249" s="3267"/>
      <c r="CI249" s="3215">
        <f t="shared" si="20"/>
        <v>0</v>
      </c>
    </row>
    <row r="250" spans="1:87">
      <c r="A250" s="1361" t="s">
        <v>1884</v>
      </c>
      <c r="B250" s="1362" t="s">
        <v>1885</v>
      </c>
      <c r="C250" s="1363" t="s">
        <v>1886</v>
      </c>
      <c r="D250" s="1364"/>
      <c r="E250" s="938"/>
      <c r="F250" s="295"/>
      <c r="G250" s="295"/>
      <c r="H250" s="295"/>
      <c r="I250" s="295"/>
      <c r="J250" s="295"/>
      <c r="K250" s="163"/>
      <c r="L250" s="295"/>
      <c r="M250" s="1366"/>
      <c r="N250" s="295"/>
      <c r="O250" s="1366">
        <f>SUM(O251:O252)</f>
        <v>30</v>
      </c>
      <c r="P250" s="757"/>
      <c r="Q250" s="1000"/>
      <c r="R250" s="2875">
        <f>SUM(R251:R252)</f>
        <v>30</v>
      </c>
      <c r="BB250" s="3267"/>
      <c r="BC250" s="3267"/>
      <c r="BD250" s="3267"/>
      <c r="BE250" s="3267"/>
      <c r="BF250" s="3267"/>
      <c r="BG250" s="3267"/>
      <c r="BH250" s="3267"/>
      <c r="BI250" s="3267"/>
      <c r="BJ250" s="3267"/>
      <c r="BK250" s="3267"/>
      <c r="BL250" s="3267"/>
      <c r="BM250" s="3267"/>
      <c r="BN250" s="3267"/>
      <c r="BO250" s="3267"/>
      <c r="BP250" s="3267"/>
      <c r="BQ250" s="3267"/>
      <c r="BR250" s="3267"/>
      <c r="BS250" s="3267"/>
      <c r="BT250" s="3267"/>
      <c r="BU250" s="3267"/>
      <c r="BV250" s="3267"/>
      <c r="BW250" s="3267"/>
      <c r="BX250" s="3267"/>
      <c r="BY250" s="3267"/>
      <c r="BZ250" s="3267"/>
      <c r="CA250" s="3267"/>
      <c r="CB250" s="3267"/>
      <c r="CC250" s="3267"/>
      <c r="CD250" s="3267"/>
      <c r="CE250" s="3267"/>
      <c r="CF250" s="3267"/>
      <c r="CG250" s="3267"/>
      <c r="CH250" s="3267"/>
      <c r="CI250" s="3215">
        <f t="shared" si="20"/>
        <v>0</v>
      </c>
    </row>
    <row r="251" spans="1:87" s="1302" customFormat="1" ht="60">
      <c r="A251" s="1317" t="s">
        <v>1887</v>
      </c>
      <c r="B251" s="1312" t="s">
        <v>1888</v>
      </c>
      <c r="C251" s="1312" t="s">
        <v>3841</v>
      </c>
      <c r="D251" s="1699" t="s">
        <v>80</v>
      </c>
      <c r="E251" s="1304" t="s">
        <v>81</v>
      </c>
      <c r="F251" s="353">
        <v>6000</v>
      </c>
      <c r="G251" s="353">
        <v>4.75</v>
      </c>
      <c r="H251" s="293">
        <v>60</v>
      </c>
      <c r="I251" s="293">
        <v>4.75</v>
      </c>
      <c r="J251" s="353">
        <v>55.25</v>
      </c>
      <c r="K251" s="343"/>
      <c r="L251" s="283">
        <v>1000</v>
      </c>
      <c r="M251" s="2261">
        <f>L251/100000</f>
        <v>0.01</v>
      </c>
      <c r="N251" s="283">
        <v>3000</v>
      </c>
      <c r="O251" s="1348">
        <f>N251*M251</f>
        <v>30</v>
      </c>
      <c r="P251" s="791" t="s">
        <v>5233</v>
      </c>
      <c r="Q251" s="2257" t="str">
        <f>'Abs15. NPCB'!Q20</f>
        <v>Recommended</v>
      </c>
      <c r="R251" s="2869">
        <f>'Abs15. NPCB'!R20</f>
        <v>30</v>
      </c>
      <c r="BB251" s="3214">
        <v>0</v>
      </c>
      <c r="BC251" s="3214">
        <v>0</v>
      </c>
      <c r="BD251" s="3214">
        <v>0</v>
      </c>
      <c r="BE251" s="3214">
        <v>0</v>
      </c>
      <c r="BF251" s="3214">
        <v>2</v>
      </c>
      <c r="BG251" s="3214">
        <v>5.75</v>
      </c>
      <c r="BH251" s="3214">
        <v>0</v>
      </c>
      <c r="BI251" s="3214">
        <v>0</v>
      </c>
      <c r="BJ251" s="3214">
        <v>3</v>
      </c>
      <c r="BK251" s="3214">
        <v>0.5</v>
      </c>
      <c r="BL251" s="3214">
        <v>0.75</v>
      </c>
      <c r="BM251" s="3214">
        <v>1</v>
      </c>
      <c r="BN251" s="3214">
        <v>0</v>
      </c>
      <c r="BO251" s="3214"/>
      <c r="BP251" s="3214"/>
      <c r="BQ251" s="3214">
        <v>2</v>
      </c>
      <c r="BR251" s="3214">
        <v>1</v>
      </c>
      <c r="BS251" s="3214"/>
      <c r="BT251" s="3214">
        <v>1</v>
      </c>
      <c r="BU251" s="3214"/>
      <c r="BV251" s="3214">
        <v>1</v>
      </c>
      <c r="BW251" s="3214">
        <v>1</v>
      </c>
      <c r="BX251" s="3214">
        <v>0.5</v>
      </c>
      <c r="BY251" s="3214">
        <v>2</v>
      </c>
      <c r="BZ251" s="3214">
        <v>3</v>
      </c>
      <c r="CA251" s="3214">
        <v>1.5</v>
      </c>
      <c r="CB251" s="3214">
        <v>0.5</v>
      </c>
      <c r="CC251" s="3214">
        <v>0.5</v>
      </c>
      <c r="CD251" s="3214">
        <v>1</v>
      </c>
      <c r="CE251" s="3214"/>
      <c r="CF251" s="3214">
        <v>2</v>
      </c>
      <c r="CG251" s="3214"/>
      <c r="CH251" s="3214"/>
      <c r="CI251" s="3215">
        <f t="shared" si="20"/>
        <v>30</v>
      </c>
    </row>
    <row r="252" spans="1:87" ht="30">
      <c r="A252" s="1318" t="s">
        <v>1889</v>
      </c>
      <c r="B252" s="521"/>
      <c r="C252" s="509" t="s">
        <v>1871</v>
      </c>
      <c r="D252" s="911" t="s">
        <v>80</v>
      </c>
      <c r="E252" s="1276" t="s">
        <v>81</v>
      </c>
      <c r="F252" s="69">
        <v>0</v>
      </c>
      <c r="G252" s="69"/>
      <c r="H252" s="69">
        <v>0</v>
      </c>
      <c r="I252" s="69"/>
      <c r="J252" s="69"/>
      <c r="K252" s="340"/>
      <c r="L252" s="277"/>
      <c r="M252" s="281">
        <f>L252/100000</f>
        <v>0</v>
      </c>
      <c r="N252" s="277"/>
      <c r="O252" s="1345">
        <f>N252*M252</f>
        <v>0</v>
      </c>
      <c r="P252" s="788"/>
      <c r="Q252" s="1003">
        <f>'Abs15. NPCB'!Q21</f>
        <v>0</v>
      </c>
      <c r="R252" s="2867">
        <f>'Abs15. NPCB'!R21</f>
        <v>0</v>
      </c>
      <c r="BB252" s="3267"/>
      <c r="BC252" s="3267"/>
      <c r="BD252" s="3267"/>
      <c r="BE252" s="3267"/>
      <c r="BF252" s="3267"/>
      <c r="BG252" s="3267"/>
      <c r="BH252" s="3267"/>
      <c r="BI252" s="3267"/>
      <c r="BJ252" s="3267"/>
      <c r="BK252" s="3267"/>
      <c r="BL252" s="3267"/>
      <c r="BM252" s="3267"/>
      <c r="BN252" s="3267"/>
      <c r="BO252" s="3267"/>
      <c r="BP252" s="3267"/>
      <c r="BQ252" s="3267"/>
      <c r="BR252" s="3267"/>
      <c r="BS252" s="3267"/>
      <c r="BT252" s="3267"/>
      <c r="BU252" s="3267"/>
      <c r="BV252" s="3267"/>
      <c r="BW252" s="3267"/>
      <c r="BX252" s="3267"/>
      <c r="BY252" s="3267"/>
      <c r="BZ252" s="3267"/>
      <c r="CA252" s="3267"/>
      <c r="CB252" s="3267"/>
      <c r="CC252" s="3267"/>
      <c r="CD252" s="3267"/>
      <c r="CE252" s="3267"/>
      <c r="CF252" s="3267"/>
      <c r="CG252" s="3267"/>
      <c r="CH252" s="3267"/>
      <c r="CI252" s="3215">
        <f t="shared" si="20"/>
        <v>0</v>
      </c>
    </row>
    <row r="253" spans="1:87" ht="30">
      <c r="A253" s="1361" t="s">
        <v>1890</v>
      </c>
      <c r="B253" s="1362" t="s">
        <v>1891</v>
      </c>
      <c r="C253" s="1363" t="s">
        <v>1892</v>
      </c>
      <c r="D253" s="1364"/>
      <c r="E253" s="938"/>
      <c r="F253" s="295"/>
      <c r="G253" s="295"/>
      <c r="H253" s="295"/>
      <c r="I253" s="295"/>
      <c r="J253" s="295"/>
      <c r="K253" s="163"/>
      <c r="L253" s="295"/>
      <c r="M253" s="1366"/>
      <c r="N253" s="295"/>
      <c r="O253" s="1366">
        <f>SUM(O254:O255)</f>
        <v>25</v>
      </c>
      <c r="P253" s="757"/>
      <c r="Q253" s="1000"/>
      <c r="R253" s="2875">
        <f>SUM(R254:R255)</f>
        <v>25</v>
      </c>
      <c r="BB253" s="3267"/>
      <c r="BC253" s="3267"/>
      <c r="BD253" s="3267"/>
      <c r="BE253" s="3267"/>
      <c r="BF253" s="3267"/>
      <c r="BG253" s="3267"/>
      <c r="BH253" s="3267"/>
      <c r="BI253" s="3267"/>
      <c r="BJ253" s="3267"/>
      <c r="BK253" s="3267"/>
      <c r="BL253" s="3267"/>
      <c r="BM253" s="3267"/>
      <c r="BN253" s="3267"/>
      <c r="BO253" s="3267"/>
      <c r="BP253" s="3267"/>
      <c r="BQ253" s="3267"/>
      <c r="BR253" s="3267"/>
      <c r="BS253" s="3267"/>
      <c r="BT253" s="3267"/>
      <c r="BU253" s="3267"/>
      <c r="BV253" s="3267"/>
      <c r="BW253" s="3267"/>
      <c r="BX253" s="3267"/>
      <c r="BY253" s="3267"/>
      <c r="BZ253" s="3267"/>
      <c r="CA253" s="3267"/>
      <c r="CB253" s="3267"/>
      <c r="CC253" s="3267"/>
      <c r="CD253" s="3267"/>
      <c r="CE253" s="3267"/>
      <c r="CF253" s="3267"/>
      <c r="CG253" s="3267"/>
      <c r="CH253" s="3267"/>
      <c r="CI253" s="3215">
        <f t="shared" si="20"/>
        <v>0</v>
      </c>
    </row>
    <row r="254" spans="1:87" s="3361" customFormat="1" ht="45">
      <c r="A254" s="3350" t="s">
        <v>1893</v>
      </c>
      <c r="B254" s="3364"/>
      <c r="C254" s="3365"/>
      <c r="D254" s="3366" t="s">
        <v>80</v>
      </c>
      <c r="E254" s="3352" t="s">
        <v>145</v>
      </c>
      <c r="F254" s="3367">
        <v>12</v>
      </c>
      <c r="G254" s="3367"/>
      <c r="H254" s="3367">
        <v>24</v>
      </c>
      <c r="I254" s="3367"/>
      <c r="J254" s="3367"/>
      <c r="K254" s="3368"/>
      <c r="L254" s="3369">
        <v>2500000</v>
      </c>
      <c r="M254" s="3357">
        <f>L254/100000</f>
        <v>25</v>
      </c>
      <c r="N254" s="2697">
        <v>1</v>
      </c>
      <c r="O254" s="3358">
        <f>N254*M254</f>
        <v>25</v>
      </c>
      <c r="P254" s="3370" t="s">
        <v>5234</v>
      </c>
      <c r="Q254" s="2861" t="str">
        <f>'Abs16. NMHP'!Q14</f>
        <v>Recommended</v>
      </c>
      <c r="R254" s="2868">
        <f>'Abs16. NMHP'!R14</f>
        <v>25</v>
      </c>
      <c r="BB254" s="3362">
        <v>25</v>
      </c>
      <c r="BC254" s="3362"/>
      <c r="BD254" s="3362"/>
      <c r="BE254" s="3362"/>
      <c r="BF254" s="3362"/>
      <c r="BG254" s="3362"/>
      <c r="BH254" s="3362"/>
      <c r="BI254" s="3362"/>
      <c r="BJ254" s="3362"/>
      <c r="BK254" s="3362"/>
      <c r="BL254" s="3362"/>
      <c r="BM254" s="3362"/>
      <c r="BN254" s="3362"/>
      <c r="BO254" s="3362"/>
      <c r="BP254" s="3362"/>
      <c r="BQ254" s="3362"/>
      <c r="BR254" s="3362"/>
      <c r="BS254" s="3362"/>
      <c r="BT254" s="3362"/>
      <c r="BU254" s="3362"/>
      <c r="BV254" s="3362"/>
      <c r="BW254" s="3362"/>
      <c r="BX254" s="3362"/>
      <c r="BY254" s="3362"/>
      <c r="BZ254" s="3362"/>
      <c r="CA254" s="3362"/>
      <c r="CB254" s="3362"/>
      <c r="CC254" s="3362"/>
      <c r="CD254" s="3362"/>
      <c r="CE254" s="3362"/>
      <c r="CF254" s="3362"/>
      <c r="CG254" s="3362"/>
      <c r="CH254" s="3362"/>
      <c r="CI254" s="3363">
        <f t="shared" si="20"/>
        <v>25</v>
      </c>
    </row>
    <row r="255" spans="1:87">
      <c r="A255" s="1318" t="s">
        <v>1894</v>
      </c>
      <c r="B255" s="1312"/>
      <c r="C255" s="1373"/>
      <c r="D255" s="911" t="s">
        <v>80</v>
      </c>
      <c r="E255" s="1276" t="s">
        <v>145</v>
      </c>
      <c r="F255" s="69">
        <v>0</v>
      </c>
      <c r="G255" s="69"/>
      <c r="H255" s="69">
        <v>0</v>
      </c>
      <c r="I255" s="69"/>
      <c r="J255" s="69"/>
      <c r="K255" s="340"/>
      <c r="L255" s="277"/>
      <c r="M255" s="281">
        <f>L255/100000</f>
        <v>0</v>
      </c>
      <c r="N255" s="277"/>
      <c r="O255" s="1345">
        <f>N255*M255</f>
        <v>0</v>
      </c>
      <c r="P255" s="788"/>
      <c r="Q255" s="1003">
        <f>'Abs16. NMHP'!Q15</f>
        <v>0</v>
      </c>
      <c r="R255" s="2867">
        <f>'Abs16. NMHP'!R15</f>
        <v>0</v>
      </c>
      <c r="BB255" s="3267"/>
      <c r="BC255" s="3267"/>
      <c r="BD255" s="3267"/>
      <c r="BE255" s="3267"/>
      <c r="BF255" s="3267"/>
      <c r="BG255" s="3267"/>
      <c r="BH255" s="3267"/>
      <c r="BI255" s="3267"/>
      <c r="BJ255" s="3267"/>
      <c r="BK255" s="3267"/>
      <c r="BL255" s="3267"/>
      <c r="BM255" s="3267"/>
      <c r="BN255" s="3267"/>
      <c r="BO255" s="3267"/>
      <c r="BP255" s="3267"/>
      <c r="BQ255" s="3267"/>
      <c r="BR255" s="3267"/>
      <c r="BS255" s="3267"/>
      <c r="BT255" s="3267"/>
      <c r="BU255" s="3267"/>
      <c r="BV255" s="3267"/>
      <c r="BW255" s="3267"/>
      <c r="BX255" s="3267"/>
      <c r="BY255" s="3267"/>
      <c r="BZ255" s="3267"/>
      <c r="CA255" s="3267"/>
      <c r="CB255" s="3267"/>
      <c r="CC255" s="3267"/>
      <c r="CD255" s="3267"/>
      <c r="CE255" s="3267"/>
      <c r="CF255" s="3267"/>
      <c r="CG255" s="3267"/>
      <c r="CH255" s="3267"/>
      <c r="CI255" s="3215">
        <f t="shared" si="20"/>
        <v>0</v>
      </c>
    </row>
    <row r="256" spans="1:87" ht="30">
      <c r="A256" s="1361" t="s">
        <v>1895</v>
      </c>
      <c r="B256" s="1362" t="s">
        <v>1896</v>
      </c>
      <c r="C256" s="1363" t="s">
        <v>1897</v>
      </c>
      <c r="D256" s="1364"/>
      <c r="E256" s="938"/>
      <c r="F256" s="295"/>
      <c r="G256" s="295"/>
      <c r="H256" s="295"/>
      <c r="I256" s="295"/>
      <c r="J256" s="295"/>
      <c r="K256" s="163"/>
      <c r="L256" s="295"/>
      <c r="M256" s="1366"/>
      <c r="N256" s="295"/>
      <c r="O256" s="1366">
        <f>SUM(O257:O258)</f>
        <v>26.400000000000002</v>
      </c>
      <c r="P256" s="757"/>
      <c r="Q256" s="1000"/>
      <c r="R256" s="2875">
        <f>SUM(R257:R258)</f>
        <v>0</v>
      </c>
      <c r="BB256" s="3267"/>
      <c r="BC256" s="3267"/>
      <c r="BD256" s="3267"/>
      <c r="BE256" s="3267"/>
      <c r="BF256" s="3267"/>
      <c r="BG256" s="3267"/>
      <c r="BH256" s="3267"/>
      <c r="BI256" s="3267"/>
      <c r="BJ256" s="3267"/>
      <c r="BK256" s="3267"/>
      <c r="BL256" s="3267"/>
      <c r="BM256" s="3267"/>
      <c r="BN256" s="3267"/>
      <c r="BO256" s="3267"/>
      <c r="BP256" s="3267"/>
      <c r="BQ256" s="3267"/>
      <c r="BR256" s="3267"/>
      <c r="BS256" s="3267"/>
      <c r="BT256" s="3267"/>
      <c r="BU256" s="3267"/>
      <c r="BV256" s="3267"/>
      <c r="BW256" s="3267"/>
      <c r="BX256" s="3267"/>
      <c r="BY256" s="3267"/>
      <c r="BZ256" s="3267"/>
      <c r="CA256" s="3267"/>
      <c r="CB256" s="3267"/>
      <c r="CC256" s="3267"/>
      <c r="CD256" s="3267"/>
      <c r="CE256" s="3267"/>
      <c r="CF256" s="3267"/>
      <c r="CG256" s="3267"/>
      <c r="CH256" s="3267"/>
      <c r="CI256" s="3215">
        <f t="shared" si="20"/>
        <v>0</v>
      </c>
    </row>
    <row r="257" spans="1:87" ht="30">
      <c r="A257" s="1318" t="s">
        <v>1898</v>
      </c>
      <c r="B257" s="1312"/>
      <c r="C257" s="1374" t="s">
        <v>1897</v>
      </c>
      <c r="D257" s="911" t="s">
        <v>80</v>
      </c>
      <c r="E257" s="1276" t="s">
        <v>394</v>
      </c>
      <c r="F257" s="69">
        <v>12</v>
      </c>
      <c r="G257" s="69"/>
      <c r="H257" s="69">
        <v>6</v>
      </c>
      <c r="I257" s="69"/>
      <c r="J257" s="69"/>
      <c r="K257" s="340"/>
      <c r="L257" s="277"/>
      <c r="M257" s="281">
        <f>L257/100000</f>
        <v>0</v>
      </c>
      <c r="N257" s="277"/>
      <c r="O257" s="1345">
        <f>N257*M257</f>
        <v>0</v>
      </c>
      <c r="P257" s="788"/>
      <c r="Q257" s="1003">
        <f>'Abs17. NPHCE'!Q18</f>
        <v>0</v>
      </c>
      <c r="R257" s="2867">
        <f>'Abs17. NPHCE'!R18</f>
        <v>0</v>
      </c>
      <c r="BB257" s="3267"/>
      <c r="BC257" s="3267"/>
      <c r="BD257" s="3267"/>
      <c r="BE257" s="3267"/>
      <c r="BF257" s="3267"/>
      <c r="BG257" s="3267"/>
      <c r="BH257" s="3267"/>
      <c r="BI257" s="3267"/>
      <c r="BJ257" s="3267"/>
      <c r="BK257" s="3267"/>
      <c r="BL257" s="3267"/>
      <c r="BM257" s="3267"/>
      <c r="BN257" s="3267"/>
      <c r="BO257" s="3267"/>
      <c r="BP257" s="3267"/>
      <c r="BQ257" s="3267"/>
      <c r="BR257" s="3267"/>
      <c r="BS257" s="3267"/>
      <c r="BT257" s="3267"/>
      <c r="BU257" s="3267"/>
      <c r="BV257" s="3267"/>
      <c r="BW257" s="3267"/>
      <c r="BX257" s="3267"/>
      <c r="BY257" s="3267"/>
      <c r="BZ257" s="3267"/>
      <c r="CA257" s="3267"/>
      <c r="CB257" s="3267"/>
      <c r="CC257" s="3267"/>
      <c r="CD257" s="3267"/>
      <c r="CE257" s="3267"/>
      <c r="CF257" s="3267"/>
      <c r="CG257" s="3267"/>
      <c r="CH257" s="3267"/>
      <c r="CI257" s="3215">
        <f t="shared" si="20"/>
        <v>0</v>
      </c>
    </row>
    <row r="258" spans="1:87" s="1302" customFormat="1" ht="90">
      <c r="A258" s="1317" t="s">
        <v>1899</v>
      </c>
      <c r="B258" s="1312"/>
      <c r="C258" s="2456"/>
      <c r="D258" s="1699" t="s">
        <v>80</v>
      </c>
      <c r="E258" s="1304" t="s">
        <v>394</v>
      </c>
      <c r="F258" s="353">
        <v>0</v>
      </c>
      <c r="G258" s="353"/>
      <c r="H258" s="353">
        <v>0</v>
      </c>
      <c r="I258" s="353">
        <v>0</v>
      </c>
      <c r="J258" s="353"/>
      <c r="K258" s="354">
        <v>1</v>
      </c>
      <c r="L258" s="2519">
        <v>880000</v>
      </c>
      <c r="M258" s="2261">
        <f>L258/100000</f>
        <v>8.8000000000000007</v>
      </c>
      <c r="N258" s="2519">
        <v>3</v>
      </c>
      <c r="O258" s="1348">
        <f>N258*M258</f>
        <v>26.400000000000002</v>
      </c>
      <c r="P258" s="791" t="s">
        <v>5305</v>
      </c>
      <c r="Q258" s="2257" t="str">
        <f>'Abs17. NPHCE'!Q19</f>
        <v xml:space="preserve"> As per SPO, the funds are for Remuneration of MO visit, Health Checkup etc. through NGO Help age is not as per Operational Guidelines.Hence Not Recommended under this FMR.  State may propose funds under Innovation/HSS </v>
      </c>
      <c r="R258" s="2869">
        <f>'Abs17. NPHCE'!R19</f>
        <v>0</v>
      </c>
      <c r="BB258" s="3214"/>
      <c r="BC258" s="3214"/>
      <c r="BD258" s="3214"/>
      <c r="BE258" s="3214"/>
      <c r="BF258" s="3214"/>
      <c r="BG258" s="3214"/>
      <c r="BH258" s="3214"/>
      <c r="BI258" s="3214"/>
      <c r="BJ258" s="3214"/>
      <c r="BK258" s="3214"/>
      <c r="BL258" s="3214"/>
      <c r="BM258" s="3214"/>
      <c r="BN258" s="3214"/>
      <c r="BO258" s="3214"/>
      <c r="BP258" s="3214"/>
      <c r="BQ258" s="3214"/>
      <c r="BR258" s="3214"/>
      <c r="BS258" s="3214"/>
      <c r="BT258" s="3214"/>
      <c r="BU258" s="3214"/>
      <c r="BV258" s="3214"/>
      <c r="BW258" s="3214"/>
      <c r="BX258" s="3214"/>
      <c r="BY258" s="3214"/>
      <c r="BZ258" s="3214"/>
      <c r="CA258" s="3214"/>
      <c r="CB258" s="3214"/>
      <c r="CC258" s="3214"/>
      <c r="CD258" s="3214"/>
      <c r="CE258" s="3214"/>
      <c r="CF258" s="3214"/>
      <c r="CG258" s="3214"/>
      <c r="CH258" s="3214"/>
      <c r="CI258" s="3215">
        <f t="shared" si="20"/>
        <v>0</v>
      </c>
    </row>
    <row r="259" spans="1:87">
      <c r="A259" s="1361" t="s">
        <v>1900</v>
      </c>
      <c r="B259" s="1362"/>
      <c r="C259" s="1363" t="s">
        <v>1901</v>
      </c>
      <c r="D259" s="1364"/>
      <c r="E259" s="938"/>
      <c r="F259" s="295"/>
      <c r="G259" s="295"/>
      <c r="H259" s="295"/>
      <c r="I259" s="295"/>
      <c r="J259" s="295"/>
      <c r="K259" s="163"/>
      <c r="L259" s="295"/>
      <c r="M259" s="1366"/>
      <c r="N259" s="295"/>
      <c r="O259" s="1366">
        <f>SUM(O260:O261)</f>
        <v>0</v>
      </c>
      <c r="P259" s="757"/>
      <c r="Q259" s="1000"/>
      <c r="R259" s="2875">
        <f>SUM(R260:R261)</f>
        <v>0</v>
      </c>
      <c r="BB259" s="3267"/>
      <c r="BC259" s="3267"/>
      <c r="BD259" s="3267"/>
      <c r="BE259" s="3267"/>
      <c r="BF259" s="3267"/>
      <c r="BG259" s="3267"/>
      <c r="BH259" s="3267"/>
      <c r="BI259" s="3267"/>
      <c r="BJ259" s="3267"/>
      <c r="BK259" s="3267"/>
      <c r="BL259" s="3267"/>
      <c r="BM259" s="3267"/>
      <c r="BN259" s="3267"/>
      <c r="BO259" s="3267"/>
      <c r="BP259" s="3267"/>
      <c r="BQ259" s="3267"/>
      <c r="BR259" s="3267"/>
      <c r="BS259" s="3267"/>
      <c r="BT259" s="3267"/>
      <c r="BU259" s="3267"/>
      <c r="BV259" s="3267"/>
      <c r="BW259" s="3267"/>
      <c r="BX259" s="3267"/>
      <c r="BY259" s="3267"/>
      <c r="BZ259" s="3267"/>
      <c r="CA259" s="3267"/>
      <c r="CB259" s="3267"/>
      <c r="CC259" s="3267"/>
      <c r="CD259" s="3267"/>
      <c r="CE259" s="3267"/>
      <c r="CF259" s="3267"/>
      <c r="CG259" s="3267"/>
      <c r="CH259" s="3267"/>
      <c r="CI259" s="3215">
        <f t="shared" si="20"/>
        <v>0</v>
      </c>
    </row>
    <row r="260" spans="1:87" ht="45">
      <c r="A260" s="1318" t="s">
        <v>1902</v>
      </c>
      <c r="B260" s="1319" t="s">
        <v>1903</v>
      </c>
      <c r="C260" s="1319" t="s">
        <v>1904</v>
      </c>
      <c r="D260" s="911" t="s">
        <v>80</v>
      </c>
      <c r="E260" s="1276" t="s">
        <v>147</v>
      </c>
      <c r="F260" s="69">
        <v>12</v>
      </c>
      <c r="G260" s="69"/>
      <c r="H260" s="69">
        <v>12</v>
      </c>
      <c r="I260" s="69"/>
      <c r="J260" s="69"/>
      <c r="K260" s="339"/>
      <c r="L260" s="277"/>
      <c r="M260" s="281">
        <f>L260/100000</f>
        <v>0</v>
      </c>
      <c r="N260" s="277"/>
      <c r="O260" s="1345">
        <f>N260*M260</f>
        <v>0</v>
      </c>
      <c r="P260" s="788"/>
      <c r="Q260" s="1003">
        <f>'Abs18. NTCP'!Q15</f>
        <v>0</v>
      </c>
      <c r="R260" s="2867">
        <f>'Abs18. NTCP'!R15</f>
        <v>0</v>
      </c>
      <c r="BB260" s="3267"/>
      <c r="BC260" s="3267"/>
      <c r="BD260" s="3267"/>
      <c r="BE260" s="3267"/>
      <c r="BF260" s="3267"/>
      <c r="BG260" s="3267"/>
      <c r="BH260" s="3267"/>
      <c r="BI260" s="3267"/>
      <c r="BJ260" s="3267"/>
      <c r="BK260" s="3267"/>
      <c r="BL260" s="3267"/>
      <c r="BM260" s="3267"/>
      <c r="BN260" s="3267"/>
      <c r="BO260" s="3267"/>
      <c r="BP260" s="3267"/>
      <c r="BQ260" s="3267"/>
      <c r="BR260" s="3267"/>
      <c r="BS260" s="3267"/>
      <c r="BT260" s="3267"/>
      <c r="BU260" s="3267"/>
      <c r="BV260" s="3267"/>
      <c r="BW260" s="3267"/>
      <c r="BX260" s="3267"/>
      <c r="BY260" s="3267"/>
      <c r="BZ260" s="3267"/>
      <c r="CA260" s="3267"/>
      <c r="CB260" s="3267"/>
      <c r="CC260" s="3267"/>
      <c r="CD260" s="3267"/>
      <c r="CE260" s="3267"/>
      <c r="CF260" s="3267"/>
      <c r="CG260" s="3267"/>
      <c r="CH260" s="3267"/>
      <c r="CI260" s="3215">
        <f t="shared" si="20"/>
        <v>0</v>
      </c>
    </row>
    <row r="261" spans="1:87" ht="30">
      <c r="A261" s="1318" t="s">
        <v>1905</v>
      </c>
      <c r="B261" s="521"/>
      <c r="C261" s="509" t="s">
        <v>1871</v>
      </c>
      <c r="D261" s="911" t="s">
        <v>80</v>
      </c>
      <c r="E261" s="1276" t="s">
        <v>147</v>
      </c>
      <c r="F261" s="69">
        <v>0</v>
      </c>
      <c r="G261" s="69"/>
      <c r="H261" s="69">
        <v>0</v>
      </c>
      <c r="I261" s="69"/>
      <c r="J261" s="69"/>
      <c r="K261" s="340"/>
      <c r="L261" s="277"/>
      <c r="M261" s="281">
        <f>L261/100000</f>
        <v>0</v>
      </c>
      <c r="N261" s="277"/>
      <c r="O261" s="1345">
        <f>N261*M261</f>
        <v>0</v>
      </c>
      <c r="P261" s="788"/>
      <c r="Q261" s="1003">
        <f>'Abs18. NTCP'!Q16</f>
        <v>0</v>
      </c>
      <c r="R261" s="2867">
        <f>'Abs18. NTCP'!R16</f>
        <v>0</v>
      </c>
      <c r="BB261" s="3267"/>
      <c r="BC261" s="3267"/>
      <c r="BD261" s="3267"/>
      <c r="BE261" s="3267"/>
      <c r="BF261" s="3267"/>
      <c r="BG261" s="3267"/>
      <c r="BH261" s="3267"/>
      <c r="BI261" s="3267"/>
      <c r="BJ261" s="3267"/>
      <c r="BK261" s="3267"/>
      <c r="BL261" s="3267"/>
      <c r="BM261" s="3267"/>
      <c r="BN261" s="3267"/>
      <c r="BO261" s="3267"/>
      <c r="BP261" s="3267"/>
      <c r="BQ261" s="3267"/>
      <c r="BR261" s="3267"/>
      <c r="BS261" s="3267"/>
      <c r="BT261" s="3267"/>
      <c r="BU261" s="3267"/>
      <c r="BV261" s="3267"/>
      <c r="BW261" s="3267"/>
      <c r="BX261" s="3267"/>
      <c r="BY261" s="3267"/>
      <c r="BZ261" s="3267"/>
      <c r="CA261" s="3267"/>
      <c r="CB261" s="3267"/>
      <c r="CC261" s="3267"/>
      <c r="CD261" s="3267"/>
      <c r="CE261" s="3267"/>
      <c r="CF261" s="3267"/>
      <c r="CG261" s="3267"/>
      <c r="CH261" s="3267"/>
      <c r="CI261" s="3215">
        <f t="shared" si="20"/>
        <v>0</v>
      </c>
    </row>
    <row r="262" spans="1:87" ht="30">
      <c r="A262" s="1361" t="s">
        <v>1906</v>
      </c>
      <c r="B262" s="1362" t="s">
        <v>1907</v>
      </c>
      <c r="C262" s="1363" t="s">
        <v>1908</v>
      </c>
      <c r="D262" s="1364"/>
      <c r="E262" s="938"/>
      <c r="F262" s="295"/>
      <c r="G262" s="295"/>
      <c r="H262" s="295"/>
      <c r="I262" s="295"/>
      <c r="J262" s="295"/>
      <c r="K262" s="163"/>
      <c r="L262" s="295"/>
      <c r="M262" s="1366"/>
      <c r="N262" s="295"/>
      <c r="O262" s="1366">
        <f>SUM(O263:O270)</f>
        <v>144.27000000000001</v>
      </c>
      <c r="P262" s="757"/>
      <c r="Q262" s="1000"/>
      <c r="R262" s="2875">
        <f>SUM(R263:R270)</f>
        <v>144.27000000000001</v>
      </c>
      <c r="BB262" s="3267"/>
      <c r="BC262" s="3267"/>
      <c r="BD262" s="3267"/>
      <c r="BE262" s="3267"/>
      <c r="BF262" s="3267"/>
      <c r="BG262" s="3267"/>
      <c r="BH262" s="3267"/>
      <c r="BI262" s="3267"/>
      <c r="BJ262" s="3267"/>
      <c r="BK262" s="3267"/>
      <c r="BL262" s="3267"/>
      <c r="BM262" s="3267"/>
      <c r="BN262" s="3267"/>
      <c r="BO262" s="3267"/>
      <c r="BP262" s="3267"/>
      <c r="BQ262" s="3267"/>
      <c r="BR262" s="3267"/>
      <c r="BS262" s="3267"/>
      <c r="BT262" s="3267"/>
      <c r="BU262" s="3267"/>
      <c r="BV262" s="3267"/>
      <c r="BW262" s="3267"/>
      <c r="BX262" s="3267"/>
      <c r="BY262" s="3267"/>
      <c r="BZ262" s="3267"/>
      <c r="CA262" s="3267"/>
      <c r="CB262" s="3267"/>
      <c r="CC262" s="3267"/>
      <c r="CD262" s="3267"/>
      <c r="CE262" s="3267"/>
      <c r="CF262" s="3267"/>
      <c r="CG262" s="3267"/>
      <c r="CH262" s="3267"/>
      <c r="CI262" s="3215">
        <f t="shared" ref="CI262:CI280" si="23">SUM(BB262:CH262)</f>
        <v>0</v>
      </c>
    </row>
    <row r="263" spans="1:87" s="1302" customFormat="1" ht="75">
      <c r="A263" s="1317" t="s">
        <v>1909</v>
      </c>
      <c r="B263" s="1312" t="s">
        <v>1910</v>
      </c>
      <c r="C263" s="1312" t="s">
        <v>4562</v>
      </c>
      <c r="D263" s="1699" t="s">
        <v>80</v>
      </c>
      <c r="E263" s="1304" t="s">
        <v>410</v>
      </c>
      <c r="F263" s="353">
        <v>100</v>
      </c>
      <c r="G263" s="353"/>
      <c r="H263" s="353">
        <v>30</v>
      </c>
      <c r="I263" s="353"/>
      <c r="J263" s="343"/>
      <c r="K263" s="353">
        <v>1</v>
      </c>
      <c r="L263" s="2510"/>
      <c r="M263" s="2261">
        <f t="shared" ref="M263:M270" si="24">L263/100000</f>
        <v>0</v>
      </c>
      <c r="N263" s="283"/>
      <c r="O263" s="1348">
        <f t="shared" ref="O263:O270" si="25">N263*M263</f>
        <v>0</v>
      </c>
      <c r="P263" s="2558"/>
      <c r="Q263" s="2257">
        <f>'Abs19. NPCDCS'!Q24</f>
        <v>0</v>
      </c>
      <c r="R263" s="2869">
        <f>'Abs19. NPCDCS'!R24</f>
        <v>0</v>
      </c>
      <c r="BB263" s="3214"/>
      <c r="BC263" s="3214"/>
      <c r="BD263" s="3214"/>
      <c r="BE263" s="3214"/>
      <c r="BF263" s="3214"/>
      <c r="BG263" s="3214"/>
      <c r="BH263" s="3214"/>
      <c r="BI263" s="3214"/>
      <c r="BJ263" s="3214"/>
      <c r="BK263" s="3214"/>
      <c r="BL263" s="3214"/>
      <c r="BM263" s="3214"/>
      <c r="BN263" s="3214"/>
      <c r="BO263" s="3214"/>
      <c r="BP263" s="3214"/>
      <c r="BQ263" s="3214"/>
      <c r="BR263" s="3214"/>
      <c r="BS263" s="3214"/>
      <c r="BT263" s="3214"/>
      <c r="BU263" s="3214"/>
      <c r="BV263" s="3214"/>
      <c r="BW263" s="3214"/>
      <c r="BX263" s="3214"/>
      <c r="BY263" s="3214"/>
      <c r="BZ263" s="3214"/>
      <c r="CA263" s="3214"/>
      <c r="CB263" s="3214"/>
      <c r="CC263" s="3214"/>
      <c r="CD263" s="3214"/>
      <c r="CE263" s="3214"/>
      <c r="CF263" s="3214"/>
      <c r="CG263" s="3214"/>
      <c r="CH263" s="3214"/>
      <c r="CI263" s="3215">
        <f t="shared" si="23"/>
        <v>0</v>
      </c>
    </row>
    <row r="264" spans="1:87" ht="45">
      <c r="A264" s="1317" t="s">
        <v>1911</v>
      </c>
      <c r="B264" s="1312" t="s">
        <v>1912</v>
      </c>
      <c r="C264" s="1319" t="s">
        <v>4563</v>
      </c>
      <c r="D264" s="911" t="s">
        <v>80</v>
      </c>
      <c r="E264" s="1276" t="s">
        <v>410</v>
      </c>
      <c r="F264" s="69">
        <v>0</v>
      </c>
      <c r="G264" s="69"/>
      <c r="H264" s="69">
        <v>0</v>
      </c>
      <c r="I264" s="69"/>
      <c r="J264" s="339"/>
      <c r="K264" s="69"/>
      <c r="L264" s="277"/>
      <c r="M264" s="281">
        <f t="shared" si="24"/>
        <v>0</v>
      </c>
      <c r="N264" s="277"/>
      <c r="O264" s="1345">
        <f t="shared" si="25"/>
        <v>0</v>
      </c>
      <c r="P264" s="788"/>
      <c r="Q264" s="1003">
        <f>'Abs19. NPCDCS'!Q25</f>
        <v>0</v>
      </c>
      <c r="R264" s="2867">
        <f>'Abs19. NPCDCS'!R25</f>
        <v>0</v>
      </c>
      <c r="BB264" s="3267"/>
      <c r="BC264" s="3267"/>
      <c r="BD264" s="3267"/>
      <c r="BE264" s="3267"/>
      <c r="BF264" s="3267"/>
      <c r="BG264" s="3267"/>
      <c r="BH264" s="3267"/>
      <c r="BI264" s="3267"/>
      <c r="BJ264" s="3267"/>
      <c r="BK264" s="3267"/>
      <c r="BL264" s="3267"/>
      <c r="BM264" s="3267"/>
      <c r="BN264" s="3267"/>
      <c r="BO264" s="3267"/>
      <c r="BP264" s="3267"/>
      <c r="BQ264" s="3267"/>
      <c r="BR264" s="3267"/>
      <c r="BS264" s="3267"/>
      <c r="BT264" s="3267"/>
      <c r="BU264" s="3267"/>
      <c r="BV264" s="3267"/>
      <c r="BW264" s="3267"/>
      <c r="BX264" s="3267"/>
      <c r="BY264" s="3267"/>
      <c r="BZ264" s="3267"/>
      <c r="CA264" s="3267"/>
      <c r="CB264" s="3267"/>
      <c r="CC264" s="3267"/>
      <c r="CD264" s="3267"/>
      <c r="CE264" s="3267"/>
      <c r="CF264" s="3267"/>
      <c r="CG264" s="3267"/>
      <c r="CH264" s="3267"/>
      <c r="CI264" s="3215">
        <f t="shared" si="23"/>
        <v>0</v>
      </c>
    </row>
    <row r="265" spans="1:87" s="1302" customFormat="1" ht="30">
      <c r="A265" s="1317"/>
      <c r="B265" s="1312"/>
      <c r="C265" s="1312" t="s">
        <v>4564</v>
      </c>
      <c r="D265" s="1699" t="s">
        <v>80</v>
      </c>
      <c r="E265" s="1304" t="s">
        <v>410</v>
      </c>
      <c r="F265" s="353"/>
      <c r="G265" s="353"/>
      <c r="H265" s="353"/>
      <c r="I265" s="353"/>
      <c r="J265" s="343"/>
      <c r="K265" s="353"/>
      <c r="L265" s="283"/>
      <c r="M265" s="2261">
        <f>L265/100000</f>
        <v>0</v>
      </c>
      <c r="N265" s="283"/>
      <c r="O265" s="1348">
        <f>N265*M265</f>
        <v>0</v>
      </c>
      <c r="P265" s="791"/>
      <c r="Q265" s="2257">
        <f>'Abs19. NPCDCS'!Q26</f>
        <v>0</v>
      </c>
      <c r="R265" s="2869">
        <f>'Abs19. NPCDCS'!R26</f>
        <v>0</v>
      </c>
      <c r="BB265" s="3214"/>
      <c r="BC265" s="3214"/>
      <c r="BD265" s="3214"/>
      <c r="BE265" s="3214"/>
      <c r="BF265" s="3214"/>
      <c r="BG265" s="3214"/>
      <c r="BH265" s="3214"/>
      <c r="BI265" s="3214"/>
      <c r="BJ265" s="3214"/>
      <c r="BK265" s="3214"/>
      <c r="BL265" s="3214"/>
      <c r="BM265" s="3214"/>
      <c r="BN265" s="3214"/>
      <c r="BO265" s="3214"/>
      <c r="BP265" s="3214"/>
      <c r="BQ265" s="3214"/>
      <c r="BR265" s="3214"/>
      <c r="BS265" s="3214"/>
      <c r="BT265" s="3214"/>
      <c r="BU265" s="3214"/>
      <c r="BV265" s="3214"/>
      <c r="BW265" s="3214"/>
      <c r="BX265" s="3214"/>
      <c r="BY265" s="3214"/>
      <c r="BZ265" s="3214"/>
      <c r="CA265" s="3214"/>
      <c r="CB265" s="3214"/>
      <c r="CC265" s="3214"/>
      <c r="CD265" s="3214"/>
      <c r="CE265" s="3214"/>
      <c r="CF265" s="3214"/>
      <c r="CG265" s="3214"/>
      <c r="CH265" s="3214"/>
      <c r="CI265" s="3215">
        <f t="shared" si="23"/>
        <v>0</v>
      </c>
    </row>
    <row r="266" spans="1:87" s="1302" customFormat="1" ht="30">
      <c r="A266" s="1317"/>
      <c r="B266" s="1312"/>
      <c r="C266" s="1312" t="s">
        <v>4561</v>
      </c>
      <c r="D266" s="1699" t="s">
        <v>80</v>
      </c>
      <c r="E266" s="1304" t="s">
        <v>410</v>
      </c>
      <c r="F266" s="353"/>
      <c r="G266" s="353"/>
      <c r="H266" s="353"/>
      <c r="I266" s="353"/>
      <c r="J266" s="343"/>
      <c r="K266" s="353"/>
      <c r="L266" s="283"/>
      <c r="M266" s="2261">
        <f>L266/100000</f>
        <v>0</v>
      </c>
      <c r="N266" s="283"/>
      <c r="O266" s="1348">
        <f>N266*M266</f>
        <v>0</v>
      </c>
      <c r="P266" s="791"/>
      <c r="Q266" s="2257">
        <f>'Abs19. NPCDCS'!Q27</f>
        <v>0</v>
      </c>
      <c r="R266" s="2869">
        <f>'Abs19. NPCDCS'!R27</f>
        <v>0</v>
      </c>
      <c r="BB266" s="3214"/>
      <c r="BC266" s="3214"/>
      <c r="BD266" s="3214"/>
      <c r="BE266" s="3214"/>
      <c r="BF266" s="3214"/>
      <c r="BG266" s="3214"/>
      <c r="BH266" s="3214"/>
      <c r="BI266" s="3214"/>
      <c r="BJ266" s="3214"/>
      <c r="BK266" s="3214"/>
      <c r="BL266" s="3214"/>
      <c r="BM266" s="3214"/>
      <c r="BN266" s="3214"/>
      <c r="BO266" s="3214"/>
      <c r="BP266" s="3214"/>
      <c r="BQ266" s="3214"/>
      <c r="BR266" s="3214"/>
      <c r="BS266" s="3214"/>
      <c r="BT266" s="3214"/>
      <c r="BU266" s="3214"/>
      <c r="BV266" s="3214"/>
      <c r="BW266" s="3214"/>
      <c r="BX266" s="3214"/>
      <c r="BY266" s="3214"/>
      <c r="BZ266" s="3214"/>
      <c r="CA266" s="3214"/>
      <c r="CB266" s="3214"/>
      <c r="CC266" s="3214"/>
      <c r="CD266" s="3214"/>
      <c r="CE266" s="3214"/>
      <c r="CF266" s="3214"/>
      <c r="CG266" s="3214"/>
      <c r="CH266" s="3214"/>
      <c r="CI266" s="3215">
        <f t="shared" si="23"/>
        <v>0</v>
      </c>
    </row>
    <row r="267" spans="1:87" ht="45">
      <c r="A267" s="1317" t="s">
        <v>1913</v>
      </c>
      <c r="B267" s="1312" t="s">
        <v>1914</v>
      </c>
      <c r="C267" s="1319" t="s">
        <v>4565</v>
      </c>
      <c r="D267" s="911" t="s">
        <v>80</v>
      </c>
      <c r="E267" s="1276" t="s">
        <v>410</v>
      </c>
      <c r="F267" s="69">
        <v>0</v>
      </c>
      <c r="G267" s="69"/>
      <c r="H267" s="69">
        <v>0</v>
      </c>
      <c r="I267" s="69"/>
      <c r="J267" s="339"/>
      <c r="K267" s="69"/>
      <c r="L267" s="277"/>
      <c r="M267" s="281">
        <f t="shared" si="24"/>
        <v>0</v>
      </c>
      <c r="N267" s="277"/>
      <c r="O267" s="1345">
        <f t="shared" si="25"/>
        <v>0</v>
      </c>
      <c r="P267" s="788"/>
      <c r="Q267" s="1003">
        <f>'Abs19. NPCDCS'!Q28</f>
        <v>0</v>
      </c>
      <c r="R267" s="2867">
        <f>'Abs19. NPCDCS'!R28</f>
        <v>0</v>
      </c>
      <c r="BB267" s="3267"/>
      <c r="BC267" s="3267"/>
      <c r="BD267" s="3267"/>
      <c r="BE267" s="3267"/>
      <c r="BF267" s="3267"/>
      <c r="BG267" s="3267"/>
      <c r="BH267" s="3267"/>
      <c r="BI267" s="3267"/>
      <c r="BJ267" s="3267"/>
      <c r="BK267" s="3267"/>
      <c r="BL267" s="3267"/>
      <c r="BM267" s="3267"/>
      <c r="BN267" s="3267"/>
      <c r="BO267" s="3267"/>
      <c r="BP267" s="3267"/>
      <c r="BQ267" s="3267"/>
      <c r="BR267" s="3267"/>
      <c r="BS267" s="3267"/>
      <c r="BT267" s="3267"/>
      <c r="BU267" s="3267"/>
      <c r="BV267" s="3267"/>
      <c r="BW267" s="3267"/>
      <c r="BX267" s="3267"/>
      <c r="BY267" s="3267"/>
      <c r="BZ267" s="3267"/>
      <c r="CA267" s="3267"/>
      <c r="CB267" s="3267"/>
      <c r="CC267" s="3267"/>
      <c r="CD267" s="3267"/>
      <c r="CE267" s="3267"/>
      <c r="CF267" s="3267"/>
      <c r="CG267" s="3267"/>
      <c r="CH267" s="3267"/>
      <c r="CI267" s="3215">
        <f t="shared" si="23"/>
        <v>0</v>
      </c>
    </row>
    <row r="268" spans="1:87" ht="45">
      <c r="A268" s="1317" t="s">
        <v>1915</v>
      </c>
      <c r="B268" s="1312" t="s">
        <v>1916</v>
      </c>
      <c r="C268" s="1319" t="s">
        <v>4566</v>
      </c>
      <c r="D268" s="911" t="s">
        <v>80</v>
      </c>
      <c r="E268" s="1276" t="s">
        <v>410</v>
      </c>
      <c r="F268" s="69">
        <v>0</v>
      </c>
      <c r="G268" s="69"/>
      <c r="H268" s="69">
        <v>0</v>
      </c>
      <c r="I268" s="69"/>
      <c r="J268" s="360"/>
      <c r="K268" s="69"/>
      <c r="L268" s="277"/>
      <c r="M268" s="281">
        <f t="shared" si="24"/>
        <v>0</v>
      </c>
      <c r="N268" s="277"/>
      <c r="O268" s="1345">
        <f t="shared" si="25"/>
        <v>0</v>
      </c>
      <c r="P268" s="798"/>
      <c r="Q268" s="1003">
        <f>'Abs19. NPCDCS'!Q29</f>
        <v>0</v>
      </c>
      <c r="R268" s="2867">
        <f>'Abs19. NPCDCS'!R29</f>
        <v>0</v>
      </c>
      <c r="BB268" s="3267"/>
      <c r="BC268" s="3267"/>
      <c r="BD268" s="3267"/>
      <c r="BE268" s="3267"/>
      <c r="BF268" s="3267"/>
      <c r="BG268" s="3267"/>
      <c r="BH268" s="3267"/>
      <c r="BI268" s="3267"/>
      <c r="BJ268" s="3267"/>
      <c r="BK268" s="3267"/>
      <c r="BL268" s="3267"/>
      <c r="BM268" s="3267"/>
      <c r="BN268" s="3267"/>
      <c r="BO268" s="3267"/>
      <c r="BP268" s="3267"/>
      <c r="BQ268" s="3267"/>
      <c r="BR268" s="3267"/>
      <c r="BS268" s="3267"/>
      <c r="BT268" s="3267"/>
      <c r="BU268" s="3267"/>
      <c r="BV268" s="3267"/>
      <c r="BW268" s="3267"/>
      <c r="BX268" s="3267"/>
      <c r="BY268" s="3267"/>
      <c r="BZ268" s="3267"/>
      <c r="CA268" s="3267"/>
      <c r="CB268" s="3267"/>
      <c r="CC268" s="3267"/>
      <c r="CD268" s="3267"/>
      <c r="CE268" s="3267"/>
      <c r="CF268" s="3267"/>
      <c r="CG268" s="3267"/>
      <c r="CH268" s="3267"/>
      <c r="CI268" s="3215">
        <f t="shared" si="23"/>
        <v>0</v>
      </c>
    </row>
    <row r="269" spans="1:87" s="3548" customFormat="1" ht="150">
      <c r="A269" s="3544" t="s">
        <v>1917</v>
      </c>
      <c r="B269" s="3545" t="s">
        <v>1918</v>
      </c>
      <c r="C269" s="3545" t="s">
        <v>4567</v>
      </c>
      <c r="D269" s="1077" t="s">
        <v>80</v>
      </c>
      <c r="E269" s="3546" t="s">
        <v>410</v>
      </c>
      <c r="F269" s="353">
        <v>0</v>
      </c>
      <c r="G269" s="353"/>
      <c r="H269" s="353">
        <v>0</v>
      </c>
      <c r="I269" s="353"/>
      <c r="J269" s="343"/>
      <c r="K269" s="353"/>
      <c r="L269" s="243">
        <v>6.87</v>
      </c>
      <c r="M269" s="3525">
        <f t="shared" si="24"/>
        <v>6.8700000000000003E-5</v>
      </c>
      <c r="N269" s="243">
        <v>2100000</v>
      </c>
      <c r="O269" s="1348">
        <f t="shared" si="25"/>
        <v>144.27000000000001</v>
      </c>
      <c r="P269" s="3547" t="s">
        <v>5477</v>
      </c>
      <c r="Q269" s="2257" t="str">
        <f>'Abs19. NPCDCS'!Q30</f>
        <v>Recommended for approval for SC level consumables.Proposal of Cervical cancer screening through VIA may be recommended under FMR - Drugs and supplies for Universal Screening of NCDs</v>
      </c>
      <c r="R269" s="2869">
        <f>'Abs19. NPCDCS'!R30</f>
        <v>134.27000000000001</v>
      </c>
      <c r="BB269" s="3506">
        <v>0</v>
      </c>
      <c r="BC269" s="3506">
        <v>12</v>
      </c>
      <c r="BD269" s="3506">
        <v>12</v>
      </c>
      <c r="BE269" s="3506">
        <v>12</v>
      </c>
      <c r="BF269" s="3506">
        <v>15</v>
      </c>
      <c r="BG269" s="3506">
        <v>3</v>
      </c>
      <c r="BH269" s="3506">
        <v>12</v>
      </c>
      <c r="BI269" s="3506">
        <v>2.27</v>
      </c>
      <c r="BJ269" s="3506">
        <v>15</v>
      </c>
      <c r="BK269" s="3506">
        <v>15</v>
      </c>
      <c r="BL269" s="3506">
        <v>12</v>
      </c>
      <c r="BM269" s="3506">
        <v>12</v>
      </c>
      <c r="BN269" s="3506">
        <v>12</v>
      </c>
      <c r="BO269" s="3506"/>
      <c r="BP269" s="3506"/>
      <c r="BQ269" s="3506"/>
      <c r="BR269" s="3506"/>
      <c r="BS269" s="3506"/>
      <c r="BT269" s="3506"/>
      <c r="BU269" s="3506"/>
      <c r="BV269" s="3506"/>
      <c r="BW269" s="3506"/>
      <c r="BX269" s="3506"/>
      <c r="BY269" s="3506"/>
      <c r="BZ269" s="3506"/>
      <c r="CA269" s="3506"/>
      <c r="CB269" s="3506"/>
      <c r="CC269" s="3506"/>
      <c r="CD269" s="3506"/>
      <c r="CE269" s="3506"/>
      <c r="CF269" s="3506"/>
      <c r="CG269" s="3506"/>
      <c r="CH269" s="3506"/>
      <c r="CI269" s="3549">
        <f t="shared" si="23"/>
        <v>134.26999999999998</v>
      </c>
    </row>
    <row r="270" spans="1:87" s="3548" customFormat="1" ht="30">
      <c r="A270" s="3544" t="s">
        <v>2762</v>
      </c>
      <c r="B270" s="1080" t="s">
        <v>137</v>
      </c>
      <c r="C270" s="3545" t="s">
        <v>2452</v>
      </c>
      <c r="D270" s="1077" t="s">
        <v>80</v>
      </c>
      <c r="E270" s="3546" t="s">
        <v>410</v>
      </c>
      <c r="F270" s="353">
        <v>2100000</v>
      </c>
      <c r="G270" s="353">
        <v>255000</v>
      </c>
      <c r="H270" s="353">
        <v>135.01</v>
      </c>
      <c r="I270" s="353">
        <v>13.42</v>
      </c>
      <c r="J270" s="3550">
        <f>H270-I270</f>
        <v>121.58999999999999</v>
      </c>
      <c r="K270" s="353"/>
      <c r="L270" s="243"/>
      <c r="M270" s="3525">
        <f t="shared" si="24"/>
        <v>0</v>
      </c>
      <c r="N270" s="243"/>
      <c r="O270" s="1348">
        <f t="shared" si="25"/>
        <v>0</v>
      </c>
      <c r="P270" s="3547"/>
      <c r="Q270" s="2257" t="str">
        <f>'Abs19. NPCDCS'!Q31</f>
        <v>Recommended for approval for VIA screening of cervical screening</v>
      </c>
      <c r="R270" s="2869">
        <f>'Abs19. NPCDCS'!R31</f>
        <v>10</v>
      </c>
      <c r="BB270" s="3506">
        <v>0</v>
      </c>
      <c r="BC270" s="3506">
        <v>0.5</v>
      </c>
      <c r="BD270" s="3506">
        <v>0.5</v>
      </c>
      <c r="BE270" s="3506">
        <v>0.5</v>
      </c>
      <c r="BF270" s="3506">
        <v>0.5</v>
      </c>
      <c r="BG270" s="3506">
        <v>0.5</v>
      </c>
      <c r="BH270" s="3506">
        <v>0.5</v>
      </c>
      <c r="BI270" s="3506">
        <v>0.5</v>
      </c>
      <c r="BJ270" s="3506">
        <v>0.5</v>
      </c>
      <c r="BK270" s="3506">
        <v>0.5</v>
      </c>
      <c r="BL270" s="3506">
        <v>0.5</v>
      </c>
      <c r="BM270" s="3506">
        <v>0.5</v>
      </c>
      <c r="BN270" s="3506">
        <v>0.5</v>
      </c>
      <c r="BO270" s="3506"/>
      <c r="BP270" s="3506"/>
      <c r="BQ270" s="3506"/>
      <c r="BR270" s="3506"/>
      <c r="BS270" s="3506"/>
      <c r="BT270" s="3506"/>
      <c r="BU270" s="3506"/>
      <c r="BV270" s="3506">
        <v>0.5</v>
      </c>
      <c r="BW270" s="3506">
        <v>0.5</v>
      </c>
      <c r="BX270" s="3506">
        <v>0.5</v>
      </c>
      <c r="BY270" s="3506">
        <v>0.5</v>
      </c>
      <c r="BZ270" s="3506">
        <v>0.5</v>
      </c>
      <c r="CA270" s="3506"/>
      <c r="CB270" s="3506">
        <v>0.5</v>
      </c>
      <c r="CC270" s="3506"/>
      <c r="CD270" s="3506">
        <v>0.5</v>
      </c>
      <c r="CE270" s="3506"/>
      <c r="CF270" s="3506">
        <v>0.5</v>
      </c>
      <c r="CG270" s="3506"/>
      <c r="CH270" s="3506"/>
      <c r="CI270" s="3549">
        <f t="shared" si="23"/>
        <v>10</v>
      </c>
    </row>
    <row r="271" spans="1:87" ht="30">
      <c r="A271" s="1361" t="s">
        <v>1919</v>
      </c>
      <c r="B271" s="1362" t="s">
        <v>1332</v>
      </c>
      <c r="C271" s="1363" t="s">
        <v>2301</v>
      </c>
      <c r="D271" s="1364"/>
      <c r="E271" s="938"/>
      <c r="F271" s="295"/>
      <c r="G271" s="295"/>
      <c r="H271" s="295"/>
      <c r="I271" s="295"/>
      <c r="J271" s="295"/>
      <c r="K271" s="163"/>
      <c r="L271" s="295"/>
      <c r="M271" s="1366"/>
      <c r="N271" s="295"/>
      <c r="O271" s="1366">
        <f>SUM(O272:O273)</f>
        <v>0</v>
      </c>
      <c r="P271" s="757"/>
      <c r="Q271" s="1000"/>
      <c r="R271" s="2875">
        <f>SUM(R272:R273)</f>
        <v>0</v>
      </c>
      <c r="BB271" s="3267"/>
      <c r="BC271" s="3267"/>
      <c r="BD271" s="3267"/>
      <c r="BE271" s="3267"/>
      <c r="BF271" s="3267"/>
      <c r="BG271" s="3267"/>
      <c r="BH271" s="3267"/>
      <c r="BI271" s="3267"/>
      <c r="BJ271" s="3267"/>
      <c r="BK271" s="3267"/>
      <c r="BL271" s="3267"/>
      <c r="BM271" s="3267"/>
      <c r="BN271" s="3267"/>
      <c r="BO271" s="3267"/>
      <c r="BP271" s="3267"/>
      <c r="BQ271" s="3267"/>
      <c r="BR271" s="3267"/>
      <c r="BS271" s="3267"/>
      <c r="BT271" s="3267"/>
      <c r="BU271" s="3267"/>
      <c r="BV271" s="3267"/>
      <c r="BW271" s="3267"/>
      <c r="BX271" s="3267"/>
      <c r="BY271" s="3267"/>
      <c r="BZ271" s="3267"/>
      <c r="CA271" s="3267"/>
      <c r="CB271" s="3267"/>
      <c r="CC271" s="3267"/>
      <c r="CD271" s="3267"/>
      <c r="CE271" s="3267"/>
      <c r="CF271" s="3267"/>
      <c r="CG271" s="3267"/>
      <c r="CH271" s="3267"/>
      <c r="CI271" s="3215">
        <f t="shared" si="23"/>
        <v>0</v>
      </c>
    </row>
    <row r="272" spans="1:87" ht="90">
      <c r="A272" s="1318" t="s">
        <v>1922</v>
      </c>
      <c r="B272" s="521"/>
      <c r="C272" s="509" t="s">
        <v>4244</v>
      </c>
      <c r="D272" s="911" t="s">
        <v>80</v>
      </c>
      <c r="E272" s="1358" t="s">
        <v>4668</v>
      </c>
      <c r="F272" s="69">
        <v>0</v>
      </c>
      <c r="G272" s="69"/>
      <c r="H272" s="69">
        <v>0</v>
      </c>
      <c r="I272" s="69"/>
      <c r="J272" s="69"/>
      <c r="K272" s="340"/>
      <c r="L272" s="277"/>
      <c r="M272" s="281">
        <f>L272/100000</f>
        <v>0</v>
      </c>
      <c r="N272" s="277"/>
      <c r="O272" s="1345">
        <f>N272*M272</f>
        <v>0</v>
      </c>
      <c r="P272" s="788"/>
      <c r="Q272" s="1003">
        <f>'Abs20. PMNDP'!Q13</f>
        <v>0</v>
      </c>
      <c r="R272" s="2867">
        <f>'Abs20. PMNDP'!R13</f>
        <v>0</v>
      </c>
      <c r="BB272" s="3267"/>
      <c r="BC272" s="3267"/>
      <c r="BD272" s="3267"/>
      <c r="BE272" s="3267"/>
      <c r="BF272" s="3267"/>
      <c r="BG272" s="3267"/>
      <c r="BH272" s="3267"/>
      <c r="BI272" s="3267"/>
      <c r="BJ272" s="3267"/>
      <c r="BK272" s="3267"/>
      <c r="BL272" s="3267"/>
      <c r="BM272" s="3267"/>
      <c r="BN272" s="3267"/>
      <c r="BO272" s="3267"/>
      <c r="BP272" s="3267"/>
      <c r="BQ272" s="3267"/>
      <c r="BR272" s="3267"/>
      <c r="BS272" s="3267"/>
      <c r="BT272" s="3267"/>
      <c r="BU272" s="3267"/>
      <c r="BV272" s="3267"/>
      <c r="BW272" s="3267"/>
      <c r="BX272" s="3267"/>
      <c r="BY272" s="3267"/>
      <c r="BZ272" s="3267"/>
      <c r="CA272" s="3267"/>
      <c r="CB272" s="3267"/>
      <c r="CC272" s="3267"/>
      <c r="CD272" s="3267"/>
      <c r="CE272" s="3267"/>
      <c r="CF272" s="3267"/>
      <c r="CG272" s="3267"/>
      <c r="CH272" s="3267"/>
      <c r="CI272" s="3215">
        <f t="shared" si="23"/>
        <v>0</v>
      </c>
    </row>
    <row r="273" spans="1:87" ht="30">
      <c r="A273" s="1318" t="s">
        <v>1924</v>
      </c>
      <c r="B273" s="521"/>
      <c r="C273" s="509" t="s">
        <v>4245</v>
      </c>
      <c r="D273" s="911" t="s">
        <v>80</v>
      </c>
      <c r="E273" s="1358" t="s">
        <v>4668</v>
      </c>
      <c r="F273" s="69">
        <v>0</v>
      </c>
      <c r="G273" s="69"/>
      <c r="H273" s="69">
        <v>0</v>
      </c>
      <c r="I273" s="69"/>
      <c r="J273" s="69"/>
      <c r="K273" s="340"/>
      <c r="L273" s="277"/>
      <c r="M273" s="281">
        <f>L273/100000</f>
        <v>0</v>
      </c>
      <c r="N273" s="277"/>
      <c r="O273" s="1345">
        <f>N273*M273</f>
        <v>0</v>
      </c>
      <c r="P273" s="788"/>
      <c r="Q273" s="1003">
        <f>'Abs20. PMNDP'!Q14</f>
        <v>0</v>
      </c>
      <c r="R273" s="2867">
        <f>'Abs20. PMNDP'!R14</f>
        <v>0</v>
      </c>
      <c r="BB273" s="3267"/>
      <c r="BC273" s="3267"/>
      <c r="BD273" s="3267"/>
      <c r="BE273" s="3267"/>
      <c r="BF273" s="3267"/>
      <c r="BG273" s="3267"/>
      <c r="BH273" s="3267"/>
      <c r="BI273" s="3267"/>
      <c r="BJ273" s="3267"/>
      <c r="BK273" s="3267"/>
      <c r="BL273" s="3267"/>
      <c r="BM273" s="3267"/>
      <c r="BN273" s="3267"/>
      <c r="BO273" s="3267"/>
      <c r="BP273" s="3267"/>
      <c r="BQ273" s="3267"/>
      <c r="BR273" s="3267"/>
      <c r="BS273" s="3267"/>
      <c r="BT273" s="3267"/>
      <c r="BU273" s="3267"/>
      <c r="BV273" s="3267"/>
      <c r="BW273" s="3267"/>
      <c r="BX273" s="3267"/>
      <c r="BY273" s="3267"/>
      <c r="BZ273" s="3267"/>
      <c r="CA273" s="3267"/>
      <c r="CB273" s="3267"/>
      <c r="CC273" s="3267"/>
      <c r="CD273" s="3267"/>
      <c r="CE273" s="3267"/>
      <c r="CF273" s="3267"/>
      <c r="CG273" s="3267"/>
      <c r="CH273" s="3267"/>
      <c r="CI273" s="3215">
        <f t="shared" si="23"/>
        <v>0</v>
      </c>
    </row>
    <row r="274" spans="1:87">
      <c r="A274" s="1361" t="s">
        <v>1814</v>
      </c>
      <c r="B274" s="1362"/>
      <c r="C274" s="1363" t="s">
        <v>1815</v>
      </c>
      <c r="D274" s="1364"/>
      <c r="E274" s="938"/>
      <c r="F274" s="295"/>
      <c r="G274" s="295"/>
      <c r="H274" s="295"/>
      <c r="I274" s="295"/>
      <c r="J274" s="295"/>
      <c r="K274" s="163"/>
      <c r="L274" s="295"/>
      <c r="M274" s="1366"/>
      <c r="N274" s="295"/>
      <c r="O274" s="1366">
        <f>O275</f>
        <v>47.49944</v>
      </c>
      <c r="P274" s="757"/>
      <c r="Q274" s="1000"/>
      <c r="R274" s="2875">
        <f>R275</f>
        <v>47.5</v>
      </c>
      <c r="BB274" s="3267"/>
      <c r="BC274" s="3267"/>
      <c r="BD274" s="3267"/>
      <c r="BE274" s="3267"/>
      <c r="BF274" s="3267"/>
      <c r="BG274" s="3267"/>
      <c r="BH274" s="3267"/>
      <c r="BI274" s="3267"/>
      <c r="BJ274" s="3267"/>
      <c r="BK274" s="3267"/>
      <c r="BL274" s="3267"/>
      <c r="BM274" s="3267"/>
      <c r="BN274" s="3267"/>
      <c r="BO274" s="3267"/>
      <c r="BP274" s="3267"/>
      <c r="BQ274" s="3267"/>
      <c r="BR274" s="3267"/>
      <c r="BS274" s="3267"/>
      <c r="BT274" s="3267"/>
      <c r="BU274" s="3267"/>
      <c r="BV274" s="3267"/>
      <c r="BW274" s="3267"/>
      <c r="BX274" s="3267"/>
      <c r="BY274" s="3267"/>
      <c r="BZ274" s="3267"/>
      <c r="CA274" s="3267"/>
      <c r="CB274" s="3267"/>
      <c r="CC274" s="3267"/>
      <c r="CD274" s="3267"/>
      <c r="CE274" s="3267"/>
      <c r="CF274" s="3267"/>
      <c r="CG274" s="3267"/>
      <c r="CH274" s="3267"/>
      <c r="CI274" s="3215">
        <f t="shared" si="23"/>
        <v>0</v>
      </c>
    </row>
    <row r="275" spans="1:87" s="1302" customFormat="1" ht="75">
      <c r="A275" s="1317" t="s">
        <v>1816</v>
      </c>
      <c r="B275" s="1312" t="s">
        <v>1817</v>
      </c>
      <c r="C275" s="1312" t="s">
        <v>1818</v>
      </c>
      <c r="D275" s="1699" t="s">
        <v>80</v>
      </c>
      <c r="E275" s="1304" t="s">
        <v>307</v>
      </c>
      <c r="F275" s="353">
        <v>98</v>
      </c>
      <c r="G275" s="353"/>
      <c r="H275" s="353">
        <v>34.6</v>
      </c>
      <c r="I275" s="353">
        <v>3.75</v>
      </c>
      <c r="J275" s="353">
        <v>30.85</v>
      </c>
      <c r="K275" s="354"/>
      <c r="L275" s="283">
        <v>44392</v>
      </c>
      <c r="M275" s="2261">
        <f>L275/100000</f>
        <v>0.44391999999999998</v>
      </c>
      <c r="N275" s="283">
        <v>107</v>
      </c>
      <c r="O275" s="1348">
        <f>N275*M275</f>
        <v>47.49944</v>
      </c>
      <c r="P275" s="791" t="s">
        <v>5502</v>
      </c>
      <c r="Q275" s="2257" t="str">
        <f>'Abs24. NOHP'!Q11</f>
        <v>Recommended for approval for consumables for 13 NOHP clinics @ Rs. 1,00,000/ clinic, 85 MUSKAN clinics @ Rs.30,000/clinic and 9 new dental clinics @ Rs 1 lakh each.</v>
      </c>
      <c r="R275" s="2869">
        <f>'Abs24. NOHP'!R11</f>
        <v>47.5</v>
      </c>
      <c r="BB275" s="3214">
        <v>47.5</v>
      </c>
      <c r="BC275" s="3214"/>
      <c r="BD275" s="3214"/>
      <c r="BE275" s="3214"/>
      <c r="BF275" s="3214"/>
      <c r="BG275" s="3214"/>
      <c r="BH275" s="3214"/>
      <c r="BI275" s="3214"/>
      <c r="BJ275" s="3214"/>
      <c r="BK275" s="3214"/>
      <c r="BL275" s="3214"/>
      <c r="BM275" s="3214"/>
      <c r="BN275" s="3214"/>
      <c r="BO275" s="3214"/>
      <c r="BP275" s="3214"/>
      <c r="BQ275" s="3214"/>
      <c r="BR275" s="3214"/>
      <c r="BS275" s="3214"/>
      <c r="BT275" s="3214"/>
      <c r="BU275" s="3214"/>
      <c r="BV275" s="3214"/>
      <c r="BW275" s="3214"/>
      <c r="BX275" s="3214"/>
      <c r="BY275" s="3214"/>
      <c r="BZ275" s="3214"/>
      <c r="CA275" s="3214"/>
      <c r="CB275" s="3214"/>
      <c r="CC275" s="3214"/>
      <c r="CD275" s="3214"/>
      <c r="CE275" s="3214"/>
      <c r="CF275" s="3214"/>
      <c r="CG275" s="3214"/>
      <c r="CH275" s="3214"/>
      <c r="CI275" s="3215">
        <f t="shared" si="23"/>
        <v>47.5</v>
      </c>
    </row>
    <row r="276" spans="1:87">
      <c r="A276" s="3918"/>
      <c r="B276" s="3918"/>
      <c r="C276" s="3918"/>
      <c r="D276" s="1200"/>
      <c r="E276" s="1200"/>
      <c r="F276" s="310"/>
      <c r="G276" s="310"/>
      <c r="H276" s="310"/>
      <c r="I276" s="310"/>
      <c r="J276" s="310"/>
      <c r="K276" s="310"/>
      <c r="L276" s="310"/>
      <c r="M276" s="1336"/>
      <c r="N276" s="602"/>
      <c r="O276" s="1336"/>
      <c r="P276" s="720"/>
      <c r="Q276" s="1182"/>
      <c r="R276" s="2865"/>
      <c r="BB276" s="3267"/>
      <c r="BC276" s="3267"/>
      <c r="BD276" s="3267"/>
      <c r="BE276" s="3267"/>
      <c r="BF276" s="3267"/>
      <c r="BG276" s="3267"/>
      <c r="BH276" s="3267"/>
      <c r="BI276" s="3267"/>
      <c r="BJ276" s="3267"/>
      <c r="BK276" s="3267"/>
      <c r="BL276" s="3267"/>
      <c r="BM276" s="3267"/>
      <c r="BN276" s="3267"/>
      <c r="BO276" s="3267"/>
      <c r="BP276" s="3267"/>
      <c r="BQ276" s="3267"/>
      <c r="BR276" s="3267"/>
      <c r="BS276" s="3267"/>
      <c r="BT276" s="3267"/>
      <c r="BU276" s="3267"/>
      <c r="BV276" s="3267"/>
      <c r="BW276" s="3267"/>
      <c r="BX276" s="3267"/>
      <c r="BY276" s="3267"/>
      <c r="BZ276" s="3267"/>
      <c r="CA276" s="3267"/>
      <c r="CB276" s="3267"/>
      <c r="CC276" s="3267"/>
      <c r="CD276" s="3267"/>
      <c r="CE276" s="3267"/>
      <c r="CF276" s="3267"/>
      <c r="CG276" s="3267"/>
      <c r="CH276" s="3267"/>
      <c r="CI276" s="3215">
        <f t="shared" si="23"/>
        <v>0</v>
      </c>
    </row>
    <row r="277" spans="1:87">
      <c r="A277" s="1290">
        <v>6.5</v>
      </c>
      <c r="B277" s="1291"/>
      <c r="C277" s="1290" t="s">
        <v>38</v>
      </c>
      <c r="D277" s="930"/>
      <c r="E277" s="930"/>
      <c r="F277" s="93"/>
      <c r="G277" s="93"/>
      <c r="H277" s="93"/>
      <c r="I277" s="93"/>
      <c r="J277" s="93"/>
      <c r="K277" s="93"/>
      <c r="L277" s="93"/>
      <c r="M277" s="1149"/>
      <c r="N277" s="335"/>
      <c r="O277" s="1149">
        <f>SUM(O278:O280)</f>
        <v>15.45</v>
      </c>
      <c r="P277" s="705"/>
      <c r="Q277" s="996"/>
      <c r="R277" s="2872">
        <f>SUM(R278:R280)</f>
        <v>15.45</v>
      </c>
      <c r="BB277" s="3267"/>
      <c r="BC277" s="3267"/>
      <c r="BD277" s="3267"/>
      <c r="BE277" s="3267"/>
      <c r="BF277" s="3267"/>
      <c r="BG277" s="3267"/>
      <c r="BH277" s="3267"/>
      <c r="BI277" s="3267"/>
      <c r="BJ277" s="3267"/>
      <c r="BK277" s="3267"/>
      <c r="BL277" s="3267"/>
      <c r="BM277" s="3267"/>
      <c r="BN277" s="3267"/>
      <c r="BO277" s="3267"/>
      <c r="BP277" s="3267"/>
      <c r="BQ277" s="3267"/>
      <c r="BR277" s="3267"/>
      <c r="BS277" s="3267"/>
      <c r="BT277" s="3267"/>
      <c r="BU277" s="3267"/>
      <c r="BV277" s="3267"/>
      <c r="BW277" s="3267"/>
      <c r="BX277" s="3267"/>
      <c r="BY277" s="3267"/>
      <c r="BZ277" s="3267"/>
      <c r="CA277" s="3267"/>
      <c r="CB277" s="3267"/>
      <c r="CC277" s="3267"/>
      <c r="CD277" s="3267"/>
      <c r="CE277" s="3267"/>
      <c r="CF277" s="3267"/>
      <c r="CG277" s="3267"/>
      <c r="CH277" s="3267"/>
      <c r="CI277" s="3215">
        <f t="shared" si="23"/>
        <v>0</v>
      </c>
    </row>
    <row r="278" spans="1:87" s="1302" customFormat="1" ht="30">
      <c r="A278" s="1317" t="s">
        <v>2454</v>
      </c>
      <c r="B278" s="521" t="s">
        <v>1928</v>
      </c>
      <c r="C278" s="521" t="s">
        <v>4637</v>
      </c>
      <c r="D278" s="2254" t="s">
        <v>4219</v>
      </c>
      <c r="E278" s="1304" t="s">
        <v>4525</v>
      </c>
      <c r="F278" s="353">
        <v>37</v>
      </c>
      <c r="G278" s="353">
        <v>37</v>
      </c>
      <c r="H278" s="353">
        <v>24.05</v>
      </c>
      <c r="I278" s="353">
        <v>41.76</v>
      </c>
      <c r="J278" s="353">
        <v>30</v>
      </c>
      <c r="K278" s="354">
        <v>3</v>
      </c>
      <c r="L278" s="2345"/>
      <c r="M278" s="2261">
        <f>L278/100000</f>
        <v>0</v>
      </c>
      <c r="N278" s="2345"/>
      <c r="O278" s="1348">
        <f>N278*M278</f>
        <v>0</v>
      </c>
      <c r="P278" s="791"/>
      <c r="Q278" s="2257">
        <f>'Abs11. NTEP'!Q26</f>
        <v>0</v>
      </c>
      <c r="R278" s="2869">
        <f>'Abs11. NTEP'!R26</f>
        <v>0</v>
      </c>
      <c r="BB278" s="3214"/>
      <c r="BC278" s="3214"/>
      <c r="BD278" s="3214"/>
      <c r="BE278" s="3214"/>
      <c r="BF278" s="3214"/>
      <c r="BG278" s="3214"/>
      <c r="BH278" s="3214"/>
      <c r="BI278" s="3214"/>
      <c r="BJ278" s="3214"/>
      <c r="BK278" s="3214"/>
      <c r="BL278" s="3214"/>
      <c r="BM278" s="3214"/>
      <c r="BN278" s="3214"/>
      <c r="BO278" s="3214"/>
      <c r="BP278" s="3214"/>
      <c r="BQ278" s="3214"/>
      <c r="BR278" s="3214"/>
      <c r="BS278" s="3214"/>
      <c r="BT278" s="3214"/>
      <c r="BU278" s="3214"/>
      <c r="BV278" s="3214"/>
      <c r="BW278" s="3214"/>
      <c r="BX278" s="3214"/>
      <c r="BY278" s="3214"/>
      <c r="BZ278" s="3214"/>
      <c r="CA278" s="3214"/>
      <c r="CB278" s="3214"/>
      <c r="CC278" s="3214"/>
      <c r="CD278" s="3214"/>
      <c r="CE278" s="3214"/>
      <c r="CF278" s="3214"/>
      <c r="CG278" s="3214"/>
      <c r="CH278" s="3214"/>
      <c r="CI278" s="3215">
        <f t="shared" si="23"/>
        <v>0</v>
      </c>
    </row>
    <row r="279" spans="1:87" s="1302" customFormat="1" ht="105">
      <c r="A279" s="1317" t="s">
        <v>2455</v>
      </c>
      <c r="B279" s="521" t="s">
        <v>2224</v>
      </c>
      <c r="C279" s="3473" t="s">
        <v>2272</v>
      </c>
      <c r="D279" s="2254" t="s">
        <v>4219</v>
      </c>
      <c r="E279" s="1304" t="s">
        <v>4525</v>
      </c>
      <c r="F279" s="353">
        <v>19000</v>
      </c>
      <c r="G279" s="353">
        <v>105</v>
      </c>
      <c r="H279" s="2356">
        <v>24.7</v>
      </c>
      <c r="I279" s="2356">
        <v>7.05</v>
      </c>
      <c r="J279" s="353">
        <v>8</v>
      </c>
      <c r="K279" s="354"/>
      <c r="L279" s="2345">
        <v>15000</v>
      </c>
      <c r="M279" s="2261">
        <f>L279/100000</f>
        <v>0.15</v>
      </c>
      <c r="N279" s="2345">
        <v>103</v>
      </c>
      <c r="O279" s="1348">
        <f>N279*M279</f>
        <v>15.45</v>
      </c>
      <c r="P279" s="3212" t="s">
        <v>5169</v>
      </c>
      <c r="Q279" s="3188" t="str">
        <f>'Abs11. NTEP'!Q27</f>
        <v>Recommended Rs 15.45 lakhs for procurement of drug sleeves and boxes</v>
      </c>
      <c r="R279" s="3204">
        <f>'Abs11. NTEP'!R27</f>
        <v>15.45</v>
      </c>
      <c r="BB279" s="3268">
        <v>15.45</v>
      </c>
      <c r="BC279" s="3214"/>
      <c r="BD279" s="3214"/>
      <c r="BE279" s="3214"/>
      <c r="BF279" s="3214"/>
      <c r="BG279" s="3214"/>
      <c r="BH279" s="3214"/>
      <c r="BI279" s="3214"/>
      <c r="BJ279" s="3214"/>
      <c r="BK279" s="3214"/>
      <c r="BL279" s="3214"/>
      <c r="BM279" s="3214"/>
      <c r="BN279" s="3214"/>
      <c r="BO279" s="3214"/>
      <c r="BP279" s="3214"/>
      <c r="BQ279" s="3214"/>
      <c r="BR279" s="3214"/>
      <c r="BS279" s="3214"/>
      <c r="BT279" s="3214"/>
      <c r="BU279" s="3214"/>
      <c r="BV279" s="3214"/>
      <c r="BW279" s="3214"/>
      <c r="BX279" s="3214"/>
      <c r="BY279" s="3214"/>
      <c r="BZ279" s="3214"/>
      <c r="CA279" s="3214"/>
      <c r="CB279" s="3214"/>
      <c r="CC279" s="3214"/>
      <c r="CD279" s="3214"/>
      <c r="CE279" s="3214"/>
      <c r="CF279" s="3214"/>
      <c r="CG279" s="3214"/>
      <c r="CH279" s="3214"/>
      <c r="CI279" s="3215">
        <f t="shared" si="23"/>
        <v>15.45</v>
      </c>
    </row>
    <row r="280" spans="1:87" s="1302" customFormat="1">
      <c r="A280" s="1317" t="s">
        <v>2456</v>
      </c>
      <c r="B280" s="521"/>
      <c r="C280" s="521" t="s">
        <v>1304</v>
      </c>
      <c r="D280" s="2254" t="s">
        <v>4219</v>
      </c>
      <c r="E280" s="1304" t="s">
        <v>4525</v>
      </c>
      <c r="F280" s="353">
        <v>0</v>
      </c>
      <c r="G280" s="353"/>
      <c r="H280" s="353">
        <v>0</v>
      </c>
      <c r="I280" s="353"/>
      <c r="J280" s="353"/>
      <c r="K280" s="354"/>
      <c r="L280" s="283"/>
      <c r="M280" s="2261">
        <f>L280/100000</f>
        <v>0</v>
      </c>
      <c r="N280" s="283"/>
      <c r="O280" s="1348">
        <f>N280*M280</f>
        <v>0</v>
      </c>
      <c r="P280" s="791"/>
      <c r="Q280" s="2257">
        <f>'Abs11. NTEP'!Q28</f>
        <v>0</v>
      </c>
      <c r="R280" s="2869">
        <f>'Abs11. NTEP'!R28</f>
        <v>0</v>
      </c>
      <c r="BB280" s="3214"/>
      <c r="BC280" s="3214"/>
      <c r="BD280" s="3214"/>
      <c r="BE280" s="3214"/>
      <c r="BF280" s="3214"/>
      <c r="BG280" s="3214"/>
      <c r="BH280" s="3214"/>
      <c r="BI280" s="3214"/>
      <c r="BJ280" s="3214"/>
      <c r="BK280" s="3214"/>
      <c r="BL280" s="3214"/>
      <c r="BM280" s="3214"/>
      <c r="BN280" s="3214"/>
      <c r="BO280" s="3214"/>
      <c r="BP280" s="3214"/>
      <c r="BQ280" s="3214"/>
      <c r="BR280" s="3214"/>
      <c r="BS280" s="3214"/>
      <c r="BT280" s="3214"/>
      <c r="BU280" s="3214"/>
      <c r="BV280" s="3214"/>
      <c r="BW280" s="3214"/>
      <c r="BX280" s="3214"/>
      <c r="BY280" s="3214"/>
      <c r="BZ280" s="3214"/>
      <c r="CA280" s="3214"/>
      <c r="CB280" s="3214"/>
      <c r="CC280" s="3214"/>
      <c r="CD280" s="3214"/>
      <c r="CE280" s="3214"/>
      <c r="CF280" s="3214"/>
      <c r="CG280" s="3214"/>
      <c r="CH280" s="3214"/>
      <c r="CI280" s="3215">
        <f t="shared" si="23"/>
        <v>0</v>
      </c>
    </row>
    <row r="281" spans="1:87">
      <c r="F281" s="1303"/>
      <c r="G281" s="1303"/>
      <c r="H281" s="1303"/>
      <c r="I281" s="1303"/>
      <c r="J281" s="1303"/>
      <c r="M281" s="1375"/>
      <c r="O281" s="1375"/>
      <c r="R281" s="2757">
        <v>13979.48</v>
      </c>
      <c r="BB281" s="3267">
        <f>SUM(BB5:BB280)</f>
        <v>10806.26</v>
      </c>
      <c r="BC281" s="3267">
        <f t="shared" ref="BC281:CI281" si="26">SUM(BC5:BC280)</f>
        <v>53.52000000000001</v>
      </c>
      <c r="BD281" s="3267">
        <f t="shared" si="26"/>
        <v>67.599999999999994</v>
      </c>
      <c r="BE281" s="3267">
        <f t="shared" si="26"/>
        <v>59.3</v>
      </c>
      <c r="BF281" s="3267">
        <f t="shared" si="26"/>
        <v>162.12</v>
      </c>
      <c r="BG281" s="3267">
        <f t="shared" si="26"/>
        <v>23.71</v>
      </c>
      <c r="BH281" s="3267">
        <f t="shared" si="26"/>
        <v>54.7</v>
      </c>
      <c r="BI281" s="3267">
        <f t="shared" si="26"/>
        <v>9.4699999999999989</v>
      </c>
      <c r="BJ281" s="3267">
        <f t="shared" si="26"/>
        <v>156.87</v>
      </c>
      <c r="BK281" s="3267">
        <f t="shared" si="26"/>
        <v>82.250000000000014</v>
      </c>
      <c r="BL281" s="3267">
        <f t="shared" si="26"/>
        <v>126.12</v>
      </c>
      <c r="BM281" s="3267">
        <f t="shared" si="26"/>
        <v>127.21</v>
      </c>
      <c r="BN281" s="3267">
        <f t="shared" si="26"/>
        <v>56.320000000000014</v>
      </c>
      <c r="BO281" s="3267">
        <f t="shared" si="26"/>
        <v>171.60000000000002</v>
      </c>
      <c r="BP281" s="3267">
        <f t="shared" si="26"/>
        <v>339.88</v>
      </c>
      <c r="BQ281" s="3267">
        <f t="shared" si="26"/>
        <v>150.27000000000001</v>
      </c>
      <c r="BR281" s="3267">
        <f t="shared" si="26"/>
        <v>169.19</v>
      </c>
      <c r="BS281" s="3267">
        <f t="shared" si="26"/>
        <v>75.100000000000009</v>
      </c>
      <c r="BT281" s="3267">
        <f t="shared" si="26"/>
        <v>113.5</v>
      </c>
      <c r="BU281" s="3267">
        <f t="shared" si="26"/>
        <v>207.98999999999998</v>
      </c>
      <c r="BV281" s="3267">
        <f t="shared" si="26"/>
        <v>73.69</v>
      </c>
      <c r="BW281" s="3267">
        <f t="shared" si="26"/>
        <v>36.699999999999996</v>
      </c>
      <c r="BX281" s="3267">
        <f t="shared" si="26"/>
        <v>66.75</v>
      </c>
      <c r="BY281" s="3267">
        <f t="shared" si="26"/>
        <v>100.55000000000001</v>
      </c>
      <c r="BZ281" s="3267">
        <f t="shared" si="26"/>
        <v>148.66000000000003</v>
      </c>
      <c r="CA281" s="3267">
        <f t="shared" si="26"/>
        <v>31.86</v>
      </c>
      <c r="CB281" s="3267">
        <f t="shared" si="26"/>
        <v>91.210000000000008</v>
      </c>
      <c r="CC281" s="3267">
        <f t="shared" si="26"/>
        <v>43.089999999999996</v>
      </c>
      <c r="CD281" s="3267">
        <f t="shared" si="26"/>
        <v>76.45</v>
      </c>
      <c r="CE281" s="3267">
        <f t="shared" si="26"/>
        <v>190.69</v>
      </c>
      <c r="CF281" s="3267">
        <f t="shared" si="26"/>
        <v>106.85000000000001</v>
      </c>
      <c r="CG281" s="3267">
        <f t="shared" si="26"/>
        <v>0</v>
      </c>
      <c r="CH281" s="3267">
        <f t="shared" si="26"/>
        <v>0</v>
      </c>
      <c r="CI281" s="3267">
        <f t="shared" si="26"/>
        <v>13979.480000000003</v>
      </c>
    </row>
    <row r="282" spans="1:87">
      <c r="BB282" s="1318"/>
      <c r="BC282" s="1318"/>
      <c r="BD282" s="1318"/>
      <c r="BE282" s="1318"/>
      <c r="BF282" s="1318"/>
      <c r="BG282" s="1318"/>
      <c r="BH282" s="1318"/>
      <c r="BI282" s="1318"/>
      <c r="BJ282" s="1318"/>
      <c r="BK282" s="1318"/>
      <c r="BL282" s="1318"/>
      <c r="BM282" s="1318"/>
      <c r="BN282" s="1318"/>
      <c r="BO282" s="1318"/>
      <c r="BP282" s="1318"/>
      <c r="BQ282" s="1318"/>
      <c r="BR282" s="1318"/>
      <c r="BS282" s="1318"/>
      <c r="BT282" s="1318"/>
      <c r="BU282" s="1318"/>
      <c r="BV282" s="1318"/>
      <c r="BW282" s="1318"/>
      <c r="BX282" s="1318"/>
      <c r="BY282" s="1318"/>
      <c r="BZ282" s="1318"/>
      <c r="CA282" s="1318"/>
      <c r="CB282" s="1318"/>
      <c r="CC282" s="1318"/>
      <c r="CD282" s="1318"/>
      <c r="CE282" s="1318"/>
      <c r="CF282" s="1318"/>
      <c r="CG282" s="1318"/>
      <c r="CH282" s="1318"/>
      <c r="CI282" s="1318"/>
    </row>
    <row r="300" spans="15:15" ht="409.5">
      <c r="O300" s="3206" t="s">
        <v>5986</v>
      </c>
    </row>
  </sheetData>
  <sheetProtection password="CC49" sheet="1" objects="1" scenarios="1" autoFilter="0"/>
  <autoFilter ref="A4:BC280"/>
  <mergeCells count="19">
    <mergeCell ref="A249:C249"/>
    <mergeCell ref="A276:C276"/>
    <mergeCell ref="A64:C64"/>
    <mergeCell ref="A135:C135"/>
    <mergeCell ref="A72:C72"/>
    <mergeCell ref="A92:C92"/>
    <mergeCell ref="A145:C145"/>
    <mergeCell ref="A190:C190"/>
    <mergeCell ref="A6:C6"/>
    <mergeCell ref="A41:C41"/>
    <mergeCell ref="A1:C1"/>
    <mergeCell ref="A3:B4"/>
    <mergeCell ref="A213:C213"/>
    <mergeCell ref="K3:P3"/>
    <mergeCell ref="Q3:R3"/>
    <mergeCell ref="F3:J3"/>
    <mergeCell ref="C3:C4"/>
    <mergeCell ref="D3:D4"/>
    <mergeCell ref="E3:E4"/>
  </mergeCells>
  <phoneticPr fontId="68" type="noConversion"/>
  <pageMargins left="0.7" right="0.7" top="0.75" bottom="0.75" header="0.3" footer="0.3"/>
  <pageSetup orientation="portrait" horizontalDpi="4294967295" verticalDpi="4294967295"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Worksheets</vt:lpstr>
      </vt:variant>
      <vt:variant>
        <vt:i4>55</vt:i4>
      </vt:variant>
      <vt:variant>
        <vt:lpstr>Charts</vt:lpstr>
      </vt:variant>
      <vt:variant>
        <vt:i4>1</vt:i4>
      </vt:variant>
      <vt:variant>
        <vt:lpstr>Named Ranges</vt:lpstr>
      </vt:variant>
      <vt:variant>
        <vt:i4>1</vt:i4>
      </vt:variant>
    </vt:vector>
  </HeadingPairs>
  <TitlesOfParts>
    <vt:vector size="57" baseType="lpstr">
      <vt:lpstr>Mastersheet</vt:lpstr>
      <vt:lpstr>1.SD Facility Based Annex</vt:lpstr>
      <vt:lpstr>2.SD Community Based Annex</vt:lpstr>
      <vt:lpstr>3.Community Intervention Annexn</vt:lpstr>
      <vt:lpstr>3-A. CI Sub-Annex</vt:lpstr>
      <vt:lpstr>4.Untied grants Annex</vt:lpstr>
      <vt:lpstr>5.Infrastructure Annex</vt:lpstr>
      <vt:lpstr>6.Procurement Annex</vt:lpstr>
      <vt:lpstr>6-A. Proc. Sub-Annex</vt:lpstr>
      <vt:lpstr>7.Referral Transport Annex</vt:lpstr>
      <vt:lpstr>8.Human Resources (SD) Annex</vt:lpstr>
      <vt:lpstr>9.Training Annex</vt:lpstr>
      <vt:lpstr>9-A.Training Sub-Annex</vt:lpstr>
      <vt:lpstr>10.Review Research &amp; Surveillen</vt:lpstr>
      <vt:lpstr>11.IEC-BCC Annex</vt:lpstr>
      <vt:lpstr>11-A. IEC Sub-Annex</vt:lpstr>
      <vt:lpstr>12.Printing Annex</vt:lpstr>
      <vt:lpstr>12-A. Print Sub-Annex</vt:lpstr>
      <vt:lpstr>13.Quality Assurance Annex</vt:lpstr>
      <vt:lpstr>14.Drug warehouse &amp;Logistic Anx</vt:lpstr>
      <vt:lpstr>15.PPP Annex</vt:lpstr>
      <vt:lpstr>16.PM Annex</vt:lpstr>
      <vt:lpstr>16-A. PM sub Annex</vt:lpstr>
      <vt:lpstr>17.IT Initiatives_SD</vt:lpstr>
      <vt:lpstr>18.Innovation</vt:lpstr>
      <vt:lpstr>NUHM-Non Metro Abst</vt:lpstr>
      <vt:lpstr>NUHM Metro Abst</vt:lpstr>
      <vt:lpstr>Ab1. RMNCH+A</vt:lpstr>
      <vt:lpstr>Ab2. NIDDCP</vt:lpstr>
      <vt:lpstr>Ab3. ASHA</vt:lpstr>
      <vt:lpstr>Ab4. HMIS-MCTS</vt:lpstr>
      <vt:lpstr>Abs5. Blood services &amp; Disorder</vt:lpstr>
      <vt:lpstr>Abs6. CPHC</vt:lpstr>
      <vt:lpstr>Abs7. AYUSH</vt:lpstr>
      <vt:lpstr>Abs8. IDSP</vt:lpstr>
      <vt:lpstr>Abs9. NVBDCP</vt:lpstr>
      <vt:lpstr>Abs10. NLEP</vt:lpstr>
      <vt:lpstr>Abs11. NTEP</vt:lpstr>
      <vt:lpstr>Abs12. NVHCP</vt:lpstr>
      <vt:lpstr>Abs13. NRCP</vt:lpstr>
      <vt:lpstr>Abs14. PPCL</vt:lpstr>
      <vt:lpstr>Abs17. NPHCE</vt:lpstr>
      <vt:lpstr>Abs18. NTCP</vt:lpstr>
      <vt:lpstr>Abs19. NPCDCS</vt:lpstr>
      <vt:lpstr>Abs20. PMNDP</vt:lpstr>
      <vt:lpstr>Abs21. NPCCHH</vt:lpstr>
      <vt:lpstr>Abs22. NPPCD</vt:lpstr>
      <vt:lpstr>Abs23. NPPCF</vt:lpstr>
      <vt:lpstr>Abs24. NOHP</vt:lpstr>
      <vt:lpstr>Abs25. NPPC</vt:lpstr>
      <vt:lpstr>Abs26. Burns &amp; Injury</vt:lpstr>
      <vt:lpstr>Abs15. NPCB</vt:lpstr>
      <vt:lpstr>Abs16. NMHP</vt:lpstr>
      <vt:lpstr>Capex Expenditure</vt:lpstr>
      <vt:lpstr>Sheet1</vt:lpstr>
      <vt:lpstr>Chart1</vt:lpstr>
      <vt:lpstr>A96\</vt:lpstr>
    </vt:vector>
  </TitlesOfParts>
  <Company>Deloitte Touche Tohmatsu Services, Inc.</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NHM, MoHFW</dc:creator>
  <cp:lastModifiedBy>HEALTH</cp:lastModifiedBy>
  <cp:lastPrinted>2020-12-21T10:03:37Z</cp:lastPrinted>
  <dcterms:created xsi:type="dcterms:W3CDTF">2017-11-03T10:05:11Z</dcterms:created>
  <dcterms:modified xsi:type="dcterms:W3CDTF">2021-06-19T10:21:54Z</dcterms:modified>
</cp:coreProperties>
</file>